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userName="Havlíček Jan" reservationPassword="DDB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6120" windowHeight="9876" tabRatio="623"/>
  </bookViews>
  <sheets>
    <sheet name="MAIN" sheetId="1" r:id="rId1"/>
    <sheet name="FTP" sheetId="6" r:id="rId2"/>
  </sheets>
  <externalReferences>
    <externalReference r:id="rId3"/>
  </externalReferences>
  <definedNames>
    <definedName name="BigAreaToPaste">MAIN!$AC$19:$AN$260</definedName>
    <definedName name="BrentPhyBrentSpread">MAIN!$AH$6</definedName>
    <definedName name="BrentSeasonalityTable">MAIN!$AG$3:$AG$6</definedName>
    <definedName name="BrentVolTable">MAIN!$AF$10:$AH$14</definedName>
    <definedName name="CalcMode">MAIN!$AY$3</definedName>
    <definedName name="CollartionCap">MAIN!$C$44</definedName>
    <definedName name="CollartionFloor">MAIN!$B$44</definedName>
    <definedName name="CostlessCollarFirstAdjustment">MAIN!$BF$13</definedName>
    <definedName name="CostlessCollarValue">MAIN!$BF$12</definedName>
    <definedName name="DateCurve">MAIN!$G$32</definedName>
    <definedName name="DatedBrentSpread">MAIN!$DQ$19:$DQ$260</definedName>
    <definedName name="DateEnd">MAIN!$G$3</definedName>
    <definedName name="DateEnd2">MAIN!$G$24</definedName>
    <definedName name="DateIR">MAIN!$AT$13</definedName>
    <definedName name="DateStart">MAIN!$F$3</definedName>
    <definedName name="DateStart2">MAIN!$F$24</definedName>
    <definedName name="DateToday">MAIN!$G$31</definedName>
    <definedName name="DaysForThetaCalculation">MAIN!$AT$9</definedName>
    <definedName name="EuroOptionMonthPosition">MAIN!$AY$6</definedName>
    <definedName name="ExtendableFirstAdjustment">MAIN!$BF$4</definedName>
    <definedName name="ExtendableSwapValue">MAIN!$BF$3</definedName>
    <definedName name="FileName">FTP!$B$6</definedName>
    <definedName name="FileType">FTP!$B$7</definedName>
    <definedName name="FirstMonthToSave">MAIN!$DG$19</definedName>
    <definedName name="FirstPricingMonth">MAIN!$I$19</definedName>
    <definedName name="FTPConfig">FTP!$B$8</definedName>
    <definedName name="HolidaysBrent">MAIN!$EO$19:$EO$97</definedName>
    <definedName name="HolidaysWTI">MAIN!$EN$19:$EN$97</definedName>
    <definedName name="IntradayBrentPriceChanges">MAIN!$Q$20:$Q$260</definedName>
    <definedName name="IntradayVolChanges">MAIN!$N$20:$N$260</definedName>
    <definedName name="IntradayWTIPriceChanges">MAIN!$K$20:$K$260</definedName>
    <definedName name="LocalPath">FTP!$B$4</definedName>
    <definedName name="NextMonth">MAIN!$I$20</definedName>
    <definedName name="NominalVolume">MAIN!$D$32</definedName>
    <definedName name="OptControl">MAIN!$AT$4</definedName>
    <definedName name="ParticipatingFirstAdjustment">MAIN!$BF$7</definedName>
    <definedName name="ParticipatingSwapPrice">MAIN!$E$47</definedName>
    <definedName name="ParticipatingSwapValue">MAIN!$BF$6</definedName>
    <definedName name="ParticipationRate">MAIN!$B$47</definedName>
    <definedName name="ParticipationType">MAIN!$AT$6</definedName>
    <definedName name="PositionBrentPrice">MAIN!$P$20</definedName>
    <definedName name="PositionIR">MAIN!$AO$20</definedName>
    <definedName name="PositionWTIPrice">MAIN!$J$20</definedName>
    <definedName name="PositionWTIVol">MAIN!$M$20</definedName>
    <definedName name="PriceSpreadAsian">MAIN!$B$6</definedName>
    <definedName name="PriceSpreadEuro">MAIN!#REF!</definedName>
    <definedName name="PriceSpreadTable">MAIN!$AB$4:$AD$14</definedName>
    <definedName name="PricingArea">MAIN!$I$19:$AV$260</definedName>
    <definedName name="PutGet">FTP!$B$3</definedName>
    <definedName name="RangePriceBrent">MAIN!$DJ$19:$DK$260</definedName>
    <definedName name="RangePriceBrentDated">MAIN!$DO$19:$DP$260</definedName>
    <definedName name="RangePriceBrentPhy">MAIN!$DM$19:$DN$260</definedName>
    <definedName name="RangePriceWTI">MAIN!$DG$19:$DH$260</definedName>
    <definedName name="RangeVolBrent">MAIN!$DU$19:$DV$260</definedName>
    <definedName name="RangeVolBRNTDT">MAIN!$DZ$19:$EA$260</definedName>
    <definedName name="RangeVolExpPrompt">MAIN!$DX$19:$DY$260</definedName>
    <definedName name="RangeVolWTI">MAIN!$DR$19:$DS$260</definedName>
    <definedName name="RegressionParameters">MAIN!$S$18:$U$260</definedName>
    <definedName name="RemotePath">FTP!$B$5</definedName>
    <definedName name="Strike1">MAIN!$G$9</definedName>
    <definedName name="Strike2">MAIN!$G$10</definedName>
    <definedName name="StrikeSpec1">MAIN!$F$9</definedName>
    <definedName name="StrikeSpec2">MAIN!$F$10</definedName>
    <definedName name="SwapCurveBrent">MAIN!$Z$19:$Z$260</definedName>
    <definedName name="SwapCurveWTI">MAIN!$X$19:$X$260</definedName>
    <definedName name="SwapFirstMonthPosition">MAIN!$AY$5</definedName>
    <definedName name="SwapNumOfMonths">MAIN!$AY$4</definedName>
    <definedName name="SwapPriceCurve">MAIN!$E$6</definedName>
    <definedName name="SwapPriceSettle">MAIN!$D$6</definedName>
    <definedName name="SwaptionFirstMonthPosition">MAIN!$AY$8</definedName>
    <definedName name="SwaptionMonthsToGo">MAIN!$BN$11</definedName>
    <definedName name="SwaptionNumOfMonths">MAIN!$AY$7</definedName>
    <definedName name="SwaptionPremium">MAIN!$G$29</definedName>
    <definedName name="SwaptionShift">MAIN!$BN$12</definedName>
    <definedName name="SwaptionStrike">MAIN!$G$27</definedName>
    <definedName name="SwaptionType">MAIN!$AT$5</definedName>
    <definedName name="SwaptionUnderlyingPrice">MAIN!$D$29</definedName>
    <definedName name="SwaptionVol">MAIN!$E$29</definedName>
    <definedName name="SwaptionVolTable">MAIN!$ID$2:$IL$11</definedName>
    <definedName name="SwaptionYearsToExp">MAIN!$BN$10</definedName>
    <definedName name="TradingStatusTable">MAIN!$AG$19:$AH$200</definedName>
    <definedName name="Underlying">MAIN!$AT$3</definedName>
    <definedName name="UnderlyingPriceAsian">MAIN!$G$6</definedName>
    <definedName name="VolCurveBrent">MAIN!$AT$20:$AT$260</definedName>
    <definedName name="VolCurveBrentOTC">MAIN!$AU$19:$AU$260</definedName>
    <definedName name="VolCurveExpPrompt">MAIN!$S$20:$S$260</definedName>
    <definedName name="VolCurveWTIOTC">MAIN!$AS$19:$AS$260</definedName>
    <definedName name="VolSkewFlag">MAIN!$AT$7</definedName>
    <definedName name="VolSkewTable">MAIN!$T$5:$Z$8</definedName>
    <definedName name="Volume">MAIN!$C$32</definedName>
    <definedName name="VolumeOverrideFlag">MAIN!$AT$8</definedName>
    <definedName name="VolumeSwaption">MAIN!$C$33</definedName>
  </definedNames>
  <calcPr calcId="0" calcMode="manual"/>
</workbook>
</file>

<file path=xl/calcChain.xml><?xml version="1.0" encoding="utf-8"?>
<calcChain xmlns="http://schemas.openxmlformats.org/spreadsheetml/2006/main">
  <c r="B6" i="6" l="1"/>
  <c r="C6" i="6"/>
  <c r="A2" i="1"/>
  <c r="A3" i="1"/>
  <c r="F3" i="1"/>
  <c r="G3" i="1"/>
  <c r="AN3" i="1"/>
  <c r="BF3" i="1"/>
  <c r="AN4" i="1"/>
  <c r="BF4" i="1"/>
  <c r="BL4" i="1"/>
  <c r="BM4" i="1"/>
  <c r="BN4" i="1"/>
  <c r="A5" i="1"/>
  <c r="AN5" i="1"/>
  <c r="BL5" i="1"/>
  <c r="BM5" i="1"/>
  <c r="BN5" i="1"/>
  <c r="A6" i="1"/>
  <c r="C6" i="1"/>
  <c r="D6" i="1"/>
  <c r="E6" i="1"/>
  <c r="G6" i="1"/>
  <c r="AN6" i="1"/>
  <c r="BF6" i="1"/>
  <c r="AN7" i="1"/>
  <c r="BF7" i="1"/>
  <c r="BN7" i="1"/>
  <c r="BN8" i="1"/>
  <c r="A9" i="1"/>
  <c r="E9" i="1"/>
  <c r="F9" i="1"/>
  <c r="G9" i="1"/>
  <c r="AM9" i="1"/>
  <c r="AN9" i="1"/>
  <c r="BF9" i="1"/>
  <c r="BN9" i="1"/>
  <c r="A10" i="1"/>
  <c r="E10" i="1"/>
  <c r="F10" i="1"/>
  <c r="G10" i="1"/>
  <c r="AM10" i="1"/>
  <c r="AN10" i="1"/>
  <c r="BF10" i="1"/>
  <c r="BN10" i="1"/>
  <c r="A11" i="1"/>
  <c r="AM11" i="1"/>
  <c r="AN11" i="1"/>
  <c r="AY11" i="1"/>
  <c r="BN11" i="1"/>
  <c r="F12" i="1"/>
  <c r="BF12" i="1"/>
  <c r="BN12" i="1"/>
  <c r="A13" i="1"/>
  <c r="B13" i="1"/>
  <c r="C13" i="1"/>
  <c r="D13" i="1"/>
  <c r="E13" i="1"/>
  <c r="F13" i="1"/>
  <c r="AT13" i="1"/>
  <c r="BF13" i="1"/>
  <c r="A14" i="1"/>
  <c r="B14" i="1"/>
  <c r="C14" i="1"/>
  <c r="D14" i="1"/>
  <c r="E14" i="1"/>
  <c r="F14" i="1"/>
  <c r="A15" i="1"/>
  <c r="B15" i="1"/>
  <c r="C15" i="1"/>
  <c r="D15" i="1"/>
  <c r="E15" i="1"/>
  <c r="F15" i="1"/>
  <c r="I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A16" i="1"/>
  <c r="B16" i="1"/>
  <c r="C16" i="1"/>
  <c r="D16" i="1"/>
  <c r="E16" i="1"/>
  <c r="F16" i="1"/>
  <c r="I16" i="1"/>
  <c r="CX16" i="1"/>
  <c r="DB16" i="1"/>
  <c r="I17" i="1"/>
  <c r="CA17" i="1"/>
  <c r="CB17" i="1"/>
  <c r="CC17" i="1"/>
  <c r="CD17" i="1"/>
  <c r="CF17" i="1"/>
  <c r="CJ17" i="1"/>
  <c r="F18" i="1"/>
  <c r="I18" i="1"/>
  <c r="BS18" i="1"/>
  <c r="BT18" i="1"/>
  <c r="BY18" i="1"/>
  <c r="BZ18" i="1"/>
  <c r="CQ18" i="1"/>
  <c r="CR18" i="1"/>
  <c r="CS18" i="1"/>
  <c r="CT18" i="1"/>
  <c r="CV18" i="1"/>
  <c r="CW18" i="1"/>
  <c r="ED18" i="1"/>
  <c r="EE18" i="1"/>
  <c r="EF18" i="1"/>
  <c r="EG18" i="1"/>
  <c r="B19" i="1"/>
  <c r="C19" i="1"/>
  <c r="D19" i="1"/>
  <c r="E19" i="1"/>
  <c r="F19" i="1"/>
  <c r="W19" i="1"/>
  <c r="X19" i="1"/>
  <c r="Y19" i="1"/>
  <c r="Z19" i="1"/>
  <c r="AA19" i="1"/>
  <c r="AB19" i="1"/>
  <c r="AS19" i="1"/>
  <c r="AU19" i="1"/>
  <c r="AW19" i="1"/>
  <c r="AX19" i="1"/>
  <c r="AY19" i="1"/>
  <c r="AZ19" i="1"/>
  <c r="BA19" i="1"/>
  <c r="BB19" i="1"/>
  <c r="BC19" i="1"/>
  <c r="BD19" i="1"/>
  <c r="BE19" i="1"/>
  <c r="BF19" i="1"/>
  <c r="BG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F19" i="1"/>
  <c r="CG19" i="1"/>
  <c r="CH19" i="1"/>
  <c r="CI19" i="1"/>
  <c r="CJ19" i="1"/>
  <c r="CK19" i="1"/>
  <c r="CL19" i="1"/>
  <c r="CM19" i="1"/>
  <c r="DG19" i="1"/>
  <c r="DJ19" i="1"/>
  <c r="DM19" i="1"/>
  <c r="DN19" i="1"/>
  <c r="DO19" i="1"/>
  <c r="DP19" i="1"/>
  <c r="DR19" i="1"/>
  <c r="DU19" i="1"/>
  <c r="DX19" i="1"/>
  <c r="DZ19" i="1"/>
  <c r="EA19" i="1"/>
  <c r="EC19" i="1"/>
  <c r="ED19" i="1"/>
  <c r="EE19" i="1"/>
  <c r="EF19" i="1"/>
  <c r="EG19" i="1"/>
  <c r="EW19" i="1"/>
  <c r="A20" i="1"/>
  <c r="B20" i="1"/>
  <c r="C20" i="1"/>
  <c r="D20" i="1"/>
  <c r="E20" i="1"/>
  <c r="F20" i="1"/>
  <c r="H20" i="1"/>
  <c r="I20" i="1"/>
  <c r="L20" i="1"/>
  <c r="O20" i="1"/>
  <c r="R20" i="1"/>
  <c r="S20" i="1"/>
  <c r="T20" i="1"/>
  <c r="U20" i="1"/>
  <c r="W20" i="1"/>
  <c r="X20" i="1"/>
  <c r="Y20" i="1"/>
  <c r="Z20" i="1"/>
  <c r="AA20" i="1"/>
  <c r="AB20" i="1"/>
  <c r="AP20" i="1"/>
  <c r="AR20" i="1"/>
  <c r="AS20" i="1"/>
  <c r="AT20" i="1"/>
  <c r="AU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F20" i="1"/>
  <c r="CG20" i="1"/>
  <c r="CH20" i="1"/>
  <c r="CI20" i="1"/>
  <c r="CJ20" i="1"/>
  <c r="CK20" i="1"/>
  <c r="CL20" i="1"/>
  <c r="CM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G20" i="1"/>
  <c r="DJ20" i="1"/>
  <c r="DM20" i="1"/>
  <c r="DN20" i="1"/>
  <c r="DO20" i="1"/>
  <c r="DP20" i="1"/>
  <c r="DR20" i="1"/>
  <c r="DU20" i="1"/>
  <c r="DX20" i="1"/>
  <c r="DZ20" i="1"/>
  <c r="EA20" i="1"/>
  <c r="EC20" i="1"/>
  <c r="ED20" i="1"/>
  <c r="EE20" i="1"/>
  <c r="EF20" i="1"/>
  <c r="EG20" i="1"/>
  <c r="EI20" i="1"/>
  <c r="EJ20" i="1"/>
  <c r="EK20" i="1"/>
  <c r="EL20" i="1"/>
  <c r="ET20" i="1"/>
  <c r="EU20" i="1"/>
  <c r="EV20" i="1"/>
  <c r="FB20" i="1"/>
  <c r="FC20" i="1"/>
  <c r="FD20" i="1"/>
  <c r="FE20" i="1"/>
  <c r="FF20" i="1"/>
  <c r="FG20" i="1"/>
  <c r="FH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A21" i="1"/>
  <c r="B21" i="1"/>
  <c r="C21" i="1"/>
  <c r="D21" i="1"/>
  <c r="E21" i="1"/>
  <c r="F21" i="1"/>
  <c r="H21" i="1"/>
  <c r="I21" i="1"/>
  <c r="L21" i="1"/>
  <c r="O21" i="1"/>
  <c r="R21" i="1"/>
  <c r="T21" i="1"/>
  <c r="U21" i="1"/>
  <c r="W21" i="1"/>
  <c r="X21" i="1"/>
  <c r="Y21" i="1"/>
  <c r="Z21" i="1"/>
  <c r="AA21" i="1"/>
  <c r="AB21" i="1"/>
  <c r="AP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F21" i="1"/>
  <c r="CG21" i="1"/>
  <c r="CH21" i="1"/>
  <c r="CI21" i="1"/>
  <c r="CJ21" i="1"/>
  <c r="CK21" i="1"/>
  <c r="CL21" i="1"/>
  <c r="CM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G21" i="1"/>
  <c r="DJ21" i="1"/>
  <c r="DM21" i="1"/>
  <c r="DN21" i="1"/>
  <c r="DO21" i="1"/>
  <c r="DP21" i="1"/>
  <c r="DR21" i="1"/>
  <c r="DU21" i="1"/>
  <c r="DX21" i="1"/>
  <c r="DZ21" i="1"/>
  <c r="EA21" i="1"/>
  <c r="EC21" i="1"/>
  <c r="ED21" i="1"/>
  <c r="EE21" i="1"/>
  <c r="EF21" i="1"/>
  <c r="EG21" i="1"/>
  <c r="EI21" i="1"/>
  <c r="EJ21" i="1"/>
  <c r="EK21" i="1"/>
  <c r="EL21" i="1"/>
  <c r="ET21" i="1"/>
  <c r="EU21" i="1"/>
  <c r="EV21" i="1"/>
  <c r="EW21" i="1"/>
  <c r="EX21" i="1"/>
  <c r="EZ21" i="1"/>
  <c r="FA21" i="1"/>
  <c r="FB21" i="1"/>
  <c r="FC21" i="1"/>
  <c r="FD21" i="1"/>
  <c r="FE21" i="1"/>
  <c r="FF21" i="1"/>
  <c r="FG21" i="1"/>
  <c r="FH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A22" i="1"/>
  <c r="B22" i="1"/>
  <c r="C22" i="1"/>
  <c r="D22" i="1"/>
  <c r="E22" i="1"/>
  <c r="F22" i="1"/>
  <c r="G22" i="1"/>
  <c r="H22" i="1"/>
  <c r="I22" i="1"/>
  <c r="L22" i="1"/>
  <c r="O22" i="1"/>
  <c r="R22" i="1"/>
  <c r="T22" i="1"/>
  <c r="U22" i="1"/>
  <c r="W22" i="1"/>
  <c r="X22" i="1"/>
  <c r="Y22" i="1"/>
  <c r="Z22" i="1"/>
  <c r="AA22" i="1"/>
  <c r="AB22" i="1"/>
  <c r="AP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F22" i="1"/>
  <c r="CG22" i="1"/>
  <c r="CH22" i="1"/>
  <c r="CI22" i="1"/>
  <c r="CJ22" i="1"/>
  <c r="CK22" i="1"/>
  <c r="CL22" i="1"/>
  <c r="CM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G22" i="1"/>
  <c r="DJ22" i="1"/>
  <c r="DM22" i="1"/>
  <c r="DN22" i="1"/>
  <c r="DO22" i="1"/>
  <c r="DP22" i="1"/>
  <c r="DR22" i="1"/>
  <c r="DU22" i="1"/>
  <c r="DX22" i="1"/>
  <c r="DZ22" i="1"/>
  <c r="EA22" i="1"/>
  <c r="EC22" i="1"/>
  <c r="ED22" i="1"/>
  <c r="EE22" i="1"/>
  <c r="EF22" i="1"/>
  <c r="EG22" i="1"/>
  <c r="EI22" i="1"/>
  <c r="EJ22" i="1"/>
  <c r="EK22" i="1"/>
  <c r="EL22" i="1"/>
  <c r="ET22" i="1"/>
  <c r="EU22" i="1"/>
  <c r="EV22" i="1"/>
  <c r="EW22" i="1"/>
  <c r="EX22" i="1"/>
  <c r="EZ22" i="1"/>
  <c r="FA22" i="1"/>
  <c r="FB22" i="1"/>
  <c r="FC22" i="1"/>
  <c r="FD22" i="1"/>
  <c r="FE22" i="1"/>
  <c r="FF22" i="1"/>
  <c r="FG22" i="1"/>
  <c r="FH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A23" i="1"/>
  <c r="H23" i="1"/>
  <c r="I23" i="1"/>
  <c r="L23" i="1"/>
  <c r="O23" i="1"/>
  <c r="R23" i="1"/>
  <c r="S23" i="1"/>
  <c r="T23" i="1"/>
  <c r="U23" i="1"/>
  <c r="W23" i="1"/>
  <c r="X23" i="1"/>
  <c r="Y23" i="1"/>
  <c r="Z23" i="1"/>
  <c r="AA23" i="1"/>
  <c r="AB23" i="1"/>
  <c r="AP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F23" i="1"/>
  <c r="CG23" i="1"/>
  <c r="CH23" i="1"/>
  <c r="CI23" i="1"/>
  <c r="CJ23" i="1"/>
  <c r="CK23" i="1"/>
  <c r="CL23" i="1"/>
  <c r="CM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G23" i="1"/>
  <c r="DJ23" i="1"/>
  <c r="DM23" i="1"/>
  <c r="DN23" i="1"/>
  <c r="DO23" i="1"/>
  <c r="DP23" i="1"/>
  <c r="DR23" i="1"/>
  <c r="DU23" i="1"/>
  <c r="DX23" i="1"/>
  <c r="DZ23" i="1"/>
  <c r="EA23" i="1"/>
  <c r="EC23" i="1"/>
  <c r="ED23" i="1"/>
  <c r="EE23" i="1"/>
  <c r="EF23" i="1"/>
  <c r="EG23" i="1"/>
  <c r="EI23" i="1"/>
  <c r="EJ23" i="1"/>
  <c r="EK23" i="1"/>
  <c r="EL23" i="1"/>
  <c r="ET23" i="1"/>
  <c r="EU23" i="1"/>
  <c r="EV23" i="1"/>
  <c r="EW23" i="1"/>
  <c r="EX23" i="1"/>
  <c r="EZ23" i="1"/>
  <c r="FA23" i="1"/>
  <c r="FB23" i="1"/>
  <c r="FC23" i="1"/>
  <c r="FD23" i="1"/>
  <c r="FE23" i="1"/>
  <c r="FF23" i="1"/>
  <c r="FG23" i="1"/>
  <c r="FH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A24" i="1"/>
  <c r="F24" i="1"/>
  <c r="G24" i="1"/>
  <c r="H24" i="1"/>
  <c r="I24" i="1"/>
  <c r="L24" i="1"/>
  <c r="O24" i="1"/>
  <c r="R24" i="1"/>
  <c r="S24" i="1"/>
  <c r="T24" i="1"/>
  <c r="U24" i="1"/>
  <c r="W24" i="1"/>
  <c r="X24" i="1"/>
  <c r="Y24" i="1"/>
  <c r="Z24" i="1"/>
  <c r="AA24" i="1"/>
  <c r="AB24" i="1"/>
  <c r="AP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F24" i="1"/>
  <c r="CG24" i="1"/>
  <c r="CH24" i="1"/>
  <c r="CI24" i="1"/>
  <c r="CJ24" i="1"/>
  <c r="CK24" i="1"/>
  <c r="CL24" i="1"/>
  <c r="CM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G24" i="1"/>
  <c r="DJ24" i="1"/>
  <c r="DM24" i="1"/>
  <c r="DN24" i="1"/>
  <c r="DO24" i="1"/>
  <c r="DP24" i="1"/>
  <c r="DR24" i="1"/>
  <c r="DU24" i="1"/>
  <c r="DX24" i="1"/>
  <c r="DZ24" i="1"/>
  <c r="EA24" i="1"/>
  <c r="EC24" i="1"/>
  <c r="ED24" i="1"/>
  <c r="EE24" i="1"/>
  <c r="EF24" i="1"/>
  <c r="EG24" i="1"/>
  <c r="EI24" i="1"/>
  <c r="EJ24" i="1"/>
  <c r="EK24" i="1"/>
  <c r="EL24" i="1"/>
  <c r="ET24" i="1"/>
  <c r="EU24" i="1"/>
  <c r="EV24" i="1"/>
  <c r="EW24" i="1"/>
  <c r="EX24" i="1"/>
  <c r="EZ24" i="1"/>
  <c r="FA24" i="1"/>
  <c r="FB24" i="1"/>
  <c r="FC24" i="1"/>
  <c r="FD24" i="1"/>
  <c r="FE24" i="1"/>
  <c r="FF24" i="1"/>
  <c r="FG24" i="1"/>
  <c r="FH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A25" i="1"/>
  <c r="H25" i="1"/>
  <c r="I25" i="1"/>
  <c r="L25" i="1"/>
  <c r="O25" i="1"/>
  <c r="R25" i="1"/>
  <c r="S25" i="1"/>
  <c r="T25" i="1"/>
  <c r="U25" i="1"/>
  <c r="W25" i="1"/>
  <c r="X25" i="1"/>
  <c r="Y25" i="1"/>
  <c r="Z25" i="1"/>
  <c r="AA25" i="1"/>
  <c r="AB25" i="1"/>
  <c r="AP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F25" i="1"/>
  <c r="CG25" i="1"/>
  <c r="CH25" i="1"/>
  <c r="CI25" i="1"/>
  <c r="CJ25" i="1"/>
  <c r="CK25" i="1"/>
  <c r="CL25" i="1"/>
  <c r="CM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G25" i="1"/>
  <c r="DJ25" i="1"/>
  <c r="DM25" i="1"/>
  <c r="DN25" i="1"/>
  <c r="DO25" i="1"/>
  <c r="DP25" i="1"/>
  <c r="DR25" i="1"/>
  <c r="DU25" i="1"/>
  <c r="DX25" i="1"/>
  <c r="DZ25" i="1"/>
  <c r="EA25" i="1"/>
  <c r="EC25" i="1"/>
  <c r="ED25" i="1"/>
  <c r="EE25" i="1"/>
  <c r="EF25" i="1"/>
  <c r="EG25" i="1"/>
  <c r="EI25" i="1"/>
  <c r="EJ25" i="1"/>
  <c r="EK25" i="1"/>
  <c r="EL25" i="1"/>
  <c r="ET25" i="1"/>
  <c r="EU25" i="1"/>
  <c r="EV25" i="1"/>
  <c r="EW25" i="1"/>
  <c r="EX25" i="1"/>
  <c r="EZ25" i="1"/>
  <c r="FA25" i="1"/>
  <c r="FB25" i="1"/>
  <c r="FC25" i="1"/>
  <c r="FD25" i="1"/>
  <c r="FE25" i="1"/>
  <c r="FF25" i="1"/>
  <c r="FG25" i="1"/>
  <c r="FH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A26" i="1"/>
  <c r="B26" i="1"/>
  <c r="D26" i="1"/>
  <c r="E26" i="1"/>
  <c r="H26" i="1"/>
  <c r="I26" i="1"/>
  <c r="L26" i="1"/>
  <c r="O26" i="1"/>
  <c r="R26" i="1"/>
  <c r="S26" i="1"/>
  <c r="T26" i="1"/>
  <c r="U26" i="1"/>
  <c r="W26" i="1"/>
  <c r="X26" i="1"/>
  <c r="Y26" i="1"/>
  <c r="Z26" i="1"/>
  <c r="AA26" i="1"/>
  <c r="AB26" i="1"/>
  <c r="AP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F26" i="1"/>
  <c r="CG26" i="1"/>
  <c r="CH26" i="1"/>
  <c r="CI26" i="1"/>
  <c r="CJ26" i="1"/>
  <c r="CK26" i="1"/>
  <c r="CL26" i="1"/>
  <c r="CM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G26" i="1"/>
  <c r="DJ26" i="1"/>
  <c r="DM26" i="1"/>
  <c r="DN26" i="1"/>
  <c r="DO26" i="1"/>
  <c r="DP26" i="1"/>
  <c r="DR26" i="1"/>
  <c r="DU26" i="1"/>
  <c r="DX26" i="1"/>
  <c r="DZ26" i="1"/>
  <c r="EA26" i="1"/>
  <c r="EC26" i="1"/>
  <c r="ED26" i="1"/>
  <c r="EE26" i="1"/>
  <c r="EF26" i="1"/>
  <c r="EG26" i="1"/>
  <c r="EI26" i="1"/>
  <c r="EJ26" i="1"/>
  <c r="EK26" i="1"/>
  <c r="EL26" i="1"/>
  <c r="ET26" i="1"/>
  <c r="EU26" i="1"/>
  <c r="EV26" i="1"/>
  <c r="EW26" i="1"/>
  <c r="EX26" i="1"/>
  <c r="EZ26" i="1"/>
  <c r="FA26" i="1"/>
  <c r="FB26" i="1"/>
  <c r="FC26" i="1"/>
  <c r="FD26" i="1"/>
  <c r="FE26" i="1"/>
  <c r="FF26" i="1"/>
  <c r="FG26" i="1"/>
  <c r="FH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G27" i="1"/>
  <c r="H27" i="1"/>
  <c r="I27" i="1"/>
  <c r="L27" i="1"/>
  <c r="O27" i="1"/>
  <c r="R27" i="1"/>
  <c r="S27" i="1"/>
  <c r="T27" i="1"/>
  <c r="U27" i="1"/>
  <c r="W27" i="1"/>
  <c r="X27" i="1"/>
  <c r="Y27" i="1"/>
  <c r="Z27" i="1"/>
  <c r="AA27" i="1"/>
  <c r="AB27" i="1"/>
  <c r="AP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F27" i="1"/>
  <c r="CG27" i="1"/>
  <c r="CH27" i="1"/>
  <c r="CI27" i="1"/>
  <c r="CJ27" i="1"/>
  <c r="CK27" i="1"/>
  <c r="CL27" i="1"/>
  <c r="CM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G27" i="1"/>
  <c r="DJ27" i="1"/>
  <c r="DM27" i="1"/>
  <c r="DN27" i="1"/>
  <c r="DO27" i="1"/>
  <c r="DP27" i="1"/>
  <c r="DR27" i="1"/>
  <c r="DU27" i="1"/>
  <c r="DX27" i="1"/>
  <c r="DZ27" i="1"/>
  <c r="EA27" i="1"/>
  <c r="EC27" i="1"/>
  <c r="ED27" i="1"/>
  <c r="EE27" i="1"/>
  <c r="EF27" i="1"/>
  <c r="EG27" i="1"/>
  <c r="EI27" i="1"/>
  <c r="EJ27" i="1"/>
  <c r="EK27" i="1"/>
  <c r="EL27" i="1"/>
  <c r="ET27" i="1"/>
  <c r="EU27" i="1"/>
  <c r="EV27" i="1"/>
  <c r="EW27" i="1"/>
  <c r="EX27" i="1"/>
  <c r="EZ27" i="1"/>
  <c r="FA27" i="1"/>
  <c r="FB27" i="1"/>
  <c r="FC27" i="1"/>
  <c r="FD27" i="1"/>
  <c r="FE27" i="1"/>
  <c r="FF27" i="1"/>
  <c r="FG27" i="1"/>
  <c r="FH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G28" i="1"/>
  <c r="H28" i="1"/>
  <c r="I28" i="1"/>
  <c r="L28" i="1"/>
  <c r="O28" i="1"/>
  <c r="R28" i="1"/>
  <c r="S28" i="1"/>
  <c r="T28" i="1"/>
  <c r="U28" i="1"/>
  <c r="W28" i="1"/>
  <c r="X28" i="1"/>
  <c r="Y28" i="1"/>
  <c r="Z28" i="1"/>
  <c r="AA28" i="1"/>
  <c r="AB28" i="1"/>
  <c r="AP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F28" i="1"/>
  <c r="CG28" i="1"/>
  <c r="CH28" i="1"/>
  <c r="CI28" i="1"/>
  <c r="CJ28" i="1"/>
  <c r="CK28" i="1"/>
  <c r="CL28" i="1"/>
  <c r="CM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G28" i="1"/>
  <c r="DJ28" i="1"/>
  <c r="DM28" i="1"/>
  <c r="DN28" i="1"/>
  <c r="DO28" i="1"/>
  <c r="DP28" i="1"/>
  <c r="DR28" i="1"/>
  <c r="DU28" i="1"/>
  <c r="DX28" i="1"/>
  <c r="DZ28" i="1"/>
  <c r="EA28" i="1"/>
  <c r="EC28" i="1"/>
  <c r="ED28" i="1"/>
  <c r="EE28" i="1"/>
  <c r="EF28" i="1"/>
  <c r="EG28" i="1"/>
  <c r="EI28" i="1"/>
  <c r="EJ28" i="1"/>
  <c r="EK28" i="1"/>
  <c r="EL28" i="1"/>
  <c r="ET28" i="1"/>
  <c r="EU28" i="1"/>
  <c r="EV28" i="1"/>
  <c r="EW28" i="1"/>
  <c r="EX28" i="1"/>
  <c r="EZ28" i="1"/>
  <c r="FA28" i="1"/>
  <c r="FB28" i="1"/>
  <c r="FC28" i="1"/>
  <c r="FD28" i="1"/>
  <c r="FE28" i="1"/>
  <c r="FF28" i="1"/>
  <c r="FG28" i="1"/>
  <c r="FH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B29" i="1"/>
  <c r="D29" i="1"/>
  <c r="E29" i="1"/>
  <c r="G29" i="1"/>
  <c r="H29" i="1"/>
  <c r="I29" i="1"/>
  <c r="L29" i="1"/>
  <c r="O29" i="1"/>
  <c r="R29" i="1"/>
  <c r="S29" i="1"/>
  <c r="T29" i="1"/>
  <c r="U29" i="1"/>
  <c r="W29" i="1"/>
  <c r="X29" i="1"/>
  <c r="Y29" i="1"/>
  <c r="Z29" i="1"/>
  <c r="AA29" i="1"/>
  <c r="AB29" i="1"/>
  <c r="AP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F29" i="1"/>
  <c r="CG29" i="1"/>
  <c r="CH29" i="1"/>
  <c r="CI29" i="1"/>
  <c r="CJ29" i="1"/>
  <c r="CK29" i="1"/>
  <c r="CL29" i="1"/>
  <c r="CM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G29" i="1"/>
  <c r="DJ29" i="1"/>
  <c r="DM29" i="1"/>
  <c r="DN29" i="1"/>
  <c r="DO29" i="1"/>
  <c r="DP29" i="1"/>
  <c r="DR29" i="1"/>
  <c r="DU29" i="1"/>
  <c r="DX29" i="1"/>
  <c r="DZ29" i="1"/>
  <c r="EA29" i="1"/>
  <c r="EC29" i="1"/>
  <c r="ED29" i="1"/>
  <c r="EE29" i="1"/>
  <c r="EF29" i="1"/>
  <c r="EG29" i="1"/>
  <c r="EI29" i="1"/>
  <c r="EJ29" i="1"/>
  <c r="EK29" i="1"/>
  <c r="EL29" i="1"/>
  <c r="ET29" i="1"/>
  <c r="EU29" i="1"/>
  <c r="EV29" i="1"/>
  <c r="EW29" i="1"/>
  <c r="EX29" i="1"/>
  <c r="EZ29" i="1"/>
  <c r="FA29" i="1"/>
  <c r="FB29" i="1"/>
  <c r="FC29" i="1"/>
  <c r="FD29" i="1"/>
  <c r="FE29" i="1"/>
  <c r="FF29" i="1"/>
  <c r="FG29" i="1"/>
  <c r="FH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H30" i="1"/>
  <c r="I30" i="1"/>
  <c r="L30" i="1"/>
  <c r="O30" i="1"/>
  <c r="R30" i="1"/>
  <c r="S30" i="1"/>
  <c r="T30" i="1"/>
  <c r="U30" i="1"/>
  <c r="W30" i="1"/>
  <c r="X30" i="1"/>
  <c r="Y30" i="1"/>
  <c r="Z30" i="1"/>
  <c r="AA30" i="1"/>
  <c r="AB30" i="1"/>
  <c r="AP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F30" i="1"/>
  <c r="CG30" i="1"/>
  <c r="CH30" i="1"/>
  <c r="CI30" i="1"/>
  <c r="CJ30" i="1"/>
  <c r="CK30" i="1"/>
  <c r="CL30" i="1"/>
  <c r="CM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G30" i="1"/>
  <c r="DJ30" i="1"/>
  <c r="DM30" i="1"/>
  <c r="DN30" i="1"/>
  <c r="DO30" i="1"/>
  <c r="DP30" i="1"/>
  <c r="DR30" i="1"/>
  <c r="DU30" i="1"/>
  <c r="DX30" i="1"/>
  <c r="DZ30" i="1"/>
  <c r="EA30" i="1"/>
  <c r="EC30" i="1"/>
  <c r="ED30" i="1"/>
  <c r="EE30" i="1"/>
  <c r="EF30" i="1"/>
  <c r="EG30" i="1"/>
  <c r="EI30" i="1"/>
  <c r="EJ30" i="1"/>
  <c r="EK30" i="1"/>
  <c r="EL30" i="1"/>
  <c r="ET30" i="1"/>
  <c r="EU30" i="1"/>
  <c r="EV30" i="1"/>
  <c r="EW30" i="1"/>
  <c r="EX30" i="1"/>
  <c r="EZ30" i="1"/>
  <c r="FA30" i="1"/>
  <c r="FB30" i="1"/>
  <c r="FC30" i="1"/>
  <c r="FD30" i="1"/>
  <c r="FE30" i="1"/>
  <c r="FF30" i="1"/>
  <c r="FG30" i="1"/>
  <c r="FH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G31" i="1"/>
  <c r="H31" i="1"/>
  <c r="I31" i="1"/>
  <c r="L31" i="1"/>
  <c r="O31" i="1"/>
  <c r="R31" i="1"/>
  <c r="S31" i="1"/>
  <c r="T31" i="1"/>
  <c r="U31" i="1"/>
  <c r="W31" i="1"/>
  <c r="X31" i="1"/>
  <c r="Y31" i="1"/>
  <c r="Z31" i="1"/>
  <c r="AA31" i="1"/>
  <c r="AB31" i="1"/>
  <c r="AP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F31" i="1"/>
  <c r="CG31" i="1"/>
  <c r="CH31" i="1"/>
  <c r="CI31" i="1"/>
  <c r="CJ31" i="1"/>
  <c r="CK31" i="1"/>
  <c r="CL31" i="1"/>
  <c r="CM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G31" i="1"/>
  <c r="DJ31" i="1"/>
  <c r="DM31" i="1"/>
  <c r="DN31" i="1"/>
  <c r="DO31" i="1"/>
  <c r="DP31" i="1"/>
  <c r="DR31" i="1"/>
  <c r="DU31" i="1"/>
  <c r="DX31" i="1"/>
  <c r="DZ31" i="1"/>
  <c r="EA31" i="1"/>
  <c r="EC31" i="1"/>
  <c r="ED31" i="1"/>
  <c r="EE31" i="1"/>
  <c r="EF31" i="1"/>
  <c r="EG31" i="1"/>
  <c r="EI31" i="1"/>
  <c r="EJ31" i="1"/>
  <c r="EK31" i="1"/>
  <c r="EL31" i="1"/>
  <c r="ET31" i="1"/>
  <c r="EU31" i="1"/>
  <c r="EV31" i="1"/>
  <c r="EW31" i="1"/>
  <c r="EX31" i="1"/>
  <c r="EZ31" i="1"/>
  <c r="FA31" i="1"/>
  <c r="FB31" i="1"/>
  <c r="FC31" i="1"/>
  <c r="FD31" i="1"/>
  <c r="FE31" i="1"/>
  <c r="FF31" i="1"/>
  <c r="FG31" i="1"/>
  <c r="FH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A32" i="1"/>
  <c r="D32" i="1"/>
  <c r="E32" i="1"/>
  <c r="G32" i="1"/>
  <c r="H32" i="1"/>
  <c r="I32" i="1"/>
  <c r="L32" i="1"/>
  <c r="O32" i="1"/>
  <c r="R32" i="1"/>
  <c r="S32" i="1"/>
  <c r="T32" i="1"/>
  <c r="U32" i="1"/>
  <c r="W32" i="1"/>
  <c r="X32" i="1"/>
  <c r="Y32" i="1"/>
  <c r="Z32" i="1"/>
  <c r="AA32" i="1"/>
  <c r="AB32" i="1"/>
  <c r="AP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F32" i="1"/>
  <c r="CG32" i="1"/>
  <c r="CH32" i="1"/>
  <c r="CI32" i="1"/>
  <c r="CJ32" i="1"/>
  <c r="CK32" i="1"/>
  <c r="CL32" i="1"/>
  <c r="CM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G32" i="1"/>
  <c r="DJ32" i="1"/>
  <c r="DM32" i="1"/>
  <c r="DN32" i="1"/>
  <c r="DO32" i="1"/>
  <c r="DP32" i="1"/>
  <c r="DR32" i="1"/>
  <c r="DU32" i="1"/>
  <c r="DX32" i="1"/>
  <c r="DZ32" i="1"/>
  <c r="EA32" i="1"/>
  <c r="EC32" i="1"/>
  <c r="ED32" i="1"/>
  <c r="EE32" i="1"/>
  <c r="EF32" i="1"/>
  <c r="EG32" i="1"/>
  <c r="EI32" i="1"/>
  <c r="EJ32" i="1"/>
  <c r="EK32" i="1"/>
  <c r="EL32" i="1"/>
  <c r="ET32" i="1"/>
  <c r="EU32" i="1"/>
  <c r="EV32" i="1"/>
  <c r="EW32" i="1"/>
  <c r="EX32" i="1"/>
  <c r="EZ32" i="1"/>
  <c r="FA32" i="1"/>
  <c r="FB32" i="1"/>
  <c r="FC32" i="1"/>
  <c r="FD32" i="1"/>
  <c r="FE32" i="1"/>
  <c r="FF32" i="1"/>
  <c r="FG32" i="1"/>
  <c r="FH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A33" i="1"/>
  <c r="C33" i="1"/>
  <c r="D33" i="1"/>
  <c r="E33" i="1"/>
  <c r="H33" i="1"/>
  <c r="I33" i="1"/>
  <c r="L33" i="1"/>
  <c r="O33" i="1"/>
  <c r="R33" i="1"/>
  <c r="S33" i="1"/>
  <c r="T33" i="1"/>
  <c r="U33" i="1"/>
  <c r="W33" i="1"/>
  <c r="X33" i="1"/>
  <c r="Y33" i="1"/>
  <c r="Z33" i="1"/>
  <c r="AA33" i="1"/>
  <c r="AB33" i="1"/>
  <c r="AP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F33" i="1"/>
  <c r="CG33" i="1"/>
  <c r="CH33" i="1"/>
  <c r="CI33" i="1"/>
  <c r="CJ33" i="1"/>
  <c r="CK33" i="1"/>
  <c r="CL33" i="1"/>
  <c r="CM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G33" i="1"/>
  <c r="DJ33" i="1"/>
  <c r="DM33" i="1"/>
  <c r="DN33" i="1"/>
  <c r="DO33" i="1"/>
  <c r="DP33" i="1"/>
  <c r="DR33" i="1"/>
  <c r="DU33" i="1"/>
  <c r="DX33" i="1"/>
  <c r="DZ33" i="1"/>
  <c r="EA33" i="1"/>
  <c r="EC33" i="1"/>
  <c r="ED33" i="1"/>
  <c r="EE33" i="1"/>
  <c r="EF33" i="1"/>
  <c r="EG33" i="1"/>
  <c r="EI33" i="1"/>
  <c r="EJ33" i="1"/>
  <c r="EK33" i="1"/>
  <c r="EL33" i="1"/>
  <c r="ET33" i="1"/>
  <c r="EU33" i="1"/>
  <c r="EV33" i="1"/>
  <c r="EW33" i="1"/>
  <c r="EX33" i="1"/>
  <c r="EZ33" i="1"/>
  <c r="FA33" i="1"/>
  <c r="FB33" i="1"/>
  <c r="FC33" i="1"/>
  <c r="FD33" i="1"/>
  <c r="FE33" i="1"/>
  <c r="FF33" i="1"/>
  <c r="FG33" i="1"/>
  <c r="FH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A34" i="1"/>
  <c r="H34" i="1"/>
  <c r="I34" i="1"/>
  <c r="L34" i="1"/>
  <c r="O34" i="1"/>
  <c r="R34" i="1"/>
  <c r="S34" i="1"/>
  <c r="T34" i="1"/>
  <c r="U34" i="1"/>
  <c r="W34" i="1"/>
  <c r="X34" i="1"/>
  <c r="Y34" i="1"/>
  <c r="Z34" i="1"/>
  <c r="AA34" i="1"/>
  <c r="AB34" i="1"/>
  <c r="AP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F34" i="1"/>
  <c r="CG34" i="1"/>
  <c r="CH34" i="1"/>
  <c r="CI34" i="1"/>
  <c r="CJ34" i="1"/>
  <c r="CK34" i="1"/>
  <c r="CL34" i="1"/>
  <c r="CM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G34" i="1"/>
  <c r="DJ34" i="1"/>
  <c r="DM34" i="1"/>
  <c r="DN34" i="1"/>
  <c r="DO34" i="1"/>
  <c r="DP34" i="1"/>
  <c r="DR34" i="1"/>
  <c r="DU34" i="1"/>
  <c r="DX34" i="1"/>
  <c r="DZ34" i="1"/>
  <c r="EA34" i="1"/>
  <c r="EC34" i="1"/>
  <c r="ED34" i="1"/>
  <c r="EE34" i="1"/>
  <c r="EF34" i="1"/>
  <c r="EG34" i="1"/>
  <c r="EI34" i="1"/>
  <c r="EJ34" i="1"/>
  <c r="EK34" i="1"/>
  <c r="EL34" i="1"/>
  <c r="ET34" i="1"/>
  <c r="EU34" i="1"/>
  <c r="EV34" i="1"/>
  <c r="EW34" i="1"/>
  <c r="EX34" i="1"/>
  <c r="EZ34" i="1"/>
  <c r="FA34" i="1"/>
  <c r="FB34" i="1"/>
  <c r="FC34" i="1"/>
  <c r="FD34" i="1"/>
  <c r="FE34" i="1"/>
  <c r="FF34" i="1"/>
  <c r="FG34" i="1"/>
  <c r="FH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A35" i="1"/>
  <c r="H35" i="1"/>
  <c r="I35" i="1"/>
  <c r="L35" i="1"/>
  <c r="O35" i="1"/>
  <c r="R35" i="1"/>
  <c r="S35" i="1"/>
  <c r="T35" i="1"/>
  <c r="U35" i="1"/>
  <c r="W35" i="1"/>
  <c r="X35" i="1"/>
  <c r="Y35" i="1"/>
  <c r="Z35" i="1"/>
  <c r="AA35" i="1"/>
  <c r="AB35" i="1"/>
  <c r="AP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F35" i="1"/>
  <c r="CG35" i="1"/>
  <c r="CH35" i="1"/>
  <c r="CI35" i="1"/>
  <c r="CJ35" i="1"/>
  <c r="CK35" i="1"/>
  <c r="CL35" i="1"/>
  <c r="CM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G35" i="1"/>
  <c r="DJ35" i="1"/>
  <c r="DM35" i="1"/>
  <c r="DN35" i="1"/>
  <c r="DO35" i="1"/>
  <c r="DP35" i="1"/>
  <c r="DR35" i="1"/>
  <c r="DU35" i="1"/>
  <c r="DX35" i="1"/>
  <c r="DZ35" i="1"/>
  <c r="EA35" i="1"/>
  <c r="EC35" i="1"/>
  <c r="ED35" i="1"/>
  <c r="EE35" i="1"/>
  <c r="EF35" i="1"/>
  <c r="EG35" i="1"/>
  <c r="EI35" i="1"/>
  <c r="EJ35" i="1"/>
  <c r="EK35" i="1"/>
  <c r="EL35" i="1"/>
  <c r="ET35" i="1"/>
  <c r="EU35" i="1"/>
  <c r="EV35" i="1"/>
  <c r="EW35" i="1"/>
  <c r="EX35" i="1"/>
  <c r="EZ35" i="1"/>
  <c r="FA35" i="1"/>
  <c r="FB35" i="1"/>
  <c r="FC35" i="1"/>
  <c r="FD35" i="1"/>
  <c r="FE35" i="1"/>
  <c r="FF35" i="1"/>
  <c r="FG35" i="1"/>
  <c r="FH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H36" i="1"/>
  <c r="I36" i="1"/>
  <c r="L36" i="1"/>
  <c r="O36" i="1"/>
  <c r="R36" i="1"/>
  <c r="S36" i="1"/>
  <c r="T36" i="1"/>
  <c r="U36" i="1"/>
  <c r="W36" i="1"/>
  <c r="X36" i="1"/>
  <c r="Y36" i="1"/>
  <c r="Z36" i="1"/>
  <c r="AA36" i="1"/>
  <c r="AB36" i="1"/>
  <c r="AP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F36" i="1"/>
  <c r="CG36" i="1"/>
  <c r="CH36" i="1"/>
  <c r="CI36" i="1"/>
  <c r="CJ36" i="1"/>
  <c r="CK36" i="1"/>
  <c r="CL36" i="1"/>
  <c r="CM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G36" i="1"/>
  <c r="DJ36" i="1"/>
  <c r="DM36" i="1"/>
  <c r="DN36" i="1"/>
  <c r="DO36" i="1"/>
  <c r="DP36" i="1"/>
  <c r="DR36" i="1"/>
  <c r="DU36" i="1"/>
  <c r="DX36" i="1"/>
  <c r="DZ36" i="1"/>
  <c r="EA36" i="1"/>
  <c r="EC36" i="1"/>
  <c r="ED36" i="1"/>
  <c r="EE36" i="1"/>
  <c r="EF36" i="1"/>
  <c r="EG36" i="1"/>
  <c r="EI36" i="1"/>
  <c r="EJ36" i="1"/>
  <c r="EK36" i="1"/>
  <c r="EL36" i="1"/>
  <c r="ET36" i="1"/>
  <c r="EU36" i="1"/>
  <c r="EV36" i="1"/>
  <c r="EW36" i="1"/>
  <c r="EX36" i="1"/>
  <c r="EZ36" i="1"/>
  <c r="FA36" i="1"/>
  <c r="FB36" i="1"/>
  <c r="FC36" i="1"/>
  <c r="FD36" i="1"/>
  <c r="FE36" i="1"/>
  <c r="FF36" i="1"/>
  <c r="FG36" i="1"/>
  <c r="FH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F37" i="1"/>
  <c r="H37" i="1"/>
  <c r="I37" i="1"/>
  <c r="L37" i="1"/>
  <c r="O37" i="1"/>
  <c r="R37" i="1"/>
  <c r="S37" i="1"/>
  <c r="T37" i="1"/>
  <c r="U37" i="1"/>
  <c r="W37" i="1"/>
  <c r="X37" i="1"/>
  <c r="Y37" i="1"/>
  <c r="Z37" i="1"/>
  <c r="AA37" i="1"/>
  <c r="AB37" i="1"/>
  <c r="AP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F37" i="1"/>
  <c r="CG37" i="1"/>
  <c r="CH37" i="1"/>
  <c r="CI37" i="1"/>
  <c r="CJ37" i="1"/>
  <c r="CK37" i="1"/>
  <c r="CL37" i="1"/>
  <c r="CM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G37" i="1"/>
  <c r="DJ37" i="1"/>
  <c r="DM37" i="1"/>
  <c r="DN37" i="1"/>
  <c r="DO37" i="1"/>
  <c r="DP37" i="1"/>
  <c r="DR37" i="1"/>
  <c r="DU37" i="1"/>
  <c r="DX37" i="1"/>
  <c r="DZ37" i="1"/>
  <c r="EA37" i="1"/>
  <c r="EC37" i="1"/>
  <c r="ED37" i="1"/>
  <c r="EE37" i="1"/>
  <c r="EF37" i="1"/>
  <c r="EG37" i="1"/>
  <c r="EI37" i="1"/>
  <c r="EJ37" i="1"/>
  <c r="EK37" i="1"/>
  <c r="EL37" i="1"/>
  <c r="ET37" i="1"/>
  <c r="EU37" i="1"/>
  <c r="EV37" i="1"/>
  <c r="EW37" i="1"/>
  <c r="EX37" i="1"/>
  <c r="EZ37" i="1"/>
  <c r="FA37" i="1"/>
  <c r="FB37" i="1"/>
  <c r="FC37" i="1"/>
  <c r="FD37" i="1"/>
  <c r="FE37" i="1"/>
  <c r="FF37" i="1"/>
  <c r="FG37" i="1"/>
  <c r="FH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B38" i="1"/>
  <c r="C38" i="1"/>
  <c r="D38" i="1"/>
  <c r="E38" i="1"/>
  <c r="F38" i="1"/>
  <c r="H38" i="1"/>
  <c r="I38" i="1"/>
  <c r="L38" i="1"/>
  <c r="O38" i="1"/>
  <c r="R38" i="1"/>
  <c r="S38" i="1"/>
  <c r="T38" i="1"/>
  <c r="U38" i="1"/>
  <c r="W38" i="1"/>
  <c r="X38" i="1"/>
  <c r="Y38" i="1"/>
  <c r="Z38" i="1"/>
  <c r="AA38" i="1"/>
  <c r="AB38" i="1"/>
  <c r="AP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F38" i="1"/>
  <c r="CG38" i="1"/>
  <c r="CH38" i="1"/>
  <c r="CI38" i="1"/>
  <c r="CJ38" i="1"/>
  <c r="CK38" i="1"/>
  <c r="CL38" i="1"/>
  <c r="CM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G38" i="1"/>
  <c r="DJ38" i="1"/>
  <c r="DM38" i="1"/>
  <c r="DN38" i="1"/>
  <c r="DO38" i="1"/>
  <c r="DP38" i="1"/>
  <c r="DR38" i="1"/>
  <c r="DU38" i="1"/>
  <c r="DX38" i="1"/>
  <c r="DZ38" i="1"/>
  <c r="EA38" i="1"/>
  <c r="EC38" i="1"/>
  <c r="ED38" i="1"/>
  <c r="EE38" i="1"/>
  <c r="EF38" i="1"/>
  <c r="EG38" i="1"/>
  <c r="EI38" i="1"/>
  <c r="EJ38" i="1"/>
  <c r="EK38" i="1"/>
  <c r="EL38" i="1"/>
  <c r="ET38" i="1"/>
  <c r="EU38" i="1"/>
  <c r="EV38" i="1"/>
  <c r="EW38" i="1"/>
  <c r="EX38" i="1"/>
  <c r="EZ38" i="1"/>
  <c r="FA38" i="1"/>
  <c r="FB38" i="1"/>
  <c r="FC38" i="1"/>
  <c r="FD38" i="1"/>
  <c r="FE38" i="1"/>
  <c r="FF38" i="1"/>
  <c r="FG38" i="1"/>
  <c r="FH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B39" i="1"/>
  <c r="C39" i="1"/>
  <c r="D39" i="1"/>
  <c r="E39" i="1"/>
  <c r="F39" i="1"/>
  <c r="G39" i="1"/>
  <c r="H39" i="1"/>
  <c r="I39" i="1"/>
  <c r="L39" i="1"/>
  <c r="O39" i="1"/>
  <c r="R39" i="1"/>
  <c r="S39" i="1"/>
  <c r="T39" i="1"/>
  <c r="U39" i="1"/>
  <c r="W39" i="1"/>
  <c r="X39" i="1"/>
  <c r="Y39" i="1"/>
  <c r="Z39" i="1"/>
  <c r="AA39" i="1"/>
  <c r="AB39" i="1"/>
  <c r="AP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F39" i="1"/>
  <c r="CG39" i="1"/>
  <c r="CH39" i="1"/>
  <c r="CI39" i="1"/>
  <c r="CJ39" i="1"/>
  <c r="CK39" i="1"/>
  <c r="CL39" i="1"/>
  <c r="CM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G39" i="1"/>
  <c r="DJ39" i="1"/>
  <c r="DM39" i="1"/>
  <c r="DN39" i="1"/>
  <c r="DO39" i="1"/>
  <c r="DP39" i="1"/>
  <c r="DR39" i="1"/>
  <c r="DU39" i="1"/>
  <c r="DX39" i="1"/>
  <c r="DZ39" i="1"/>
  <c r="EA39" i="1"/>
  <c r="EC39" i="1"/>
  <c r="ED39" i="1"/>
  <c r="EE39" i="1"/>
  <c r="EF39" i="1"/>
  <c r="EG39" i="1"/>
  <c r="EI39" i="1"/>
  <c r="EJ39" i="1"/>
  <c r="EK39" i="1"/>
  <c r="EL39" i="1"/>
  <c r="ET39" i="1"/>
  <c r="EU39" i="1"/>
  <c r="EV39" i="1"/>
  <c r="EW39" i="1"/>
  <c r="EX39" i="1"/>
  <c r="EZ39" i="1"/>
  <c r="FA39" i="1"/>
  <c r="FB39" i="1"/>
  <c r="FC39" i="1"/>
  <c r="FD39" i="1"/>
  <c r="FE39" i="1"/>
  <c r="FF39" i="1"/>
  <c r="FG39" i="1"/>
  <c r="FH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B40" i="1"/>
  <c r="C40" i="1"/>
  <c r="D40" i="1"/>
  <c r="E40" i="1"/>
  <c r="F40" i="1"/>
  <c r="H40" i="1"/>
  <c r="I40" i="1"/>
  <c r="L40" i="1"/>
  <c r="O40" i="1"/>
  <c r="R40" i="1"/>
  <c r="S40" i="1"/>
  <c r="T40" i="1"/>
  <c r="U40" i="1"/>
  <c r="W40" i="1"/>
  <c r="X40" i="1"/>
  <c r="Y40" i="1"/>
  <c r="Z40" i="1"/>
  <c r="AA40" i="1"/>
  <c r="AB40" i="1"/>
  <c r="AP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F40" i="1"/>
  <c r="CG40" i="1"/>
  <c r="CH40" i="1"/>
  <c r="CI40" i="1"/>
  <c r="CJ40" i="1"/>
  <c r="CK40" i="1"/>
  <c r="CL40" i="1"/>
  <c r="CM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G40" i="1"/>
  <c r="DJ40" i="1"/>
  <c r="DM40" i="1"/>
  <c r="DN40" i="1"/>
  <c r="DO40" i="1"/>
  <c r="DP40" i="1"/>
  <c r="DR40" i="1"/>
  <c r="DU40" i="1"/>
  <c r="DX40" i="1"/>
  <c r="DZ40" i="1"/>
  <c r="EA40" i="1"/>
  <c r="EC40" i="1"/>
  <c r="ED40" i="1"/>
  <c r="EE40" i="1"/>
  <c r="EF40" i="1"/>
  <c r="EG40" i="1"/>
  <c r="EI40" i="1"/>
  <c r="EJ40" i="1"/>
  <c r="EK40" i="1"/>
  <c r="EL40" i="1"/>
  <c r="ET40" i="1"/>
  <c r="EU40" i="1"/>
  <c r="EV40" i="1"/>
  <c r="EW40" i="1"/>
  <c r="EX40" i="1"/>
  <c r="EZ40" i="1"/>
  <c r="FA40" i="1"/>
  <c r="FB40" i="1"/>
  <c r="FC40" i="1"/>
  <c r="FD40" i="1"/>
  <c r="FE40" i="1"/>
  <c r="FF40" i="1"/>
  <c r="FG40" i="1"/>
  <c r="FH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B41" i="1"/>
  <c r="C41" i="1"/>
  <c r="D41" i="1"/>
  <c r="E41" i="1"/>
  <c r="F41" i="1"/>
  <c r="G41" i="1"/>
  <c r="H41" i="1"/>
  <c r="I41" i="1"/>
  <c r="L41" i="1"/>
  <c r="O41" i="1"/>
  <c r="R41" i="1"/>
  <c r="S41" i="1"/>
  <c r="T41" i="1"/>
  <c r="U41" i="1"/>
  <c r="W41" i="1"/>
  <c r="X41" i="1"/>
  <c r="Y41" i="1"/>
  <c r="Z41" i="1"/>
  <c r="AA41" i="1"/>
  <c r="AB41" i="1"/>
  <c r="AP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F41" i="1"/>
  <c r="CG41" i="1"/>
  <c r="CH41" i="1"/>
  <c r="CI41" i="1"/>
  <c r="CJ41" i="1"/>
  <c r="CK41" i="1"/>
  <c r="CL41" i="1"/>
  <c r="CM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G41" i="1"/>
  <c r="DJ41" i="1"/>
  <c r="DM41" i="1"/>
  <c r="DN41" i="1"/>
  <c r="DO41" i="1"/>
  <c r="DP41" i="1"/>
  <c r="DR41" i="1"/>
  <c r="DU41" i="1"/>
  <c r="DX41" i="1"/>
  <c r="DZ41" i="1"/>
  <c r="EA41" i="1"/>
  <c r="EC41" i="1"/>
  <c r="ED41" i="1"/>
  <c r="EE41" i="1"/>
  <c r="EF41" i="1"/>
  <c r="EG41" i="1"/>
  <c r="EI41" i="1"/>
  <c r="EJ41" i="1"/>
  <c r="EK41" i="1"/>
  <c r="EL41" i="1"/>
  <c r="ET41" i="1"/>
  <c r="EU41" i="1"/>
  <c r="EV41" i="1"/>
  <c r="EW41" i="1"/>
  <c r="EX41" i="1"/>
  <c r="EZ41" i="1"/>
  <c r="FA41" i="1"/>
  <c r="FB41" i="1"/>
  <c r="FC41" i="1"/>
  <c r="FD41" i="1"/>
  <c r="FE41" i="1"/>
  <c r="FF41" i="1"/>
  <c r="FG41" i="1"/>
  <c r="FH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H42" i="1"/>
  <c r="I42" i="1"/>
  <c r="L42" i="1"/>
  <c r="O42" i="1"/>
  <c r="R42" i="1"/>
  <c r="S42" i="1"/>
  <c r="T42" i="1"/>
  <c r="U42" i="1"/>
  <c r="W42" i="1"/>
  <c r="X42" i="1"/>
  <c r="Y42" i="1"/>
  <c r="Z42" i="1"/>
  <c r="AA42" i="1"/>
  <c r="AB42" i="1"/>
  <c r="AP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F42" i="1"/>
  <c r="CG42" i="1"/>
  <c r="CH42" i="1"/>
  <c r="CI42" i="1"/>
  <c r="CJ42" i="1"/>
  <c r="CK42" i="1"/>
  <c r="CL42" i="1"/>
  <c r="CM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G42" i="1"/>
  <c r="DJ42" i="1"/>
  <c r="DM42" i="1"/>
  <c r="DN42" i="1"/>
  <c r="DO42" i="1"/>
  <c r="DP42" i="1"/>
  <c r="DR42" i="1"/>
  <c r="DU42" i="1"/>
  <c r="DX42" i="1"/>
  <c r="DZ42" i="1"/>
  <c r="EA42" i="1"/>
  <c r="EC42" i="1"/>
  <c r="ED42" i="1"/>
  <c r="EE42" i="1"/>
  <c r="EF42" i="1"/>
  <c r="EG42" i="1"/>
  <c r="EI42" i="1"/>
  <c r="EJ42" i="1"/>
  <c r="EK42" i="1"/>
  <c r="EL42" i="1"/>
  <c r="ET42" i="1"/>
  <c r="EU42" i="1"/>
  <c r="EV42" i="1"/>
  <c r="EW42" i="1"/>
  <c r="EX42" i="1"/>
  <c r="EZ42" i="1"/>
  <c r="FA42" i="1"/>
  <c r="FB42" i="1"/>
  <c r="FC42" i="1"/>
  <c r="FD42" i="1"/>
  <c r="FE42" i="1"/>
  <c r="FF42" i="1"/>
  <c r="FG42" i="1"/>
  <c r="FH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H43" i="1"/>
  <c r="I43" i="1"/>
  <c r="L43" i="1"/>
  <c r="O43" i="1"/>
  <c r="R43" i="1"/>
  <c r="S43" i="1"/>
  <c r="T43" i="1"/>
  <c r="U43" i="1"/>
  <c r="W43" i="1"/>
  <c r="X43" i="1"/>
  <c r="Y43" i="1"/>
  <c r="Z43" i="1"/>
  <c r="AA43" i="1"/>
  <c r="AB43" i="1"/>
  <c r="AP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F43" i="1"/>
  <c r="CG43" i="1"/>
  <c r="CH43" i="1"/>
  <c r="CI43" i="1"/>
  <c r="CJ43" i="1"/>
  <c r="CK43" i="1"/>
  <c r="CL43" i="1"/>
  <c r="CM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G43" i="1"/>
  <c r="DJ43" i="1"/>
  <c r="DM43" i="1"/>
  <c r="DN43" i="1"/>
  <c r="DO43" i="1"/>
  <c r="DP43" i="1"/>
  <c r="DR43" i="1"/>
  <c r="DU43" i="1"/>
  <c r="DX43" i="1"/>
  <c r="DZ43" i="1"/>
  <c r="EA43" i="1"/>
  <c r="EC43" i="1"/>
  <c r="ED43" i="1"/>
  <c r="EE43" i="1"/>
  <c r="EF43" i="1"/>
  <c r="EG43" i="1"/>
  <c r="EI43" i="1"/>
  <c r="EJ43" i="1"/>
  <c r="EK43" i="1"/>
  <c r="EL43" i="1"/>
  <c r="ET43" i="1"/>
  <c r="EU43" i="1"/>
  <c r="EV43" i="1"/>
  <c r="EW43" i="1"/>
  <c r="EX43" i="1"/>
  <c r="EZ43" i="1"/>
  <c r="FA43" i="1"/>
  <c r="FB43" i="1"/>
  <c r="FC43" i="1"/>
  <c r="FD43" i="1"/>
  <c r="FE43" i="1"/>
  <c r="FF43" i="1"/>
  <c r="FG43" i="1"/>
  <c r="FH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B44" i="1"/>
  <c r="C44" i="1"/>
  <c r="D44" i="1"/>
  <c r="F44" i="1"/>
  <c r="G44" i="1"/>
  <c r="H44" i="1"/>
  <c r="I44" i="1"/>
  <c r="L44" i="1"/>
  <c r="O44" i="1"/>
  <c r="R44" i="1"/>
  <c r="S44" i="1"/>
  <c r="T44" i="1"/>
  <c r="U44" i="1"/>
  <c r="W44" i="1"/>
  <c r="X44" i="1"/>
  <c r="Y44" i="1"/>
  <c r="Z44" i="1"/>
  <c r="AA44" i="1"/>
  <c r="AB44" i="1"/>
  <c r="AP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F44" i="1"/>
  <c r="CG44" i="1"/>
  <c r="CH44" i="1"/>
  <c r="CI44" i="1"/>
  <c r="CJ44" i="1"/>
  <c r="CK44" i="1"/>
  <c r="CL44" i="1"/>
  <c r="CM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G44" i="1"/>
  <c r="DJ44" i="1"/>
  <c r="DM44" i="1"/>
  <c r="DN44" i="1"/>
  <c r="DO44" i="1"/>
  <c r="DP44" i="1"/>
  <c r="DR44" i="1"/>
  <c r="DU44" i="1"/>
  <c r="DX44" i="1"/>
  <c r="DZ44" i="1"/>
  <c r="EA44" i="1"/>
  <c r="EC44" i="1"/>
  <c r="ED44" i="1"/>
  <c r="EE44" i="1"/>
  <c r="EF44" i="1"/>
  <c r="EG44" i="1"/>
  <c r="EI44" i="1"/>
  <c r="EJ44" i="1"/>
  <c r="EK44" i="1"/>
  <c r="EL44" i="1"/>
  <c r="ET44" i="1"/>
  <c r="EU44" i="1"/>
  <c r="EV44" i="1"/>
  <c r="EW44" i="1"/>
  <c r="EX44" i="1"/>
  <c r="EZ44" i="1"/>
  <c r="FA44" i="1"/>
  <c r="FB44" i="1"/>
  <c r="FC44" i="1"/>
  <c r="FD44" i="1"/>
  <c r="FE44" i="1"/>
  <c r="FF44" i="1"/>
  <c r="FG44" i="1"/>
  <c r="FH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H45" i="1"/>
  <c r="I45" i="1"/>
  <c r="L45" i="1"/>
  <c r="O45" i="1"/>
  <c r="R45" i="1"/>
  <c r="S45" i="1"/>
  <c r="T45" i="1"/>
  <c r="U45" i="1"/>
  <c r="W45" i="1"/>
  <c r="X45" i="1"/>
  <c r="Y45" i="1"/>
  <c r="Z45" i="1"/>
  <c r="AA45" i="1"/>
  <c r="AB45" i="1"/>
  <c r="AP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F45" i="1"/>
  <c r="CG45" i="1"/>
  <c r="CH45" i="1"/>
  <c r="CI45" i="1"/>
  <c r="CJ45" i="1"/>
  <c r="CK45" i="1"/>
  <c r="CL45" i="1"/>
  <c r="CM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G45" i="1"/>
  <c r="DJ45" i="1"/>
  <c r="DM45" i="1"/>
  <c r="DN45" i="1"/>
  <c r="DO45" i="1"/>
  <c r="DP45" i="1"/>
  <c r="DR45" i="1"/>
  <c r="DU45" i="1"/>
  <c r="DX45" i="1"/>
  <c r="DZ45" i="1"/>
  <c r="EA45" i="1"/>
  <c r="EC45" i="1"/>
  <c r="ED45" i="1"/>
  <c r="EE45" i="1"/>
  <c r="EF45" i="1"/>
  <c r="EG45" i="1"/>
  <c r="EI45" i="1"/>
  <c r="EJ45" i="1"/>
  <c r="EK45" i="1"/>
  <c r="EL45" i="1"/>
  <c r="ET45" i="1"/>
  <c r="EU45" i="1"/>
  <c r="EV45" i="1"/>
  <c r="EW45" i="1"/>
  <c r="EX45" i="1"/>
  <c r="EZ45" i="1"/>
  <c r="FA45" i="1"/>
  <c r="FB45" i="1"/>
  <c r="FC45" i="1"/>
  <c r="FD45" i="1"/>
  <c r="FE45" i="1"/>
  <c r="FF45" i="1"/>
  <c r="FG45" i="1"/>
  <c r="FH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H46" i="1"/>
  <c r="I46" i="1"/>
  <c r="L46" i="1"/>
  <c r="O46" i="1"/>
  <c r="R46" i="1"/>
  <c r="S46" i="1"/>
  <c r="T46" i="1"/>
  <c r="U46" i="1"/>
  <c r="W46" i="1"/>
  <c r="X46" i="1"/>
  <c r="Y46" i="1"/>
  <c r="Z46" i="1"/>
  <c r="AA46" i="1"/>
  <c r="AB46" i="1"/>
  <c r="AP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F46" i="1"/>
  <c r="CG46" i="1"/>
  <c r="CH46" i="1"/>
  <c r="CI46" i="1"/>
  <c r="CJ46" i="1"/>
  <c r="CK46" i="1"/>
  <c r="CL46" i="1"/>
  <c r="CM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G46" i="1"/>
  <c r="DJ46" i="1"/>
  <c r="DM46" i="1"/>
  <c r="DN46" i="1"/>
  <c r="DO46" i="1"/>
  <c r="DP46" i="1"/>
  <c r="DR46" i="1"/>
  <c r="DU46" i="1"/>
  <c r="DX46" i="1"/>
  <c r="DZ46" i="1"/>
  <c r="EA46" i="1"/>
  <c r="EC46" i="1"/>
  <c r="ED46" i="1"/>
  <c r="EE46" i="1"/>
  <c r="EF46" i="1"/>
  <c r="EG46" i="1"/>
  <c r="EI46" i="1"/>
  <c r="EJ46" i="1"/>
  <c r="EK46" i="1"/>
  <c r="EL46" i="1"/>
  <c r="ET46" i="1"/>
  <c r="EU46" i="1"/>
  <c r="EV46" i="1"/>
  <c r="EW46" i="1"/>
  <c r="EX46" i="1"/>
  <c r="EZ46" i="1"/>
  <c r="FA46" i="1"/>
  <c r="FB46" i="1"/>
  <c r="FC46" i="1"/>
  <c r="FD46" i="1"/>
  <c r="FE46" i="1"/>
  <c r="FF46" i="1"/>
  <c r="FG46" i="1"/>
  <c r="FH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E47" i="1"/>
  <c r="H47" i="1"/>
  <c r="I47" i="1"/>
  <c r="L47" i="1"/>
  <c r="O47" i="1"/>
  <c r="R47" i="1"/>
  <c r="S47" i="1"/>
  <c r="T47" i="1"/>
  <c r="U47" i="1"/>
  <c r="W47" i="1"/>
  <c r="X47" i="1"/>
  <c r="Y47" i="1"/>
  <c r="Z47" i="1"/>
  <c r="AA47" i="1"/>
  <c r="AB47" i="1"/>
  <c r="AP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F47" i="1"/>
  <c r="CG47" i="1"/>
  <c r="CH47" i="1"/>
  <c r="CI47" i="1"/>
  <c r="CJ47" i="1"/>
  <c r="CK47" i="1"/>
  <c r="CL47" i="1"/>
  <c r="CM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G47" i="1"/>
  <c r="DJ47" i="1"/>
  <c r="DM47" i="1"/>
  <c r="DN47" i="1"/>
  <c r="DO47" i="1"/>
  <c r="DP47" i="1"/>
  <c r="DR47" i="1"/>
  <c r="DU47" i="1"/>
  <c r="DX47" i="1"/>
  <c r="DZ47" i="1"/>
  <c r="EA47" i="1"/>
  <c r="EC47" i="1"/>
  <c r="ED47" i="1"/>
  <c r="EE47" i="1"/>
  <c r="EF47" i="1"/>
  <c r="EG47" i="1"/>
  <c r="EI47" i="1"/>
  <c r="EJ47" i="1"/>
  <c r="EK47" i="1"/>
  <c r="EL47" i="1"/>
  <c r="ET47" i="1"/>
  <c r="EU47" i="1"/>
  <c r="EV47" i="1"/>
  <c r="EW47" i="1"/>
  <c r="EX47" i="1"/>
  <c r="EZ47" i="1"/>
  <c r="FA47" i="1"/>
  <c r="FB47" i="1"/>
  <c r="FC47" i="1"/>
  <c r="FD47" i="1"/>
  <c r="FE47" i="1"/>
  <c r="FF47" i="1"/>
  <c r="FG47" i="1"/>
  <c r="FH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H48" i="1"/>
  <c r="I48" i="1"/>
  <c r="L48" i="1"/>
  <c r="O48" i="1"/>
  <c r="R48" i="1"/>
  <c r="S48" i="1"/>
  <c r="T48" i="1"/>
  <c r="U48" i="1"/>
  <c r="W48" i="1"/>
  <c r="X48" i="1"/>
  <c r="Y48" i="1"/>
  <c r="Z48" i="1"/>
  <c r="AA48" i="1"/>
  <c r="AB48" i="1"/>
  <c r="AP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F48" i="1"/>
  <c r="CG48" i="1"/>
  <c r="CH48" i="1"/>
  <c r="CI48" i="1"/>
  <c r="CJ48" i="1"/>
  <c r="CK48" i="1"/>
  <c r="CL48" i="1"/>
  <c r="CM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G48" i="1"/>
  <c r="DJ48" i="1"/>
  <c r="DM48" i="1"/>
  <c r="DN48" i="1"/>
  <c r="DO48" i="1"/>
  <c r="DP48" i="1"/>
  <c r="DR48" i="1"/>
  <c r="DU48" i="1"/>
  <c r="DX48" i="1"/>
  <c r="DZ48" i="1"/>
  <c r="EA48" i="1"/>
  <c r="EC48" i="1"/>
  <c r="ED48" i="1"/>
  <c r="EE48" i="1"/>
  <c r="EF48" i="1"/>
  <c r="EG48" i="1"/>
  <c r="EI48" i="1"/>
  <c r="EJ48" i="1"/>
  <c r="EK48" i="1"/>
  <c r="EL48" i="1"/>
  <c r="ET48" i="1"/>
  <c r="EU48" i="1"/>
  <c r="EV48" i="1"/>
  <c r="EW48" i="1"/>
  <c r="EX48" i="1"/>
  <c r="EZ48" i="1"/>
  <c r="FA48" i="1"/>
  <c r="FB48" i="1"/>
  <c r="FC48" i="1"/>
  <c r="FD48" i="1"/>
  <c r="FE48" i="1"/>
  <c r="FF48" i="1"/>
  <c r="FG48" i="1"/>
  <c r="FH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H49" i="1"/>
  <c r="I49" i="1"/>
  <c r="L49" i="1"/>
  <c r="O49" i="1"/>
  <c r="R49" i="1"/>
  <c r="S49" i="1"/>
  <c r="T49" i="1"/>
  <c r="U49" i="1"/>
  <c r="W49" i="1"/>
  <c r="X49" i="1"/>
  <c r="Y49" i="1"/>
  <c r="Z49" i="1"/>
  <c r="AA49" i="1"/>
  <c r="AB49" i="1"/>
  <c r="AP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F49" i="1"/>
  <c r="CG49" i="1"/>
  <c r="CH49" i="1"/>
  <c r="CI49" i="1"/>
  <c r="CJ49" i="1"/>
  <c r="CK49" i="1"/>
  <c r="CL49" i="1"/>
  <c r="CM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G49" i="1"/>
  <c r="DJ49" i="1"/>
  <c r="DM49" i="1"/>
  <c r="DN49" i="1"/>
  <c r="DO49" i="1"/>
  <c r="DP49" i="1"/>
  <c r="DR49" i="1"/>
  <c r="DU49" i="1"/>
  <c r="DX49" i="1"/>
  <c r="DZ49" i="1"/>
  <c r="EA49" i="1"/>
  <c r="EC49" i="1"/>
  <c r="ED49" i="1"/>
  <c r="EE49" i="1"/>
  <c r="EF49" i="1"/>
  <c r="EG49" i="1"/>
  <c r="EI49" i="1"/>
  <c r="EJ49" i="1"/>
  <c r="EK49" i="1"/>
  <c r="EL49" i="1"/>
  <c r="ET49" i="1"/>
  <c r="EU49" i="1"/>
  <c r="EV49" i="1"/>
  <c r="EW49" i="1"/>
  <c r="EX49" i="1"/>
  <c r="EZ49" i="1"/>
  <c r="FA49" i="1"/>
  <c r="FB49" i="1"/>
  <c r="FC49" i="1"/>
  <c r="FD49" i="1"/>
  <c r="FE49" i="1"/>
  <c r="FF49" i="1"/>
  <c r="FG49" i="1"/>
  <c r="FH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H50" i="1"/>
  <c r="I50" i="1"/>
  <c r="L50" i="1"/>
  <c r="O50" i="1"/>
  <c r="R50" i="1"/>
  <c r="S50" i="1"/>
  <c r="T50" i="1"/>
  <c r="U50" i="1"/>
  <c r="W50" i="1"/>
  <c r="X50" i="1"/>
  <c r="Y50" i="1"/>
  <c r="Z50" i="1"/>
  <c r="AA50" i="1"/>
  <c r="AB50" i="1"/>
  <c r="AP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F50" i="1"/>
  <c r="CG50" i="1"/>
  <c r="CH50" i="1"/>
  <c r="CI50" i="1"/>
  <c r="CJ50" i="1"/>
  <c r="CK50" i="1"/>
  <c r="CL50" i="1"/>
  <c r="CM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G50" i="1"/>
  <c r="DJ50" i="1"/>
  <c r="DM50" i="1"/>
  <c r="DN50" i="1"/>
  <c r="DO50" i="1"/>
  <c r="DP50" i="1"/>
  <c r="DR50" i="1"/>
  <c r="DU50" i="1"/>
  <c r="DX50" i="1"/>
  <c r="DZ50" i="1"/>
  <c r="EA50" i="1"/>
  <c r="EC50" i="1"/>
  <c r="ED50" i="1"/>
  <c r="EE50" i="1"/>
  <c r="EF50" i="1"/>
  <c r="EG50" i="1"/>
  <c r="EI50" i="1"/>
  <c r="EJ50" i="1"/>
  <c r="EK50" i="1"/>
  <c r="EL50" i="1"/>
  <c r="ET50" i="1"/>
  <c r="EU50" i="1"/>
  <c r="EV50" i="1"/>
  <c r="EW50" i="1"/>
  <c r="EX50" i="1"/>
  <c r="EZ50" i="1"/>
  <c r="FA50" i="1"/>
  <c r="FB50" i="1"/>
  <c r="FC50" i="1"/>
  <c r="FD50" i="1"/>
  <c r="FE50" i="1"/>
  <c r="FF50" i="1"/>
  <c r="FG50" i="1"/>
  <c r="FH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H51" i="1"/>
  <c r="I51" i="1"/>
  <c r="L51" i="1"/>
  <c r="O51" i="1"/>
  <c r="R51" i="1"/>
  <c r="S51" i="1"/>
  <c r="T51" i="1"/>
  <c r="U51" i="1"/>
  <c r="W51" i="1"/>
  <c r="X51" i="1"/>
  <c r="Y51" i="1"/>
  <c r="Z51" i="1"/>
  <c r="AA51" i="1"/>
  <c r="AB51" i="1"/>
  <c r="AP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F51" i="1"/>
  <c r="CG51" i="1"/>
  <c r="CH51" i="1"/>
  <c r="CI51" i="1"/>
  <c r="CJ51" i="1"/>
  <c r="CK51" i="1"/>
  <c r="CL51" i="1"/>
  <c r="CM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G51" i="1"/>
  <c r="DJ51" i="1"/>
  <c r="DM51" i="1"/>
  <c r="DN51" i="1"/>
  <c r="DO51" i="1"/>
  <c r="DP51" i="1"/>
  <c r="DR51" i="1"/>
  <c r="DU51" i="1"/>
  <c r="DX51" i="1"/>
  <c r="DZ51" i="1"/>
  <c r="EA51" i="1"/>
  <c r="EC51" i="1"/>
  <c r="ED51" i="1"/>
  <c r="EE51" i="1"/>
  <c r="EF51" i="1"/>
  <c r="EG51" i="1"/>
  <c r="EI51" i="1"/>
  <c r="EJ51" i="1"/>
  <c r="EK51" i="1"/>
  <c r="EL51" i="1"/>
  <c r="ET51" i="1"/>
  <c r="EU51" i="1"/>
  <c r="EV51" i="1"/>
  <c r="EW51" i="1"/>
  <c r="EX51" i="1"/>
  <c r="EZ51" i="1"/>
  <c r="FA51" i="1"/>
  <c r="FB51" i="1"/>
  <c r="FC51" i="1"/>
  <c r="FD51" i="1"/>
  <c r="FE51" i="1"/>
  <c r="FF51" i="1"/>
  <c r="FG51" i="1"/>
  <c r="FH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H52" i="1"/>
  <c r="I52" i="1"/>
  <c r="L52" i="1"/>
  <c r="O52" i="1"/>
  <c r="R52" i="1"/>
  <c r="S52" i="1"/>
  <c r="T52" i="1"/>
  <c r="U52" i="1"/>
  <c r="W52" i="1"/>
  <c r="X52" i="1"/>
  <c r="Y52" i="1"/>
  <c r="Z52" i="1"/>
  <c r="AA52" i="1"/>
  <c r="AB52" i="1"/>
  <c r="AP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F52" i="1"/>
  <c r="CG52" i="1"/>
  <c r="CH52" i="1"/>
  <c r="CI52" i="1"/>
  <c r="CJ52" i="1"/>
  <c r="CK52" i="1"/>
  <c r="CL52" i="1"/>
  <c r="CM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G52" i="1"/>
  <c r="DJ52" i="1"/>
  <c r="DM52" i="1"/>
  <c r="DN52" i="1"/>
  <c r="DO52" i="1"/>
  <c r="DP52" i="1"/>
  <c r="DR52" i="1"/>
  <c r="DU52" i="1"/>
  <c r="DX52" i="1"/>
  <c r="DZ52" i="1"/>
  <c r="EA52" i="1"/>
  <c r="EC52" i="1"/>
  <c r="ED52" i="1"/>
  <c r="EE52" i="1"/>
  <c r="EF52" i="1"/>
  <c r="EG52" i="1"/>
  <c r="EI52" i="1"/>
  <c r="EJ52" i="1"/>
  <c r="EK52" i="1"/>
  <c r="EL52" i="1"/>
  <c r="ET52" i="1"/>
  <c r="EU52" i="1"/>
  <c r="EV52" i="1"/>
  <c r="EW52" i="1"/>
  <c r="EX52" i="1"/>
  <c r="EZ52" i="1"/>
  <c r="FA52" i="1"/>
  <c r="FB52" i="1"/>
  <c r="FC52" i="1"/>
  <c r="FD52" i="1"/>
  <c r="FE52" i="1"/>
  <c r="FF52" i="1"/>
  <c r="FG52" i="1"/>
  <c r="FH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H53" i="1"/>
  <c r="I53" i="1"/>
  <c r="L53" i="1"/>
  <c r="O53" i="1"/>
  <c r="R53" i="1"/>
  <c r="S53" i="1"/>
  <c r="T53" i="1"/>
  <c r="U53" i="1"/>
  <c r="W53" i="1"/>
  <c r="X53" i="1"/>
  <c r="Y53" i="1"/>
  <c r="Z53" i="1"/>
  <c r="AA53" i="1"/>
  <c r="AB53" i="1"/>
  <c r="AP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F53" i="1"/>
  <c r="CG53" i="1"/>
  <c r="CH53" i="1"/>
  <c r="CI53" i="1"/>
  <c r="CJ53" i="1"/>
  <c r="CK53" i="1"/>
  <c r="CL53" i="1"/>
  <c r="CM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G53" i="1"/>
  <c r="DJ53" i="1"/>
  <c r="DM53" i="1"/>
  <c r="DN53" i="1"/>
  <c r="DO53" i="1"/>
  <c r="DP53" i="1"/>
  <c r="DR53" i="1"/>
  <c r="DU53" i="1"/>
  <c r="DX53" i="1"/>
  <c r="DZ53" i="1"/>
  <c r="EA53" i="1"/>
  <c r="EC53" i="1"/>
  <c r="ED53" i="1"/>
  <c r="EE53" i="1"/>
  <c r="EF53" i="1"/>
  <c r="EG53" i="1"/>
  <c r="EI53" i="1"/>
  <c r="EJ53" i="1"/>
  <c r="EK53" i="1"/>
  <c r="EL53" i="1"/>
  <c r="ET53" i="1"/>
  <c r="EU53" i="1"/>
  <c r="EV53" i="1"/>
  <c r="EW53" i="1"/>
  <c r="EX53" i="1"/>
  <c r="EZ53" i="1"/>
  <c r="FA53" i="1"/>
  <c r="FB53" i="1"/>
  <c r="FC53" i="1"/>
  <c r="FD53" i="1"/>
  <c r="FE53" i="1"/>
  <c r="FF53" i="1"/>
  <c r="FG53" i="1"/>
  <c r="FH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H54" i="1"/>
  <c r="I54" i="1"/>
  <c r="L54" i="1"/>
  <c r="O54" i="1"/>
  <c r="R54" i="1"/>
  <c r="S54" i="1"/>
  <c r="T54" i="1"/>
  <c r="U54" i="1"/>
  <c r="W54" i="1"/>
  <c r="X54" i="1"/>
  <c r="Y54" i="1"/>
  <c r="Z54" i="1"/>
  <c r="AA54" i="1"/>
  <c r="AB54" i="1"/>
  <c r="AP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F54" i="1"/>
  <c r="CG54" i="1"/>
  <c r="CH54" i="1"/>
  <c r="CI54" i="1"/>
  <c r="CJ54" i="1"/>
  <c r="CK54" i="1"/>
  <c r="CL54" i="1"/>
  <c r="CM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G54" i="1"/>
  <c r="DJ54" i="1"/>
  <c r="DM54" i="1"/>
  <c r="DN54" i="1"/>
  <c r="DO54" i="1"/>
  <c r="DP54" i="1"/>
  <c r="DR54" i="1"/>
  <c r="DU54" i="1"/>
  <c r="DX54" i="1"/>
  <c r="DZ54" i="1"/>
  <c r="EA54" i="1"/>
  <c r="EC54" i="1"/>
  <c r="ED54" i="1"/>
  <c r="EE54" i="1"/>
  <c r="EF54" i="1"/>
  <c r="EG54" i="1"/>
  <c r="EI54" i="1"/>
  <c r="EJ54" i="1"/>
  <c r="EK54" i="1"/>
  <c r="EL54" i="1"/>
  <c r="ET54" i="1"/>
  <c r="EU54" i="1"/>
  <c r="EV54" i="1"/>
  <c r="EW54" i="1"/>
  <c r="EX54" i="1"/>
  <c r="EZ54" i="1"/>
  <c r="FA54" i="1"/>
  <c r="FB54" i="1"/>
  <c r="FC54" i="1"/>
  <c r="FD54" i="1"/>
  <c r="FE54" i="1"/>
  <c r="FF54" i="1"/>
  <c r="FG54" i="1"/>
  <c r="FH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H55" i="1"/>
  <c r="I55" i="1"/>
  <c r="L55" i="1"/>
  <c r="O55" i="1"/>
  <c r="R55" i="1"/>
  <c r="S55" i="1"/>
  <c r="T55" i="1"/>
  <c r="U55" i="1"/>
  <c r="W55" i="1"/>
  <c r="X55" i="1"/>
  <c r="Y55" i="1"/>
  <c r="Z55" i="1"/>
  <c r="AA55" i="1"/>
  <c r="AB55" i="1"/>
  <c r="AP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F55" i="1"/>
  <c r="CG55" i="1"/>
  <c r="CH55" i="1"/>
  <c r="CI55" i="1"/>
  <c r="CJ55" i="1"/>
  <c r="CK55" i="1"/>
  <c r="CL55" i="1"/>
  <c r="CM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G55" i="1"/>
  <c r="DJ55" i="1"/>
  <c r="DM55" i="1"/>
  <c r="DN55" i="1"/>
  <c r="DO55" i="1"/>
  <c r="DP55" i="1"/>
  <c r="DR55" i="1"/>
  <c r="DU55" i="1"/>
  <c r="DX55" i="1"/>
  <c r="DZ55" i="1"/>
  <c r="EA55" i="1"/>
  <c r="EC55" i="1"/>
  <c r="ED55" i="1"/>
  <c r="EE55" i="1"/>
  <c r="EF55" i="1"/>
  <c r="EG55" i="1"/>
  <c r="ET55" i="1"/>
  <c r="EU55" i="1"/>
  <c r="EV55" i="1"/>
  <c r="EW55" i="1"/>
  <c r="EX55" i="1"/>
  <c r="EZ55" i="1"/>
  <c r="FA55" i="1"/>
  <c r="FB55" i="1"/>
  <c r="FC55" i="1"/>
  <c r="FD55" i="1"/>
  <c r="FE55" i="1"/>
  <c r="FF55" i="1"/>
  <c r="FG55" i="1"/>
  <c r="FH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H56" i="1"/>
  <c r="I56" i="1"/>
  <c r="L56" i="1"/>
  <c r="O56" i="1"/>
  <c r="R56" i="1"/>
  <c r="S56" i="1"/>
  <c r="T56" i="1"/>
  <c r="U56" i="1"/>
  <c r="W56" i="1"/>
  <c r="X56" i="1"/>
  <c r="Y56" i="1"/>
  <c r="Z56" i="1"/>
  <c r="AA56" i="1"/>
  <c r="AB56" i="1"/>
  <c r="AP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F56" i="1"/>
  <c r="CG56" i="1"/>
  <c r="CH56" i="1"/>
  <c r="CI56" i="1"/>
  <c r="CJ56" i="1"/>
  <c r="CK56" i="1"/>
  <c r="CL56" i="1"/>
  <c r="CM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G56" i="1"/>
  <c r="DJ56" i="1"/>
  <c r="DM56" i="1"/>
  <c r="DN56" i="1"/>
  <c r="DO56" i="1"/>
  <c r="DP56" i="1"/>
  <c r="DR56" i="1"/>
  <c r="DU56" i="1"/>
  <c r="DX56" i="1"/>
  <c r="DZ56" i="1"/>
  <c r="EA56" i="1"/>
  <c r="EC56" i="1"/>
  <c r="ED56" i="1"/>
  <c r="EE56" i="1"/>
  <c r="EF56" i="1"/>
  <c r="EG56" i="1"/>
  <c r="EH56" i="1"/>
  <c r="ET56" i="1"/>
  <c r="EU56" i="1"/>
  <c r="EV56" i="1"/>
  <c r="EW56" i="1"/>
  <c r="EX56" i="1"/>
  <c r="EZ56" i="1"/>
  <c r="FA56" i="1"/>
  <c r="FB56" i="1"/>
  <c r="FC56" i="1"/>
  <c r="FD56" i="1"/>
  <c r="FE56" i="1"/>
  <c r="FF56" i="1"/>
  <c r="FG56" i="1"/>
  <c r="FH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H57" i="1"/>
  <c r="I57" i="1"/>
  <c r="L57" i="1"/>
  <c r="O57" i="1"/>
  <c r="R57" i="1"/>
  <c r="S57" i="1"/>
  <c r="T57" i="1"/>
  <c r="U57" i="1"/>
  <c r="W57" i="1"/>
  <c r="X57" i="1"/>
  <c r="Y57" i="1"/>
  <c r="Z57" i="1"/>
  <c r="AA57" i="1"/>
  <c r="AB57" i="1"/>
  <c r="AP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F57" i="1"/>
  <c r="CG57" i="1"/>
  <c r="CH57" i="1"/>
  <c r="CI57" i="1"/>
  <c r="CJ57" i="1"/>
  <c r="CK57" i="1"/>
  <c r="CL57" i="1"/>
  <c r="CM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G57" i="1"/>
  <c r="DJ57" i="1"/>
  <c r="DM57" i="1"/>
  <c r="DN57" i="1"/>
  <c r="DO57" i="1"/>
  <c r="DP57" i="1"/>
  <c r="DR57" i="1"/>
  <c r="DU57" i="1"/>
  <c r="DX57" i="1"/>
  <c r="DZ57" i="1"/>
  <c r="EA57" i="1"/>
  <c r="EC57" i="1"/>
  <c r="ED57" i="1"/>
  <c r="EE57" i="1"/>
  <c r="EF57" i="1"/>
  <c r="EG57" i="1"/>
  <c r="ET57" i="1"/>
  <c r="EU57" i="1"/>
  <c r="EV57" i="1"/>
  <c r="EW57" i="1"/>
  <c r="EX57" i="1"/>
  <c r="EZ57" i="1"/>
  <c r="FA57" i="1"/>
  <c r="FB57" i="1"/>
  <c r="FC57" i="1"/>
  <c r="FD57" i="1"/>
  <c r="FE57" i="1"/>
  <c r="FF57" i="1"/>
  <c r="FG57" i="1"/>
  <c r="FH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H58" i="1"/>
  <c r="I58" i="1"/>
  <c r="L58" i="1"/>
  <c r="O58" i="1"/>
  <c r="R58" i="1"/>
  <c r="S58" i="1"/>
  <c r="T58" i="1"/>
  <c r="U58" i="1"/>
  <c r="W58" i="1"/>
  <c r="X58" i="1"/>
  <c r="Y58" i="1"/>
  <c r="Z58" i="1"/>
  <c r="AA58" i="1"/>
  <c r="AB58" i="1"/>
  <c r="AP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F58" i="1"/>
  <c r="CG58" i="1"/>
  <c r="CH58" i="1"/>
  <c r="CI58" i="1"/>
  <c r="CJ58" i="1"/>
  <c r="CK58" i="1"/>
  <c r="CL58" i="1"/>
  <c r="CM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G58" i="1"/>
  <c r="DJ58" i="1"/>
  <c r="DM58" i="1"/>
  <c r="DN58" i="1"/>
  <c r="DO58" i="1"/>
  <c r="DP58" i="1"/>
  <c r="DR58" i="1"/>
  <c r="DU58" i="1"/>
  <c r="DX58" i="1"/>
  <c r="DZ58" i="1"/>
  <c r="EA58" i="1"/>
  <c r="EC58" i="1"/>
  <c r="ED58" i="1"/>
  <c r="EE58" i="1"/>
  <c r="EF58" i="1"/>
  <c r="EG58" i="1"/>
  <c r="ET58" i="1"/>
  <c r="EU58" i="1"/>
  <c r="EV58" i="1"/>
  <c r="EW58" i="1"/>
  <c r="EX58" i="1"/>
  <c r="EZ58" i="1"/>
  <c r="FA58" i="1"/>
  <c r="FB58" i="1"/>
  <c r="FC58" i="1"/>
  <c r="FD58" i="1"/>
  <c r="FE58" i="1"/>
  <c r="FF58" i="1"/>
  <c r="FG58" i="1"/>
  <c r="FH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H59" i="1"/>
  <c r="I59" i="1"/>
  <c r="L59" i="1"/>
  <c r="O59" i="1"/>
  <c r="R59" i="1"/>
  <c r="S59" i="1"/>
  <c r="T59" i="1"/>
  <c r="U59" i="1"/>
  <c r="W59" i="1"/>
  <c r="X59" i="1"/>
  <c r="Y59" i="1"/>
  <c r="Z59" i="1"/>
  <c r="AA59" i="1"/>
  <c r="AB59" i="1"/>
  <c r="AP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F59" i="1"/>
  <c r="CG59" i="1"/>
  <c r="CH59" i="1"/>
  <c r="CI59" i="1"/>
  <c r="CJ59" i="1"/>
  <c r="CK59" i="1"/>
  <c r="CL59" i="1"/>
  <c r="CM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G59" i="1"/>
  <c r="DJ59" i="1"/>
  <c r="DM59" i="1"/>
  <c r="DN59" i="1"/>
  <c r="DO59" i="1"/>
  <c r="DP59" i="1"/>
  <c r="DR59" i="1"/>
  <c r="DU59" i="1"/>
  <c r="DX59" i="1"/>
  <c r="DZ59" i="1"/>
  <c r="EA59" i="1"/>
  <c r="EC59" i="1"/>
  <c r="ED59" i="1"/>
  <c r="EE59" i="1"/>
  <c r="EF59" i="1"/>
  <c r="EG59" i="1"/>
  <c r="ET59" i="1"/>
  <c r="EU59" i="1"/>
  <c r="EV59" i="1"/>
  <c r="EW59" i="1"/>
  <c r="EX59" i="1"/>
  <c r="EZ59" i="1"/>
  <c r="FA59" i="1"/>
  <c r="FB59" i="1"/>
  <c r="FC59" i="1"/>
  <c r="FD59" i="1"/>
  <c r="FE59" i="1"/>
  <c r="FF59" i="1"/>
  <c r="FG59" i="1"/>
  <c r="FH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H60" i="1"/>
  <c r="I60" i="1"/>
  <c r="L60" i="1"/>
  <c r="O60" i="1"/>
  <c r="R60" i="1"/>
  <c r="S60" i="1"/>
  <c r="T60" i="1"/>
  <c r="U60" i="1"/>
  <c r="W60" i="1"/>
  <c r="X60" i="1"/>
  <c r="Y60" i="1"/>
  <c r="Z60" i="1"/>
  <c r="AA60" i="1"/>
  <c r="AB60" i="1"/>
  <c r="AP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F60" i="1"/>
  <c r="CG60" i="1"/>
  <c r="CH60" i="1"/>
  <c r="CI60" i="1"/>
  <c r="CJ60" i="1"/>
  <c r="CK60" i="1"/>
  <c r="CL60" i="1"/>
  <c r="CM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G60" i="1"/>
  <c r="DJ60" i="1"/>
  <c r="DM60" i="1"/>
  <c r="DN60" i="1"/>
  <c r="DO60" i="1"/>
  <c r="DP60" i="1"/>
  <c r="DR60" i="1"/>
  <c r="DU60" i="1"/>
  <c r="DX60" i="1"/>
  <c r="DZ60" i="1"/>
  <c r="EA60" i="1"/>
  <c r="EC60" i="1"/>
  <c r="ED60" i="1"/>
  <c r="EE60" i="1"/>
  <c r="EF60" i="1"/>
  <c r="EG60" i="1"/>
  <c r="ET60" i="1"/>
  <c r="EU60" i="1"/>
  <c r="EV60" i="1"/>
  <c r="EW60" i="1"/>
  <c r="EX60" i="1"/>
  <c r="EZ60" i="1"/>
  <c r="FA60" i="1"/>
  <c r="FB60" i="1"/>
  <c r="FC60" i="1"/>
  <c r="FD60" i="1"/>
  <c r="FE60" i="1"/>
  <c r="FF60" i="1"/>
  <c r="FG60" i="1"/>
  <c r="FH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H61" i="1"/>
  <c r="I61" i="1"/>
  <c r="L61" i="1"/>
  <c r="O61" i="1"/>
  <c r="R61" i="1"/>
  <c r="S61" i="1"/>
  <c r="T61" i="1"/>
  <c r="U61" i="1"/>
  <c r="W61" i="1"/>
  <c r="X61" i="1"/>
  <c r="Y61" i="1"/>
  <c r="Z61" i="1"/>
  <c r="AA61" i="1"/>
  <c r="AB61" i="1"/>
  <c r="AP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F61" i="1"/>
  <c r="CG61" i="1"/>
  <c r="CH61" i="1"/>
  <c r="CI61" i="1"/>
  <c r="CJ61" i="1"/>
  <c r="CK61" i="1"/>
  <c r="CL61" i="1"/>
  <c r="CM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G61" i="1"/>
  <c r="DJ61" i="1"/>
  <c r="DM61" i="1"/>
  <c r="DN61" i="1"/>
  <c r="DO61" i="1"/>
  <c r="DP61" i="1"/>
  <c r="DR61" i="1"/>
  <c r="DU61" i="1"/>
  <c r="DX61" i="1"/>
  <c r="DZ61" i="1"/>
  <c r="EA61" i="1"/>
  <c r="EC61" i="1"/>
  <c r="ED61" i="1"/>
  <c r="EE61" i="1"/>
  <c r="EF61" i="1"/>
  <c r="EG61" i="1"/>
  <c r="ET61" i="1"/>
  <c r="EU61" i="1"/>
  <c r="EV61" i="1"/>
  <c r="EW61" i="1"/>
  <c r="EX61" i="1"/>
  <c r="EZ61" i="1"/>
  <c r="FA61" i="1"/>
  <c r="FB61" i="1"/>
  <c r="FC61" i="1"/>
  <c r="FD61" i="1"/>
  <c r="FE61" i="1"/>
  <c r="FF61" i="1"/>
  <c r="FG61" i="1"/>
  <c r="FH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H62" i="1"/>
  <c r="I62" i="1"/>
  <c r="L62" i="1"/>
  <c r="O62" i="1"/>
  <c r="R62" i="1"/>
  <c r="S62" i="1"/>
  <c r="T62" i="1"/>
  <c r="U62" i="1"/>
  <c r="W62" i="1"/>
  <c r="X62" i="1"/>
  <c r="Y62" i="1"/>
  <c r="Z62" i="1"/>
  <c r="AA62" i="1"/>
  <c r="AB62" i="1"/>
  <c r="AP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F62" i="1"/>
  <c r="CG62" i="1"/>
  <c r="CH62" i="1"/>
  <c r="CI62" i="1"/>
  <c r="CJ62" i="1"/>
  <c r="CK62" i="1"/>
  <c r="CL62" i="1"/>
  <c r="CM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G62" i="1"/>
  <c r="DJ62" i="1"/>
  <c r="DM62" i="1"/>
  <c r="DN62" i="1"/>
  <c r="DO62" i="1"/>
  <c r="DP62" i="1"/>
  <c r="DR62" i="1"/>
  <c r="DU62" i="1"/>
  <c r="DX62" i="1"/>
  <c r="DZ62" i="1"/>
  <c r="EA62" i="1"/>
  <c r="EC62" i="1"/>
  <c r="ED62" i="1"/>
  <c r="EE62" i="1"/>
  <c r="EF62" i="1"/>
  <c r="EG62" i="1"/>
  <c r="ET62" i="1"/>
  <c r="EU62" i="1"/>
  <c r="EV62" i="1"/>
  <c r="EW62" i="1"/>
  <c r="EX62" i="1"/>
  <c r="EZ62" i="1"/>
  <c r="FA62" i="1"/>
  <c r="FB62" i="1"/>
  <c r="FC62" i="1"/>
  <c r="FD62" i="1"/>
  <c r="FE62" i="1"/>
  <c r="FF62" i="1"/>
  <c r="FG62" i="1"/>
  <c r="FH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H63" i="1"/>
  <c r="I63" i="1"/>
  <c r="L63" i="1"/>
  <c r="O63" i="1"/>
  <c r="R63" i="1"/>
  <c r="S63" i="1"/>
  <c r="T63" i="1"/>
  <c r="U63" i="1"/>
  <c r="W63" i="1"/>
  <c r="X63" i="1"/>
  <c r="Y63" i="1"/>
  <c r="Z63" i="1"/>
  <c r="AA63" i="1"/>
  <c r="AB63" i="1"/>
  <c r="AP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F63" i="1"/>
  <c r="CG63" i="1"/>
  <c r="CH63" i="1"/>
  <c r="CI63" i="1"/>
  <c r="CJ63" i="1"/>
  <c r="CK63" i="1"/>
  <c r="CL63" i="1"/>
  <c r="CM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G63" i="1"/>
  <c r="DJ63" i="1"/>
  <c r="DM63" i="1"/>
  <c r="DN63" i="1"/>
  <c r="DO63" i="1"/>
  <c r="DP63" i="1"/>
  <c r="DR63" i="1"/>
  <c r="DU63" i="1"/>
  <c r="DX63" i="1"/>
  <c r="DZ63" i="1"/>
  <c r="EA63" i="1"/>
  <c r="EC63" i="1"/>
  <c r="ED63" i="1"/>
  <c r="EE63" i="1"/>
  <c r="EF63" i="1"/>
  <c r="EG63" i="1"/>
  <c r="ET63" i="1"/>
  <c r="EU63" i="1"/>
  <c r="EV63" i="1"/>
  <c r="EW63" i="1"/>
  <c r="EX63" i="1"/>
  <c r="EZ63" i="1"/>
  <c r="FA63" i="1"/>
  <c r="FB63" i="1"/>
  <c r="FC63" i="1"/>
  <c r="FD63" i="1"/>
  <c r="FE63" i="1"/>
  <c r="FF63" i="1"/>
  <c r="FG63" i="1"/>
  <c r="FH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H64" i="1"/>
  <c r="I64" i="1"/>
  <c r="L64" i="1"/>
  <c r="O64" i="1"/>
  <c r="R64" i="1"/>
  <c r="S64" i="1"/>
  <c r="T64" i="1"/>
  <c r="U64" i="1"/>
  <c r="W64" i="1"/>
  <c r="X64" i="1"/>
  <c r="Y64" i="1"/>
  <c r="Z64" i="1"/>
  <c r="AA64" i="1"/>
  <c r="AB64" i="1"/>
  <c r="AP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F64" i="1"/>
  <c r="CG64" i="1"/>
  <c r="CH64" i="1"/>
  <c r="CI64" i="1"/>
  <c r="CJ64" i="1"/>
  <c r="CK64" i="1"/>
  <c r="CL64" i="1"/>
  <c r="CM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G64" i="1"/>
  <c r="DJ64" i="1"/>
  <c r="DM64" i="1"/>
  <c r="DN64" i="1"/>
  <c r="DO64" i="1"/>
  <c r="DP64" i="1"/>
  <c r="DR64" i="1"/>
  <c r="DU64" i="1"/>
  <c r="DX64" i="1"/>
  <c r="DZ64" i="1"/>
  <c r="EA64" i="1"/>
  <c r="EC64" i="1"/>
  <c r="ED64" i="1"/>
  <c r="EE64" i="1"/>
  <c r="EF64" i="1"/>
  <c r="EG64" i="1"/>
  <c r="ET64" i="1"/>
  <c r="EU64" i="1"/>
  <c r="EV64" i="1"/>
  <c r="EW64" i="1"/>
  <c r="EX64" i="1"/>
  <c r="EZ64" i="1"/>
  <c r="FA64" i="1"/>
  <c r="FB64" i="1"/>
  <c r="FC64" i="1"/>
  <c r="FD64" i="1"/>
  <c r="FE64" i="1"/>
  <c r="FF64" i="1"/>
  <c r="FG64" i="1"/>
  <c r="FH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H65" i="1"/>
  <c r="I65" i="1"/>
  <c r="L65" i="1"/>
  <c r="O65" i="1"/>
  <c r="R65" i="1"/>
  <c r="S65" i="1"/>
  <c r="T65" i="1"/>
  <c r="U65" i="1"/>
  <c r="W65" i="1"/>
  <c r="X65" i="1"/>
  <c r="Y65" i="1"/>
  <c r="Z65" i="1"/>
  <c r="AA65" i="1"/>
  <c r="AB65" i="1"/>
  <c r="AP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F65" i="1"/>
  <c r="CG65" i="1"/>
  <c r="CH65" i="1"/>
  <c r="CI65" i="1"/>
  <c r="CJ65" i="1"/>
  <c r="CK65" i="1"/>
  <c r="CL65" i="1"/>
  <c r="CM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G65" i="1"/>
  <c r="DJ65" i="1"/>
  <c r="DM65" i="1"/>
  <c r="DN65" i="1"/>
  <c r="DO65" i="1"/>
  <c r="DP65" i="1"/>
  <c r="DR65" i="1"/>
  <c r="DU65" i="1"/>
  <c r="DX65" i="1"/>
  <c r="DZ65" i="1"/>
  <c r="EA65" i="1"/>
  <c r="EC65" i="1"/>
  <c r="ED65" i="1"/>
  <c r="EE65" i="1"/>
  <c r="EF65" i="1"/>
  <c r="EG65" i="1"/>
  <c r="ET65" i="1"/>
  <c r="EU65" i="1"/>
  <c r="EV65" i="1"/>
  <c r="EW65" i="1"/>
  <c r="EX65" i="1"/>
  <c r="EZ65" i="1"/>
  <c r="FA65" i="1"/>
  <c r="FB65" i="1"/>
  <c r="FC65" i="1"/>
  <c r="FD65" i="1"/>
  <c r="FE65" i="1"/>
  <c r="FF65" i="1"/>
  <c r="FG65" i="1"/>
  <c r="FH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H66" i="1"/>
  <c r="I66" i="1"/>
  <c r="L66" i="1"/>
  <c r="O66" i="1"/>
  <c r="R66" i="1"/>
  <c r="S66" i="1"/>
  <c r="T66" i="1"/>
  <c r="U66" i="1"/>
  <c r="W66" i="1"/>
  <c r="X66" i="1"/>
  <c r="Y66" i="1"/>
  <c r="Z66" i="1"/>
  <c r="AA66" i="1"/>
  <c r="AB66" i="1"/>
  <c r="AP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F66" i="1"/>
  <c r="CG66" i="1"/>
  <c r="CH66" i="1"/>
  <c r="CI66" i="1"/>
  <c r="CJ66" i="1"/>
  <c r="CK66" i="1"/>
  <c r="CL66" i="1"/>
  <c r="CM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G66" i="1"/>
  <c r="DJ66" i="1"/>
  <c r="DM66" i="1"/>
  <c r="DN66" i="1"/>
  <c r="DO66" i="1"/>
  <c r="DP66" i="1"/>
  <c r="DR66" i="1"/>
  <c r="DU66" i="1"/>
  <c r="DX66" i="1"/>
  <c r="DZ66" i="1"/>
  <c r="EA66" i="1"/>
  <c r="EC66" i="1"/>
  <c r="ED66" i="1"/>
  <c r="EE66" i="1"/>
  <c r="EF66" i="1"/>
  <c r="EG66" i="1"/>
  <c r="ET66" i="1"/>
  <c r="EU66" i="1"/>
  <c r="EV66" i="1"/>
  <c r="EW66" i="1"/>
  <c r="EX66" i="1"/>
  <c r="EZ66" i="1"/>
  <c r="FA66" i="1"/>
  <c r="FB66" i="1"/>
  <c r="FC66" i="1"/>
  <c r="FD66" i="1"/>
  <c r="FE66" i="1"/>
  <c r="FF66" i="1"/>
  <c r="FG66" i="1"/>
  <c r="FH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H67" i="1"/>
  <c r="I67" i="1"/>
  <c r="L67" i="1"/>
  <c r="O67" i="1"/>
  <c r="R67" i="1"/>
  <c r="S67" i="1"/>
  <c r="T67" i="1"/>
  <c r="U67" i="1"/>
  <c r="W67" i="1"/>
  <c r="X67" i="1"/>
  <c r="Y67" i="1"/>
  <c r="Z67" i="1"/>
  <c r="AA67" i="1"/>
  <c r="AB67" i="1"/>
  <c r="AP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F67" i="1"/>
  <c r="CG67" i="1"/>
  <c r="CH67" i="1"/>
  <c r="CI67" i="1"/>
  <c r="CJ67" i="1"/>
  <c r="CK67" i="1"/>
  <c r="CL67" i="1"/>
  <c r="CM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G67" i="1"/>
  <c r="DJ67" i="1"/>
  <c r="DM67" i="1"/>
  <c r="DN67" i="1"/>
  <c r="DO67" i="1"/>
  <c r="DP67" i="1"/>
  <c r="DR67" i="1"/>
  <c r="DU67" i="1"/>
  <c r="DX67" i="1"/>
  <c r="DZ67" i="1"/>
  <c r="EA67" i="1"/>
  <c r="EC67" i="1"/>
  <c r="ED67" i="1"/>
  <c r="EE67" i="1"/>
  <c r="EF67" i="1"/>
  <c r="EG67" i="1"/>
  <c r="ET67" i="1"/>
  <c r="EU67" i="1"/>
  <c r="EV67" i="1"/>
  <c r="EW67" i="1"/>
  <c r="EX67" i="1"/>
  <c r="EZ67" i="1"/>
  <c r="FA67" i="1"/>
  <c r="FB67" i="1"/>
  <c r="FC67" i="1"/>
  <c r="FD67" i="1"/>
  <c r="FE67" i="1"/>
  <c r="FF67" i="1"/>
  <c r="FG67" i="1"/>
  <c r="FH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H68" i="1"/>
  <c r="I68" i="1"/>
  <c r="L68" i="1"/>
  <c r="O68" i="1"/>
  <c r="R68" i="1"/>
  <c r="S68" i="1"/>
  <c r="T68" i="1"/>
  <c r="U68" i="1"/>
  <c r="W68" i="1"/>
  <c r="X68" i="1"/>
  <c r="Y68" i="1"/>
  <c r="Z68" i="1"/>
  <c r="AA68" i="1"/>
  <c r="AB68" i="1"/>
  <c r="AP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F68" i="1"/>
  <c r="CG68" i="1"/>
  <c r="CH68" i="1"/>
  <c r="CI68" i="1"/>
  <c r="CJ68" i="1"/>
  <c r="CK68" i="1"/>
  <c r="CL68" i="1"/>
  <c r="CM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G68" i="1"/>
  <c r="DJ68" i="1"/>
  <c r="DM68" i="1"/>
  <c r="DN68" i="1"/>
  <c r="DO68" i="1"/>
  <c r="DP68" i="1"/>
  <c r="DR68" i="1"/>
  <c r="DU68" i="1"/>
  <c r="DX68" i="1"/>
  <c r="DZ68" i="1"/>
  <c r="EA68" i="1"/>
  <c r="EC68" i="1"/>
  <c r="ED68" i="1"/>
  <c r="EE68" i="1"/>
  <c r="EF68" i="1"/>
  <c r="EG68" i="1"/>
  <c r="ET68" i="1"/>
  <c r="EU68" i="1"/>
  <c r="EV68" i="1"/>
  <c r="EW68" i="1"/>
  <c r="EX68" i="1"/>
  <c r="EZ68" i="1"/>
  <c r="FA68" i="1"/>
  <c r="FB68" i="1"/>
  <c r="FC68" i="1"/>
  <c r="FD68" i="1"/>
  <c r="FE68" i="1"/>
  <c r="FF68" i="1"/>
  <c r="FG68" i="1"/>
  <c r="FH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H69" i="1"/>
  <c r="I69" i="1"/>
  <c r="L69" i="1"/>
  <c r="O69" i="1"/>
  <c r="R69" i="1"/>
  <c r="S69" i="1"/>
  <c r="T69" i="1"/>
  <c r="U69" i="1"/>
  <c r="W69" i="1"/>
  <c r="X69" i="1"/>
  <c r="Y69" i="1"/>
  <c r="Z69" i="1"/>
  <c r="AA69" i="1"/>
  <c r="AB69" i="1"/>
  <c r="AP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F69" i="1"/>
  <c r="CG69" i="1"/>
  <c r="CH69" i="1"/>
  <c r="CI69" i="1"/>
  <c r="CJ69" i="1"/>
  <c r="CK69" i="1"/>
  <c r="CL69" i="1"/>
  <c r="CM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G69" i="1"/>
  <c r="DJ69" i="1"/>
  <c r="DM69" i="1"/>
  <c r="DN69" i="1"/>
  <c r="DO69" i="1"/>
  <c r="DP69" i="1"/>
  <c r="DR69" i="1"/>
  <c r="DU69" i="1"/>
  <c r="DX69" i="1"/>
  <c r="DZ69" i="1"/>
  <c r="EA69" i="1"/>
  <c r="EC69" i="1"/>
  <c r="ED69" i="1"/>
  <c r="EE69" i="1"/>
  <c r="EF69" i="1"/>
  <c r="EG69" i="1"/>
  <c r="ET69" i="1"/>
  <c r="EU69" i="1"/>
  <c r="EV69" i="1"/>
  <c r="EW69" i="1"/>
  <c r="EX69" i="1"/>
  <c r="EZ69" i="1"/>
  <c r="FA69" i="1"/>
  <c r="FB69" i="1"/>
  <c r="FC69" i="1"/>
  <c r="FD69" i="1"/>
  <c r="FE69" i="1"/>
  <c r="FF69" i="1"/>
  <c r="FG69" i="1"/>
  <c r="FH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H70" i="1"/>
  <c r="I70" i="1"/>
  <c r="L70" i="1"/>
  <c r="O70" i="1"/>
  <c r="R70" i="1"/>
  <c r="S70" i="1"/>
  <c r="T70" i="1"/>
  <c r="U70" i="1"/>
  <c r="W70" i="1"/>
  <c r="X70" i="1"/>
  <c r="Y70" i="1"/>
  <c r="Z70" i="1"/>
  <c r="AA70" i="1"/>
  <c r="AB70" i="1"/>
  <c r="AP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F70" i="1"/>
  <c r="CG70" i="1"/>
  <c r="CH70" i="1"/>
  <c r="CI70" i="1"/>
  <c r="CJ70" i="1"/>
  <c r="CK70" i="1"/>
  <c r="CL70" i="1"/>
  <c r="CM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G70" i="1"/>
  <c r="DJ70" i="1"/>
  <c r="DM70" i="1"/>
  <c r="DN70" i="1"/>
  <c r="DO70" i="1"/>
  <c r="DP70" i="1"/>
  <c r="DR70" i="1"/>
  <c r="DU70" i="1"/>
  <c r="DX70" i="1"/>
  <c r="DZ70" i="1"/>
  <c r="EA70" i="1"/>
  <c r="EC70" i="1"/>
  <c r="ED70" i="1"/>
  <c r="EE70" i="1"/>
  <c r="EF70" i="1"/>
  <c r="EG70" i="1"/>
  <c r="ET70" i="1"/>
  <c r="EU70" i="1"/>
  <c r="EV70" i="1"/>
  <c r="EW70" i="1"/>
  <c r="EX70" i="1"/>
  <c r="EZ70" i="1"/>
  <c r="FA70" i="1"/>
  <c r="FB70" i="1"/>
  <c r="FC70" i="1"/>
  <c r="FD70" i="1"/>
  <c r="FE70" i="1"/>
  <c r="FF70" i="1"/>
  <c r="FG70" i="1"/>
  <c r="FH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H71" i="1"/>
  <c r="I71" i="1"/>
  <c r="L71" i="1"/>
  <c r="O71" i="1"/>
  <c r="R71" i="1"/>
  <c r="S71" i="1"/>
  <c r="T71" i="1"/>
  <c r="U71" i="1"/>
  <c r="W71" i="1"/>
  <c r="X71" i="1"/>
  <c r="Y71" i="1"/>
  <c r="Z71" i="1"/>
  <c r="AA71" i="1"/>
  <c r="AB71" i="1"/>
  <c r="AP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F71" i="1"/>
  <c r="CG71" i="1"/>
  <c r="CH71" i="1"/>
  <c r="CI71" i="1"/>
  <c r="CJ71" i="1"/>
  <c r="CK71" i="1"/>
  <c r="CL71" i="1"/>
  <c r="CM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G71" i="1"/>
  <c r="DJ71" i="1"/>
  <c r="DM71" i="1"/>
  <c r="DN71" i="1"/>
  <c r="DO71" i="1"/>
  <c r="DP71" i="1"/>
  <c r="DR71" i="1"/>
  <c r="DU71" i="1"/>
  <c r="DX71" i="1"/>
  <c r="DZ71" i="1"/>
  <c r="EA71" i="1"/>
  <c r="EC71" i="1"/>
  <c r="ED71" i="1"/>
  <c r="EE71" i="1"/>
  <c r="EF71" i="1"/>
  <c r="EG71" i="1"/>
  <c r="ET71" i="1"/>
  <c r="EU71" i="1"/>
  <c r="EV71" i="1"/>
  <c r="EW71" i="1"/>
  <c r="EX71" i="1"/>
  <c r="EZ71" i="1"/>
  <c r="FA71" i="1"/>
  <c r="FB71" i="1"/>
  <c r="FC71" i="1"/>
  <c r="FD71" i="1"/>
  <c r="FE71" i="1"/>
  <c r="FF71" i="1"/>
  <c r="FG71" i="1"/>
  <c r="FH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H72" i="1"/>
  <c r="I72" i="1"/>
  <c r="L72" i="1"/>
  <c r="O72" i="1"/>
  <c r="R72" i="1"/>
  <c r="S72" i="1"/>
  <c r="T72" i="1"/>
  <c r="U72" i="1"/>
  <c r="W72" i="1"/>
  <c r="X72" i="1"/>
  <c r="Y72" i="1"/>
  <c r="Z72" i="1"/>
  <c r="AA72" i="1"/>
  <c r="AB72" i="1"/>
  <c r="AP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F72" i="1"/>
  <c r="CG72" i="1"/>
  <c r="CH72" i="1"/>
  <c r="CI72" i="1"/>
  <c r="CJ72" i="1"/>
  <c r="CK72" i="1"/>
  <c r="CL72" i="1"/>
  <c r="CM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G72" i="1"/>
  <c r="DJ72" i="1"/>
  <c r="DM72" i="1"/>
  <c r="DN72" i="1"/>
  <c r="DO72" i="1"/>
  <c r="DP72" i="1"/>
  <c r="DR72" i="1"/>
  <c r="DU72" i="1"/>
  <c r="DX72" i="1"/>
  <c r="DZ72" i="1"/>
  <c r="EA72" i="1"/>
  <c r="EC72" i="1"/>
  <c r="ED72" i="1"/>
  <c r="EE72" i="1"/>
  <c r="EF72" i="1"/>
  <c r="EG72" i="1"/>
  <c r="ET72" i="1"/>
  <c r="EU72" i="1"/>
  <c r="EV72" i="1"/>
  <c r="EW72" i="1"/>
  <c r="EX72" i="1"/>
  <c r="EZ72" i="1"/>
  <c r="FA72" i="1"/>
  <c r="FB72" i="1"/>
  <c r="FC72" i="1"/>
  <c r="FD72" i="1"/>
  <c r="FE72" i="1"/>
  <c r="FF72" i="1"/>
  <c r="FG72" i="1"/>
  <c r="FH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H73" i="1"/>
  <c r="I73" i="1"/>
  <c r="L73" i="1"/>
  <c r="O73" i="1"/>
  <c r="R73" i="1"/>
  <c r="S73" i="1"/>
  <c r="T73" i="1"/>
  <c r="U73" i="1"/>
  <c r="W73" i="1"/>
  <c r="X73" i="1"/>
  <c r="Y73" i="1"/>
  <c r="Z73" i="1"/>
  <c r="AA73" i="1"/>
  <c r="AB73" i="1"/>
  <c r="AP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F73" i="1"/>
  <c r="CG73" i="1"/>
  <c r="CH73" i="1"/>
  <c r="CI73" i="1"/>
  <c r="CJ73" i="1"/>
  <c r="CK73" i="1"/>
  <c r="CL73" i="1"/>
  <c r="CM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G73" i="1"/>
  <c r="DJ73" i="1"/>
  <c r="DM73" i="1"/>
  <c r="DN73" i="1"/>
  <c r="DO73" i="1"/>
  <c r="DP73" i="1"/>
  <c r="DR73" i="1"/>
  <c r="DU73" i="1"/>
  <c r="DX73" i="1"/>
  <c r="DZ73" i="1"/>
  <c r="EA73" i="1"/>
  <c r="EC73" i="1"/>
  <c r="ED73" i="1"/>
  <c r="EE73" i="1"/>
  <c r="EF73" i="1"/>
  <c r="EG73" i="1"/>
  <c r="ET73" i="1"/>
  <c r="EU73" i="1"/>
  <c r="EV73" i="1"/>
  <c r="EW73" i="1"/>
  <c r="EX73" i="1"/>
  <c r="EZ73" i="1"/>
  <c r="FA73" i="1"/>
  <c r="FB73" i="1"/>
  <c r="FC73" i="1"/>
  <c r="FD73" i="1"/>
  <c r="FE73" i="1"/>
  <c r="FF73" i="1"/>
  <c r="FG73" i="1"/>
  <c r="FH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H74" i="1"/>
  <c r="I74" i="1"/>
  <c r="L74" i="1"/>
  <c r="O74" i="1"/>
  <c r="R74" i="1"/>
  <c r="S74" i="1"/>
  <c r="T74" i="1"/>
  <c r="U74" i="1"/>
  <c r="W74" i="1"/>
  <c r="X74" i="1"/>
  <c r="Y74" i="1"/>
  <c r="Z74" i="1"/>
  <c r="AA74" i="1"/>
  <c r="AB74" i="1"/>
  <c r="AP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F74" i="1"/>
  <c r="CG74" i="1"/>
  <c r="CH74" i="1"/>
  <c r="CI74" i="1"/>
  <c r="CJ74" i="1"/>
  <c r="CK74" i="1"/>
  <c r="CL74" i="1"/>
  <c r="CM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G74" i="1"/>
  <c r="DJ74" i="1"/>
  <c r="DM74" i="1"/>
  <c r="DN74" i="1"/>
  <c r="DO74" i="1"/>
  <c r="DP74" i="1"/>
  <c r="DR74" i="1"/>
  <c r="DU74" i="1"/>
  <c r="DX74" i="1"/>
  <c r="DZ74" i="1"/>
  <c r="EA74" i="1"/>
  <c r="EC74" i="1"/>
  <c r="ED74" i="1"/>
  <c r="EE74" i="1"/>
  <c r="EF74" i="1"/>
  <c r="EG74" i="1"/>
  <c r="ET74" i="1"/>
  <c r="EU74" i="1"/>
  <c r="EV74" i="1"/>
  <c r="EW74" i="1"/>
  <c r="EX74" i="1"/>
  <c r="EZ74" i="1"/>
  <c r="FA74" i="1"/>
  <c r="FB74" i="1"/>
  <c r="FC74" i="1"/>
  <c r="FD74" i="1"/>
  <c r="FE74" i="1"/>
  <c r="FF74" i="1"/>
  <c r="FG74" i="1"/>
  <c r="FH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H75" i="1"/>
  <c r="I75" i="1"/>
  <c r="L75" i="1"/>
  <c r="O75" i="1"/>
  <c r="R75" i="1"/>
  <c r="S75" i="1"/>
  <c r="T75" i="1"/>
  <c r="U75" i="1"/>
  <c r="W75" i="1"/>
  <c r="X75" i="1"/>
  <c r="Y75" i="1"/>
  <c r="Z75" i="1"/>
  <c r="AA75" i="1"/>
  <c r="AB75" i="1"/>
  <c r="AP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F75" i="1"/>
  <c r="CG75" i="1"/>
  <c r="CH75" i="1"/>
  <c r="CI75" i="1"/>
  <c r="CJ75" i="1"/>
  <c r="CK75" i="1"/>
  <c r="CL75" i="1"/>
  <c r="CM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G75" i="1"/>
  <c r="DJ75" i="1"/>
  <c r="DM75" i="1"/>
  <c r="DN75" i="1"/>
  <c r="DO75" i="1"/>
  <c r="DP75" i="1"/>
  <c r="DR75" i="1"/>
  <c r="DU75" i="1"/>
  <c r="DX75" i="1"/>
  <c r="DZ75" i="1"/>
  <c r="EA75" i="1"/>
  <c r="EC75" i="1"/>
  <c r="ED75" i="1"/>
  <c r="EE75" i="1"/>
  <c r="EF75" i="1"/>
  <c r="EG75" i="1"/>
  <c r="ET75" i="1"/>
  <c r="EU75" i="1"/>
  <c r="EV75" i="1"/>
  <c r="EW75" i="1"/>
  <c r="EX75" i="1"/>
  <c r="EZ75" i="1"/>
  <c r="FA75" i="1"/>
  <c r="FB75" i="1"/>
  <c r="FC75" i="1"/>
  <c r="FD75" i="1"/>
  <c r="FE75" i="1"/>
  <c r="FF75" i="1"/>
  <c r="FG75" i="1"/>
  <c r="FH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H76" i="1"/>
  <c r="I76" i="1"/>
  <c r="L76" i="1"/>
  <c r="O76" i="1"/>
  <c r="R76" i="1"/>
  <c r="S76" i="1"/>
  <c r="T76" i="1"/>
  <c r="U76" i="1"/>
  <c r="W76" i="1"/>
  <c r="X76" i="1"/>
  <c r="Y76" i="1"/>
  <c r="Z76" i="1"/>
  <c r="AA76" i="1"/>
  <c r="AB76" i="1"/>
  <c r="AP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F76" i="1"/>
  <c r="CG76" i="1"/>
  <c r="CH76" i="1"/>
  <c r="CI76" i="1"/>
  <c r="CJ76" i="1"/>
  <c r="CK76" i="1"/>
  <c r="CL76" i="1"/>
  <c r="CM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G76" i="1"/>
  <c r="DJ76" i="1"/>
  <c r="DM76" i="1"/>
  <c r="DN76" i="1"/>
  <c r="DO76" i="1"/>
  <c r="DP76" i="1"/>
  <c r="DR76" i="1"/>
  <c r="DU76" i="1"/>
  <c r="DX76" i="1"/>
  <c r="DZ76" i="1"/>
  <c r="EA76" i="1"/>
  <c r="EC76" i="1"/>
  <c r="ED76" i="1"/>
  <c r="EE76" i="1"/>
  <c r="EF76" i="1"/>
  <c r="EG76" i="1"/>
  <c r="ET76" i="1"/>
  <c r="EU76" i="1"/>
  <c r="EV76" i="1"/>
  <c r="EW76" i="1"/>
  <c r="EX76" i="1"/>
  <c r="EZ76" i="1"/>
  <c r="FA76" i="1"/>
  <c r="FB76" i="1"/>
  <c r="FC76" i="1"/>
  <c r="FD76" i="1"/>
  <c r="FE76" i="1"/>
  <c r="FF76" i="1"/>
  <c r="FG76" i="1"/>
  <c r="FH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H77" i="1"/>
  <c r="I77" i="1"/>
  <c r="L77" i="1"/>
  <c r="O77" i="1"/>
  <c r="R77" i="1"/>
  <c r="S77" i="1"/>
  <c r="T77" i="1"/>
  <c r="U77" i="1"/>
  <c r="W77" i="1"/>
  <c r="X77" i="1"/>
  <c r="Y77" i="1"/>
  <c r="Z77" i="1"/>
  <c r="AA77" i="1"/>
  <c r="AB77" i="1"/>
  <c r="AP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F77" i="1"/>
  <c r="CG77" i="1"/>
  <c r="CH77" i="1"/>
  <c r="CI77" i="1"/>
  <c r="CJ77" i="1"/>
  <c r="CK77" i="1"/>
  <c r="CL77" i="1"/>
  <c r="CM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G77" i="1"/>
  <c r="DJ77" i="1"/>
  <c r="DM77" i="1"/>
  <c r="DN77" i="1"/>
  <c r="DO77" i="1"/>
  <c r="DP77" i="1"/>
  <c r="DR77" i="1"/>
  <c r="DU77" i="1"/>
  <c r="DX77" i="1"/>
  <c r="DZ77" i="1"/>
  <c r="EA77" i="1"/>
  <c r="EC77" i="1"/>
  <c r="ED77" i="1"/>
  <c r="EE77" i="1"/>
  <c r="EF77" i="1"/>
  <c r="EG77" i="1"/>
  <c r="ET77" i="1"/>
  <c r="EU77" i="1"/>
  <c r="EV77" i="1"/>
  <c r="EW77" i="1"/>
  <c r="EX77" i="1"/>
  <c r="EZ77" i="1"/>
  <c r="FA77" i="1"/>
  <c r="FB77" i="1"/>
  <c r="FC77" i="1"/>
  <c r="FD77" i="1"/>
  <c r="FE77" i="1"/>
  <c r="FF77" i="1"/>
  <c r="FG77" i="1"/>
  <c r="FH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H78" i="1"/>
  <c r="I78" i="1"/>
  <c r="L78" i="1"/>
  <c r="O78" i="1"/>
  <c r="R78" i="1"/>
  <c r="S78" i="1"/>
  <c r="T78" i="1"/>
  <c r="U78" i="1"/>
  <c r="W78" i="1"/>
  <c r="X78" i="1"/>
  <c r="Y78" i="1"/>
  <c r="Z78" i="1"/>
  <c r="AA78" i="1"/>
  <c r="AB78" i="1"/>
  <c r="AP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G78" i="1"/>
  <c r="DJ78" i="1"/>
  <c r="DM78" i="1"/>
  <c r="DN78" i="1"/>
  <c r="DO78" i="1"/>
  <c r="DP78" i="1"/>
  <c r="DR78" i="1"/>
  <c r="DU78" i="1"/>
  <c r="DX78" i="1"/>
  <c r="DZ78" i="1"/>
  <c r="EA78" i="1"/>
  <c r="EC78" i="1"/>
  <c r="ED78" i="1"/>
  <c r="EE78" i="1"/>
  <c r="EF78" i="1"/>
  <c r="EG78" i="1"/>
  <c r="ET78" i="1"/>
  <c r="EU78" i="1"/>
  <c r="EV78" i="1"/>
  <c r="EW78" i="1"/>
  <c r="EX78" i="1"/>
  <c r="EZ78" i="1"/>
  <c r="FA78" i="1"/>
  <c r="FB78" i="1"/>
  <c r="FC78" i="1"/>
  <c r="FD78" i="1"/>
  <c r="FE78" i="1"/>
  <c r="FF78" i="1"/>
  <c r="FG78" i="1"/>
  <c r="FH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H79" i="1"/>
  <c r="I79" i="1"/>
  <c r="L79" i="1"/>
  <c r="O79" i="1"/>
  <c r="R79" i="1"/>
  <c r="S79" i="1"/>
  <c r="T79" i="1"/>
  <c r="U79" i="1"/>
  <c r="W79" i="1"/>
  <c r="X79" i="1"/>
  <c r="Y79" i="1"/>
  <c r="Z79" i="1"/>
  <c r="AA79" i="1"/>
  <c r="AB79" i="1"/>
  <c r="AP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F79" i="1"/>
  <c r="CG79" i="1"/>
  <c r="CH79" i="1"/>
  <c r="CI79" i="1"/>
  <c r="CJ79" i="1"/>
  <c r="CK79" i="1"/>
  <c r="CL79" i="1"/>
  <c r="CM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G79" i="1"/>
  <c r="DJ79" i="1"/>
  <c r="DM79" i="1"/>
  <c r="DN79" i="1"/>
  <c r="DO79" i="1"/>
  <c r="DP79" i="1"/>
  <c r="DR79" i="1"/>
  <c r="DU79" i="1"/>
  <c r="DX79" i="1"/>
  <c r="DZ79" i="1"/>
  <c r="EA79" i="1"/>
  <c r="EC79" i="1"/>
  <c r="ED79" i="1"/>
  <c r="EE79" i="1"/>
  <c r="EF79" i="1"/>
  <c r="EG79" i="1"/>
  <c r="ET79" i="1"/>
  <c r="EU79" i="1"/>
  <c r="EV79" i="1"/>
  <c r="EW79" i="1"/>
  <c r="EX79" i="1"/>
  <c r="EZ79" i="1"/>
  <c r="FA79" i="1"/>
  <c r="FB79" i="1"/>
  <c r="FC79" i="1"/>
  <c r="FD79" i="1"/>
  <c r="FE79" i="1"/>
  <c r="FF79" i="1"/>
  <c r="FG79" i="1"/>
  <c r="FH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H80" i="1"/>
  <c r="I80" i="1"/>
  <c r="L80" i="1"/>
  <c r="O80" i="1"/>
  <c r="R80" i="1"/>
  <c r="S80" i="1"/>
  <c r="T80" i="1"/>
  <c r="U80" i="1"/>
  <c r="W80" i="1"/>
  <c r="X80" i="1"/>
  <c r="Y80" i="1"/>
  <c r="Z80" i="1"/>
  <c r="AA80" i="1"/>
  <c r="AB80" i="1"/>
  <c r="AP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F80" i="1"/>
  <c r="CG80" i="1"/>
  <c r="CH80" i="1"/>
  <c r="CI80" i="1"/>
  <c r="CJ80" i="1"/>
  <c r="CK80" i="1"/>
  <c r="CL80" i="1"/>
  <c r="CM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G80" i="1"/>
  <c r="DJ80" i="1"/>
  <c r="DM80" i="1"/>
  <c r="DN80" i="1"/>
  <c r="DO80" i="1"/>
  <c r="DP80" i="1"/>
  <c r="DR80" i="1"/>
  <c r="DU80" i="1"/>
  <c r="DX80" i="1"/>
  <c r="DZ80" i="1"/>
  <c r="EA80" i="1"/>
  <c r="EC80" i="1"/>
  <c r="ED80" i="1"/>
  <c r="EE80" i="1"/>
  <c r="EF80" i="1"/>
  <c r="EG80" i="1"/>
  <c r="ET80" i="1"/>
  <c r="EU80" i="1"/>
  <c r="EV80" i="1"/>
  <c r="EW80" i="1"/>
  <c r="EX80" i="1"/>
  <c r="EZ80" i="1"/>
  <c r="FA80" i="1"/>
  <c r="FB80" i="1"/>
  <c r="FC80" i="1"/>
  <c r="FD80" i="1"/>
  <c r="FE80" i="1"/>
  <c r="FF80" i="1"/>
  <c r="FG80" i="1"/>
  <c r="FH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H81" i="1"/>
  <c r="I81" i="1"/>
  <c r="L81" i="1"/>
  <c r="O81" i="1"/>
  <c r="R81" i="1"/>
  <c r="S81" i="1"/>
  <c r="T81" i="1"/>
  <c r="U81" i="1"/>
  <c r="W81" i="1"/>
  <c r="X81" i="1"/>
  <c r="Y81" i="1"/>
  <c r="Z81" i="1"/>
  <c r="AA81" i="1"/>
  <c r="AB81" i="1"/>
  <c r="AP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F81" i="1"/>
  <c r="CG81" i="1"/>
  <c r="CH81" i="1"/>
  <c r="CI81" i="1"/>
  <c r="CJ81" i="1"/>
  <c r="CK81" i="1"/>
  <c r="CL81" i="1"/>
  <c r="CM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G81" i="1"/>
  <c r="DJ81" i="1"/>
  <c r="DM81" i="1"/>
  <c r="DN81" i="1"/>
  <c r="DO81" i="1"/>
  <c r="DP81" i="1"/>
  <c r="DR81" i="1"/>
  <c r="DU81" i="1"/>
  <c r="DX81" i="1"/>
  <c r="DZ81" i="1"/>
  <c r="EA81" i="1"/>
  <c r="EC81" i="1"/>
  <c r="ED81" i="1"/>
  <c r="EE81" i="1"/>
  <c r="EF81" i="1"/>
  <c r="EG81" i="1"/>
  <c r="ET81" i="1"/>
  <c r="EU81" i="1"/>
  <c r="EV81" i="1"/>
  <c r="EW81" i="1"/>
  <c r="EX81" i="1"/>
  <c r="EZ81" i="1"/>
  <c r="FA81" i="1"/>
  <c r="FB81" i="1"/>
  <c r="FC81" i="1"/>
  <c r="FD81" i="1"/>
  <c r="FE81" i="1"/>
  <c r="FF81" i="1"/>
  <c r="FG81" i="1"/>
  <c r="FH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H82" i="1"/>
  <c r="I82" i="1"/>
  <c r="L82" i="1"/>
  <c r="O82" i="1"/>
  <c r="R82" i="1"/>
  <c r="S82" i="1"/>
  <c r="T82" i="1"/>
  <c r="U82" i="1"/>
  <c r="W82" i="1"/>
  <c r="X82" i="1"/>
  <c r="Y82" i="1"/>
  <c r="Z82" i="1"/>
  <c r="AA82" i="1"/>
  <c r="AB82" i="1"/>
  <c r="AP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F82" i="1"/>
  <c r="CG82" i="1"/>
  <c r="CH82" i="1"/>
  <c r="CI82" i="1"/>
  <c r="CJ82" i="1"/>
  <c r="CK82" i="1"/>
  <c r="CL82" i="1"/>
  <c r="CM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G82" i="1"/>
  <c r="DJ82" i="1"/>
  <c r="DM82" i="1"/>
  <c r="DN82" i="1"/>
  <c r="DO82" i="1"/>
  <c r="DP82" i="1"/>
  <c r="DR82" i="1"/>
  <c r="DU82" i="1"/>
  <c r="DX82" i="1"/>
  <c r="DZ82" i="1"/>
  <c r="EA82" i="1"/>
  <c r="EC82" i="1"/>
  <c r="ED82" i="1"/>
  <c r="EE82" i="1"/>
  <c r="EF82" i="1"/>
  <c r="EG82" i="1"/>
  <c r="ET82" i="1"/>
  <c r="EU82" i="1"/>
  <c r="EV82" i="1"/>
  <c r="EW82" i="1"/>
  <c r="EX82" i="1"/>
  <c r="EZ82" i="1"/>
  <c r="FA82" i="1"/>
  <c r="FB82" i="1"/>
  <c r="FC82" i="1"/>
  <c r="FD82" i="1"/>
  <c r="FE82" i="1"/>
  <c r="FF82" i="1"/>
  <c r="FG82" i="1"/>
  <c r="FH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H83" i="1"/>
  <c r="I83" i="1"/>
  <c r="L83" i="1"/>
  <c r="O83" i="1"/>
  <c r="R83" i="1"/>
  <c r="S83" i="1"/>
  <c r="T83" i="1"/>
  <c r="U83" i="1"/>
  <c r="W83" i="1"/>
  <c r="X83" i="1"/>
  <c r="Y83" i="1"/>
  <c r="Z83" i="1"/>
  <c r="AA83" i="1"/>
  <c r="AB83" i="1"/>
  <c r="AP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F83" i="1"/>
  <c r="CG83" i="1"/>
  <c r="CH83" i="1"/>
  <c r="CI83" i="1"/>
  <c r="CJ83" i="1"/>
  <c r="CK83" i="1"/>
  <c r="CL83" i="1"/>
  <c r="CM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G83" i="1"/>
  <c r="DJ83" i="1"/>
  <c r="DM83" i="1"/>
  <c r="DN83" i="1"/>
  <c r="DO83" i="1"/>
  <c r="DP83" i="1"/>
  <c r="DR83" i="1"/>
  <c r="DU83" i="1"/>
  <c r="DX83" i="1"/>
  <c r="DZ83" i="1"/>
  <c r="EA83" i="1"/>
  <c r="EC83" i="1"/>
  <c r="ED83" i="1"/>
  <c r="EE83" i="1"/>
  <c r="EF83" i="1"/>
  <c r="EG83" i="1"/>
  <c r="ET83" i="1"/>
  <c r="EU83" i="1"/>
  <c r="EV83" i="1"/>
  <c r="EW83" i="1"/>
  <c r="EX83" i="1"/>
  <c r="EZ83" i="1"/>
  <c r="FA83" i="1"/>
  <c r="FB83" i="1"/>
  <c r="FC83" i="1"/>
  <c r="FD83" i="1"/>
  <c r="FE83" i="1"/>
  <c r="FF83" i="1"/>
  <c r="FG83" i="1"/>
  <c r="FH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H84" i="1"/>
  <c r="I84" i="1"/>
  <c r="L84" i="1"/>
  <c r="O84" i="1"/>
  <c r="R84" i="1"/>
  <c r="S84" i="1"/>
  <c r="T84" i="1"/>
  <c r="U84" i="1"/>
  <c r="W84" i="1"/>
  <c r="X84" i="1"/>
  <c r="Y84" i="1"/>
  <c r="Z84" i="1"/>
  <c r="AA84" i="1"/>
  <c r="AB84" i="1"/>
  <c r="AP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F84" i="1"/>
  <c r="CG84" i="1"/>
  <c r="CH84" i="1"/>
  <c r="CI84" i="1"/>
  <c r="CJ84" i="1"/>
  <c r="CK84" i="1"/>
  <c r="CL84" i="1"/>
  <c r="CM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G84" i="1"/>
  <c r="DJ84" i="1"/>
  <c r="DM84" i="1"/>
  <c r="DN84" i="1"/>
  <c r="DO84" i="1"/>
  <c r="DP84" i="1"/>
  <c r="DR84" i="1"/>
  <c r="DU84" i="1"/>
  <c r="DX84" i="1"/>
  <c r="DZ84" i="1"/>
  <c r="EA84" i="1"/>
  <c r="EC84" i="1"/>
  <c r="ED84" i="1"/>
  <c r="EE84" i="1"/>
  <c r="EF84" i="1"/>
  <c r="EG84" i="1"/>
  <c r="ET84" i="1"/>
  <c r="EU84" i="1"/>
  <c r="EV84" i="1"/>
  <c r="EW84" i="1"/>
  <c r="EX84" i="1"/>
  <c r="EZ84" i="1"/>
  <c r="FA84" i="1"/>
  <c r="FB84" i="1"/>
  <c r="FC84" i="1"/>
  <c r="FD84" i="1"/>
  <c r="FE84" i="1"/>
  <c r="FF84" i="1"/>
  <c r="FG84" i="1"/>
  <c r="FH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H85" i="1"/>
  <c r="I85" i="1"/>
  <c r="L85" i="1"/>
  <c r="O85" i="1"/>
  <c r="R85" i="1"/>
  <c r="S85" i="1"/>
  <c r="T85" i="1"/>
  <c r="U85" i="1"/>
  <c r="W85" i="1"/>
  <c r="X85" i="1"/>
  <c r="Y85" i="1"/>
  <c r="Z85" i="1"/>
  <c r="AA85" i="1"/>
  <c r="AB85" i="1"/>
  <c r="AP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F85" i="1"/>
  <c r="CG85" i="1"/>
  <c r="CH85" i="1"/>
  <c r="CI85" i="1"/>
  <c r="CJ85" i="1"/>
  <c r="CK85" i="1"/>
  <c r="CL85" i="1"/>
  <c r="CM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G85" i="1"/>
  <c r="DJ85" i="1"/>
  <c r="DM85" i="1"/>
  <c r="DN85" i="1"/>
  <c r="DO85" i="1"/>
  <c r="DP85" i="1"/>
  <c r="DR85" i="1"/>
  <c r="DU85" i="1"/>
  <c r="DX85" i="1"/>
  <c r="DZ85" i="1"/>
  <c r="EA85" i="1"/>
  <c r="EC85" i="1"/>
  <c r="ED85" i="1"/>
  <c r="EE85" i="1"/>
  <c r="EF85" i="1"/>
  <c r="EG85" i="1"/>
  <c r="ET85" i="1"/>
  <c r="EU85" i="1"/>
  <c r="EV85" i="1"/>
  <c r="EW85" i="1"/>
  <c r="EX85" i="1"/>
  <c r="EZ85" i="1"/>
  <c r="FA85" i="1"/>
  <c r="FB85" i="1"/>
  <c r="FC85" i="1"/>
  <c r="FD85" i="1"/>
  <c r="FE85" i="1"/>
  <c r="FF85" i="1"/>
  <c r="FG85" i="1"/>
  <c r="FH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H86" i="1"/>
  <c r="I86" i="1"/>
  <c r="L86" i="1"/>
  <c r="O86" i="1"/>
  <c r="R86" i="1"/>
  <c r="S86" i="1"/>
  <c r="T86" i="1"/>
  <c r="U86" i="1"/>
  <c r="W86" i="1"/>
  <c r="X86" i="1"/>
  <c r="Y86" i="1"/>
  <c r="Z86" i="1"/>
  <c r="AA86" i="1"/>
  <c r="AB86" i="1"/>
  <c r="AP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F86" i="1"/>
  <c r="CG86" i="1"/>
  <c r="CH86" i="1"/>
  <c r="CI86" i="1"/>
  <c r="CJ86" i="1"/>
  <c r="CK86" i="1"/>
  <c r="CL86" i="1"/>
  <c r="CM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G86" i="1"/>
  <c r="DJ86" i="1"/>
  <c r="DM86" i="1"/>
  <c r="DN86" i="1"/>
  <c r="DO86" i="1"/>
  <c r="DP86" i="1"/>
  <c r="DR86" i="1"/>
  <c r="DU86" i="1"/>
  <c r="DX86" i="1"/>
  <c r="DZ86" i="1"/>
  <c r="EA86" i="1"/>
  <c r="EC86" i="1"/>
  <c r="ED86" i="1"/>
  <c r="EE86" i="1"/>
  <c r="EF86" i="1"/>
  <c r="EG86" i="1"/>
  <c r="ET86" i="1"/>
  <c r="EU86" i="1"/>
  <c r="EV86" i="1"/>
  <c r="EW86" i="1"/>
  <c r="EX86" i="1"/>
  <c r="EZ86" i="1"/>
  <c r="FA86" i="1"/>
  <c r="FB86" i="1"/>
  <c r="FC86" i="1"/>
  <c r="FD86" i="1"/>
  <c r="FE86" i="1"/>
  <c r="FF86" i="1"/>
  <c r="FG86" i="1"/>
  <c r="FH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H87" i="1"/>
  <c r="I87" i="1"/>
  <c r="L87" i="1"/>
  <c r="O87" i="1"/>
  <c r="R87" i="1"/>
  <c r="S87" i="1"/>
  <c r="T87" i="1"/>
  <c r="U87" i="1"/>
  <c r="W87" i="1"/>
  <c r="X87" i="1"/>
  <c r="Y87" i="1"/>
  <c r="Z87" i="1"/>
  <c r="AA87" i="1"/>
  <c r="AB87" i="1"/>
  <c r="AP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F87" i="1"/>
  <c r="CG87" i="1"/>
  <c r="CH87" i="1"/>
  <c r="CI87" i="1"/>
  <c r="CJ87" i="1"/>
  <c r="CK87" i="1"/>
  <c r="CL87" i="1"/>
  <c r="CM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G87" i="1"/>
  <c r="DJ87" i="1"/>
  <c r="DM87" i="1"/>
  <c r="DN87" i="1"/>
  <c r="DO87" i="1"/>
  <c r="DP87" i="1"/>
  <c r="DR87" i="1"/>
  <c r="DU87" i="1"/>
  <c r="DX87" i="1"/>
  <c r="DZ87" i="1"/>
  <c r="EA87" i="1"/>
  <c r="EC87" i="1"/>
  <c r="ED87" i="1"/>
  <c r="EE87" i="1"/>
  <c r="EF87" i="1"/>
  <c r="EG87" i="1"/>
  <c r="ET87" i="1"/>
  <c r="EU87" i="1"/>
  <c r="EV87" i="1"/>
  <c r="EW87" i="1"/>
  <c r="EX87" i="1"/>
  <c r="EZ87" i="1"/>
  <c r="FA87" i="1"/>
  <c r="FB87" i="1"/>
  <c r="FC87" i="1"/>
  <c r="FD87" i="1"/>
  <c r="FE87" i="1"/>
  <c r="FF87" i="1"/>
  <c r="FG87" i="1"/>
  <c r="FH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H88" i="1"/>
  <c r="I88" i="1"/>
  <c r="L88" i="1"/>
  <c r="O88" i="1"/>
  <c r="R88" i="1"/>
  <c r="S88" i="1"/>
  <c r="T88" i="1"/>
  <c r="U88" i="1"/>
  <c r="W88" i="1"/>
  <c r="X88" i="1"/>
  <c r="Y88" i="1"/>
  <c r="Z88" i="1"/>
  <c r="AA88" i="1"/>
  <c r="AB88" i="1"/>
  <c r="AP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F88" i="1"/>
  <c r="CG88" i="1"/>
  <c r="CH88" i="1"/>
  <c r="CI88" i="1"/>
  <c r="CJ88" i="1"/>
  <c r="CK88" i="1"/>
  <c r="CL88" i="1"/>
  <c r="CM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G88" i="1"/>
  <c r="DJ88" i="1"/>
  <c r="DM88" i="1"/>
  <c r="DN88" i="1"/>
  <c r="DO88" i="1"/>
  <c r="DP88" i="1"/>
  <c r="DR88" i="1"/>
  <c r="DU88" i="1"/>
  <c r="DX88" i="1"/>
  <c r="DZ88" i="1"/>
  <c r="EA88" i="1"/>
  <c r="EC88" i="1"/>
  <c r="ED88" i="1"/>
  <c r="EE88" i="1"/>
  <c r="EF88" i="1"/>
  <c r="EG88" i="1"/>
  <c r="ET88" i="1"/>
  <c r="EU88" i="1"/>
  <c r="EV88" i="1"/>
  <c r="EW88" i="1"/>
  <c r="EX88" i="1"/>
  <c r="EZ88" i="1"/>
  <c r="FA88" i="1"/>
  <c r="FB88" i="1"/>
  <c r="FC88" i="1"/>
  <c r="FD88" i="1"/>
  <c r="FE88" i="1"/>
  <c r="FF88" i="1"/>
  <c r="FG88" i="1"/>
  <c r="FH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H89" i="1"/>
  <c r="I89" i="1"/>
  <c r="L89" i="1"/>
  <c r="O89" i="1"/>
  <c r="R89" i="1"/>
  <c r="S89" i="1"/>
  <c r="T89" i="1"/>
  <c r="U89" i="1"/>
  <c r="W89" i="1"/>
  <c r="X89" i="1"/>
  <c r="Y89" i="1"/>
  <c r="Z89" i="1"/>
  <c r="AA89" i="1"/>
  <c r="AB89" i="1"/>
  <c r="AP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F89" i="1"/>
  <c r="CG89" i="1"/>
  <c r="CH89" i="1"/>
  <c r="CI89" i="1"/>
  <c r="CJ89" i="1"/>
  <c r="CK89" i="1"/>
  <c r="CL89" i="1"/>
  <c r="CM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G89" i="1"/>
  <c r="DJ89" i="1"/>
  <c r="DM89" i="1"/>
  <c r="DN89" i="1"/>
  <c r="DO89" i="1"/>
  <c r="DP89" i="1"/>
  <c r="DR89" i="1"/>
  <c r="DU89" i="1"/>
  <c r="DX89" i="1"/>
  <c r="DZ89" i="1"/>
  <c r="EA89" i="1"/>
  <c r="EC89" i="1"/>
  <c r="ED89" i="1"/>
  <c r="EE89" i="1"/>
  <c r="EF89" i="1"/>
  <c r="EG89" i="1"/>
  <c r="ET89" i="1"/>
  <c r="EU89" i="1"/>
  <c r="EV89" i="1"/>
  <c r="EW89" i="1"/>
  <c r="EX89" i="1"/>
  <c r="EZ89" i="1"/>
  <c r="FA89" i="1"/>
  <c r="FB89" i="1"/>
  <c r="FC89" i="1"/>
  <c r="FD89" i="1"/>
  <c r="FE89" i="1"/>
  <c r="FF89" i="1"/>
  <c r="FG89" i="1"/>
  <c r="FH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H90" i="1"/>
  <c r="I90" i="1"/>
  <c r="L90" i="1"/>
  <c r="O90" i="1"/>
  <c r="R90" i="1"/>
  <c r="S90" i="1"/>
  <c r="T90" i="1"/>
  <c r="U90" i="1"/>
  <c r="W90" i="1"/>
  <c r="X90" i="1"/>
  <c r="Y90" i="1"/>
  <c r="Z90" i="1"/>
  <c r="AA90" i="1"/>
  <c r="AB90" i="1"/>
  <c r="AP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G90" i="1"/>
  <c r="DJ90" i="1"/>
  <c r="DM90" i="1"/>
  <c r="DN90" i="1"/>
  <c r="DO90" i="1"/>
  <c r="DP90" i="1"/>
  <c r="DR90" i="1"/>
  <c r="DU90" i="1"/>
  <c r="DX90" i="1"/>
  <c r="DZ90" i="1"/>
  <c r="EA90" i="1"/>
  <c r="EC90" i="1"/>
  <c r="ED90" i="1"/>
  <c r="EE90" i="1"/>
  <c r="EF90" i="1"/>
  <c r="EG90" i="1"/>
  <c r="ET90" i="1"/>
  <c r="EU90" i="1"/>
  <c r="EV90" i="1"/>
  <c r="EW90" i="1"/>
  <c r="EX90" i="1"/>
  <c r="EZ90" i="1"/>
  <c r="FA90" i="1"/>
  <c r="FB90" i="1"/>
  <c r="FC90" i="1"/>
  <c r="FD90" i="1"/>
  <c r="FE90" i="1"/>
  <c r="FF90" i="1"/>
  <c r="FG90" i="1"/>
  <c r="FH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H91" i="1"/>
  <c r="I91" i="1"/>
  <c r="L91" i="1"/>
  <c r="O91" i="1"/>
  <c r="R91" i="1"/>
  <c r="S91" i="1"/>
  <c r="T91" i="1"/>
  <c r="U91" i="1"/>
  <c r="W91" i="1"/>
  <c r="X91" i="1"/>
  <c r="Y91" i="1"/>
  <c r="Z91" i="1"/>
  <c r="AA91" i="1"/>
  <c r="AB91" i="1"/>
  <c r="AP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F91" i="1"/>
  <c r="CG91" i="1"/>
  <c r="CH91" i="1"/>
  <c r="CI91" i="1"/>
  <c r="CJ91" i="1"/>
  <c r="CK91" i="1"/>
  <c r="CL91" i="1"/>
  <c r="CM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G91" i="1"/>
  <c r="DJ91" i="1"/>
  <c r="DM91" i="1"/>
  <c r="DN91" i="1"/>
  <c r="DO91" i="1"/>
  <c r="DP91" i="1"/>
  <c r="DR91" i="1"/>
  <c r="DU91" i="1"/>
  <c r="DX91" i="1"/>
  <c r="DZ91" i="1"/>
  <c r="EA91" i="1"/>
  <c r="EC91" i="1"/>
  <c r="ED91" i="1"/>
  <c r="EE91" i="1"/>
  <c r="EF91" i="1"/>
  <c r="EG91" i="1"/>
  <c r="ET91" i="1"/>
  <c r="EU91" i="1"/>
  <c r="EV91" i="1"/>
  <c r="EW91" i="1"/>
  <c r="EX91" i="1"/>
  <c r="EZ91" i="1"/>
  <c r="FA91" i="1"/>
  <c r="FB91" i="1"/>
  <c r="FC91" i="1"/>
  <c r="FD91" i="1"/>
  <c r="FE91" i="1"/>
  <c r="FF91" i="1"/>
  <c r="FG91" i="1"/>
  <c r="FH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H92" i="1"/>
  <c r="I92" i="1"/>
  <c r="L92" i="1"/>
  <c r="O92" i="1"/>
  <c r="R92" i="1"/>
  <c r="S92" i="1"/>
  <c r="T92" i="1"/>
  <c r="U92" i="1"/>
  <c r="W92" i="1"/>
  <c r="X92" i="1"/>
  <c r="Y92" i="1"/>
  <c r="Z92" i="1"/>
  <c r="AA92" i="1"/>
  <c r="AB92" i="1"/>
  <c r="AP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G92" i="1"/>
  <c r="DJ92" i="1"/>
  <c r="DM92" i="1"/>
  <c r="DN92" i="1"/>
  <c r="DO92" i="1"/>
  <c r="DP92" i="1"/>
  <c r="DR92" i="1"/>
  <c r="DU92" i="1"/>
  <c r="DX92" i="1"/>
  <c r="DZ92" i="1"/>
  <c r="EA92" i="1"/>
  <c r="EC92" i="1"/>
  <c r="ED92" i="1"/>
  <c r="EE92" i="1"/>
  <c r="EF92" i="1"/>
  <c r="EG92" i="1"/>
  <c r="ET92" i="1"/>
  <c r="EU92" i="1"/>
  <c r="H93" i="1"/>
  <c r="I93" i="1"/>
  <c r="L93" i="1"/>
  <c r="O93" i="1"/>
  <c r="R93" i="1"/>
  <c r="S93" i="1"/>
  <c r="T93" i="1"/>
  <c r="U93" i="1"/>
  <c r="W93" i="1"/>
  <c r="X93" i="1"/>
  <c r="Y93" i="1"/>
  <c r="Z93" i="1"/>
  <c r="AA93" i="1"/>
  <c r="AB93" i="1"/>
  <c r="AP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F93" i="1"/>
  <c r="CG93" i="1"/>
  <c r="CH93" i="1"/>
  <c r="CI93" i="1"/>
  <c r="CJ93" i="1"/>
  <c r="CK93" i="1"/>
  <c r="CL93" i="1"/>
  <c r="CM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G93" i="1"/>
  <c r="DJ93" i="1"/>
  <c r="DM93" i="1"/>
  <c r="DN93" i="1"/>
  <c r="DO93" i="1"/>
  <c r="DP93" i="1"/>
  <c r="DR93" i="1"/>
  <c r="DU93" i="1"/>
  <c r="DX93" i="1"/>
  <c r="DZ93" i="1"/>
  <c r="EA93" i="1"/>
  <c r="EC93" i="1"/>
  <c r="ED93" i="1"/>
  <c r="EE93" i="1"/>
  <c r="EF93" i="1"/>
  <c r="EG93" i="1"/>
  <c r="ET93" i="1"/>
  <c r="EU93" i="1"/>
  <c r="H94" i="1"/>
  <c r="I94" i="1"/>
  <c r="L94" i="1"/>
  <c r="O94" i="1"/>
  <c r="R94" i="1"/>
  <c r="S94" i="1"/>
  <c r="T94" i="1"/>
  <c r="U94" i="1"/>
  <c r="W94" i="1"/>
  <c r="X94" i="1"/>
  <c r="Y94" i="1"/>
  <c r="Z94" i="1"/>
  <c r="AA94" i="1"/>
  <c r="AB94" i="1"/>
  <c r="AP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F94" i="1"/>
  <c r="CG94" i="1"/>
  <c r="CH94" i="1"/>
  <c r="CI94" i="1"/>
  <c r="CJ94" i="1"/>
  <c r="CK94" i="1"/>
  <c r="CL94" i="1"/>
  <c r="CM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G94" i="1"/>
  <c r="DJ94" i="1"/>
  <c r="DM94" i="1"/>
  <c r="DN94" i="1"/>
  <c r="DO94" i="1"/>
  <c r="DP94" i="1"/>
  <c r="DR94" i="1"/>
  <c r="DU94" i="1"/>
  <c r="DX94" i="1"/>
  <c r="DZ94" i="1"/>
  <c r="EA94" i="1"/>
  <c r="EC94" i="1"/>
  <c r="ED94" i="1"/>
  <c r="EE94" i="1"/>
  <c r="EF94" i="1"/>
  <c r="EG94" i="1"/>
  <c r="H95" i="1"/>
  <c r="I95" i="1"/>
  <c r="L95" i="1"/>
  <c r="O95" i="1"/>
  <c r="R95" i="1"/>
  <c r="S95" i="1"/>
  <c r="T95" i="1"/>
  <c r="U95" i="1"/>
  <c r="W95" i="1"/>
  <c r="X95" i="1"/>
  <c r="Y95" i="1"/>
  <c r="Z95" i="1"/>
  <c r="AA95" i="1"/>
  <c r="AB95" i="1"/>
  <c r="AP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F95" i="1"/>
  <c r="CG95" i="1"/>
  <c r="CH95" i="1"/>
  <c r="CI95" i="1"/>
  <c r="CJ95" i="1"/>
  <c r="CK95" i="1"/>
  <c r="CL95" i="1"/>
  <c r="CM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G95" i="1"/>
  <c r="DJ95" i="1"/>
  <c r="DM95" i="1"/>
  <c r="DN95" i="1"/>
  <c r="DO95" i="1"/>
  <c r="DP95" i="1"/>
  <c r="DR95" i="1"/>
  <c r="DU95" i="1"/>
  <c r="DX95" i="1"/>
  <c r="DZ95" i="1"/>
  <c r="EA95" i="1"/>
  <c r="EC95" i="1"/>
  <c r="ED95" i="1"/>
  <c r="EE95" i="1"/>
  <c r="EF95" i="1"/>
  <c r="EG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H96" i="1"/>
  <c r="I96" i="1"/>
  <c r="L96" i="1"/>
  <c r="O96" i="1"/>
  <c r="R96" i="1"/>
  <c r="S96" i="1"/>
  <c r="T96" i="1"/>
  <c r="U96" i="1"/>
  <c r="W96" i="1"/>
  <c r="X96" i="1"/>
  <c r="Y96" i="1"/>
  <c r="Z96" i="1"/>
  <c r="AA96" i="1"/>
  <c r="AB96" i="1"/>
  <c r="AP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F96" i="1"/>
  <c r="CG96" i="1"/>
  <c r="CH96" i="1"/>
  <c r="CI96" i="1"/>
  <c r="CJ96" i="1"/>
  <c r="CK96" i="1"/>
  <c r="CL96" i="1"/>
  <c r="CM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G96" i="1"/>
  <c r="DJ96" i="1"/>
  <c r="DM96" i="1"/>
  <c r="DN96" i="1"/>
  <c r="DO96" i="1"/>
  <c r="DP96" i="1"/>
  <c r="DR96" i="1"/>
  <c r="DU96" i="1"/>
  <c r="DX96" i="1"/>
  <c r="DZ96" i="1"/>
  <c r="EA96" i="1"/>
  <c r="EC96" i="1"/>
  <c r="ED96" i="1"/>
  <c r="EE96" i="1"/>
  <c r="EF96" i="1"/>
  <c r="EG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H97" i="1"/>
  <c r="I97" i="1"/>
  <c r="L97" i="1"/>
  <c r="O97" i="1"/>
  <c r="R97" i="1"/>
  <c r="S97" i="1"/>
  <c r="T97" i="1"/>
  <c r="U97" i="1"/>
  <c r="W97" i="1"/>
  <c r="X97" i="1"/>
  <c r="Y97" i="1"/>
  <c r="Z97" i="1"/>
  <c r="AA97" i="1"/>
  <c r="AB97" i="1"/>
  <c r="AP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F97" i="1"/>
  <c r="CG97" i="1"/>
  <c r="CH97" i="1"/>
  <c r="CI97" i="1"/>
  <c r="CJ97" i="1"/>
  <c r="CK97" i="1"/>
  <c r="CL97" i="1"/>
  <c r="CM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G97" i="1"/>
  <c r="DJ97" i="1"/>
  <c r="DM97" i="1"/>
  <c r="DN97" i="1"/>
  <c r="DO97" i="1"/>
  <c r="DP97" i="1"/>
  <c r="DR97" i="1"/>
  <c r="DU97" i="1"/>
  <c r="DX97" i="1"/>
  <c r="DZ97" i="1"/>
  <c r="EA97" i="1"/>
  <c r="EC97" i="1"/>
  <c r="ED97" i="1"/>
  <c r="EE97" i="1"/>
  <c r="EF97" i="1"/>
  <c r="EG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H98" i="1"/>
  <c r="I98" i="1"/>
  <c r="L98" i="1"/>
  <c r="O98" i="1"/>
  <c r="R98" i="1"/>
  <c r="S98" i="1"/>
  <c r="T98" i="1"/>
  <c r="U98" i="1"/>
  <c r="W98" i="1"/>
  <c r="X98" i="1"/>
  <c r="Y98" i="1"/>
  <c r="Z98" i="1"/>
  <c r="AA98" i="1"/>
  <c r="AB98" i="1"/>
  <c r="AP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F98" i="1"/>
  <c r="CG98" i="1"/>
  <c r="CH98" i="1"/>
  <c r="CI98" i="1"/>
  <c r="CJ98" i="1"/>
  <c r="CK98" i="1"/>
  <c r="CL98" i="1"/>
  <c r="CM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G98" i="1"/>
  <c r="DJ98" i="1"/>
  <c r="DM98" i="1"/>
  <c r="DN98" i="1"/>
  <c r="DO98" i="1"/>
  <c r="DP98" i="1"/>
  <c r="DR98" i="1"/>
  <c r="DU98" i="1"/>
  <c r="DX98" i="1"/>
  <c r="DZ98" i="1"/>
  <c r="EA98" i="1"/>
  <c r="EC98" i="1"/>
  <c r="ED98" i="1"/>
  <c r="EE98" i="1"/>
  <c r="EF98" i="1"/>
  <c r="EG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H99" i="1"/>
  <c r="I99" i="1"/>
  <c r="L99" i="1"/>
  <c r="O99" i="1"/>
  <c r="R99" i="1"/>
  <c r="S99" i="1"/>
  <c r="T99" i="1"/>
  <c r="U99" i="1"/>
  <c r="W99" i="1"/>
  <c r="X99" i="1"/>
  <c r="Y99" i="1"/>
  <c r="Z99" i="1"/>
  <c r="AA99" i="1"/>
  <c r="AB99" i="1"/>
  <c r="AP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F99" i="1"/>
  <c r="CG99" i="1"/>
  <c r="CH99" i="1"/>
  <c r="CI99" i="1"/>
  <c r="CJ99" i="1"/>
  <c r="CK99" i="1"/>
  <c r="CL99" i="1"/>
  <c r="CM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G99" i="1"/>
  <c r="DJ99" i="1"/>
  <c r="DM99" i="1"/>
  <c r="DN99" i="1"/>
  <c r="DO99" i="1"/>
  <c r="DP99" i="1"/>
  <c r="DR99" i="1"/>
  <c r="DU99" i="1"/>
  <c r="DX99" i="1"/>
  <c r="DZ99" i="1"/>
  <c r="EA99" i="1"/>
  <c r="EC99" i="1"/>
  <c r="ED99" i="1"/>
  <c r="EE99" i="1"/>
  <c r="EF99" i="1"/>
  <c r="EG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H100" i="1"/>
  <c r="I100" i="1"/>
  <c r="L100" i="1"/>
  <c r="O100" i="1"/>
  <c r="R100" i="1"/>
  <c r="S100" i="1"/>
  <c r="T100" i="1"/>
  <c r="U100" i="1"/>
  <c r="W100" i="1"/>
  <c r="X100" i="1"/>
  <c r="Y100" i="1"/>
  <c r="Z100" i="1"/>
  <c r="AA100" i="1"/>
  <c r="AB100" i="1"/>
  <c r="AP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F100" i="1"/>
  <c r="CG100" i="1"/>
  <c r="CH100" i="1"/>
  <c r="CI100" i="1"/>
  <c r="CJ100" i="1"/>
  <c r="CK100" i="1"/>
  <c r="CL100" i="1"/>
  <c r="CM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G100" i="1"/>
  <c r="DJ100" i="1"/>
  <c r="DM100" i="1"/>
  <c r="DN100" i="1"/>
  <c r="DO100" i="1"/>
  <c r="DP100" i="1"/>
  <c r="DR100" i="1"/>
  <c r="DU100" i="1"/>
  <c r="DX100" i="1"/>
  <c r="DZ100" i="1"/>
  <c r="EA100" i="1"/>
  <c r="EC100" i="1"/>
  <c r="ED100" i="1"/>
  <c r="EE100" i="1"/>
  <c r="EF100" i="1"/>
  <c r="EG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H101" i="1"/>
  <c r="I101" i="1"/>
  <c r="L101" i="1"/>
  <c r="O101" i="1"/>
  <c r="R101" i="1"/>
  <c r="S101" i="1"/>
  <c r="T101" i="1"/>
  <c r="U101" i="1"/>
  <c r="W101" i="1"/>
  <c r="X101" i="1"/>
  <c r="Y101" i="1"/>
  <c r="Z101" i="1"/>
  <c r="AA101" i="1"/>
  <c r="AB101" i="1"/>
  <c r="AP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F101" i="1"/>
  <c r="CG101" i="1"/>
  <c r="CH101" i="1"/>
  <c r="CI101" i="1"/>
  <c r="CJ101" i="1"/>
  <c r="CK101" i="1"/>
  <c r="CL101" i="1"/>
  <c r="CM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G101" i="1"/>
  <c r="DJ101" i="1"/>
  <c r="DM101" i="1"/>
  <c r="DN101" i="1"/>
  <c r="DO101" i="1"/>
  <c r="DP101" i="1"/>
  <c r="DR101" i="1"/>
  <c r="DU101" i="1"/>
  <c r="DX101" i="1"/>
  <c r="DZ101" i="1"/>
  <c r="EA101" i="1"/>
  <c r="EC101" i="1"/>
  <c r="ED101" i="1"/>
  <c r="EE101" i="1"/>
  <c r="EF101" i="1"/>
  <c r="EG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H102" i="1"/>
  <c r="I102" i="1"/>
  <c r="L102" i="1"/>
  <c r="O102" i="1"/>
  <c r="R102" i="1"/>
  <c r="S102" i="1"/>
  <c r="T102" i="1"/>
  <c r="U102" i="1"/>
  <c r="W102" i="1"/>
  <c r="X102" i="1"/>
  <c r="Y102" i="1"/>
  <c r="Z102" i="1"/>
  <c r="AA102" i="1"/>
  <c r="AB102" i="1"/>
  <c r="AP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F102" i="1"/>
  <c r="CG102" i="1"/>
  <c r="CH102" i="1"/>
  <c r="CI102" i="1"/>
  <c r="CJ102" i="1"/>
  <c r="CK102" i="1"/>
  <c r="CL102" i="1"/>
  <c r="CM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G102" i="1"/>
  <c r="DJ102" i="1"/>
  <c r="DM102" i="1"/>
  <c r="DN102" i="1"/>
  <c r="DO102" i="1"/>
  <c r="DP102" i="1"/>
  <c r="DR102" i="1"/>
  <c r="DU102" i="1"/>
  <c r="DX102" i="1"/>
  <c r="DZ102" i="1"/>
  <c r="EA102" i="1"/>
  <c r="EC102" i="1"/>
  <c r="ED102" i="1"/>
  <c r="EE102" i="1"/>
  <c r="EF102" i="1"/>
  <c r="EG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H103" i="1"/>
  <c r="I103" i="1"/>
  <c r="L103" i="1"/>
  <c r="O103" i="1"/>
  <c r="R103" i="1"/>
  <c r="S103" i="1"/>
  <c r="T103" i="1"/>
  <c r="U103" i="1"/>
  <c r="W103" i="1"/>
  <c r="X103" i="1"/>
  <c r="Y103" i="1"/>
  <c r="Z103" i="1"/>
  <c r="AA103" i="1"/>
  <c r="AB103" i="1"/>
  <c r="AP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F103" i="1"/>
  <c r="CG103" i="1"/>
  <c r="CH103" i="1"/>
  <c r="CI103" i="1"/>
  <c r="CJ103" i="1"/>
  <c r="CK103" i="1"/>
  <c r="CL103" i="1"/>
  <c r="CM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G103" i="1"/>
  <c r="DJ103" i="1"/>
  <c r="DM103" i="1"/>
  <c r="DN103" i="1"/>
  <c r="DO103" i="1"/>
  <c r="DP103" i="1"/>
  <c r="DR103" i="1"/>
  <c r="DU103" i="1"/>
  <c r="DX103" i="1"/>
  <c r="DZ103" i="1"/>
  <c r="EA103" i="1"/>
  <c r="EC103" i="1"/>
  <c r="ED103" i="1"/>
  <c r="EE103" i="1"/>
  <c r="EF103" i="1"/>
  <c r="EG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H104" i="1"/>
  <c r="I104" i="1"/>
  <c r="L104" i="1"/>
  <c r="O104" i="1"/>
  <c r="R104" i="1"/>
  <c r="S104" i="1"/>
  <c r="T104" i="1"/>
  <c r="U104" i="1"/>
  <c r="W104" i="1"/>
  <c r="X104" i="1"/>
  <c r="Y104" i="1"/>
  <c r="Z104" i="1"/>
  <c r="AA104" i="1"/>
  <c r="AB104" i="1"/>
  <c r="AP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F104" i="1"/>
  <c r="CG104" i="1"/>
  <c r="CH104" i="1"/>
  <c r="CI104" i="1"/>
  <c r="CJ104" i="1"/>
  <c r="CK104" i="1"/>
  <c r="CL104" i="1"/>
  <c r="CM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G104" i="1"/>
  <c r="DJ104" i="1"/>
  <c r="DM104" i="1"/>
  <c r="DN104" i="1"/>
  <c r="DO104" i="1"/>
  <c r="DP104" i="1"/>
  <c r="DR104" i="1"/>
  <c r="DU104" i="1"/>
  <c r="DX104" i="1"/>
  <c r="DZ104" i="1"/>
  <c r="EA104" i="1"/>
  <c r="EC104" i="1"/>
  <c r="ED104" i="1"/>
  <c r="EE104" i="1"/>
  <c r="EF104" i="1"/>
  <c r="EG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H105" i="1"/>
  <c r="I105" i="1"/>
  <c r="L105" i="1"/>
  <c r="O105" i="1"/>
  <c r="R105" i="1"/>
  <c r="S105" i="1"/>
  <c r="T105" i="1"/>
  <c r="U105" i="1"/>
  <c r="W105" i="1"/>
  <c r="X105" i="1"/>
  <c r="Y105" i="1"/>
  <c r="Z105" i="1"/>
  <c r="AA105" i="1"/>
  <c r="AB105" i="1"/>
  <c r="AP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F105" i="1"/>
  <c r="CG105" i="1"/>
  <c r="CH105" i="1"/>
  <c r="CI105" i="1"/>
  <c r="CJ105" i="1"/>
  <c r="CK105" i="1"/>
  <c r="CL105" i="1"/>
  <c r="CM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G105" i="1"/>
  <c r="DJ105" i="1"/>
  <c r="DM105" i="1"/>
  <c r="DN105" i="1"/>
  <c r="DO105" i="1"/>
  <c r="DP105" i="1"/>
  <c r="DR105" i="1"/>
  <c r="DU105" i="1"/>
  <c r="DX105" i="1"/>
  <c r="DZ105" i="1"/>
  <c r="EA105" i="1"/>
  <c r="EC105" i="1"/>
  <c r="ED105" i="1"/>
  <c r="EE105" i="1"/>
  <c r="EF105" i="1"/>
  <c r="EG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H106" i="1"/>
  <c r="I106" i="1"/>
  <c r="L106" i="1"/>
  <c r="O106" i="1"/>
  <c r="R106" i="1"/>
  <c r="S106" i="1"/>
  <c r="T106" i="1"/>
  <c r="U106" i="1"/>
  <c r="W106" i="1"/>
  <c r="X106" i="1"/>
  <c r="Y106" i="1"/>
  <c r="Z106" i="1"/>
  <c r="AA106" i="1"/>
  <c r="AB106" i="1"/>
  <c r="AP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F106" i="1"/>
  <c r="CG106" i="1"/>
  <c r="CH106" i="1"/>
  <c r="CI106" i="1"/>
  <c r="CJ106" i="1"/>
  <c r="CK106" i="1"/>
  <c r="CL106" i="1"/>
  <c r="CM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G106" i="1"/>
  <c r="DJ106" i="1"/>
  <c r="DM106" i="1"/>
  <c r="DN106" i="1"/>
  <c r="DO106" i="1"/>
  <c r="DP106" i="1"/>
  <c r="DR106" i="1"/>
  <c r="DU106" i="1"/>
  <c r="DX106" i="1"/>
  <c r="DZ106" i="1"/>
  <c r="EA106" i="1"/>
  <c r="EC106" i="1"/>
  <c r="ED106" i="1"/>
  <c r="EE106" i="1"/>
  <c r="EF106" i="1"/>
  <c r="EG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H107" i="1"/>
  <c r="I107" i="1"/>
  <c r="L107" i="1"/>
  <c r="O107" i="1"/>
  <c r="R107" i="1"/>
  <c r="S107" i="1"/>
  <c r="T107" i="1"/>
  <c r="U107" i="1"/>
  <c r="W107" i="1"/>
  <c r="X107" i="1"/>
  <c r="Y107" i="1"/>
  <c r="Z107" i="1"/>
  <c r="AA107" i="1"/>
  <c r="AB107" i="1"/>
  <c r="AP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F107" i="1"/>
  <c r="CG107" i="1"/>
  <c r="CH107" i="1"/>
  <c r="CI107" i="1"/>
  <c r="CJ107" i="1"/>
  <c r="CK107" i="1"/>
  <c r="CL107" i="1"/>
  <c r="CM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G107" i="1"/>
  <c r="DJ107" i="1"/>
  <c r="DM107" i="1"/>
  <c r="DN107" i="1"/>
  <c r="DO107" i="1"/>
  <c r="DP107" i="1"/>
  <c r="DR107" i="1"/>
  <c r="DU107" i="1"/>
  <c r="DX107" i="1"/>
  <c r="DZ107" i="1"/>
  <c r="EA107" i="1"/>
  <c r="EC107" i="1"/>
  <c r="ED107" i="1"/>
  <c r="EE107" i="1"/>
  <c r="EF107" i="1"/>
  <c r="EG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H108" i="1"/>
  <c r="I108" i="1"/>
  <c r="L108" i="1"/>
  <c r="O108" i="1"/>
  <c r="R108" i="1"/>
  <c r="S108" i="1"/>
  <c r="T108" i="1"/>
  <c r="U108" i="1"/>
  <c r="W108" i="1"/>
  <c r="X108" i="1"/>
  <c r="Y108" i="1"/>
  <c r="Z108" i="1"/>
  <c r="AA108" i="1"/>
  <c r="AB108" i="1"/>
  <c r="AP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F108" i="1"/>
  <c r="CG108" i="1"/>
  <c r="CH108" i="1"/>
  <c r="CI108" i="1"/>
  <c r="CJ108" i="1"/>
  <c r="CK108" i="1"/>
  <c r="CL108" i="1"/>
  <c r="CM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G108" i="1"/>
  <c r="DJ108" i="1"/>
  <c r="DM108" i="1"/>
  <c r="DN108" i="1"/>
  <c r="DO108" i="1"/>
  <c r="DP108" i="1"/>
  <c r="DR108" i="1"/>
  <c r="DU108" i="1"/>
  <c r="DX108" i="1"/>
  <c r="DZ108" i="1"/>
  <c r="EA108" i="1"/>
  <c r="EC108" i="1"/>
  <c r="ED108" i="1"/>
  <c r="EE108" i="1"/>
  <c r="EF108" i="1"/>
  <c r="EG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H109" i="1"/>
  <c r="I109" i="1"/>
  <c r="L109" i="1"/>
  <c r="O109" i="1"/>
  <c r="R109" i="1"/>
  <c r="S109" i="1"/>
  <c r="T109" i="1"/>
  <c r="U109" i="1"/>
  <c r="W109" i="1"/>
  <c r="X109" i="1"/>
  <c r="Y109" i="1"/>
  <c r="Z109" i="1"/>
  <c r="AA109" i="1"/>
  <c r="AB109" i="1"/>
  <c r="AP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F109" i="1"/>
  <c r="CG109" i="1"/>
  <c r="CH109" i="1"/>
  <c r="CI109" i="1"/>
  <c r="CJ109" i="1"/>
  <c r="CK109" i="1"/>
  <c r="CL109" i="1"/>
  <c r="CM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G109" i="1"/>
  <c r="DJ109" i="1"/>
  <c r="DM109" i="1"/>
  <c r="DN109" i="1"/>
  <c r="DO109" i="1"/>
  <c r="DP109" i="1"/>
  <c r="DR109" i="1"/>
  <c r="DU109" i="1"/>
  <c r="DX109" i="1"/>
  <c r="DZ109" i="1"/>
  <c r="EA109" i="1"/>
  <c r="EC109" i="1"/>
  <c r="ED109" i="1"/>
  <c r="EE109" i="1"/>
  <c r="EF109" i="1"/>
  <c r="EG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H110" i="1"/>
  <c r="I110" i="1"/>
  <c r="L110" i="1"/>
  <c r="O110" i="1"/>
  <c r="R110" i="1"/>
  <c r="S110" i="1"/>
  <c r="T110" i="1"/>
  <c r="U110" i="1"/>
  <c r="W110" i="1"/>
  <c r="X110" i="1"/>
  <c r="Y110" i="1"/>
  <c r="Z110" i="1"/>
  <c r="AA110" i="1"/>
  <c r="AB110" i="1"/>
  <c r="AP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F110" i="1"/>
  <c r="CG110" i="1"/>
  <c r="CH110" i="1"/>
  <c r="CI110" i="1"/>
  <c r="CJ110" i="1"/>
  <c r="CK110" i="1"/>
  <c r="CL110" i="1"/>
  <c r="CM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G110" i="1"/>
  <c r="DJ110" i="1"/>
  <c r="DM110" i="1"/>
  <c r="DN110" i="1"/>
  <c r="DO110" i="1"/>
  <c r="DP110" i="1"/>
  <c r="DR110" i="1"/>
  <c r="DU110" i="1"/>
  <c r="DX110" i="1"/>
  <c r="DZ110" i="1"/>
  <c r="EA110" i="1"/>
  <c r="EC110" i="1"/>
  <c r="ED110" i="1"/>
  <c r="EE110" i="1"/>
  <c r="EF110" i="1"/>
  <c r="EG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H111" i="1"/>
  <c r="I111" i="1"/>
  <c r="L111" i="1"/>
  <c r="O111" i="1"/>
  <c r="R111" i="1"/>
  <c r="S111" i="1"/>
  <c r="T111" i="1"/>
  <c r="U111" i="1"/>
  <c r="W111" i="1"/>
  <c r="X111" i="1"/>
  <c r="Y111" i="1"/>
  <c r="Z111" i="1"/>
  <c r="AA111" i="1"/>
  <c r="AB111" i="1"/>
  <c r="AP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F111" i="1"/>
  <c r="CG111" i="1"/>
  <c r="CH111" i="1"/>
  <c r="CI111" i="1"/>
  <c r="CJ111" i="1"/>
  <c r="CK111" i="1"/>
  <c r="CL111" i="1"/>
  <c r="CM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G111" i="1"/>
  <c r="DJ111" i="1"/>
  <c r="DM111" i="1"/>
  <c r="DN111" i="1"/>
  <c r="DO111" i="1"/>
  <c r="DP111" i="1"/>
  <c r="DR111" i="1"/>
  <c r="DU111" i="1"/>
  <c r="DX111" i="1"/>
  <c r="DZ111" i="1"/>
  <c r="EA111" i="1"/>
  <c r="EC111" i="1"/>
  <c r="ED111" i="1"/>
  <c r="EE111" i="1"/>
  <c r="EF111" i="1"/>
  <c r="EG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H112" i="1"/>
  <c r="I112" i="1"/>
  <c r="L112" i="1"/>
  <c r="O112" i="1"/>
  <c r="R112" i="1"/>
  <c r="S112" i="1"/>
  <c r="T112" i="1"/>
  <c r="U112" i="1"/>
  <c r="W112" i="1"/>
  <c r="X112" i="1"/>
  <c r="Y112" i="1"/>
  <c r="Z112" i="1"/>
  <c r="AA112" i="1"/>
  <c r="AB112" i="1"/>
  <c r="AP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F112" i="1"/>
  <c r="CG112" i="1"/>
  <c r="CH112" i="1"/>
  <c r="CI112" i="1"/>
  <c r="CJ112" i="1"/>
  <c r="CK112" i="1"/>
  <c r="CL112" i="1"/>
  <c r="CM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G112" i="1"/>
  <c r="DJ112" i="1"/>
  <c r="DM112" i="1"/>
  <c r="DN112" i="1"/>
  <c r="DO112" i="1"/>
  <c r="DP112" i="1"/>
  <c r="DR112" i="1"/>
  <c r="DU112" i="1"/>
  <c r="DX112" i="1"/>
  <c r="DZ112" i="1"/>
  <c r="EA112" i="1"/>
  <c r="EC112" i="1"/>
  <c r="ED112" i="1"/>
  <c r="EE112" i="1"/>
  <c r="EF112" i="1"/>
  <c r="EG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H113" i="1"/>
  <c r="I113" i="1"/>
  <c r="L113" i="1"/>
  <c r="O113" i="1"/>
  <c r="R113" i="1"/>
  <c r="S113" i="1"/>
  <c r="T113" i="1"/>
  <c r="U113" i="1"/>
  <c r="W113" i="1"/>
  <c r="X113" i="1"/>
  <c r="Y113" i="1"/>
  <c r="Z113" i="1"/>
  <c r="AA113" i="1"/>
  <c r="AB113" i="1"/>
  <c r="AP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F113" i="1"/>
  <c r="CG113" i="1"/>
  <c r="CH113" i="1"/>
  <c r="CI113" i="1"/>
  <c r="CJ113" i="1"/>
  <c r="CK113" i="1"/>
  <c r="CL113" i="1"/>
  <c r="CM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G113" i="1"/>
  <c r="DJ113" i="1"/>
  <c r="DM113" i="1"/>
  <c r="DN113" i="1"/>
  <c r="DO113" i="1"/>
  <c r="DP113" i="1"/>
  <c r="DR113" i="1"/>
  <c r="DU113" i="1"/>
  <c r="DX113" i="1"/>
  <c r="DZ113" i="1"/>
  <c r="EA113" i="1"/>
  <c r="EC113" i="1"/>
  <c r="ED113" i="1"/>
  <c r="EE113" i="1"/>
  <c r="EF113" i="1"/>
  <c r="EG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H114" i="1"/>
  <c r="I114" i="1"/>
  <c r="L114" i="1"/>
  <c r="O114" i="1"/>
  <c r="R114" i="1"/>
  <c r="S114" i="1"/>
  <c r="T114" i="1"/>
  <c r="U114" i="1"/>
  <c r="W114" i="1"/>
  <c r="X114" i="1"/>
  <c r="Y114" i="1"/>
  <c r="Z114" i="1"/>
  <c r="AA114" i="1"/>
  <c r="AB114" i="1"/>
  <c r="AP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F114" i="1"/>
  <c r="CG114" i="1"/>
  <c r="CH114" i="1"/>
  <c r="CI114" i="1"/>
  <c r="CJ114" i="1"/>
  <c r="CK114" i="1"/>
  <c r="CL114" i="1"/>
  <c r="CM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G114" i="1"/>
  <c r="DJ114" i="1"/>
  <c r="DM114" i="1"/>
  <c r="DN114" i="1"/>
  <c r="DO114" i="1"/>
  <c r="DP114" i="1"/>
  <c r="DR114" i="1"/>
  <c r="DU114" i="1"/>
  <c r="DX114" i="1"/>
  <c r="DZ114" i="1"/>
  <c r="EA114" i="1"/>
  <c r="EC114" i="1"/>
  <c r="ED114" i="1"/>
  <c r="EE114" i="1"/>
  <c r="EF114" i="1"/>
  <c r="EG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H115" i="1"/>
  <c r="I115" i="1"/>
  <c r="L115" i="1"/>
  <c r="O115" i="1"/>
  <c r="R115" i="1"/>
  <c r="S115" i="1"/>
  <c r="T115" i="1"/>
  <c r="U115" i="1"/>
  <c r="W115" i="1"/>
  <c r="X115" i="1"/>
  <c r="Y115" i="1"/>
  <c r="Z115" i="1"/>
  <c r="AA115" i="1"/>
  <c r="AB115" i="1"/>
  <c r="AP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F115" i="1"/>
  <c r="CG115" i="1"/>
  <c r="CH115" i="1"/>
  <c r="CI115" i="1"/>
  <c r="CJ115" i="1"/>
  <c r="CK115" i="1"/>
  <c r="CL115" i="1"/>
  <c r="CM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G115" i="1"/>
  <c r="DJ115" i="1"/>
  <c r="DM115" i="1"/>
  <c r="DN115" i="1"/>
  <c r="DO115" i="1"/>
  <c r="DP115" i="1"/>
  <c r="DR115" i="1"/>
  <c r="DU115" i="1"/>
  <c r="DX115" i="1"/>
  <c r="DZ115" i="1"/>
  <c r="EA115" i="1"/>
  <c r="EC115" i="1"/>
  <c r="ED115" i="1"/>
  <c r="EE115" i="1"/>
  <c r="EF115" i="1"/>
  <c r="EG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H116" i="1"/>
  <c r="I116" i="1"/>
  <c r="L116" i="1"/>
  <c r="O116" i="1"/>
  <c r="R116" i="1"/>
  <c r="S116" i="1"/>
  <c r="T116" i="1"/>
  <c r="U116" i="1"/>
  <c r="W116" i="1"/>
  <c r="X116" i="1"/>
  <c r="Y116" i="1"/>
  <c r="Z116" i="1"/>
  <c r="AA116" i="1"/>
  <c r="AB116" i="1"/>
  <c r="AP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F116" i="1"/>
  <c r="CG116" i="1"/>
  <c r="CH116" i="1"/>
  <c r="CI116" i="1"/>
  <c r="CJ116" i="1"/>
  <c r="CK116" i="1"/>
  <c r="CL116" i="1"/>
  <c r="CM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G116" i="1"/>
  <c r="DJ116" i="1"/>
  <c r="DM116" i="1"/>
  <c r="DN116" i="1"/>
  <c r="DO116" i="1"/>
  <c r="DP116" i="1"/>
  <c r="DR116" i="1"/>
  <c r="DU116" i="1"/>
  <c r="DX116" i="1"/>
  <c r="DZ116" i="1"/>
  <c r="EA116" i="1"/>
  <c r="EC116" i="1"/>
  <c r="ED116" i="1"/>
  <c r="EE116" i="1"/>
  <c r="EF116" i="1"/>
  <c r="EG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H117" i="1"/>
  <c r="I117" i="1"/>
  <c r="L117" i="1"/>
  <c r="O117" i="1"/>
  <c r="R117" i="1"/>
  <c r="S117" i="1"/>
  <c r="T117" i="1"/>
  <c r="U117" i="1"/>
  <c r="W117" i="1"/>
  <c r="X117" i="1"/>
  <c r="Y117" i="1"/>
  <c r="Z117" i="1"/>
  <c r="AA117" i="1"/>
  <c r="AB117" i="1"/>
  <c r="AP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F117" i="1"/>
  <c r="CG117" i="1"/>
  <c r="CH117" i="1"/>
  <c r="CI117" i="1"/>
  <c r="CJ117" i="1"/>
  <c r="CK117" i="1"/>
  <c r="CL117" i="1"/>
  <c r="CM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G117" i="1"/>
  <c r="DJ117" i="1"/>
  <c r="DM117" i="1"/>
  <c r="DN117" i="1"/>
  <c r="DO117" i="1"/>
  <c r="DP117" i="1"/>
  <c r="DR117" i="1"/>
  <c r="DU117" i="1"/>
  <c r="DX117" i="1"/>
  <c r="DZ117" i="1"/>
  <c r="EA117" i="1"/>
  <c r="EC117" i="1"/>
  <c r="ED117" i="1"/>
  <c r="EE117" i="1"/>
  <c r="EF117" i="1"/>
  <c r="EG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H118" i="1"/>
  <c r="I118" i="1"/>
  <c r="L118" i="1"/>
  <c r="O118" i="1"/>
  <c r="R118" i="1"/>
  <c r="S118" i="1"/>
  <c r="T118" i="1"/>
  <c r="U118" i="1"/>
  <c r="W118" i="1"/>
  <c r="X118" i="1"/>
  <c r="Y118" i="1"/>
  <c r="Z118" i="1"/>
  <c r="AA118" i="1"/>
  <c r="AB118" i="1"/>
  <c r="AP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F118" i="1"/>
  <c r="CG118" i="1"/>
  <c r="CH118" i="1"/>
  <c r="CI118" i="1"/>
  <c r="CJ118" i="1"/>
  <c r="CK118" i="1"/>
  <c r="CL118" i="1"/>
  <c r="CM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G118" i="1"/>
  <c r="DJ118" i="1"/>
  <c r="DM118" i="1"/>
  <c r="DN118" i="1"/>
  <c r="DO118" i="1"/>
  <c r="DP118" i="1"/>
  <c r="DR118" i="1"/>
  <c r="DU118" i="1"/>
  <c r="DX118" i="1"/>
  <c r="DZ118" i="1"/>
  <c r="EA118" i="1"/>
  <c r="EC118" i="1"/>
  <c r="ED118" i="1"/>
  <c r="EE118" i="1"/>
  <c r="EF118" i="1"/>
  <c r="EG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H119" i="1"/>
  <c r="I119" i="1"/>
  <c r="L119" i="1"/>
  <c r="O119" i="1"/>
  <c r="R119" i="1"/>
  <c r="S119" i="1"/>
  <c r="T119" i="1"/>
  <c r="U119" i="1"/>
  <c r="W119" i="1"/>
  <c r="X119" i="1"/>
  <c r="Y119" i="1"/>
  <c r="Z119" i="1"/>
  <c r="AA119" i="1"/>
  <c r="AB119" i="1"/>
  <c r="AP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F119" i="1"/>
  <c r="CG119" i="1"/>
  <c r="CH119" i="1"/>
  <c r="CI119" i="1"/>
  <c r="CJ119" i="1"/>
  <c r="CK119" i="1"/>
  <c r="CL119" i="1"/>
  <c r="CM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G119" i="1"/>
  <c r="DJ119" i="1"/>
  <c r="DM119" i="1"/>
  <c r="DN119" i="1"/>
  <c r="DO119" i="1"/>
  <c r="DP119" i="1"/>
  <c r="DR119" i="1"/>
  <c r="DU119" i="1"/>
  <c r="DX119" i="1"/>
  <c r="DZ119" i="1"/>
  <c r="EA119" i="1"/>
  <c r="EC119" i="1"/>
  <c r="ED119" i="1"/>
  <c r="EE119" i="1"/>
  <c r="EF119" i="1"/>
  <c r="EG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H120" i="1"/>
  <c r="I120" i="1"/>
  <c r="L120" i="1"/>
  <c r="O120" i="1"/>
  <c r="R120" i="1"/>
  <c r="S120" i="1"/>
  <c r="T120" i="1"/>
  <c r="U120" i="1"/>
  <c r="W120" i="1"/>
  <c r="X120" i="1"/>
  <c r="Y120" i="1"/>
  <c r="Z120" i="1"/>
  <c r="AA120" i="1"/>
  <c r="AB120" i="1"/>
  <c r="AP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F120" i="1"/>
  <c r="CG120" i="1"/>
  <c r="CH120" i="1"/>
  <c r="CI120" i="1"/>
  <c r="CJ120" i="1"/>
  <c r="CK120" i="1"/>
  <c r="CL120" i="1"/>
  <c r="CM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G120" i="1"/>
  <c r="DJ120" i="1"/>
  <c r="DM120" i="1"/>
  <c r="DN120" i="1"/>
  <c r="DO120" i="1"/>
  <c r="DP120" i="1"/>
  <c r="DR120" i="1"/>
  <c r="DU120" i="1"/>
  <c r="DX120" i="1"/>
  <c r="DZ120" i="1"/>
  <c r="EA120" i="1"/>
  <c r="EC120" i="1"/>
  <c r="ED120" i="1"/>
  <c r="EE120" i="1"/>
  <c r="EF120" i="1"/>
  <c r="EG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H121" i="1"/>
  <c r="I121" i="1"/>
  <c r="L121" i="1"/>
  <c r="O121" i="1"/>
  <c r="R121" i="1"/>
  <c r="S121" i="1"/>
  <c r="T121" i="1"/>
  <c r="U121" i="1"/>
  <c r="W121" i="1"/>
  <c r="X121" i="1"/>
  <c r="Y121" i="1"/>
  <c r="Z121" i="1"/>
  <c r="AA121" i="1"/>
  <c r="AB121" i="1"/>
  <c r="AP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F121" i="1"/>
  <c r="CG121" i="1"/>
  <c r="CH121" i="1"/>
  <c r="CI121" i="1"/>
  <c r="CJ121" i="1"/>
  <c r="CK121" i="1"/>
  <c r="CL121" i="1"/>
  <c r="CM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G121" i="1"/>
  <c r="DJ121" i="1"/>
  <c r="DM121" i="1"/>
  <c r="DN121" i="1"/>
  <c r="DO121" i="1"/>
  <c r="DP121" i="1"/>
  <c r="DR121" i="1"/>
  <c r="DU121" i="1"/>
  <c r="DX121" i="1"/>
  <c r="DZ121" i="1"/>
  <c r="EA121" i="1"/>
  <c r="EC121" i="1"/>
  <c r="ED121" i="1"/>
  <c r="EE121" i="1"/>
  <c r="EF121" i="1"/>
  <c r="EG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H122" i="1"/>
  <c r="I122" i="1"/>
  <c r="L122" i="1"/>
  <c r="O122" i="1"/>
  <c r="R122" i="1"/>
  <c r="S122" i="1"/>
  <c r="T122" i="1"/>
  <c r="U122" i="1"/>
  <c r="W122" i="1"/>
  <c r="X122" i="1"/>
  <c r="Y122" i="1"/>
  <c r="Z122" i="1"/>
  <c r="AA122" i="1"/>
  <c r="AB122" i="1"/>
  <c r="AP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F122" i="1"/>
  <c r="CG122" i="1"/>
  <c r="CH122" i="1"/>
  <c r="CI122" i="1"/>
  <c r="CJ122" i="1"/>
  <c r="CK122" i="1"/>
  <c r="CL122" i="1"/>
  <c r="CM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G122" i="1"/>
  <c r="DJ122" i="1"/>
  <c r="DM122" i="1"/>
  <c r="DN122" i="1"/>
  <c r="DO122" i="1"/>
  <c r="DP122" i="1"/>
  <c r="DR122" i="1"/>
  <c r="DU122" i="1"/>
  <c r="DX122" i="1"/>
  <c r="DZ122" i="1"/>
  <c r="EA122" i="1"/>
  <c r="EC122" i="1"/>
  <c r="ED122" i="1"/>
  <c r="EE122" i="1"/>
  <c r="EF122" i="1"/>
  <c r="EG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H123" i="1"/>
  <c r="I123" i="1"/>
  <c r="L123" i="1"/>
  <c r="O123" i="1"/>
  <c r="R123" i="1"/>
  <c r="S123" i="1"/>
  <c r="T123" i="1"/>
  <c r="U123" i="1"/>
  <c r="W123" i="1"/>
  <c r="X123" i="1"/>
  <c r="Y123" i="1"/>
  <c r="Z123" i="1"/>
  <c r="AA123" i="1"/>
  <c r="AB123" i="1"/>
  <c r="AP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F123" i="1"/>
  <c r="CG123" i="1"/>
  <c r="CH123" i="1"/>
  <c r="CI123" i="1"/>
  <c r="CJ123" i="1"/>
  <c r="CK123" i="1"/>
  <c r="CL123" i="1"/>
  <c r="CM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G123" i="1"/>
  <c r="DJ123" i="1"/>
  <c r="DM123" i="1"/>
  <c r="DN123" i="1"/>
  <c r="DO123" i="1"/>
  <c r="DP123" i="1"/>
  <c r="DR123" i="1"/>
  <c r="DU123" i="1"/>
  <c r="DX123" i="1"/>
  <c r="DZ123" i="1"/>
  <c r="EA123" i="1"/>
  <c r="EC123" i="1"/>
  <c r="ED123" i="1"/>
  <c r="EE123" i="1"/>
  <c r="EF123" i="1"/>
  <c r="EG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H124" i="1"/>
  <c r="I124" i="1"/>
  <c r="L124" i="1"/>
  <c r="O124" i="1"/>
  <c r="R124" i="1"/>
  <c r="S124" i="1"/>
  <c r="T124" i="1"/>
  <c r="U124" i="1"/>
  <c r="W124" i="1"/>
  <c r="X124" i="1"/>
  <c r="Y124" i="1"/>
  <c r="Z124" i="1"/>
  <c r="AA124" i="1"/>
  <c r="AB124" i="1"/>
  <c r="AP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F124" i="1"/>
  <c r="CG124" i="1"/>
  <c r="CH124" i="1"/>
  <c r="CI124" i="1"/>
  <c r="CJ124" i="1"/>
  <c r="CK124" i="1"/>
  <c r="CL124" i="1"/>
  <c r="CM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G124" i="1"/>
  <c r="DJ124" i="1"/>
  <c r="DM124" i="1"/>
  <c r="DN124" i="1"/>
  <c r="DO124" i="1"/>
  <c r="DP124" i="1"/>
  <c r="DR124" i="1"/>
  <c r="DU124" i="1"/>
  <c r="DX124" i="1"/>
  <c r="DZ124" i="1"/>
  <c r="EA124" i="1"/>
  <c r="EC124" i="1"/>
  <c r="ED124" i="1"/>
  <c r="EE124" i="1"/>
  <c r="EF124" i="1"/>
  <c r="EG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H125" i="1"/>
  <c r="I125" i="1"/>
  <c r="L125" i="1"/>
  <c r="O125" i="1"/>
  <c r="R125" i="1"/>
  <c r="S125" i="1"/>
  <c r="T125" i="1"/>
  <c r="U125" i="1"/>
  <c r="W125" i="1"/>
  <c r="X125" i="1"/>
  <c r="Y125" i="1"/>
  <c r="Z125" i="1"/>
  <c r="AA125" i="1"/>
  <c r="AB125" i="1"/>
  <c r="AP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F125" i="1"/>
  <c r="CG125" i="1"/>
  <c r="CH125" i="1"/>
  <c r="CI125" i="1"/>
  <c r="CJ125" i="1"/>
  <c r="CK125" i="1"/>
  <c r="CL125" i="1"/>
  <c r="CM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G125" i="1"/>
  <c r="DJ125" i="1"/>
  <c r="DM125" i="1"/>
  <c r="DN125" i="1"/>
  <c r="DO125" i="1"/>
  <c r="DP125" i="1"/>
  <c r="DR125" i="1"/>
  <c r="DU125" i="1"/>
  <c r="DX125" i="1"/>
  <c r="DZ125" i="1"/>
  <c r="EA125" i="1"/>
  <c r="EC125" i="1"/>
  <c r="ED125" i="1"/>
  <c r="EE125" i="1"/>
  <c r="EF125" i="1"/>
  <c r="EG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H126" i="1"/>
  <c r="I126" i="1"/>
  <c r="L126" i="1"/>
  <c r="O126" i="1"/>
  <c r="R126" i="1"/>
  <c r="S126" i="1"/>
  <c r="T126" i="1"/>
  <c r="U126" i="1"/>
  <c r="W126" i="1"/>
  <c r="X126" i="1"/>
  <c r="Y126" i="1"/>
  <c r="Z126" i="1"/>
  <c r="AA126" i="1"/>
  <c r="AB126" i="1"/>
  <c r="AP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F126" i="1"/>
  <c r="CG126" i="1"/>
  <c r="CH126" i="1"/>
  <c r="CI126" i="1"/>
  <c r="CJ126" i="1"/>
  <c r="CK126" i="1"/>
  <c r="CL126" i="1"/>
  <c r="CM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G126" i="1"/>
  <c r="DJ126" i="1"/>
  <c r="DM126" i="1"/>
  <c r="DN126" i="1"/>
  <c r="DO126" i="1"/>
  <c r="DP126" i="1"/>
  <c r="DR126" i="1"/>
  <c r="DU126" i="1"/>
  <c r="DX126" i="1"/>
  <c r="DZ126" i="1"/>
  <c r="EA126" i="1"/>
  <c r="EC126" i="1"/>
  <c r="ED126" i="1"/>
  <c r="EE126" i="1"/>
  <c r="EF126" i="1"/>
  <c r="EG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H127" i="1"/>
  <c r="I127" i="1"/>
  <c r="L127" i="1"/>
  <c r="O127" i="1"/>
  <c r="R127" i="1"/>
  <c r="S127" i="1"/>
  <c r="T127" i="1"/>
  <c r="U127" i="1"/>
  <c r="W127" i="1"/>
  <c r="X127" i="1"/>
  <c r="Y127" i="1"/>
  <c r="Z127" i="1"/>
  <c r="AA127" i="1"/>
  <c r="AB127" i="1"/>
  <c r="AP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F127" i="1"/>
  <c r="CG127" i="1"/>
  <c r="CH127" i="1"/>
  <c r="CI127" i="1"/>
  <c r="CJ127" i="1"/>
  <c r="CK127" i="1"/>
  <c r="CL127" i="1"/>
  <c r="CM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G127" i="1"/>
  <c r="DJ127" i="1"/>
  <c r="DM127" i="1"/>
  <c r="DN127" i="1"/>
  <c r="DO127" i="1"/>
  <c r="DP127" i="1"/>
  <c r="DR127" i="1"/>
  <c r="DU127" i="1"/>
  <c r="DX127" i="1"/>
  <c r="DZ127" i="1"/>
  <c r="EA127" i="1"/>
  <c r="EC127" i="1"/>
  <c r="ED127" i="1"/>
  <c r="EE127" i="1"/>
  <c r="EF127" i="1"/>
  <c r="EG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H128" i="1"/>
  <c r="I128" i="1"/>
  <c r="L128" i="1"/>
  <c r="O128" i="1"/>
  <c r="R128" i="1"/>
  <c r="S128" i="1"/>
  <c r="T128" i="1"/>
  <c r="U128" i="1"/>
  <c r="W128" i="1"/>
  <c r="X128" i="1"/>
  <c r="Y128" i="1"/>
  <c r="Z128" i="1"/>
  <c r="AA128" i="1"/>
  <c r="AB128" i="1"/>
  <c r="AP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F128" i="1"/>
  <c r="CG128" i="1"/>
  <c r="CH128" i="1"/>
  <c r="CI128" i="1"/>
  <c r="CJ128" i="1"/>
  <c r="CK128" i="1"/>
  <c r="CL128" i="1"/>
  <c r="CM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G128" i="1"/>
  <c r="DJ128" i="1"/>
  <c r="DM128" i="1"/>
  <c r="DN128" i="1"/>
  <c r="DO128" i="1"/>
  <c r="DP128" i="1"/>
  <c r="DR128" i="1"/>
  <c r="DU128" i="1"/>
  <c r="DX128" i="1"/>
  <c r="DZ128" i="1"/>
  <c r="EA128" i="1"/>
  <c r="EC128" i="1"/>
  <c r="ED128" i="1"/>
  <c r="EE128" i="1"/>
  <c r="EF128" i="1"/>
  <c r="EG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H129" i="1"/>
  <c r="I129" i="1"/>
  <c r="L129" i="1"/>
  <c r="O129" i="1"/>
  <c r="R129" i="1"/>
  <c r="S129" i="1"/>
  <c r="T129" i="1"/>
  <c r="U129" i="1"/>
  <c r="W129" i="1"/>
  <c r="X129" i="1"/>
  <c r="Y129" i="1"/>
  <c r="Z129" i="1"/>
  <c r="AA129" i="1"/>
  <c r="AB129" i="1"/>
  <c r="AP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F129" i="1"/>
  <c r="CG129" i="1"/>
  <c r="CH129" i="1"/>
  <c r="CI129" i="1"/>
  <c r="CJ129" i="1"/>
  <c r="CK129" i="1"/>
  <c r="CL129" i="1"/>
  <c r="CM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G129" i="1"/>
  <c r="DJ129" i="1"/>
  <c r="DM129" i="1"/>
  <c r="DN129" i="1"/>
  <c r="DO129" i="1"/>
  <c r="DP129" i="1"/>
  <c r="DR129" i="1"/>
  <c r="DU129" i="1"/>
  <c r="DX129" i="1"/>
  <c r="DZ129" i="1"/>
  <c r="EA129" i="1"/>
  <c r="EC129" i="1"/>
  <c r="ED129" i="1"/>
  <c r="EE129" i="1"/>
  <c r="EF129" i="1"/>
  <c r="EG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H130" i="1"/>
  <c r="I130" i="1"/>
  <c r="L130" i="1"/>
  <c r="O130" i="1"/>
  <c r="R130" i="1"/>
  <c r="S130" i="1"/>
  <c r="T130" i="1"/>
  <c r="U130" i="1"/>
  <c r="W130" i="1"/>
  <c r="X130" i="1"/>
  <c r="Y130" i="1"/>
  <c r="Z130" i="1"/>
  <c r="AA130" i="1"/>
  <c r="AB130" i="1"/>
  <c r="AP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F130" i="1"/>
  <c r="CG130" i="1"/>
  <c r="CH130" i="1"/>
  <c r="CI130" i="1"/>
  <c r="CJ130" i="1"/>
  <c r="CK130" i="1"/>
  <c r="CL130" i="1"/>
  <c r="CM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G130" i="1"/>
  <c r="DJ130" i="1"/>
  <c r="DM130" i="1"/>
  <c r="DN130" i="1"/>
  <c r="DO130" i="1"/>
  <c r="DP130" i="1"/>
  <c r="DR130" i="1"/>
  <c r="DU130" i="1"/>
  <c r="DX130" i="1"/>
  <c r="DZ130" i="1"/>
  <c r="EA130" i="1"/>
  <c r="EC130" i="1"/>
  <c r="ED130" i="1"/>
  <c r="EE130" i="1"/>
  <c r="EF130" i="1"/>
  <c r="EG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H131" i="1"/>
  <c r="I131" i="1"/>
  <c r="L131" i="1"/>
  <c r="O131" i="1"/>
  <c r="R131" i="1"/>
  <c r="S131" i="1"/>
  <c r="T131" i="1"/>
  <c r="U131" i="1"/>
  <c r="W131" i="1"/>
  <c r="X131" i="1"/>
  <c r="Y131" i="1"/>
  <c r="Z131" i="1"/>
  <c r="AA131" i="1"/>
  <c r="AB131" i="1"/>
  <c r="AP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F131" i="1"/>
  <c r="CG131" i="1"/>
  <c r="CH131" i="1"/>
  <c r="CI131" i="1"/>
  <c r="CJ131" i="1"/>
  <c r="CK131" i="1"/>
  <c r="CL131" i="1"/>
  <c r="CM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G131" i="1"/>
  <c r="DJ131" i="1"/>
  <c r="DM131" i="1"/>
  <c r="DN131" i="1"/>
  <c r="DO131" i="1"/>
  <c r="DP131" i="1"/>
  <c r="DR131" i="1"/>
  <c r="DU131" i="1"/>
  <c r="DX131" i="1"/>
  <c r="DZ131" i="1"/>
  <c r="EA131" i="1"/>
  <c r="EC131" i="1"/>
  <c r="ED131" i="1"/>
  <c r="EE131" i="1"/>
  <c r="EF131" i="1"/>
  <c r="EG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H132" i="1"/>
  <c r="I132" i="1"/>
  <c r="L132" i="1"/>
  <c r="O132" i="1"/>
  <c r="R132" i="1"/>
  <c r="S132" i="1"/>
  <c r="T132" i="1"/>
  <c r="U132" i="1"/>
  <c r="W132" i="1"/>
  <c r="X132" i="1"/>
  <c r="Y132" i="1"/>
  <c r="Z132" i="1"/>
  <c r="AA132" i="1"/>
  <c r="AB132" i="1"/>
  <c r="AP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F132" i="1"/>
  <c r="CG132" i="1"/>
  <c r="CH132" i="1"/>
  <c r="CI132" i="1"/>
  <c r="CJ132" i="1"/>
  <c r="CK132" i="1"/>
  <c r="CL132" i="1"/>
  <c r="CM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G132" i="1"/>
  <c r="DJ132" i="1"/>
  <c r="DM132" i="1"/>
  <c r="DN132" i="1"/>
  <c r="DO132" i="1"/>
  <c r="DP132" i="1"/>
  <c r="DR132" i="1"/>
  <c r="DU132" i="1"/>
  <c r="DX132" i="1"/>
  <c r="DZ132" i="1"/>
  <c r="EA132" i="1"/>
  <c r="EC132" i="1"/>
  <c r="ED132" i="1"/>
  <c r="EE132" i="1"/>
  <c r="EF132" i="1"/>
  <c r="EG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H133" i="1"/>
  <c r="I133" i="1"/>
  <c r="L133" i="1"/>
  <c r="O133" i="1"/>
  <c r="R133" i="1"/>
  <c r="S133" i="1"/>
  <c r="T133" i="1"/>
  <c r="U133" i="1"/>
  <c r="W133" i="1"/>
  <c r="X133" i="1"/>
  <c r="Y133" i="1"/>
  <c r="Z133" i="1"/>
  <c r="AA133" i="1"/>
  <c r="AB133" i="1"/>
  <c r="AP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F133" i="1"/>
  <c r="CG133" i="1"/>
  <c r="CH133" i="1"/>
  <c r="CI133" i="1"/>
  <c r="CJ133" i="1"/>
  <c r="CK133" i="1"/>
  <c r="CL133" i="1"/>
  <c r="CM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G133" i="1"/>
  <c r="DJ133" i="1"/>
  <c r="DM133" i="1"/>
  <c r="DN133" i="1"/>
  <c r="DO133" i="1"/>
  <c r="DP133" i="1"/>
  <c r="DR133" i="1"/>
  <c r="DU133" i="1"/>
  <c r="DX133" i="1"/>
  <c r="DZ133" i="1"/>
  <c r="EA133" i="1"/>
  <c r="EC133" i="1"/>
  <c r="ED133" i="1"/>
  <c r="EE133" i="1"/>
  <c r="EF133" i="1"/>
  <c r="EG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H134" i="1"/>
  <c r="I134" i="1"/>
  <c r="L134" i="1"/>
  <c r="O134" i="1"/>
  <c r="R134" i="1"/>
  <c r="S134" i="1"/>
  <c r="T134" i="1"/>
  <c r="U134" i="1"/>
  <c r="W134" i="1"/>
  <c r="X134" i="1"/>
  <c r="Y134" i="1"/>
  <c r="Z134" i="1"/>
  <c r="AA134" i="1"/>
  <c r="AB134" i="1"/>
  <c r="AP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F134" i="1"/>
  <c r="CG134" i="1"/>
  <c r="CH134" i="1"/>
  <c r="CI134" i="1"/>
  <c r="CJ134" i="1"/>
  <c r="CK134" i="1"/>
  <c r="CL134" i="1"/>
  <c r="CM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G134" i="1"/>
  <c r="DJ134" i="1"/>
  <c r="DM134" i="1"/>
  <c r="DN134" i="1"/>
  <c r="DO134" i="1"/>
  <c r="DP134" i="1"/>
  <c r="DR134" i="1"/>
  <c r="DU134" i="1"/>
  <c r="DX134" i="1"/>
  <c r="DZ134" i="1"/>
  <c r="EA134" i="1"/>
  <c r="EC134" i="1"/>
  <c r="ED134" i="1"/>
  <c r="EE134" i="1"/>
  <c r="EF134" i="1"/>
  <c r="EG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H135" i="1"/>
  <c r="I135" i="1"/>
  <c r="L135" i="1"/>
  <c r="O135" i="1"/>
  <c r="R135" i="1"/>
  <c r="S135" i="1"/>
  <c r="T135" i="1"/>
  <c r="U135" i="1"/>
  <c r="W135" i="1"/>
  <c r="X135" i="1"/>
  <c r="Y135" i="1"/>
  <c r="Z135" i="1"/>
  <c r="AA135" i="1"/>
  <c r="AB135" i="1"/>
  <c r="AP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F135" i="1"/>
  <c r="CG135" i="1"/>
  <c r="CH135" i="1"/>
  <c r="CI135" i="1"/>
  <c r="CJ135" i="1"/>
  <c r="CK135" i="1"/>
  <c r="CL135" i="1"/>
  <c r="CM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G135" i="1"/>
  <c r="DJ135" i="1"/>
  <c r="DM135" i="1"/>
  <c r="DN135" i="1"/>
  <c r="DO135" i="1"/>
  <c r="DP135" i="1"/>
  <c r="DR135" i="1"/>
  <c r="DU135" i="1"/>
  <c r="DX135" i="1"/>
  <c r="DZ135" i="1"/>
  <c r="EA135" i="1"/>
  <c r="EC135" i="1"/>
  <c r="ED135" i="1"/>
  <c r="EE135" i="1"/>
  <c r="EF135" i="1"/>
  <c r="EG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H136" i="1"/>
  <c r="I136" i="1"/>
  <c r="L136" i="1"/>
  <c r="O136" i="1"/>
  <c r="R136" i="1"/>
  <c r="S136" i="1"/>
  <c r="T136" i="1"/>
  <c r="U136" i="1"/>
  <c r="W136" i="1"/>
  <c r="X136" i="1"/>
  <c r="Y136" i="1"/>
  <c r="Z136" i="1"/>
  <c r="AA136" i="1"/>
  <c r="AB136" i="1"/>
  <c r="AP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F136" i="1"/>
  <c r="CG136" i="1"/>
  <c r="CH136" i="1"/>
  <c r="CI136" i="1"/>
  <c r="CJ136" i="1"/>
  <c r="CK136" i="1"/>
  <c r="CL136" i="1"/>
  <c r="CM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G136" i="1"/>
  <c r="DJ136" i="1"/>
  <c r="DM136" i="1"/>
  <c r="DN136" i="1"/>
  <c r="DO136" i="1"/>
  <c r="DP136" i="1"/>
  <c r="DR136" i="1"/>
  <c r="DU136" i="1"/>
  <c r="DX136" i="1"/>
  <c r="DZ136" i="1"/>
  <c r="EA136" i="1"/>
  <c r="EC136" i="1"/>
  <c r="ED136" i="1"/>
  <c r="EE136" i="1"/>
  <c r="EF136" i="1"/>
  <c r="EG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H137" i="1"/>
  <c r="I137" i="1"/>
  <c r="L137" i="1"/>
  <c r="O137" i="1"/>
  <c r="R137" i="1"/>
  <c r="S137" i="1"/>
  <c r="T137" i="1"/>
  <c r="U137" i="1"/>
  <c r="W137" i="1"/>
  <c r="X137" i="1"/>
  <c r="Y137" i="1"/>
  <c r="Z137" i="1"/>
  <c r="AA137" i="1"/>
  <c r="AB137" i="1"/>
  <c r="AP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F137" i="1"/>
  <c r="CG137" i="1"/>
  <c r="CH137" i="1"/>
  <c r="CI137" i="1"/>
  <c r="CJ137" i="1"/>
  <c r="CK137" i="1"/>
  <c r="CL137" i="1"/>
  <c r="CM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G137" i="1"/>
  <c r="DJ137" i="1"/>
  <c r="DM137" i="1"/>
  <c r="DN137" i="1"/>
  <c r="DO137" i="1"/>
  <c r="DP137" i="1"/>
  <c r="DR137" i="1"/>
  <c r="DU137" i="1"/>
  <c r="DX137" i="1"/>
  <c r="DZ137" i="1"/>
  <c r="EA137" i="1"/>
  <c r="EC137" i="1"/>
  <c r="ED137" i="1"/>
  <c r="EE137" i="1"/>
  <c r="EF137" i="1"/>
  <c r="EG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H138" i="1"/>
  <c r="I138" i="1"/>
  <c r="L138" i="1"/>
  <c r="O138" i="1"/>
  <c r="R138" i="1"/>
  <c r="S138" i="1"/>
  <c r="T138" i="1"/>
  <c r="U138" i="1"/>
  <c r="W138" i="1"/>
  <c r="X138" i="1"/>
  <c r="Y138" i="1"/>
  <c r="Z138" i="1"/>
  <c r="AA138" i="1"/>
  <c r="AB138" i="1"/>
  <c r="AP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F138" i="1"/>
  <c r="CG138" i="1"/>
  <c r="CH138" i="1"/>
  <c r="CI138" i="1"/>
  <c r="CJ138" i="1"/>
  <c r="CK138" i="1"/>
  <c r="CL138" i="1"/>
  <c r="CM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G138" i="1"/>
  <c r="DJ138" i="1"/>
  <c r="DM138" i="1"/>
  <c r="DN138" i="1"/>
  <c r="DO138" i="1"/>
  <c r="DP138" i="1"/>
  <c r="DR138" i="1"/>
  <c r="DU138" i="1"/>
  <c r="DX138" i="1"/>
  <c r="DZ138" i="1"/>
  <c r="EA138" i="1"/>
  <c r="EC138" i="1"/>
  <c r="ED138" i="1"/>
  <c r="EE138" i="1"/>
  <c r="EF138" i="1"/>
  <c r="EG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H139" i="1"/>
  <c r="I139" i="1"/>
  <c r="L139" i="1"/>
  <c r="O139" i="1"/>
  <c r="R139" i="1"/>
  <c r="S139" i="1"/>
  <c r="T139" i="1"/>
  <c r="U139" i="1"/>
  <c r="W139" i="1"/>
  <c r="X139" i="1"/>
  <c r="Y139" i="1"/>
  <c r="Z139" i="1"/>
  <c r="AA139" i="1"/>
  <c r="AB139" i="1"/>
  <c r="AP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F139" i="1"/>
  <c r="CG139" i="1"/>
  <c r="CH139" i="1"/>
  <c r="CI139" i="1"/>
  <c r="CJ139" i="1"/>
  <c r="CK139" i="1"/>
  <c r="CL139" i="1"/>
  <c r="CM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G139" i="1"/>
  <c r="DJ139" i="1"/>
  <c r="DM139" i="1"/>
  <c r="DN139" i="1"/>
  <c r="DO139" i="1"/>
  <c r="DP139" i="1"/>
  <c r="DR139" i="1"/>
  <c r="DU139" i="1"/>
  <c r="DX139" i="1"/>
  <c r="DZ139" i="1"/>
  <c r="EA139" i="1"/>
  <c r="EC139" i="1"/>
  <c r="ED139" i="1"/>
  <c r="EE139" i="1"/>
  <c r="EF139" i="1"/>
  <c r="EG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H140" i="1"/>
  <c r="I140" i="1"/>
  <c r="L140" i="1"/>
  <c r="O140" i="1"/>
  <c r="R140" i="1"/>
  <c r="S140" i="1"/>
  <c r="T140" i="1"/>
  <c r="U140" i="1"/>
  <c r="W140" i="1"/>
  <c r="X140" i="1"/>
  <c r="Y140" i="1"/>
  <c r="Z140" i="1"/>
  <c r="AA140" i="1"/>
  <c r="AB140" i="1"/>
  <c r="AP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F140" i="1"/>
  <c r="CG140" i="1"/>
  <c r="CH140" i="1"/>
  <c r="CI140" i="1"/>
  <c r="CJ140" i="1"/>
  <c r="CK140" i="1"/>
  <c r="CL140" i="1"/>
  <c r="CM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G140" i="1"/>
  <c r="DJ140" i="1"/>
  <c r="DM140" i="1"/>
  <c r="DN140" i="1"/>
  <c r="DO140" i="1"/>
  <c r="DP140" i="1"/>
  <c r="DR140" i="1"/>
  <c r="DU140" i="1"/>
  <c r="DX140" i="1"/>
  <c r="DZ140" i="1"/>
  <c r="EA140" i="1"/>
  <c r="EC140" i="1"/>
  <c r="ED140" i="1"/>
  <c r="EE140" i="1"/>
  <c r="EF140" i="1"/>
  <c r="EG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H141" i="1"/>
  <c r="I141" i="1"/>
  <c r="L141" i="1"/>
  <c r="O141" i="1"/>
  <c r="R141" i="1"/>
  <c r="S141" i="1"/>
  <c r="T141" i="1"/>
  <c r="U141" i="1"/>
  <c r="W141" i="1"/>
  <c r="X141" i="1"/>
  <c r="Y141" i="1"/>
  <c r="Z141" i="1"/>
  <c r="AA141" i="1"/>
  <c r="AB141" i="1"/>
  <c r="AP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F141" i="1"/>
  <c r="CG141" i="1"/>
  <c r="CH141" i="1"/>
  <c r="CI141" i="1"/>
  <c r="CJ141" i="1"/>
  <c r="CK141" i="1"/>
  <c r="CL141" i="1"/>
  <c r="CM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G141" i="1"/>
  <c r="DJ141" i="1"/>
  <c r="DM141" i="1"/>
  <c r="DN141" i="1"/>
  <c r="DO141" i="1"/>
  <c r="DP141" i="1"/>
  <c r="DR141" i="1"/>
  <c r="DU141" i="1"/>
  <c r="DX141" i="1"/>
  <c r="DZ141" i="1"/>
  <c r="EA141" i="1"/>
  <c r="EC141" i="1"/>
  <c r="ED141" i="1"/>
  <c r="EE141" i="1"/>
  <c r="EF141" i="1"/>
  <c r="EG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H142" i="1"/>
  <c r="I142" i="1"/>
  <c r="L142" i="1"/>
  <c r="O142" i="1"/>
  <c r="R142" i="1"/>
  <c r="S142" i="1"/>
  <c r="T142" i="1"/>
  <c r="U142" i="1"/>
  <c r="W142" i="1"/>
  <c r="X142" i="1"/>
  <c r="Y142" i="1"/>
  <c r="Z142" i="1"/>
  <c r="AA142" i="1"/>
  <c r="AB142" i="1"/>
  <c r="AP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F142" i="1"/>
  <c r="CG142" i="1"/>
  <c r="CH142" i="1"/>
  <c r="CI142" i="1"/>
  <c r="CJ142" i="1"/>
  <c r="CK142" i="1"/>
  <c r="CL142" i="1"/>
  <c r="CM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G142" i="1"/>
  <c r="DJ142" i="1"/>
  <c r="DM142" i="1"/>
  <c r="DN142" i="1"/>
  <c r="DO142" i="1"/>
  <c r="DP142" i="1"/>
  <c r="DR142" i="1"/>
  <c r="DU142" i="1"/>
  <c r="DX142" i="1"/>
  <c r="DZ142" i="1"/>
  <c r="EA142" i="1"/>
  <c r="EC142" i="1"/>
  <c r="ED142" i="1"/>
  <c r="EE142" i="1"/>
  <c r="EF142" i="1"/>
  <c r="EG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H143" i="1"/>
  <c r="I143" i="1"/>
  <c r="L143" i="1"/>
  <c r="O143" i="1"/>
  <c r="R143" i="1"/>
  <c r="S143" i="1"/>
  <c r="T143" i="1"/>
  <c r="U143" i="1"/>
  <c r="W143" i="1"/>
  <c r="X143" i="1"/>
  <c r="Y143" i="1"/>
  <c r="Z143" i="1"/>
  <c r="AA143" i="1"/>
  <c r="AB143" i="1"/>
  <c r="AP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F143" i="1"/>
  <c r="CG143" i="1"/>
  <c r="CH143" i="1"/>
  <c r="CI143" i="1"/>
  <c r="CJ143" i="1"/>
  <c r="CK143" i="1"/>
  <c r="CL143" i="1"/>
  <c r="CM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G143" i="1"/>
  <c r="DJ143" i="1"/>
  <c r="DM143" i="1"/>
  <c r="DN143" i="1"/>
  <c r="DO143" i="1"/>
  <c r="DP143" i="1"/>
  <c r="DR143" i="1"/>
  <c r="DU143" i="1"/>
  <c r="DX143" i="1"/>
  <c r="DZ143" i="1"/>
  <c r="EA143" i="1"/>
  <c r="EC143" i="1"/>
  <c r="ED143" i="1"/>
  <c r="EE143" i="1"/>
  <c r="EF143" i="1"/>
  <c r="EG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H144" i="1"/>
  <c r="I144" i="1"/>
  <c r="L144" i="1"/>
  <c r="O144" i="1"/>
  <c r="R144" i="1"/>
  <c r="S144" i="1"/>
  <c r="T144" i="1"/>
  <c r="U144" i="1"/>
  <c r="W144" i="1"/>
  <c r="X144" i="1"/>
  <c r="Y144" i="1"/>
  <c r="Z144" i="1"/>
  <c r="AA144" i="1"/>
  <c r="AB144" i="1"/>
  <c r="AP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F144" i="1"/>
  <c r="CG144" i="1"/>
  <c r="CH144" i="1"/>
  <c r="CI144" i="1"/>
  <c r="CJ144" i="1"/>
  <c r="CK144" i="1"/>
  <c r="CL144" i="1"/>
  <c r="CM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G144" i="1"/>
  <c r="DJ144" i="1"/>
  <c r="DM144" i="1"/>
  <c r="DN144" i="1"/>
  <c r="DO144" i="1"/>
  <c r="DP144" i="1"/>
  <c r="DR144" i="1"/>
  <c r="DU144" i="1"/>
  <c r="DX144" i="1"/>
  <c r="DZ144" i="1"/>
  <c r="EA144" i="1"/>
  <c r="EC144" i="1"/>
  <c r="ED144" i="1"/>
  <c r="EE144" i="1"/>
  <c r="EF144" i="1"/>
  <c r="EG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H145" i="1"/>
  <c r="I145" i="1"/>
  <c r="L145" i="1"/>
  <c r="O145" i="1"/>
  <c r="R145" i="1"/>
  <c r="S145" i="1"/>
  <c r="T145" i="1"/>
  <c r="U145" i="1"/>
  <c r="W145" i="1"/>
  <c r="X145" i="1"/>
  <c r="Y145" i="1"/>
  <c r="Z145" i="1"/>
  <c r="AA145" i="1"/>
  <c r="AB145" i="1"/>
  <c r="AP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F145" i="1"/>
  <c r="CG145" i="1"/>
  <c r="CH145" i="1"/>
  <c r="CI145" i="1"/>
  <c r="CJ145" i="1"/>
  <c r="CK145" i="1"/>
  <c r="CL145" i="1"/>
  <c r="CM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G145" i="1"/>
  <c r="DJ145" i="1"/>
  <c r="DM145" i="1"/>
  <c r="DN145" i="1"/>
  <c r="DO145" i="1"/>
  <c r="DP145" i="1"/>
  <c r="DR145" i="1"/>
  <c r="DU145" i="1"/>
  <c r="DX145" i="1"/>
  <c r="DZ145" i="1"/>
  <c r="EA145" i="1"/>
  <c r="EC145" i="1"/>
  <c r="ED145" i="1"/>
  <c r="EE145" i="1"/>
  <c r="EF145" i="1"/>
  <c r="EG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H146" i="1"/>
  <c r="I146" i="1"/>
  <c r="L146" i="1"/>
  <c r="O146" i="1"/>
  <c r="R146" i="1"/>
  <c r="S146" i="1"/>
  <c r="T146" i="1"/>
  <c r="U146" i="1"/>
  <c r="W146" i="1"/>
  <c r="X146" i="1"/>
  <c r="Y146" i="1"/>
  <c r="Z146" i="1"/>
  <c r="AA146" i="1"/>
  <c r="AB146" i="1"/>
  <c r="AP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F146" i="1"/>
  <c r="CG146" i="1"/>
  <c r="CH146" i="1"/>
  <c r="CI146" i="1"/>
  <c r="CJ146" i="1"/>
  <c r="CK146" i="1"/>
  <c r="CL146" i="1"/>
  <c r="CM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G146" i="1"/>
  <c r="DJ146" i="1"/>
  <c r="DM146" i="1"/>
  <c r="DN146" i="1"/>
  <c r="DO146" i="1"/>
  <c r="DP146" i="1"/>
  <c r="DR146" i="1"/>
  <c r="DU146" i="1"/>
  <c r="DX146" i="1"/>
  <c r="DZ146" i="1"/>
  <c r="EA146" i="1"/>
  <c r="EC146" i="1"/>
  <c r="ED146" i="1"/>
  <c r="EE146" i="1"/>
  <c r="EF146" i="1"/>
  <c r="EG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H147" i="1"/>
  <c r="I147" i="1"/>
  <c r="L147" i="1"/>
  <c r="O147" i="1"/>
  <c r="R147" i="1"/>
  <c r="S147" i="1"/>
  <c r="T147" i="1"/>
  <c r="U147" i="1"/>
  <c r="W147" i="1"/>
  <c r="X147" i="1"/>
  <c r="Y147" i="1"/>
  <c r="Z147" i="1"/>
  <c r="AA147" i="1"/>
  <c r="AB147" i="1"/>
  <c r="AP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F147" i="1"/>
  <c r="CG147" i="1"/>
  <c r="CH147" i="1"/>
  <c r="CI147" i="1"/>
  <c r="CJ147" i="1"/>
  <c r="CK147" i="1"/>
  <c r="CL147" i="1"/>
  <c r="CM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G147" i="1"/>
  <c r="DJ147" i="1"/>
  <c r="DM147" i="1"/>
  <c r="DN147" i="1"/>
  <c r="DO147" i="1"/>
  <c r="DP147" i="1"/>
  <c r="DR147" i="1"/>
  <c r="DU147" i="1"/>
  <c r="DX147" i="1"/>
  <c r="DZ147" i="1"/>
  <c r="EA147" i="1"/>
  <c r="EC147" i="1"/>
  <c r="ED147" i="1"/>
  <c r="EE147" i="1"/>
  <c r="EF147" i="1"/>
  <c r="EG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H148" i="1"/>
  <c r="I148" i="1"/>
  <c r="L148" i="1"/>
  <c r="O148" i="1"/>
  <c r="R148" i="1"/>
  <c r="S148" i="1"/>
  <c r="T148" i="1"/>
  <c r="U148" i="1"/>
  <c r="W148" i="1"/>
  <c r="X148" i="1"/>
  <c r="Y148" i="1"/>
  <c r="Z148" i="1"/>
  <c r="AA148" i="1"/>
  <c r="AB148" i="1"/>
  <c r="AP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F148" i="1"/>
  <c r="CG148" i="1"/>
  <c r="CH148" i="1"/>
  <c r="CI148" i="1"/>
  <c r="CJ148" i="1"/>
  <c r="CK148" i="1"/>
  <c r="CL148" i="1"/>
  <c r="CM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G148" i="1"/>
  <c r="DJ148" i="1"/>
  <c r="DM148" i="1"/>
  <c r="DN148" i="1"/>
  <c r="DO148" i="1"/>
  <c r="DP148" i="1"/>
  <c r="DR148" i="1"/>
  <c r="DU148" i="1"/>
  <c r="DX148" i="1"/>
  <c r="DZ148" i="1"/>
  <c r="EA148" i="1"/>
  <c r="EC148" i="1"/>
  <c r="ED148" i="1"/>
  <c r="EE148" i="1"/>
  <c r="EF148" i="1"/>
  <c r="EG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H149" i="1"/>
  <c r="I149" i="1"/>
  <c r="L149" i="1"/>
  <c r="O149" i="1"/>
  <c r="R149" i="1"/>
  <c r="S149" i="1"/>
  <c r="T149" i="1"/>
  <c r="U149" i="1"/>
  <c r="W149" i="1"/>
  <c r="X149" i="1"/>
  <c r="Y149" i="1"/>
  <c r="Z149" i="1"/>
  <c r="AA149" i="1"/>
  <c r="AB149" i="1"/>
  <c r="AP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F149" i="1"/>
  <c r="CG149" i="1"/>
  <c r="CH149" i="1"/>
  <c r="CI149" i="1"/>
  <c r="CJ149" i="1"/>
  <c r="CK149" i="1"/>
  <c r="CL149" i="1"/>
  <c r="CM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G149" i="1"/>
  <c r="DJ149" i="1"/>
  <c r="DM149" i="1"/>
  <c r="DN149" i="1"/>
  <c r="DO149" i="1"/>
  <c r="DP149" i="1"/>
  <c r="DR149" i="1"/>
  <c r="DU149" i="1"/>
  <c r="DX149" i="1"/>
  <c r="DZ149" i="1"/>
  <c r="EA149" i="1"/>
  <c r="EC149" i="1"/>
  <c r="ED149" i="1"/>
  <c r="EE149" i="1"/>
  <c r="EF149" i="1"/>
  <c r="EG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H150" i="1"/>
  <c r="I150" i="1"/>
  <c r="L150" i="1"/>
  <c r="O150" i="1"/>
  <c r="R150" i="1"/>
  <c r="S150" i="1"/>
  <c r="T150" i="1"/>
  <c r="U150" i="1"/>
  <c r="W150" i="1"/>
  <c r="X150" i="1"/>
  <c r="Y150" i="1"/>
  <c r="Z150" i="1"/>
  <c r="AA150" i="1"/>
  <c r="AB150" i="1"/>
  <c r="AP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F150" i="1"/>
  <c r="CG150" i="1"/>
  <c r="CH150" i="1"/>
  <c r="CI150" i="1"/>
  <c r="CJ150" i="1"/>
  <c r="CK150" i="1"/>
  <c r="CL150" i="1"/>
  <c r="CM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G150" i="1"/>
  <c r="DJ150" i="1"/>
  <c r="DM150" i="1"/>
  <c r="DN150" i="1"/>
  <c r="DO150" i="1"/>
  <c r="DP150" i="1"/>
  <c r="DR150" i="1"/>
  <c r="DU150" i="1"/>
  <c r="DX150" i="1"/>
  <c r="DZ150" i="1"/>
  <c r="EA150" i="1"/>
  <c r="EC150" i="1"/>
  <c r="ED150" i="1"/>
  <c r="EE150" i="1"/>
  <c r="EF150" i="1"/>
  <c r="EG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H151" i="1"/>
  <c r="I151" i="1"/>
  <c r="L151" i="1"/>
  <c r="O151" i="1"/>
  <c r="R151" i="1"/>
  <c r="S151" i="1"/>
  <c r="T151" i="1"/>
  <c r="U151" i="1"/>
  <c r="W151" i="1"/>
  <c r="X151" i="1"/>
  <c r="Y151" i="1"/>
  <c r="Z151" i="1"/>
  <c r="AA151" i="1"/>
  <c r="AB151" i="1"/>
  <c r="AP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F151" i="1"/>
  <c r="CG151" i="1"/>
  <c r="CH151" i="1"/>
  <c r="CI151" i="1"/>
  <c r="CJ151" i="1"/>
  <c r="CK151" i="1"/>
  <c r="CL151" i="1"/>
  <c r="CM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G151" i="1"/>
  <c r="DJ151" i="1"/>
  <c r="DM151" i="1"/>
  <c r="DN151" i="1"/>
  <c r="DO151" i="1"/>
  <c r="DP151" i="1"/>
  <c r="DR151" i="1"/>
  <c r="DU151" i="1"/>
  <c r="DX151" i="1"/>
  <c r="DZ151" i="1"/>
  <c r="EA151" i="1"/>
  <c r="EC151" i="1"/>
  <c r="ED151" i="1"/>
  <c r="EE151" i="1"/>
  <c r="EF151" i="1"/>
  <c r="EG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H152" i="1"/>
  <c r="I152" i="1"/>
  <c r="L152" i="1"/>
  <c r="O152" i="1"/>
  <c r="R152" i="1"/>
  <c r="S152" i="1"/>
  <c r="T152" i="1"/>
  <c r="U152" i="1"/>
  <c r="W152" i="1"/>
  <c r="X152" i="1"/>
  <c r="Y152" i="1"/>
  <c r="Z152" i="1"/>
  <c r="AA152" i="1"/>
  <c r="AB152" i="1"/>
  <c r="AP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F152" i="1"/>
  <c r="CG152" i="1"/>
  <c r="CH152" i="1"/>
  <c r="CI152" i="1"/>
  <c r="CJ152" i="1"/>
  <c r="CK152" i="1"/>
  <c r="CL152" i="1"/>
  <c r="CM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G152" i="1"/>
  <c r="DJ152" i="1"/>
  <c r="DM152" i="1"/>
  <c r="DN152" i="1"/>
  <c r="DO152" i="1"/>
  <c r="DP152" i="1"/>
  <c r="DR152" i="1"/>
  <c r="DU152" i="1"/>
  <c r="DX152" i="1"/>
  <c r="DZ152" i="1"/>
  <c r="EA152" i="1"/>
  <c r="EC152" i="1"/>
  <c r="ED152" i="1"/>
  <c r="EE152" i="1"/>
  <c r="EF152" i="1"/>
  <c r="EG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H153" i="1"/>
  <c r="I153" i="1"/>
  <c r="L153" i="1"/>
  <c r="O153" i="1"/>
  <c r="R153" i="1"/>
  <c r="S153" i="1"/>
  <c r="T153" i="1"/>
  <c r="U153" i="1"/>
  <c r="W153" i="1"/>
  <c r="X153" i="1"/>
  <c r="Y153" i="1"/>
  <c r="Z153" i="1"/>
  <c r="AA153" i="1"/>
  <c r="AB153" i="1"/>
  <c r="AP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F153" i="1"/>
  <c r="CG153" i="1"/>
  <c r="CH153" i="1"/>
  <c r="CI153" i="1"/>
  <c r="CJ153" i="1"/>
  <c r="CK153" i="1"/>
  <c r="CL153" i="1"/>
  <c r="CM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G153" i="1"/>
  <c r="DJ153" i="1"/>
  <c r="DM153" i="1"/>
  <c r="DN153" i="1"/>
  <c r="DO153" i="1"/>
  <c r="DP153" i="1"/>
  <c r="DR153" i="1"/>
  <c r="DU153" i="1"/>
  <c r="DX153" i="1"/>
  <c r="DZ153" i="1"/>
  <c r="EA153" i="1"/>
  <c r="EC153" i="1"/>
  <c r="ED153" i="1"/>
  <c r="EE153" i="1"/>
  <c r="EF153" i="1"/>
  <c r="EG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H154" i="1"/>
  <c r="I154" i="1"/>
  <c r="L154" i="1"/>
  <c r="O154" i="1"/>
  <c r="R154" i="1"/>
  <c r="S154" i="1"/>
  <c r="T154" i="1"/>
  <c r="U154" i="1"/>
  <c r="W154" i="1"/>
  <c r="X154" i="1"/>
  <c r="Y154" i="1"/>
  <c r="Z154" i="1"/>
  <c r="AA154" i="1"/>
  <c r="AB154" i="1"/>
  <c r="AP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F154" i="1"/>
  <c r="CG154" i="1"/>
  <c r="CH154" i="1"/>
  <c r="CI154" i="1"/>
  <c r="CJ154" i="1"/>
  <c r="CK154" i="1"/>
  <c r="CL154" i="1"/>
  <c r="CM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G154" i="1"/>
  <c r="DJ154" i="1"/>
  <c r="DM154" i="1"/>
  <c r="DN154" i="1"/>
  <c r="DO154" i="1"/>
  <c r="DP154" i="1"/>
  <c r="DR154" i="1"/>
  <c r="DU154" i="1"/>
  <c r="DX154" i="1"/>
  <c r="DZ154" i="1"/>
  <c r="EA154" i="1"/>
  <c r="EC154" i="1"/>
  <c r="ED154" i="1"/>
  <c r="EE154" i="1"/>
  <c r="EF154" i="1"/>
  <c r="EG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H155" i="1"/>
  <c r="I155" i="1"/>
  <c r="L155" i="1"/>
  <c r="O155" i="1"/>
  <c r="R155" i="1"/>
  <c r="S155" i="1"/>
  <c r="T155" i="1"/>
  <c r="U155" i="1"/>
  <c r="W155" i="1"/>
  <c r="X155" i="1"/>
  <c r="Y155" i="1"/>
  <c r="Z155" i="1"/>
  <c r="AA155" i="1"/>
  <c r="AB155" i="1"/>
  <c r="AP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F155" i="1"/>
  <c r="CG155" i="1"/>
  <c r="CH155" i="1"/>
  <c r="CI155" i="1"/>
  <c r="CJ155" i="1"/>
  <c r="CK155" i="1"/>
  <c r="CL155" i="1"/>
  <c r="CM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G155" i="1"/>
  <c r="DJ155" i="1"/>
  <c r="DM155" i="1"/>
  <c r="DN155" i="1"/>
  <c r="DO155" i="1"/>
  <c r="DP155" i="1"/>
  <c r="DR155" i="1"/>
  <c r="DU155" i="1"/>
  <c r="DX155" i="1"/>
  <c r="DZ155" i="1"/>
  <c r="EA155" i="1"/>
  <c r="EC155" i="1"/>
  <c r="ED155" i="1"/>
  <c r="EE155" i="1"/>
  <c r="EF155" i="1"/>
  <c r="EG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H156" i="1"/>
  <c r="I156" i="1"/>
  <c r="L156" i="1"/>
  <c r="O156" i="1"/>
  <c r="R156" i="1"/>
  <c r="S156" i="1"/>
  <c r="T156" i="1"/>
  <c r="U156" i="1"/>
  <c r="W156" i="1"/>
  <c r="X156" i="1"/>
  <c r="Y156" i="1"/>
  <c r="Z156" i="1"/>
  <c r="AA156" i="1"/>
  <c r="AB156" i="1"/>
  <c r="AP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F156" i="1"/>
  <c r="CG156" i="1"/>
  <c r="CH156" i="1"/>
  <c r="CI156" i="1"/>
  <c r="CJ156" i="1"/>
  <c r="CK156" i="1"/>
  <c r="CL156" i="1"/>
  <c r="CM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G156" i="1"/>
  <c r="DJ156" i="1"/>
  <c r="DM156" i="1"/>
  <c r="DN156" i="1"/>
  <c r="DO156" i="1"/>
  <c r="DP156" i="1"/>
  <c r="DR156" i="1"/>
  <c r="DU156" i="1"/>
  <c r="DX156" i="1"/>
  <c r="DZ156" i="1"/>
  <c r="EA156" i="1"/>
  <c r="EC156" i="1"/>
  <c r="ED156" i="1"/>
  <c r="EE156" i="1"/>
  <c r="EF156" i="1"/>
  <c r="EG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H157" i="1"/>
  <c r="I157" i="1"/>
  <c r="L157" i="1"/>
  <c r="O157" i="1"/>
  <c r="R157" i="1"/>
  <c r="S157" i="1"/>
  <c r="T157" i="1"/>
  <c r="U157" i="1"/>
  <c r="W157" i="1"/>
  <c r="X157" i="1"/>
  <c r="Y157" i="1"/>
  <c r="Z157" i="1"/>
  <c r="AA157" i="1"/>
  <c r="AB157" i="1"/>
  <c r="AP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F157" i="1"/>
  <c r="CG157" i="1"/>
  <c r="CH157" i="1"/>
  <c r="CI157" i="1"/>
  <c r="CJ157" i="1"/>
  <c r="CK157" i="1"/>
  <c r="CL157" i="1"/>
  <c r="CM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G157" i="1"/>
  <c r="DJ157" i="1"/>
  <c r="DM157" i="1"/>
  <c r="DN157" i="1"/>
  <c r="DO157" i="1"/>
  <c r="DP157" i="1"/>
  <c r="DR157" i="1"/>
  <c r="DU157" i="1"/>
  <c r="DX157" i="1"/>
  <c r="DZ157" i="1"/>
  <c r="EA157" i="1"/>
  <c r="EC157" i="1"/>
  <c r="ED157" i="1"/>
  <c r="EE157" i="1"/>
  <c r="EF157" i="1"/>
  <c r="EG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H158" i="1"/>
  <c r="I158" i="1"/>
  <c r="L158" i="1"/>
  <c r="O158" i="1"/>
  <c r="R158" i="1"/>
  <c r="S158" i="1"/>
  <c r="T158" i="1"/>
  <c r="U158" i="1"/>
  <c r="W158" i="1"/>
  <c r="X158" i="1"/>
  <c r="Y158" i="1"/>
  <c r="Z158" i="1"/>
  <c r="AA158" i="1"/>
  <c r="AB158" i="1"/>
  <c r="AP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F158" i="1"/>
  <c r="CG158" i="1"/>
  <c r="CH158" i="1"/>
  <c r="CI158" i="1"/>
  <c r="CJ158" i="1"/>
  <c r="CK158" i="1"/>
  <c r="CL158" i="1"/>
  <c r="CM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G158" i="1"/>
  <c r="DJ158" i="1"/>
  <c r="DM158" i="1"/>
  <c r="DN158" i="1"/>
  <c r="DO158" i="1"/>
  <c r="DP158" i="1"/>
  <c r="DR158" i="1"/>
  <c r="DU158" i="1"/>
  <c r="DX158" i="1"/>
  <c r="DZ158" i="1"/>
  <c r="EA158" i="1"/>
  <c r="EC158" i="1"/>
  <c r="ED158" i="1"/>
  <c r="EE158" i="1"/>
  <c r="EF158" i="1"/>
  <c r="EG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H159" i="1"/>
  <c r="I159" i="1"/>
  <c r="L159" i="1"/>
  <c r="O159" i="1"/>
  <c r="R159" i="1"/>
  <c r="S159" i="1"/>
  <c r="T159" i="1"/>
  <c r="U159" i="1"/>
  <c r="W159" i="1"/>
  <c r="X159" i="1"/>
  <c r="Y159" i="1"/>
  <c r="Z159" i="1"/>
  <c r="AA159" i="1"/>
  <c r="AB159" i="1"/>
  <c r="AP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F159" i="1"/>
  <c r="CG159" i="1"/>
  <c r="CH159" i="1"/>
  <c r="CI159" i="1"/>
  <c r="CJ159" i="1"/>
  <c r="CK159" i="1"/>
  <c r="CL159" i="1"/>
  <c r="CM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G159" i="1"/>
  <c r="DJ159" i="1"/>
  <c r="DM159" i="1"/>
  <c r="DN159" i="1"/>
  <c r="DO159" i="1"/>
  <c r="DP159" i="1"/>
  <c r="DR159" i="1"/>
  <c r="DU159" i="1"/>
  <c r="DX159" i="1"/>
  <c r="DZ159" i="1"/>
  <c r="EA159" i="1"/>
  <c r="EC159" i="1"/>
  <c r="ED159" i="1"/>
  <c r="EE159" i="1"/>
  <c r="EF159" i="1"/>
  <c r="EG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H160" i="1"/>
  <c r="I160" i="1"/>
  <c r="L160" i="1"/>
  <c r="O160" i="1"/>
  <c r="R160" i="1"/>
  <c r="S160" i="1"/>
  <c r="T160" i="1"/>
  <c r="U160" i="1"/>
  <c r="W160" i="1"/>
  <c r="X160" i="1"/>
  <c r="Y160" i="1"/>
  <c r="Z160" i="1"/>
  <c r="AA160" i="1"/>
  <c r="AB160" i="1"/>
  <c r="AP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F160" i="1"/>
  <c r="CG160" i="1"/>
  <c r="CH160" i="1"/>
  <c r="CI160" i="1"/>
  <c r="CJ160" i="1"/>
  <c r="CK160" i="1"/>
  <c r="CL160" i="1"/>
  <c r="CM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G160" i="1"/>
  <c r="DJ160" i="1"/>
  <c r="DM160" i="1"/>
  <c r="DN160" i="1"/>
  <c r="DO160" i="1"/>
  <c r="DP160" i="1"/>
  <c r="DR160" i="1"/>
  <c r="DU160" i="1"/>
  <c r="DX160" i="1"/>
  <c r="DZ160" i="1"/>
  <c r="EA160" i="1"/>
  <c r="EC160" i="1"/>
  <c r="ED160" i="1"/>
  <c r="EE160" i="1"/>
  <c r="EF160" i="1"/>
  <c r="EG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H161" i="1"/>
  <c r="I161" i="1"/>
  <c r="L161" i="1"/>
  <c r="O161" i="1"/>
  <c r="R161" i="1"/>
  <c r="S161" i="1"/>
  <c r="T161" i="1"/>
  <c r="U161" i="1"/>
  <c r="W161" i="1"/>
  <c r="X161" i="1"/>
  <c r="Y161" i="1"/>
  <c r="Z161" i="1"/>
  <c r="AA161" i="1"/>
  <c r="AB161" i="1"/>
  <c r="AP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F161" i="1"/>
  <c r="CG161" i="1"/>
  <c r="CH161" i="1"/>
  <c r="CI161" i="1"/>
  <c r="CJ161" i="1"/>
  <c r="CK161" i="1"/>
  <c r="CL161" i="1"/>
  <c r="CM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G161" i="1"/>
  <c r="DJ161" i="1"/>
  <c r="DM161" i="1"/>
  <c r="DN161" i="1"/>
  <c r="DO161" i="1"/>
  <c r="DP161" i="1"/>
  <c r="DR161" i="1"/>
  <c r="DU161" i="1"/>
  <c r="DX161" i="1"/>
  <c r="DZ161" i="1"/>
  <c r="EA161" i="1"/>
  <c r="EC161" i="1"/>
  <c r="ED161" i="1"/>
  <c r="EE161" i="1"/>
  <c r="EF161" i="1"/>
  <c r="EG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H162" i="1"/>
  <c r="I162" i="1"/>
  <c r="L162" i="1"/>
  <c r="O162" i="1"/>
  <c r="R162" i="1"/>
  <c r="S162" i="1"/>
  <c r="T162" i="1"/>
  <c r="U162" i="1"/>
  <c r="W162" i="1"/>
  <c r="X162" i="1"/>
  <c r="Y162" i="1"/>
  <c r="Z162" i="1"/>
  <c r="AA162" i="1"/>
  <c r="AB162" i="1"/>
  <c r="AP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F162" i="1"/>
  <c r="CG162" i="1"/>
  <c r="CH162" i="1"/>
  <c r="CI162" i="1"/>
  <c r="CJ162" i="1"/>
  <c r="CK162" i="1"/>
  <c r="CL162" i="1"/>
  <c r="CM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G162" i="1"/>
  <c r="DJ162" i="1"/>
  <c r="DM162" i="1"/>
  <c r="DN162" i="1"/>
  <c r="DO162" i="1"/>
  <c r="DP162" i="1"/>
  <c r="DR162" i="1"/>
  <c r="DU162" i="1"/>
  <c r="DX162" i="1"/>
  <c r="DZ162" i="1"/>
  <c r="EA162" i="1"/>
  <c r="EC162" i="1"/>
  <c r="ED162" i="1"/>
  <c r="EE162" i="1"/>
  <c r="EF162" i="1"/>
  <c r="EG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H163" i="1"/>
  <c r="I163" i="1"/>
  <c r="L163" i="1"/>
  <c r="O163" i="1"/>
  <c r="R163" i="1"/>
  <c r="S163" i="1"/>
  <c r="T163" i="1"/>
  <c r="U163" i="1"/>
  <c r="W163" i="1"/>
  <c r="X163" i="1"/>
  <c r="Y163" i="1"/>
  <c r="Z163" i="1"/>
  <c r="AA163" i="1"/>
  <c r="AB163" i="1"/>
  <c r="AP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F163" i="1"/>
  <c r="CG163" i="1"/>
  <c r="CH163" i="1"/>
  <c r="CI163" i="1"/>
  <c r="CJ163" i="1"/>
  <c r="CK163" i="1"/>
  <c r="CL163" i="1"/>
  <c r="CM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G163" i="1"/>
  <c r="DJ163" i="1"/>
  <c r="DM163" i="1"/>
  <c r="DN163" i="1"/>
  <c r="DO163" i="1"/>
  <c r="DP163" i="1"/>
  <c r="DR163" i="1"/>
  <c r="DU163" i="1"/>
  <c r="DX163" i="1"/>
  <c r="DZ163" i="1"/>
  <c r="EA163" i="1"/>
  <c r="EC163" i="1"/>
  <c r="ED163" i="1"/>
  <c r="EE163" i="1"/>
  <c r="EF163" i="1"/>
  <c r="EG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H164" i="1"/>
  <c r="I164" i="1"/>
  <c r="L164" i="1"/>
  <c r="O164" i="1"/>
  <c r="R164" i="1"/>
  <c r="S164" i="1"/>
  <c r="T164" i="1"/>
  <c r="U164" i="1"/>
  <c r="W164" i="1"/>
  <c r="X164" i="1"/>
  <c r="Y164" i="1"/>
  <c r="Z164" i="1"/>
  <c r="AA164" i="1"/>
  <c r="AB164" i="1"/>
  <c r="AP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F164" i="1"/>
  <c r="CG164" i="1"/>
  <c r="CH164" i="1"/>
  <c r="CI164" i="1"/>
  <c r="CJ164" i="1"/>
  <c r="CK164" i="1"/>
  <c r="CL164" i="1"/>
  <c r="CM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G164" i="1"/>
  <c r="DJ164" i="1"/>
  <c r="DM164" i="1"/>
  <c r="DN164" i="1"/>
  <c r="DO164" i="1"/>
  <c r="DP164" i="1"/>
  <c r="DR164" i="1"/>
  <c r="DU164" i="1"/>
  <c r="DX164" i="1"/>
  <c r="DZ164" i="1"/>
  <c r="EA164" i="1"/>
  <c r="EC164" i="1"/>
  <c r="ED164" i="1"/>
  <c r="EE164" i="1"/>
  <c r="EF164" i="1"/>
  <c r="EG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H165" i="1"/>
  <c r="I165" i="1"/>
  <c r="L165" i="1"/>
  <c r="O165" i="1"/>
  <c r="R165" i="1"/>
  <c r="S165" i="1"/>
  <c r="T165" i="1"/>
  <c r="U165" i="1"/>
  <c r="W165" i="1"/>
  <c r="X165" i="1"/>
  <c r="Y165" i="1"/>
  <c r="Z165" i="1"/>
  <c r="AA165" i="1"/>
  <c r="AB165" i="1"/>
  <c r="AP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F165" i="1"/>
  <c r="CG165" i="1"/>
  <c r="CH165" i="1"/>
  <c r="CI165" i="1"/>
  <c r="CJ165" i="1"/>
  <c r="CK165" i="1"/>
  <c r="CL165" i="1"/>
  <c r="CM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G165" i="1"/>
  <c r="DJ165" i="1"/>
  <c r="DM165" i="1"/>
  <c r="DN165" i="1"/>
  <c r="DO165" i="1"/>
  <c r="DP165" i="1"/>
  <c r="DR165" i="1"/>
  <c r="DU165" i="1"/>
  <c r="DX165" i="1"/>
  <c r="DZ165" i="1"/>
  <c r="EA165" i="1"/>
  <c r="EC165" i="1"/>
  <c r="ED165" i="1"/>
  <c r="EE165" i="1"/>
  <c r="EF165" i="1"/>
  <c r="EG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H166" i="1"/>
  <c r="I166" i="1"/>
  <c r="L166" i="1"/>
  <c r="O166" i="1"/>
  <c r="R166" i="1"/>
  <c r="S166" i="1"/>
  <c r="T166" i="1"/>
  <c r="U166" i="1"/>
  <c r="W166" i="1"/>
  <c r="X166" i="1"/>
  <c r="Y166" i="1"/>
  <c r="Z166" i="1"/>
  <c r="AA166" i="1"/>
  <c r="AB166" i="1"/>
  <c r="AP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F166" i="1"/>
  <c r="CG166" i="1"/>
  <c r="CH166" i="1"/>
  <c r="CI166" i="1"/>
  <c r="CJ166" i="1"/>
  <c r="CK166" i="1"/>
  <c r="CL166" i="1"/>
  <c r="CM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G166" i="1"/>
  <c r="DJ166" i="1"/>
  <c r="DM166" i="1"/>
  <c r="DN166" i="1"/>
  <c r="DO166" i="1"/>
  <c r="DP166" i="1"/>
  <c r="DR166" i="1"/>
  <c r="DU166" i="1"/>
  <c r="DX166" i="1"/>
  <c r="DZ166" i="1"/>
  <c r="EA166" i="1"/>
  <c r="EC166" i="1"/>
  <c r="ED166" i="1"/>
  <c r="EE166" i="1"/>
  <c r="EF166" i="1"/>
  <c r="EG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H167" i="1"/>
  <c r="I167" i="1"/>
  <c r="L167" i="1"/>
  <c r="O167" i="1"/>
  <c r="R167" i="1"/>
  <c r="S167" i="1"/>
  <c r="T167" i="1"/>
  <c r="U167" i="1"/>
  <c r="W167" i="1"/>
  <c r="X167" i="1"/>
  <c r="Y167" i="1"/>
  <c r="Z167" i="1"/>
  <c r="AA167" i="1"/>
  <c r="AB167" i="1"/>
  <c r="AP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F167" i="1"/>
  <c r="CG167" i="1"/>
  <c r="CH167" i="1"/>
  <c r="CI167" i="1"/>
  <c r="CJ167" i="1"/>
  <c r="CK167" i="1"/>
  <c r="CL167" i="1"/>
  <c r="CM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G167" i="1"/>
  <c r="DJ167" i="1"/>
  <c r="DM167" i="1"/>
  <c r="DN167" i="1"/>
  <c r="DO167" i="1"/>
  <c r="DP167" i="1"/>
  <c r="DR167" i="1"/>
  <c r="DU167" i="1"/>
  <c r="DX167" i="1"/>
  <c r="DZ167" i="1"/>
  <c r="EA167" i="1"/>
  <c r="EC167" i="1"/>
  <c r="ED167" i="1"/>
  <c r="EE167" i="1"/>
  <c r="EF167" i="1"/>
  <c r="EG167" i="1"/>
  <c r="H168" i="1"/>
  <c r="I168" i="1"/>
  <c r="L168" i="1"/>
  <c r="O168" i="1"/>
  <c r="R168" i="1"/>
  <c r="S168" i="1"/>
  <c r="T168" i="1"/>
  <c r="U168" i="1"/>
  <c r="W168" i="1"/>
  <c r="X168" i="1"/>
  <c r="Y168" i="1"/>
  <c r="Z168" i="1"/>
  <c r="AA168" i="1"/>
  <c r="AB168" i="1"/>
  <c r="AP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F168" i="1"/>
  <c r="CG168" i="1"/>
  <c r="CH168" i="1"/>
  <c r="CI168" i="1"/>
  <c r="CJ168" i="1"/>
  <c r="CK168" i="1"/>
  <c r="CL168" i="1"/>
  <c r="CM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G168" i="1"/>
  <c r="DJ168" i="1"/>
  <c r="DM168" i="1"/>
  <c r="DN168" i="1"/>
  <c r="DO168" i="1"/>
  <c r="DP168" i="1"/>
  <c r="DR168" i="1"/>
  <c r="DU168" i="1"/>
  <c r="DX168" i="1"/>
  <c r="DZ168" i="1"/>
  <c r="EA168" i="1"/>
  <c r="EC168" i="1"/>
  <c r="ED168" i="1"/>
  <c r="EE168" i="1"/>
  <c r="EF168" i="1"/>
  <c r="EG168" i="1"/>
  <c r="H169" i="1"/>
  <c r="I169" i="1"/>
  <c r="L169" i="1"/>
  <c r="O169" i="1"/>
  <c r="R169" i="1"/>
  <c r="S169" i="1"/>
  <c r="T169" i="1"/>
  <c r="U169" i="1"/>
  <c r="W169" i="1"/>
  <c r="X169" i="1"/>
  <c r="Y169" i="1"/>
  <c r="Z169" i="1"/>
  <c r="AA169" i="1"/>
  <c r="AB169" i="1"/>
  <c r="AP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F169" i="1"/>
  <c r="CG169" i="1"/>
  <c r="CH169" i="1"/>
  <c r="CI169" i="1"/>
  <c r="CJ169" i="1"/>
  <c r="CK169" i="1"/>
  <c r="CL169" i="1"/>
  <c r="CM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G169" i="1"/>
  <c r="DJ169" i="1"/>
  <c r="DM169" i="1"/>
  <c r="DN169" i="1"/>
  <c r="DO169" i="1"/>
  <c r="DP169" i="1"/>
  <c r="DR169" i="1"/>
  <c r="DU169" i="1"/>
  <c r="DX169" i="1"/>
  <c r="DZ169" i="1"/>
  <c r="EA169" i="1"/>
  <c r="EC169" i="1"/>
  <c r="ED169" i="1"/>
  <c r="EE169" i="1"/>
  <c r="EF169" i="1"/>
  <c r="EG169" i="1"/>
  <c r="H170" i="1"/>
  <c r="I170" i="1"/>
  <c r="L170" i="1"/>
  <c r="O170" i="1"/>
  <c r="R170" i="1"/>
  <c r="S170" i="1"/>
  <c r="T170" i="1"/>
  <c r="U170" i="1"/>
  <c r="W170" i="1"/>
  <c r="X170" i="1"/>
  <c r="Y170" i="1"/>
  <c r="Z170" i="1"/>
  <c r="AA170" i="1"/>
  <c r="AB170" i="1"/>
  <c r="AP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F170" i="1"/>
  <c r="CG170" i="1"/>
  <c r="CH170" i="1"/>
  <c r="CI170" i="1"/>
  <c r="CJ170" i="1"/>
  <c r="CK170" i="1"/>
  <c r="CL170" i="1"/>
  <c r="CM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G170" i="1"/>
  <c r="DJ170" i="1"/>
  <c r="DM170" i="1"/>
  <c r="DN170" i="1"/>
  <c r="DO170" i="1"/>
  <c r="DP170" i="1"/>
  <c r="DR170" i="1"/>
  <c r="DU170" i="1"/>
  <c r="DX170" i="1"/>
  <c r="DZ170" i="1"/>
  <c r="EA170" i="1"/>
  <c r="EC170" i="1"/>
  <c r="ED170" i="1"/>
  <c r="EE170" i="1"/>
  <c r="EF170" i="1"/>
  <c r="EG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H171" i="1"/>
  <c r="I171" i="1"/>
  <c r="L171" i="1"/>
  <c r="O171" i="1"/>
  <c r="R171" i="1"/>
  <c r="S171" i="1"/>
  <c r="T171" i="1"/>
  <c r="U171" i="1"/>
  <c r="W171" i="1"/>
  <c r="X171" i="1"/>
  <c r="Y171" i="1"/>
  <c r="Z171" i="1"/>
  <c r="AA171" i="1"/>
  <c r="AB171" i="1"/>
  <c r="AP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F171" i="1"/>
  <c r="CG171" i="1"/>
  <c r="CH171" i="1"/>
  <c r="CI171" i="1"/>
  <c r="CJ171" i="1"/>
  <c r="CK171" i="1"/>
  <c r="CL171" i="1"/>
  <c r="CM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G171" i="1"/>
  <c r="DJ171" i="1"/>
  <c r="DM171" i="1"/>
  <c r="DN171" i="1"/>
  <c r="DO171" i="1"/>
  <c r="DP171" i="1"/>
  <c r="DR171" i="1"/>
  <c r="DU171" i="1"/>
  <c r="DX171" i="1"/>
  <c r="DZ171" i="1"/>
  <c r="EA171" i="1"/>
  <c r="EC171" i="1"/>
  <c r="ED171" i="1"/>
  <c r="EE171" i="1"/>
  <c r="EF171" i="1"/>
  <c r="EG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H172" i="1"/>
  <c r="I172" i="1"/>
  <c r="L172" i="1"/>
  <c r="O172" i="1"/>
  <c r="R172" i="1"/>
  <c r="S172" i="1"/>
  <c r="T172" i="1"/>
  <c r="U172" i="1"/>
  <c r="W172" i="1"/>
  <c r="X172" i="1"/>
  <c r="Y172" i="1"/>
  <c r="Z172" i="1"/>
  <c r="AA172" i="1"/>
  <c r="AB172" i="1"/>
  <c r="AP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F172" i="1"/>
  <c r="CG172" i="1"/>
  <c r="CH172" i="1"/>
  <c r="CI172" i="1"/>
  <c r="CJ172" i="1"/>
  <c r="CK172" i="1"/>
  <c r="CL172" i="1"/>
  <c r="CM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G172" i="1"/>
  <c r="DJ172" i="1"/>
  <c r="DM172" i="1"/>
  <c r="DN172" i="1"/>
  <c r="DO172" i="1"/>
  <c r="DP172" i="1"/>
  <c r="DR172" i="1"/>
  <c r="DU172" i="1"/>
  <c r="DX172" i="1"/>
  <c r="DZ172" i="1"/>
  <c r="EA172" i="1"/>
  <c r="EC172" i="1"/>
  <c r="ED172" i="1"/>
  <c r="EE172" i="1"/>
  <c r="EF172" i="1"/>
  <c r="EG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H173" i="1"/>
  <c r="I173" i="1"/>
  <c r="L173" i="1"/>
  <c r="O173" i="1"/>
  <c r="R173" i="1"/>
  <c r="S173" i="1"/>
  <c r="T173" i="1"/>
  <c r="U173" i="1"/>
  <c r="W173" i="1"/>
  <c r="X173" i="1"/>
  <c r="Y173" i="1"/>
  <c r="Z173" i="1"/>
  <c r="AA173" i="1"/>
  <c r="AB173" i="1"/>
  <c r="AP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F173" i="1"/>
  <c r="CG173" i="1"/>
  <c r="CH173" i="1"/>
  <c r="CI173" i="1"/>
  <c r="CJ173" i="1"/>
  <c r="CK173" i="1"/>
  <c r="CL173" i="1"/>
  <c r="CM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G173" i="1"/>
  <c r="DJ173" i="1"/>
  <c r="DM173" i="1"/>
  <c r="DN173" i="1"/>
  <c r="DO173" i="1"/>
  <c r="DP173" i="1"/>
  <c r="DR173" i="1"/>
  <c r="DU173" i="1"/>
  <c r="DX173" i="1"/>
  <c r="DZ173" i="1"/>
  <c r="EA173" i="1"/>
  <c r="EC173" i="1"/>
  <c r="ED173" i="1"/>
  <c r="EE173" i="1"/>
  <c r="EF173" i="1"/>
  <c r="EG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H174" i="1"/>
  <c r="I174" i="1"/>
  <c r="L174" i="1"/>
  <c r="O174" i="1"/>
  <c r="R174" i="1"/>
  <c r="S174" i="1"/>
  <c r="T174" i="1"/>
  <c r="U174" i="1"/>
  <c r="W174" i="1"/>
  <c r="X174" i="1"/>
  <c r="Y174" i="1"/>
  <c r="Z174" i="1"/>
  <c r="AA174" i="1"/>
  <c r="AB174" i="1"/>
  <c r="AP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F174" i="1"/>
  <c r="CG174" i="1"/>
  <c r="CH174" i="1"/>
  <c r="CI174" i="1"/>
  <c r="CJ174" i="1"/>
  <c r="CK174" i="1"/>
  <c r="CL174" i="1"/>
  <c r="CM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G174" i="1"/>
  <c r="DJ174" i="1"/>
  <c r="DM174" i="1"/>
  <c r="DN174" i="1"/>
  <c r="DO174" i="1"/>
  <c r="DP174" i="1"/>
  <c r="DR174" i="1"/>
  <c r="DU174" i="1"/>
  <c r="DX174" i="1"/>
  <c r="DZ174" i="1"/>
  <c r="EA174" i="1"/>
  <c r="EC174" i="1"/>
  <c r="ED174" i="1"/>
  <c r="EE174" i="1"/>
  <c r="EF174" i="1"/>
  <c r="EG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H175" i="1"/>
  <c r="I175" i="1"/>
  <c r="L175" i="1"/>
  <c r="O175" i="1"/>
  <c r="R175" i="1"/>
  <c r="S175" i="1"/>
  <c r="T175" i="1"/>
  <c r="U175" i="1"/>
  <c r="W175" i="1"/>
  <c r="X175" i="1"/>
  <c r="Y175" i="1"/>
  <c r="Z175" i="1"/>
  <c r="AA175" i="1"/>
  <c r="AB175" i="1"/>
  <c r="AP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F175" i="1"/>
  <c r="CG175" i="1"/>
  <c r="CH175" i="1"/>
  <c r="CI175" i="1"/>
  <c r="CJ175" i="1"/>
  <c r="CK175" i="1"/>
  <c r="CL175" i="1"/>
  <c r="CM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G175" i="1"/>
  <c r="DJ175" i="1"/>
  <c r="DM175" i="1"/>
  <c r="DN175" i="1"/>
  <c r="DO175" i="1"/>
  <c r="DP175" i="1"/>
  <c r="DR175" i="1"/>
  <c r="DU175" i="1"/>
  <c r="DX175" i="1"/>
  <c r="DZ175" i="1"/>
  <c r="EA175" i="1"/>
  <c r="EC175" i="1"/>
  <c r="ED175" i="1"/>
  <c r="EE175" i="1"/>
  <c r="EF175" i="1"/>
  <c r="EG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H176" i="1"/>
  <c r="I176" i="1"/>
  <c r="L176" i="1"/>
  <c r="O176" i="1"/>
  <c r="R176" i="1"/>
  <c r="S176" i="1"/>
  <c r="T176" i="1"/>
  <c r="U176" i="1"/>
  <c r="W176" i="1"/>
  <c r="X176" i="1"/>
  <c r="Y176" i="1"/>
  <c r="Z176" i="1"/>
  <c r="AA176" i="1"/>
  <c r="AB176" i="1"/>
  <c r="AP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F176" i="1"/>
  <c r="CG176" i="1"/>
  <c r="CH176" i="1"/>
  <c r="CI176" i="1"/>
  <c r="CJ176" i="1"/>
  <c r="CK176" i="1"/>
  <c r="CL176" i="1"/>
  <c r="CM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G176" i="1"/>
  <c r="DJ176" i="1"/>
  <c r="DM176" i="1"/>
  <c r="DN176" i="1"/>
  <c r="DO176" i="1"/>
  <c r="DP176" i="1"/>
  <c r="DR176" i="1"/>
  <c r="DU176" i="1"/>
  <c r="DX176" i="1"/>
  <c r="DZ176" i="1"/>
  <c r="EA176" i="1"/>
  <c r="EC176" i="1"/>
  <c r="ED176" i="1"/>
  <c r="EE176" i="1"/>
  <c r="EF176" i="1"/>
  <c r="EG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H177" i="1"/>
  <c r="I177" i="1"/>
  <c r="L177" i="1"/>
  <c r="O177" i="1"/>
  <c r="R177" i="1"/>
  <c r="S177" i="1"/>
  <c r="T177" i="1"/>
  <c r="U177" i="1"/>
  <c r="W177" i="1"/>
  <c r="X177" i="1"/>
  <c r="Y177" i="1"/>
  <c r="Z177" i="1"/>
  <c r="AA177" i="1"/>
  <c r="AB177" i="1"/>
  <c r="AP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F177" i="1"/>
  <c r="CG177" i="1"/>
  <c r="CH177" i="1"/>
  <c r="CI177" i="1"/>
  <c r="CJ177" i="1"/>
  <c r="CK177" i="1"/>
  <c r="CL177" i="1"/>
  <c r="CM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G177" i="1"/>
  <c r="DJ177" i="1"/>
  <c r="DM177" i="1"/>
  <c r="DN177" i="1"/>
  <c r="DO177" i="1"/>
  <c r="DP177" i="1"/>
  <c r="DR177" i="1"/>
  <c r="DU177" i="1"/>
  <c r="DX177" i="1"/>
  <c r="DZ177" i="1"/>
  <c r="EA177" i="1"/>
  <c r="EC177" i="1"/>
  <c r="ED177" i="1"/>
  <c r="EE177" i="1"/>
  <c r="EF177" i="1"/>
  <c r="EG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H178" i="1"/>
  <c r="I178" i="1"/>
  <c r="L178" i="1"/>
  <c r="O178" i="1"/>
  <c r="R178" i="1"/>
  <c r="S178" i="1"/>
  <c r="T178" i="1"/>
  <c r="U178" i="1"/>
  <c r="W178" i="1"/>
  <c r="X178" i="1"/>
  <c r="Y178" i="1"/>
  <c r="Z178" i="1"/>
  <c r="AA178" i="1"/>
  <c r="AB178" i="1"/>
  <c r="AP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F178" i="1"/>
  <c r="CG178" i="1"/>
  <c r="CH178" i="1"/>
  <c r="CI178" i="1"/>
  <c r="CJ178" i="1"/>
  <c r="CK178" i="1"/>
  <c r="CL178" i="1"/>
  <c r="CM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G178" i="1"/>
  <c r="DJ178" i="1"/>
  <c r="DM178" i="1"/>
  <c r="DN178" i="1"/>
  <c r="DO178" i="1"/>
  <c r="DP178" i="1"/>
  <c r="DR178" i="1"/>
  <c r="DU178" i="1"/>
  <c r="DX178" i="1"/>
  <c r="DZ178" i="1"/>
  <c r="EA178" i="1"/>
  <c r="EC178" i="1"/>
  <c r="ED178" i="1"/>
  <c r="EE178" i="1"/>
  <c r="EF178" i="1"/>
  <c r="EG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H179" i="1"/>
  <c r="I179" i="1"/>
  <c r="L179" i="1"/>
  <c r="O179" i="1"/>
  <c r="R179" i="1"/>
  <c r="S179" i="1"/>
  <c r="T179" i="1"/>
  <c r="U179" i="1"/>
  <c r="W179" i="1"/>
  <c r="X179" i="1"/>
  <c r="Y179" i="1"/>
  <c r="Z179" i="1"/>
  <c r="AA179" i="1"/>
  <c r="AB179" i="1"/>
  <c r="AP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F179" i="1"/>
  <c r="CG179" i="1"/>
  <c r="CH179" i="1"/>
  <c r="CI179" i="1"/>
  <c r="CJ179" i="1"/>
  <c r="CK179" i="1"/>
  <c r="CL179" i="1"/>
  <c r="CM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G179" i="1"/>
  <c r="DJ179" i="1"/>
  <c r="DM179" i="1"/>
  <c r="DN179" i="1"/>
  <c r="DO179" i="1"/>
  <c r="DP179" i="1"/>
  <c r="DR179" i="1"/>
  <c r="DU179" i="1"/>
  <c r="DX179" i="1"/>
  <c r="DZ179" i="1"/>
  <c r="EA179" i="1"/>
  <c r="EC179" i="1"/>
  <c r="ED179" i="1"/>
  <c r="EE179" i="1"/>
  <c r="EF179" i="1"/>
  <c r="EG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H180" i="1"/>
  <c r="I180" i="1"/>
  <c r="L180" i="1"/>
  <c r="O180" i="1"/>
  <c r="R180" i="1"/>
  <c r="S180" i="1"/>
  <c r="T180" i="1"/>
  <c r="U180" i="1"/>
  <c r="W180" i="1"/>
  <c r="X180" i="1"/>
  <c r="Y180" i="1"/>
  <c r="Z180" i="1"/>
  <c r="AA180" i="1"/>
  <c r="AB180" i="1"/>
  <c r="AP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F180" i="1"/>
  <c r="CG180" i="1"/>
  <c r="CH180" i="1"/>
  <c r="CI180" i="1"/>
  <c r="CJ180" i="1"/>
  <c r="CK180" i="1"/>
  <c r="CL180" i="1"/>
  <c r="CM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G180" i="1"/>
  <c r="DJ180" i="1"/>
  <c r="DM180" i="1"/>
  <c r="DN180" i="1"/>
  <c r="DO180" i="1"/>
  <c r="DP180" i="1"/>
  <c r="DR180" i="1"/>
  <c r="DU180" i="1"/>
  <c r="DX180" i="1"/>
  <c r="DZ180" i="1"/>
  <c r="EA180" i="1"/>
  <c r="EC180" i="1"/>
  <c r="ED180" i="1"/>
  <c r="EE180" i="1"/>
  <c r="EF180" i="1"/>
  <c r="EG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H181" i="1"/>
  <c r="I181" i="1"/>
  <c r="L181" i="1"/>
  <c r="O181" i="1"/>
  <c r="R181" i="1"/>
  <c r="S181" i="1"/>
  <c r="T181" i="1"/>
  <c r="U181" i="1"/>
  <c r="W181" i="1"/>
  <c r="X181" i="1"/>
  <c r="Y181" i="1"/>
  <c r="Z181" i="1"/>
  <c r="AA181" i="1"/>
  <c r="AB181" i="1"/>
  <c r="AP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F181" i="1"/>
  <c r="CG181" i="1"/>
  <c r="CH181" i="1"/>
  <c r="CI181" i="1"/>
  <c r="CJ181" i="1"/>
  <c r="CK181" i="1"/>
  <c r="CL181" i="1"/>
  <c r="CM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G181" i="1"/>
  <c r="DJ181" i="1"/>
  <c r="DM181" i="1"/>
  <c r="DN181" i="1"/>
  <c r="DO181" i="1"/>
  <c r="DP181" i="1"/>
  <c r="DR181" i="1"/>
  <c r="DU181" i="1"/>
  <c r="DX181" i="1"/>
  <c r="DZ181" i="1"/>
  <c r="EA181" i="1"/>
  <c r="EC181" i="1"/>
  <c r="ED181" i="1"/>
  <c r="EE181" i="1"/>
  <c r="EF181" i="1"/>
  <c r="EG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H182" i="1"/>
  <c r="I182" i="1"/>
  <c r="L182" i="1"/>
  <c r="O182" i="1"/>
  <c r="R182" i="1"/>
  <c r="S182" i="1"/>
  <c r="T182" i="1"/>
  <c r="U182" i="1"/>
  <c r="W182" i="1"/>
  <c r="X182" i="1"/>
  <c r="Y182" i="1"/>
  <c r="Z182" i="1"/>
  <c r="AA182" i="1"/>
  <c r="AB182" i="1"/>
  <c r="AP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F182" i="1"/>
  <c r="CG182" i="1"/>
  <c r="CH182" i="1"/>
  <c r="CI182" i="1"/>
  <c r="CJ182" i="1"/>
  <c r="CK182" i="1"/>
  <c r="CL182" i="1"/>
  <c r="CM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G182" i="1"/>
  <c r="DJ182" i="1"/>
  <c r="DM182" i="1"/>
  <c r="DN182" i="1"/>
  <c r="DO182" i="1"/>
  <c r="DP182" i="1"/>
  <c r="DR182" i="1"/>
  <c r="DU182" i="1"/>
  <c r="DX182" i="1"/>
  <c r="DZ182" i="1"/>
  <c r="EA182" i="1"/>
  <c r="EC182" i="1"/>
  <c r="ED182" i="1"/>
  <c r="EE182" i="1"/>
  <c r="EF182" i="1"/>
  <c r="EG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H183" i="1"/>
  <c r="I183" i="1"/>
  <c r="L183" i="1"/>
  <c r="O183" i="1"/>
  <c r="R183" i="1"/>
  <c r="S183" i="1"/>
  <c r="T183" i="1"/>
  <c r="U183" i="1"/>
  <c r="W183" i="1"/>
  <c r="X183" i="1"/>
  <c r="Y183" i="1"/>
  <c r="Z183" i="1"/>
  <c r="AA183" i="1"/>
  <c r="AB183" i="1"/>
  <c r="AP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F183" i="1"/>
  <c r="CG183" i="1"/>
  <c r="CH183" i="1"/>
  <c r="CI183" i="1"/>
  <c r="CJ183" i="1"/>
  <c r="CK183" i="1"/>
  <c r="CL183" i="1"/>
  <c r="CM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G183" i="1"/>
  <c r="DJ183" i="1"/>
  <c r="DM183" i="1"/>
  <c r="DN183" i="1"/>
  <c r="DO183" i="1"/>
  <c r="DP183" i="1"/>
  <c r="DR183" i="1"/>
  <c r="DU183" i="1"/>
  <c r="DX183" i="1"/>
  <c r="DZ183" i="1"/>
  <c r="EA183" i="1"/>
  <c r="EC183" i="1"/>
  <c r="ED183" i="1"/>
  <c r="EE183" i="1"/>
  <c r="EF183" i="1"/>
  <c r="EG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H184" i="1"/>
  <c r="I184" i="1"/>
  <c r="L184" i="1"/>
  <c r="O184" i="1"/>
  <c r="R184" i="1"/>
  <c r="S184" i="1"/>
  <c r="T184" i="1"/>
  <c r="U184" i="1"/>
  <c r="W184" i="1"/>
  <c r="X184" i="1"/>
  <c r="Y184" i="1"/>
  <c r="Z184" i="1"/>
  <c r="AA184" i="1"/>
  <c r="AB184" i="1"/>
  <c r="AP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F184" i="1"/>
  <c r="CG184" i="1"/>
  <c r="CH184" i="1"/>
  <c r="CI184" i="1"/>
  <c r="CJ184" i="1"/>
  <c r="CK184" i="1"/>
  <c r="CL184" i="1"/>
  <c r="CM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G184" i="1"/>
  <c r="DJ184" i="1"/>
  <c r="DM184" i="1"/>
  <c r="DN184" i="1"/>
  <c r="DO184" i="1"/>
  <c r="DP184" i="1"/>
  <c r="DR184" i="1"/>
  <c r="DU184" i="1"/>
  <c r="DX184" i="1"/>
  <c r="DZ184" i="1"/>
  <c r="EA184" i="1"/>
  <c r="EC184" i="1"/>
  <c r="ED184" i="1"/>
  <c r="EE184" i="1"/>
  <c r="EF184" i="1"/>
  <c r="EG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H185" i="1"/>
  <c r="I185" i="1"/>
  <c r="L185" i="1"/>
  <c r="O185" i="1"/>
  <c r="R185" i="1"/>
  <c r="S185" i="1"/>
  <c r="T185" i="1"/>
  <c r="U185" i="1"/>
  <c r="W185" i="1"/>
  <c r="X185" i="1"/>
  <c r="Y185" i="1"/>
  <c r="Z185" i="1"/>
  <c r="AA185" i="1"/>
  <c r="AB185" i="1"/>
  <c r="AP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F185" i="1"/>
  <c r="CG185" i="1"/>
  <c r="CH185" i="1"/>
  <c r="CI185" i="1"/>
  <c r="CJ185" i="1"/>
  <c r="CK185" i="1"/>
  <c r="CL185" i="1"/>
  <c r="CM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G185" i="1"/>
  <c r="DJ185" i="1"/>
  <c r="DM185" i="1"/>
  <c r="DN185" i="1"/>
  <c r="DO185" i="1"/>
  <c r="DP185" i="1"/>
  <c r="DR185" i="1"/>
  <c r="DU185" i="1"/>
  <c r="DX185" i="1"/>
  <c r="DZ185" i="1"/>
  <c r="EA185" i="1"/>
  <c r="EC185" i="1"/>
  <c r="ED185" i="1"/>
  <c r="EE185" i="1"/>
  <c r="EF185" i="1"/>
  <c r="EG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H186" i="1"/>
  <c r="I186" i="1"/>
  <c r="L186" i="1"/>
  <c r="O186" i="1"/>
  <c r="R186" i="1"/>
  <c r="S186" i="1"/>
  <c r="T186" i="1"/>
  <c r="U186" i="1"/>
  <c r="W186" i="1"/>
  <c r="X186" i="1"/>
  <c r="Y186" i="1"/>
  <c r="Z186" i="1"/>
  <c r="AA186" i="1"/>
  <c r="AB186" i="1"/>
  <c r="AP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F186" i="1"/>
  <c r="CG186" i="1"/>
  <c r="CH186" i="1"/>
  <c r="CI186" i="1"/>
  <c r="CJ186" i="1"/>
  <c r="CK186" i="1"/>
  <c r="CL186" i="1"/>
  <c r="CM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G186" i="1"/>
  <c r="DJ186" i="1"/>
  <c r="DM186" i="1"/>
  <c r="DN186" i="1"/>
  <c r="DO186" i="1"/>
  <c r="DP186" i="1"/>
  <c r="DR186" i="1"/>
  <c r="DU186" i="1"/>
  <c r="DX186" i="1"/>
  <c r="DZ186" i="1"/>
  <c r="EA186" i="1"/>
  <c r="EC186" i="1"/>
  <c r="ED186" i="1"/>
  <c r="EE186" i="1"/>
  <c r="EF186" i="1"/>
  <c r="EG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H187" i="1"/>
  <c r="I187" i="1"/>
  <c r="L187" i="1"/>
  <c r="O187" i="1"/>
  <c r="R187" i="1"/>
  <c r="S187" i="1"/>
  <c r="T187" i="1"/>
  <c r="U187" i="1"/>
  <c r="W187" i="1"/>
  <c r="X187" i="1"/>
  <c r="Y187" i="1"/>
  <c r="Z187" i="1"/>
  <c r="AA187" i="1"/>
  <c r="AB187" i="1"/>
  <c r="AP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F187" i="1"/>
  <c r="CG187" i="1"/>
  <c r="CH187" i="1"/>
  <c r="CI187" i="1"/>
  <c r="CJ187" i="1"/>
  <c r="CK187" i="1"/>
  <c r="CL187" i="1"/>
  <c r="CM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G187" i="1"/>
  <c r="DJ187" i="1"/>
  <c r="DM187" i="1"/>
  <c r="DN187" i="1"/>
  <c r="DO187" i="1"/>
  <c r="DP187" i="1"/>
  <c r="DR187" i="1"/>
  <c r="DU187" i="1"/>
  <c r="DX187" i="1"/>
  <c r="DZ187" i="1"/>
  <c r="EA187" i="1"/>
  <c r="EC187" i="1"/>
  <c r="ED187" i="1"/>
  <c r="EE187" i="1"/>
  <c r="EF187" i="1"/>
  <c r="EG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H188" i="1"/>
  <c r="I188" i="1"/>
  <c r="L188" i="1"/>
  <c r="O188" i="1"/>
  <c r="R188" i="1"/>
  <c r="S188" i="1"/>
  <c r="T188" i="1"/>
  <c r="U188" i="1"/>
  <c r="W188" i="1"/>
  <c r="X188" i="1"/>
  <c r="Y188" i="1"/>
  <c r="Z188" i="1"/>
  <c r="AA188" i="1"/>
  <c r="AB188" i="1"/>
  <c r="AP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F188" i="1"/>
  <c r="CG188" i="1"/>
  <c r="CH188" i="1"/>
  <c r="CI188" i="1"/>
  <c r="CJ188" i="1"/>
  <c r="CK188" i="1"/>
  <c r="CL188" i="1"/>
  <c r="CM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G188" i="1"/>
  <c r="DJ188" i="1"/>
  <c r="DM188" i="1"/>
  <c r="DN188" i="1"/>
  <c r="DO188" i="1"/>
  <c r="DP188" i="1"/>
  <c r="DR188" i="1"/>
  <c r="DU188" i="1"/>
  <c r="DX188" i="1"/>
  <c r="DZ188" i="1"/>
  <c r="EA188" i="1"/>
  <c r="EC188" i="1"/>
  <c r="ED188" i="1"/>
  <c r="EE188" i="1"/>
  <c r="EF188" i="1"/>
  <c r="EG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H189" i="1"/>
  <c r="I189" i="1"/>
  <c r="L189" i="1"/>
  <c r="O189" i="1"/>
  <c r="R189" i="1"/>
  <c r="S189" i="1"/>
  <c r="T189" i="1"/>
  <c r="U189" i="1"/>
  <c r="W189" i="1"/>
  <c r="X189" i="1"/>
  <c r="Y189" i="1"/>
  <c r="Z189" i="1"/>
  <c r="AA189" i="1"/>
  <c r="AB189" i="1"/>
  <c r="AP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F189" i="1"/>
  <c r="CG189" i="1"/>
  <c r="CH189" i="1"/>
  <c r="CI189" i="1"/>
  <c r="CJ189" i="1"/>
  <c r="CK189" i="1"/>
  <c r="CL189" i="1"/>
  <c r="CM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G189" i="1"/>
  <c r="DJ189" i="1"/>
  <c r="DM189" i="1"/>
  <c r="DN189" i="1"/>
  <c r="DO189" i="1"/>
  <c r="DP189" i="1"/>
  <c r="DR189" i="1"/>
  <c r="DU189" i="1"/>
  <c r="DX189" i="1"/>
  <c r="DZ189" i="1"/>
  <c r="EA189" i="1"/>
  <c r="EC189" i="1"/>
  <c r="ED189" i="1"/>
  <c r="EE189" i="1"/>
  <c r="EF189" i="1"/>
  <c r="EG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H190" i="1"/>
  <c r="I190" i="1"/>
  <c r="L190" i="1"/>
  <c r="O190" i="1"/>
  <c r="R190" i="1"/>
  <c r="S190" i="1"/>
  <c r="T190" i="1"/>
  <c r="U190" i="1"/>
  <c r="W190" i="1"/>
  <c r="X190" i="1"/>
  <c r="Y190" i="1"/>
  <c r="Z190" i="1"/>
  <c r="AA190" i="1"/>
  <c r="AB190" i="1"/>
  <c r="AP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F190" i="1"/>
  <c r="CG190" i="1"/>
  <c r="CH190" i="1"/>
  <c r="CI190" i="1"/>
  <c r="CJ190" i="1"/>
  <c r="CK190" i="1"/>
  <c r="CL190" i="1"/>
  <c r="CM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G190" i="1"/>
  <c r="DJ190" i="1"/>
  <c r="DM190" i="1"/>
  <c r="DN190" i="1"/>
  <c r="DO190" i="1"/>
  <c r="DP190" i="1"/>
  <c r="DR190" i="1"/>
  <c r="DU190" i="1"/>
  <c r="DX190" i="1"/>
  <c r="DZ190" i="1"/>
  <c r="EA190" i="1"/>
  <c r="EC190" i="1"/>
  <c r="ED190" i="1"/>
  <c r="EE190" i="1"/>
  <c r="EF190" i="1"/>
  <c r="EG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H191" i="1"/>
  <c r="I191" i="1"/>
  <c r="L191" i="1"/>
  <c r="O191" i="1"/>
  <c r="R191" i="1"/>
  <c r="S191" i="1"/>
  <c r="T191" i="1"/>
  <c r="U191" i="1"/>
  <c r="W191" i="1"/>
  <c r="X191" i="1"/>
  <c r="Y191" i="1"/>
  <c r="Z191" i="1"/>
  <c r="AA191" i="1"/>
  <c r="AB191" i="1"/>
  <c r="AP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F191" i="1"/>
  <c r="CG191" i="1"/>
  <c r="CH191" i="1"/>
  <c r="CI191" i="1"/>
  <c r="CJ191" i="1"/>
  <c r="CK191" i="1"/>
  <c r="CL191" i="1"/>
  <c r="CM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G191" i="1"/>
  <c r="DJ191" i="1"/>
  <c r="DM191" i="1"/>
  <c r="DN191" i="1"/>
  <c r="DO191" i="1"/>
  <c r="DP191" i="1"/>
  <c r="DR191" i="1"/>
  <c r="DU191" i="1"/>
  <c r="DX191" i="1"/>
  <c r="DZ191" i="1"/>
  <c r="EA191" i="1"/>
  <c r="EC191" i="1"/>
  <c r="ED191" i="1"/>
  <c r="EE191" i="1"/>
  <c r="EF191" i="1"/>
  <c r="EG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H192" i="1"/>
  <c r="I192" i="1"/>
  <c r="L192" i="1"/>
  <c r="O192" i="1"/>
  <c r="R192" i="1"/>
  <c r="S192" i="1"/>
  <c r="T192" i="1"/>
  <c r="U192" i="1"/>
  <c r="W192" i="1"/>
  <c r="X192" i="1"/>
  <c r="Y192" i="1"/>
  <c r="Z192" i="1"/>
  <c r="AA192" i="1"/>
  <c r="AB192" i="1"/>
  <c r="AP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F192" i="1"/>
  <c r="CG192" i="1"/>
  <c r="CH192" i="1"/>
  <c r="CI192" i="1"/>
  <c r="CJ192" i="1"/>
  <c r="CK192" i="1"/>
  <c r="CL192" i="1"/>
  <c r="CM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G192" i="1"/>
  <c r="DJ192" i="1"/>
  <c r="DM192" i="1"/>
  <c r="DN192" i="1"/>
  <c r="DO192" i="1"/>
  <c r="DP192" i="1"/>
  <c r="DR192" i="1"/>
  <c r="DU192" i="1"/>
  <c r="DX192" i="1"/>
  <c r="DZ192" i="1"/>
  <c r="EA192" i="1"/>
  <c r="EC192" i="1"/>
  <c r="ED192" i="1"/>
  <c r="EE192" i="1"/>
  <c r="EF192" i="1"/>
  <c r="EG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H193" i="1"/>
  <c r="I193" i="1"/>
  <c r="L193" i="1"/>
  <c r="O193" i="1"/>
  <c r="R193" i="1"/>
  <c r="S193" i="1"/>
  <c r="T193" i="1"/>
  <c r="U193" i="1"/>
  <c r="W193" i="1"/>
  <c r="X193" i="1"/>
  <c r="Y193" i="1"/>
  <c r="Z193" i="1"/>
  <c r="AA193" i="1"/>
  <c r="AB193" i="1"/>
  <c r="AP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F193" i="1"/>
  <c r="CG193" i="1"/>
  <c r="CH193" i="1"/>
  <c r="CI193" i="1"/>
  <c r="CJ193" i="1"/>
  <c r="CK193" i="1"/>
  <c r="CL193" i="1"/>
  <c r="CM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G193" i="1"/>
  <c r="DJ193" i="1"/>
  <c r="DM193" i="1"/>
  <c r="DN193" i="1"/>
  <c r="DO193" i="1"/>
  <c r="DP193" i="1"/>
  <c r="DR193" i="1"/>
  <c r="DU193" i="1"/>
  <c r="DX193" i="1"/>
  <c r="DZ193" i="1"/>
  <c r="EA193" i="1"/>
  <c r="EC193" i="1"/>
  <c r="ED193" i="1"/>
  <c r="EE193" i="1"/>
  <c r="EF193" i="1"/>
  <c r="EG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H194" i="1"/>
  <c r="I194" i="1"/>
  <c r="L194" i="1"/>
  <c r="O194" i="1"/>
  <c r="R194" i="1"/>
  <c r="S194" i="1"/>
  <c r="T194" i="1"/>
  <c r="U194" i="1"/>
  <c r="W194" i="1"/>
  <c r="X194" i="1"/>
  <c r="Y194" i="1"/>
  <c r="Z194" i="1"/>
  <c r="AA194" i="1"/>
  <c r="AB194" i="1"/>
  <c r="AP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F194" i="1"/>
  <c r="CG194" i="1"/>
  <c r="CH194" i="1"/>
  <c r="CI194" i="1"/>
  <c r="CJ194" i="1"/>
  <c r="CK194" i="1"/>
  <c r="CL194" i="1"/>
  <c r="CM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G194" i="1"/>
  <c r="DJ194" i="1"/>
  <c r="DM194" i="1"/>
  <c r="DN194" i="1"/>
  <c r="DO194" i="1"/>
  <c r="DP194" i="1"/>
  <c r="DR194" i="1"/>
  <c r="DU194" i="1"/>
  <c r="DX194" i="1"/>
  <c r="DZ194" i="1"/>
  <c r="EA194" i="1"/>
  <c r="EC194" i="1"/>
  <c r="ED194" i="1"/>
  <c r="EE194" i="1"/>
  <c r="EF194" i="1"/>
  <c r="EG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H195" i="1"/>
  <c r="I195" i="1"/>
  <c r="L195" i="1"/>
  <c r="O195" i="1"/>
  <c r="R195" i="1"/>
  <c r="S195" i="1"/>
  <c r="T195" i="1"/>
  <c r="U195" i="1"/>
  <c r="W195" i="1"/>
  <c r="X195" i="1"/>
  <c r="Y195" i="1"/>
  <c r="Z195" i="1"/>
  <c r="AA195" i="1"/>
  <c r="AB195" i="1"/>
  <c r="AP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F195" i="1"/>
  <c r="CG195" i="1"/>
  <c r="CH195" i="1"/>
  <c r="CI195" i="1"/>
  <c r="CJ195" i="1"/>
  <c r="CK195" i="1"/>
  <c r="CL195" i="1"/>
  <c r="CM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G195" i="1"/>
  <c r="DJ195" i="1"/>
  <c r="DM195" i="1"/>
  <c r="DN195" i="1"/>
  <c r="DO195" i="1"/>
  <c r="DP195" i="1"/>
  <c r="DR195" i="1"/>
  <c r="DU195" i="1"/>
  <c r="DX195" i="1"/>
  <c r="DZ195" i="1"/>
  <c r="EA195" i="1"/>
  <c r="EC195" i="1"/>
  <c r="ED195" i="1"/>
  <c r="EE195" i="1"/>
  <c r="EF195" i="1"/>
  <c r="EG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H196" i="1"/>
  <c r="I196" i="1"/>
  <c r="L196" i="1"/>
  <c r="O196" i="1"/>
  <c r="R196" i="1"/>
  <c r="S196" i="1"/>
  <c r="T196" i="1"/>
  <c r="U196" i="1"/>
  <c r="W196" i="1"/>
  <c r="X196" i="1"/>
  <c r="Y196" i="1"/>
  <c r="Z196" i="1"/>
  <c r="AA196" i="1"/>
  <c r="AB196" i="1"/>
  <c r="AP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F196" i="1"/>
  <c r="CG196" i="1"/>
  <c r="CH196" i="1"/>
  <c r="CI196" i="1"/>
  <c r="CJ196" i="1"/>
  <c r="CK196" i="1"/>
  <c r="CL196" i="1"/>
  <c r="CM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G196" i="1"/>
  <c r="DJ196" i="1"/>
  <c r="DM196" i="1"/>
  <c r="DN196" i="1"/>
  <c r="DO196" i="1"/>
  <c r="DP196" i="1"/>
  <c r="DR196" i="1"/>
  <c r="DU196" i="1"/>
  <c r="DX196" i="1"/>
  <c r="DZ196" i="1"/>
  <c r="EA196" i="1"/>
  <c r="EC196" i="1"/>
  <c r="ED196" i="1"/>
  <c r="EE196" i="1"/>
  <c r="EF196" i="1"/>
  <c r="EG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H197" i="1"/>
  <c r="I197" i="1"/>
  <c r="L197" i="1"/>
  <c r="O197" i="1"/>
  <c r="R197" i="1"/>
  <c r="S197" i="1"/>
  <c r="T197" i="1"/>
  <c r="U197" i="1"/>
  <c r="W197" i="1"/>
  <c r="X197" i="1"/>
  <c r="Y197" i="1"/>
  <c r="Z197" i="1"/>
  <c r="AA197" i="1"/>
  <c r="AB197" i="1"/>
  <c r="AP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F197" i="1"/>
  <c r="CG197" i="1"/>
  <c r="CH197" i="1"/>
  <c r="CI197" i="1"/>
  <c r="CJ197" i="1"/>
  <c r="CK197" i="1"/>
  <c r="CL197" i="1"/>
  <c r="CM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G197" i="1"/>
  <c r="DJ197" i="1"/>
  <c r="DM197" i="1"/>
  <c r="DN197" i="1"/>
  <c r="DO197" i="1"/>
  <c r="DP197" i="1"/>
  <c r="DR197" i="1"/>
  <c r="DU197" i="1"/>
  <c r="DX197" i="1"/>
  <c r="DZ197" i="1"/>
  <c r="EA197" i="1"/>
  <c r="EC197" i="1"/>
  <c r="ED197" i="1"/>
  <c r="EE197" i="1"/>
  <c r="EF197" i="1"/>
  <c r="EG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H198" i="1"/>
  <c r="I198" i="1"/>
  <c r="L198" i="1"/>
  <c r="O198" i="1"/>
  <c r="R198" i="1"/>
  <c r="S198" i="1"/>
  <c r="T198" i="1"/>
  <c r="U198" i="1"/>
  <c r="W198" i="1"/>
  <c r="X198" i="1"/>
  <c r="Y198" i="1"/>
  <c r="Z198" i="1"/>
  <c r="AA198" i="1"/>
  <c r="AB198" i="1"/>
  <c r="AP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F198" i="1"/>
  <c r="CG198" i="1"/>
  <c r="CH198" i="1"/>
  <c r="CI198" i="1"/>
  <c r="CJ198" i="1"/>
  <c r="CK198" i="1"/>
  <c r="CL198" i="1"/>
  <c r="CM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G198" i="1"/>
  <c r="DJ198" i="1"/>
  <c r="DM198" i="1"/>
  <c r="DN198" i="1"/>
  <c r="DO198" i="1"/>
  <c r="DP198" i="1"/>
  <c r="DR198" i="1"/>
  <c r="DU198" i="1"/>
  <c r="DX198" i="1"/>
  <c r="DZ198" i="1"/>
  <c r="EA198" i="1"/>
  <c r="EC198" i="1"/>
  <c r="ED198" i="1"/>
  <c r="EE198" i="1"/>
  <c r="EF198" i="1"/>
  <c r="EG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H199" i="1"/>
  <c r="I199" i="1"/>
  <c r="L199" i="1"/>
  <c r="O199" i="1"/>
  <c r="R199" i="1"/>
  <c r="S199" i="1"/>
  <c r="T199" i="1"/>
  <c r="U199" i="1"/>
  <c r="W199" i="1"/>
  <c r="X199" i="1"/>
  <c r="Y199" i="1"/>
  <c r="Z199" i="1"/>
  <c r="AA199" i="1"/>
  <c r="AB199" i="1"/>
  <c r="AP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F199" i="1"/>
  <c r="CG199" i="1"/>
  <c r="CH199" i="1"/>
  <c r="CI199" i="1"/>
  <c r="CJ199" i="1"/>
  <c r="CK199" i="1"/>
  <c r="CL199" i="1"/>
  <c r="CM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G199" i="1"/>
  <c r="DJ199" i="1"/>
  <c r="DM199" i="1"/>
  <c r="DN199" i="1"/>
  <c r="DO199" i="1"/>
  <c r="DP199" i="1"/>
  <c r="DR199" i="1"/>
  <c r="DU199" i="1"/>
  <c r="DX199" i="1"/>
  <c r="DZ199" i="1"/>
  <c r="EA199" i="1"/>
  <c r="EC199" i="1"/>
  <c r="ED199" i="1"/>
  <c r="EE199" i="1"/>
  <c r="EF199" i="1"/>
  <c r="EG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H200" i="1"/>
  <c r="I200" i="1"/>
  <c r="L200" i="1"/>
  <c r="O200" i="1"/>
  <c r="R200" i="1"/>
  <c r="S200" i="1"/>
  <c r="T200" i="1"/>
  <c r="U200" i="1"/>
  <c r="W200" i="1"/>
  <c r="X200" i="1"/>
  <c r="Y200" i="1"/>
  <c r="Z200" i="1"/>
  <c r="AA200" i="1"/>
  <c r="AB200" i="1"/>
  <c r="AP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F200" i="1"/>
  <c r="CG200" i="1"/>
  <c r="CH200" i="1"/>
  <c r="CI200" i="1"/>
  <c r="CJ200" i="1"/>
  <c r="CK200" i="1"/>
  <c r="CL200" i="1"/>
  <c r="CM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G200" i="1"/>
  <c r="DJ200" i="1"/>
  <c r="DM200" i="1"/>
  <c r="DN200" i="1"/>
  <c r="DO200" i="1"/>
  <c r="DP200" i="1"/>
  <c r="DR200" i="1"/>
  <c r="DU200" i="1"/>
  <c r="DX200" i="1"/>
  <c r="DZ200" i="1"/>
  <c r="EA200" i="1"/>
  <c r="EC200" i="1"/>
  <c r="ED200" i="1"/>
  <c r="EE200" i="1"/>
  <c r="EF200" i="1"/>
  <c r="EG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H201" i="1"/>
  <c r="I201" i="1"/>
  <c r="L201" i="1"/>
  <c r="O201" i="1"/>
  <c r="R201" i="1"/>
  <c r="S201" i="1"/>
  <c r="T201" i="1"/>
  <c r="U201" i="1"/>
  <c r="W201" i="1"/>
  <c r="X201" i="1"/>
  <c r="Y201" i="1"/>
  <c r="Z201" i="1"/>
  <c r="AA201" i="1"/>
  <c r="AB201" i="1"/>
  <c r="AP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F201" i="1"/>
  <c r="CG201" i="1"/>
  <c r="CH201" i="1"/>
  <c r="CI201" i="1"/>
  <c r="CJ201" i="1"/>
  <c r="CK201" i="1"/>
  <c r="CL201" i="1"/>
  <c r="CM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G201" i="1"/>
  <c r="DJ201" i="1"/>
  <c r="DM201" i="1"/>
  <c r="DN201" i="1"/>
  <c r="DO201" i="1"/>
  <c r="DP201" i="1"/>
  <c r="DR201" i="1"/>
  <c r="DU201" i="1"/>
  <c r="DX201" i="1"/>
  <c r="DZ201" i="1"/>
  <c r="EA201" i="1"/>
  <c r="EC201" i="1"/>
  <c r="ED201" i="1"/>
  <c r="EE201" i="1"/>
  <c r="EF201" i="1"/>
  <c r="EG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H202" i="1"/>
  <c r="I202" i="1"/>
  <c r="L202" i="1"/>
  <c r="O202" i="1"/>
  <c r="R202" i="1"/>
  <c r="S202" i="1"/>
  <c r="T202" i="1"/>
  <c r="U202" i="1"/>
  <c r="W202" i="1"/>
  <c r="X202" i="1"/>
  <c r="Y202" i="1"/>
  <c r="Z202" i="1"/>
  <c r="AA202" i="1"/>
  <c r="AB202" i="1"/>
  <c r="AP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F202" i="1"/>
  <c r="CG202" i="1"/>
  <c r="CH202" i="1"/>
  <c r="CI202" i="1"/>
  <c r="CJ202" i="1"/>
  <c r="CK202" i="1"/>
  <c r="CL202" i="1"/>
  <c r="CM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G202" i="1"/>
  <c r="DJ202" i="1"/>
  <c r="DM202" i="1"/>
  <c r="DN202" i="1"/>
  <c r="DO202" i="1"/>
  <c r="DP202" i="1"/>
  <c r="DR202" i="1"/>
  <c r="DU202" i="1"/>
  <c r="DX202" i="1"/>
  <c r="DZ202" i="1"/>
  <c r="EA202" i="1"/>
  <c r="EC202" i="1"/>
  <c r="ED202" i="1"/>
  <c r="EE202" i="1"/>
  <c r="EF202" i="1"/>
  <c r="EG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H203" i="1"/>
  <c r="I203" i="1"/>
  <c r="L203" i="1"/>
  <c r="O203" i="1"/>
  <c r="R203" i="1"/>
  <c r="S203" i="1"/>
  <c r="T203" i="1"/>
  <c r="U203" i="1"/>
  <c r="W203" i="1"/>
  <c r="X203" i="1"/>
  <c r="Y203" i="1"/>
  <c r="Z203" i="1"/>
  <c r="AA203" i="1"/>
  <c r="AB203" i="1"/>
  <c r="AP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F203" i="1"/>
  <c r="CG203" i="1"/>
  <c r="CH203" i="1"/>
  <c r="CI203" i="1"/>
  <c r="CJ203" i="1"/>
  <c r="CK203" i="1"/>
  <c r="CL203" i="1"/>
  <c r="CM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G203" i="1"/>
  <c r="DJ203" i="1"/>
  <c r="DM203" i="1"/>
  <c r="DN203" i="1"/>
  <c r="DO203" i="1"/>
  <c r="DP203" i="1"/>
  <c r="DR203" i="1"/>
  <c r="DU203" i="1"/>
  <c r="DX203" i="1"/>
  <c r="DZ203" i="1"/>
  <c r="EA203" i="1"/>
  <c r="EC203" i="1"/>
  <c r="ED203" i="1"/>
  <c r="EE203" i="1"/>
  <c r="EF203" i="1"/>
  <c r="EG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H204" i="1"/>
  <c r="I204" i="1"/>
  <c r="L204" i="1"/>
  <c r="O204" i="1"/>
  <c r="R204" i="1"/>
  <c r="S204" i="1"/>
  <c r="T204" i="1"/>
  <c r="U204" i="1"/>
  <c r="W204" i="1"/>
  <c r="X204" i="1"/>
  <c r="Y204" i="1"/>
  <c r="Z204" i="1"/>
  <c r="AA204" i="1"/>
  <c r="AB204" i="1"/>
  <c r="AP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F204" i="1"/>
  <c r="CG204" i="1"/>
  <c r="CH204" i="1"/>
  <c r="CI204" i="1"/>
  <c r="CJ204" i="1"/>
  <c r="CK204" i="1"/>
  <c r="CL204" i="1"/>
  <c r="CM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G204" i="1"/>
  <c r="DJ204" i="1"/>
  <c r="DM204" i="1"/>
  <c r="DN204" i="1"/>
  <c r="DO204" i="1"/>
  <c r="DP204" i="1"/>
  <c r="DR204" i="1"/>
  <c r="DU204" i="1"/>
  <c r="DX204" i="1"/>
  <c r="DZ204" i="1"/>
  <c r="EA204" i="1"/>
  <c r="EC204" i="1"/>
  <c r="ED204" i="1"/>
  <c r="EE204" i="1"/>
  <c r="EF204" i="1"/>
  <c r="EG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H205" i="1"/>
  <c r="I205" i="1"/>
  <c r="L205" i="1"/>
  <c r="O205" i="1"/>
  <c r="R205" i="1"/>
  <c r="S205" i="1"/>
  <c r="T205" i="1"/>
  <c r="U205" i="1"/>
  <c r="W205" i="1"/>
  <c r="X205" i="1"/>
  <c r="Y205" i="1"/>
  <c r="Z205" i="1"/>
  <c r="AA205" i="1"/>
  <c r="AB205" i="1"/>
  <c r="AP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F205" i="1"/>
  <c r="CG205" i="1"/>
  <c r="CH205" i="1"/>
  <c r="CI205" i="1"/>
  <c r="CJ205" i="1"/>
  <c r="CK205" i="1"/>
  <c r="CL205" i="1"/>
  <c r="CM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G205" i="1"/>
  <c r="DJ205" i="1"/>
  <c r="DM205" i="1"/>
  <c r="DN205" i="1"/>
  <c r="DO205" i="1"/>
  <c r="DP205" i="1"/>
  <c r="DR205" i="1"/>
  <c r="DU205" i="1"/>
  <c r="DX205" i="1"/>
  <c r="DZ205" i="1"/>
  <c r="EA205" i="1"/>
  <c r="EC205" i="1"/>
  <c r="ED205" i="1"/>
  <c r="EE205" i="1"/>
  <c r="EF205" i="1"/>
  <c r="EG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H206" i="1"/>
  <c r="I206" i="1"/>
  <c r="L206" i="1"/>
  <c r="O206" i="1"/>
  <c r="R206" i="1"/>
  <c r="S206" i="1"/>
  <c r="T206" i="1"/>
  <c r="U206" i="1"/>
  <c r="W206" i="1"/>
  <c r="X206" i="1"/>
  <c r="Y206" i="1"/>
  <c r="Z206" i="1"/>
  <c r="AA206" i="1"/>
  <c r="AB206" i="1"/>
  <c r="AP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F206" i="1"/>
  <c r="CG206" i="1"/>
  <c r="CH206" i="1"/>
  <c r="CI206" i="1"/>
  <c r="CJ206" i="1"/>
  <c r="CK206" i="1"/>
  <c r="CL206" i="1"/>
  <c r="CM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G206" i="1"/>
  <c r="DJ206" i="1"/>
  <c r="DM206" i="1"/>
  <c r="DN206" i="1"/>
  <c r="DO206" i="1"/>
  <c r="DP206" i="1"/>
  <c r="DR206" i="1"/>
  <c r="DU206" i="1"/>
  <c r="DX206" i="1"/>
  <c r="DZ206" i="1"/>
  <c r="EA206" i="1"/>
  <c r="EC206" i="1"/>
  <c r="ED206" i="1"/>
  <c r="EE206" i="1"/>
  <c r="EF206" i="1"/>
  <c r="EG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H207" i="1"/>
  <c r="I207" i="1"/>
  <c r="L207" i="1"/>
  <c r="O207" i="1"/>
  <c r="R207" i="1"/>
  <c r="S207" i="1"/>
  <c r="T207" i="1"/>
  <c r="U207" i="1"/>
  <c r="W207" i="1"/>
  <c r="X207" i="1"/>
  <c r="Y207" i="1"/>
  <c r="Z207" i="1"/>
  <c r="AA207" i="1"/>
  <c r="AB207" i="1"/>
  <c r="AP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F207" i="1"/>
  <c r="CG207" i="1"/>
  <c r="CH207" i="1"/>
  <c r="CI207" i="1"/>
  <c r="CJ207" i="1"/>
  <c r="CK207" i="1"/>
  <c r="CL207" i="1"/>
  <c r="CM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G207" i="1"/>
  <c r="DJ207" i="1"/>
  <c r="DM207" i="1"/>
  <c r="DN207" i="1"/>
  <c r="DO207" i="1"/>
  <c r="DP207" i="1"/>
  <c r="DR207" i="1"/>
  <c r="DU207" i="1"/>
  <c r="DX207" i="1"/>
  <c r="DZ207" i="1"/>
  <c r="EA207" i="1"/>
  <c r="EC207" i="1"/>
  <c r="ED207" i="1"/>
  <c r="EE207" i="1"/>
  <c r="EF207" i="1"/>
  <c r="EG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H208" i="1"/>
  <c r="I208" i="1"/>
  <c r="L208" i="1"/>
  <c r="O208" i="1"/>
  <c r="R208" i="1"/>
  <c r="S208" i="1"/>
  <c r="T208" i="1"/>
  <c r="U208" i="1"/>
  <c r="W208" i="1"/>
  <c r="X208" i="1"/>
  <c r="Y208" i="1"/>
  <c r="Z208" i="1"/>
  <c r="AA208" i="1"/>
  <c r="AB208" i="1"/>
  <c r="AP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F208" i="1"/>
  <c r="CG208" i="1"/>
  <c r="CH208" i="1"/>
  <c r="CI208" i="1"/>
  <c r="CJ208" i="1"/>
  <c r="CK208" i="1"/>
  <c r="CL208" i="1"/>
  <c r="CM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G208" i="1"/>
  <c r="DJ208" i="1"/>
  <c r="DM208" i="1"/>
  <c r="DN208" i="1"/>
  <c r="DO208" i="1"/>
  <c r="DP208" i="1"/>
  <c r="DR208" i="1"/>
  <c r="DU208" i="1"/>
  <c r="DX208" i="1"/>
  <c r="DZ208" i="1"/>
  <c r="EA208" i="1"/>
  <c r="EC208" i="1"/>
  <c r="ED208" i="1"/>
  <c r="EE208" i="1"/>
  <c r="EF208" i="1"/>
  <c r="EG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H209" i="1"/>
  <c r="I209" i="1"/>
  <c r="L209" i="1"/>
  <c r="O209" i="1"/>
  <c r="R209" i="1"/>
  <c r="S209" i="1"/>
  <c r="T209" i="1"/>
  <c r="U209" i="1"/>
  <c r="W209" i="1"/>
  <c r="X209" i="1"/>
  <c r="Y209" i="1"/>
  <c r="Z209" i="1"/>
  <c r="AA209" i="1"/>
  <c r="AB209" i="1"/>
  <c r="AP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F209" i="1"/>
  <c r="CG209" i="1"/>
  <c r="CH209" i="1"/>
  <c r="CI209" i="1"/>
  <c r="CJ209" i="1"/>
  <c r="CK209" i="1"/>
  <c r="CL209" i="1"/>
  <c r="CM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G209" i="1"/>
  <c r="DJ209" i="1"/>
  <c r="DM209" i="1"/>
  <c r="DN209" i="1"/>
  <c r="DO209" i="1"/>
  <c r="DP209" i="1"/>
  <c r="DR209" i="1"/>
  <c r="DU209" i="1"/>
  <c r="DX209" i="1"/>
  <c r="DZ209" i="1"/>
  <c r="EA209" i="1"/>
  <c r="EC209" i="1"/>
  <c r="ED209" i="1"/>
  <c r="EE209" i="1"/>
  <c r="EF209" i="1"/>
  <c r="EG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H210" i="1"/>
  <c r="I210" i="1"/>
  <c r="L210" i="1"/>
  <c r="O210" i="1"/>
  <c r="R210" i="1"/>
  <c r="S210" i="1"/>
  <c r="T210" i="1"/>
  <c r="U210" i="1"/>
  <c r="W210" i="1"/>
  <c r="X210" i="1"/>
  <c r="Y210" i="1"/>
  <c r="Z210" i="1"/>
  <c r="AA210" i="1"/>
  <c r="AB210" i="1"/>
  <c r="AP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F210" i="1"/>
  <c r="CG210" i="1"/>
  <c r="CH210" i="1"/>
  <c r="CI210" i="1"/>
  <c r="CJ210" i="1"/>
  <c r="CK210" i="1"/>
  <c r="CL210" i="1"/>
  <c r="CM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G210" i="1"/>
  <c r="DJ210" i="1"/>
  <c r="DM210" i="1"/>
  <c r="DN210" i="1"/>
  <c r="DO210" i="1"/>
  <c r="DP210" i="1"/>
  <c r="DR210" i="1"/>
  <c r="DU210" i="1"/>
  <c r="DX210" i="1"/>
  <c r="DZ210" i="1"/>
  <c r="EA210" i="1"/>
  <c r="EC210" i="1"/>
  <c r="ED210" i="1"/>
  <c r="EE210" i="1"/>
  <c r="EF210" i="1"/>
  <c r="EG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H211" i="1"/>
  <c r="I211" i="1"/>
  <c r="L211" i="1"/>
  <c r="O211" i="1"/>
  <c r="R211" i="1"/>
  <c r="S211" i="1"/>
  <c r="T211" i="1"/>
  <c r="U211" i="1"/>
  <c r="W211" i="1"/>
  <c r="X211" i="1"/>
  <c r="Y211" i="1"/>
  <c r="Z211" i="1"/>
  <c r="AA211" i="1"/>
  <c r="AB211" i="1"/>
  <c r="AP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F211" i="1"/>
  <c r="CG211" i="1"/>
  <c r="CH211" i="1"/>
  <c r="CI211" i="1"/>
  <c r="CJ211" i="1"/>
  <c r="CK211" i="1"/>
  <c r="CL211" i="1"/>
  <c r="CM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G211" i="1"/>
  <c r="DJ211" i="1"/>
  <c r="DM211" i="1"/>
  <c r="DN211" i="1"/>
  <c r="DO211" i="1"/>
  <c r="DP211" i="1"/>
  <c r="DR211" i="1"/>
  <c r="DU211" i="1"/>
  <c r="DX211" i="1"/>
  <c r="DZ211" i="1"/>
  <c r="EA211" i="1"/>
  <c r="EC211" i="1"/>
  <c r="ED211" i="1"/>
  <c r="EE211" i="1"/>
  <c r="EF211" i="1"/>
  <c r="EG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H212" i="1"/>
  <c r="I212" i="1"/>
  <c r="L212" i="1"/>
  <c r="O212" i="1"/>
  <c r="R212" i="1"/>
  <c r="S212" i="1"/>
  <c r="T212" i="1"/>
  <c r="U212" i="1"/>
  <c r="W212" i="1"/>
  <c r="X212" i="1"/>
  <c r="Y212" i="1"/>
  <c r="Z212" i="1"/>
  <c r="AA212" i="1"/>
  <c r="AB212" i="1"/>
  <c r="AP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F212" i="1"/>
  <c r="CG212" i="1"/>
  <c r="CH212" i="1"/>
  <c r="CI212" i="1"/>
  <c r="CJ212" i="1"/>
  <c r="CK212" i="1"/>
  <c r="CL212" i="1"/>
  <c r="CM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G212" i="1"/>
  <c r="DJ212" i="1"/>
  <c r="DM212" i="1"/>
  <c r="DN212" i="1"/>
  <c r="DO212" i="1"/>
  <c r="DP212" i="1"/>
  <c r="DR212" i="1"/>
  <c r="DU212" i="1"/>
  <c r="DX212" i="1"/>
  <c r="DZ212" i="1"/>
  <c r="EA212" i="1"/>
  <c r="EC212" i="1"/>
  <c r="ED212" i="1"/>
  <c r="EE212" i="1"/>
  <c r="EF212" i="1"/>
  <c r="EG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H213" i="1"/>
  <c r="I213" i="1"/>
  <c r="L213" i="1"/>
  <c r="O213" i="1"/>
  <c r="R213" i="1"/>
  <c r="S213" i="1"/>
  <c r="T213" i="1"/>
  <c r="U213" i="1"/>
  <c r="W213" i="1"/>
  <c r="X213" i="1"/>
  <c r="Y213" i="1"/>
  <c r="Z213" i="1"/>
  <c r="AA213" i="1"/>
  <c r="AB213" i="1"/>
  <c r="AP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F213" i="1"/>
  <c r="CG213" i="1"/>
  <c r="CH213" i="1"/>
  <c r="CI213" i="1"/>
  <c r="CJ213" i="1"/>
  <c r="CK213" i="1"/>
  <c r="CL213" i="1"/>
  <c r="CM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G213" i="1"/>
  <c r="DJ213" i="1"/>
  <c r="DM213" i="1"/>
  <c r="DN213" i="1"/>
  <c r="DO213" i="1"/>
  <c r="DP213" i="1"/>
  <c r="DR213" i="1"/>
  <c r="DU213" i="1"/>
  <c r="DX213" i="1"/>
  <c r="DZ213" i="1"/>
  <c r="EA213" i="1"/>
  <c r="EC213" i="1"/>
  <c r="ED213" i="1"/>
  <c r="EE213" i="1"/>
  <c r="EF213" i="1"/>
  <c r="EG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H214" i="1"/>
  <c r="I214" i="1"/>
  <c r="L214" i="1"/>
  <c r="O214" i="1"/>
  <c r="R214" i="1"/>
  <c r="S214" i="1"/>
  <c r="T214" i="1"/>
  <c r="U214" i="1"/>
  <c r="W214" i="1"/>
  <c r="X214" i="1"/>
  <c r="Y214" i="1"/>
  <c r="Z214" i="1"/>
  <c r="AA214" i="1"/>
  <c r="AB214" i="1"/>
  <c r="AP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F214" i="1"/>
  <c r="CG214" i="1"/>
  <c r="CH214" i="1"/>
  <c r="CI214" i="1"/>
  <c r="CJ214" i="1"/>
  <c r="CK214" i="1"/>
  <c r="CL214" i="1"/>
  <c r="CM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G214" i="1"/>
  <c r="DJ214" i="1"/>
  <c r="DM214" i="1"/>
  <c r="DN214" i="1"/>
  <c r="DO214" i="1"/>
  <c r="DP214" i="1"/>
  <c r="DR214" i="1"/>
  <c r="DU214" i="1"/>
  <c r="DX214" i="1"/>
  <c r="DZ214" i="1"/>
  <c r="EA214" i="1"/>
  <c r="EC214" i="1"/>
  <c r="ED214" i="1"/>
  <c r="EE214" i="1"/>
  <c r="EF214" i="1"/>
  <c r="EG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H215" i="1"/>
  <c r="I215" i="1"/>
  <c r="L215" i="1"/>
  <c r="O215" i="1"/>
  <c r="R215" i="1"/>
  <c r="S215" i="1"/>
  <c r="T215" i="1"/>
  <c r="U215" i="1"/>
  <c r="W215" i="1"/>
  <c r="X215" i="1"/>
  <c r="Y215" i="1"/>
  <c r="Z215" i="1"/>
  <c r="AA215" i="1"/>
  <c r="AB215" i="1"/>
  <c r="AP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F215" i="1"/>
  <c r="CG215" i="1"/>
  <c r="CH215" i="1"/>
  <c r="CI215" i="1"/>
  <c r="CJ215" i="1"/>
  <c r="CK215" i="1"/>
  <c r="CL215" i="1"/>
  <c r="CM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G215" i="1"/>
  <c r="DJ215" i="1"/>
  <c r="DM215" i="1"/>
  <c r="DN215" i="1"/>
  <c r="DO215" i="1"/>
  <c r="DP215" i="1"/>
  <c r="DR215" i="1"/>
  <c r="DU215" i="1"/>
  <c r="DX215" i="1"/>
  <c r="DZ215" i="1"/>
  <c r="EA215" i="1"/>
  <c r="EC215" i="1"/>
  <c r="ED215" i="1"/>
  <c r="EE215" i="1"/>
  <c r="EF215" i="1"/>
  <c r="EG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H216" i="1"/>
  <c r="I216" i="1"/>
  <c r="L216" i="1"/>
  <c r="O216" i="1"/>
  <c r="R216" i="1"/>
  <c r="S216" i="1"/>
  <c r="T216" i="1"/>
  <c r="U216" i="1"/>
  <c r="W216" i="1"/>
  <c r="X216" i="1"/>
  <c r="Y216" i="1"/>
  <c r="Z216" i="1"/>
  <c r="AA216" i="1"/>
  <c r="AB216" i="1"/>
  <c r="AP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F216" i="1"/>
  <c r="CG216" i="1"/>
  <c r="CH216" i="1"/>
  <c r="CI216" i="1"/>
  <c r="CJ216" i="1"/>
  <c r="CK216" i="1"/>
  <c r="CL216" i="1"/>
  <c r="CM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G216" i="1"/>
  <c r="DJ216" i="1"/>
  <c r="DM216" i="1"/>
  <c r="DN216" i="1"/>
  <c r="DO216" i="1"/>
  <c r="DP216" i="1"/>
  <c r="DR216" i="1"/>
  <c r="DU216" i="1"/>
  <c r="DX216" i="1"/>
  <c r="DZ216" i="1"/>
  <c r="EA216" i="1"/>
  <c r="EC216" i="1"/>
  <c r="ED216" i="1"/>
  <c r="EE216" i="1"/>
  <c r="EF216" i="1"/>
  <c r="EG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H217" i="1"/>
  <c r="I217" i="1"/>
  <c r="L217" i="1"/>
  <c r="O217" i="1"/>
  <c r="R217" i="1"/>
  <c r="S217" i="1"/>
  <c r="T217" i="1"/>
  <c r="U217" i="1"/>
  <c r="W217" i="1"/>
  <c r="X217" i="1"/>
  <c r="Y217" i="1"/>
  <c r="Z217" i="1"/>
  <c r="AA217" i="1"/>
  <c r="AB217" i="1"/>
  <c r="AP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F217" i="1"/>
  <c r="CG217" i="1"/>
  <c r="CH217" i="1"/>
  <c r="CI217" i="1"/>
  <c r="CJ217" i="1"/>
  <c r="CK217" i="1"/>
  <c r="CL217" i="1"/>
  <c r="CM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G217" i="1"/>
  <c r="DJ217" i="1"/>
  <c r="DM217" i="1"/>
  <c r="DN217" i="1"/>
  <c r="DO217" i="1"/>
  <c r="DP217" i="1"/>
  <c r="DR217" i="1"/>
  <c r="DU217" i="1"/>
  <c r="DX217" i="1"/>
  <c r="DZ217" i="1"/>
  <c r="EA217" i="1"/>
  <c r="EC217" i="1"/>
  <c r="ED217" i="1"/>
  <c r="EE217" i="1"/>
  <c r="EF217" i="1"/>
  <c r="EG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H218" i="1"/>
  <c r="I218" i="1"/>
  <c r="L218" i="1"/>
  <c r="O218" i="1"/>
  <c r="R218" i="1"/>
  <c r="S218" i="1"/>
  <c r="T218" i="1"/>
  <c r="U218" i="1"/>
  <c r="W218" i="1"/>
  <c r="X218" i="1"/>
  <c r="Y218" i="1"/>
  <c r="Z218" i="1"/>
  <c r="AA218" i="1"/>
  <c r="AB218" i="1"/>
  <c r="AP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F218" i="1"/>
  <c r="CG218" i="1"/>
  <c r="CH218" i="1"/>
  <c r="CI218" i="1"/>
  <c r="CJ218" i="1"/>
  <c r="CK218" i="1"/>
  <c r="CL218" i="1"/>
  <c r="CM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G218" i="1"/>
  <c r="DJ218" i="1"/>
  <c r="DM218" i="1"/>
  <c r="DN218" i="1"/>
  <c r="DO218" i="1"/>
  <c r="DP218" i="1"/>
  <c r="DR218" i="1"/>
  <c r="DU218" i="1"/>
  <c r="DX218" i="1"/>
  <c r="DZ218" i="1"/>
  <c r="EA218" i="1"/>
  <c r="EC218" i="1"/>
  <c r="ED218" i="1"/>
  <c r="EE218" i="1"/>
  <c r="EF218" i="1"/>
  <c r="EG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H219" i="1"/>
  <c r="I219" i="1"/>
  <c r="L219" i="1"/>
  <c r="O219" i="1"/>
  <c r="R219" i="1"/>
  <c r="S219" i="1"/>
  <c r="T219" i="1"/>
  <c r="U219" i="1"/>
  <c r="W219" i="1"/>
  <c r="X219" i="1"/>
  <c r="Y219" i="1"/>
  <c r="Z219" i="1"/>
  <c r="AA219" i="1"/>
  <c r="AB219" i="1"/>
  <c r="AP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F219" i="1"/>
  <c r="CG219" i="1"/>
  <c r="CH219" i="1"/>
  <c r="CI219" i="1"/>
  <c r="CJ219" i="1"/>
  <c r="CK219" i="1"/>
  <c r="CL219" i="1"/>
  <c r="CM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G219" i="1"/>
  <c r="DJ219" i="1"/>
  <c r="DM219" i="1"/>
  <c r="DN219" i="1"/>
  <c r="DO219" i="1"/>
  <c r="DP219" i="1"/>
  <c r="DR219" i="1"/>
  <c r="DU219" i="1"/>
  <c r="DX219" i="1"/>
  <c r="DZ219" i="1"/>
  <c r="EA219" i="1"/>
  <c r="EC219" i="1"/>
  <c r="ED219" i="1"/>
  <c r="EE219" i="1"/>
  <c r="EF219" i="1"/>
  <c r="EG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H220" i="1"/>
  <c r="I220" i="1"/>
  <c r="L220" i="1"/>
  <c r="O220" i="1"/>
  <c r="R220" i="1"/>
  <c r="S220" i="1"/>
  <c r="T220" i="1"/>
  <c r="U220" i="1"/>
  <c r="W220" i="1"/>
  <c r="X220" i="1"/>
  <c r="Y220" i="1"/>
  <c r="Z220" i="1"/>
  <c r="AA220" i="1"/>
  <c r="AB220" i="1"/>
  <c r="AP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F220" i="1"/>
  <c r="CG220" i="1"/>
  <c r="CH220" i="1"/>
  <c r="CI220" i="1"/>
  <c r="CJ220" i="1"/>
  <c r="CK220" i="1"/>
  <c r="CL220" i="1"/>
  <c r="CM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G220" i="1"/>
  <c r="DJ220" i="1"/>
  <c r="DM220" i="1"/>
  <c r="DN220" i="1"/>
  <c r="DO220" i="1"/>
  <c r="DP220" i="1"/>
  <c r="DR220" i="1"/>
  <c r="DU220" i="1"/>
  <c r="DX220" i="1"/>
  <c r="DZ220" i="1"/>
  <c r="EA220" i="1"/>
  <c r="EC220" i="1"/>
  <c r="ED220" i="1"/>
  <c r="EE220" i="1"/>
  <c r="EF220" i="1"/>
  <c r="EG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H221" i="1"/>
  <c r="I221" i="1"/>
  <c r="L221" i="1"/>
  <c r="O221" i="1"/>
  <c r="R221" i="1"/>
  <c r="S221" i="1"/>
  <c r="T221" i="1"/>
  <c r="U221" i="1"/>
  <c r="W221" i="1"/>
  <c r="X221" i="1"/>
  <c r="Y221" i="1"/>
  <c r="Z221" i="1"/>
  <c r="AA221" i="1"/>
  <c r="AB221" i="1"/>
  <c r="AP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F221" i="1"/>
  <c r="CG221" i="1"/>
  <c r="CH221" i="1"/>
  <c r="CI221" i="1"/>
  <c r="CJ221" i="1"/>
  <c r="CK221" i="1"/>
  <c r="CL221" i="1"/>
  <c r="CM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G221" i="1"/>
  <c r="DJ221" i="1"/>
  <c r="DM221" i="1"/>
  <c r="DN221" i="1"/>
  <c r="DO221" i="1"/>
  <c r="DP221" i="1"/>
  <c r="DR221" i="1"/>
  <c r="DU221" i="1"/>
  <c r="DX221" i="1"/>
  <c r="DZ221" i="1"/>
  <c r="EA221" i="1"/>
  <c r="EC221" i="1"/>
  <c r="ED221" i="1"/>
  <c r="EE221" i="1"/>
  <c r="EF221" i="1"/>
  <c r="EG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H222" i="1"/>
  <c r="I222" i="1"/>
  <c r="L222" i="1"/>
  <c r="O222" i="1"/>
  <c r="R222" i="1"/>
  <c r="S222" i="1"/>
  <c r="T222" i="1"/>
  <c r="U222" i="1"/>
  <c r="W222" i="1"/>
  <c r="X222" i="1"/>
  <c r="Y222" i="1"/>
  <c r="Z222" i="1"/>
  <c r="AA222" i="1"/>
  <c r="AB222" i="1"/>
  <c r="AP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F222" i="1"/>
  <c r="CG222" i="1"/>
  <c r="CH222" i="1"/>
  <c r="CI222" i="1"/>
  <c r="CJ222" i="1"/>
  <c r="CK222" i="1"/>
  <c r="CL222" i="1"/>
  <c r="CM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G222" i="1"/>
  <c r="DJ222" i="1"/>
  <c r="DM222" i="1"/>
  <c r="DN222" i="1"/>
  <c r="DO222" i="1"/>
  <c r="DP222" i="1"/>
  <c r="DR222" i="1"/>
  <c r="DU222" i="1"/>
  <c r="DX222" i="1"/>
  <c r="DZ222" i="1"/>
  <c r="EA222" i="1"/>
  <c r="EC222" i="1"/>
  <c r="ED222" i="1"/>
  <c r="EE222" i="1"/>
  <c r="EF222" i="1"/>
  <c r="EG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H223" i="1"/>
  <c r="I223" i="1"/>
  <c r="L223" i="1"/>
  <c r="O223" i="1"/>
  <c r="R223" i="1"/>
  <c r="S223" i="1"/>
  <c r="T223" i="1"/>
  <c r="U223" i="1"/>
  <c r="W223" i="1"/>
  <c r="X223" i="1"/>
  <c r="Y223" i="1"/>
  <c r="Z223" i="1"/>
  <c r="AA223" i="1"/>
  <c r="AB223" i="1"/>
  <c r="AP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F223" i="1"/>
  <c r="CG223" i="1"/>
  <c r="CH223" i="1"/>
  <c r="CI223" i="1"/>
  <c r="CJ223" i="1"/>
  <c r="CK223" i="1"/>
  <c r="CL223" i="1"/>
  <c r="CM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G223" i="1"/>
  <c r="DJ223" i="1"/>
  <c r="DM223" i="1"/>
  <c r="DN223" i="1"/>
  <c r="DO223" i="1"/>
  <c r="DP223" i="1"/>
  <c r="DR223" i="1"/>
  <c r="DU223" i="1"/>
  <c r="DX223" i="1"/>
  <c r="DZ223" i="1"/>
  <c r="EA223" i="1"/>
  <c r="EC223" i="1"/>
  <c r="ED223" i="1"/>
  <c r="EE223" i="1"/>
  <c r="EF223" i="1"/>
  <c r="EG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H224" i="1"/>
  <c r="I224" i="1"/>
  <c r="L224" i="1"/>
  <c r="O224" i="1"/>
  <c r="R224" i="1"/>
  <c r="S224" i="1"/>
  <c r="T224" i="1"/>
  <c r="U224" i="1"/>
  <c r="W224" i="1"/>
  <c r="X224" i="1"/>
  <c r="Y224" i="1"/>
  <c r="Z224" i="1"/>
  <c r="AA224" i="1"/>
  <c r="AB224" i="1"/>
  <c r="AP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F224" i="1"/>
  <c r="CG224" i="1"/>
  <c r="CH224" i="1"/>
  <c r="CI224" i="1"/>
  <c r="CJ224" i="1"/>
  <c r="CK224" i="1"/>
  <c r="CL224" i="1"/>
  <c r="CM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G224" i="1"/>
  <c r="DJ224" i="1"/>
  <c r="DM224" i="1"/>
  <c r="DN224" i="1"/>
  <c r="DO224" i="1"/>
  <c r="DP224" i="1"/>
  <c r="DR224" i="1"/>
  <c r="DU224" i="1"/>
  <c r="DX224" i="1"/>
  <c r="DZ224" i="1"/>
  <c r="EA224" i="1"/>
  <c r="EC224" i="1"/>
  <c r="ED224" i="1"/>
  <c r="EE224" i="1"/>
  <c r="EF224" i="1"/>
  <c r="EG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H225" i="1"/>
  <c r="I225" i="1"/>
  <c r="L225" i="1"/>
  <c r="O225" i="1"/>
  <c r="R225" i="1"/>
  <c r="S225" i="1"/>
  <c r="T225" i="1"/>
  <c r="U225" i="1"/>
  <c r="W225" i="1"/>
  <c r="X225" i="1"/>
  <c r="Y225" i="1"/>
  <c r="Z225" i="1"/>
  <c r="AA225" i="1"/>
  <c r="AB225" i="1"/>
  <c r="AP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F225" i="1"/>
  <c r="CG225" i="1"/>
  <c r="CH225" i="1"/>
  <c r="CI225" i="1"/>
  <c r="CJ225" i="1"/>
  <c r="CK225" i="1"/>
  <c r="CL225" i="1"/>
  <c r="CM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G225" i="1"/>
  <c r="DJ225" i="1"/>
  <c r="DM225" i="1"/>
  <c r="DN225" i="1"/>
  <c r="DO225" i="1"/>
  <c r="DP225" i="1"/>
  <c r="DR225" i="1"/>
  <c r="DU225" i="1"/>
  <c r="DX225" i="1"/>
  <c r="DZ225" i="1"/>
  <c r="EA225" i="1"/>
  <c r="EC225" i="1"/>
  <c r="ED225" i="1"/>
  <c r="EE225" i="1"/>
  <c r="EF225" i="1"/>
  <c r="EG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H226" i="1"/>
  <c r="I226" i="1"/>
  <c r="L226" i="1"/>
  <c r="O226" i="1"/>
  <c r="R226" i="1"/>
  <c r="S226" i="1"/>
  <c r="T226" i="1"/>
  <c r="U226" i="1"/>
  <c r="W226" i="1"/>
  <c r="X226" i="1"/>
  <c r="Y226" i="1"/>
  <c r="Z226" i="1"/>
  <c r="AA226" i="1"/>
  <c r="AB226" i="1"/>
  <c r="AP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F226" i="1"/>
  <c r="CG226" i="1"/>
  <c r="CH226" i="1"/>
  <c r="CI226" i="1"/>
  <c r="CJ226" i="1"/>
  <c r="CK226" i="1"/>
  <c r="CL226" i="1"/>
  <c r="CM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G226" i="1"/>
  <c r="DJ226" i="1"/>
  <c r="DM226" i="1"/>
  <c r="DN226" i="1"/>
  <c r="DO226" i="1"/>
  <c r="DP226" i="1"/>
  <c r="DR226" i="1"/>
  <c r="DU226" i="1"/>
  <c r="DX226" i="1"/>
  <c r="DZ226" i="1"/>
  <c r="EA226" i="1"/>
  <c r="EC226" i="1"/>
  <c r="ED226" i="1"/>
  <c r="EE226" i="1"/>
  <c r="EF226" i="1"/>
  <c r="EG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H227" i="1"/>
  <c r="I227" i="1"/>
  <c r="L227" i="1"/>
  <c r="O227" i="1"/>
  <c r="R227" i="1"/>
  <c r="S227" i="1"/>
  <c r="T227" i="1"/>
  <c r="U227" i="1"/>
  <c r="W227" i="1"/>
  <c r="X227" i="1"/>
  <c r="Y227" i="1"/>
  <c r="Z227" i="1"/>
  <c r="AA227" i="1"/>
  <c r="AB227" i="1"/>
  <c r="AP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F227" i="1"/>
  <c r="CG227" i="1"/>
  <c r="CH227" i="1"/>
  <c r="CI227" i="1"/>
  <c r="CJ227" i="1"/>
  <c r="CK227" i="1"/>
  <c r="CL227" i="1"/>
  <c r="CM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G227" i="1"/>
  <c r="DJ227" i="1"/>
  <c r="DM227" i="1"/>
  <c r="DN227" i="1"/>
  <c r="DO227" i="1"/>
  <c r="DP227" i="1"/>
  <c r="DR227" i="1"/>
  <c r="DU227" i="1"/>
  <c r="DX227" i="1"/>
  <c r="DZ227" i="1"/>
  <c r="EA227" i="1"/>
  <c r="EC227" i="1"/>
  <c r="ED227" i="1"/>
  <c r="EE227" i="1"/>
  <c r="EF227" i="1"/>
  <c r="EG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H228" i="1"/>
  <c r="I228" i="1"/>
  <c r="L228" i="1"/>
  <c r="O228" i="1"/>
  <c r="R228" i="1"/>
  <c r="S228" i="1"/>
  <c r="T228" i="1"/>
  <c r="U228" i="1"/>
  <c r="W228" i="1"/>
  <c r="X228" i="1"/>
  <c r="Y228" i="1"/>
  <c r="Z228" i="1"/>
  <c r="AA228" i="1"/>
  <c r="AB228" i="1"/>
  <c r="AP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F228" i="1"/>
  <c r="CG228" i="1"/>
  <c r="CH228" i="1"/>
  <c r="CI228" i="1"/>
  <c r="CJ228" i="1"/>
  <c r="CK228" i="1"/>
  <c r="CL228" i="1"/>
  <c r="CM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G228" i="1"/>
  <c r="DJ228" i="1"/>
  <c r="DM228" i="1"/>
  <c r="DN228" i="1"/>
  <c r="DO228" i="1"/>
  <c r="DP228" i="1"/>
  <c r="DR228" i="1"/>
  <c r="DU228" i="1"/>
  <c r="DX228" i="1"/>
  <c r="DZ228" i="1"/>
  <c r="EA228" i="1"/>
  <c r="EC228" i="1"/>
  <c r="ED228" i="1"/>
  <c r="EE228" i="1"/>
  <c r="EF228" i="1"/>
  <c r="EG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H229" i="1"/>
  <c r="I229" i="1"/>
  <c r="L229" i="1"/>
  <c r="O229" i="1"/>
  <c r="R229" i="1"/>
  <c r="S229" i="1"/>
  <c r="T229" i="1"/>
  <c r="U229" i="1"/>
  <c r="W229" i="1"/>
  <c r="X229" i="1"/>
  <c r="Y229" i="1"/>
  <c r="Z229" i="1"/>
  <c r="AA229" i="1"/>
  <c r="AB229" i="1"/>
  <c r="AP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F229" i="1"/>
  <c r="CG229" i="1"/>
  <c r="CH229" i="1"/>
  <c r="CI229" i="1"/>
  <c r="CJ229" i="1"/>
  <c r="CK229" i="1"/>
  <c r="CL229" i="1"/>
  <c r="CM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G229" i="1"/>
  <c r="DJ229" i="1"/>
  <c r="DM229" i="1"/>
  <c r="DN229" i="1"/>
  <c r="DO229" i="1"/>
  <c r="DP229" i="1"/>
  <c r="DR229" i="1"/>
  <c r="DU229" i="1"/>
  <c r="DX229" i="1"/>
  <c r="DZ229" i="1"/>
  <c r="EA229" i="1"/>
  <c r="EC229" i="1"/>
  <c r="ED229" i="1"/>
  <c r="EE229" i="1"/>
  <c r="EF229" i="1"/>
  <c r="EG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H230" i="1"/>
  <c r="I230" i="1"/>
  <c r="L230" i="1"/>
  <c r="O230" i="1"/>
  <c r="R230" i="1"/>
  <c r="S230" i="1"/>
  <c r="T230" i="1"/>
  <c r="U230" i="1"/>
  <c r="W230" i="1"/>
  <c r="X230" i="1"/>
  <c r="Y230" i="1"/>
  <c r="Z230" i="1"/>
  <c r="AA230" i="1"/>
  <c r="AB230" i="1"/>
  <c r="AP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F230" i="1"/>
  <c r="CG230" i="1"/>
  <c r="CH230" i="1"/>
  <c r="CI230" i="1"/>
  <c r="CJ230" i="1"/>
  <c r="CK230" i="1"/>
  <c r="CL230" i="1"/>
  <c r="CM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G230" i="1"/>
  <c r="DJ230" i="1"/>
  <c r="DM230" i="1"/>
  <c r="DN230" i="1"/>
  <c r="DO230" i="1"/>
  <c r="DP230" i="1"/>
  <c r="DR230" i="1"/>
  <c r="DU230" i="1"/>
  <c r="DX230" i="1"/>
  <c r="DZ230" i="1"/>
  <c r="EA230" i="1"/>
  <c r="EC230" i="1"/>
  <c r="ED230" i="1"/>
  <c r="EE230" i="1"/>
  <c r="EF230" i="1"/>
  <c r="EG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H231" i="1"/>
  <c r="I231" i="1"/>
  <c r="L231" i="1"/>
  <c r="O231" i="1"/>
  <c r="R231" i="1"/>
  <c r="S231" i="1"/>
  <c r="T231" i="1"/>
  <c r="U231" i="1"/>
  <c r="W231" i="1"/>
  <c r="X231" i="1"/>
  <c r="Y231" i="1"/>
  <c r="Z231" i="1"/>
  <c r="AA231" i="1"/>
  <c r="AB231" i="1"/>
  <c r="AP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F231" i="1"/>
  <c r="CG231" i="1"/>
  <c r="CH231" i="1"/>
  <c r="CI231" i="1"/>
  <c r="CJ231" i="1"/>
  <c r="CK231" i="1"/>
  <c r="CL231" i="1"/>
  <c r="CM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G231" i="1"/>
  <c r="DJ231" i="1"/>
  <c r="DM231" i="1"/>
  <c r="DN231" i="1"/>
  <c r="DO231" i="1"/>
  <c r="DP231" i="1"/>
  <c r="DR231" i="1"/>
  <c r="DU231" i="1"/>
  <c r="DX231" i="1"/>
  <c r="DZ231" i="1"/>
  <c r="EA231" i="1"/>
  <c r="EC231" i="1"/>
  <c r="ED231" i="1"/>
  <c r="EE231" i="1"/>
  <c r="EF231" i="1"/>
  <c r="EG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H232" i="1"/>
  <c r="I232" i="1"/>
  <c r="L232" i="1"/>
  <c r="O232" i="1"/>
  <c r="R232" i="1"/>
  <c r="S232" i="1"/>
  <c r="T232" i="1"/>
  <c r="U232" i="1"/>
  <c r="W232" i="1"/>
  <c r="X232" i="1"/>
  <c r="Y232" i="1"/>
  <c r="Z232" i="1"/>
  <c r="AA232" i="1"/>
  <c r="AB232" i="1"/>
  <c r="AP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F232" i="1"/>
  <c r="CG232" i="1"/>
  <c r="CH232" i="1"/>
  <c r="CI232" i="1"/>
  <c r="CJ232" i="1"/>
  <c r="CK232" i="1"/>
  <c r="CL232" i="1"/>
  <c r="CM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G232" i="1"/>
  <c r="DJ232" i="1"/>
  <c r="DM232" i="1"/>
  <c r="DN232" i="1"/>
  <c r="DO232" i="1"/>
  <c r="DP232" i="1"/>
  <c r="DR232" i="1"/>
  <c r="DU232" i="1"/>
  <c r="DX232" i="1"/>
  <c r="DZ232" i="1"/>
  <c r="EA232" i="1"/>
  <c r="EC232" i="1"/>
  <c r="ED232" i="1"/>
  <c r="EE232" i="1"/>
  <c r="EF232" i="1"/>
  <c r="EG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H233" i="1"/>
  <c r="I233" i="1"/>
  <c r="L233" i="1"/>
  <c r="O233" i="1"/>
  <c r="R233" i="1"/>
  <c r="S233" i="1"/>
  <c r="T233" i="1"/>
  <c r="U233" i="1"/>
  <c r="W233" i="1"/>
  <c r="X233" i="1"/>
  <c r="Y233" i="1"/>
  <c r="Z233" i="1"/>
  <c r="AA233" i="1"/>
  <c r="AB233" i="1"/>
  <c r="AP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F233" i="1"/>
  <c r="CG233" i="1"/>
  <c r="CH233" i="1"/>
  <c r="CI233" i="1"/>
  <c r="CJ233" i="1"/>
  <c r="CK233" i="1"/>
  <c r="CL233" i="1"/>
  <c r="CM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G233" i="1"/>
  <c r="DJ233" i="1"/>
  <c r="DM233" i="1"/>
  <c r="DN233" i="1"/>
  <c r="DO233" i="1"/>
  <c r="DP233" i="1"/>
  <c r="DR233" i="1"/>
  <c r="DU233" i="1"/>
  <c r="DX233" i="1"/>
  <c r="DZ233" i="1"/>
  <c r="EA233" i="1"/>
  <c r="EC233" i="1"/>
  <c r="ED233" i="1"/>
  <c r="EE233" i="1"/>
  <c r="EF233" i="1"/>
  <c r="EG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H234" i="1"/>
  <c r="I234" i="1"/>
  <c r="L234" i="1"/>
  <c r="O234" i="1"/>
  <c r="R234" i="1"/>
  <c r="S234" i="1"/>
  <c r="T234" i="1"/>
  <c r="U234" i="1"/>
  <c r="W234" i="1"/>
  <c r="X234" i="1"/>
  <c r="Y234" i="1"/>
  <c r="Z234" i="1"/>
  <c r="AA234" i="1"/>
  <c r="AB234" i="1"/>
  <c r="AP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F234" i="1"/>
  <c r="CG234" i="1"/>
  <c r="CH234" i="1"/>
  <c r="CI234" i="1"/>
  <c r="CJ234" i="1"/>
  <c r="CK234" i="1"/>
  <c r="CL234" i="1"/>
  <c r="CM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G234" i="1"/>
  <c r="DJ234" i="1"/>
  <c r="DM234" i="1"/>
  <c r="DN234" i="1"/>
  <c r="DO234" i="1"/>
  <c r="DP234" i="1"/>
  <c r="DR234" i="1"/>
  <c r="DU234" i="1"/>
  <c r="DX234" i="1"/>
  <c r="DZ234" i="1"/>
  <c r="EA234" i="1"/>
  <c r="EC234" i="1"/>
  <c r="ED234" i="1"/>
  <c r="EE234" i="1"/>
  <c r="EF234" i="1"/>
  <c r="EG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H235" i="1"/>
  <c r="I235" i="1"/>
  <c r="L235" i="1"/>
  <c r="O235" i="1"/>
  <c r="R235" i="1"/>
  <c r="S235" i="1"/>
  <c r="T235" i="1"/>
  <c r="U235" i="1"/>
  <c r="W235" i="1"/>
  <c r="X235" i="1"/>
  <c r="Y235" i="1"/>
  <c r="Z235" i="1"/>
  <c r="AA235" i="1"/>
  <c r="AB235" i="1"/>
  <c r="AP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F235" i="1"/>
  <c r="CG235" i="1"/>
  <c r="CH235" i="1"/>
  <c r="CI235" i="1"/>
  <c r="CJ235" i="1"/>
  <c r="CK235" i="1"/>
  <c r="CL235" i="1"/>
  <c r="CM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G235" i="1"/>
  <c r="DJ235" i="1"/>
  <c r="DM235" i="1"/>
  <c r="DN235" i="1"/>
  <c r="DO235" i="1"/>
  <c r="DP235" i="1"/>
  <c r="DR235" i="1"/>
  <c r="DU235" i="1"/>
  <c r="DX235" i="1"/>
  <c r="DZ235" i="1"/>
  <c r="EA235" i="1"/>
  <c r="EC235" i="1"/>
  <c r="ED235" i="1"/>
  <c r="EE235" i="1"/>
  <c r="EF235" i="1"/>
  <c r="EG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H236" i="1"/>
  <c r="I236" i="1"/>
  <c r="L236" i="1"/>
  <c r="O236" i="1"/>
  <c r="R236" i="1"/>
  <c r="S236" i="1"/>
  <c r="T236" i="1"/>
  <c r="U236" i="1"/>
  <c r="W236" i="1"/>
  <c r="X236" i="1"/>
  <c r="Y236" i="1"/>
  <c r="Z236" i="1"/>
  <c r="AA236" i="1"/>
  <c r="AB236" i="1"/>
  <c r="AP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F236" i="1"/>
  <c r="CG236" i="1"/>
  <c r="CH236" i="1"/>
  <c r="CI236" i="1"/>
  <c r="CJ236" i="1"/>
  <c r="CK236" i="1"/>
  <c r="CL236" i="1"/>
  <c r="CM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G236" i="1"/>
  <c r="DJ236" i="1"/>
  <c r="DM236" i="1"/>
  <c r="DN236" i="1"/>
  <c r="DO236" i="1"/>
  <c r="DP236" i="1"/>
  <c r="DR236" i="1"/>
  <c r="DU236" i="1"/>
  <c r="DX236" i="1"/>
  <c r="DZ236" i="1"/>
  <c r="EA236" i="1"/>
  <c r="EC236" i="1"/>
  <c r="ED236" i="1"/>
  <c r="EE236" i="1"/>
  <c r="EF236" i="1"/>
  <c r="EG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H237" i="1"/>
  <c r="I237" i="1"/>
  <c r="L237" i="1"/>
  <c r="O237" i="1"/>
  <c r="R237" i="1"/>
  <c r="S237" i="1"/>
  <c r="T237" i="1"/>
  <c r="U237" i="1"/>
  <c r="W237" i="1"/>
  <c r="X237" i="1"/>
  <c r="Y237" i="1"/>
  <c r="Z237" i="1"/>
  <c r="AA237" i="1"/>
  <c r="AB237" i="1"/>
  <c r="AP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F237" i="1"/>
  <c r="CG237" i="1"/>
  <c r="CH237" i="1"/>
  <c r="CI237" i="1"/>
  <c r="CJ237" i="1"/>
  <c r="CK237" i="1"/>
  <c r="CL237" i="1"/>
  <c r="CM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G237" i="1"/>
  <c r="DJ237" i="1"/>
  <c r="DM237" i="1"/>
  <c r="DN237" i="1"/>
  <c r="DO237" i="1"/>
  <c r="DP237" i="1"/>
  <c r="DR237" i="1"/>
  <c r="DU237" i="1"/>
  <c r="DX237" i="1"/>
  <c r="DZ237" i="1"/>
  <c r="EA237" i="1"/>
  <c r="EC237" i="1"/>
  <c r="ED237" i="1"/>
  <c r="EE237" i="1"/>
  <c r="EF237" i="1"/>
  <c r="EG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H238" i="1"/>
  <c r="I238" i="1"/>
  <c r="L238" i="1"/>
  <c r="O238" i="1"/>
  <c r="R238" i="1"/>
  <c r="S238" i="1"/>
  <c r="T238" i="1"/>
  <c r="U238" i="1"/>
  <c r="W238" i="1"/>
  <c r="X238" i="1"/>
  <c r="Y238" i="1"/>
  <c r="Z238" i="1"/>
  <c r="AA238" i="1"/>
  <c r="AB238" i="1"/>
  <c r="AP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F238" i="1"/>
  <c r="CG238" i="1"/>
  <c r="CH238" i="1"/>
  <c r="CI238" i="1"/>
  <c r="CJ238" i="1"/>
  <c r="CK238" i="1"/>
  <c r="CL238" i="1"/>
  <c r="CM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G238" i="1"/>
  <c r="DJ238" i="1"/>
  <c r="DM238" i="1"/>
  <c r="DN238" i="1"/>
  <c r="DO238" i="1"/>
  <c r="DP238" i="1"/>
  <c r="DR238" i="1"/>
  <c r="DU238" i="1"/>
  <c r="DX238" i="1"/>
  <c r="DZ238" i="1"/>
  <c r="EA238" i="1"/>
  <c r="EC238" i="1"/>
  <c r="ED238" i="1"/>
  <c r="EE238" i="1"/>
  <c r="EF238" i="1"/>
  <c r="EG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H239" i="1"/>
  <c r="I239" i="1"/>
  <c r="L239" i="1"/>
  <c r="O239" i="1"/>
  <c r="R239" i="1"/>
  <c r="S239" i="1"/>
  <c r="T239" i="1"/>
  <c r="U239" i="1"/>
  <c r="W239" i="1"/>
  <c r="X239" i="1"/>
  <c r="Y239" i="1"/>
  <c r="Z239" i="1"/>
  <c r="AA239" i="1"/>
  <c r="AB239" i="1"/>
  <c r="AP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F239" i="1"/>
  <c r="CG239" i="1"/>
  <c r="CH239" i="1"/>
  <c r="CI239" i="1"/>
  <c r="CJ239" i="1"/>
  <c r="CK239" i="1"/>
  <c r="CL239" i="1"/>
  <c r="CM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G239" i="1"/>
  <c r="DJ239" i="1"/>
  <c r="DM239" i="1"/>
  <c r="DN239" i="1"/>
  <c r="DO239" i="1"/>
  <c r="DP239" i="1"/>
  <c r="DR239" i="1"/>
  <c r="DU239" i="1"/>
  <c r="DX239" i="1"/>
  <c r="DZ239" i="1"/>
  <c r="EA239" i="1"/>
  <c r="EC239" i="1"/>
  <c r="ED239" i="1"/>
  <c r="EE239" i="1"/>
  <c r="EF239" i="1"/>
  <c r="EG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H240" i="1"/>
  <c r="I240" i="1"/>
  <c r="L240" i="1"/>
  <c r="O240" i="1"/>
  <c r="R240" i="1"/>
  <c r="S240" i="1"/>
  <c r="T240" i="1"/>
  <c r="U240" i="1"/>
  <c r="W240" i="1"/>
  <c r="X240" i="1"/>
  <c r="Y240" i="1"/>
  <c r="Z240" i="1"/>
  <c r="AA240" i="1"/>
  <c r="AB240" i="1"/>
  <c r="AP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F240" i="1"/>
  <c r="CG240" i="1"/>
  <c r="CH240" i="1"/>
  <c r="CI240" i="1"/>
  <c r="CJ240" i="1"/>
  <c r="CK240" i="1"/>
  <c r="CL240" i="1"/>
  <c r="CM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G240" i="1"/>
  <c r="DJ240" i="1"/>
  <c r="DM240" i="1"/>
  <c r="DN240" i="1"/>
  <c r="DO240" i="1"/>
  <c r="DP240" i="1"/>
  <c r="DR240" i="1"/>
  <c r="DU240" i="1"/>
  <c r="DX240" i="1"/>
  <c r="DZ240" i="1"/>
  <c r="EA240" i="1"/>
  <c r="EC240" i="1"/>
  <c r="ED240" i="1"/>
  <c r="EE240" i="1"/>
  <c r="EF240" i="1"/>
  <c r="EG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H241" i="1"/>
  <c r="I241" i="1"/>
  <c r="L241" i="1"/>
  <c r="O241" i="1"/>
  <c r="R241" i="1"/>
  <c r="S241" i="1"/>
  <c r="T241" i="1"/>
  <c r="U241" i="1"/>
  <c r="W241" i="1"/>
  <c r="X241" i="1"/>
  <c r="Y241" i="1"/>
  <c r="Z241" i="1"/>
  <c r="AA241" i="1"/>
  <c r="AB241" i="1"/>
  <c r="AP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F241" i="1"/>
  <c r="CG241" i="1"/>
  <c r="CH241" i="1"/>
  <c r="CI241" i="1"/>
  <c r="CJ241" i="1"/>
  <c r="CK241" i="1"/>
  <c r="CL241" i="1"/>
  <c r="CM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G241" i="1"/>
  <c r="DJ241" i="1"/>
  <c r="DM241" i="1"/>
  <c r="DN241" i="1"/>
  <c r="DO241" i="1"/>
  <c r="DP241" i="1"/>
  <c r="DR241" i="1"/>
  <c r="DU241" i="1"/>
  <c r="DX241" i="1"/>
  <c r="DZ241" i="1"/>
  <c r="EA241" i="1"/>
  <c r="EC241" i="1"/>
  <c r="ED241" i="1"/>
  <c r="EE241" i="1"/>
  <c r="EF241" i="1"/>
  <c r="EG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H242" i="1"/>
  <c r="I242" i="1"/>
  <c r="L242" i="1"/>
  <c r="O242" i="1"/>
  <c r="R242" i="1"/>
  <c r="S242" i="1"/>
  <c r="T242" i="1"/>
  <c r="U242" i="1"/>
  <c r="W242" i="1"/>
  <c r="X242" i="1"/>
  <c r="Y242" i="1"/>
  <c r="Z242" i="1"/>
  <c r="AA242" i="1"/>
  <c r="AB242" i="1"/>
  <c r="AP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F242" i="1"/>
  <c r="CG242" i="1"/>
  <c r="CH242" i="1"/>
  <c r="CI242" i="1"/>
  <c r="CJ242" i="1"/>
  <c r="CK242" i="1"/>
  <c r="CL242" i="1"/>
  <c r="CM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G242" i="1"/>
  <c r="DJ242" i="1"/>
  <c r="DM242" i="1"/>
  <c r="DN242" i="1"/>
  <c r="DO242" i="1"/>
  <c r="DP242" i="1"/>
  <c r="DR242" i="1"/>
  <c r="DU242" i="1"/>
  <c r="DX242" i="1"/>
  <c r="DZ242" i="1"/>
  <c r="EA242" i="1"/>
  <c r="EC242" i="1"/>
  <c r="ED242" i="1"/>
  <c r="EE242" i="1"/>
  <c r="EF242" i="1"/>
  <c r="EG242" i="1"/>
  <c r="H243" i="1"/>
  <c r="I243" i="1"/>
  <c r="L243" i="1"/>
  <c r="O243" i="1"/>
  <c r="R243" i="1"/>
  <c r="S243" i="1"/>
  <c r="T243" i="1"/>
  <c r="U243" i="1"/>
  <c r="W243" i="1"/>
  <c r="X243" i="1"/>
  <c r="Y243" i="1"/>
  <c r="Z243" i="1"/>
  <c r="AA243" i="1"/>
  <c r="AB243" i="1"/>
  <c r="AP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F243" i="1"/>
  <c r="CG243" i="1"/>
  <c r="CH243" i="1"/>
  <c r="CI243" i="1"/>
  <c r="CJ243" i="1"/>
  <c r="CK243" i="1"/>
  <c r="CL243" i="1"/>
  <c r="CM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G243" i="1"/>
  <c r="DJ243" i="1"/>
  <c r="DM243" i="1"/>
  <c r="DN243" i="1"/>
  <c r="DO243" i="1"/>
  <c r="DP243" i="1"/>
  <c r="DR243" i="1"/>
  <c r="DU243" i="1"/>
  <c r="DX243" i="1"/>
  <c r="DZ243" i="1"/>
  <c r="EA243" i="1"/>
  <c r="EC243" i="1"/>
  <c r="ED243" i="1"/>
  <c r="EE243" i="1"/>
  <c r="EF243" i="1"/>
  <c r="EG243" i="1"/>
  <c r="H244" i="1"/>
  <c r="I244" i="1"/>
  <c r="L244" i="1"/>
  <c r="O244" i="1"/>
  <c r="R244" i="1"/>
  <c r="S244" i="1"/>
  <c r="T244" i="1"/>
  <c r="U244" i="1"/>
  <c r="W244" i="1"/>
  <c r="X244" i="1"/>
  <c r="Y244" i="1"/>
  <c r="Z244" i="1"/>
  <c r="AA244" i="1"/>
  <c r="AB244" i="1"/>
  <c r="AP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F244" i="1"/>
  <c r="CG244" i="1"/>
  <c r="CH244" i="1"/>
  <c r="CI244" i="1"/>
  <c r="CJ244" i="1"/>
  <c r="CK244" i="1"/>
  <c r="CL244" i="1"/>
  <c r="CM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G244" i="1"/>
  <c r="DJ244" i="1"/>
  <c r="DM244" i="1"/>
  <c r="DN244" i="1"/>
  <c r="DO244" i="1"/>
  <c r="DP244" i="1"/>
  <c r="DR244" i="1"/>
  <c r="DU244" i="1"/>
  <c r="DX244" i="1"/>
  <c r="DZ244" i="1"/>
  <c r="EA244" i="1"/>
  <c r="EC244" i="1"/>
  <c r="ED244" i="1"/>
  <c r="EE244" i="1"/>
  <c r="EF244" i="1"/>
  <c r="EG244" i="1"/>
  <c r="H245" i="1"/>
  <c r="I245" i="1"/>
  <c r="L245" i="1"/>
  <c r="O245" i="1"/>
  <c r="R245" i="1"/>
  <c r="S245" i="1"/>
  <c r="T245" i="1"/>
  <c r="U245" i="1"/>
  <c r="W245" i="1"/>
  <c r="X245" i="1"/>
  <c r="Y245" i="1"/>
  <c r="Z245" i="1"/>
  <c r="AA245" i="1"/>
  <c r="AB245" i="1"/>
  <c r="AP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F245" i="1"/>
  <c r="CG245" i="1"/>
  <c r="CH245" i="1"/>
  <c r="CI245" i="1"/>
  <c r="CJ245" i="1"/>
  <c r="CK245" i="1"/>
  <c r="CL245" i="1"/>
  <c r="CM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G245" i="1"/>
  <c r="DJ245" i="1"/>
  <c r="DM245" i="1"/>
  <c r="DN245" i="1"/>
  <c r="DO245" i="1"/>
  <c r="DP245" i="1"/>
  <c r="DR245" i="1"/>
  <c r="DU245" i="1"/>
  <c r="DX245" i="1"/>
  <c r="DZ245" i="1"/>
  <c r="EA245" i="1"/>
  <c r="EC245" i="1"/>
  <c r="ED245" i="1"/>
  <c r="EE245" i="1"/>
  <c r="EF245" i="1"/>
  <c r="EG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H246" i="1"/>
  <c r="I246" i="1"/>
  <c r="L246" i="1"/>
  <c r="O246" i="1"/>
  <c r="R246" i="1"/>
  <c r="S246" i="1"/>
  <c r="T246" i="1"/>
  <c r="U246" i="1"/>
  <c r="W246" i="1"/>
  <c r="X246" i="1"/>
  <c r="Y246" i="1"/>
  <c r="Z246" i="1"/>
  <c r="AA246" i="1"/>
  <c r="AB246" i="1"/>
  <c r="AP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F246" i="1"/>
  <c r="CG246" i="1"/>
  <c r="CH246" i="1"/>
  <c r="CI246" i="1"/>
  <c r="CJ246" i="1"/>
  <c r="CK246" i="1"/>
  <c r="CL246" i="1"/>
  <c r="CM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G246" i="1"/>
  <c r="DJ246" i="1"/>
  <c r="DM246" i="1"/>
  <c r="DN246" i="1"/>
  <c r="DO246" i="1"/>
  <c r="DP246" i="1"/>
  <c r="DR246" i="1"/>
  <c r="DU246" i="1"/>
  <c r="DX246" i="1"/>
  <c r="DZ246" i="1"/>
  <c r="EA246" i="1"/>
  <c r="EC246" i="1"/>
  <c r="ED246" i="1"/>
  <c r="EE246" i="1"/>
  <c r="EF246" i="1"/>
  <c r="EG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H247" i="1"/>
  <c r="I247" i="1"/>
  <c r="L247" i="1"/>
  <c r="O247" i="1"/>
  <c r="R247" i="1"/>
  <c r="S247" i="1"/>
  <c r="T247" i="1"/>
  <c r="U247" i="1"/>
  <c r="W247" i="1"/>
  <c r="X247" i="1"/>
  <c r="Y247" i="1"/>
  <c r="Z247" i="1"/>
  <c r="AA247" i="1"/>
  <c r="AB247" i="1"/>
  <c r="AP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F247" i="1"/>
  <c r="CG247" i="1"/>
  <c r="CH247" i="1"/>
  <c r="CI247" i="1"/>
  <c r="CJ247" i="1"/>
  <c r="CK247" i="1"/>
  <c r="CL247" i="1"/>
  <c r="CM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G247" i="1"/>
  <c r="DJ247" i="1"/>
  <c r="DM247" i="1"/>
  <c r="DN247" i="1"/>
  <c r="DO247" i="1"/>
  <c r="DP247" i="1"/>
  <c r="DR247" i="1"/>
  <c r="DU247" i="1"/>
  <c r="DX247" i="1"/>
  <c r="DZ247" i="1"/>
  <c r="EA247" i="1"/>
  <c r="EC247" i="1"/>
  <c r="ED247" i="1"/>
  <c r="EE247" i="1"/>
  <c r="EF247" i="1"/>
  <c r="EG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H248" i="1"/>
  <c r="I248" i="1"/>
  <c r="L248" i="1"/>
  <c r="O248" i="1"/>
  <c r="R248" i="1"/>
  <c r="S248" i="1"/>
  <c r="T248" i="1"/>
  <c r="U248" i="1"/>
  <c r="W248" i="1"/>
  <c r="X248" i="1"/>
  <c r="Y248" i="1"/>
  <c r="Z248" i="1"/>
  <c r="AA248" i="1"/>
  <c r="AB248" i="1"/>
  <c r="AP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F248" i="1"/>
  <c r="CG248" i="1"/>
  <c r="CH248" i="1"/>
  <c r="CI248" i="1"/>
  <c r="CJ248" i="1"/>
  <c r="CK248" i="1"/>
  <c r="CL248" i="1"/>
  <c r="CM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G248" i="1"/>
  <c r="DJ248" i="1"/>
  <c r="DM248" i="1"/>
  <c r="DN248" i="1"/>
  <c r="DO248" i="1"/>
  <c r="DP248" i="1"/>
  <c r="DR248" i="1"/>
  <c r="DU248" i="1"/>
  <c r="DX248" i="1"/>
  <c r="DZ248" i="1"/>
  <c r="EA248" i="1"/>
  <c r="EC248" i="1"/>
  <c r="ED248" i="1"/>
  <c r="EE248" i="1"/>
  <c r="EF248" i="1"/>
  <c r="EG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H249" i="1"/>
  <c r="I249" i="1"/>
  <c r="L249" i="1"/>
  <c r="O249" i="1"/>
  <c r="R249" i="1"/>
  <c r="S249" i="1"/>
  <c r="T249" i="1"/>
  <c r="U249" i="1"/>
  <c r="W249" i="1"/>
  <c r="X249" i="1"/>
  <c r="Y249" i="1"/>
  <c r="Z249" i="1"/>
  <c r="AA249" i="1"/>
  <c r="AB249" i="1"/>
  <c r="AP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F249" i="1"/>
  <c r="CG249" i="1"/>
  <c r="CH249" i="1"/>
  <c r="CI249" i="1"/>
  <c r="CJ249" i="1"/>
  <c r="CK249" i="1"/>
  <c r="CL249" i="1"/>
  <c r="CM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G249" i="1"/>
  <c r="DJ249" i="1"/>
  <c r="DM249" i="1"/>
  <c r="DN249" i="1"/>
  <c r="DO249" i="1"/>
  <c r="DP249" i="1"/>
  <c r="DR249" i="1"/>
  <c r="DU249" i="1"/>
  <c r="DX249" i="1"/>
  <c r="DZ249" i="1"/>
  <c r="EA249" i="1"/>
  <c r="EC249" i="1"/>
  <c r="ED249" i="1"/>
  <c r="EE249" i="1"/>
  <c r="EF249" i="1"/>
  <c r="EG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H250" i="1"/>
  <c r="I250" i="1"/>
  <c r="L250" i="1"/>
  <c r="O250" i="1"/>
  <c r="R250" i="1"/>
  <c r="S250" i="1"/>
  <c r="T250" i="1"/>
  <c r="U250" i="1"/>
  <c r="W250" i="1"/>
  <c r="X250" i="1"/>
  <c r="Y250" i="1"/>
  <c r="Z250" i="1"/>
  <c r="AA250" i="1"/>
  <c r="AB250" i="1"/>
  <c r="AP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F250" i="1"/>
  <c r="CG250" i="1"/>
  <c r="CH250" i="1"/>
  <c r="CI250" i="1"/>
  <c r="CJ250" i="1"/>
  <c r="CK250" i="1"/>
  <c r="CL250" i="1"/>
  <c r="CM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G250" i="1"/>
  <c r="DJ250" i="1"/>
  <c r="DM250" i="1"/>
  <c r="DN250" i="1"/>
  <c r="DO250" i="1"/>
  <c r="DP250" i="1"/>
  <c r="DR250" i="1"/>
  <c r="DU250" i="1"/>
  <c r="DX250" i="1"/>
  <c r="DZ250" i="1"/>
  <c r="EA250" i="1"/>
  <c r="EC250" i="1"/>
  <c r="ED250" i="1"/>
  <c r="EE250" i="1"/>
  <c r="EF250" i="1"/>
  <c r="EG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H251" i="1"/>
  <c r="I251" i="1"/>
  <c r="L251" i="1"/>
  <c r="O251" i="1"/>
  <c r="R251" i="1"/>
  <c r="S251" i="1"/>
  <c r="T251" i="1"/>
  <c r="U251" i="1"/>
  <c r="W251" i="1"/>
  <c r="X251" i="1"/>
  <c r="Y251" i="1"/>
  <c r="Z251" i="1"/>
  <c r="AA251" i="1"/>
  <c r="AB251" i="1"/>
  <c r="AP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F251" i="1"/>
  <c r="CG251" i="1"/>
  <c r="CH251" i="1"/>
  <c r="CI251" i="1"/>
  <c r="CJ251" i="1"/>
  <c r="CK251" i="1"/>
  <c r="CL251" i="1"/>
  <c r="CM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G251" i="1"/>
  <c r="DJ251" i="1"/>
  <c r="DM251" i="1"/>
  <c r="DN251" i="1"/>
  <c r="DO251" i="1"/>
  <c r="DP251" i="1"/>
  <c r="DR251" i="1"/>
  <c r="DU251" i="1"/>
  <c r="DX251" i="1"/>
  <c r="DZ251" i="1"/>
  <c r="EA251" i="1"/>
  <c r="EC251" i="1"/>
  <c r="ED251" i="1"/>
  <c r="EE251" i="1"/>
  <c r="EF251" i="1"/>
  <c r="EG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H252" i="1"/>
  <c r="I252" i="1"/>
  <c r="L252" i="1"/>
  <c r="O252" i="1"/>
  <c r="R252" i="1"/>
  <c r="S252" i="1"/>
  <c r="T252" i="1"/>
  <c r="U252" i="1"/>
  <c r="W252" i="1"/>
  <c r="X252" i="1"/>
  <c r="Y252" i="1"/>
  <c r="Z252" i="1"/>
  <c r="AA252" i="1"/>
  <c r="AB252" i="1"/>
  <c r="AP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F252" i="1"/>
  <c r="CG252" i="1"/>
  <c r="CH252" i="1"/>
  <c r="CI252" i="1"/>
  <c r="CJ252" i="1"/>
  <c r="CK252" i="1"/>
  <c r="CL252" i="1"/>
  <c r="CM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G252" i="1"/>
  <c r="DJ252" i="1"/>
  <c r="DM252" i="1"/>
  <c r="DN252" i="1"/>
  <c r="DO252" i="1"/>
  <c r="DP252" i="1"/>
  <c r="DR252" i="1"/>
  <c r="DU252" i="1"/>
  <c r="DX252" i="1"/>
  <c r="DZ252" i="1"/>
  <c r="EA252" i="1"/>
  <c r="EC252" i="1"/>
  <c r="ED252" i="1"/>
  <c r="EE252" i="1"/>
  <c r="EF252" i="1"/>
  <c r="EG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H253" i="1"/>
  <c r="I253" i="1"/>
  <c r="L253" i="1"/>
  <c r="O253" i="1"/>
  <c r="R253" i="1"/>
  <c r="S253" i="1"/>
  <c r="T253" i="1"/>
  <c r="U253" i="1"/>
  <c r="W253" i="1"/>
  <c r="X253" i="1"/>
  <c r="Y253" i="1"/>
  <c r="Z253" i="1"/>
  <c r="AA253" i="1"/>
  <c r="AB253" i="1"/>
  <c r="AP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F253" i="1"/>
  <c r="CG253" i="1"/>
  <c r="CH253" i="1"/>
  <c r="CI253" i="1"/>
  <c r="CJ253" i="1"/>
  <c r="CK253" i="1"/>
  <c r="CL253" i="1"/>
  <c r="CM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G253" i="1"/>
  <c r="DJ253" i="1"/>
  <c r="DM253" i="1"/>
  <c r="DN253" i="1"/>
  <c r="DO253" i="1"/>
  <c r="DP253" i="1"/>
  <c r="DR253" i="1"/>
  <c r="DU253" i="1"/>
  <c r="DX253" i="1"/>
  <c r="DZ253" i="1"/>
  <c r="EA253" i="1"/>
  <c r="EC253" i="1"/>
  <c r="ED253" i="1"/>
  <c r="EE253" i="1"/>
  <c r="EF253" i="1"/>
  <c r="EG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H254" i="1"/>
  <c r="I254" i="1"/>
  <c r="L254" i="1"/>
  <c r="O254" i="1"/>
  <c r="R254" i="1"/>
  <c r="S254" i="1"/>
  <c r="T254" i="1"/>
  <c r="U254" i="1"/>
  <c r="W254" i="1"/>
  <c r="X254" i="1"/>
  <c r="Y254" i="1"/>
  <c r="Z254" i="1"/>
  <c r="AA254" i="1"/>
  <c r="AB254" i="1"/>
  <c r="AP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F254" i="1"/>
  <c r="CG254" i="1"/>
  <c r="CH254" i="1"/>
  <c r="CI254" i="1"/>
  <c r="CJ254" i="1"/>
  <c r="CK254" i="1"/>
  <c r="CL254" i="1"/>
  <c r="CM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G254" i="1"/>
  <c r="DJ254" i="1"/>
  <c r="DM254" i="1"/>
  <c r="DN254" i="1"/>
  <c r="DO254" i="1"/>
  <c r="DP254" i="1"/>
  <c r="DR254" i="1"/>
  <c r="DU254" i="1"/>
  <c r="DX254" i="1"/>
  <c r="DZ254" i="1"/>
  <c r="EA254" i="1"/>
  <c r="EC254" i="1"/>
  <c r="ED254" i="1"/>
  <c r="EE254" i="1"/>
  <c r="EF254" i="1"/>
  <c r="EG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H255" i="1"/>
  <c r="I255" i="1"/>
  <c r="L255" i="1"/>
  <c r="O255" i="1"/>
  <c r="R255" i="1"/>
  <c r="S255" i="1"/>
  <c r="T255" i="1"/>
  <c r="U255" i="1"/>
  <c r="W255" i="1"/>
  <c r="X255" i="1"/>
  <c r="Y255" i="1"/>
  <c r="Z255" i="1"/>
  <c r="AA255" i="1"/>
  <c r="AB255" i="1"/>
  <c r="AP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F255" i="1"/>
  <c r="CG255" i="1"/>
  <c r="CH255" i="1"/>
  <c r="CI255" i="1"/>
  <c r="CJ255" i="1"/>
  <c r="CK255" i="1"/>
  <c r="CL255" i="1"/>
  <c r="CM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G255" i="1"/>
  <c r="DJ255" i="1"/>
  <c r="DM255" i="1"/>
  <c r="DN255" i="1"/>
  <c r="DO255" i="1"/>
  <c r="DP255" i="1"/>
  <c r="DR255" i="1"/>
  <c r="DU255" i="1"/>
  <c r="DX255" i="1"/>
  <c r="DZ255" i="1"/>
  <c r="EA255" i="1"/>
  <c r="EC255" i="1"/>
  <c r="ED255" i="1"/>
  <c r="EE255" i="1"/>
  <c r="EF255" i="1"/>
  <c r="EG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H256" i="1"/>
  <c r="I256" i="1"/>
  <c r="L256" i="1"/>
  <c r="O256" i="1"/>
  <c r="R256" i="1"/>
  <c r="S256" i="1"/>
  <c r="T256" i="1"/>
  <c r="U256" i="1"/>
  <c r="W256" i="1"/>
  <c r="X256" i="1"/>
  <c r="Y256" i="1"/>
  <c r="Z256" i="1"/>
  <c r="AA256" i="1"/>
  <c r="AB256" i="1"/>
  <c r="AP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F256" i="1"/>
  <c r="CG256" i="1"/>
  <c r="CH256" i="1"/>
  <c r="CI256" i="1"/>
  <c r="CJ256" i="1"/>
  <c r="CK256" i="1"/>
  <c r="CL256" i="1"/>
  <c r="CM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G256" i="1"/>
  <c r="DJ256" i="1"/>
  <c r="DM256" i="1"/>
  <c r="DN256" i="1"/>
  <c r="DO256" i="1"/>
  <c r="DP256" i="1"/>
  <c r="DR256" i="1"/>
  <c r="DU256" i="1"/>
  <c r="DX256" i="1"/>
  <c r="DZ256" i="1"/>
  <c r="EA256" i="1"/>
  <c r="EC256" i="1"/>
  <c r="ED256" i="1"/>
  <c r="EE256" i="1"/>
  <c r="EF256" i="1"/>
  <c r="EG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H257" i="1"/>
  <c r="I257" i="1"/>
  <c r="L257" i="1"/>
  <c r="O257" i="1"/>
  <c r="R257" i="1"/>
  <c r="S257" i="1"/>
  <c r="T257" i="1"/>
  <c r="U257" i="1"/>
  <c r="W257" i="1"/>
  <c r="X257" i="1"/>
  <c r="Y257" i="1"/>
  <c r="Z257" i="1"/>
  <c r="AA257" i="1"/>
  <c r="AB257" i="1"/>
  <c r="AP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F257" i="1"/>
  <c r="CG257" i="1"/>
  <c r="CH257" i="1"/>
  <c r="CI257" i="1"/>
  <c r="CJ257" i="1"/>
  <c r="CK257" i="1"/>
  <c r="CL257" i="1"/>
  <c r="CM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G257" i="1"/>
  <c r="DJ257" i="1"/>
  <c r="DM257" i="1"/>
  <c r="DN257" i="1"/>
  <c r="DO257" i="1"/>
  <c r="DP257" i="1"/>
  <c r="DR257" i="1"/>
  <c r="DU257" i="1"/>
  <c r="DX257" i="1"/>
  <c r="DZ257" i="1"/>
  <c r="EA257" i="1"/>
  <c r="EC257" i="1"/>
  <c r="ED257" i="1"/>
  <c r="EE257" i="1"/>
  <c r="EF257" i="1"/>
  <c r="EG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H258" i="1"/>
  <c r="I258" i="1"/>
  <c r="L258" i="1"/>
  <c r="O258" i="1"/>
  <c r="R258" i="1"/>
  <c r="S258" i="1"/>
  <c r="T258" i="1"/>
  <c r="U258" i="1"/>
  <c r="W258" i="1"/>
  <c r="X258" i="1"/>
  <c r="Y258" i="1"/>
  <c r="Z258" i="1"/>
  <c r="AA258" i="1"/>
  <c r="AB258" i="1"/>
  <c r="AP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F258" i="1"/>
  <c r="CG258" i="1"/>
  <c r="CH258" i="1"/>
  <c r="CI258" i="1"/>
  <c r="CJ258" i="1"/>
  <c r="CK258" i="1"/>
  <c r="CL258" i="1"/>
  <c r="CM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G258" i="1"/>
  <c r="DJ258" i="1"/>
  <c r="DM258" i="1"/>
  <c r="DN258" i="1"/>
  <c r="DO258" i="1"/>
  <c r="DP258" i="1"/>
  <c r="DR258" i="1"/>
  <c r="DU258" i="1"/>
  <c r="DX258" i="1"/>
  <c r="DZ258" i="1"/>
  <c r="EA258" i="1"/>
  <c r="EC258" i="1"/>
  <c r="ED258" i="1"/>
  <c r="EE258" i="1"/>
  <c r="EF258" i="1"/>
  <c r="EG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H259" i="1"/>
  <c r="I259" i="1"/>
  <c r="L259" i="1"/>
  <c r="O259" i="1"/>
  <c r="R259" i="1"/>
  <c r="S259" i="1"/>
  <c r="T259" i="1"/>
  <c r="U259" i="1"/>
  <c r="AP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F259" i="1"/>
  <c r="CG259" i="1"/>
  <c r="CH259" i="1"/>
  <c r="CI259" i="1"/>
  <c r="CJ259" i="1"/>
  <c r="CK259" i="1"/>
  <c r="CL259" i="1"/>
  <c r="CM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G259" i="1"/>
  <c r="DJ259" i="1"/>
  <c r="DM259" i="1"/>
  <c r="DN259" i="1"/>
  <c r="DO259" i="1"/>
  <c r="DP259" i="1"/>
  <c r="DR259" i="1"/>
  <c r="DU259" i="1"/>
  <c r="DX259" i="1"/>
  <c r="DZ259" i="1"/>
  <c r="EA259" i="1"/>
  <c r="EC259" i="1"/>
  <c r="ED259" i="1"/>
  <c r="EE259" i="1"/>
  <c r="EF259" i="1"/>
  <c r="EG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H260" i="1"/>
  <c r="I260" i="1"/>
  <c r="L260" i="1"/>
  <c r="O260" i="1"/>
  <c r="R260" i="1"/>
  <c r="S260" i="1"/>
  <c r="T260" i="1"/>
  <c r="U260" i="1"/>
  <c r="AP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F260" i="1"/>
  <c r="CG260" i="1"/>
  <c r="CH260" i="1"/>
  <c r="CI260" i="1"/>
  <c r="CJ260" i="1"/>
  <c r="CK260" i="1"/>
  <c r="CL260" i="1"/>
  <c r="CM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G260" i="1"/>
  <c r="DJ260" i="1"/>
  <c r="DM260" i="1"/>
  <c r="DN260" i="1"/>
  <c r="DO260" i="1"/>
  <c r="DP260" i="1"/>
  <c r="DR260" i="1"/>
  <c r="DU260" i="1"/>
  <c r="DX260" i="1"/>
  <c r="DZ260" i="1"/>
  <c r="EA260" i="1"/>
  <c r="EC260" i="1"/>
  <c r="ED260" i="1"/>
  <c r="EE260" i="1"/>
  <c r="EF260" i="1"/>
  <c r="EG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</calcChain>
</file>

<file path=xl/sharedStrings.xml><?xml version="1.0" encoding="utf-8"?>
<sst xmlns="http://schemas.openxmlformats.org/spreadsheetml/2006/main" count="1613" uniqueCount="502">
  <si>
    <t>Controls</t>
  </si>
  <si>
    <t>Month</t>
  </si>
  <si>
    <t>Year</t>
  </si>
  <si>
    <t>WTI</t>
  </si>
  <si>
    <t>Brent</t>
  </si>
  <si>
    <t>WTI/Brent</t>
  </si>
  <si>
    <t>Swap</t>
  </si>
  <si>
    <t>Future</t>
  </si>
  <si>
    <t>Futures</t>
  </si>
  <si>
    <t>Option Control</t>
  </si>
  <si>
    <t>Swaption Type</t>
  </si>
  <si>
    <t>Vol Skew Table</t>
  </si>
  <si>
    <t>Participation Type</t>
  </si>
  <si>
    <t>Vol</t>
  </si>
  <si>
    <t>Price</t>
  </si>
  <si>
    <t>Spread</t>
  </si>
  <si>
    <t>Override</t>
  </si>
  <si>
    <t>Vols</t>
  </si>
  <si>
    <t>Specify</t>
  </si>
  <si>
    <t>Used</t>
  </si>
  <si>
    <t>Days for Theta Calculation</t>
  </si>
  <si>
    <t>Calc Mode (1-Auto, 2-Man)</t>
  </si>
  <si>
    <t>Combination Type</t>
  </si>
  <si>
    <t>Strikes</t>
  </si>
  <si>
    <t>Extendable Swap</t>
  </si>
  <si>
    <t>Value</t>
  </si>
  <si>
    <t>First Adjustment</t>
  </si>
  <si>
    <t>Participating Swap</t>
  </si>
  <si>
    <t>Prem</t>
  </si>
  <si>
    <t>Delta</t>
  </si>
  <si>
    <t>Vega</t>
  </si>
  <si>
    <t>Volumes</t>
  </si>
  <si>
    <t>Participating Swap Pricing</t>
  </si>
  <si>
    <t>Monthly</t>
  </si>
  <si>
    <t>Rate</t>
  </si>
  <si>
    <t>Swap/Opt</t>
  </si>
  <si>
    <t>Swaption</t>
  </si>
  <si>
    <t>Expiry</t>
  </si>
  <si>
    <t>Strike</t>
  </si>
  <si>
    <t>Y</t>
  </si>
  <si>
    <t>M</t>
  </si>
  <si>
    <t>IPE</t>
  </si>
  <si>
    <t>Moneyness</t>
  </si>
  <si>
    <t>Swap Prices</t>
  </si>
  <si>
    <t>Option</t>
  </si>
  <si>
    <t>Change</t>
  </si>
  <si>
    <t>ATM</t>
  </si>
  <si>
    <t>Premium</t>
  </si>
  <si>
    <t>Theta</t>
  </si>
  <si>
    <t>Price Spread</t>
  </si>
  <si>
    <t>Expiration Dates</t>
  </si>
  <si>
    <t>NYMEX WTI</t>
  </si>
  <si>
    <t>Code Table</t>
  </si>
  <si>
    <t>Jan</t>
  </si>
  <si>
    <t>F</t>
  </si>
  <si>
    <t>Feb</t>
  </si>
  <si>
    <t>G</t>
  </si>
  <si>
    <t>Mar</t>
  </si>
  <si>
    <t>H</t>
  </si>
  <si>
    <t>Apr</t>
  </si>
  <si>
    <t>J</t>
  </si>
  <si>
    <t>May</t>
  </si>
  <si>
    <t>K</t>
  </si>
  <si>
    <t>Jun</t>
  </si>
  <si>
    <t>Jul</t>
  </si>
  <si>
    <t>N</t>
  </si>
  <si>
    <t>Aug</t>
  </si>
  <si>
    <t>Q</t>
  </si>
  <si>
    <t>Sep</t>
  </si>
  <si>
    <t>U</t>
  </si>
  <si>
    <t>Oct</t>
  </si>
  <si>
    <t>V</t>
  </si>
  <si>
    <t>Nov</t>
  </si>
  <si>
    <t>X</t>
  </si>
  <si>
    <t>Dec</t>
  </si>
  <si>
    <t>Z</t>
  </si>
  <si>
    <t>Regular</t>
  </si>
  <si>
    <t>Days</t>
  </si>
  <si>
    <t>Out</t>
  </si>
  <si>
    <t>Match</t>
  </si>
  <si>
    <t>OTC</t>
  </si>
  <si>
    <t>FTP DOWNLOAD INFORMATION</t>
  </si>
  <si>
    <t>Put or Get:</t>
  </si>
  <si>
    <t>Put</t>
  </si>
  <si>
    <t>LocalPath:</t>
  </si>
  <si>
    <t>o:\global_trading\wti\</t>
  </si>
  <si>
    <t>RemotePath:</t>
  </si>
  <si>
    <t>/oil/xfiles/</t>
  </si>
  <si>
    <t>FileName:</t>
  </si>
  <si>
    <t>FileType:</t>
  </si>
  <si>
    <t>I</t>
  </si>
  <si>
    <t>FTPConfig:</t>
  </si>
  <si>
    <t>FTPBatch.ini</t>
  </si>
  <si>
    <t>Vol Skew Flag</t>
  </si>
  <si>
    <t>Corr</t>
  </si>
  <si>
    <t>Price 1</t>
  </si>
  <si>
    <t>Price 2</t>
  </si>
  <si>
    <t>Vol 1</t>
  </si>
  <si>
    <t>Vol 2</t>
  </si>
  <si>
    <t>Start1</t>
  </si>
  <si>
    <t>End1</t>
  </si>
  <si>
    <t>Start2</t>
  </si>
  <si>
    <t>End2</t>
  </si>
  <si>
    <t>Fut1</t>
  </si>
  <si>
    <t>Fut2</t>
  </si>
  <si>
    <t>Tot</t>
  </si>
  <si>
    <t>Brent-Phy</t>
  </si>
  <si>
    <t>ASN</t>
  </si>
  <si>
    <t>Premiums</t>
  </si>
  <si>
    <t>Prompt</t>
  </si>
  <si>
    <t>2nd Fut</t>
  </si>
  <si>
    <t>Holiday Schedules</t>
  </si>
  <si>
    <t>Volume</t>
  </si>
  <si>
    <t>Volume Override</t>
  </si>
  <si>
    <t>Settle</t>
  </si>
  <si>
    <t>Swap Price</t>
  </si>
  <si>
    <t>Asian Option Pricing Results</t>
  </si>
  <si>
    <t>Today</t>
  </si>
  <si>
    <t>Now</t>
  </si>
  <si>
    <t>Actual</t>
  </si>
  <si>
    <t>Euro Option Pricing Results</t>
  </si>
  <si>
    <t>1 m</t>
  </si>
  <si>
    <t>2 m</t>
  </si>
  <si>
    <t>3 m</t>
  </si>
  <si>
    <t>4 m</t>
  </si>
  <si>
    <t>5 m</t>
  </si>
  <si>
    <t>6 m</t>
  </si>
  <si>
    <t>7 m</t>
  </si>
  <si>
    <t>8 m</t>
  </si>
  <si>
    <t>9 m</t>
  </si>
  <si>
    <t>10 m</t>
  </si>
  <si>
    <t>11 m</t>
  </si>
  <si>
    <t>12 m</t>
  </si>
  <si>
    <t>13 m</t>
  </si>
  <si>
    <t>14 m</t>
  </si>
  <si>
    <t>15 m</t>
  </si>
  <si>
    <t>16 m</t>
  </si>
  <si>
    <t>17 m</t>
  </si>
  <si>
    <t>18 m</t>
  </si>
  <si>
    <t>19 m</t>
  </si>
  <si>
    <t>20 m</t>
  </si>
  <si>
    <t>21 m</t>
  </si>
  <si>
    <t>22 m</t>
  </si>
  <si>
    <t>23 m</t>
  </si>
  <si>
    <t>24 m</t>
  </si>
  <si>
    <t>25 m</t>
  </si>
  <si>
    <t>26 m</t>
  </si>
  <si>
    <t>27 m</t>
  </si>
  <si>
    <t>28 m</t>
  </si>
  <si>
    <t>29 m</t>
  </si>
  <si>
    <t>30 m</t>
  </si>
  <si>
    <t>31 m</t>
  </si>
  <si>
    <t>32 m</t>
  </si>
  <si>
    <t>33 m</t>
  </si>
  <si>
    <t>34 m</t>
  </si>
  <si>
    <t>35 m</t>
  </si>
  <si>
    <t>36 m</t>
  </si>
  <si>
    <t>Period:</t>
  </si>
  <si>
    <t>Swaption Term</t>
  </si>
  <si>
    <t>Tot Nom</t>
  </si>
  <si>
    <t>Tot PV</t>
  </si>
  <si>
    <t>Collartion</t>
  </si>
  <si>
    <t>Beta</t>
  </si>
  <si>
    <t>R2</t>
  </si>
  <si>
    <t>Regression</t>
  </si>
  <si>
    <t>Price Spreads</t>
  </si>
  <si>
    <t>WTI-Brent Vol Adj</t>
  </si>
  <si>
    <t>Euro Option Pricing</t>
  </si>
  <si>
    <t>ATM Vol</t>
  </si>
  <si>
    <t>Underlying Price</t>
  </si>
  <si>
    <t>Days to Expiration</t>
  </si>
  <si>
    <t>Marg Skew/10%</t>
  </si>
  <si>
    <t>Euro Option Month Position</t>
  </si>
  <si>
    <t>Swap / APO Num Of Months</t>
  </si>
  <si>
    <t>Swap/APO First Month Position</t>
  </si>
  <si>
    <t>Swaption Num Of Months</t>
  </si>
  <si>
    <t>Swaption First Month Position</t>
  </si>
  <si>
    <t>Contract Month</t>
  </si>
  <si>
    <t>Swap / Asian Option / Spread Option Term</t>
  </si>
  <si>
    <t>Row</t>
  </si>
  <si>
    <t>IR</t>
  </si>
  <si>
    <t>Cal</t>
  </si>
  <si>
    <t>to Euro</t>
  </si>
  <si>
    <t>Exp</t>
  </si>
  <si>
    <t>Number of Trading Days</t>
  </si>
  <si>
    <t>for Swap Calculation Purposes</t>
  </si>
  <si>
    <t>DF</t>
  </si>
  <si>
    <t>Discounting</t>
  </si>
  <si>
    <t>Number of</t>
  </si>
  <si>
    <t>Trading Days</t>
  </si>
  <si>
    <t>Calendar APO Pricing</t>
  </si>
  <si>
    <t>Skew-Adjusted Vols</t>
  </si>
  <si>
    <t>ATM Vols</t>
  </si>
  <si>
    <t>Underlying</t>
  </si>
  <si>
    <t>Prices</t>
  </si>
  <si>
    <t>(for Vol Skew)</t>
  </si>
  <si>
    <t>Premiums and Greeks</t>
  </si>
  <si>
    <t>Years to Averaging Periods</t>
  </si>
  <si>
    <t>Rel</t>
  </si>
  <si>
    <t>Abs</t>
  </si>
  <si>
    <t>Brent Seas</t>
  </si>
  <si>
    <t>Brent-</t>
  </si>
  <si>
    <t>Phys-</t>
  </si>
  <si>
    <t>Volatility</t>
  </si>
  <si>
    <t>Information</t>
  </si>
  <si>
    <t>WTI Futures Price</t>
  </si>
  <si>
    <t>WTI Futures Vol</t>
  </si>
  <si>
    <t>IR Curve Date</t>
  </si>
  <si>
    <t>Extendable Collar</t>
  </si>
  <si>
    <t>Curve</t>
  </si>
  <si>
    <t>Nominal</t>
  </si>
  <si>
    <t>APO</t>
  </si>
  <si>
    <t>Adj-d for VTS</t>
  </si>
  <si>
    <t>Swap Involving Current Month</t>
  </si>
  <si>
    <t>Swaps Involving Curr Mnth Toggle</t>
  </si>
  <si>
    <t>Brent Futures Price</t>
  </si>
  <si>
    <t>Status:</t>
  </si>
  <si>
    <t>A-Act, S-Set</t>
  </si>
  <si>
    <t>I-Int, E-Ext</t>
  </si>
  <si>
    <t>Vs.Settle</t>
  </si>
  <si>
    <t>Vs.Curve</t>
  </si>
  <si>
    <t>WTI-Brent</t>
  </si>
  <si>
    <t>WTI Y-Y</t>
  </si>
  <si>
    <t>Put Skew, Strike Below</t>
  </si>
  <si>
    <t>Call Skew, Strike Above</t>
  </si>
  <si>
    <t>Swaption Moneyness</t>
  </si>
  <si>
    <t>Skew</t>
  </si>
  <si>
    <t>Marginal Skew/10%</t>
  </si>
  <si>
    <t>Time Line</t>
  </si>
  <si>
    <t>Yrs</t>
  </si>
  <si>
    <t>Result-</t>
  </si>
  <si>
    <t>Act</t>
  </si>
  <si>
    <t>to Eur</t>
  </si>
  <si>
    <t>ing Vol</t>
  </si>
  <si>
    <t>Weight</t>
  </si>
  <si>
    <t>Variance (horizontal axis - time, vertical axis - months to expiry)</t>
  </si>
  <si>
    <t>Var</t>
  </si>
  <si>
    <t>Volatility (horizontal axis - time, vertical axis - months to expiry)</t>
  </si>
  <si>
    <t>Swaption Correlation Matrix</t>
  </si>
  <si>
    <t>Auxiliary Matrix</t>
  </si>
  <si>
    <t>37 m</t>
  </si>
  <si>
    <t>38 m</t>
  </si>
  <si>
    <t>39 m</t>
  </si>
  <si>
    <t>40 m</t>
  </si>
  <si>
    <t>41 m</t>
  </si>
  <si>
    <t>42 m</t>
  </si>
  <si>
    <t>43 m</t>
  </si>
  <si>
    <t>44 m</t>
  </si>
  <si>
    <t>45 m</t>
  </si>
  <si>
    <t>46 m</t>
  </si>
  <si>
    <t>47 m</t>
  </si>
  <si>
    <t>48 m</t>
  </si>
  <si>
    <t>49 m</t>
  </si>
  <si>
    <t>50 m</t>
  </si>
  <si>
    <t>51 m</t>
  </si>
  <si>
    <t>52 m</t>
  </si>
  <si>
    <t>53 m</t>
  </si>
  <si>
    <t>54 m</t>
  </si>
  <si>
    <t>55 m</t>
  </si>
  <si>
    <t>56 m</t>
  </si>
  <si>
    <t>57 m</t>
  </si>
  <si>
    <t>58 m</t>
  </si>
  <si>
    <t>59 m</t>
  </si>
  <si>
    <t>60 m</t>
  </si>
  <si>
    <t>Cum</t>
  </si>
  <si>
    <t>WTI Exp</t>
  </si>
  <si>
    <t>KOS</t>
  </si>
  <si>
    <t>Brent-Dated</t>
  </si>
  <si>
    <t>extra</t>
  </si>
  <si>
    <t>inter</t>
  </si>
  <si>
    <t>BRNTDT</t>
  </si>
  <si>
    <t>Exp. Prompt Vol</t>
  </si>
  <si>
    <t xml:space="preserve">Out Of   </t>
  </si>
  <si>
    <t>Costless Collar</t>
  </si>
  <si>
    <t>MargSkew/10%</t>
  </si>
  <si>
    <t>Vs Settle</t>
  </si>
  <si>
    <t>Ave Price So Far</t>
  </si>
  <si>
    <t>Out Of</t>
  </si>
  <si>
    <t>Floor</t>
  </si>
  <si>
    <t>Cap</t>
  </si>
  <si>
    <t>SkewExp</t>
  </si>
  <si>
    <t>SkewNow</t>
  </si>
  <si>
    <t>Vol Skew</t>
  </si>
  <si>
    <t>Vol at Expiry</t>
  </si>
  <si>
    <t>Fut</t>
  </si>
  <si>
    <t>Fut*</t>
  </si>
  <si>
    <t>to Exp</t>
  </si>
  <si>
    <t>Futures' Weights</t>
  </si>
  <si>
    <t>Priced</t>
  </si>
  <si>
    <t># of</t>
  </si>
  <si>
    <t>61 m</t>
  </si>
  <si>
    <t>62 m</t>
  </si>
  <si>
    <t>63 m</t>
  </si>
  <si>
    <t>64 m</t>
  </si>
  <si>
    <t>65 m</t>
  </si>
  <si>
    <t>66 m</t>
  </si>
  <si>
    <t>67 m</t>
  </si>
  <si>
    <t>68 m</t>
  </si>
  <si>
    <t>69 m</t>
  </si>
  <si>
    <t>70 m</t>
  </si>
  <si>
    <t>71 m</t>
  </si>
  <si>
    <t>72 m</t>
  </si>
  <si>
    <t>73 m</t>
  </si>
  <si>
    <t>74 m</t>
  </si>
  <si>
    <t>75 m</t>
  </si>
  <si>
    <t>76 m</t>
  </si>
  <si>
    <t>77 m</t>
  </si>
  <si>
    <t>78 m</t>
  </si>
  <si>
    <t>79 m</t>
  </si>
  <si>
    <t>80 m</t>
  </si>
  <si>
    <t>81 m</t>
  </si>
  <si>
    <t>82 m</t>
  </si>
  <si>
    <t>83 m</t>
  </si>
  <si>
    <t>84 m</t>
  </si>
  <si>
    <t>85 m</t>
  </si>
  <si>
    <t>86 m</t>
  </si>
  <si>
    <t>87 m</t>
  </si>
  <si>
    <t>88 m</t>
  </si>
  <si>
    <t>89 m</t>
  </si>
  <si>
    <t>90 m</t>
  </si>
  <si>
    <t>91 m</t>
  </si>
  <si>
    <t>92 m</t>
  </si>
  <si>
    <t>93 m</t>
  </si>
  <si>
    <t>94 m</t>
  </si>
  <si>
    <t>95 m</t>
  </si>
  <si>
    <t>96 m</t>
  </si>
  <si>
    <t>97 m</t>
  </si>
  <si>
    <t>98 m</t>
  </si>
  <si>
    <t>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</si>
  <si>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</si>
  <si>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</si>
  <si>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</si>
  <si>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</si>
  <si>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</si>
  <si>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</si>
  <si>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</si>
  <si>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</si>
  <si>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</si>
  <si>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</si>
  <si>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</si>
  <si>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</si>
  <si>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</si>
  <si>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</si>
  <si>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</si>
  <si>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</si>
  <si>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</si>
  <si>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</si>
  <si>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</si>
  <si>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</si>
  <si>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</si>
  <si>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</si>
  <si>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</si>
  <si>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</si>
  <si>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</si>
  <si>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</si>
  <si>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</si>
  <si>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</si>
  <si>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</si>
  <si>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</si>
  <si>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</si>
  <si>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</si>
  <si>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</si>
  <si>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</si>
  <si>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</si>
  <si>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</si>
  <si>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</si>
  <si>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</si>
  <si>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</si>
  <si>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</si>
  <si>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</si>
  <si>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</si>
  <si>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</si>
  <si>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</si>
  <si>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</si>
  <si>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</si>
  <si>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</si>
  <si>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</si>
  <si>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</si>
  <si>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</si>
  <si>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</si>
  <si>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</si>
  <si>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</si>
  <si>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</si>
  <si>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</si>
  <si>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</si>
  <si>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</si>
  <si>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</si>
  <si>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</si>
  <si>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</si>
  <si>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</si>
  <si>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</si>
  <si>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</si>
  <si>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</si>
  <si>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</si>
  <si>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</si>
  <si>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</si>
  <si>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</si>
  <si>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</si>
  <si>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</si>
  <si>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</si>
  <si>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</si>
  <si>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</si>
  <si>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</si>
  <si>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</si>
  <si>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</si>
  <si>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</si>
  <si>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</si>
  <si>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</si>
  <si>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</si>
  <si>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</si>
  <si>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Reuters Feeds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</si>
  <si>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</si>
  <si>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</si>
  <si>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</si>
  <si>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</si>
  <si>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</si>
  <si>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</si>
  <si>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</si>
  <si>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</si>
  <si>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</si>
  <si>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</si>
  <si>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</si>
  <si>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</si>
  <si>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</si>
  <si>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</si>
  <si>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</si>
  <si>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</si>
  <si>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</si>
  <si>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</si>
  <si>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</si>
  <si>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</si>
  <si>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</si>
  <si>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</si>
  <si>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</si>
  <si>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</si>
  <si>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</si>
  <si>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</si>
  <si>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</si>
  <si>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</si>
  <si>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</si>
  <si>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</si>
  <si>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</si>
  <si>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</si>
  <si>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</si>
  <si>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</si>
  <si>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</si>
  <si>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</si>
  <si>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</si>
  <si>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</si>
  <si>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</si>
  <si>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</si>
  <si>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</si>
  <si>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</si>
  <si>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</si>
  <si>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</si>
  <si>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</si>
  <si>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</si>
  <si>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</si>
  <si>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</si>
  <si>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</si>
  <si>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</si>
  <si>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</si>
  <si>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</si>
  <si>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</si>
  <si>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</si>
  <si>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</si>
  <si>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</si>
  <si>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</si>
  <si>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</si>
  <si>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</si>
  <si>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</si>
  <si>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</si>
  <si>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</si>
  <si>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</si>
  <si>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</si>
  <si>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Euro Strip Pricing Results</t>
  </si>
  <si>
    <t>Costless</t>
  </si>
  <si>
    <t>Collar</t>
  </si>
  <si>
    <t>Under-</t>
  </si>
  <si>
    <t>lying</t>
  </si>
  <si>
    <t>Marginal</t>
  </si>
  <si>
    <t>Skew-Adjusted</t>
  </si>
  <si>
    <t>European Option Strip Pricing</t>
  </si>
  <si>
    <t>1 y</t>
  </si>
  <si>
    <t>2 y</t>
  </si>
  <si>
    <t>3 y</t>
  </si>
  <si>
    <t>5 y</t>
  </si>
  <si>
    <t>Expiry\Tenor</t>
  </si>
  <si>
    <t>x</t>
  </si>
  <si>
    <t>Swaption Months to Go</t>
  </si>
  <si>
    <t>0-before opt exp, 1-after</t>
  </si>
  <si>
    <t>Swaption Timeline</t>
  </si>
  <si>
    <t>Years to Exp</t>
  </si>
  <si>
    <t>ASTRIP</t>
  </si>
  <si>
    <t>Move</t>
  </si>
  <si>
    <t>Sprds</t>
  </si>
  <si>
    <t>Position of Next Dec</t>
  </si>
  <si>
    <t>A</t>
  </si>
  <si>
    <t>S</t>
  </si>
  <si>
    <t>E</t>
  </si>
  <si>
    <t>AA-LIBOR</t>
  </si>
  <si>
    <t>Treasury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</si>
</sst>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5" formatCode="0.000"/>
    <numFmt numFmtId="168" formatCode="dd\-mmm\-yy_)"/>
    <numFmt numFmtId="169" formatCode="dd\-mmm\-yy"/>
    <numFmt numFmtId="170" formatCode="0.00000"/>
    <numFmt numFmtId="171" formatCode="0.0000"/>
    <numFmt numFmtId="172" formatCode="mm/dd/yy"/>
    <numFmt numFmtId="179" formatCode="_(* #,##0.000_);_(* \(#,##0.000\);_(* &quot;-&quot;_);_(@_)"/>
    <numFmt numFmtId="204" formatCode="_(&quot;£&quot;* #,##0_);_(&quot;£&quot;* \(#,##0\);_(&quot;£&quot;* &quot;-&quot;_);_(@_)"/>
    <numFmt numFmtId="205" formatCode="_(&quot;£&quot;* #,##0.00_);_(&quot;£&quot;* \(#,##0.00\);_(&quot;£&quot;* &quot;-&quot;??_);_(@_)"/>
    <numFmt numFmtId="248" formatCode="mmdd"/>
  </numFmts>
  <fonts count="49">
    <font>
      <sz val="10"/>
      <name val="Times New Roman"/>
    </font>
    <font>
      <b/>
      <sz val="10"/>
      <name val="Times New Roman"/>
    </font>
    <font>
      <sz val="10"/>
      <name val="Times New Roman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0"/>
      <color indexed="12"/>
      <name val="Times New Roman"/>
      <family val="1"/>
    </font>
    <font>
      <sz val="8"/>
      <name val="Times New Roman"/>
      <family val="1"/>
    </font>
    <font>
      <b/>
      <sz val="10"/>
      <name val="Times New Roman"/>
      <family val="1"/>
    </font>
    <font>
      <b/>
      <sz val="12"/>
      <color indexed="47"/>
      <name val="Times New Roman"/>
      <family val="1"/>
    </font>
    <font>
      <b/>
      <sz val="11"/>
      <color indexed="47"/>
      <name val="Times New Roman"/>
      <family val="1"/>
    </font>
    <font>
      <b/>
      <sz val="12"/>
      <color indexed="10"/>
      <name val="Times New Roman"/>
      <family val="1"/>
    </font>
    <font>
      <sz val="8"/>
      <name val="Tahoma"/>
      <family val="2"/>
    </font>
    <font>
      <sz val="10"/>
      <name val="Times New Roman"/>
      <family val="1"/>
    </font>
    <font>
      <b/>
      <sz val="10"/>
      <color indexed="61"/>
      <name val="Times New Roman"/>
      <family val="1"/>
    </font>
    <font>
      <sz val="10"/>
      <name val="Univers"/>
    </font>
    <font>
      <sz val="10"/>
      <name val="Arial"/>
    </font>
    <font>
      <sz val="10"/>
      <name val="Courier"/>
    </font>
    <font>
      <b/>
      <sz val="10"/>
      <name val="Arial"/>
    </font>
    <font>
      <b/>
      <sz val="10"/>
      <name val="Book Antiqua"/>
    </font>
    <font>
      <b/>
      <sz val="10"/>
      <color indexed="10"/>
      <name val="Book Antiqua"/>
      <family val="1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2"/>
      <name val="Arial"/>
      <family val="2"/>
    </font>
    <font>
      <b/>
      <sz val="10"/>
      <color indexed="57"/>
      <name val="Arial"/>
      <family val="2"/>
    </font>
    <font>
      <sz val="10"/>
      <name val="Times New Roman"/>
    </font>
    <font>
      <sz val="12"/>
      <name val="Times New Roman"/>
      <family val="1"/>
    </font>
    <font>
      <sz val="10"/>
      <color indexed="10"/>
      <name val="Times New Roman"/>
    </font>
    <font>
      <sz val="11"/>
      <name val="Times New Roman"/>
      <family val="1"/>
    </font>
    <font>
      <sz val="10"/>
      <name val="Times New Roman"/>
    </font>
    <font>
      <b/>
      <sz val="10"/>
      <color indexed="10"/>
      <name val="Times New Roman"/>
      <family val="1"/>
    </font>
    <font>
      <b/>
      <sz val="10"/>
      <color indexed="20"/>
      <name val="Arial"/>
      <family val="2"/>
    </font>
    <font>
      <b/>
      <sz val="11"/>
      <name val="Arial"/>
      <family val="2"/>
    </font>
    <font>
      <sz val="8"/>
      <color indexed="8"/>
      <name val="Times New Roman"/>
      <family val="1"/>
    </font>
    <font>
      <sz val="8"/>
      <color indexed="12"/>
      <name val="Times New Roman"/>
      <family val="1"/>
    </font>
    <font>
      <b/>
      <sz val="10"/>
      <color indexed="47"/>
      <name val="Arial"/>
      <family val="2"/>
    </font>
    <font>
      <b/>
      <sz val="8"/>
      <color indexed="20"/>
      <name val="Times New Roman"/>
      <family val="1"/>
    </font>
    <font>
      <b/>
      <sz val="10"/>
      <color indexed="9"/>
      <name val="Arial"/>
      <family val="2"/>
    </font>
    <font>
      <b/>
      <sz val="10"/>
      <color indexed="56"/>
      <name val="Arial"/>
      <family val="2"/>
    </font>
    <font>
      <b/>
      <sz val="10"/>
      <color indexed="18"/>
      <name val="Arial"/>
      <family val="2"/>
    </font>
    <font>
      <b/>
      <sz val="10"/>
      <color indexed="20"/>
      <name val="Times New Roman"/>
      <family val="1"/>
    </font>
    <font>
      <sz val="8"/>
      <name val="Arial"/>
      <family val="2"/>
    </font>
    <font>
      <b/>
      <sz val="10"/>
      <color indexed="62"/>
      <name val="Arial"/>
      <family val="2"/>
    </font>
    <font>
      <b/>
      <sz val="10"/>
      <color indexed="39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</fills>
  <borders count="7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6" fillId="0" borderId="0"/>
    <xf numFmtId="0" fontId="15" fillId="0" borderId="0"/>
  </cellStyleXfs>
  <cellXfs count="865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Continuous"/>
    </xf>
    <xf numFmtId="0" fontId="1" fillId="0" borderId="0" xfId="0" applyFont="1" applyBorder="1"/>
    <xf numFmtId="0" fontId="8" fillId="0" borderId="2" xfId="0" applyFont="1" applyBorder="1" applyAlignment="1">
      <alignment horizontal="centerContinuous"/>
    </xf>
    <xf numFmtId="0" fontId="8" fillId="0" borderId="3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3" fillId="0" borderId="0" xfId="1" applyFont="1" applyAlignment="1" applyProtection="1">
      <alignment horizontal="centerContinuous"/>
      <protection locked="0"/>
    </xf>
    <xf numFmtId="0" fontId="13" fillId="0" borderId="0" xfId="1" applyFont="1" applyAlignment="1" applyProtection="1">
      <alignment horizontal="centerContinuous"/>
      <protection locked="0"/>
    </xf>
    <xf numFmtId="0" fontId="13" fillId="0" borderId="0" xfId="1" applyFont="1" applyAlignment="1">
      <alignment horizontal="centerContinuous"/>
    </xf>
    <xf numFmtId="0" fontId="16" fillId="0" borderId="0" xfId="1" applyBorder="1"/>
    <xf numFmtId="0" fontId="15" fillId="0" borderId="0" xfId="2"/>
    <xf numFmtId="0" fontId="13" fillId="0" borderId="0" xfId="1" applyFont="1" applyAlignment="1">
      <alignment horizontal="left"/>
    </xf>
    <xf numFmtId="0" fontId="18" fillId="0" borderId="0" xfId="1" applyFont="1" applyAlignment="1" applyProtection="1">
      <alignment horizontal="right"/>
      <protection locked="0"/>
    </xf>
    <xf numFmtId="0" fontId="18" fillId="0" borderId="0" xfId="1" applyFont="1" applyAlignment="1" applyProtection="1">
      <alignment horizontal="center"/>
      <protection locked="0"/>
    </xf>
    <xf numFmtId="0" fontId="18" fillId="0" borderId="0" xfId="1" quotePrefix="1" applyFont="1" applyAlignment="1" applyProtection="1">
      <alignment horizontal="center"/>
      <protection locked="0"/>
    </xf>
    <xf numFmtId="248" fontId="13" fillId="0" borderId="0" xfId="1" applyNumberFormat="1" applyFont="1"/>
    <xf numFmtId="0" fontId="18" fillId="0" borderId="0" xfId="2" applyFont="1" applyAlignment="1">
      <alignment horizontal="right"/>
    </xf>
    <xf numFmtId="0" fontId="19" fillId="0" borderId="0" xfId="2" applyNumberFormat="1" applyFont="1" applyAlignment="1">
      <alignment horizontal="center"/>
    </xf>
    <xf numFmtId="0" fontId="13" fillId="0" borderId="0" xfId="1" applyFont="1"/>
    <xf numFmtId="0" fontId="16" fillId="0" borderId="0" xfId="1" applyFont="1" applyAlignment="1" applyProtection="1">
      <alignment horizontal="center"/>
      <protection locked="0"/>
    </xf>
    <xf numFmtId="0" fontId="16" fillId="0" borderId="0" xfId="1"/>
    <xf numFmtId="0" fontId="16" fillId="0" borderId="0" xfId="1" applyProtection="1"/>
    <xf numFmtId="0" fontId="16" fillId="0" borderId="0" xfId="1" applyFont="1" applyBorder="1"/>
    <xf numFmtId="0" fontId="15" fillId="0" borderId="0" xfId="2" applyBorder="1"/>
    <xf numFmtId="0" fontId="20" fillId="0" borderId="0" xfId="2" applyFont="1" applyAlignment="1">
      <alignment horizontal="centerContinuous"/>
    </xf>
    <xf numFmtId="0" fontId="21" fillId="0" borderId="0" xfId="2" applyFont="1" applyBorder="1"/>
    <xf numFmtId="0" fontId="22" fillId="0" borderId="0" xfId="0" applyFont="1"/>
    <xf numFmtId="0" fontId="21" fillId="0" borderId="0" xfId="0" applyFont="1"/>
    <xf numFmtId="3" fontId="22" fillId="0" borderId="7" xfId="0" applyNumberFormat="1" applyFont="1" applyFill="1" applyBorder="1" applyProtection="1">
      <protection locked="0"/>
    </xf>
    <xf numFmtId="3" fontId="26" fillId="0" borderId="8" xfId="0" applyNumberFormat="1" applyFont="1" applyFill="1" applyBorder="1" applyAlignment="1" applyProtection="1">
      <protection locked="0"/>
    </xf>
    <xf numFmtId="9" fontId="22" fillId="0" borderId="4" xfId="0" applyNumberFormat="1" applyFont="1" applyFill="1" applyBorder="1" applyProtection="1">
      <protection locked="0"/>
    </xf>
    <xf numFmtId="165" fontId="25" fillId="2" borderId="9" xfId="0" applyNumberFormat="1" applyFont="1" applyFill="1" applyBorder="1" applyProtection="1">
      <protection locked="0"/>
    </xf>
    <xf numFmtId="0" fontId="13" fillId="0" borderId="0" xfId="0" applyFont="1"/>
    <xf numFmtId="0" fontId="8" fillId="0" borderId="4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1" fontId="21" fillId="0" borderId="2" xfId="0" applyNumberFormat="1" applyFont="1" applyBorder="1" applyAlignment="1"/>
    <xf numFmtId="1" fontId="21" fillId="0" borderId="10" xfId="0" applyNumberFormat="1" applyFont="1" applyBorder="1" applyAlignment="1"/>
    <xf numFmtId="1" fontId="21" fillId="0" borderId="0" xfId="0" applyNumberFormat="1" applyFont="1" applyBorder="1" applyProtection="1">
      <protection locked="0"/>
    </xf>
    <xf numFmtId="4" fontId="21" fillId="0" borderId="0" xfId="0" applyNumberFormat="1" applyFont="1" applyBorder="1" applyAlignment="1" applyProtection="1">
      <protection locked="0"/>
    </xf>
    <xf numFmtId="0" fontId="21" fillId="0" borderId="0" xfId="0" applyFont="1" applyProtection="1">
      <protection locked="0"/>
    </xf>
    <xf numFmtId="0" fontId="1" fillId="0" borderId="11" xfId="0" applyFont="1" applyBorder="1" applyAlignment="1">
      <alignment horizontal="centerContinuous"/>
    </xf>
    <xf numFmtId="0" fontId="8" fillId="0" borderId="12" xfId="0" applyFont="1" applyBorder="1" applyAlignment="1">
      <alignment horizontal="centerContinuous"/>
    </xf>
    <xf numFmtId="0" fontId="8" fillId="0" borderId="11" xfId="0" applyFont="1" applyBorder="1" applyAlignment="1">
      <alignment horizontal="centerContinuous"/>
    </xf>
    <xf numFmtId="0" fontId="8" fillId="0" borderId="13" xfId="0" applyFont="1" applyBorder="1" applyAlignment="1">
      <alignment horizontal="centerContinuous"/>
    </xf>
    <xf numFmtId="0" fontId="8" fillId="0" borderId="2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22" fillId="3" borderId="0" xfId="0" applyFont="1" applyFill="1" applyProtection="1">
      <protection locked="0"/>
    </xf>
    <xf numFmtId="0" fontId="22" fillId="3" borderId="0" xfId="0" applyFont="1" applyFill="1" applyAlignment="1" applyProtection="1">
      <protection locked="0"/>
    </xf>
    <xf numFmtId="0" fontId="22" fillId="3" borderId="0" xfId="0" applyFont="1" applyFill="1" applyBorder="1" applyAlignment="1" applyProtection="1">
      <protection locked="0"/>
    </xf>
    <xf numFmtId="0" fontId="22" fillId="0" borderId="0" xfId="0" applyFont="1" applyFill="1" applyProtection="1">
      <protection locked="0"/>
    </xf>
    <xf numFmtId="0" fontId="8" fillId="0" borderId="0" xfId="0" applyFont="1" applyProtection="1">
      <protection locked="0"/>
    </xf>
    <xf numFmtId="0" fontId="22" fillId="0" borderId="0" xfId="0" applyFont="1" applyProtection="1">
      <protection locked="0"/>
    </xf>
    <xf numFmtId="0" fontId="10" fillId="3" borderId="0" xfId="0" applyFont="1" applyFill="1" applyAlignment="1" applyProtection="1">
      <alignment horizontal="centerContinuous"/>
      <protection locked="0"/>
    </xf>
    <xf numFmtId="0" fontId="9" fillId="3" borderId="0" xfId="0" applyFont="1" applyFill="1" applyAlignment="1" applyProtection="1">
      <alignment horizontal="centerContinuous"/>
      <protection locked="0"/>
    </xf>
    <xf numFmtId="0" fontId="4" fillId="0" borderId="2" xfId="0" applyFont="1" applyBorder="1" applyAlignment="1" applyProtection="1">
      <alignment horizontal="centerContinuous"/>
      <protection locked="0"/>
    </xf>
    <xf numFmtId="0" fontId="4" fillId="0" borderId="13" xfId="0" applyFont="1" applyBorder="1" applyAlignment="1" applyProtection="1">
      <alignment horizontal="centerContinuous"/>
      <protection locked="0"/>
    </xf>
    <xf numFmtId="0" fontId="8" fillId="0" borderId="15" xfId="0" applyFont="1" applyBorder="1" applyAlignment="1" applyProtection="1">
      <alignment horizontal="centerContinuous"/>
      <protection locked="0"/>
    </xf>
    <xf numFmtId="0" fontId="8" fillId="0" borderId="16" xfId="0" applyFont="1" applyBorder="1" applyAlignment="1" applyProtection="1">
      <alignment horizontal="centerContinuous"/>
      <protection locked="0"/>
    </xf>
    <xf numFmtId="0" fontId="8" fillId="2" borderId="17" xfId="0" applyFont="1" applyFill="1" applyBorder="1" applyAlignment="1" applyProtection="1">
      <alignment horizontal="center"/>
      <protection locked="0"/>
    </xf>
    <xf numFmtId="0" fontId="8" fillId="2" borderId="18" xfId="0" applyFont="1" applyFill="1" applyBorder="1" applyAlignment="1" applyProtection="1">
      <alignment horizontal="center"/>
      <protection locked="0"/>
    </xf>
    <xf numFmtId="0" fontId="8" fillId="0" borderId="19" xfId="0" applyFont="1" applyBorder="1" applyAlignment="1" applyProtection="1">
      <alignment horizontal="center"/>
      <protection locked="0"/>
    </xf>
    <xf numFmtId="0" fontId="8" fillId="0" borderId="18" xfId="0" applyFont="1" applyBorder="1" applyAlignment="1" applyProtection="1">
      <alignment horizontal="center"/>
      <protection locked="0"/>
    </xf>
    <xf numFmtId="0" fontId="8" fillId="0" borderId="3" xfId="0" applyFont="1" applyBorder="1" applyAlignment="1" applyProtection="1">
      <alignment horizontal="center"/>
      <protection locked="0"/>
    </xf>
    <xf numFmtId="0" fontId="8" fillId="0" borderId="20" xfId="0" applyFont="1" applyBorder="1" applyAlignment="1" applyProtection="1">
      <alignment horizontal="center"/>
      <protection locked="0"/>
    </xf>
    <xf numFmtId="0" fontId="22" fillId="4" borderId="2" xfId="0" applyFont="1" applyFill="1" applyBorder="1" applyProtection="1">
      <protection locked="0"/>
    </xf>
    <xf numFmtId="0" fontId="22" fillId="4" borderId="1" xfId="0" applyFont="1" applyFill="1" applyBorder="1" applyProtection="1">
      <protection locked="0"/>
    </xf>
    <xf numFmtId="0" fontId="8" fillId="2" borderId="21" xfId="0" applyFont="1" applyFill="1" applyBorder="1" applyAlignment="1" applyProtection="1">
      <alignment horizontal="center"/>
      <protection locked="0"/>
    </xf>
    <xf numFmtId="0" fontId="22" fillId="3" borderId="0" xfId="0" applyFont="1" applyFill="1" applyAlignment="1" applyProtection="1">
      <alignment horizontal="center"/>
      <protection locked="0"/>
    </xf>
    <xf numFmtId="0" fontId="8" fillId="2" borderId="19" xfId="0" applyFont="1" applyFill="1" applyBorder="1" applyAlignment="1" applyProtection="1">
      <alignment horizontal="center"/>
      <protection locked="0"/>
    </xf>
    <xf numFmtId="0" fontId="8" fillId="0" borderId="4" xfId="0" applyFont="1" applyBorder="1" applyAlignment="1" applyProtection="1">
      <alignment horizontal="center"/>
      <protection locked="0"/>
    </xf>
    <xf numFmtId="0" fontId="8" fillId="0" borderId="9" xfId="0" applyFont="1" applyBorder="1" applyAlignment="1" applyProtection="1">
      <alignment horizontal="center"/>
      <protection locked="0"/>
    </xf>
    <xf numFmtId="0" fontId="22" fillId="0" borderId="0" xfId="0" applyFont="1" applyAlignment="1" applyProtection="1">
      <alignment horizontal="center"/>
      <protection locked="0"/>
    </xf>
    <xf numFmtId="0" fontId="26" fillId="2" borderId="2" xfId="0" applyFont="1" applyFill="1" applyBorder="1" applyProtection="1">
      <protection locked="0"/>
    </xf>
    <xf numFmtId="0" fontId="28" fillId="2" borderId="19" xfId="0" applyFont="1" applyFill="1" applyBorder="1" applyAlignment="1" applyProtection="1">
      <alignment horizontal="center"/>
      <protection locked="0"/>
    </xf>
    <xf numFmtId="0" fontId="22" fillId="4" borderId="10" xfId="0" applyFont="1" applyFill="1" applyBorder="1" applyProtection="1">
      <protection locked="0"/>
    </xf>
    <xf numFmtId="0" fontId="22" fillId="2" borderId="19" xfId="0" applyFont="1" applyFill="1" applyBorder="1" applyAlignment="1" applyProtection="1">
      <alignment horizontal="center"/>
      <protection locked="0"/>
    </xf>
    <xf numFmtId="0" fontId="27" fillId="2" borderId="3" xfId="0" applyFont="1" applyFill="1" applyBorder="1" applyAlignment="1" applyProtection="1">
      <alignment horizontal="centerContinuous"/>
      <protection locked="0"/>
    </xf>
    <xf numFmtId="0" fontId="22" fillId="4" borderId="14" xfId="0" applyFont="1" applyFill="1" applyBorder="1" applyProtection="1">
      <protection locked="0"/>
    </xf>
    <xf numFmtId="0" fontId="22" fillId="2" borderId="4" xfId="0" applyFont="1" applyFill="1" applyBorder="1" applyAlignment="1" applyProtection="1">
      <alignment horizontal="center"/>
      <protection locked="0"/>
    </xf>
    <xf numFmtId="0" fontId="27" fillId="2" borderId="4" xfId="0" applyFont="1" applyFill="1" applyBorder="1" applyAlignment="1" applyProtection="1">
      <alignment horizontal="centerContinuous"/>
      <protection locked="0"/>
    </xf>
    <xf numFmtId="0" fontId="8" fillId="2" borderId="2" xfId="0" applyFont="1" applyFill="1" applyBorder="1" applyProtection="1">
      <protection locked="0"/>
    </xf>
    <xf numFmtId="0" fontId="8" fillId="2" borderId="22" xfId="0" applyFont="1" applyFill="1" applyBorder="1" applyAlignment="1" applyProtection="1">
      <alignment horizontal="center"/>
      <protection locked="0"/>
    </xf>
    <xf numFmtId="0" fontId="5" fillId="2" borderId="18" xfId="0" applyFont="1" applyFill="1" applyBorder="1" applyAlignment="1" applyProtection="1">
      <alignment horizontal="center"/>
      <protection locked="0"/>
    </xf>
    <xf numFmtId="0" fontId="8" fillId="2" borderId="19" xfId="0" applyFont="1" applyFill="1" applyBorder="1" applyAlignment="1" applyProtection="1">
      <alignment horizontal="right"/>
      <protection locked="0"/>
    </xf>
    <xf numFmtId="0" fontId="8" fillId="2" borderId="3" xfId="0" applyFont="1" applyFill="1" applyBorder="1" applyAlignment="1" applyProtection="1">
      <alignment horizontal="right"/>
      <protection locked="0"/>
    </xf>
    <xf numFmtId="0" fontId="8" fillId="2" borderId="4" xfId="0" applyFont="1" applyFill="1" applyBorder="1" applyAlignment="1" applyProtection="1">
      <alignment horizontal="right"/>
      <protection locked="0"/>
    </xf>
    <xf numFmtId="0" fontId="8" fillId="2" borderId="19" xfId="0" applyFont="1" applyFill="1" applyBorder="1" applyAlignment="1" applyProtection="1">
      <alignment horizontal="centerContinuous"/>
      <protection locked="0"/>
    </xf>
    <xf numFmtId="0" fontId="8" fillId="4" borderId="1" xfId="0" applyFont="1" applyFill="1" applyBorder="1" applyAlignment="1" applyProtection="1">
      <protection locked="0"/>
    </xf>
    <xf numFmtId="0" fontId="8" fillId="2" borderId="18" xfId="0" applyFont="1" applyFill="1" applyBorder="1" applyAlignment="1" applyProtection="1">
      <alignment horizontal="centerContinuous"/>
      <protection locked="0"/>
    </xf>
    <xf numFmtId="0" fontId="22" fillId="0" borderId="0" xfId="0" applyFont="1" applyAlignment="1" applyProtection="1">
      <protection locked="0"/>
    </xf>
    <xf numFmtId="165" fontId="29" fillId="2" borderId="17" xfId="0" applyNumberFormat="1" applyFont="1" applyFill="1" applyBorder="1" applyProtection="1"/>
    <xf numFmtId="165" fontId="29" fillId="2" borderId="18" xfId="0" applyNumberFormat="1" applyFont="1" applyFill="1" applyBorder="1" applyProtection="1"/>
    <xf numFmtId="165" fontId="29" fillId="2" borderId="7" xfId="0" applyNumberFormat="1" applyFont="1" applyFill="1" applyBorder="1" applyProtection="1"/>
    <xf numFmtId="165" fontId="29" fillId="2" borderId="8" xfId="0" applyNumberFormat="1" applyFont="1" applyFill="1" applyBorder="1" applyProtection="1"/>
    <xf numFmtId="3" fontId="23" fillId="2" borderId="7" xfId="0" applyNumberFormat="1" applyFont="1" applyFill="1" applyBorder="1" applyProtection="1"/>
    <xf numFmtId="3" fontId="23" fillId="2" borderId="8" xfId="0" applyNumberFormat="1" applyFont="1" applyFill="1" applyBorder="1" applyProtection="1"/>
    <xf numFmtId="0" fontId="8" fillId="2" borderId="14" xfId="0" applyFont="1" applyFill="1" applyBorder="1" applyAlignment="1" applyProtection="1">
      <alignment horizontal="center"/>
      <protection locked="0"/>
    </xf>
    <xf numFmtId="0" fontId="8" fillId="3" borderId="0" xfId="0" applyFont="1" applyFill="1" applyAlignment="1" applyProtection="1">
      <alignment horizontal="centerContinuous"/>
      <protection locked="0"/>
    </xf>
    <xf numFmtId="0" fontId="8" fillId="2" borderId="23" xfId="0" applyFont="1" applyFill="1" applyBorder="1" applyAlignment="1" applyProtection="1">
      <alignment horizontal="center"/>
      <protection locked="0"/>
    </xf>
    <xf numFmtId="0" fontId="22" fillId="0" borderId="7" xfId="0" applyFont="1" applyFill="1" applyBorder="1" applyAlignment="1" applyProtection="1">
      <alignment horizontal="center"/>
      <protection locked="0"/>
    </xf>
    <xf numFmtId="0" fontId="22" fillId="0" borderId="7" xfId="0" applyFont="1" applyBorder="1" applyAlignment="1" applyProtection="1">
      <alignment horizontal="center"/>
      <protection locked="0"/>
    </xf>
    <xf numFmtId="0" fontId="30" fillId="0" borderId="0" xfId="0" applyFont="1" applyBorder="1"/>
    <xf numFmtId="0" fontId="30" fillId="0" borderId="0" xfId="0" applyFont="1"/>
    <xf numFmtId="0" fontId="30" fillId="0" borderId="0" xfId="0" applyFont="1" applyBorder="1" applyAlignment="1"/>
    <xf numFmtId="0" fontId="30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0" fontId="1" fillId="0" borderId="0" xfId="0" applyNumberFormat="1" applyFont="1"/>
    <xf numFmtId="165" fontId="1" fillId="0" borderId="20" xfId="0" applyNumberFormat="1" applyFont="1" applyBorder="1"/>
    <xf numFmtId="171" fontId="1" fillId="0" borderId="20" xfId="0" applyNumberFormat="1" applyFont="1" applyBorder="1"/>
    <xf numFmtId="171" fontId="1" fillId="0" borderId="12" xfId="0" applyNumberFormat="1" applyFont="1" applyBorder="1"/>
    <xf numFmtId="171" fontId="1" fillId="0" borderId="19" xfId="0" applyNumberFormat="1" applyFont="1" applyBorder="1"/>
    <xf numFmtId="171" fontId="1" fillId="0" borderId="18" xfId="0" applyNumberFormat="1" applyFont="1" applyBorder="1"/>
    <xf numFmtId="165" fontId="1" fillId="0" borderId="19" xfId="0" applyNumberFormat="1" applyFont="1" applyBorder="1"/>
    <xf numFmtId="165" fontId="1" fillId="0" borderId="18" xfId="0" applyNumberFormat="1" applyFont="1" applyBorder="1"/>
    <xf numFmtId="171" fontId="1" fillId="0" borderId="24" xfId="0" applyNumberFormat="1" applyFont="1" applyBorder="1"/>
    <xf numFmtId="171" fontId="1" fillId="0" borderId="3" xfId="0" applyNumberFormat="1" applyFont="1" applyBorder="1"/>
    <xf numFmtId="165" fontId="1" fillId="0" borderId="3" xfId="0" applyNumberFormat="1" applyFont="1" applyBorder="1"/>
    <xf numFmtId="0" fontId="22" fillId="4" borderId="13" xfId="0" applyFont="1" applyFill="1" applyBorder="1" applyProtection="1">
      <protection locked="0"/>
    </xf>
    <xf numFmtId="0" fontId="22" fillId="4" borderId="0" xfId="0" applyFont="1" applyFill="1" applyBorder="1" applyProtection="1">
      <protection locked="0"/>
    </xf>
    <xf numFmtId="0" fontId="22" fillId="4" borderId="25" xfId="0" applyFont="1" applyFill="1" applyBorder="1" applyProtection="1">
      <protection locked="0"/>
    </xf>
    <xf numFmtId="0" fontId="22" fillId="4" borderId="26" xfId="0" applyFont="1" applyFill="1" applyBorder="1" applyProtection="1">
      <protection locked="0"/>
    </xf>
    <xf numFmtId="0" fontId="22" fillId="4" borderId="27" xfId="0" applyFont="1" applyFill="1" applyBorder="1" applyProtection="1">
      <protection locked="0"/>
    </xf>
    <xf numFmtId="165" fontId="8" fillId="0" borderId="20" xfId="0" quotePrefix="1" applyNumberFormat="1" applyFont="1" applyBorder="1" applyProtection="1"/>
    <xf numFmtId="165" fontId="8" fillId="0" borderId="9" xfId="0" quotePrefix="1" applyNumberFormat="1" applyFont="1" applyBorder="1" applyProtection="1"/>
    <xf numFmtId="0" fontId="8" fillId="4" borderId="0" xfId="0" applyFont="1" applyFill="1" applyBorder="1" applyProtection="1">
      <protection locked="0"/>
    </xf>
    <xf numFmtId="0" fontId="8" fillId="4" borderId="0" xfId="0" applyFont="1" applyFill="1" applyBorder="1" applyAlignment="1" applyProtection="1">
      <protection locked="0"/>
    </xf>
    <xf numFmtId="0" fontId="8" fillId="4" borderId="0" xfId="0" applyFont="1" applyFill="1" applyBorder="1" applyAlignment="1" applyProtection="1">
      <alignment horizontal="center"/>
      <protection locked="0"/>
    </xf>
    <xf numFmtId="0" fontId="1" fillId="0" borderId="3" xfId="0" applyFont="1" applyBorder="1"/>
    <xf numFmtId="171" fontId="8" fillId="0" borderId="7" xfId="0" applyNumberFormat="1" applyFont="1" applyFill="1" applyBorder="1" applyAlignment="1" applyProtection="1">
      <alignment horizontal="right"/>
      <protection locked="0"/>
    </xf>
    <xf numFmtId="171" fontId="8" fillId="0" borderId="20" xfId="0" applyNumberFormat="1" applyFont="1" applyFill="1" applyBorder="1" applyAlignment="1" applyProtection="1">
      <alignment horizontal="right"/>
      <protection locked="0"/>
    </xf>
    <xf numFmtId="171" fontId="8" fillId="0" borderId="8" xfId="0" applyNumberFormat="1" applyFont="1" applyFill="1" applyBorder="1" applyAlignment="1" applyProtection="1">
      <alignment horizontal="right"/>
      <protection locked="0"/>
    </xf>
    <xf numFmtId="171" fontId="8" fillId="0" borderId="9" xfId="0" applyNumberFormat="1" applyFont="1" applyFill="1" applyBorder="1" applyAlignment="1" applyProtection="1">
      <alignment horizontal="right"/>
      <protection locked="0"/>
    </xf>
    <xf numFmtId="0" fontId="8" fillId="4" borderId="1" xfId="0" applyFont="1" applyFill="1" applyBorder="1" applyProtection="1">
      <protection locked="0"/>
    </xf>
    <xf numFmtId="0" fontId="1" fillId="0" borderId="0" xfId="0" applyFont="1" applyAlignment="1"/>
    <xf numFmtId="0" fontId="1" fillId="0" borderId="0" xfId="0" applyFont="1" applyProtection="1">
      <protection locked="0"/>
    </xf>
    <xf numFmtId="0" fontId="1" fillId="2" borderId="1" xfId="0" applyFont="1" applyFill="1" applyBorder="1" applyAlignment="1">
      <alignment horizontal="centerContinuous"/>
    </xf>
    <xf numFmtId="0" fontId="1" fillId="2" borderId="13" xfId="0" applyFont="1" applyFill="1" applyBorder="1" applyAlignment="1">
      <alignment horizontal="centerContinuous"/>
    </xf>
    <xf numFmtId="0" fontId="1" fillId="2" borderId="28" xfId="0" applyFont="1" applyFill="1" applyBorder="1" applyAlignment="1">
      <alignment horizontal="centerContinuous"/>
    </xf>
    <xf numFmtId="0" fontId="1" fillId="2" borderId="29" xfId="0" applyFont="1" applyFill="1" applyBorder="1" applyAlignment="1">
      <alignment horizontal="centerContinuous"/>
    </xf>
    <xf numFmtId="1" fontId="21" fillId="0" borderId="13" xfId="0" applyNumberFormat="1" applyFont="1" applyBorder="1" applyAlignment="1"/>
    <xf numFmtId="1" fontId="21" fillId="0" borderId="25" xfId="0" applyNumberFormat="1" applyFont="1" applyBorder="1" applyAlignment="1"/>
    <xf numFmtId="3" fontId="21" fillId="0" borderId="10" xfId="0" applyNumberFormat="1" applyFont="1" applyBorder="1" applyAlignment="1" applyProtection="1">
      <protection locked="0"/>
    </xf>
    <xf numFmtId="1" fontId="21" fillId="0" borderId="10" xfId="0" applyNumberFormat="1" applyFont="1" applyBorder="1" applyProtection="1">
      <protection locked="0"/>
    </xf>
    <xf numFmtId="1" fontId="21" fillId="0" borderId="25" xfId="0" applyNumberFormat="1" applyFont="1" applyBorder="1" applyProtection="1">
      <protection locked="0"/>
    </xf>
    <xf numFmtId="4" fontId="21" fillId="0" borderId="1" xfId="0" applyNumberFormat="1" applyFont="1" applyBorder="1" applyAlignment="1" applyProtection="1"/>
    <xf numFmtId="4" fontId="21" fillId="0" borderId="22" xfId="0" applyNumberFormat="1" applyFont="1" applyBorder="1" applyAlignment="1" applyProtection="1"/>
    <xf numFmtId="4" fontId="21" fillId="0" borderId="30" xfId="0" applyNumberFormat="1" applyFont="1" applyBorder="1" applyAlignment="1" applyProtection="1">
      <protection locked="0"/>
    </xf>
    <xf numFmtId="3" fontId="21" fillId="0" borderId="10" xfId="0" applyNumberFormat="1" applyFont="1" applyFill="1" applyBorder="1"/>
    <xf numFmtId="3" fontId="21" fillId="0" borderId="0" xfId="0" applyNumberFormat="1" applyFont="1" applyFill="1" applyBorder="1"/>
    <xf numFmtId="165" fontId="21" fillId="0" borderId="0" xfId="0" applyNumberFormat="1" applyFont="1" applyFill="1" applyBorder="1"/>
    <xf numFmtId="171" fontId="21" fillId="0" borderId="0" xfId="0" quotePrefix="1" applyNumberFormat="1" applyFont="1" applyFill="1" applyBorder="1"/>
    <xf numFmtId="0" fontId="30" fillId="2" borderId="1" xfId="0" applyFont="1" applyFill="1" applyBorder="1" applyAlignment="1">
      <alignment horizontal="centerContinuous"/>
    </xf>
    <xf numFmtId="0" fontId="30" fillId="2" borderId="31" xfId="0" applyFont="1" applyFill="1" applyBorder="1" applyAlignment="1">
      <alignment horizontal="center"/>
    </xf>
    <xf numFmtId="171" fontId="21" fillId="0" borderId="0" xfId="0" applyNumberFormat="1" applyFont="1" applyFill="1" applyBorder="1"/>
    <xf numFmtId="1" fontId="21" fillId="0" borderId="0" xfId="0" applyNumberFormat="1" applyFont="1" applyFill="1" applyBorder="1"/>
    <xf numFmtId="165" fontId="30" fillId="0" borderId="0" xfId="0" applyNumberFormat="1" applyFont="1"/>
    <xf numFmtId="0" fontId="30" fillId="0" borderId="0" xfId="0" applyFont="1" applyProtection="1">
      <protection locked="0"/>
    </xf>
    <xf numFmtId="165" fontId="21" fillId="0" borderId="0" xfId="0" quotePrefix="1" applyNumberFormat="1" applyFont="1" applyFill="1" applyBorder="1"/>
    <xf numFmtId="179" fontId="21" fillId="0" borderId="0" xfId="0" quotePrefix="1" applyNumberFormat="1" applyFont="1" applyFill="1" applyBorder="1"/>
    <xf numFmtId="179" fontId="21" fillId="0" borderId="0" xfId="0" applyNumberFormat="1" applyFont="1" applyFill="1" applyBorder="1"/>
    <xf numFmtId="179" fontId="21" fillId="0" borderId="25" xfId="0" applyNumberFormat="1" applyFont="1" applyFill="1" applyBorder="1"/>
    <xf numFmtId="0" fontId="22" fillId="0" borderId="10" xfId="0" applyFont="1" applyBorder="1" applyProtection="1">
      <protection locked="0"/>
    </xf>
    <xf numFmtId="0" fontId="26" fillId="2" borderId="17" xfId="0" applyFont="1" applyFill="1" applyBorder="1" applyAlignment="1" applyProtection="1">
      <alignment horizontal="center"/>
      <protection locked="0"/>
    </xf>
    <xf numFmtId="0" fontId="22" fillId="2" borderId="2" xfId="0" applyFont="1" applyFill="1" applyBorder="1" applyAlignment="1" applyProtection="1">
      <alignment horizontal="centerContinuous"/>
      <protection locked="0"/>
    </xf>
    <xf numFmtId="0" fontId="23" fillId="2" borderId="3" xfId="0" applyFont="1" applyFill="1" applyBorder="1" applyProtection="1">
      <protection locked="0"/>
    </xf>
    <xf numFmtId="0" fontId="23" fillId="2" borderId="32" xfId="0" applyFont="1" applyFill="1" applyBorder="1" applyProtection="1">
      <protection locked="0"/>
    </xf>
    <xf numFmtId="0" fontId="22" fillId="2" borderId="1" xfId="0" applyFont="1" applyFill="1" applyBorder="1" applyAlignment="1" applyProtection="1">
      <alignment horizontal="centerContinuous"/>
      <protection locked="0"/>
    </xf>
    <xf numFmtId="171" fontId="24" fillId="2" borderId="33" xfId="0" applyNumberFormat="1" applyFont="1" applyFill="1" applyBorder="1" applyProtection="1"/>
    <xf numFmtId="0" fontId="22" fillId="2" borderId="13" xfId="0" applyFont="1" applyFill="1" applyBorder="1" applyAlignment="1" applyProtection="1">
      <alignment horizontal="centerContinuous"/>
      <protection locked="0"/>
    </xf>
    <xf numFmtId="0" fontId="22" fillId="2" borderId="34" xfId="0" applyFont="1" applyFill="1" applyBorder="1" applyProtection="1">
      <protection locked="0"/>
    </xf>
    <xf numFmtId="0" fontId="22" fillId="0" borderId="2" xfId="0" applyFont="1" applyBorder="1" applyAlignment="1" applyProtection="1">
      <alignment horizontal="centerContinuous"/>
      <protection locked="0"/>
    </xf>
    <xf numFmtId="0" fontId="22" fillId="0" borderId="1" xfId="0" applyFont="1" applyBorder="1" applyAlignment="1" applyProtection="1">
      <alignment horizontal="centerContinuous"/>
      <protection locked="0"/>
    </xf>
    <xf numFmtId="0" fontId="22" fillId="0" borderId="13" xfId="0" applyFont="1" applyBorder="1" applyAlignment="1" applyProtection="1">
      <alignment horizontal="centerContinuous"/>
      <protection locked="0"/>
    </xf>
    <xf numFmtId="0" fontId="1" fillId="0" borderId="3" xfId="0" applyFont="1" applyFill="1" applyBorder="1"/>
    <xf numFmtId="0" fontId="1" fillId="0" borderId="35" xfId="0" applyFont="1" applyBorder="1"/>
    <xf numFmtId="0" fontId="1" fillId="0" borderId="4" xfId="0" applyFont="1" applyFill="1" applyBorder="1"/>
    <xf numFmtId="0" fontId="4" fillId="2" borderId="15" xfId="0" applyFont="1" applyFill="1" applyBorder="1" applyAlignment="1">
      <alignment horizontal="centerContinuous"/>
    </xf>
    <xf numFmtId="0" fontId="4" fillId="2" borderId="36" xfId="0" applyFont="1" applyFill="1" applyBorder="1" applyAlignment="1">
      <alignment horizontal="centerContinuous"/>
    </xf>
    <xf numFmtId="0" fontId="4" fillId="2" borderId="16" xfId="0" applyFont="1" applyFill="1" applyBorder="1" applyAlignment="1">
      <alignment horizontal="centerContinuous"/>
    </xf>
    <xf numFmtId="0" fontId="8" fillId="2" borderId="37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Continuous"/>
    </xf>
    <xf numFmtId="0" fontId="1" fillId="2" borderId="39" xfId="0" applyFont="1" applyFill="1" applyBorder="1" applyAlignment="1">
      <alignment horizontal="centerContinuous"/>
    </xf>
    <xf numFmtId="9" fontId="5" fillId="2" borderId="7" xfId="0" applyNumberFormat="1" applyFont="1" applyFill="1" applyBorder="1" applyAlignment="1">
      <alignment horizontal="center"/>
    </xf>
    <xf numFmtId="9" fontId="5" fillId="2" borderId="20" xfId="0" applyNumberFormat="1" applyFont="1" applyFill="1" applyBorder="1" applyAlignment="1">
      <alignment horizontal="center"/>
    </xf>
    <xf numFmtId="0" fontId="5" fillId="2" borderId="2" xfId="0" applyFont="1" applyFill="1" applyBorder="1" applyAlignment="1">
      <alignment horizontal="centerContinuous"/>
    </xf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22" fillId="2" borderId="2" xfId="0" applyFont="1" applyFill="1" applyBorder="1" applyAlignment="1" applyProtection="1">
      <protection locked="0"/>
    </xf>
    <xf numFmtId="0" fontId="23" fillId="2" borderId="10" xfId="0" applyFont="1" applyFill="1" applyBorder="1" applyAlignment="1" applyProtection="1">
      <alignment horizontal="center"/>
      <protection locked="0"/>
    </xf>
    <xf numFmtId="0" fontId="5" fillId="2" borderId="10" xfId="0" applyFont="1" applyFill="1" applyBorder="1" applyAlignment="1" applyProtection="1">
      <alignment horizontal="center"/>
      <protection locked="0"/>
    </xf>
    <xf numFmtId="0" fontId="22" fillId="0" borderId="40" xfId="0" applyFont="1" applyBorder="1" applyProtection="1">
      <protection locked="0"/>
    </xf>
    <xf numFmtId="0" fontId="22" fillId="0" borderId="24" xfId="0" applyFont="1" applyBorder="1" applyProtection="1">
      <protection locked="0"/>
    </xf>
    <xf numFmtId="0" fontId="22" fillId="0" borderId="41" xfId="0" applyFont="1" applyBorder="1" applyProtection="1">
      <protection locked="0"/>
    </xf>
    <xf numFmtId="0" fontId="1" fillId="0" borderId="33" xfId="0" applyFont="1" applyFill="1" applyBorder="1"/>
    <xf numFmtId="0" fontId="1" fillId="0" borderId="42" xfId="0" applyFont="1" applyFill="1" applyBorder="1"/>
    <xf numFmtId="0" fontId="8" fillId="0" borderId="43" xfId="0" applyFont="1" applyBorder="1" applyProtection="1">
      <protection locked="0"/>
    </xf>
    <xf numFmtId="0" fontId="21" fillId="0" borderId="40" xfId="0" applyFont="1" applyBorder="1" applyProtection="1">
      <protection locked="0"/>
    </xf>
    <xf numFmtId="0" fontId="8" fillId="0" borderId="32" xfId="0" applyFont="1" applyBorder="1" applyAlignment="1" applyProtection="1">
      <alignment horizontal="right"/>
      <protection locked="0"/>
    </xf>
    <xf numFmtId="0" fontId="22" fillId="0" borderId="28" xfId="0" applyFont="1" applyBorder="1" applyProtection="1">
      <protection locked="0"/>
    </xf>
    <xf numFmtId="0" fontId="8" fillId="0" borderId="38" xfId="0" applyFont="1" applyBorder="1" applyAlignment="1" applyProtection="1">
      <alignment horizontal="right"/>
      <protection locked="0"/>
    </xf>
    <xf numFmtId="165" fontId="8" fillId="0" borderId="29" xfId="0" quotePrefix="1" applyNumberFormat="1" applyFont="1" applyBorder="1" applyProtection="1"/>
    <xf numFmtId="0" fontId="22" fillId="0" borderId="44" xfId="0" applyFont="1" applyBorder="1" applyProtection="1">
      <protection locked="0"/>
    </xf>
    <xf numFmtId="0" fontId="22" fillId="0" borderId="45" xfId="0" applyFont="1" applyBorder="1" applyProtection="1">
      <protection locked="0"/>
    </xf>
    <xf numFmtId="0" fontId="8" fillId="0" borderId="46" xfId="0" applyFont="1" applyBorder="1" applyAlignment="1" applyProtection="1">
      <alignment horizontal="right"/>
      <protection locked="0"/>
    </xf>
    <xf numFmtId="0" fontId="4" fillId="0" borderId="12" xfId="0" applyFont="1" applyBorder="1" applyAlignment="1" applyProtection="1">
      <alignment horizontal="centerContinuous"/>
      <protection locked="0"/>
    </xf>
    <xf numFmtId="0" fontId="4" fillId="0" borderId="47" xfId="0" applyFont="1" applyBorder="1" applyAlignment="1" applyProtection="1">
      <alignment horizontal="centerContinuous"/>
      <protection locked="0"/>
    </xf>
    <xf numFmtId="0" fontId="37" fillId="0" borderId="47" xfId="0" applyFont="1" applyBorder="1" applyAlignment="1" applyProtection="1">
      <alignment horizontal="centerContinuous"/>
      <protection locked="0"/>
    </xf>
    <xf numFmtId="0" fontId="37" fillId="0" borderId="11" xfId="0" applyFont="1" applyBorder="1" applyAlignment="1" applyProtection="1">
      <alignment horizontal="centerContinuous"/>
      <protection locked="0"/>
    </xf>
    <xf numFmtId="0" fontId="37" fillId="0" borderId="1" xfId="0" applyFont="1" applyBorder="1" applyAlignment="1" applyProtection="1">
      <alignment horizontal="centerContinuous"/>
      <protection locked="0"/>
    </xf>
    <xf numFmtId="0" fontId="8" fillId="4" borderId="0" xfId="0" applyFont="1" applyFill="1" applyProtection="1">
      <protection locked="0"/>
    </xf>
    <xf numFmtId="17" fontId="8" fillId="5" borderId="48" xfId="0" quotePrefix="1" applyNumberFormat="1" applyFont="1" applyFill="1" applyBorder="1" applyProtection="1"/>
    <xf numFmtId="17" fontId="8" fillId="5" borderId="49" xfId="0" applyNumberFormat="1" applyFont="1" applyFill="1" applyBorder="1" applyProtection="1"/>
    <xf numFmtId="0" fontId="30" fillId="2" borderId="32" xfId="0" applyFont="1" applyFill="1" applyBorder="1" applyAlignment="1">
      <alignment horizontal="centerContinuous"/>
    </xf>
    <xf numFmtId="0" fontId="30" fillId="2" borderId="33" xfId="0" applyFont="1" applyFill="1" applyBorder="1" applyAlignment="1">
      <alignment horizontal="centerContinuous"/>
    </xf>
    <xf numFmtId="0" fontId="30" fillId="2" borderId="40" xfId="0" applyFont="1" applyFill="1" applyBorder="1" applyAlignment="1">
      <alignment horizontal="centerContinuous"/>
    </xf>
    <xf numFmtId="0" fontId="8" fillId="2" borderId="2" xfId="0" applyFont="1" applyFill="1" applyBorder="1" applyAlignment="1">
      <alignment horizontal="centerContinuous"/>
    </xf>
    <xf numFmtId="0" fontId="8" fillId="2" borderId="1" xfId="0" applyFont="1" applyFill="1" applyBorder="1" applyAlignment="1">
      <alignment horizontal="centerContinuous"/>
    </xf>
    <xf numFmtId="0" fontId="8" fillId="2" borderId="13" xfId="0" applyFont="1" applyFill="1" applyBorder="1" applyAlignment="1">
      <alignment horizontal="centerContinuous"/>
    </xf>
    <xf numFmtId="169" fontId="7" fillId="0" borderId="1" xfId="0" applyNumberFormat="1" applyFont="1" applyFill="1" applyBorder="1" applyProtection="1"/>
    <xf numFmtId="169" fontId="7" fillId="0" borderId="1" xfId="0" applyNumberFormat="1" applyFont="1" applyBorder="1" applyProtection="1"/>
    <xf numFmtId="169" fontId="38" fillId="0" borderId="1" xfId="0" applyNumberFormat="1" applyFont="1" applyBorder="1" applyProtection="1"/>
    <xf numFmtId="169" fontId="7" fillId="0" borderId="0" xfId="0" applyNumberFormat="1" applyFont="1" applyFill="1" applyBorder="1" applyProtection="1"/>
    <xf numFmtId="169" fontId="7" fillId="0" borderId="0" xfId="0" applyNumberFormat="1" applyFont="1" applyBorder="1" applyProtection="1"/>
    <xf numFmtId="169" fontId="38" fillId="0" borderId="0" xfId="0" applyNumberFormat="1" applyFont="1" applyBorder="1" applyProtection="1"/>
    <xf numFmtId="169" fontId="39" fillId="0" borderId="0" xfId="0" applyNumberFormat="1" applyFont="1" applyBorder="1" applyProtection="1">
      <protection locked="0"/>
    </xf>
    <xf numFmtId="0" fontId="31" fillId="2" borderId="1" xfId="0" applyFont="1" applyFill="1" applyBorder="1" applyAlignment="1">
      <alignment horizontal="centerContinuous"/>
    </xf>
    <xf numFmtId="0" fontId="30" fillId="2" borderId="0" xfId="0" applyFont="1" applyFill="1" applyBorder="1"/>
    <xf numFmtId="168" fontId="30" fillId="2" borderId="50" xfId="0" applyNumberFormat="1" applyFont="1" applyFill="1" applyBorder="1" applyAlignment="1" applyProtection="1">
      <alignment horizontal="center"/>
    </xf>
    <xf numFmtId="168" fontId="30" fillId="2" borderId="34" xfId="0" applyNumberFormat="1" applyFont="1" applyFill="1" applyBorder="1" applyAlignment="1" applyProtection="1">
      <alignment horizontal="center"/>
    </xf>
    <xf numFmtId="168" fontId="30" fillId="2" borderId="51" xfId="0" applyNumberFormat="1" applyFont="1" applyFill="1" applyBorder="1" applyAlignment="1" applyProtection="1">
      <alignment horizontal="center"/>
    </xf>
    <xf numFmtId="0" fontId="30" fillId="2" borderId="8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Continuous"/>
    </xf>
    <xf numFmtId="0" fontId="34" fillId="2" borderId="13" xfId="0" applyFont="1" applyFill="1" applyBorder="1" applyAlignment="1">
      <alignment horizontal="centerContinuous"/>
    </xf>
    <xf numFmtId="0" fontId="13" fillId="2" borderId="28" xfId="0" applyFont="1" applyFill="1" applyBorder="1" applyAlignment="1">
      <alignment horizontal="centerContinuous"/>
    </xf>
    <xf numFmtId="0" fontId="33" fillId="2" borderId="28" xfId="0" applyFont="1" applyFill="1" applyBorder="1" applyAlignment="1">
      <alignment horizontal="centerContinuous"/>
    </xf>
    <xf numFmtId="0" fontId="33" fillId="2" borderId="29" xfId="0" applyFont="1" applyFill="1" applyBorder="1" applyAlignment="1">
      <alignment horizontal="centerContinuous"/>
    </xf>
    <xf numFmtId="0" fontId="30" fillId="2" borderId="30" xfId="0" applyFont="1" applyFill="1" applyBorder="1" applyAlignment="1">
      <alignment horizontal="centerContinuous"/>
    </xf>
    <xf numFmtId="9" fontId="7" fillId="2" borderId="8" xfId="0" applyNumberFormat="1" applyFont="1" applyFill="1" applyBorder="1" applyAlignment="1">
      <alignment horizontal="center"/>
    </xf>
    <xf numFmtId="171" fontId="21" fillId="6" borderId="0" xfId="0" applyNumberFormat="1" applyFont="1" applyFill="1" applyBorder="1"/>
    <xf numFmtId="0" fontId="30" fillId="2" borderId="10" xfId="0" applyFont="1" applyFill="1" applyBorder="1" applyAlignment="1" applyProtection="1">
      <alignment horizontal="center"/>
      <protection locked="0"/>
    </xf>
    <xf numFmtId="0" fontId="30" fillId="2" borderId="52" xfId="0" applyFont="1" applyFill="1" applyBorder="1" applyAlignment="1">
      <alignment horizontal="center"/>
    </xf>
    <xf numFmtId="0" fontId="30" fillId="2" borderId="0" xfId="0" applyFont="1" applyFill="1" applyBorder="1" applyAlignment="1">
      <alignment horizontal="center"/>
    </xf>
    <xf numFmtId="17" fontId="32" fillId="0" borderId="0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Continuous"/>
    </xf>
    <xf numFmtId="17" fontId="32" fillId="0" borderId="10" xfId="0" applyNumberFormat="1" applyFont="1" applyBorder="1" applyAlignment="1">
      <alignment horizontal="center"/>
    </xf>
    <xf numFmtId="0" fontId="13" fillId="0" borderId="0" xfId="0" applyFont="1" applyBorder="1"/>
    <xf numFmtId="0" fontId="8" fillId="2" borderId="25" xfId="0" applyFont="1" applyFill="1" applyBorder="1" applyAlignment="1">
      <alignment horizontal="centerContinuous"/>
    </xf>
    <xf numFmtId="0" fontId="8" fillId="2" borderId="10" xfId="0" applyFont="1" applyFill="1" applyBorder="1" applyAlignment="1">
      <alignment horizontal="centerContinuous"/>
    </xf>
    <xf numFmtId="0" fontId="1" fillId="0" borderId="3" xfId="0" applyFont="1" applyFill="1" applyBorder="1" applyAlignment="1">
      <alignment horizontal="right"/>
    </xf>
    <xf numFmtId="0" fontId="1" fillId="0" borderId="3" xfId="0" quotePrefix="1" applyFont="1" applyFill="1" applyBorder="1" applyAlignment="1">
      <alignment horizontal="right"/>
    </xf>
    <xf numFmtId="2" fontId="1" fillId="0" borderId="7" xfId="0" applyNumberFormat="1" applyFont="1" applyFill="1" applyBorder="1" applyAlignment="1">
      <alignment horizontal="right"/>
    </xf>
    <xf numFmtId="2" fontId="1" fillId="0" borderId="20" xfId="0" applyNumberFormat="1" applyFont="1" applyFill="1" applyBorder="1" applyAlignment="1">
      <alignment horizontal="right"/>
    </xf>
    <xf numFmtId="2" fontId="22" fillId="0" borderId="7" xfId="0" applyNumberFormat="1" applyFont="1" applyFill="1" applyBorder="1" applyAlignment="1" applyProtection="1">
      <alignment horizontal="right"/>
      <protection locked="0"/>
    </xf>
    <xf numFmtId="0" fontId="30" fillId="2" borderId="1" xfId="0" applyFont="1" applyFill="1" applyBorder="1" applyAlignment="1">
      <alignment horizontal="center"/>
    </xf>
    <xf numFmtId="0" fontId="7" fillId="2" borderId="43" xfId="0" applyFont="1" applyFill="1" applyBorder="1" applyAlignment="1">
      <alignment horizontal="center"/>
    </xf>
    <xf numFmtId="0" fontId="7" fillId="2" borderId="53" xfId="0" applyFont="1" applyFill="1" applyBorder="1" applyAlignment="1">
      <alignment horizontal="centerContinuous"/>
    </xf>
    <xf numFmtId="0" fontId="7" fillId="2" borderId="54" xfId="0" applyFont="1" applyFill="1" applyBorder="1" applyAlignment="1">
      <alignment horizontal="centerContinuous"/>
    </xf>
    <xf numFmtId="0" fontId="13" fillId="0" borderId="32" xfId="0" applyFont="1" applyBorder="1" applyAlignment="1" applyProtection="1">
      <alignment horizontal="right"/>
      <protection locked="0"/>
    </xf>
    <xf numFmtId="0" fontId="13" fillId="2" borderId="1" xfId="0" applyFont="1" applyFill="1" applyBorder="1" applyAlignment="1">
      <alignment horizontal="centerContinuous"/>
    </xf>
    <xf numFmtId="0" fontId="13" fillId="2" borderId="8" xfId="0" applyFont="1" applyFill="1" applyBorder="1" applyAlignment="1">
      <alignment horizontal="center"/>
    </xf>
    <xf numFmtId="0" fontId="13" fillId="2" borderId="42" xfId="0" applyFont="1" applyFill="1" applyBorder="1" applyAlignment="1">
      <alignment horizontal="center"/>
    </xf>
    <xf numFmtId="0" fontId="30" fillId="2" borderId="55" xfId="0" applyFont="1" applyFill="1" applyBorder="1" applyAlignment="1">
      <alignment horizontal="center"/>
    </xf>
    <xf numFmtId="0" fontId="30" fillId="2" borderId="56" xfId="0" applyFont="1" applyFill="1" applyBorder="1" applyAlignment="1">
      <alignment horizontal="center"/>
    </xf>
    <xf numFmtId="171" fontId="21" fillId="0" borderId="2" xfId="0" applyNumberFormat="1" applyFont="1" applyFill="1" applyBorder="1"/>
    <xf numFmtId="171" fontId="21" fillId="0" borderId="1" xfId="0" applyNumberFormat="1" applyFont="1" applyFill="1" applyBorder="1"/>
    <xf numFmtId="171" fontId="21" fillId="0" borderId="10" xfId="0" applyNumberFormat="1" applyFont="1" applyFill="1" applyBorder="1"/>
    <xf numFmtId="171" fontId="21" fillId="0" borderId="25" xfId="0" applyNumberFormat="1" applyFont="1" applyFill="1" applyBorder="1"/>
    <xf numFmtId="171" fontId="21" fillId="0" borderId="10" xfId="0" applyNumberFormat="1" applyFont="1" applyBorder="1"/>
    <xf numFmtId="0" fontId="30" fillId="2" borderId="57" xfId="0" applyFont="1" applyFill="1" applyBorder="1" applyAlignment="1">
      <alignment horizontal="center"/>
    </xf>
    <xf numFmtId="0" fontId="21" fillId="0" borderId="24" xfId="0" applyFont="1" applyBorder="1" applyProtection="1">
      <protection locked="0"/>
    </xf>
    <xf numFmtId="0" fontId="13" fillId="0" borderId="20" xfId="0" applyFont="1" applyBorder="1" applyAlignment="1" applyProtection="1">
      <alignment horizontal="center"/>
      <protection locked="0"/>
    </xf>
    <xf numFmtId="0" fontId="7" fillId="0" borderId="20" xfId="0" applyFont="1" applyBorder="1" applyAlignment="1" applyProtection="1">
      <alignment horizontal="center"/>
      <protection locked="0"/>
    </xf>
    <xf numFmtId="0" fontId="21" fillId="0" borderId="41" xfId="0" applyFont="1" applyBorder="1" applyProtection="1">
      <protection locked="0"/>
    </xf>
    <xf numFmtId="0" fontId="21" fillId="0" borderId="45" xfId="0" applyFont="1" applyBorder="1" applyProtection="1">
      <protection locked="0"/>
    </xf>
    <xf numFmtId="0" fontId="13" fillId="0" borderId="46" xfId="0" applyFont="1" applyBorder="1" applyAlignment="1" applyProtection="1">
      <alignment horizontal="right"/>
      <protection locked="0"/>
    </xf>
    <xf numFmtId="0" fontId="13" fillId="0" borderId="9" xfId="0" applyFont="1" applyBorder="1" applyAlignment="1" applyProtection="1">
      <alignment horizontal="center"/>
      <protection locked="0"/>
    </xf>
    <xf numFmtId="0" fontId="30" fillId="2" borderId="58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Continuous"/>
    </xf>
    <xf numFmtId="1" fontId="21" fillId="0" borderId="0" xfId="0" applyNumberFormat="1" applyFont="1" applyBorder="1" applyProtection="1"/>
    <xf numFmtId="1" fontId="21" fillId="0" borderId="10" xfId="0" applyNumberFormat="1" applyFont="1" applyBorder="1" applyProtection="1"/>
    <xf numFmtId="1" fontId="21" fillId="0" borderId="25" xfId="0" applyNumberFormat="1" applyFont="1" applyBorder="1" applyProtection="1"/>
    <xf numFmtId="0" fontId="13" fillId="2" borderId="33" xfId="0" applyFont="1" applyFill="1" applyBorder="1" applyAlignment="1">
      <alignment horizontal="centerContinuous"/>
    </xf>
    <xf numFmtId="0" fontId="13" fillId="2" borderId="40" xfId="0" applyFont="1" applyFill="1" applyBorder="1" applyAlignment="1">
      <alignment horizontal="centerContinuous"/>
    </xf>
    <xf numFmtId="0" fontId="13" fillId="2" borderId="32" xfId="0" applyFont="1" applyFill="1" applyBorder="1" applyAlignment="1">
      <alignment horizontal="centerContinuous"/>
    </xf>
    <xf numFmtId="0" fontId="13" fillId="2" borderId="13" xfId="0" applyFont="1" applyFill="1" applyBorder="1" applyAlignment="1">
      <alignment horizontal="centerContinuous"/>
    </xf>
    <xf numFmtId="0" fontId="13" fillId="2" borderId="24" xfId="0" applyFont="1" applyFill="1" applyBorder="1" applyAlignment="1">
      <alignment horizontal="centerContinuous"/>
    </xf>
    <xf numFmtId="0" fontId="13" fillId="2" borderId="4" xfId="0" applyFont="1" applyFill="1" applyBorder="1" applyAlignment="1">
      <alignment horizontal="center"/>
    </xf>
    <xf numFmtId="1" fontId="21" fillId="0" borderId="22" xfId="0" applyNumberFormat="1" applyFont="1" applyBorder="1" applyProtection="1"/>
    <xf numFmtId="1" fontId="21" fillId="0" borderId="30" xfId="0" applyNumberFormat="1" applyFont="1" applyBorder="1" applyProtection="1">
      <protection locked="0"/>
    </xf>
    <xf numFmtId="0" fontId="30" fillId="2" borderId="4" xfId="0" applyFont="1" applyFill="1" applyBorder="1" applyAlignment="1">
      <alignment horizontal="center"/>
    </xf>
    <xf numFmtId="0" fontId="4" fillId="2" borderId="2" xfId="0" applyFont="1" applyFill="1" applyBorder="1" applyAlignment="1" applyProtection="1">
      <alignment horizontal="centerContinuous"/>
      <protection locked="0"/>
    </xf>
    <xf numFmtId="0" fontId="3" fillId="2" borderId="18" xfId="0" applyFont="1" applyFill="1" applyBorder="1" applyAlignment="1">
      <alignment horizontal="centerContinuous"/>
    </xf>
    <xf numFmtId="0" fontId="4" fillId="2" borderId="12" xfId="0" applyFont="1" applyFill="1" applyBorder="1" applyAlignment="1" applyProtection="1">
      <alignment horizontal="centerContinuous"/>
      <protection locked="0"/>
    </xf>
    <xf numFmtId="0" fontId="4" fillId="2" borderId="2" xfId="0" applyFont="1" applyFill="1" applyBorder="1" applyAlignment="1">
      <alignment horizontal="centerContinuous"/>
    </xf>
    <xf numFmtId="0" fontId="33" fillId="2" borderId="40" xfId="0" applyFont="1" applyFill="1" applyBorder="1" applyAlignment="1">
      <alignment horizontal="centerContinuous"/>
    </xf>
    <xf numFmtId="0" fontId="13" fillId="2" borderId="34" xfId="0" applyFont="1" applyFill="1" applyBorder="1" applyAlignment="1">
      <alignment horizontal="center"/>
    </xf>
    <xf numFmtId="0" fontId="13" fillId="2" borderId="59" xfId="0" applyFont="1" applyFill="1" applyBorder="1" applyAlignment="1">
      <alignment horizontal="centerContinuous"/>
    </xf>
    <xf numFmtId="0" fontId="13" fillId="2" borderId="50" xfId="0" applyFont="1" applyFill="1" applyBorder="1" applyAlignment="1">
      <alignment horizontal="centerContinuous"/>
    </xf>
    <xf numFmtId="0" fontId="13" fillId="2" borderId="6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Continuous"/>
    </xf>
    <xf numFmtId="165" fontId="21" fillId="0" borderId="30" xfId="0" applyNumberFormat="1" applyFont="1" applyFill="1" applyBorder="1"/>
    <xf numFmtId="0" fontId="30" fillId="2" borderId="61" xfId="0" applyFont="1" applyFill="1" applyBorder="1" applyAlignment="1">
      <alignment horizontal="center"/>
    </xf>
    <xf numFmtId="165" fontId="21" fillId="0" borderId="62" xfId="0" applyNumberFormat="1" applyFont="1" applyFill="1" applyBorder="1"/>
    <xf numFmtId="171" fontId="21" fillId="0" borderId="30" xfId="0" quotePrefix="1" applyNumberFormat="1" applyFont="1" applyFill="1" applyBorder="1"/>
    <xf numFmtId="171" fontId="21" fillId="0" borderId="62" xfId="0" quotePrefix="1" applyNumberFormat="1" applyFont="1" applyFill="1" applyBorder="1"/>
    <xf numFmtId="171" fontId="21" fillId="0" borderId="60" xfId="0" quotePrefix="1" applyNumberFormat="1" applyFont="1" applyFill="1" applyBorder="1"/>
    <xf numFmtId="179" fontId="21" fillId="0" borderId="30" xfId="0" applyNumberFormat="1" applyFont="1" applyFill="1" applyBorder="1"/>
    <xf numFmtId="4" fontId="21" fillId="0" borderId="2" xfId="0" applyNumberFormat="1" applyFont="1" applyBorder="1" applyAlignment="1" applyProtection="1"/>
    <xf numFmtId="4" fontId="21" fillId="0" borderId="10" xfId="0" applyNumberFormat="1" applyFont="1" applyBorder="1" applyAlignment="1" applyProtection="1">
      <protection locked="0"/>
    </xf>
    <xf numFmtId="0" fontId="13" fillId="2" borderId="51" xfId="0" applyFont="1" applyFill="1" applyBorder="1" applyAlignment="1">
      <alignment horizontal="centerContinuous"/>
    </xf>
    <xf numFmtId="0" fontId="13" fillId="2" borderId="39" xfId="0" applyFont="1" applyFill="1" applyBorder="1" applyAlignment="1">
      <alignment horizontal="centerContinuous"/>
    </xf>
    <xf numFmtId="0" fontId="13" fillId="2" borderId="55" xfId="0" applyFont="1" applyFill="1" applyBorder="1" applyAlignment="1">
      <alignment horizontal="center"/>
    </xf>
    <xf numFmtId="0" fontId="13" fillId="2" borderId="61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Continuous"/>
    </xf>
    <xf numFmtId="0" fontId="22" fillId="4" borderId="0" xfId="0" applyFont="1" applyFill="1" applyAlignment="1" applyProtection="1">
      <alignment horizontal="center"/>
      <protection locked="0"/>
    </xf>
    <xf numFmtId="0" fontId="22" fillId="4" borderId="0" xfId="0" applyFont="1" applyFill="1" applyProtection="1">
      <protection locked="0"/>
    </xf>
    <xf numFmtId="165" fontId="21" fillId="0" borderId="30" xfId="0" quotePrefix="1" applyNumberFormat="1" applyFont="1" applyFill="1" applyBorder="1"/>
    <xf numFmtId="165" fontId="21" fillId="0" borderId="30" xfId="0" quotePrefix="1" applyNumberFormat="1" applyFont="1" applyBorder="1"/>
    <xf numFmtId="0" fontId="23" fillId="2" borderId="53" xfId="0" applyFont="1" applyFill="1" applyBorder="1" applyAlignment="1" applyProtection="1">
      <alignment horizontal="center"/>
      <protection locked="0"/>
    </xf>
    <xf numFmtId="0" fontId="23" fillId="2" borderId="54" xfId="0" applyFont="1" applyFill="1" applyBorder="1" applyAlignment="1" applyProtection="1">
      <alignment horizontal="center"/>
      <protection locked="0"/>
    </xf>
    <xf numFmtId="0" fontId="5" fillId="2" borderId="63" xfId="0" applyFont="1" applyFill="1" applyBorder="1" applyAlignment="1" applyProtection="1">
      <alignment horizontal="center"/>
      <protection locked="0"/>
    </xf>
    <xf numFmtId="0" fontId="30" fillId="2" borderId="37" xfId="0" applyFont="1" applyFill="1" applyBorder="1" applyAlignment="1">
      <alignment horizontal="centerContinuous"/>
    </xf>
    <xf numFmtId="0" fontId="30" fillId="2" borderId="60" xfId="0" applyFont="1" applyFill="1" applyBorder="1" applyAlignment="1">
      <alignment horizontal="centerContinuous"/>
    </xf>
    <xf numFmtId="0" fontId="30" fillId="2" borderId="52" xfId="0" applyFont="1" applyFill="1" applyBorder="1" applyAlignment="1">
      <alignment horizontal="centerContinuous"/>
    </xf>
    <xf numFmtId="0" fontId="4" fillId="2" borderId="1" xfId="0" applyFont="1" applyFill="1" applyBorder="1" applyAlignment="1">
      <alignment horizontal="centerContinuous"/>
    </xf>
    <xf numFmtId="0" fontId="4" fillId="2" borderId="13" xfId="0" applyFont="1" applyFill="1" applyBorder="1" applyAlignment="1">
      <alignment horizontal="centerContinuous"/>
    </xf>
    <xf numFmtId="0" fontId="4" fillId="2" borderId="10" xfId="0" applyFont="1" applyFill="1" applyBorder="1" applyAlignment="1" applyProtection="1">
      <alignment horizontal="centerContinuous"/>
      <protection locked="0"/>
    </xf>
    <xf numFmtId="0" fontId="4" fillId="2" borderId="25" xfId="0" applyFont="1" applyFill="1" applyBorder="1" applyAlignment="1">
      <alignment horizontal="centerContinuous"/>
    </xf>
    <xf numFmtId="0" fontId="37" fillId="2" borderId="2" xfId="0" applyFont="1" applyFill="1" applyBorder="1" applyAlignment="1" applyProtection="1">
      <alignment horizontal="centerContinuous"/>
      <protection locked="0"/>
    </xf>
    <xf numFmtId="0" fontId="4" fillId="2" borderId="5" xfId="0" applyFont="1" applyFill="1" applyBorder="1" applyAlignment="1" applyProtection="1">
      <alignment horizontal="center"/>
      <protection locked="0"/>
    </xf>
    <xf numFmtId="172" fontId="22" fillId="5" borderId="18" xfId="0" applyNumberFormat="1" applyFont="1" applyFill="1" applyBorder="1" applyAlignment="1" applyProtection="1">
      <alignment horizontal="center"/>
      <protection locked="0"/>
    </xf>
    <xf numFmtId="0" fontId="4" fillId="2" borderId="44" xfId="0" applyFont="1" applyFill="1" applyBorder="1" applyAlignment="1" applyProtection="1">
      <alignment horizontal="centerContinuous"/>
      <protection locked="0"/>
    </xf>
    <xf numFmtId="0" fontId="5" fillId="2" borderId="0" xfId="0" applyFont="1" applyFill="1" applyBorder="1" applyAlignment="1" applyProtection="1">
      <alignment horizontal="center"/>
      <protection locked="0"/>
    </xf>
    <xf numFmtId="0" fontId="8" fillId="2" borderId="10" xfId="0" applyFont="1" applyFill="1" applyBorder="1" applyAlignment="1" applyProtection="1">
      <alignment horizontal="center"/>
      <protection locked="0"/>
    </xf>
    <xf numFmtId="0" fontId="8" fillId="2" borderId="25" xfId="0" applyFont="1" applyFill="1" applyBorder="1" applyAlignment="1" applyProtection="1">
      <alignment horizontal="center"/>
      <protection locked="0"/>
    </xf>
    <xf numFmtId="0" fontId="8" fillId="2" borderId="4" xfId="0" applyFont="1" applyFill="1" applyBorder="1" applyAlignment="1" applyProtection="1">
      <alignment horizontal="center"/>
      <protection locked="0"/>
    </xf>
    <xf numFmtId="0" fontId="5" fillId="2" borderId="8" xfId="0" applyFont="1" applyFill="1" applyBorder="1" applyAlignment="1" applyProtection="1">
      <alignment horizontal="center"/>
      <protection locked="0"/>
    </xf>
    <xf numFmtId="0" fontId="8" fillId="2" borderId="9" xfId="0" applyFont="1" applyFill="1" applyBorder="1" applyAlignment="1" applyProtection="1">
      <alignment horizontal="center"/>
      <protection locked="0"/>
    </xf>
    <xf numFmtId="0" fontId="22" fillId="0" borderId="15" xfId="0" applyFont="1" applyBorder="1" applyProtection="1">
      <protection locked="0"/>
    </xf>
    <xf numFmtId="0" fontId="21" fillId="0" borderId="36" xfId="0" applyFont="1" applyBorder="1" applyProtection="1">
      <protection locked="0"/>
    </xf>
    <xf numFmtId="172" fontId="22" fillId="5" borderId="49" xfId="0" applyNumberFormat="1" applyFont="1" applyFill="1" applyBorder="1" applyAlignment="1" applyProtection="1">
      <alignment horizontal="center"/>
      <protection locked="0"/>
    </xf>
    <xf numFmtId="0" fontId="26" fillId="2" borderId="64" xfId="0" applyFont="1" applyFill="1" applyBorder="1" applyAlignment="1" applyProtection="1">
      <alignment horizontal="center"/>
      <protection locked="0"/>
    </xf>
    <xf numFmtId="3" fontId="23" fillId="2" borderId="33" xfId="0" applyNumberFormat="1" applyFont="1" applyFill="1" applyBorder="1" applyProtection="1"/>
    <xf numFmtId="3" fontId="23" fillId="2" borderId="42" xfId="0" applyNumberFormat="1" applyFont="1" applyFill="1" applyBorder="1" applyProtection="1"/>
    <xf numFmtId="0" fontId="5" fillId="2" borderId="19" xfId="0" applyFont="1" applyFill="1" applyBorder="1" applyAlignment="1" applyProtection="1">
      <alignment horizontal="center"/>
      <protection locked="0"/>
    </xf>
    <xf numFmtId="0" fontId="5" fillId="2" borderId="3" xfId="0" applyFont="1" applyFill="1" applyBorder="1" applyAlignment="1" applyProtection="1">
      <alignment horizontal="center"/>
      <protection locked="0"/>
    </xf>
    <xf numFmtId="0" fontId="22" fillId="2" borderId="14" xfId="0" applyFont="1" applyFill="1" applyBorder="1" applyProtection="1">
      <protection locked="0"/>
    </xf>
    <xf numFmtId="0" fontId="22" fillId="2" borderId="27" xfId="0" applyFont="1" applyFill="1" applyBorder="1" applyProtection="1">
      <protection locked="0"/>
    </xf>
    <xf numFmtId="172" fontId="22" fillId="7" borderId="20" xfId="0" applyNumberFormat="1" applyFont="1" applyFill="1" applyBorder="1" applyAlignment="1" applyProtection="1">
      <alignment horizontal="center"/>
      <protection locked="0"/>
    </xf>
    <xf numFmtId="0" fontId="22" fillId="2" borderId="10" xfId="0" applyFont="1" applyFill="1" applyBorder="1" applyAlignment="1" applyProtection="1">
      <alignment horizontal="centerContinuous"/>
      <protection locked="0"/>
    </xf>
    <xf numFmtId="0" fontId="22" fillId="2" borderId="25" xfId="0" applyFont="1" applyFill="1" applyBorder="1" applyAlignment="1" applyProtection="1">
      <alignment horizontal="centerContinuous"/>
      <protection locked="0"/>
    </xf>
    <xf numFmtId="0" fontId="7" fillId="2" borderId="5" xfId="0" applyFont="1" applyFill="1" applyBorder="1" applyAlignment="1">
      <alignment horizontal="centerContinuous"/>
    </xf>
    <xf numFmtId="0" fontId="7" fillId="2" borderId="6" xfId="0" applyFont="1" applyFill="1" applyBorder="1" applyAlignment="1">
      <alignment horizontal="centerContinuous"/>
    </xf>
    <xf numFmtId="0" fontId="7" fillId="2" borderId="57" xfId="0" applyFont="1" applyFill="1" applyBorder="1" applyAlignment="1">
      <alignment horizontal="center"/>
    </xf>
    <xf numFmtId="0" fontId="7" fillId="2" borderId="31" xfId="0" applyFont="1" applyFill="1" applyBorder="1" applyAlignment="1">
      <alignment horizontal="center"/>
    </xf>
    <xf numFmtId="171" fontId="21" fillId="6" borderId="13" xfId="0" applyNumberFormat="1" applyFont="1" applyFill="1" applyBorder="1"/>
    <xf numFmtId="171" fontId="21" fillId="6" borderId="25" xfId="0" applyNumberFormat="1" applyFont="1" applyFill="1" applyBorder="1"/>
    <xf numFmtId="171" fontId="21" fillId="2" borderId="25" xfId="0" applyNumberFormat="1" applyFont="1" applyFill="1" applyBorder="1"/>
    <xf numFmtId="0" fontId="22" fillId="3" borderId="0" xfId="0" applyFont="1" applyFill="1" applyAlignment="1" applyProtection="1">
      <alignment horizontal="centerContinuous"/>
      <protection locked="0"/>
    </xf>
    <xf numFmtId="0" fontId="40" fillId="3" borderId="0" xfId="0" applyFont="1" applyFill="1" applyAlignment="1" applyProtection="1">
      <alignment horizontal="centerContinuous"/>
      <protection locked="0"/>
    </xf>
    <xf numFmtId="165" fontId="1" fillId="0" borderId="65" xfId="0" applyNumberFormat="1" applyFont="1" applyBorder="1" applyAlignment="1">
      <alignment horizontal="right"/>
    </xf>
    <xf numFmtId="165" fontId="1" fillId="0" borderId="7" xfId="0" applyNumberFormat="1" applyFont="1" applyBorder="1" applyAlignment="1">
      <alignment horizontal="right"/>
    </xf>
    <xf numFmtId="171" fontId="8" fillId="0" borderId="66" xfId="0" applyNumberFormat="1" applyFont="1" applyBorder="1" applyAlignment="1">
      <alignment horizontal="right"/>
    </xf>
    <xf numFmtId="171" fontId="8" fillId="0" borderId="20" xfId="0" applyNumberFormat="1" applyFont="1" applyBorder="1" applyAlignment="1">
      <alignment horizontal="right"/>
    </xf>
    <xf numFmtId="171" fontId="24" fillId="8" borderId="17" xfId="0" applyNumberFormat="1" applyFont="1" applyFill="1" applyBorder="1" applyAlignment="1" applyProtection="1">
      <alignment horizontal="right"/>
      <protection locked="0"/>
    </xf>
    <xf numFmtId="171" fontId="24" fillId="8" borderId="18" xfId="0" applyNumberFormat="1" applyFont="1" applyFill="1" applyBorder="1" applyProtection="1"/>
    <xf numFmtId="0" fontId="22" fillId="8" borderId="17" xfId="0" applyFont="1" applyFill="1" applyBorder="1" applyAlignment="1" applyProtection="1">
      <alignment horizontal="center"/>
      <protection locked="0"/>
    </xf>
    <xf numFmtId="171" fontId="21" fillId="8" borderId="1" xfId="0" applyNumberFormat="1" applyFont="1" applyFill="1" applyBorder="1"/>
    <xf numFmtId="3" fontId="21" fillId="8" borderId="10" xfId="0" applyNumberFormat="1" applyFont="1" applyFill="1" applyBorder="1" applyAlignment="1" applyProtection="1"/>
    <xf numFmtId="10" fontId="0" fillId="0" borderId="0" xfId="0" applyNumberFormat="1"/>
    <xf numFmtId="2" fontId="0" fillId="0" borderId="0" xfId="0" applyNumberFormat="1"/>
    <xf numFmtId="171" fontId="0" fillId="0" borderId="0" xfId="0" applyNumberFormat="1"/>
    <xf numFmtId="2" fontId="22" fillId="2" borderId="33" xfId="0" quotePrefix="1" applyNumberFormat="1" applyFont="1" applyFill="1" applyBorder="1"/>
    <xf numFmtId="1" fontId="22" fillId="0" borderId="67" xfId="0" applyNumberFormat="1" applyFont="1" applyFill="1" applyBorder="1" applyAlignment="1" applyProtection="1">
      <alignment horizontal="right"/>
      <protection locked="0"/>
    </xf>
    <xf numFmtId="17" fontId="22" fillId="2" borderId="68" xfId="0" applyNumberFormat="1" applyFont="1" applyFill="1" applyBorder="1" applyProtection="1">
      <protection locked="0"/>
    </xf>
    <xf numFmtId="2" fontId="22" fillId="8" borderId="64" xfId="0" quotePrefix="1" applyNumberFormat="1" applyFont="1" applyFill="1" applyBorder="1"/>
    <xf numFmtId="171" fontId="36" fillId="0" borderId="3" xfId="0" applyNumberFormat="1" applyFont="1" applyFill="1" applyBorder="1" applyProtection="1"/>
    <xf numFmtId="171" fontId="24" fillId="0" borderId="7" xfId="0" applyNumberFormat="1" applyFont="1" applyBorder="1" applyAlignment="1" applyProtection="1">
      <alignment horizontal="right"/>
      <protection locked="0"/>
    </xf>
    <xf numFmtId="0" fontId="8" fillId="2" borderId="0" xfId="0" applyFont="1" applyFill="1" applyBorder="1" applyAlignment="1" applyProtection="1">
      <alignment horizontal="center"/>
      <protection locked="0"/>
    </xf>
    <xf numFmtId="0" fontId="8" fillId="2" borderId="42" xfId="0" applyFont="1" applyFill="1" applyBorder="1" applyAlignment="1" applyProtection="1">
      <alignment horizontal="center"/>
      <protection locked="0"/>
    </xf>
    <xf numFmtId="0" fontId="37" fillId="2" borderId="13" xfId="0" applyFont="1" applyFill="1" applyBorder="1" applyAlignment="1" applyProtection="1">
      <alignment horizontal="centerContinuous"/>
      <protection locked="0"/>
    </xf>
    <xf numFmtId="0" fontId="4" fillId="2" borderId="6" xfId="0" applyFont="1" applyFill="1" applyBorder="1" applyAlignment="1" applyProtection="1">
      <alignment horizontal="center"/>
      <protection locked="0"/>
    </xf>
    <xf numFmtId="0" fontId="22" fillId="2" borderId="6" xfId="0" applyFont="1" applyFill="1" applyBorder="1" applyProtection="1">
      <protection locked="0"/>
    </xf>
    <xf numFmtId="2" fontId="22" fillId="8" borderId="23" xfId="0" applyNumberFormat="1" applyFont="1" applyFill="1" applyBorder="1"/>
    <xf numFmtId="1" fontId="22" fillId="0" borderId="68" xfId="0" applyNumberFormat="1" applyFont="1" applyFill="1" applyBorder="1" applyAlignment="1" applyProtection="1">
      <alignment horizontal="right"/>
      <protection locked="0"/>
    </xf>
    <xf numFmtId="171" fontId="24" fillId="8" borderId="23" xfId="0" applyNumberFormat="1" applyFont="1" applyFill="1" applyBorder="1" applyProtection="1">
      <protection locked="0"/>
    </xf>
    <xf numFmtId="2" fontId="22" fillId="8" borderId="18" xfId="0" quotePrefix="1" applyNumberFormat="1" applyFont="1" applyFill="1" applyBorder="1"/>
    <xf numFmtId="2" fontId="22" fillId="2" borderId="20" xfId="0" quotePrefix="1" applyNumberFormat="1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13" xfId="0" applyFont="1" applyBorder="1"/>
    <xf numFmtId="0" fontId="4" fillId="0" borderId="14" xfId="0" applyFont="1" applyBorder="1" applyAlignment="1">
      <alignment horizontal="centerContinuous"/>
    </xf>
    <xf numFmtId="0" fontId="4" fillId="0" borderId="26" xfId="0" applyFont="1" applyBorder="1" applyAlignment="1">
      <alignment horizontal="centerContinuous"/>
    </xf>
    <xf numFmtId="0" fontId="4" fillId="0" borderId="27" xfId="0" applyFont="1" applyBorder="1" applyAlignment="1">
      <alignment horizontal="centerContinuous"/>
    </xf>
    <xf numFmtId="0" fontId="21" fillId="4" borderId="0" xfId="0" applyFont="1" applyFill="1" applyProtection="1">
      <protection locked="0"/>
    </xf>
    <xf numFmtId="0" fontId="4" fillId="2" borderId="1" xfId="0" applyFont="1" applyFill="1" applyBorder="1" applyAlignment="1" applyProtection="1">
      <alignment horizontal="centerContinuous"/>
      <protection locked="0"/>
    </xf>
    <xf numFmtId="0" fontId="4" fillId="2" borderId="0" xfId="0" applyFont="1" applyFill="1" applyBorder="1" applyAlignment="1" applyProtection="1">
      <alignment horizontal="centerContinuous"/>
      <protection locked="0"/>
    </xf>
    <xf numFmtId="0" fontId="8" fillId="2" borderId="46" xfId="0" applyFont="1" applyFill="1" applyBorder="1" applyAlignment="1" applyProtection="1">
      <alignment horizontal="center"/>
      <protection locked="0"/>
    </xf>
    <xf numFmtId="17" fontId="22" fillId="8" borderId="63" xfId="0" applyNumberFormat="1" applyFont="1" applyFill="1" applyBorder="1" applyProtection="1">
      <protection locked="0"/>
    </xf>
    <xf numFmtId="0" fontId="21" fillId="0" borderId="0" xfId="0" applyFont="1" applyBorder="1" applyAlignment="1" applyProtection="1">
      <alignment horizontal="centerContinuous"/>
      <protection locked="0"/>
    </xf>
    <xf numFmtId="0" fontId="13" fillId="0" borderId="0" xfId="0" applyFont="1" applyBorder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0" fontId="33" fillId="0" borderId="1" xfId="0" applyFont="1" applyBorder="1" applyAlignment="1" applyProtection="1">
      <alignment horizontal="centerContinuous"/>
      <protection locked="0"/>
    </xf>
    <xf numFmtId="0" fontId="21" fillId="0" borderId="1" xfId="0" applyFont="1" applyBorder="1" applyAlignment="1" applyProtection="1">
      <alignment horizontal="centerContinuous"/>
      <protection locked="0"/>
    </xf>
    <xf numFmtId="0" fontId="21" fillId="0" borderId="13" xfId="0" applyFont="1" applyBorder="1" applyAlignment="1" applyProtection="1">
      <alignment horizontal="centerContinuous"/>
      <protection locked="0"/>
    </xf>
    <xf numFmtId="0" fontId="21" fillId="0" borderId="12" xfId="0" applyFont="1" applyBorder="1" applyProtection="1">
      <protection locked="0"/>
    </xf>
    <xf numFmtId="0" fontId="21" fillId="0" borderId="47" xfId="0" applyFont="1" applyBorder="1" applyProtection="1">
      <protection locked="0"/>
    </xf>
    <xf numFmtId="0" fontId="13" fillId="0" borderId="23" xfId="0" applyFont="1" applyBorder="1" applyAlignment="1" applyProtection="1">
      <alignment horizontal="right"/>
      <protection locked="0"/>
    </xf>
    <xf numFmtId="0" fontId="13" fillId="0" borderId="18" xfId="0" applyFont="1" applyBorder="1" applyAlignment="1" applyProtection="1">
      <alignment horizontal="center"/>
      <protection locked="0"/>
    </xf>
    <xf numFmtId="0" fontId="33" fillId="2" borderId="50" xfId="0" applyFont="1" applyFill="1" applyBorder="1" applyAlignment="1">
      <alignment horizontal="center"/>
    </xf>
    <xf numFmtId="165" fontId="21" fillId="0" borderId="0" xfId="0" quotePrefix="1" applyNumberFormat="1" applyFont="1" applyBorder="1"/>
    <xf numFmtId="0" fontId="33" fillId="2" borderId="51" xfId="0" applyFont="1" applyFill="1" applyBorder="1" applyAlignment="1">
      <alignment horizontal="center"/>
    </xf>
    <xf numFmtId="0" fontId="1" fillId="0" borderId="5" xfId="0" quotePrefix="1" applyFont="1" applyFill="1" applyBorder="1" applyAlignment="1">
      <alignment horizontal="right"/>
    </xf>
    <xf numFmtId="0" fontId="33" fillId="2" borderId="30" xfId="0" applyFont="1" applyFill="1" applyBorder="1" applyAlignment="1">
      <alignment horizontal="centerContinuous"/>
    </xf>
    <xf numFmtId="0" fontId="33" fillId="2" borderId="62" xfId="0" applyFont="1" applyFill="1" applyBorder="1" applyAlignment="1">
      <alignment horizontal="centerContinuous"/>
    </xf>
    <xf numFmtId="0" fontId="4" fillId="2" borderId="47" xfId="0" applyFont="1" applyFill="1" applyBorder="1" applyAlignment="1">
      <alignment horizontal="centerContinuous"/>
    </xf>
    <xf numFmtId="0" fontId="4" fillId="2" borderId="11" xfId="0" applyFont="1" applyFill="1" applyBorder="1" applyAlignment="1">
      <alignment horizontal="centerContinuous"/>
    </xf>
    <xf numFmtId="0" fontId="33" fillId="2" borderId="69" xfId="0" applyFont="1" applyFill="1" applyBorder="1" applyAlignment="1">
      <alignment horizontal="center"/>
    </xf>
    <xf numFmtId="0" fontId="33" fillId="2" borderId="70" xfId="0" applyFont="1" applyFill="1" applyBorder="1" applyAlignment="1">
      <alignment horizontal="center"/>
    </xf>
    <xf numFmtId="0" fontId="33" fillId="2" borderId="10" xfId="0" applyFont="1" applyFill="1" applyBorder="1" applyAlignment="1">
      <alignment horizontal="centerContinuous"/>
    </xf>
    <xf numFmtId="0" fontId="33" fillId="2" borderId="25" xfId="0" applyFont="1" applyFill="1" applyBorder="1" applyAlignment="1">
      <alignment horizontal="centerContinuous"/>
    </xf>
    <xf numFmtId="0" fontId="33" fillId="2" borderId="4" xfId="0" applyFont="1" applyFill="1" applyBorder="1" applyAlignment="1">
      <alignment horizontal="center"/>
    </xf>
    <xf numFmtId="0" fontId="33" fillId="2" borderId="8" xfId="0" applyFont="1" applyFill="1" applyBorder="1" applyAlignment="1">
      <alignment horizontal="center"/>
    </xf>
    <xf numFmtId="0" fontId="33" fillId="2" borderId="9" xfId="0" applyFont="1" applyFill="1" applyBorder="1" applyAlignment="1">
      <alignment horizontal="center"/>
    </xf>
    <xf numFmtId="165" fontId="21" fillId="0" borderId="60" xfId="0" quotePrefix="1" applyNumberFormat="1" applyFont="1" applyFill="1" applyBorder="1" applyAlignment="1">
      <alignment horizontal="right"/>
    </xf>
    <xf numFmtId="165" fontId="21" fillId="0" borderId="71" xfId="0" quotePrefix="1" applyNumberFormat="1" applyFont="1" applyFill="1" applyBorder="1" applyAlignment="1">
      <alignment horizontal="right"/>
    </xf>
    <xf numFmtId="165" fontId="21" fillId="0" borderId="13" xfId="0" quotePrefix="1" applyNumberFormat="1" applyFont="1" applyFill="1" applyBorder="1" applyAlignment="1">
      <alignment horizontal="right"/>
    </xf>
    <xf numFmtId="165" fontId="21" fillId="0" borderId="37" xfId="0" quotePrefix="1" applyNumberFormat="1" applyFont="1" applyFill="1" applyBorder="1"/>
    <xf numFmtId="165" fontId="21" fillId="0" borderId="25" xfId="0" quotePrefix="1" applyNumberFormat="1" applyFont="1" applyFill="1" applyBorder="1" applyAlignment="1">
      <alignment horizontal="right"/>
    </xf>
    <xf numFmtId="165" fontId="21" fillId="0" borderId="37" xfId="0" quotePrefix="1" applyNumberFormat="1" applyFont="1" applyBorder="1"/>
    <xf numFmtId="0" fontId="23" fillId="2" borderId="5" xfId="0" applyFont="1" applyFill="1" applyBorder="1" applyAlignment="1" applyProtection="1">
      <alignment horizontal="center"/>
      <protection locked="0"/>
    </xf>
    <xf numFmtId="0" fontId="23" fillId="2" borderId="34" xfId="0" applyFont="1" applyFill="1" applyBorder="1" applyAlignment="1" applyProtection="1">
      <alignment horizontal="center"/>
      <protection locked="0"/>
    </xf>
    <xf numFmtId="0" fontId="23" fillId="2" borderId="6" xfId="0" applyFont="1" applyFill="1" applyBorder="1" applyAlignment="1" applyProtection="1">
      <alignment horizontal="center"/>
      <protection locked="0"/>
    </xf>
    <xf numFmtId="0" fontId="13" fillId="2" borderId="29" xfId="0" applyFont="1" applyFill="1" applyBorder="1" applyAlignment="1">
      <alignment horizontal="centerContinuous"/>
    </xf>
    <xf numFmtId="0" fontId="7" fillId="2" borderId="4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9" fontId="7" fillId="2" borderId="9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Continuous"/>
    </xf>
    <xf numFmtId="0" fontId="13" fillId="0" borderId="40" xfId="0" applyFont="1" applyBorder="1" applyAlignment="1" applyProtection="1">
      <alignment horizontal="center"/>
      <protection locked="0"/>
    </xf>
    <xf numFmtId="0" fontId="13" fillId="0" borderId="32" xfId="0" applyFont="1" applyBorder="1" applyAlignment="1" applyProtection="1">
      <alignment horizontal="center"/>
      <protection locked="0"/>
    </xf>
    <xf numFmtId="0" fontId="13" fillId="0" borderId="12" xfId="0" applyFont="1" applyBorder="1" applyAlignment="1" applyProtection="1">
      <alignment horizontal="left"/>
      <protection locked="0"/>
    </xf>
    <xf numFmtId="0" fontId="13" fillId="0" borderId="47" xfId="0" applyFont="1" applyBorder="1" applyAlignment="1" applyProtection="1">
      <alignment horizontal="center"/>
      <protection locked="0"/>
    </xf>
    <xf numFmtId="0" fontId="13" fillId="0" borderId="23" xfId="0" applyFont="1" applyBorder="1" applyAlignment="1" applyProtection="1">
      <alignment horizontal="center"/>
      <protection locked="0"/>
    </xf>
    <xf numFmtId="171" fontId="13" fillId="0" borderId="18" xfId="0" applyNumberFormat="1" applyFont="1" applyBorder="1" applyAlignment="1" applyProtection="1">
      <alignment horizontal="right"/>
      <protection locked="0"/>
    </xf>
    <xf numFmtId="0" fontId="13" fillId="0" borderId="24" xfId="0" applyFont="1" applyBorder="1" applyAlignment="1" applyProtection="1">
      <alignment horizontal="left"/>
      <protection locked="0"/>
    </xf>
    <xf numFmtId="171" fontId="13" fillId="0" borderId="20" xfId="0" applyNumberFormat="1" applyFont="1" applyBorder="1" applyAlignment="1" applyProtection="1">
      <alignment horizontal="right"/>
      <protection locked="0"/>
    </xf>
    <xf numFmtId="0" fontId="13" fillId="0" borderId="41" xfId="0" applyFont="1" applyBorder="1" applyAlignment="1" applyProtection="1">
      <alignment horizontal="left"/>
      <protection locked="0"/>
    </xf>
    <xf numFmtId="0" fontId="13" fillId="0" borderId="45" xfId="0" applyFont="1" applyBorder="1" applyAlignment="1" applyProtection="1">
      <alignment horizontal="center"/>
      <protection locked="0"/>
    </xf>
    <xf numFmtId="0" fontId="8" fillId="9" borderId="3" xfId="0" applyFont="1" applyFill="1" applyBorder="1" applyAlignment="1" applyProtection="1">
      <alignment horizontal="right"/>
      <protection locked="0"/>
    </xf>
    <xf numFmtId="165" fontId="29" fillId="9" borderId="7" xfId="0" applyNumberFormat="1" applyFont="1" applyFill="1" applyBorder="1" applyProtection="1"/>
    <xf numFmtId="0" fontId="7" fillId="0" borderId="0" xfId="0" applyFont="1"/>
    <xf numFmtId="0" fontId="13" fillId="0" borderId="0" xfId="0" applyFont="1" applyBorder="1" applyAlignment="1">
      <alignment horizontal="left"/>
    </xf>
    <xf numFmtId="2" fontId="13" fillId="0" borderId="0" xfId="0" applyNumberFormat="1" applyFont="1" applyBorder="1"/>
    <xf numFmtId="0" fontId="3" fillId="0" borderId="0" xfId="0" applyFont="1" applyBorder="1"/>
    <xf numFmtId="0" fontId="3" fillId="0" borderId="0" xfId="0" applyFont="1" applyBorder="1" applyAlignment="1">
      <alignment horizontal="left"/>
    </xf>
    <xf numFmtId="165" fontId="13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165" fontId="0" fillId="0" borderId="0" xfId="0" applyNumberFormat="1" applyBorder="1"/>
    <xf numFmtId="165" fontId="0" fillId="0" borderId="0" xfId="0" applyNumberFormat="1" applyBorder="1" applyAlignment="1">
      <alignment horizontal="left"/>
    </xf>
    <xf numFmtId="0" fontId="13" fillId="0" borderId="0" xfId="0" applyFont="1" applyBorder="1" applyAlignment="1">
      <alignment horizontal="centerContinuous"/>
    </xf>
    <xf numFmtId="165" fontId="8" fillId="0" borderId="0" xfId="0" applyNumberFormat="1" applyFont="1" applyBorder="1"/>
    <xf numFmtId="0" fontId="8" fillId="0" borderId="0" xfId="0" applyFont="1" applyBorder="1"/>
    <xf numFmtId="2" fontId="13" fillId="2" borderId="0" xfId="0" applyNumberFormat="1" applyFont="1" applyFill="1" applyBorder="1"/>
    <xf numFmtId="171" fontId="13" fillId="0" borderId="0" xfId="0" applyNumberFormat="1" applyFont="1" applyBorder="1" applyAlignment="1">
      <alignment horizontal="center"/>
    </xf>
    <xf numFmtId="0" fontId="8" fillId="0" borderId="72" xfId="0" applyFont="1" applyBorder="1" applyAlignment="1">
      <alignment horizontal="center"/>
    </xf>
    <xf numFmtId="0" fontId="8" fillId="0" borderId="37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8" fillId="0" borderId="57" xfId="0" applyFont="1" applyBorder="1" applyAlignment="1">
      <alignment horizontal="center"/>
    </xf>
    <xf numFmtId="165" fontId="0" fillId="0" borderId="0" xfId="0" applyNumberFormat="1"/>
    <xf numFmtId="2" fontId="13" fillId="0" borderId="3" xfId="0" applyNumberFormat="1" applyFont="1" applyFill="1" applyBorder="1" applyProtection="1"/>
    <xf numFmtId="171" fontId="13" fillId="0" borderId="20" xfId="0" applyNumberFormat="1" applyFont="1" applyBorder="1" applyAlignment="1">
      <alignment horizontal="right"/>
    </xf>
    <xf numFmtId="2" fontId="13" fillId="0" borderId="3" xfId="0" applyNumberFormat="1" applyFont="1" applyBorder="1" applyAlignment="1">
      <alignment horizontal="right"/>
    </xf>
    <xf numFmtId="165" fontId="13" fillId="0" borderId="0" xfId="0" quotePrefix="1" applyNumberFormat="1" applyFont="1" applyBorder="1"/>
    <xf numFmtId="2" fontId="22" fillId="3" borderId="0" xfId="0" applyNumberFormat="1" applyFont="1" applyFill="1" applyProtection="1">
      <protection locked="0"/>
    </xf>
    <xf numFmtId="165" fontId="21" fillId="0" borderId="0" xfId="0" applyNumberFormat="1" applyFont="1" applyProtection="1">
      <protection locked="0"/>
    </xf>
    <xf numFmtId="16" fontId="22" fillId="0" borderId="0" xfId="0" applyNumberFormat="1" applyFont="1" applyProtection="1">
      <protection locked="0"/>
    </xf>
    <xf numFmtId="0" fontId="0" fillId="0" borderId="3" xfId="0" applyBorder="1" applyAlignment="1">
      <alignment horizontal="center"/>
    </xf>
    <xf numFmtId="17" fontId="0" fillId="0" borderId="7" xfId="0" applyNumberFormat="1" applyBorder="1"/>
    <xf numFmtId="165" fontId="0" fillId="0" borderId="7" xfId="0" applyNumberFormat="1" applyBorder="1" applyAlignment="1">
      <alignment horizontal="center"/>
    </xf>
    <xf numFmtId="0" fontId="0" fillId="0" borderId="20" xfId="0" applyBorder="1" applyAlignment="1">
      <alignment horizontal="right"/>
    </xf>
    <xf numFmtId="0" fontId="4" fillId="2" borderId="2" xfId="0" applyFont="1" applyFill="1" applyBorder="1" applyAlignment="1" applyProtection="1">
      <alignment horizontal="center"/>
      <protection locked="0"/>
    </xf>
    <xf numFmtId="0" fontId="4" fillId="2" borderId="10" xfId="0" applyFont="1" applyFill="1" applyBorder="1" applyAlignment="1" applyProtection="1">
      <alignment horizontal="center"/>
      <protection locked="0"/>
    </xf>
    <xf numFmtId="0" fontId="22" fillId="2" borderId="5" xfId="0" applyFont="1" applyFill="1" applyBorder="1" applyProtection="1">
      <protection locked="0"/>
    </xf>
    <xf numFmtId="165" fontId="13" fillId="2" borderId="35" xfId="0" applyNumberFormat="1" applyFont="1" applyFill="1" applyBorder="1" applyAlignment="1">
      <alignment horizontal="left"/>
    </xf>
    <xf numFmtId="165" fontId="13" fillId="2" borderId="66" xfId="0" applyNumberFormat="1" applyFont="1" applyFill="1" applyBorder="1" applyAlignment="1">
      <alignment horizontal="left"/>
    </xf>
    <xf numFmtId="2" fontId="13" fillId="0" borderId="57" xfId="0" applyNumberFormat="1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7" fillId="0" borderId="2" xfId="0" applyFont="1" applyBorder="1"/>
    <xf numFmtId="0" fontId="7" fillId="0" borderId="10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44" xfId="0" applyFont="1" applyBorder="1"/>
    <xf numFmtId="0" fontId="7" fillId="0" borderId="24" xfId="0" applyFont="1" applyBorder="1"/>
    <xf numFmtId="2" fontId="22" fillId="3" borderId="0" xfId="0" applyNumberFormat="1" applyFont="1" applyFill="1" applyAlignment="1" applyProtection="1">
      <alignment horizontal="right"/>
      <protection locked="0"/>
    </xf>
    <xf numFmtId="0" fontId="42" fillId="4" borderId="53" xfId="0" applyFont="1" applyFill="1" applyBorder="1" applyAlignment="1" applyProtection="1">
      <alignment horizontal="center"/>
      <protection locked="0"/>
    </xf>
    <xf numFmtId="0" fontId="42" fillId="4" borderId="54" xfId="0" applyFont="1" applyFill="1" applyBorder="1" applyAlignment="1" applyProtection="1">
      <alignment horizontal="center"/>
      <protection locked="0"/>
    </xf>
    <xf numFmtId="0" fontId="42" fillId="4" borderId="54" xfId="0" applyFont="1" applyFill="1" applyBorder="1" applyProtection="1">
      <protection locked="0"/>
    </xf>
    <xf numFmtId="0" fontId="42" fillId="4" borderId="43" xfId="0" applyFont="1" applyFill="1" applyBorder="1" applyProtection="1">
      <protection locked="0"/>
    </xf>
    <xf numFmtId="0" fontId="8" fillId="2" borderId="73" xfId="0" applyFont="1" applyFill="1" applyBorder="1" applyAlignment="1" applyProtection="1">
      <alignment horizontal="center"/>
      <protection locked="0"/>
    </xf>
    <xf numFmtId="0" fontId="22" fillId="2" borderId="15" xfId="0" applyFont="1" applyFill="1" applyBorder="1" applyProtection="1">
      <protection locked="0"/>
    </xf>
    <xf numFmtId="0" fontId="22" fillId="2" borderId="36" xfId="0" applyFont="1" applyFill="1" applyBorder="1" applyAlignment="1" applyProtection="1">
      <alignment horizontal="center"/>
      <protection locked="0"/>
    </xf>
    <xf numFmtId="0" fontId="6" fillId="2" borderId="16" xfId="0" applyFont="1" applyFill="1" applyBorder="1" applyProtection="1">
      <protection locked="0"/>
    </xf>
    <xf numFmtId="165" fontId="22" fillId="0" borderId="0" xfId="0" applyNumberFormat="1" applyFont="1" applyFill="1" applyProtection="1">
      <protection locked="0"/>
    </xf>
    <xf numFmtId="0" fontId="31" fillId="10" borderId="1" xfId="0" applyFont="1" applyFill="1" applyBorder="1" applyAlignment="1">
      <alignment horizontal="centerContinuous"/>
    </xf>
    <xf numFmtId="0" fontId="31" fillId="10" borderId="13" xfId="0" applyFont="1" applyFill="1" applyBorder="1" applyAlignment="1">
      <alignment horizontal="centerContinuous"/>
    </xf>
    <xf numFmtId="0" fontId="13" fillId="10" borderId="40" xfId="0" applyFont="1" applyFill="1" applyBorder="1" applyAlignment="1">
      <alignment horizontal="centerContinuous"/>
    </xf>
    <xf numFmtId="0" fontId="13" fillId="10" borderId="32" xfId="0" applyFont="1" applyFill="1" applyBorder="1" applyAlignment="1">
      <alignment horizontal="centerContinuous"/>
    </xf>
    <xf numFmtId="0" fontId="13" fillId="10" borderId="34" xfId="0" applyFont="1" applyFill="1" applyBorder="1" applyAlignment="1">
      <alignment horizontal="center"/>
    </xf>
    <xf numFmtId="0" fontId="33" fillId="10" borderId="33" xfId="0" applyFont="1" applyFill="1" applyBorder="1" applyAlignment="1">
      <alignment horizontal="centerContinuous"/>
    </xf>
    <xf numFmtId="0" fontId="13" fillId="10" borderId="74" xfId="0" applyFont="1" applyFill="1" applyBorder="1" applyAlignment="1">
      <alignment horizontal="centerContinuous"/>
    </xf>
    <xf numFmtId="0" fontId="13" fillId="10" borderId="0" xfId="0" applyFont="1" applyFill="1" applyBorder="1" applyAlignment="1">
      <alignment horizontal="center"/>
    </xf>
    <xf numFmtId="0" fontId="13" fillId="10" borderId="30" xfId="0" applyFont="1" applyFill="1" applyBorder="1" applyAlignment="1">
      <alignment horizontal="center"/>
    </xf>
    <xf numFmtId="0" fontId="13" fillId="10" borderId="60" xfId="0" applyFont="1" applyFill="1" applyBorder="1" applyAlignment="1">
      <alignment horizontal="center"/>
    </xf>
    <xf numFmtId="0" fontId="13" fillId="10" borderId="0" xfId="0" applyFont="1" applyFill="1" applyBorder="1" applyAlignment="1">
      <alignment horizontal="centerContinuous"/>
    </xf>
    <xf numFmtId="0" fontId="13" fillId="10" borderId="62" xfId="0" applyFont="1" applyFill="1" applyBorder="1" applyAlignment="1">
      <alignment horizontal="centerContinuous"/>
    </xf>
    <xf numFmtId="0" fontId="13" fillId="10" borderId="30" xfId="0" applyFont="1" applyFill="1" applyBorder="1" applyAlignment="1">
      <alignment horizontal="centerContinuous"/>
    </xf>
    <xf numFmtId="0" fontId="13" fillId="10" borderId="25" xfId="0" applyFont="1" applyFill="1" applyBorder="1" applyAlignment="1">
      <alignment horizontal="centerContinuous"/>
    </xf>
    <xf numFmtId="0" fontId="13" fillId="10" borderId="55" xfId="0" applyFont="1" applyFill="1" applyBorder="1" applyAlignment="1">
      <alignment horizontal="center"/>
    </xf>
    <xf numFmtId="0" fontId="7" fillId="10" borderId="46" xfId="0" applyFont="1" applyFill="1" applyBorder="1" applyAlignment="1">
      <alignment horizontal="center"/>
    </xf>
    <xf numFmtId="0" fontId="7" fillId="10" borderId="8" xfId="0" applyFont="1" applyFill="1" applyBorder="1" applyAlignment="1">
      <alignment horizontal="center"/>
    </xf>
    <xf numFmtId="0" fontId="7" fillId="10" borderId="9" xfId="0" applyFont="1" applyFill="1" applyBorder="1" applyAlignment="1">
      <alignment horizontal="center"/>
    </xf>
    <xf numFmtId="165" fontId="43" fillId="0" borderId="4" xfId="0" applyNumberFormat="1" applyFont="1" applyBorder="1" applyAlignment="1" applyProtection="1">
      <alignment horizontal="right"/>
      <protection locked="0"/>
    </xf>
    <xf numFmtId="165" fontId="43" fillId="2" borderId="9" xfId="0" applyNumberFormat="1" applyFont="1" applyFill="1" applyBorder="1" applyAlignment="1" applyProtection="1">
      <alignment horizontal="right"/>
    </xf>
    <xf numFmtId="165" fontId="43" fillId="2" borderId="46" xfId="0" applyNumberFormat="1" applyFont="1" applyFill="1" applyBorder="1" applyAlignment="1" applyProtection="1">
      <alignment horizontal="right"/>
    </xf>
    <xf numFmtId="165" fontId="43" fillId="0" borderId="8" xfId="0" applyNumberFormat="1" applyFont="1" applyBorder="1" applyAlignment="1" applyProtection="1">
      <alignment horizontal="right"/>
      <protection locked="0"/>
    </xf>
    <xf numFmtId="165" fontId="43" fillId="0" borderId="17" xfId="0" applyNumberFormat="1" applyFont="1" applyBorder="1" applyProtection="1">
      <protection locked="0"/>
    </xf>
    <xf numFmtId="165" fontId="43" fillId="2" borderId="18" xfId="0" applyNumberFormat="1" applyFont="1" applyFill="1" applyBorder="1" applyProtection="1"/>
    <xf numFmtId="165" fontId="43" fillId="0" borderId="8" xfId="0" applyNumberFormat="1" applyFont="1" applyBorder="1" applyProtection="1">
      <protection locked="0"/>
    </xf>
    <xf numFmtId="165" fontId="43" fillId="2" borderId="9" xfId="0" applyNumberFormat="1" applyFont="1" applyFill="1" applyBorder="1" applyProtection="1"/>
    <xf numFmtId="165" fontId="43" fillId="2" borderId="17" xfId="0" applyNumberFormat="1" applyFont="1" applyFill="1" applyBorder="1" applyProtection="1"/>
    <xf numFmtId="165" fontId="43" fillId="2" borderId="7" xfId="0" applyNumberFormat="1" applyFont="1" applyFill="1" applyBorder="1" applyProtection="1"/>
    <xf numFmtId="165" fontId="43" fillId="9" borderId="7" xfId="0" applyNumberFormat="1" applyFont="1" applyFill="1" applyBorder="1" applyProtection="1"/>
    <xf numFmtId="165" fontId="43" fillId="2" borderId="8" xfId="0" applyNumberFormat="1" applyFont="1" applyFill="1" applyBorder="1" applyProtection="1"/>
    <xf numFmtId="165" fontId="43" fillId="0" borderId="7" xfId="0" applyNumberFormat="1" applyFont="1" applyBorder="1" applyProtection="1">
      <protection locked="0"/>
    </xf>
    <xf numFmtId="165" fontId="43" fillId="2" borderId="49" xfId="0" quotePrefix="1" applyNumberFormat="1" applyFont="1" applyFill="1" applyBorder="1" applyProtection="1"/>
    <xf numFmtId="165" fontId="43" fillId="0" borderId="27" xfId="0" applyNumberFormat="1" applyFont="1" applyBorder="1" applyProtection="1">
      <protection locked="0"/>
    </xf>
    <xf numFmtId="165" fontId="44" fillId="2" borderId="9" xfId="0" applyNumberFormat="1" applyFont="1" applyFill="1" applyBorder="1" applyAlignment="1" applyProtection="1">
      <alignment horizontal="right"/>
    </xf>
    <xf numFmtId="0" fontId="21" fillId="0" borderId="0" xfId="0" quotePrefix="1" applyFont="1" applyProtection="1">
      <protection locked="0"/>
    </xf>
    <xf numFmtId="0" fontId="23" fillId="2" borderId="63" xfId="0" applyFont="1" applyFill="1" applyBorder="1" applyAlignment="1" applyProtection="1">
      <alignment horizontal="center"/>
      <protection locked="0"/>
    </xf>
    <xf numFmtId="171" fontId="43" fillId="2" borderId="20" xfId="0" applyNumberFormat="1" applyFont="1" applyFill="1" applyBorder="1" applyProtection="1"/>
    <xf numFmtId="171" fontId="43" fillId="0" borderId="20" xfId="0" applyNumberFormat="1" applyFont="1" applyBorder="1" applyProtection="1">
      <protection locked="0"/>
    </xf>
    <xf numFmtId="0" fontId="23" fillId="2" borderId="4" xfId="0" applyFont="1" applyFill="1" applyBorder="1" applyProtection="1">
      <protection locked="0"/>
    </xf>
    <xf numFmtId="171" fontId="43" fillId="2" borderId="9" xfId="0" applyNumberFormat="1" applyFont="1" applyFill="1" applyBorder="1" applyProtection="1">
      <protection locked="0"/>
    </xf>
    <xf numFmtId="0" fontId="22" fillId="2" borderId="65" xfId="0" applyFont="1" applyFill="1" applyBorder="1" applyAlignment="1" applyProtection="1">
      <alignment horizontal="centerContinuous"/>
      <protection locked="0"/>
    </xf>
    <xf numFmtId="0" fontId="8" fillId="2" borderId="66" xfId="0" applyFont="1" applyFill="1" applyBorder="1" applyAlignment="1" applyProtection="1">
      <alignment horizontal="center"/>
      <protection locked="0"/>
    </xf>
    <xf numFmtId="17" fontId="8" fillId="5" borderId="48" xfId="0" applyNumberFormat="1" applyFont="1" applyFill="1" applyBorder="1" applyProtection="1"/>
    <xf numFmtId="0" fontId="22" fillId="0" borderId="25" xfId="0" applyFont="1" applyBorder="1" applyProtection="1">
      <protection locked="0"/>
    </xf>
    <xf numFmtId="0" fontId="8" fillId="2" borderId="57" xfId="0" applyFont="1" applyFill="1" applyBorder="1" applyAlignment="1" applyProtection="1">
      <alignment horizontal="center"/>
      <protection locked="0"/>
    </xf>
    <xf numFmtId="0" fontId="8" fillId="6" borderId="21" xfId="0" applyFont="1" applyFill="1" applyBorder="1" applyAlignment="1" applyProtection="1">
      <alignment horizontal="center"/>
      <protection locked="0"/>
    </xf>
    <xf numFmtId="165" fontId="24" fillId="6" borderId="49" xfId="0" quotePrefix="1" applyNumberFormat="1" applyFont="1" applyFill="1" applyBorder="1" applyProtection="1"/>
    <xf numFmtId="0" fontId="22" fillId="2" borderId="38" xfId="0" applyFont="1" applyFill="1" applyBorder="1" applyAlignment="1" applyProtection="1">
      <alignment horizontal="centerContinuous"/>
      <protection locked="0"/>
    </xf>
    <xf numFmtId="0" fontId="22" fillId="2" borderId="2" xfId="0" applyFont="1" applyFill="1" applyBorder="1" applyProtection="1">
      <protection locked="0"/>
    </xf>
    <xf numFmtId="0" fontId="8" fillId="2" borderId="67" xfId="0" applyFont="1" applyFill="1" applyBorder="1" applyAlignment="1" applyProtection="1">
      <alignment horizontal="center"/>
      <protection locked="0"/>
    </xf>
    <xf numFmtId="172" fontId="22" fillId="9" borderId="75" xfId="0" applyNumberFormat="1" applyFont="1" applyFill="1" applyBorder="1" applyAlignment="1" applyProtection="1">
      <alignment horizontal="right"/>
      <protection locked="0"/>
    </xf>
    <xf numFmtId="0" fontId="23" fillId="4" borderId="15" xfId="0" applyFont="1" applyFill="1" applyBorder="1" applyAlignment="1" applyProtection="1">
      <protection locked="0"/>
    </xf>
    <xf numFmtId="0" fontId="22" fillId="4" borderId="36" xfId="0" applyFont="1" applyFill="1" applyBorder="1" applyAlignment="1" applyProtection="1">
      <protection locked="0"/>
    </xf>
    <xf numFmtId="0" fontId="22" fillId="4" borderId="16" xfId="0" applyFont="1" applyFill="1" applyBorder="1" applyAlignment="1" applyProtection="1">
      <protection locked="0"/>
    </xf>
    <xf numFmtId="0" fontId="22" fillId="2" borderId="15" xfId="0" applyFont="1" applyFill="1" applyBorder="1" applyAlignment="1" applyProtection="1">
      <alignment horizontal="centerContinuous"/>
      <protection locked="0"/>
    </xf>
    <xf numFmtId="0" fontId="22" fillId="2" borderId="16" xfId="0" applyFont="1" applyFill="1" applyBorder="1" applyAlignment="1" applyProtection="1">
      <alignment horizontal="centerContinuous"/>
      <protection locked="0"/>
    </xf>
    <xf numFmtId="165" fontId="22" fillId="4" borderId="49" xfId="0" applyNumberFormat="1" applyFont="1" applyFill="1" applyBorder="1" applyAlignment="1" applyProtection="1">
      <protection locked="0"/>
    </xf>
    <xf numFmtId="0" fontId="22" fillId="2" borderId="17" xfId="0" applyFont="1" applyFill="1" applyBorder="1" applyAlignment="1" applyProtection="1">
      <alignment horizontal="center"/>
      <protection locked="0"/>
    </xf>
    <xf numFmtId="0" fontId="22" fillId="2" borderId="18" xfId="0" applyFont="1" applyFill="1" applyBorder="1" applyAlignment="1" applyProtection="1">
      <alignment horizontal="center"/>
      <protection locked="0"/>
    </xf>
    <xf numFmtId="165" fontId="22" fillId="0" borderId="4" xfId="0" applyNumberFormat="1" applyFont="1" applyFill="1" applyBorder="1" applyAlignment="1" applyProtection="1">
      <protection locked="0"/>
    </xf>
    <xf numFmtId="165" fontId="22" fillId="0" borderId="8" xfId="0" applyNumberFormat="1" applyFont="1" applyFill="1" applyBorder="1" applyAlignment="1" applyProtection="1">
      <protection locked="0"/>
    </xf>
    <xf numFmtId="0" fontId="22" fillId="4" borderId="2" xfId="0" applyFont="1" applyFill="1" applyBorder="1" applyAlignment="1" applyProtection="1">
      <protection locked="0"/>
    </xf>
    <xf numFmtId="0" fontId="22" fillId="4" borderId="13" xfId="0" applyFont="1" applyFill="1" applyBorder="1" applyAlignment="1" applyProtection="1">
      <protection locked="0"/>
    </xf>
    <xf numFmtId="0" fontId="22" fillId="4" borderId="14" xfId="0" applyFont="1" applyFill="1" applyBorder="1" applyAlignment="1" applyProtection="1">
      <protection locked="0"/>
    </xf>
    <xf numFmtId="0" fontId="22" fillId="4" borderId="27" xfId="0" applyFont="1" applyFill="1" applyBorder="1" applyAlignment="1" applyProtection="1">
      <protection locked="0"/>
    </xf>
    <xf numFmtId="0" fontId="46" fillId="2" borderId="17" xfId="0" applyFont="1" applyFill="1" applyBorder="1" applyAlignment="1" applyProtection="1">
      <alignment horizontal="center"/>
      <protection locked="0"/>
    </xf>
    <xf numFmtId="171" fontId="22" fillId="0" borderId="8" xfId="0" applyNumberFormat="1" applyFont="1" applyFill="1" applyBorder="1" applyAlignment="1" applyProtection="1">
      <protection locked="0"/>
    </xf>
    <xf numFmtId="165" fontId="47" fillId="2" borderId="43" xfId="0" applyNumberFormat="1" applyFont="1" applyFill="1" applyBorder="1" applyProtection="1">
      <protection locked="0"/>
    </xf>
    <xf numFmtId="0" fontId="13" fillId="0" borderId="26" xfId="0" applyFont="1" applyBorder="1"/>
    <xf numFmtId="0" fontId="13" fillId="0" borderId="7" xfId="0" applyFont="1" applyBorder="1"/>
    <xf numFmtId="165" fontId="13" fillId="0" borderId="7" xfId="0" applyNumberFormat="1" applyFont="1" applyBorder="1"/>
    <xf numFmtId="171" fontId="13" fillId="0" borderId="7" xfId="0" quotePrefix="1" applyNumberFormat="1" applyFont="1" applyBorder="1"/>
    <xf numFmtId="171" fontId="13" fillId="0" borderId="7" xfId="0" applyNumberFormat="1" applyFont="1" applyBorder="1" applyAlignment="1">
      <alignment horizontal="right"/>
    </xf>
    <xf numFmtId="0" fontId="13" fillId="0" borderId="32" xfId="0" applyFont="1" applyBorder="1" applyAlignment="1">
      <alignment horizontal="centerContinuous"/>
    </xf>
    <xf numFmtId="0" fontId="13" fillId="0" borderId="59" xfId="0" applyFont="1" applyBorder="1" applyAlignment="1">
      <alignment horizontal="centerContinuous"/>
    </xf>
    <xf numFmtId="0" fontId="13" fillId="0" borderId="33" xfId="0" applyFont="1" applyBorder="1" applyAlignment="1">
      <alignment horizontal="centerContinuous"/>
    </xf>
    <xf numFmtId="0" fontId="13" fillId="0" borderId="34" xfId="0" applyFont="1" applyBorder="1" applyAlignment="1">
      <alignment horizontal="centerContinuous"/>
    </xf>
    <xf numFmtId="0" fontId="13" fillId="0" borderId="1" xfId="0" applyFont="1" applyBorder="1"/>
    <xf numFmtId="0" fontId="13" fillId="0" borderId="2" xfId="0" applyFont="1" applyBorder="1" applyAlignment="1">
      <alignment horizontal="centerContinuous"/>
    </xf>
    <xf numFmtId="0" fontId="13" fillId="0" borderId="1" xfId="0" applyFont="1" applyBorder="1" applyAlignment="1">
      <alignment horizontal="centerContinuous"/>
    </xf>
    <xf numFmtId="0" fontId="13" fillId="0" borderId="13" xfId="0" applyFont="1" applyBorder="1" applyAlignment="1">
      <alignment horizontal="centerContinuous"/>
    </xf>
    <xf numFmtId="0" fontId="13" fillId="0" borderId="69" xfId="0" applyFont="1" applyBorder="1" applyAlignment="1">
      <alignment horizontal="centerContinuous"/>
    </xf>
    <xf numFmtId="0" fontId="13" fillId="0" borderId="74" xfId="0" applyFont="1" applyBorder="1" applyAlignment="1">
      <alignment horizontal="centerContinuous"/>
    </xf>
    <xf numFmtId="0" fontId="13" fillId="0" borderId="4" xfId="0" applyFont="1" applyBorder="1" applyAlignment="1">
      <alignment horizontal="centerContinuous"/>
    </xf>
    <xf numFmtId="0" fontId="13" fillId="0" borderId="8" xfId="0" applyFont="1" applyBorder="1" applyAlignment="1">
      <alignment horizontal="centerContinuous"/>
    </xf>
    <xf numFmtId="0" fontId="13" fillId="0" borderId="42" xfId="0" applyFont="1" applyBorder="1" applyAlignment="1">
      <alignment horizontal="centerContinuous"/>
    </xf>
    <xf numFmtId="0" fontId="13" fillId="0" borderId="55" xfId="0" applyFont="1" applyBorder="1" applyAlignment="1">
      <alignment horizontal="centerContinuous"/>
    </xf>
    <xf numFmtId="0" fontId="13" fillId="0" borderId="46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2" borderId="19" xfId="0" applyFont="1" applyFill="1" applyBorder="1"/>
    <xf numFmtId="0" fontId="13" fillId="2" borderId="17" xfId="0" applyFont="1" applyFill="1" applyBorder="1"/>
    <xf numFmtId="0" fontId="13" fillId="0" borderId="17" xfId="0" applyFont="1" applyBorder="1"/>
    <xf numFmtId="165" fontId="13" fillId="0" borderId="17" xfId="0" applyNumberFormat="1" applyFont="1" applyBorder="1"/>
    <xf numFmtId="171" fontId="13" fillId="0" borderId="17" xfId="0" quotePrefix="1" applyNumberFormat="1" applyFont="1" applyBorder="1"/>
    <xf numFmtId="171" fontId="13" fillId="0" borderId="18" xfId="0" applyNumberFormat="1" applyFont="1" applyBorder="1"/>
    <xf numFmtId="171" fontId="13" fillId="0" borderId="3" xfId="0" applyNumberFormat="1" applyFont="1" applyBorder="1" applyAlignment="1">
      <alignment horizontal="right"/>
    </xf>
    <xf numFmtId="171" fontId="13" fillId="0" borderId="20" xfId="0" applyNumberFormat="1" applyFont="1" applyBorder="1"/>
    <xf numFmtId="171" fontId="22" fillId="2" borderId="8" xfId="0" applyNumberFormat="1" applyFont="1" applyFill="1" applyBorder="1" applyAlignment="1" applyProtection="1">
      <protection locked="0"/>
    </xf>
    <xf numFmtId="0" fontId="13" fillId="0" borderId="71" xfId="0" applyFont="1" applyBorder="1"/>
    <xf numFmtId="1" fontId="13" fillId="0" borderId="7" xfId="0" applyNumberFormat="1" applyFont="1" applyBorder="1"/>
    <xf numFmtId="165" fontId="22" fillId="2" borderId="8" xfId="0" applyNumberFormat="1" applyFont="1" applyFill="1" applyBorder="1" applyAlignment="1" applyProtection="1">
      <protection locked="0"/>
    </xf>
    <xf numFmtId="2" fontId="22" fillId="3" borderId="0" xfId="0" quotePrefix="1" applyNumberFormat="1" applyFont="1" applyFill="1" applyProtection="1">
      <protection locked="0"/>
    </xf>
    <xf numFmtId="165" fontId="22" fillId="2" borderId="9" xfId="0" applyNumberFormat="1" applyFont="1" applyFill="1" applyBorder="1" applyAlignment="1" applyProtection="1">
      <protection locked="0"/>
    </xf>
    <xf numFmtId="165" fontId="21" fillId="6" borderId="72" xfId="0" quotePrefix="1" applyNumberFormat="1" applyFont="1" applyFill="1" applyBorder="1"/>
    <xf numFmtId="165" fontId="21" fillId="6" borderId="1" xfId="0" quotePrefix="1" applyNumberFormat="1" applyFont="1" applyFill="1" applyBorder="1"/>
    <xf numFmtId="165" fontId="21" fillId="6" borderId="22" xfId="0" quotePrefix="1" applyNumberFormat="1" applyFont="1" applyFill="1" applyBorder="1"/>
    <xf numFmtId="0" fontId="22" fillId="0" borderId="7" xfId="0" applyFont="1" applyBorder="1" applyAlignment="1" applyProtection="1">
      <alignment horizontal="right"/>
      <protection locked="0"/>
    </xf>
    <xf numFmtId="0" fontId="21" fillId="0" borderId="3" xfId="0" applyFont="1" applyBorder="1" applyProtection="1">
      <protection locked="0"/>
    </xf>
    <xf numFmtId="0" fontId="22" fillId="0" borderId="3" xfId="0" applyFont="1" applyBorder="1" applyAlignment="1" applyProtection="1">
      <alignment horizontal="centerContinuous"/>
      <protection locked="0"/>
    </xf>
    <xf numFmtId="0" fontId="22" fillId="0" borderId="4" xfId="0" applyFont="1" applyBorder="1" applyAlignment="1" applyProtection="1">
      <alignment horizontal="centerContinuous"/>
      <protection locked="0"/>
    </xf>
    <xf numFmtId="2" fontId="21" fillId="0" borderId="7" xfId="0" applyNumberFormat="1" applyFont="1" applyBorder="1" applyAlignment="1" applyProtection="1">
      <alignment horizontal="right"/>
      <protection locked="0"/>
    </xf>
    <xf numFmtId="2" fontId="21" fillId="0" borderId="7" xfId="0" applyNumberFormat="1" applyFont="1" applyBorder="1" applyProtection="1">
      <protection locked="0"/>
    </xf>
    <xf numFmtId="0" fontId="22" fillId="0" borderId="33" xfId="0" applyFont="1" applyBorder="1" applyProtection="1">
      <protection locked="0"/>
    </xf>
    <xf numFmtId="0" fontId="22" fillId="0" borderId="58" xfId="0" applyFont="1" applyBorder="1" applyAlignment="1" applyProtection="1">
      <alignment horizontal="center"/>
      <protection locked="0"/>
    </xf>
    <xf numFmtId="0" fontId="22" fillId="0" borderId="66" xfId="0" applyFont="1" applyBorder="1" applyAlignment="1" applyProtection="1">
      <alignment horizontal="center"/>
      <protection locked="0"/>
    </xf>
    <xf numFmtId="0" fontId="21" fillId="0" borderId="74" xfId="0" quotePrefix="1" applyFont="1" applyBorder="1" applyProtection="1">
      <protection locked="0"/>
    </xf>
    <xf numFmtId="2" fontId="21" fillId="0" borderId="8" xfId="0" applyNumberFormat="1" applyFont="1" applyBorder="1" applyProtection="1">
      <protection locked="0"/>
    </xf>
    <xf numFmtId="0" fontId="21" fillId="0" borderId="76" xfId="0" quotePrefix="1" applyFont="1" applyBorder="1" applyProtection="1">
      <protection locked="0"/>
    </xf>
    <xf numFmtId="3" fontId="21" fillId="6" borderId="10" xfId="0" applyNumberFormat="1" applyFont="1" applyFill="1" applyBorder="1"/>
    <xf numFmtId="3" fontId="21" fillId="6" borderId="0" xfId="0" applyNumberFormat="1" applyFont="1" applyFill="1" applyBorder="1"/>
    <xf numFmtId="1" fontId="21" fillId="6" borderId="22" xfId="0" applyNumberFormat="1" applyFont="1" applyFill="1" applyBorder="1" applyProtection="1"/>
    <xf numFmtId="1" fontId="21" fillId="6" borderId="1" xfId="0" applyNumberFormat="1" applyFont="1" applyFill="1" applyBorder="1" applyProtection="1"/>
    <xf numFmtId="0" fontId="21" fillId="0" borderId="24" xfId="0" applyFont="1" applyBorder="1" applyAlignment="1" applyProtection="1">
      <alignment horizontal="centerContinuous"/>
      <protection locked="0"/>
    </xf>
    <xf numFmtId="0" fontId="21" fillId="0" borderId="40" xfId="0" applyFont="1" applyBorder="1" applyAlignment="1" applyProtection="1">
      <alignment horizontal="centerContinuous"/>
      <protection locked="0"/>
    </xf>
    <xf numFmtId="0" fontId="21" fillId="0" borderId="32" xfId="0" applyFont="1" applyBorder="1" applyAlignment="1" applyProtection="1">
      <alignment horizontal="centerContinuous"/>
      <protection locked="0"/>
    </xf>
    <xf numFmtId="17" fontId="21" fillId="0" borderId="20" xfId="0" applyNumberFormat="1" applyFont="1" applyBorder="1" applyProtection="1">
      <protection locked="0"/>
    </xf>
    <xf numFmtId="2" fontId="21" fillId="0" borderId="20" xfId="0" applyNumberFormat="1" applyFont="1" applyBorder="1" applyProtection="1">
      <protection locked="0"/>
    </xf>
    <xf numFmtId="1" fontId="21" fillId="0" borderId="20" xfId="0" applyNumberFormat="1" applyFont="1" applyBorder="1" applyProtection="1">
      <protection locked="0"/>
    </xf>
    <xf numFmtId="171" fontId="21" fillId="0" borderId="20" xfId="0" applyNumberFormat="1" applyFont="1" applyBorder="1" applyProtection="1">
      <protection locked="0"/>
    </xf>
    <xf numFmtId="10" fontId="21" fillId="0" borderId="20" xfId="0" applyNumberFormat="1" applyFont="1" applyBorder="1" applyProtection="1">
      <protection locked="0"/>
    </xf>
    <xf numFmtId="0" fontId="21" fillId="0" borderId="10" xfId="0" applyFont="1" applyBorder="1" applyProtection="1">
      <protection locked="0"/>
    </xf>
    <xf numFmtId="0" fontId="21" fillId="0" borderId="0" xfId="0" applyFont="1" applyBorder="1" applyProtection="1">
      <protection locked="0"/>
    </xf>
    <xf numFmtId="0" fontId="21" fillId="0" borderId="7" xfId="0" applyFont="1" applyBorder="1" applyProtection="1">
      <protection locked="0"/>
    </xf>
    <xf numFmtId="0" fontId="21" fillId="0" borderId="20" xfId="0" applyFont="1" applyBorder="1" applyProtection="1">
      <protection locked="0"/>
    </xf>
    <xf numFmtId="171" fontId="21" fillId="0" borderId="7" xfId="0" applyNumberFormat="1" applyFont="1" applyBorder="1" applyProtection="1">
      <protection locked="0"/>
    </xf>
    <xf numFmtId="0" fontId="21" fillId="0" borderId="41" xfId="0" applyFont="1" applyBorder="1" applyAlignment="1" applyProtection="1">
      <alignment horizontal="centerContinuous"/>
      <protection locked="0"/>
    </xf>
    <xf numFmtId="0" fontId="21" fillId="0" borderId="46" xfId="0" applyFont="1" applyBorder="1" applyAlignment="1" applyProtection="1">
      <alignment horizontal="centerContinuous"/>
      <protection locked="0"/>
    </xf>
    <xf numFmtId="171" fontId="21" fillId="0" borderId="8" xfId="0" applyNumberFormat="1" applyFont="1" applyBorder="1" applyProtection="1">
      <protection locked="0"/>
    </xf>
    <xf numFmtId="171" fontId="21" fillId="0" borderId="9" xfId="0" applyNumberFormat="1" applyFont="1" applyBorder="1" applyProtection="1">
      <protection locked="0"/>
    </xf>
    <xf numFmtId="0" fontId="1" fillId="0" borderId="27" xfId="0" applyFont="1" applyBorder="1" applyAlignment="1">
      <alignment horizontal="center"/>
    </xf>
    <xf numFmtId="0" fontId="13" fillId="0" borderId="44" xfId="0" applyFont="1" applyBorder="1" applyAlignment="1">
      <alignment horizontal="centerContinuous"/>
    </xf>
    <xf numFmtId="0" fontId="13" fillId="0" borderId="28" xfId="0" applyFont="1" applyBorder="1" applyAlignment="1">
      <alignment horizontal="centerContinuous"/>
    </xf>
    <xf numFmtId="0" fontId="13" fillId="0" borderId="29" xfId="0" applyFont="1" applyBorder="1" applyAlignment="1">
      <alignment horizontal="centerContinuous"/>
    </xf>
    <xf numFmtId="0" fontId="13" fillId="0" borderId="10" xfId="0" applyFont="1" applyBorder="1" applyAlignment="1">
      <alignment horizontal="centerContinuous"/>
    </xf>
    <xf numFmtId="0" fontId="13" fillId="0" borderId="12" xfId="0" applyFont="1" applyBorder="1" applyAlignment="1">
      <alignment horizontal="centerContinuous"/>
    </xf>
    <xf numFmtId="0" fontId="13" fillId="0" borderId="11" xfId="0" applyFont="1" applyBorder="1" applyAlignment="1">
      <alignment horizontal="centerContinuous"/>
    </xf>
    <xf numFmtId="0" fontId="13" fillId="0" borderId="5" xfId="0" applyFont="1" applyBorder="1" applyAlignment="1">
      <alignment horizontal="center"/>
    </xf>
    <xf numFmtId="0" fontId="13" fillId="0" borderId="34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51" xfId="0" applyFont="1" applyBorder="1" applyAlignment="1">
      <alignment horizontal="center"/>
    </xf>
    <xf numFmtId="0" fontId="13" fillId="0" borderId="35" xfId="0" applyFont="1" applyBorder="1" applyAlignment="1">
      <alignment horizontal="center"/>
    </xf>
    <xf numFmtId="0" fontId="13" fillId="0" borderId="65" xfId="0" applyFont="1" applyBorder="1" applyAlignment="1">
      <alignment horizontal="center"/>
    </xf>
    <xf numFmtId="0" fontId="13" fillId="0" borderId="66" xfId="0" applyFont="1" applyBorder="1" applyAlignment="1">
      <alignment horizontal="center"/>
    </xf>
    <xf numFmtId="0" fontId="13" fillId="0" borderId="50" xfId="0" applyFont="1" applyBorder="1" applyAlignment="1">
      <alignment horizontal="center"/>
    </xf>
    <xf numFmtId="17" fontId="13" fillId="2" borderId="3" xfId="0" applyNumberFormat="1" applyFont="1" applyFill="1" applyBorder="1"/>
    <xf numFmtId="165" fontId="13" fillId="0" borderId="20" xfId="0" applyNumberFormat="1" applyFont="1" applyBorder="1"/>
    <xf numFmtId="17" fontId="13" fillId="0" borderId="32" xfId="0" applyNumberFormat="1" applyFont="1" applyBorder="1"/>
    <xf numFmtId="17" fontId="13" fillId="0" borderId="3" xfId="0" applyNumberFormat="1" applyFont="1" applyBorder="1"/>
    <xf numFmtId="165" fontId="13" fillId="0" borderId="33" xfId="0" applyNumberFormat="1" applyFont="1" applyBorder="1"/>
    <xf numFmtId="171" fontId="13" fillId="0" borderId="7" xfId="0" applyNumberFormat="1" applyFont="1" applyBorder="1"/>
    <xf numFmtId="0" fontId="13" fillId="0" borderId="51" xfId="0" applyFont="1" applyBorder="1"/>
    <xf numFmtId="1" fontId="13" fillId="0" borderId="59" xfId="0" applyNumberFormat="1" applyFont="1" applyBorder="1"/>
    <xf numFmtId="1" fontId="13" fillId="0" borderId="50" xfId="0" applyNumberFormat="1" applyFont="1" applyBorder="1"/>
    <xf numFmtId="1" fontId="13" fillId="0" borderId="30" xfId="0" applyNumberFormat="1" applyFont="1" applyBorder="1"/>
    <xf numFmtId="165" fontId="13" fillId="0" borderId="62" xfId="0" applyNumberFormat="1" applyFont="1" applyBorder="1"/>
    <xf numFmtId="1" fontId="13" fillId="0" borderId="39" xfId="0" applyNumberFormat="1" applyFont="1" applyBorder="1"/>
    <xf numFmtId="165" fontId="13" fillId="0" borderId="28" xfId="0" applyNumberFormat="1" applyFont="1" applyBorder="1"/>
    <xf numFmtId="165" fontId="13" fillId="0" borderId="38" xfId="0" applyNumberFormat="1" applyFont="1" applyBorder="1"/>
    <xf numFmtId="165" fontId="13" fillId="0" borderId="62" xfId="0" quotePrefix="1" applyNumberFormat="1" applyFont="1" applyBorder="1"/>
    <xf numFmtId="165" fontId="13" fillId="0" borderId="28" xfId="0" quotePrefix="1" applyNumberFormat="1" applyFont="1" applyBorder="1"/>
    <xf numFmtId="165" fontId="13" fillId="0" borderId="38" xfId="0" quotePrefix="1" applyNumberFormat="1" applyFont="1" applyBorder="1"/>
    <xf numFmtId="171" fontId="22" fillId="0" borderId="0" xfId="0" applyNumberFormat="1" applyFont="1" applyProtection="1">
      <protection locked="0"/>
    </xf>
    <xf numFmtId="0" fontId="30" fillId="0" borderId="67" xfId="0" applyFont="1" applyBorder="1" applyAlignment="1">
      <alignment horizontal="right"/>
    </xf>
    <xf numFmtId="0" fontId="30" fillId="0" borderId="68" xfId="0" applyFont="1" applyBorder="1" applyAlignment="1">
      <alignment horizontal="right"/>
    </xf>
    <xf numFmtId="0" fontId="0" fillId="0" borderId="35" xfId="0" applyBorder="1" applyAlignment="1">
      <alignment horizontal="center"/>
    </xf>
    <xf numFmtId="17" fontId="0" fillId="0" borderId="65" xfId="0" applyNumberFormat="1" applyBorder="1"/>
    <xf numFmtId="165" fontId="0" fillId="0" borderId="65" xfId="0" applyNumberFormat="1" applyBorder="1" applyAlignment="1">
      <alignment horizontal="center"/>
    </xf>
    <xf numFmtId="0" fontId="0" fillId="0" borderId="66" xfId="0" applyBorder="1" applyAlignment="1">
      <alignment horizontal="right"/>
    </xf>
    <xf numFmtId="0" fontId="22" fillId="0" borderId="15" xfId="0" applyFont="1" applyBorder="1" applyAlignment="1" applyProtection="1">
      <alignment horizontal="centerContinuous"/>
      <protection locked="0"/>
    </xf>
    <xf numFmtId="0" fontId="22" fillId="0" borderId="36" xfId="0" applyFont="1" applyBorder="1" applyAlignment="1" applyProtection="1">
      <alignment horizontal="centerContinuous"/>
      <protection locked="0"/>
    </xf>
    <xf numFmtId="0" fontId="22" fillId="0" borderId="16" xfId="0" applyFont="1" applyBorder="1" applyAlignment="1" applyProtection="1">
      <alignment horizontal="centerContinuous"/>
      <protection locked="0"/>
    </xf>
    <xf numFmtId="0" fontId="30" fillId="0" borderId="2" xfId="0" applyFont="1" applyBorder="1" applyAlignment="1">
      <alignment horizontal="centerContinuous"/>
    </xf>
    <xf numFmtId="0" fontId="30" fillId="0" borderId="13" xfId="0" applyFont="1" applyBorder="1" applyAlignment="1">
      <alignment horizontal="centerContinuous"/>
    </xf>
    <xf numFmtId="0" fontId="30" fillId="0" borderId="3" xfId="0" applyFont="1" applyBorder="1" applyAlignment="1">
      <alignment horizontal="center"/>
    </xf>
    <xf numFmtId="0" fontId="30" fillId="0" borderId="20" xfId="0" applyFont="1" applyBorder="1" applyAlignment="1">
      <alignment horizontal="center"/>
    </xf>
    <xf numFmtId="172" fontId="30" fillId="0" borderId="5" xfId="0" applyNumberFormat="1" applyFont="1" applyBorder="1" applyAlignment="1"/>
    <xf numFmtId="172" fontId="30" fillId="0" borderId="6" xfId="0" applyNumberFormat="1" applyFont="1" applyBorder="1" applyAlignment="1"/>
    <xf numFmtId="172" fontId="30" fillId="0" borderId="37" xfId="0" applyNumberFormat="1" applyFont="1" applyBorder="1" applyAlignment="1"/>
    <xf numFmtId="172" fontId="30" fillId="0" borderId="52" xfId="0" applyNumberFormat="1" applyFont="1" applyBorder="1" applyAlignment="1"/>
    <xf numFmtId="172" fontId="30" fillId="0" borderId="57" xfId="0" applyNumberFormat="1" applyFont="1" applyBorder="1" applyAlignment="1"/>
    <xf numFmtId="172" fontId="30" fillId="0" borderId="31" xfId="0" applyNumberFormat="1" applyFont="1" applyBorder="1" applyAlignment="1"/>
    <xf numFmtId="0" fontId="5" fillId="2" borderId="64" xfId="0" applyFont="1" applyFill="1" applyBorder="1" applyAlignment="1" applyProtection="1">
      <alignment horizontal="center"/>
      <protection locked="0"/>
    </xf>
    <xf numFmtId="165" fontId="29" fillId="2" borderId="64" xfId="0" applyNumberFormat="1" applyFont="1" applyFill="1" applyBorder="1" applyProtection="1"/>
    <xf numFmtId="165" fontId="29" fillId="9" borderId="33" xfId="0" applyNumberFormat="1" applyFont="1" applyFill="1" applyBorder="1" applyProtection="1"/>
    <xf numFmtId="165" fontId="29" fillId="2" borderId="42" xfId="0" applyNumberFormat="1" applyFont="1" applyFill="1" applyBorder="1" applyProtection="1"/>
    <xf numFmtId="165" fontId="29" fillId="2" borderId="33" xfId="0" applyNumberFormat="1" applyFont="1" applyFill="1" applyBorder="1" applyProtection="1"/>
    <xf numFmtId="0" fontId="5" fillId="2" borderId="53" xfId="0" applyFont="1" applyFill="1" applyBorder="1" applyAlignment="1" applyProtection="1">
      <alignment horizontal="center"/>
      <protection locked="0"/>
    </xf>
    <xf numFmtId="165" fontId="29" fillId="2" borderId="43" xfId="0" applyNumberFormat="1" applyFont="1" applyFill="1" applyBorder="1" applyProtection="1"/>
    <xf numFmtId="165" fontId="29" fillId="2" borderId="77" xfId="0" applyNumberFormat="1" applyFont="1" applyFill="1" applyBorder="1" applyProtection="1"/>
    <xf numFmtId="0" fontId="8" fillId="2" borderId="53" xfId="0" applyFont="1" applyFill="1" applyBorder="1" applyAlignment="1" applyProtection="1">
      <alignment horizontal="centerContinuous"/>
      <protection locked="0"/>
    </xf>
    <xf numFmtId="0" fontId="8" fillId="2" borderId="43" xfId="0" applyFont="1" applyFill="1" applyBorder="1" applyAlignment="1" applyProtection="1">
      <alignment horizontal="centerContinuous"/>
      <protection locked="0"/>
    </xf>
    <xf numFmtId="0" fontId="8" fillId="2" borderId="54" xfId="0" applyFont="1" applyFill="1" applyBorder="1" applyAlignment="1" applyProtection="1">
      <alignment horizontal="centerContinuous"/>
      <protection locked="0"/>
    </xf>
    <xf numFmtId="165" fontId="23" fillId="2" borderId="63" xfId="0" applyNumberFormat="1" applyFont="1" applyFill="1" applyBorder="1" applyAlignment="1" applyProtection="1">
      <alignment horizontal="center"/>
    </xf>
    <xf numFmtId="165" fontId="48" fillId="0" borderId="54" xfId="0" applyNumberFormat="1" applyFont="1" applyFill="1" applyBorder="1" applyProtection="1"/>
    <xf numFmtId="0" fontId="21" fillId="0" borderId="34" xfId="0" applyFont="1" applyFill="1" applyBorder="1" applyAlignment="1" applyProtection="1">
      <alignment horizontal="center"/>
      <protection locked="0"/>
    </xf>
    <xf numFmtId="0" fontId="21" fillId="0" borderId="60" xfId="0" applyFont="1" applyFill="1" applyBorder="1" applyAlignment="1" applyProtection="1">
      <alignment horizontal="center"/>
      <protection locked="0"/>
    </xf>
    <xf numFmtId="0" fontId="21" fillId="0" borderId="51" xfId="0" applyFont="1" applyFill="1" applyBorder="1" applyAlignment="1" applyProtection="1">
      <alignment horizontal="centerContinuous"/>
      <protection locked="0"/>
    </xf>
    <xf numFmtId="0" fontId="21" fillId="0" borderId="50" xfId="0" applyFont="1" applyFill="1" applyBorder="1" applyAlignment="1" applyProtection="1">
      <alignment horizontal="centerContinuous"/>
      <protection locked="0"/>
    </xf>
    <xf numFmtId="0" fontId="21" fillId="0" borderId="39" xfId="0" applyFont="1" applyFill="1" applyBorder="1" applyAlignment="1" applyProtection="1">
      <alignment horizontal="centerContinuous"/>
      <protection locked="0"/>
    </xf>
    <xf numFmtId="0" fontId="21" fillId="0" borderId="38" xfId="0" applyFont="1" applyFill="1" applyBorder="1" applyAlignment="1" applyProtection="1">
      <alignment horizontal="centerContinuous"/>
      <protection locked="0"/>
    </xf>
    <xf numFmtId="0" fontId="21" fillId="0" borderId="34" xfId="0" applyFont="1" applyFill="1" applyBorder="1" applyAlignment="1" applyProtection="1">
      <alignment horizontal="centerContinuous"/>
      <protection locked="0"/>
    </xf>
    <xf numFmtId="0" fontId="21" fillId="0" borderId="60" xfId="0" applyFont="1" applyFill="1" applyBorder="1" applyAlignment="1" applyProtection="1">
      <alignment horizontal="centerContinuous"/>
      <protection locked="0"/>
    </xf>
    <xf numFmtId="0" fontId="22" fillId="0" borderId="51" xfId="0" applyFont="1" applyBorder="1" applyAlignment="1" applyProtection="1">
      <alignment horizontal="centerContinuous"/>
      <protection locked="0"/>
    </xf>
    <xf numFmtId="0" fontId="22" fillId="0" borderId="59" xfId="0" applyFont="1" applyBorder="1" applyAlignment="1" applyProtection="1">
      <alignment horizontal="centerContinuous"/>
      <protection locked="0"/>
    </xf>
    <xf numFmtId="0" fontId="22" fillId="0" borderId="50" xfId="0" applyFont="1" applyBorder="1" applyAlignment="1" applyProtection="1">
      <alignment horizontal="centerContinuous"/>
      <protection locked="0"/>
    </xf>
    <xf numFmtId="0" fontId="21" fillId="0" borderId="30" xfId="0" applyFont="1" applyFill="1" applyBorder="1" applyAlignment="1" applyProtection="1">
      <alignment horizontal="center"/>
      <protection locked="0"/>
    </xf>
    <xf numFmtId="0" fontId="21" fillId="0" borderId="0" xfId="0" applyFont="1" applyFill="1" applyBorder="1" applyAlignment="1" applyProtection="1">
      <alignment horizontal="center"/>
      <protection locked="0"/>
    </xf>
    <xf numFmtId="0" fontId="21" fillId="0" borderId="62" xfId="0" applyFont="1" applyFill="1" applyBorder="1" applyAlignment="1" applyProtection="1">
      <alignment horizontal="center"/>
      <protection locked="0"/>
    </xf>
    <xf numFmtId="0" fontId="22" fillId="0" borderId="2" xfId="0" applyFont="1" applyFill="1" applyBorder="1" applyAlignment="1" applyProtection="1">
      <alignment horizontal="centerContinuous"/>
      <protection locked="0"/>
    </xf>
    <xf numFmtId="0" fontId="22" fillId="0" borderId="1" xfId="0" applyFont="1" applyFill="1" applyBorder="1" applyAlignment="1" applyProtection="1">
      <alignment horizontal="centerContinuous"/>
      <protection locked="0"/>
    </xf>
    <xf numFmtId="0" fontId="22" fillId="0" borderId="13" xfId="0" applyFont="1" applyFill="1" applyBorder="1" applyAlignment="1" applyProtection="1">
      <alignment horizontal="centerContinuous"/>
      <protection locked="0"/>
    </xf>
    <xf numFmtId="0" fontId="21" fillId="0" borderId="5" xfId="0" applyFont="1" applyFill="1" applyBorder="1" applyAlignment="1" applyProtection="1">
      <alignment horizontal="center"/>
      <protection locked="0"/>
    </xf>
    <xf numFmtId="0" fontId="21" fillId="0" borderId="37" xfId="0" applyFont="1" applyFill="1" applyBorder="1" applyAlignment="1" applyProtection="1">
      <alignment horizontal="center"/>
      <protection locked="0"/>
    </xf>
    <xf numFmtId="165" fontId="21" fillId="0" borderId="57" xfId="0" applyNumberFormat="1" applyFont="1" applyFill="1" applyBorder="1" applyProtection="1">
      <protection locked="0"/>
    </xf>
    <xf numFmtId="165" fontId="21" fillId="0" borderId="55" xfId="0" applyNumberFormat="1" applyFont="1" applyFill="1" applyBorder="1" applyAlignment="1" applyProtection="1">
      <alignment horizontal="centerContinuous"/>
      <protection locked="0"/>
    </xf>
    <xf numFmtId="165" fontId="21" fillId="0" borderId="8" xfId="0" applyNumberFormat="1" applyFont="1" applyFill="1" applyBorder="1" applyAlignment="1" applyProtection="1">
      <alignment horizontal="center"/>
      <protection locked="0"/>
    </xf>
    <xf numFmtId="165" fontId="21" fillId="0" borderId="55" xfId="0" applyNumberFormat="1" applyFont="1" applyFill="1" applyBorder="1" applyAlignment="1" applyProtection="1">
      <alignment horizontal="center"/>
      <protection locked="0"/>
    </xf>
    <xf numFmtId="0" fontId="21" fillId="0" borderId="8" xfId="0" applyFont="1" applyFill="1" applyBorder="1" applyAlignment="1" applyProtection="1">
      <alignment horizontal="center"/>
      <protection locked="0"/>
    </xf>
    <xf numFmtId="0" fontId="21" fillId="0" borderId="46" xfId="0" applyFont="1" applyFill="1" applyBorder="1" applyAlignment="1" applyProtection="1">
      <alignment horizontal="center"/>
      <protection locked="0"/>
    </xf>
    <xf numFmtId="0" fontId="21" fillId="0" borderId="9" xfId="0" applyFont="1" applyFill="1" applyBorder="1" applyAlignment="1" applyProtection="1">
      <alignment horizontal="center"/>
      <protection locked="0"/>
    </xf>
    <xf numFmtId="0" fontId="21" fillId="0" borderId="39" xfId="0" applyFont="1" applyFill="1" applyBorder="1" applyAlignment="1" applyProtection="1">
      <alignment horizontal="center"/>
      <protection locked="0"/>
    </xf>
    <xf numFmtId="0" fontId="21" fillId="0" borderId="28" xfId="0" applyFont="1" applyFill="1" applyBorder="1" applyAlignment="1" applyProtection="1">
      <alignment horizontal="center"/>
      <protection locked="0"/>
    </xf>
    <xf numFmtId="0" fontId="22" fillId="0" borderId="70" xfId="0" applyFont="1" applyBorder="1" applyAlignment="1" applyProtection="1">
      <alignment horizontal="centerContinuous"/>
      <protection locked="0"/>
    </xf>
    <xf numFmtId="0" fontId="21" fillId="0" borderId="29" xfId="0" applyFont="1" applyFill="1" applyBorder="1" applyAlignment="1" applyProtection="1">
      <alignment horizontal="center"/>
      <protection locked="0"/>
    </xf>
    <xf numFmtId="17" fontId="22" fillId="2" borderId="63" xfId="0" applyNumberFormat="1" applyFont="1" applyFill="1" applyBorder="1" applyProtection="1">
      <protection locked="0"/>
    </xf>
    <xf numFmtId="17" fontId="22" fillId="2" borderId="75" xfId="0" applyNumberFormat="1" applyFont="1" applyFill="1" applyBorder="1" applyProtection="1">
      <protection locked="0"/>
    </xf>
    <xf numFmtId="2" fontId="22" fillId="2" borderId="42" xfId="0" quotePrefix="1" applyNumberFormat="1" applyFont="1" applyFill="1" applyBorder="1"/>
    <xf numFmtId="0" fontId="22" fillId="0" borderId="8" xfId="0" applyFont="1" applyBorder="1" applyAlignment="1" applyProtection="1">
      <alignment horizontal="center"/>
      <protection locked="0"/>
    </xf>
    <xf numFmtId="2" fontId="22" fillId="2" borderId="9" xfId="0" quotePrefix="1" applyNumberFormat="1" applyFont="1" applyFill="1" applyBorder="1"/>
    <xf numFmtId="171" fontId="24" fillId="2" borderId="42" xfId="0" applyNumberFormat="1" applyFont="1" applyFill="1" applyBorder="1" applyProtection="1"/>
    <xf numFmtId="171" fontId="24" fillId="0" borderId="8" xfId="0" applyNumberFormat="1" applyFont="1" applyBorder="1" applyAlignment="1" applyProtection="1">
      <alignment horizontal="right"/>
      <protection locked="0"/>
    </xf>
    <xf numFmtId="1" fontId="22" fillId="0" borderId="75" xfId="0" applyNumberFormat="1" applyFont="1" applyFill="1" applyBorder="1" applyAlignment="1" applyProtection="1">
      <alignment horizontal="right"/>
      <protection locked="0"/>
    </xf>
    <xf numFmtId="165" fontId="21" fillId="0" borderId="57" xfId="0" quotePrefix="1" applyNumberFormat="1" applyFont="1" applyBorder="1"/>
    <xf numFmtId="165" fontId="21" fillId="0" borderId="26" xfId="0" quotePrefix="1" applyNumberFormat="1" applyFont="1" applyBorder="1"/>
    <xf numFmtId="165" fontId="21" fillId="0" borderId="56" xfId="0" quotePrefix="1" applyNumberFormat="1" applyFont="1" applyBorder="1"/>
    <xf numFmtId="165" fontId="21" fillId="0" borderId="55" xfId="0" quotePrefix="1" applyNumberFormat="1" applyFont="1" applyFill="1" applyBorder="1" applyAlignment="1">
      <alignment horizontal="right"/>
    </xf>
    <xf numFmtId="165" fontId="21" fillId="0" borderId="27" xfId="0" quotePrefix="1" applyNumberFormat="1" applyFont="1" applyFill="1" applyBorder="1" applyAlignment="1">
      <alignment horizontal="right"/>
    </xf>
    <xf numFmtId="169" fontId="39" fillId="0" borderId="26" xfId="0" applyNumberFormat="1" applyFont="1" applyBorder="1" applyProtection="1">
      <protection locked="0"/>
    </xf>
    <xf numFmtId="17" fontId="32" fillId="0" borderId="14" xfId="0" applyNumberFormat="1" applyFont="1" applyBorder="1" applyAlignment="1">
      <alignment horizontal="center"/>
    </xf>
    <xf numFmtId="17" fontId="32" fillId="0" borderId="26" xfId="0" applyNumberFormat="1" applyFont="1" applyBorder="1" applyAlignment="1">
      <alignment horizontal="center"/>
    </xf>
    <xf numFmtId="1" fontId="21" fillId="0" borderId="14" xfId="0" applyNumberFormat="1" applyFont="1" applyBorder="1" applyProtection="1">
      <protection locked="0"/>
    </xf>
    <xf numFmtId="1" fontId="21" fillId="0" borderId="26" xfId="0" applyNumberFormat="1" applyFont="1" applyBorder="1" applyProtection="1">
      <protection locked="0"/>
    </xf>
    <xf numFmtId="1" fontId="21" fillId="0" borderId="56" xfId="0" applyNumberFormat="1" applyFont="1" applyBorder="1" applyProtection="1">
      <protection locked="0"/>
    </xf>
    <xf numFmtId="1" fontId="21" fillId="0" borderId="27" xfId="0" applyNumberFormat="1" applyFont="1" applyBorder="1" applyProtection="1">
      <protection locked="0"/>
    </xf>
    <xf numFmtId="165" fontId="21" fillId="0" borderId="26" xfId="0" applyNumberFormat="1" applyFont="1" applyFill="1" applyBorder="1"/>
    <xf numFmtId="171" fontId="21" fillId="0" borderId="14" xfId="0" applyNumberFormat="1" applyFont="1" applyBorder="1"/>
    <xf numFmtId="171" fontId="21" fillId="0" borderId="26" xfId="0" applyNumberFormat="1" applyFont="1" applyFill="1" applyBorder="1"/>
    <xf numFmtId="171" fontId="21" fillId="0" borderId="27" xfId="0" applyNumberFormat="1" applyFont="1" applyFill="1" applyBorder="1"/>
    <xf numFmtId="1" fontId="21" fillId="0" borderId="26" xfId="0" applyNumberFormat="1" applyFont="1" applyFill="1" applyBorder="1"/>
    <xf numFmtId="3" fontId="21" fillId="0" borderId="14" xfId="0" applyNumberFormat="1" applyFont="1" applyFill="1" applyBorder="1"/>
    <xf numFmtId="3" fontId="21" fillId="0" borderId="26" xfId="0" applyNumberFormat="1" applyFont="1" applyFill="1" applyBorder="1"/>
    <xf numFmtId="1" fontId="21" fillId="0" borderId="14" xfId="0" applyNumberFormat="1" applyFont="1" applyBorder="1" applyAlignment="1"/>
    <xf numFmtId="1" fontId="21" fillId="0" borderId="27" xfId="0" applyNumberFormat="1" applyFont="1" applyBorder="1" applyAlignment="1"/>
    <xf numFmtId="3" fontId="21" fillId="0" borderId="14" xfId="0" applyNumberFormat="1" applyFont="1" applyBorder="1" applyAlignment="1" applyProtection="1">
      <protection locked="0"/>
    </xf>
    <xf numFmtId="4" fontId="21" fillId="0" borderId="14" xfId="0" applyNumberFormat="1" applyFont="1" applyBorder="1" applyAlignment="1" applyProtection="1">
      <protection locked="0"/>
    </xf>
    <xf numFmtId="4" fontId="21" fillId="0" borderId="26" xfId="0" applyNumberFormat="1" applyFont="1" applyBorder="1" applyAlignment="1" applyProtection="1">
      <protection locked="0"/>
    </xf>
    <xf numFmtId="4" fontId="21" fillId="0" borderId="56" xfId="0" applyNumberFormat="1" applyFont="1" applyBorder="1" applyAlignment="1" applyProtection="1">
      <protection locked="0"/>
    </xf>
    <xf numFmtId="165" fontId="21" fillId="0" borderId="56" xfId="0" applyNumberFormat="1" applyFont="1" applyFill="1" applyBorder="1"/>
    <xf numFmtId="165" fontId="21" fillId="0" borderId="61" xfId="0" applyNumberFormat="1" applyFont="1" applyFill="1" applyBorder="1"/>
    <xf numFmtId="165" fontId="21" fillId="0" borderId="26" xfId="0" quotePrefix="1" applyNumberFormat="1" applyFont="1" applyFill="1" applyBorder="1"/>
    <xf numFmtId="171" fontId="21" fillId="0" borderId="56" xfId="0" quotePrefix="1" applyNumberFormat="1" applyFont="1" applyFill="1" applyBorder="1"/>
    <xf numFmtId="171" fontId="21" fillId="0" borderId="61" xfId="0" quotePrefix="1" applyNumberFormat="1" applyFont="1" applyFill="1" applyBorder="1"/>
    <xf numFmtId="171" fontId="21" fillId="0" borderId="26" xfId="0" quotePrefix="1" applyNumberFormat="1" applyFont="1" applyFill="1" applyBorder="1"/>
    <xf numFmtId="171" fontId="21" fillId="0" borderId="55" xfId="0" quotePrefix="1" applyNumberFormat="1" applyFont="1" applyFill="1" applyBorder="1"/>
    <xf numFmtId="179" fontId="21" fillId="0" borderId="26" xfId="0" quotePrefix="1" applyNumberFormat="1" applyFont="1" applyFill="1" applyBorder="1"/>
    <xf numFmtId="179" fontId="21" fillId="0" borderId="26" xfId="0" applyNumberFormat="1" applyFont="1" applyFill="1" applyBorder="1"/>
    <xf numFmtId="179" fontId="21" fillId="0" borderId="56" xfId="0" applyNumberFormat="1" applyFont="1" applyFill="1" applyBorder="1"/>
    <xf numFmtId="179" fontId="21" fillId="0" borderId="27" xfId="0" applyNumberFormat="1" applyFont="1" applyFill="1" applyBorder="1"/>
    <xf numFmtId="0" fontId="8" fillId="2" borderId="78" xfId="0" applyFont="1" applyFill="1" applyBorder="1" applyAlignment="1" applyProtection="1">
      <alignment horizontal="centerContinuous"/>
      <protection locked="0"/>
    </xf>
    <xf numFmtId="0" fontId="8" fillId="2" borderId="67" xfId="0" applyFont="1" applyFill="1" applyBorder="1" applyAlignment="1" applyProtection="1">
      <alignment horizontal="centerContinuous"/>
      <protection locked="0"/>
    </xf>
    <xf numFmtId="2" fontId="43" fillId="2" borderId="75" xfId="0" applyNumberFormat="1" applyFont="1" applyFill="1" applyBorder="1" applyAlignment="1" applyProtection="1">
      <alignment horizontal="right"/>
      <protection locked="0"/>
    </xf>
    <xf numFmtId="165" fontId="43" fillId="2" borderId="75" xfId="0" applyNumberFormat="1" applyFont="1" applyFill="1" applyBorder="1" applyAlignment="1" applyProtection="1">
      <alignment horizontal="right"/>
      <protection locked="0"/>
    </xf>
    <xf numFmtId="170" fontId="21" fillId="0" borderId="7" xfId="0" applyNumberFormat="1" applyFont="1" applyBorder="1" applyProtection="1">
      <protection locked="0"/>
    </xf>
    <xf numFmtId="170" fontId="21" fillId="0" borderId="20" xfId="0" applyNumberFormat="1" applyFont="1" applyBorder="1" applyProtection="1">
      <protection locked="0"/>
    </xf>
    <xf numFmtId="0" fontId="22" fillId="2" borderId="1" xfId="0" applyFont="1" applyFill="1" applyBorder="1" applyProtection="1">
      <protection locked="0"/>
    </xf>
    <xf numFmtId="0" fontId="22" fillId="2" borderId="13" xfId="0" applyFont="1" applyFill="1" applyBorder="1" applyProtection="1">
      <protection locked="0"/>
    </xf>
    <xf numFmtId="1" fontId="21" fillId="0" borderId="10" xfId="0" applyNumberFormat="1" applyFont="1" applyFill="1" applyBorder="1" applyProtection="1">
      <protection locked="0"/>
    </xf>
    <xf numFmtId="165" fontId="21" fillId="0" borderId="0" xfId="0" applyNumberFormat="1" applyFont="1" applyFill="1" applyBorder="1" applyProtection="1">
      <protection locked="0"/>
    </xf>
    <xf numFmtId="171" fontId="21" fillId="0" borderId="0" xfId="0" quotePrefix="1" applyNumberFormat="1" applyFont="1" applyFill="1" applyBorder="1" applyProtection="1">
      <protection locked="0"/>
    </xf>
    <xf numFmtId="171" fontId="21" fillId="0" borderId="0" xfId="0" applyNumberFormat="1" applyFont="1" applyFill="1" applyBorder="1" applyProtection="1">
      <protection locked="0"/>
    </xf>
    <xf numFmtId="2" fontId="21" fillId="0" borderId="0" xfId="0" applyNumberFormat="1" applyFont="1" applyFill="1" applyBorder="1" applyProtection="1">
      <protection locked="0"/>
    </xf>
    <xf numFmtId="1" fontId="21" fillId="0" borderId="14" xfId="0" applyNumberFormat="1" applyFont="1" applyFill="1" applyBorder="1" applyProtection="1">
      <protection locked="0"/>
    </xf>
    <xf numFmtId="2" fontId="21" fillId="0" borderId="26" xfId="0" applyNumberFormat="1" applyFont="1" applyFill="1" applyBorder="1" applyProtection="1">
      <protection locked="0"/>
    </xf>
    <xf numFmtId="165" fontId="21" fillId="0" borderId="26" xfId="0" applyNumberFormat="1" applyFont="1" applyFill="1" applyBorder="1" applyProtection="1">
      <protection locked="0"/>
    </xf>
    <xf numFmtId="171" fontId="21" fillId="0" borderId="26" xfId="0" quotePrefix="1" applyNumberFormat="1" applyFont="1" applyFill="1" applyBorder="1" applyProtection="1">
      <protection locked="0"/>
    </xf>
    <xf numFmtId="171" fontId="21" fillId="0" borderId="26" xfId="0" applyNumberFormat="1" applyFont="1" applyFill="1" applyBorder="1" applyProtection="1">
      <protection locked="0"/>
    </xf>
    <xf numFmtId="0" fontId="0" fillId="0" borderId="0" xfId="0" applyAlignment="1">
      <alignment horizontal="right"/>
    </xf>
    <xf numFmtId="0" fontId="13" fillId="0" borderId="69" xfId="0" applyFont="1" applyBorder="1" applyAlignment="1" applyProtection="1">
      <alignment horizontal="left"/>
      <protection locked="0"/>
    </xf>
    <xf numFmtId="0" fontId="13" fillId="0" borderId="59" xfId="0" applyFont="1" applyBorder="1" applyAlignment="1" applyProtection="1">
      <alignment horizontal="center"/>
      <protection locked="0"/>
    </xf>
    <xf numFmtId="0" fontId="13" fillId="0" borderId="50" xfId="0" applyFont="1" applyBorder="1" applyAlignment="1" applyProtection="1">
      <alignment horizontal="center"/>
      <protection locked="0"/>
    </xf>
    <xf numFmtId="1" fontId="13" fillId="0" borderId="6" xfId="0" applyNumberFormat="1" applyFont="1" applyBorder="1" applyAlignment="1" applyProtection="1">
      <alignment horizontal="right"/>
      <protection locked="0"/>
    </xf>
    <xf numFmtId="0" fontId="13" fillId="0" borderId="9" xfId="0" applyFont="1" applyBorder="1" applyAlignment="1" applyProtection="1">
      <alignment horizontal="right"/>
      <protection locked="0"/>
    </xf>
    <xf numFmtId="0" fontId="5" fillId="0" borderId="1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171" fontId="0" fillId="2" borderId="28" xfId="0" applyNumberFormat="1" applyFill="1" applyBorder="1"/>
    <xf numFmtId="171" fontId="0" fillId="0" borderId="40" xfId="0" applyNumberFormat="1" applyBorder="1"/>
    <xf numFmtId="165" fontId="13" fillId="0" borderId="20" xfId="0" applyNumberFormat="1" applyFont="1" applyBorder="1" applyAlignment="1" applyProtection="1">
      <alignment horizontal="right"/>
      <protection locked="0"/>
    </xf>
    <xf numFmtId="165" fontId="37" fillId="2" borderId="46" xfId="0" applyNumberFormat="1" applyFont="1" applyFill="1" applyBorder="1" applyAlignment="1" applyProtection="1">
      <alignment horizontal="right"/>
    </xf>
    <xf numFmtId="165" fontId="22" fillId="3" borderId="0" xfId="0" applyNumberFormat="1" applyFont="1" applyFill="1" applyProtection="1">
      <protection locked="0"/>
    </xf>
    <xf numFmtId="0" fontId="21" fillId="3" borderId="0" xfId="0" applyFont="1" applyFill="1" applyAlignment="1" applyProtection="1">
      <alignment horizontal="center"/>
      <protection locked="0"/>
    </xf>
    <xf numFmtId="165" fontId="13" fillId="0" borderId="29" xfId="0" applyNumberFormat="1" applyFont="1" applyBorder="1"/>
    <xf numFmtId="165" fontId="13" fillId="0" borderId="74" xfId="0" applyNumberFormat="1" applyFont="1" applyBorder="1"/>
    <xf numFmtId="165" fontId="13" fillId="0" borderId="76" xfId="0" applyNumberFormat="1" applyFont="1" applyBorder="1"/>
    <xf numFmtId="165" fontId="25" fillId="0" borderId="67" xfId="0" applyNumberFormat="1" applyFont="1" applyFill="1" applyBorder="1" applyAlignment="1" applyProtection="1">
      <alignment horizontal="center"/>
      <protection locked="0"/>
    </xf>
    <xf numFmtId="165" fontId="25" fillId="0" borderId="12" xfId="0" applyNumberFormat="1" applyFont="1" applyFill="1" applyBorder="1" applyAlignment="1" applyProtection="1">
      <alignment horizontal="center"/>
      <protection locked="0"/>
    </xf>
    <xf numFmtId="171" fontId="36" fillId="0" borderId="68" xfId="0" applyNumberFormat="1" applyFont="1" applyFill="1" applyBorder="1" applyAlignment="1" applyProtection="1">
      <alignment horizontal="center"/>
      <protection locked="0"/>
    </xf>
    <xf numFmtId="171" fontId="36" fillId="0" borderId="41" xfId="0" applyNumberFormat="1" applyFont="1" applyFill="1" applyBorder="1" applyAlignment="1" applyProtection="1">
      <alignment horizontal="center"/>
      <protection locked="0"/>
    </xf>
    <xf numFmtId="171" fontId="36" fillId="0" borderId="75" xfId="0" applyNumberFormat="1" applyFont="1" applyFill="1" applyBorder="1" applyAlignment="1" applyProtection="1">
      <alignment horizontal="center"/>
      <protection locked="0"/>
    </xf>
    <xf numFmtId="171" fontId="43" fillId="2" borderId="35" xfId="0" applyNumberFormat="1" applyFont="1" applyFill="1" applyBorder="1" applyProtection="1"/>
    <xf numFmtId="171" fontId="43" fillId="2" borderId="17" xfId="0" applyNumberFormat="1" applyFont="1" applyFill="1" applyBorder="1" applyProtection="1"/>
    <xf numFmtId="171" fontId="43" fillId="2" borderId="18" xfId="0" applyNumberFormat="1" applyFont="1" applyFill="1" applyBorder="1" applyProtection="1"/>
    <xf numFmtId="171" fontId="43" fillId="2" borderId="7" xfId="0" applyNumberFormat="1" applyFont="1" applyFill="1" applyBorder="1" applyProtection="1"/>
    <xf numFmtId="171" fontId="43" fillId="2" borderId="3" xfId="0" applyNumberFormat="1" applyFont="1" applyFill="1" applyBorder="1" applyProtection="1"/>
    <xf numFmtId="171" fontId="43" fillId="2" borderId="4" xfId="0" applyNumberFormat="1" applyFont="1" applyFill="1" applyBorder="1" applyProtection="1"/>
    <xf numFmtId="171" fontId="43" fillId="2" borderId="8" xfId="0" applyNumberFormat="1" applyFont="1" applyFill="1" applyBorder="1" applyProtection="1"/>
    <xf numFmtId="171" fontId="43" fillId="2" borderId="9" xfId="0" applyNumberFormat="1" applyFont="1" applyFill="1" applyBorder="1" applyProtection="1"/>
    <xf numFmtId="2" fontId="22" fillId="3" borderId="0" xfId="0" applyNumberFormat="1" applyFont="1" applyFill="1" applyAlignment="1" applyProtection="1">
      <alignment horizontal="center"/>
      <protection locked="0"/>
    </xf>
    <xf numFmtId="0" fontId="21" fillId="0" borderId="15" xfId="0" applyFont="1" applyBorder="1" applyProtection="1">
      <protection locked="0"/>
    </xf>
    <xf numFmtId="0" fontId="21" fillId="0" borderId="49" xfId="0" applyFont="1" applyBorder="1" applyProtection="1">
      <protection locked="0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2" fillId="0" borderId="43" xfId="0" applyFont="1" applyFill="1" applyBorder="1" applyAlignment="1" applyProtection="1">
      <alignment horizontal="center"/>
      <protection locked="0"/>
    </xf>
    <xf numFmtId="165" fontId="21" fillId="0" borderId="54" xfId="0" applyNumberFormat="1" applyFont="1" applyBorder="1" applyAlignment="1" applyProtection="1">
      <alignment horizontal="right"/>
      <protection locked="0"/>
    </xf>
    <xf numFmtId="165" fontId="21" fillId="0" borderId="43" xfId="0" applyNumberFormat="1" applyFont="1" applyBorder="1" applyAlignment="1" applyProtection="1">
      <alignment horizontal="right"/>
      <protection locked="0"/>
    </xf>
    <xf numFmtId="0" fontId="21" fillId="11" borderId="0" xfId="0" applyFont="1" applyFill="1" applyProtection="1">
      <protection locked="0"/>
    </xf>
    <xf numFmtId="165" fontId="22" fillId="11" borderId="0" xfId="0" quotePrefix="1" applyNumberFormat="1" applyFont="1" applyFill="1" applyProtection="1">
      <protection locked="0"/>
    </xf>
    <xf numFmtId="165" fontId="22" fillId="11" borderId="0" xfId="0" applyNumberFormat="1" applyFont="1" applyFill="1" applyProtection="1">
      <protection locked="0"/>
    </xf>
    <xf numFmtId="165" fontId="22" fillId="11" borderId="0" xfId="0" applyNumberFormat="1" applyFont="1" applyFill="1" applyAlignment="1" applyProtection="1">
      <protection locked="0"/>
    </xf>
    <xf numFmtId="0" fontId="1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165" fontId="13" fillId="0" borderId="0" xfId="0" applyNumberFormat="1" applyFont="1"/>
    <xf numFmtId="10" fontId="30" fillId="8" borderId="0" xfId="0" applyNumberFormat="1" applyFont="1" applyFill="1" applyBorder="1"/>
    <xf numFmtId="165" fontId="21" fillId="8" borderId="0" xfId="0" applyNumberFormat="1" applyFont="1" applyFill="1" applyBorder="1"/>
    <xf numFmtId="10" fontId="30" fillId="8" borderId="10" xfId="0" applyNumberFormat="1" applyFont="1" applyFill="1" applyBorder="1"/>
    <xf numFmtId="0" fontId="30" fillId="2" borderId="14" xfId="0" applyFont="1" applyFill="1" applyBorder="1" applyAlignment="1" applyProtection="1">
      <alignment horizontal="center"/>
      <protection locked="0"/>
    </xf>
    <xf numFmtId="0" fontId="3" fillId="2" borderId="58" xfId="0" applyFont="1" applyFill="1" applyBorder="1" applyAlignment="1">
      <alignment horizontal="centerContinuous"/>
    </xf>
    <xf numFmtId="0" fontId="30" fillId="2" borderId="33" xfId="0" applyFont="1" applyFill="1" applyBorder="1" applyAlignment="1" applyProtection="1">
      <alignment horizontal="centerContinuous"/>
      <protection locked="0"/>
    </xf>
    <xf numFmtId="0" fontId="30" fillId="2" borderId="30" xfId="0" applyFont="1" applyFill="1" applyBorder="1" applyAlignment="1">
      <alignment horizontal="center"/>
    </xf>
    <xf numFmtId="0" fontId="30" fillId="2" borderId="34" xfId="0" applyFont="1" applyFill="1" applyBorder="1" applyAlignment="1" applyProtection="1">
      <alignment horizontal="center"/>
      <protection locked="0"/>
    </xf>
    <xf numFmtId="0" fontId="30" fillId="2" borderId="24" xfId="0" applyFont="1" applyFill="1" applyBorder="1" applyAlignment="1" applyProtection="1">
      <alignment horizontal="centerContinuous"/>
      <protection locked="0"/>
    </xf>
    <xf numFmtId="0" fontId="30" fillId="2" borderId="74" xfId="0" applyFont="1" applyFill="1" applyBorder="1" applyAlignment="1">
      <alignment horizontal="centerContinuous"/>
    </xf>
    <xf numFmtId="0" fontId="30" fillId="2" borderId="55" xfId="0" applyFont="1" applyFill="1" applyBorder="1" applyAlignment="1" applyProtection="1">
      <alignment horizontal="center"/>
      <protection locked="0"/>
    </xf>
    <xf numFmtId="10" fontId="0" fillId="0" borderId="14" xfId="0" applyNumberFormat="1" applyBorder="1"/>
    <xf numFmtId="10" fontId="0" fillId="0" borderId="26" xfId="0" applyNumberFormat="1" applyBorder="1"/>
    <xf numFmtId="165" fontId="21" fillId="0" borderId="27" xfId="0" applyNumberFormat="1" applyFont="1" applyFill="1" applyBorder="1"/>
  </cellXfs>
  <cellStyles count="3">
    <cellStyle name="Normal" xfId="0" builtinId="0"/>
    <cellStyle name="Normal_Data_1" xfId="1"/>
    <cellStyle name="Normal_Marc_crv" xfId="2"/>
  </cellStyles>
  <dxfs count="3">
    <dxf>
      <font>
        <condense val="0"/>
        <extend val="0"/>
        <color auto="1"/>
      </font>
      <fill>
        <patternFill>
          <fgColor indexed="8"/>
          <bgColor indexed="14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MAIN!#REF!</c:f>
              <c:numCache>
                <c:formatCode>mmm\-yy</c:formatCode>
                <c:ptCount val="1"/>
                <c:pt idx="0">
                  <c:v>1</c:v>
                </c:pt>
              </c:numCache>
            </c:numRef>
          </c:cat>
          <c:val>
            <c:numRef>
              <c:f>MAIN!$O$19:$O$78</c:f>
              <c:numCache>
                <c:formatCode>0.0000</c:formatCode>
                <c:ptCount val="6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5-4205-A432-8F8513337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71160"/>
        <c:axId val="1"/>
      </c:line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MAIN!$EU$20:$EU$78</c:f>
              <c:numCache>
                <c:formatCode>0.000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5-4205-A432-8F8513337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568711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871160"/>
        <c:crosses val="autoZero"/>
        <c:crossBetween val="between"/>
        <c:majorUnit val="0.02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6474430674854"/>
          <c:y val="5.4380744873408104E-2"/>
          <c:w val="0.85044944104950326"/>
          <c:h val="0.89426113791826667"/>
        </c:manualLayout>
      </c:layout>
      <c:lineChart>
        <c:grouping val="standard"/>
        <c:varyColors val="0"/>
        <c:ser>
          <c:idx val="3"/>
          <c:order val="0"/>
          <c:tx>
            <c:v>Resulting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MAIN!$EV$20:$EV$90</c:f>
              <c:numCache>
                <c:formatCode>0.0000</c:formatCode>
                <c:ptCount val="71"/>
                <c:pt idx="0">
                  <c:v>0</c:v>
                </c:pt>
                <c:pt idx="1">
                  <c:v>0.327680269430979</c:v>
                </c:pt>
                <c:pt idx="2">
                  <c:v>0.33805641995489755</c:v>
                </c:pt>
                <c:pt idx="3">
                  <c:v>0.32556881164560558</c:v>
                </c:pt>
                <c:pt idx="4">
                  <c:v>0.31350194547622545</c:v>
                </c:pt>
                <c:pt idx="5">
                  <c:v>0.30360123174300452</c:v>
                </c:pt>
                <c:pt idx="6">
                  <c:v>0.29074889019333761</c:v>
                </c:pt>
                <c:pt idx="7">
                  <c:v>0.2805839112224448</c:v>
                </c:pt>
                <c:pt idx="8">
                  <c:v>0.27352536775111119</c:v>
                </c:pt>
                <c:pt idx="9">
                  <c:v>0.26544911379667541</c:v>
                </c:pt>
                <c:pt idx="10">
                  <c:v>0.2580459754159497</c:v>
                </c:pt>
                <c:pt idx="11">
                  <c:v>0.25285931218574398</c:v>
                </c:pt>
                <c:pt idx="12">
                  <c:v>0.24718035260189919</c:v>
                </c:pt>
                <c:pt idx="13">
                  <c:v>0.24290831996090165</c:v>
                </c:pt>
                <c:pt idx="14">
                  <c:v>0.23815263626484848</c:v>
                </c:pt>
                <c:pt idx="15">
                  <c:v>0.23327074548373333</c:v>
                </c:pt>
                <c:pt idx="16">
                  <c:v>0.22980742855703473</c:v>
                </c:pt>
                <c:pt idx="17">
                  <c:v>0.22759076709380421</c:v>
                </c:pt>
                <c:pt idx="18">
                  <c:v>0.22394345545824029</c:v>
                </c:pt>
                <c:pt idx="19">
                  <c:v>0.22079068025083035</c:v>
                </c:pt>
                <c:pt idx="20">
                  <c:v>0.21922069749600565</c:v>
                </c:pt>
                <c:pt idx="21">
                  <c:v>0.21627748968671137</c:v>
                </c:pt>
                <c:pt idx="22">
                  <c:v>0.21459413963116356</c:v>
                </c:pt>
                <c:pt idx="23">
                  <c:v>0.21230690345270112</c:v>
                </c:pt>
                <c:pt idx="24">
                  <c:v>0.20997486570007401</c:v>
                </c:pt>
                <c:pt idx="25">
                  <c:v>0.20900095770102756</c:v>
                </c:pt>
                <c:pt idx="26">
                  <c:v>0.20705466620783011</c:v>
                </c:pt>
                <c:pt idx="27">
                  <c:v>0.20505831327811649</c:v>
                </c:pt>
                <c:pt idx="28">
                  <c:v>0.20381522139148475</c:v>
                </c:pt>
                <c:pt idx="29">
                  <c:v>0.20257400463047806</c:v>
                </c:pt>
                <c:pt idx="30">
                  <c:v>0.20136046069454594</c:v>
                </c:pt>
                <c:pt idx="31">
                  <c:v>0.1994802195258786</c:v>
                </c:pt>
                <c:pt idx="32">
                  <c:v>0.19859109359227015</c:v>
                </c:pt>
                <c:pt idx="33">
                  <c:v>0.19743693102978532</c:v>
                </c:pt>
                <c:pt idx="34">
                  <c:v>0.19658088351072062</c:v>
                </c:pt>
                <c:pt idx="35">
                  <c:v>0.19549410276480761</c:v>
                </c:pt>
                <c:pt idx="36">
                  <c:v>0.19470404996065724</c:v>
                </c:pt>
                <c:pt idx="37">
                  <c:v>0.1939062616130599</c:v>
                </c:pt>
                <c:pt idx="38">
                  <c:v>0.19291151054766498</c:v>
                </c:pt>
                <c:pt idx="39">
                  <c:v>0.19220606784243588</c:v>
                </c:pt>
                <c:pt idx="40">
                  <c:v>0.19130019022251907</c:v>
                </c:pt>
                <c:pt idx="41">
                  <c:v>0.19066604562474715</c:v>
                </c:pt>
                <c:pt idx="42">
                  <c:v>0.19002474182122084</c:v>
                </c:pt>
                <c:pt idx="43">
                  <c:v>0.18901243790466032</c:v>
                </c:pt>
                <c:pt idx="44">
                  <c:v>0.18850920347461189</c:v>
                </c:pt>
                <c:pt idx="45">
                  <c:v>0.18779664227026069</c:v>
                </c:pt>
                <c:pt idx="46">
                  <c:v>0.18731597437214864</c:v>
                </c:pt>
                <c:pt idx="47">
                  <c:v>0.18664050777201421</c:v>
                </c:pt>
                <c:pt idx="48">
                  <c:v>0.18619272551917831</c:v>
                </c:pt>
                <c:pt idx="49">
                  <c:v>0.18572846476673183</c:v>
                </c:pt>
                <c:pt idx="50">
                  <c:v>0.18509199938874593</c:v>
                </c:pt>
                <c:pt idx="51">
                  <c:v>0.18467943047393026</c:v>
                </c:pt>
                <c:pt idx="52">
                  <c:v>0.18409196569658981</c:v>
                </c:pt>
                <c:pt idx="53">
                  <c:v>0.18371684448151679</c:v>
                </c:pt>
                <c:pt idx="54">
                  <c:v>0.18332718164124936</c:v>
                </c:pt>
                <c:pt idx="55">
                  <c:v>0.18246396156492276</c:v>
                </c:pt>
                <c:pt idx="56">
                  <c:v>0.18221826353220019</c:v>
                </c:pt>
                <c:pt idx="57">
                  <c:v>0.18177403047129853</c:v>
                </c:pt>
                <c:pt idx="58">
                  <c:v>0.18150547913422641</c:v>
                </c:pt>
                <c:pt idx="59">
                  <c:v>0.18106086807217919</c:v>
                </c:pt>
                <c:pt idx="60">
                  <c:v>0.18079615009089853</c:v>
                </c:pt>
                <c:pt idx="61">
                  <c:v>0.18050939615065503</c:v>
                </c:pt>
                <c:pt idx="62">
                  <c:v>0.18006963589389488</c:v>
                </c:pt>
                <c:pt idx="63">
                  <c:v>0.17981170248697143</c:v>
                </c:pt>
                <c:pt idx="64">
                  <c:v>0.17939964030546274</c:v>
                </c:pt>
                <c:pt idx="65">
                  <c:v>0.17916187261984343</c:v>
                </c:pt>
                <c:pt idx="66">
                  <c:v>0.17890725965267931</c:v>
                </c:pt>
                <c:pt idx="67">
                  <c:v>0.17824349459710737</c:v>
                </c:pt>
                <c:pt idx="68">
                  <c:v>0.17810104836221524</c:v>
                </c:pt>
                <c:pt idx="69">
                  <c:v>0.17778558042324544</c:v>
                </c:pt>
                <c:pt idx="70">
                  <c:v>0.17761711888818016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5-4B27-A66C-A43B384A4D0D}"/>
            </c:ext>
          </c:extLst>
        </c:ser>
        <c:ser>
          <c:idx val="0"/>
          <c:order val="1"/>
          <c:tx>
            <c:v>Actual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MAIN!$O$20:$O$90</c:f>
              <c:numCache>
                <c:formatCode>0.0000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B27-A66C-A43B384A4D0D}"/>
            </c:ext>
          </c:extLst>
        </c:ser>
        <c:ser>
          <c:idx val="1"/>
          <c:order val="2"/>
          <c:tx>
            <c:v>Expected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MAIN!$S$20:$S$90</c:f>
              <c:numCache>
                <c:formatCode>0.0000</c:formatCode>
                <c:ptCount val="71"/>
                <c:pt idx="0">
                  <c:v>0</c:v>
                </c:pt>
                <c:pt idx="1">
                  <c:v>0.38</c:v>
                </c:pt>
                <c:pt idx="2">
                  <c:v>0.39</c:v>
                </c:pt>
                <c:pt idx="3">
                  <c:v>0.38250000000000001</c:v>
                </c:pt>
                <c:pt idx="4">
                  <c:v>0.37687500000000002</c:v>
                </c:pt>
                <c:pt idx="5">
                  <c:v>0.37265625000000002</c:v>
                </c:pt>
                <c:pt idx="6">
                  <c:v>0.36949218750000001</c:v>
                </c:pt>
                <c:pt idx="7">
                  <c:v>0.36711914062500001</c:v>
                </c:pt>
                <c:pt idx="8">
                  <c:v>0.36533935546875002</c:v>
                </c:pt>
                <c:pt idx="9">
                  <c:v>0.36400451660156252</c:v>
                </c:pt>
                <c:pt idx="10">
                  <c:v>0.36300338745117189</c:v>
                </c:pt>
                <c:pt idx="11">
                  <c:v>0.36225254058837891</c:v>
                </c:pt>
                <c:pt idx="12">
                  <c:v>0.3616894054412842</c:v>
                </c:pt>
                <c:pt idx="13">
                  <c:v>0.36126705408096316</c:v>
                </c:pt>
                <c:pt idx="14">
                  <c:v>0.36095029056072236</c:v>
                </c:pt>
                <c:pt idx="15">
                  <c:v>0.36071271792054177</c:v>
                </c:pt>
                <c:pt idx="16">
                  <c:v>0.36053453844040634</c:v>
                </c:pt>
                <c:pt idx="17">
                  <c:v>0.36040090383030476</c:v>
                </c:pt>
                <c:pt idx="18">
                  <c:v>0.36030067787272857</c:v>
                </c:pt>
                <c:pt idx="19">
                  <c:v>0.36022550840454642</c:v>
                </c:pt>
                <c:pt idx="20">
                  <c:v>0.36016913130340983</c:v>
                </c:pt>
                <c:pt idx="21">
                  <c:v>0.36012684847755738</c:v>
                </c:pt>
                <c:pt idx="22">
                  <c:v>0.36009513635816803</c:v>
                </c:pt>
                <c:pt idx="23">
                  <c:v>0.36007135226862602</c:v>
                </c:pt>
                <c:pt idx="24">
                  <c:v>0.36005351420146953</c:v>
                </c:pt>
                <c:pt idx="25">
                  <c:v>0.36004013565110216</c:v>
                </c:pt>
                <c:pt idx="26">
                  <c:v>0.36003010173832661</c:v>
                </c:pt>
                <c:pt idx="27">
                  <c:v>0.36002257630374496</c:v>
                </c:pt>
                <c:pt idx="28">
                  <c:v>0.36001693222780873</c:v>
                </c:pt>
                <c:pt idx="29">
                  <c:v>0.36001269917085654</c:v>
                </c:pt>
                <c:pt idx="30">
                  <c:v>0.36000952437814238</c:v>
                </c:pt>
                <c:pt idx="31">
                  <c:v>0.36000714328360678</c:v>
                </c:pt>
                <c:pt idx="32">
                  <c:v>0.36000535746270507</c:v>
                </c:pt>
                <c:pt idx="33">
                  <c:v>0.36000401809702881</c:v>
                </c:pt>
                <c:pt idx="34">
                  <c:v>0.36000301357277159</c:v>
                </c:pt>
                <c:pt idx="35">
                  <c:v>0.3600022601795787</c:v>
                </c:pt>
                <c:pt idx="36">
                  <c:v>0.36000169513468405</c:v>
                </c:pt>
                <c:pt idx="37">
                  <c:v>0.36000127135101301</c:v>
                </c:pt>
                <c:pt idx="38">
                  <c:v>0.36000095351325978</c:v>
                </c:pt>
                <c:pt idx="39">
                  <c:v>0.3600007151349448</c:v>
                </c:pt>
                <c:pt idx="40">
                  <c:v>0.3600005363512086</c:v>
                </c:pt>
                <c:pt idx="41">
                  <c:v>0.36000040226340646</c:v>
                </c:pt>
                <c:pt idx="42">
                  <c:v>0.36000030169755481</c:v>
                </c:pt>
                <c:pt idx="43">
                  <c:v>0.36000022627316608</c:v>
                </c:pt>
                <c:pt idx="44">
                  <c:v>0.36000016970487458</c:v>
                </c:pt>
                <c:pt idx="45">
                  <c:v>0.36000012727865593</c:v>
                </c:pt>
                <c:pt idx="46">
                  <c:v>0.36000009545899192</c:v>
                </c:pt>
                <c:pt idx="47">
                  <c:v>0.36000007159424396</c:v>
                </c:pt>
                <c:pt idx="48">
                  <c:v>0.360000053695683</c:v>
                </c:pt>
                <c:pt idx="49">
                  <c:v>0.36000004027176224</c:v>
                </c:pt>
                <c:pt idx="50">
                  <c:v>0.36000003020382165</c:v>
                </c:pt>
                <c:pt idx="51">
                  <c:v>0.36000002265286624</c:v>
                </c:pt>
                <c:pt idx="52">
                  <c:v>0.36000001698964967</c:v>
                </c:pt>
                <c:pt idx="53">
                  <c:v>0.36000001274223725</c:v>
                </c:pt>
                <c:pt idx="54">
                  <c:v>0.36000000955667794</c:v>
                </c:pt>
                <c:pt idx="55">
                  <c:v>0.36000000716750846</c:v>
                </c:pt>
                <c:pt idx="56">
                  <c:v>0.36000000537563137</c:v>
                </c:pt>
                <c:pt idx="57">
                  <c:v>0.3600000040317235</c:v>
                </c:pt>
                <c:pt idx="58">
                  <c:v>0.36000000302379265</c:v>
                </c:pt>
                <c:pt idx="59">
                  <c:v>0.36000000226784445</c:v>
                </c:pt>
                <c:pt idx="60">
                  <c:v>0.36000000170088331</c:v>
                </c:pt>
                <c:pt idx="61">
                  <c:v>0.36000000127566245</c:v>
                </c:pt>
                <c:pt idx="62">
                  <c:v>0.36000000095674684</c:v>
                </c:pt>
                <c:pt idx="63">
                  <c:v>0.36000000071756011</c:v>
                </c:pt>
                <c:pt idx="64">
                  <c:v>0.36000000053817005</c:v>
                </c:pt>
                <c:pt idx="65">
                  <c:v>0.36000000040362756</c:v>
                </c:pt>
                <c:pt idx="66">
                  <c:v>0.36000000030272067</c:v>
                </c:pt>
                <c:pt idx="67">
                  <c:v>0.36000000022704048</c:v>
                </c:pt>
                <c:pt idx="68">
                  <c:v>0.36000000017028033</c:v>
                </c:pt>
                <c:pt idx="69">
                  <c:v>0.36000000012771027</c:v>
                </c:pt>
                <c:pt idx="70">
                  <c:v>0.3600000000957827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5-4B27-A66C-A43B384A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45416"/>
        <c:axId val="1"/>
      </c:lineChart>
      <c:lineChart>
        <c:grouping val="standard"/>
        <c:varyColors val="0"/>
        <c:ser>
          <c:idx val="2"/>
          <c:order val="3"/>
          <c:tx>
            <c:v>Var</c:v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E3E3E3"/>
              </a:solidFill>
              <a:ln>
                <a:solidFill>
                  <a:srgbClr val="E3E3E3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  <c:pt idx="19">
                  <c:v>37347</c:v>
                </c:pt>
                <c:pt idx="20">
                  <c:v>37377</c:v>
                </c:pt>
                <c:pt idx="21">
                  <c:v>37408</c:v>
                </c:pt>
                <c:pt idx="22">
                  <c:v>37438</c:v>
                </c:pt>
                <c:pt idx="23">
                  <c:v>37469</c:v>
                </c:pt>
                <c:pt idx="24">
                  <c:v>37500</c:v>
                </c:pt>
                <c:pt idx="25">
                  <c:v>37530</c:v>
                </c:pt>
                <c:pt idx="26">
                  <c:v>37561</c:v>
                </c:pt>
                <c:pt idx="27">
                  <c:v>37591</c:v>
                </c:pt>
                <c:pt idx="28">
                  <c:v>37622</c:v>
                </c:pt>
                <c:pt idx="29">
                  <c:v>37653</c:v>
                </c:pt>
                <c:pt idx="30">
                  <c:v>37681</c:v>
                </c:pt>
                <c:pt idx="31">
                  <c:v>37712</c:v>
                </c:pt>
                <c:pt idx="32">
                  <c:v>37742</c:v>
                </c:pt>
                <c:pt idx="33">
                  <c:v>37773</c:v>
                </c:pt>
                <c:pt idx="34">
                  <c:v>37803</c:v>
                </c:pt>
                <c:pt idx="35">
                  <c:v>37834</c:v>
                </c:pt>
                <c:pt idx="36">
                  <c:v>37865</c:v>
                </c:pt>
                <c:pt idx="37">
                  <c:v>37895</c:v>
                </c:pt>
                <c:pt idx="38">
                  <c:v>37926</c:v>
                </c:pt>
                <c:pt idx="39">
                  <c:v>37956</c:v>
                </c:pt>
                <c:pt idx="40">
                  <c:v>37987</c:v>
                </c:pt>
                <c:pt idx="41">
                  <c:v>38018</c:v>
                </c:pt>
                <c:pt idx="42">
                  <c:v>38047</c:v>
                </c:pt>
                <c:pt idx="43">
                  <c:v>38078</c:v>
                </c:pt>
                <c:pt idx="44">
                  <c:v>38108</c:v>
                </c:pt>
                <c:pt idx="45">
                  <c:v>38139</c:v>
                </c:pt>
                <c:pt idx="46">
                  <c:v>38169</c:v>
                </c:pt>
                <c:pt idx="47">
                  <c:v>38200</c:v>
                </c:pt>
                <c:pt idx="48">
                  <c:v>38231</c:v>
                </c:pt>
                <c:pt idx="49">
                  <c:v>38261</c:v>
                </c:pt>
                <c:pt idx="50">
                  <c:v>38292</c:v>
                </c:pt>
                <c:pt idx="51">
                  <c:v>38322</c:v>
                </c:pt>
                <c:pt idx="52">
                  <c:v>38353</c:v>
                </c:pt>
                <c:pt idx="53">
                  <c:v>38384</c:v>
                </c:pt>
                <c:pt idx="54">
                  <c:v>38412</c:v>
                </c:pt>
                <c:pt idx="55">
                  <c:v>38443</c:v>
                </c:pt>
                <c:pt idx="56">
                  <c:v>38473</c:v>
                </c:pt>
                <c:pt idx="57">
                  <c:v>38504</c:v>
                </c:pt>
                <c:pt idx="58">
                  <c:v>38534</c:v>
                </c:pt>
                <c:pt idx="59">
                  <c:v>38565</c:v>
                </c:pt>
                <c:pt idx="60">
                  <c:v>38596</c:v>
                </c:pt>
                <c:pt idx="61">
                  <c:v>38626</c:v>
                </c:pt>
                <c:pt idx="62">
                  <c:v>38657</c:v>
                </c:pt>
                <c:pt idx="63">
                  <c:v>38687</c:v>
                </c:pt>
                <c:pt idx="64">
                  <c:v>38718</c:v>
                </c:pt>
                <c:pt idx="65">
                  <c:v>38749</c:v>
                </c:pt>
                <c:pt idx="66">
                  <c:v>38777</c:v>
                </c:pt>
                <c:pt idx="67">
                  <c:v>38808</c:v>
                </c:pt>
                <c:pt idx="68">
                  <c:v>38838</c:v>
                </c:pt>
                <c:pt idx="69">
                  <c:v>38869</c:v>
                </c:pt>
                <c:pt idx="70">
                  <c:v>38899</c:v>
                </c:pt>
              </c:numCache>
            </c:numRef>
          </c:cat>
          <c:val>
            <c:numRef>
              <c:f>MAIN!$EU$20:$EU$90</c:f>
              <c:numCache>
                <c:formatCode>0.000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A5-4B27-A66C-A43B384A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09545416"/>
        <c:scaling>
          <c:orientation val="minMax"/>
        </c:scaling>
        <c:delete val="1"/>
        <c:axPos val="b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54541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019097377369677E-2"/>
          <c:y val="0.10344888549147901"/>
          <c:w val="0.90566288048039645"/>
          <c:h val="0.8000047144674375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MAIN!$U$5:$Z$5</c:f>
              <c:numCache>
                <c:formatCode>0.0000</c:formatCode>
                <c:ptCount val="6"/>
                <c:pt idx="0">
                  <c:v>0.02</c:v>
                </c:pt>
                <c:pt idx="1">
                  <c:v>1.6E-2</c:v>
                </c:pt>
                <c:pt idx="2">
                  <c:v>1.2E-2</c:v>
                </c:pt>
                <c:pt idx="3">
                  <c:v>2.5000000000000001E-3</c:v>
                </c:pt>
                <c:pt idx="4">
                  <c:v>3.5000000000000001E-3</c:v>
                </c:pt>
                <c:pt idx="5">
                  <c:v>4.4999999999999997E-3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8-4B17-94B5-F94605845C78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MAIN!$U$6:$Z$6</c:f>
              <c:numCache>
                <c:formatCode>0.0000</c:formatCode>
                <c:ptCount val="6"/>
                <c:pt idx="0">
                  <c:v>1.7999999999999999E-2</c:v>
                </c:pt>
                <c:pt idx="1">
                  <c:v>1.2999999999999999E-2</c:v>
                </c:pt>
                <c:pt idx="2">
                  <c:v>8.0000000000000002E-3</c:v>
                </c:pt>
                <c:pt idx="3">
                  <c:v>1.5E-3</c:v>
                </c:pt>
                <c:pt idx="4">
                  <c:v>2E-3</c:v>
                </c:pt>
                <c:pt idx="5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8-4B17-94B5-F94605845C78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MAIN!$U$7:$Z$7</c:f>
              <c:numCache>
                <c:formatCode>0.0000</c:formatCode>
                <c:ptCount val="6"/>
                <c:pt idx="0">
                  <c:v>1.7999999999999999E-2</c:v>
                </c:pt>
                <c:pt idx="1">
                  <c:v>1.2999999999999999E-2</c:v>
                </c:pt>
                <c:pt idx="2">
                  <c:v>8.0000000000000002E-3</c:v>
                </c:pt>
                <c:pt idx="3">
                  <c:v>1E-3</c:v>
                </c:pt>
                <c:pt idx="4">
                  <c:v>1.5E-3</c:v>
                </c:pt>
                <c:pt idx="5">
                  <c:v>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8-4B17-94B5-F94605845C78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MAIN!$U$8:$Z$8</c:f>
              <c:numCache>
                <c:formatCode>0.0000</c:formatCode>
                <c:ptCount val="6"/>
                <c:pt idx="0">
                  <c:v>1.2E-2</c:v>
                </c:pt>
                <c:pt idx="1">
                  <c:v>8.0000000000000002E-3</c:v>
                </c:pt>
                <c:pt idx="2">
                  <c:v>4.0000000000000001E-3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38-4B17-94B5-F94605845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46072"/>
        <c:axId val="1"/>
      </c:lineChart>
      <c:catAx>
        <c:axId val="209546072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546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76198595764041"/>
          <c:y val="5.7057224384221283E-2"/>
          <c:w val="0.87619115528208336"/>
          <c:h val="0.84384631852453595"/>
        </c:manualLayout>
      </c:layout>
      <c:lineChart>
        <c:grouping val="standard"/>
        <c:varyColors val="0"/>
        <c:ser>
          <c:idx val="0"/>
          <c:order val="0"/>
          <c:tx>
            <c:v>WTI-Settle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MAIN!$I$20:$I$38</c:f>
              <c:numCache>
                <c:formatCode>mmm\-yy</c:formatCode>
                <c:ptCount val="19"/>
                <c:pt idx="0">
                  <c:v>36770</c:v>
                </c:pt>
                <c:pt idx="1">
                  <c:v>36800</c:v>
                </c:pt>
                <c:pt idx="2">
                  <c:v>36831</c:v>
                </c:pt>
                <c:pt idx="3">
                  <c:v>36861</c:v>
                </c:pt>
                <c:pt idx="4">
                  <c:v>36892</c:v>
                </c:pt>
                <c:pt idx="5">
                  <c:v>36923</c:v>
                </c:pt>
                <c:pt idx="6">
                  <c:v>36951</c:v>
                </c:pt>
                <c:pt idx="7">
                  <c:v>36982</c:v>
                </c:pt>
                <c:pt idx="8">
                  <c:v>37012</c:v>
                </c:pt>
                <c:pt idx="9">
                  <c:v>37043</c:v>
                </c:pt>
                <c:pt idx="10">
                  <c:v>37073</c:v>
                </c:pt>
                <c:pt idx="11">
                  <c:v>37104</c:v>
                </c:pt>
                <c:pt idx="12">
                  <c:v>37135</c:v>
                </c:pt>
                <c:pt idx="13">
                  <c:v>37165</c:v>
                </c:pt>
                <c:pt idx="14">
                  <c:v>37196</c:v>
                </c:pt>
                <c:pt idx="15">
                  <c:v>37226</c:v>
                </c:pt>
                <c:pt idx="16">
                  <c:v>37257</c:v>
                </c:pt>
                <c:pt idx="17">
                  <c:v>37288</c:v>
                </c:pt>
                <c:pt idx="18">
                  <c:v>37316</c:v>
                </c:pt>
              </c:numCache>
            </c:numRef>
          </c:cat>
          <c:val>
            <c:numRef>
              <c:f>MAIN!$J$20:$J$38</c:f>
              <c:numCache>
                <c:formatCode>0.00</c:formatCode>
                <c:ptCount val="1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B-4B72-A328-D44A9BF6B211}"/>
            </c:ext>
          </c:extLst>
        </c:ser>
        <c:ser>
          <c:idx val="1"/>
          <c:order val="1"/>
          <c:tx>
            <c:v>WTI-Curve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val>
            <c:numRef>
              <c:f>MAIN!$L$20:$L$38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B-4B72-A328-D44A9BF6B211}"/>
            </c:ext>
          </c:extLst>
        </c:ser>
        <c:ser>
          <c:idx val="2"/>
          <c:order val="2"/>
          <c:tx>
            <c:v>Brent-Settle</c:v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val>
            <c:numRef>
              <c:f>MAIN!$P$20:$P$38</c:f>
              <c:numCache>
                <c:formatCode>0.00</c:formatCode>
                <c:ptCount val="1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B-4B72-A328-D44A9BF6B211}"/>
            </c:ext>
          </c:extLst>
        </c:ser>
        <c:ser>
          <c:idx val="3"/>
          <c:order val="3"/>
          <c:tx>
            <c:v>Brent-Curve</c:v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6666"/>
              </a:solidFill>
              <a:ln>
                <a:solidFill>
                  <a:srgbClr val="336666"/>
                </a:solidFill>
                <a:prstDash val="solid"/>
              </a:ln>
            </c:spPr>
          </c:marker>
          <c:val>
            <c:numRef>
              <c:f>MAIN!$R$20:$R$38</c:f>
              <c:numCache>
                <c:formatCode>0.00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7B-4B72-A328-D44A9BF6B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47384"/>
        <c:axId val="1"/>
      </c:lineChart>
      <c:dateAx>
        <c:axId val="20954738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"/>
        <c:crosses val="autoZero"/>
        <c:auto val="1"/>
        <c:lblOffset val="100"/>
        <c:baseTimeUnit val="months"/>
      </c:dateAx>
      <c:valAx>
        <c:axId val="1"/>
        <c:scaling>
          <c:orientation val="minMax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547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57814940581071"/>
          <c:y val="8.8957355004506494E-2"/>
          <c:w val="0.85594832386042419"/>
          <c:h val="0.7638062550386938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MAIN!$O$21:$O$260</c:f>
              <c:numCache>
                <c:formatCode>0.0000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8-4207-945B-3AFF5A71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44104"/>
        <c:axId val="1"/>
      </c:lineChart>
      <c:catAx>
        <c:axId val="20954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544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973488217427818E-2"/>
          <c:y val="0.10320325047144954"/>
          <c:w val="0.87960099640667333"/>
          <c:h val="0.7259814860750243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MAIN!$L$21:$L$260</c:f>
              <c:numCache>
                <c:formatCode>0.00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3.7499999999999999E-2</c:v>
                </c:pt>
                <c:pt idx="77">
                  <c:v>7.4999999999999997E-2</c:v>
                </c:pt>
                <c:pt idx="78">
                  <c:v>0.11249999999999999</c:v>
                </c:pt>
                <c:pt idx="79">
                  <c:v>0.15</c:v>
                </c:pt>
                <c:pt idx="80">
                  <c:v>0.1875</c:v>
                </c:pt>
                <c:pt idx="81">
                  <c:v>0.22500000000000001</c:v>
                </c:pt>
                <c:pt idx="82">
                  <c:v>0.26250000000000001</c:v>
                </c:pt>
                <c:pt idx="83">
                  <c:v>0.3</c:v>
                </c:pt>
                <c:pt idx="84">
                  <c:v>0.33749999999999997</c:v>
                </c:pt>
                <c:pt idx="85">
                  <c:v>0.37499999999999994</c:v>
                </c:pt>
                <c:pt idx="86">
                  <c:v>0.41249999999999992</c:v>
                </c:pt>
                <c:pt idx="87">
                  <c:v>0.4499999999999999</c:v>
                </c:pt>
                <c:pt idx="88">
                  <c:v>0.48749999999999988</c:v>
                </c:pt>
                <c:pt idx="89">
                  <c:v>0.52499999999999991</c:v>
                </c:pt>
                <c:pt idx="90">
                  <c:v>0.56249999999999989</c:v>
                </c:pt>
                <c:pt idx="91">
                  <c:v>0.59999999999999987</c:v>
                </c:pt>
                <c:pt idx="92">
                  <c:v>0.63749999999999984</c:v>
                </c:pt>
                <c:pt idx="93">
                  <c:v>0.67499999999999982</c:v>
                </c:pt>
                <c:pt idx="94">
                  <c:v>0.7124999999999998</c:v>
                </c:pt>
                <c:pt idx="95">
                  <c:v>0.74999999999999978</c:v>
                </c:pt>
                <c:pt idx="96">
                  <c:v>0.78749999999999976</c:v>
                </c:pt>
                <c:pt idx="97">
                  <c:v>0.82499999999999973</c:v>
                </c:pt>
                <c:pt idx="98">
                  <c:v>0.86249999999999971</c:v>
                </c:pt>
                <c:pt idx="99">
                  <c:v>0.89999999999999969</c:v>
                </c:pt>
                <c:pt idx="100">
                  <c:v>0.93749999999999967</c:v>
                </c:pt>
                <c:pt idx="101">
                  <c:v>0.97499999999999964</c:v>
                </c:pt>
                <c:pt idx="102">
                  <c:v>1.0124999999999997</c:v>
                </c:pt>
                <c:pt idx="103">
                  <c:v>1.0499999999999998</c:v>
                </c:pt>
                <c:pt idx="104">
                  <c:v>1.0874999999999999</c:v>
                </c:pt>
                <c:pt idx="105">
                  <c:v>1.125</c:v>
                </c:pt>
                <c:pt idx="106">
                  <c:v>1.1625000000000001</c:v>
                </c:pt>
                <c:pt idx="107">
                  <c:v>1.2000000000000002</c:v>
                </c:pt>
                <c:pt idx="108">
                  <c:v>1.2375000000000003</c:v>
                </c:pt>
                <c:pt idx="109">
                  <c:v>1.2750000000000004</c:v>
                </c:pt>
                <c:pt idx="110">
                  <c:v>1.3125000000000004</c:v>
                </c:pt>
                <c:pt idx="111">
                  <c:v>1.3500000000000005</c:v>
                </c:pt>
                <c:pt idx="112">
                  <c:v>1.3875000000000006</c:v>
                </c:pt>
                <c:pt idx="113">
                  <c:v>1.4250000000000007</c:v>
                </c:pt>
                <c:pt idx="114">
                  <c:v>1.4625000000000008</c:v>
                </c:pt>
                <c:pt idx="115">
                  <c:v>1.5000000000000009</c:v>
                </c:pt>
                <c:pt idx="116">
                  <c:v>1.537500000000001</c:v>
                </c:pt>
                <c:pt idx="117">
                  <c:v>1.5750000000000011</c:v>
                </c:pt>
                <c:pt idx="118">
                  <c:v>1.6125000000000012</c:v>
                </c:pt>
                <c:pt idx="119">
                  <c:v>1.6500000000000012</c:v>
                </c:pt>
                <c:pt idx="120">
                  <c:v>1.6875000000000013</c:v>
                </c:pt>
                <c:pt idx="121">
                  <c:v>1.7250000000000014</c:v>
                </c:pt>
                <c:pt idx="122">
                  <c:v>1.7625000000000015</c:v>
                </c:pt>
                <c:pt idx="123">
                  <c:v>1.8000000000000016</c:v>
                </c:pt>
                <c:pt idx="124">
                  <c:v>1.8375000000000017</c:v>
                </c:pt>
                <c:pt idx="125">
                  <c:v>1.8750000000000018</c:v>
                </c:pt>
                <c:pt idx="126">
                  <c:v>1.9125000000000019</c:v>
                </c:pt>
                <c:pt idx="127">
                  <c:v>1.950000000000002</c:v>
                </c:pt>
                <c:pt idx="128">
                  <c:v>1.987500000000002</c:v>
                </c:pt>
                <c:pt idx="129">
                  <c:v>2.0250000000000021</c:v>
                </c:pt>
                <c:pt idx="130">
                  <c:v>2.0625000000000022</c:v>
                </c:pt>
                <c:pt idx="131">
                  <c:v>2.1000000000000023</c:v>
                </c:pt>
                <c:pt idx="132">
                  <c:v>2.1375000000000024</c:v>
                </c:pt>
                <c:pt idx="133">
                  <c:v>2.1750000000000025</c:v>
                </c:pt>
                <c:pt idx="134">
                  <c:v>2.2125000000000026</c:v>
                </c:pt>
                <c:pt idx="135">
                  <c:v>2.2500000000000027</c:v>
                </c:pt>
                <c:pt idx="136">
                  <c:v>2.2875000000000028</c:v>
                </c:pt>
                <c:pt idx="137">
                  <c:v>2.3250000000000028</c:v>
                </c:pt>
                <c:pt idx="138">
                  <c:v>2.3625000000000029</c:v>
                </c:pt>
                <c:pt idx="139">
                  <c:v>2.400000000000003</c:v>
                </c:pt>
                <c:pt idx="140">
                  <c:v>2.4375000000000031</c:v>
                </c:pt>
                <c:pt idx="141">
                  <c:v>2.4750000000000032</c:v>
                </c:pt>
                <c:pt idx="142">
                  <c:v>2.5125000000000033</c:v>
                </c:pt>
                <c:pt idx="143">
                  <c:v>2.5500000000000034</c:v>
                </c:pt>
                <c:pt idx="144">
                  <c:v>2.5875000000000035</c:v>
                </c:pt>
                <c:pt idx="145">
                  <c:v>2.6250000000000036</c:v>
                </c:pt>
                <c:pt idx="146">
                  <c:v>2.6625000000000036</c:v>
                </c:pt>
                <c:pt idx="147">
                  <c:v>2.7000000000000037</c:v>
                </c:pt>
                <c:pt idx="148">
                  <c:v>2.7375000000000038</c:v>
                </c:pt>
                <c:pt idx="149">
                  <c:v>2.7750000000000039</c:v>
                </c:pt>
                <c:pt idx="150">
                  <c:v>2.812500000000004</c:v>
                </c:pt>
                <c:pt idx="151">
                  <c:v>2.8500000000000041</c:v>
                </c:pt>
                <c:pt idx="152">
                  <c:v>2.8875000000000042</c:v>
                </c:pt>
                <c:pt idx="153">
                  <c:v>2.9250000000000043</c:v>
                </c:pt>
                <c:pt idx="154">
                  <c:v>2.9625000000000044</c:v>
                </c:pt>
                <c:pt idx="155">
                  <c:v>3.0000000000000044</c:v>
                </c:pt>
                <c:pt idx="156">
                  <c:v>3.0375000000000045</c:v>
                </c:pt>
                <c:pt idx="157">
                  <c:v>3.0750000000000046</c:v>
                </c:pt>
                <c:pt idx="158">
                  <c:v>3.1125000000000047</c:v>
                </c:pt>
                <c:pt idx="159">
                  <c:v>3.1500000000000048</c:v>
                </c:pt>
                <c:pt idx="160">
                  <c:v>3.1875000000000049</c:v>
                </c:pt>
                <c:pt idx="161">
                  <c:v>3.225000000000005</c:v>
                </c:pt>
                <c:pt idx="162">
                  <c:v>3.2625000000000051</c:v>
                </c:pt>
                <c:pt idx="163">
                  <c:v>3.3000000000000052</c:v>
                </c:pt>
                <c:pt idx="164">
                  <c:v>3.3375000000000052</c:v>
                </c:pt>
                <c:pt idx="165">
                  <c:v>3.3750000000000053</c:v>
                </c:pt>
                <c:pt idx="166">
                  <c:v>3.4125000000000054</c:v>
                </c:pt>
                <c:pt idx="167">
                  <c:v>3.4500000000000055</c:v>
                </c:pt>
                <c:pt idx="168">
                  <c:v>3.4875000000000056</c:v>
                </c:pt>
                <c:pt idx="169">
                  <c:v>3.5250000000000057</c:v>
                </c:pt>
                <c:pt idx="170">
                  <c:v>3.5625000000000058</c:v>
                </c:pt>
                <c:pt idx="171">
                  <c:v>3.6000000000000059</c:v>
                </c:pt>
                <c:pt idx="172">
                  <c:v>3.637500000000006</c:v>
                </c:pt>
                <c:pt idx="173">
                  <c:v>3.675000000000006</c:v>
                </c:pt>
                <c:pt idx="174">
                  <c:v>3.7125000000000061</c:v>
                </c:pt>
                <c:pt idx="175">
                  <c:v>3.7500000000000062</c:v>
                </c:pt>
                <c:pt idx="176">
                  <c:v>3.7875000000000063</c:v>
                </c:pt>
                <c:pt idx="177">
                  <c:v>3.8250000000000064</c:v>
                </c:pt>
                <c:pt idx="178">
                  <c:v>3.8625000000000065</c:v>
                </c:pt>
                <c:pt idx="179">
                  <c:v>3.9000000000000066</c:v>
                </c:pt>
                <c:pt idx="180">
                  <c:v>3.9375000000000067</c:v>
                </c:pt>
                <c:pt idx="181">
                  <c:v>3.9750000000000068</c:v>
                </c:pt>
                <c:pt idx="182">
                  <c:v>4.0125000000000064</c:v>
                </c:pt>
                <c:pt idx="183">
                  <c:v>4.050000000000006</c:v>
                </c:pt>
                <c:pt idx="184">
                  <c:v>4.0875000000000057</c:v>
                </c:pt>
                <c:pt idx="185">
                  <c:v>4.1250000000000053</c:v>
                </c:pt>
                <c:pt idx="186">
                  <c:v>4.162500000000005</c:v>
                </c:pt>
                <c:pt idx="187">
                  <c:v>4.2000000000000046</c:v>
                </c:pt>
                <c:pt idx="188">
                  <c:v>4.2375000000000043</c:v>
                </c:pt>
                <c:pt idx="189">
                  <c:v>4.2750000000000039</c:v>
                </c:pt>
                <c:pt idx="190">
                  <c:v>4.3125000000000036</c:v>
                </c:pt>
                <c:pt idx="191">
                  <c:v>4.3500000000000032</c:v>
                </c:pt>
                <c:pt idx="192">
                  <c:v>4.3875000000000028</c:v>
                </c:pt>
                <c:pt idx="193">
                  <c:v>4.4250000000000025</c:v>
                </c:pt>
                <c:pt idx="194">
                  <c:v>4.4625000000000021</c:v>
                </c:pt>
                <c:pt idx="195">
                  <c:v>4.5000000000000018</c:v>
                </c:pt>
                <c:pt idx="196">
                  <c:v>4.5375000000000014</c:v>
                </c:pt>
                <c:pt idx="197">
                  <c:v>4.5750000000000011</c:v>
                </c:pt>
                <c:pt idx="198">
                  <c:v>4.6125000000000007</c:v>
                </c:pt>
                <c:pt idx="199">
                  <c:v>4.6500000000000004</c:v>
                </c:pt>
                <c:pt idx="200">
                  <c:v>4.6875</c:v>
                </c:pt>
                <c:pt idx="201">
                  <c:v>4.7249999999999996</c:v>
                </c:pt>
                <c:pt idx="202">
                  <c:v>4.7624999999999993</c:v>
                </c:pt>
                <c:pt idx="203">
                  <c:v>4.7999999999999989</c:v>
                </c:pt>
                <c:pt idx="204">
                  <c:v>4.8374999999999986</c:v>
                </c:pt>
                <c:pt idx="205">
                  <c:v>4.8749999999999982</c:v>
                </c:pt>
                <c:pt idx="206">
                  <c:v>4.9124999999999979</c:v>
                </c:pt>
                <c:pt idx="207">
                  <c:v>4.9499999999999975</c:v>
                </c:pt>
                <c:pt idx="208">
                  <c:v>4.9874999999999972</c:v>
                </c:pt>
                <c:pt idx="209">
                  <c:v>5.0249999999999968</c:v>
                </c:pt>
                <c:pt idx="210">
                  <c:v>5.0624999999999964</c:v>
                </c:pt>
                <c:pt idx="211">
                  <c:v>5.0999999999999961</c:v>
                </c:pt>
                <c:pt idx="212">
                  <c:v>5.1374999999999957</c:v>
                </c:pt>
                <c:pt idx="213">
                  <c:v>5.1749999999999954</c:v>
                </c:pt>
                <c:pt idx="214">
                  <c:v>5.212499999999995</c:v>
                </c:pt>
                <c:pt idx="215">
                  <c:v>5.2499999999999947</c:v>
                </c:pt>
                <c:pt idx="216">
                  <c:v>5.2874999999999943</c:v>
                </c:pt>
                <c:pt idx="217">
                  <c:v>5.324999999999994</c:v>
                </c:pt>
                <c:pt idx="218">
                  <c:v>5.3624999999999936</c:v>
                </c:pt>
                <c:pt idx="219">
                  <c:v>5.3999999999999932</c:v>
                </c:pt>
                <c:pt idx="220">
                  <c:v>5.4374999999999929</c:v>
                </c:pt>
                <c:pt idx="221">
                  <c:v>5.4749999999999925</c:v>
                </c:pt>
                <c:pt idx="222">
                  <c:v>5.5124999999999922</c:v>
                </c:pt>
                <c:pt idx="223">
                  <c:v>5.5499999999999918</c:v>
                </c:pt>
                <c:pt idx="224">
                  <c:v>5.5874999999999915</c:v>
                </c:pt>
                <c:pt idx="225">
                  <c:v>5.6249999999999911</c:v>
                </c:pt>
                <c:pt idx="226">
                  <c:v>5.6624999999999908</c:v>
                </c:pt>
                <c:pt idx="227">
                  <c:v>5.6999999999999904</c:v>
                </c:pt>
                <c:pt idx="228">
                  <c:v>5.7374999999999901</c:v>
                </c:pt>
                <c:pt idx="229">
                  <c:v>5.7749999999999897</c:v>
                </c:pt>
                <c:pt idx="230">
                  <c:v>5.8124999999999893</c:v>
                </c:pt>
                <c:pt idx="231">
                  <c:v>5.849999999999989</c:v>
                </c:pt>
                <c:pt idx="232">
                  <c:v>5.8874999999999886</c:v>
                </c:pt>
                <c:pt idx="233">
                  <c:v>5.9249999999999883</c:v>
                </c:pt>
                <c:pt idx="234">
                  <c:v>5.9624999999999879</c:v>
                </c:pt>
                <c:pt idx="235">
                  <c:v>5.9999999999999876</c:v>
                </c:pt>
                <c:pt idx="236">
                  <c:v>6.0374999999999872</c:v>
                </c:pt>
                <c:pt idx="237">
                  <c:v>6.0749999999999869</c:v>
                </c:pt>
                <c:pt idx="238">
                  <c:v>6.1124999999999865</c:v>
                </c:pt>
                <c:pt idx="239">
                  <c:v>6.1499999999999861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37-48AC-9796-006D9B7EE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58592"/>
        <c:axId val="1"/>
      </c:lineChart>
      <c:catAx>
        <c:axId val="20985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85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Radio" checked="Checked" firstButton="1" fmlaLink="$AT$3" lockText="1"/>
</file>

<file path=xl/ctrlProps/ctrlProp4.xml><?xml version="1.0" encoding="utf-8"?>
<formControlPr xmlns="http://schemas.microsoft.com/office/spreadsheetml/2009/9/main" objectType="Radio" lockText="1"/>
</file>

<file path=xl/ctrlProps/ctrlProp5.xml><?xml version="1.0" encoding="utf-8"?>
<formControlPr xmlns="http://schemas.microsoft.com/office/spreadsheetml/2009/9/main" objectType="GBox" noThreeD="1"/>
</file>

<file path=xl/ctrlProps/ctrlProp6.xml><?xml version="1.0" encoding="utf-8"?>
<formControlPr xmlns="http://schemas.microsoft.com/office/spreadsheetml/2009/9/main" objectType="Radio" checked="Checked" firstButton="1" fmlaLink="$AT$4" lockText="1"/>
</file>

<file path=xl/ctrlProps/ctrlProp7.xml><?xml version="1.0" encoding="utf-8"?>
<formControlPr xmlns="http://schemas.microsoft.com/office/spreadsheetml/2009/9/main" objectType="Radio" lockText="1"/>
</file>

<file path=xl/ctrlProps/ctrlProp8.xml><?xml version="1.0" encoding="utf-8"?>
<formControlPr xmlns="http://schemas.microsoft.com/office/spreadsheetml/2009/9/main" objectType="Radio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Radio" checked="Checked" firstButton="1" fmlaLink="$AT$5" lockText="1"/>
</file>

<file path=xl/ctrlProps/ctrlProp11.xml><?xml version="1.0" encoding="utf-8"?>
<formControlPr xmlns="http://schemas.microsoft.com/office/spreadsheetml/2009/9/main" objectType="Radio" lockText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GBox" noThreeD="1"/>
</file>

<file path=xl/ctrlProps/ctrlProp14.xml><?xml version="1.0" encoding="utf-8"?>
<formControlPr xmlns="http://schemas.microsoft.com/office/spreadsheetml/2009/9/main" objectType="GBox" noThreeD="1"/>
</file>

<file path=xl/ctrlProps/ctrlProp15.xml><?xml version="1.0" encoding="utf-8"?>
<formControlPr xmlns="http://schemas.microsoft.com/office/spreadsheetml/2009/9/main" objectType="Radio" checked="Checked" firstButton="1" fmlaLink="$AT$6" lockText="1"/>
</file>

<file path=xl/ctrlProps/ctrlProp16.xml><?xml version="1.0" encoding="utf-8"?>
<formControlPr xmlns="http://schemas.microsoft.com/office/spreadsheetml/2009/9/main" objectType="Radio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Radio" checked="Checked" firstButton="1" fmlaLink="$AY$3" lockText="1"/>
</file>

<file path=xl/ctrlProps/ctrlProp19.xml><?xml version="1.0" encoding="utf-8"?>
<formControlPr xmlns="http://schemas.microsoft.com/office/spreadsheetml/2009/9/main" objectType="Radio" lockText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checked="Checked" firstButton="1" fmlaLink="$AT$7" lockText="1"/>
</file>

<file path=xl/ctrlProps/ctrlProp22.xml><?xml version="1.0" encoding="utf-8"?>
<formControlPr xmlns="http://schemas.microsoft.com/office/spreadsheetml/2009/9/main" objectType="Radio" lockText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CheckBox" fmlaLink="$AT$8" lockText="1" noThreeD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Lines="24" dropStyle="combo" dx="26" fmlaLink="$AY$6" fmlaRange="$I$20:$I$42" sel="1" val="0"/>
</file>

<file path=xl/ctrlProps/ctrlProp28.xml><?xml version="1.0" encoding="utf-8"?>
<formControlPr xmlns="http://schemas.microsoft.com/office/spreadsheetml/2009/9/main" objectType="Drop" dropLines="45" dropStyle="combo" dx="26" fmlaLink="$AY$5" fmlaRange="$I$19:$I$63" sel="6" val="0"/>
</file>

<file path=xl/ctrlProps/ctrlProp29.xml><?xml version="1.0" encoding="utf-8"?>
<formControlPr xmlns="http://schemas.microsoft.com/office/spreadsheetml/2009/9/main" objectType="Drop" dropLines="36" dropStyle="combo" dx="26" fmlaLink="$AY$4" fmlaRange="$EQ$17:$EQ$256" sel="12" val="6"/>
</file>

<file path=xl/ctrlProps/ctrlProp30.xml><?xml version="1.0" encoding="utf-8"?>
<formControlPr xmlns="http://schemas.microsoft.com/office/spreadsheetml/2009/9/main" objectType="Drop" dropLines="37" dropStyle="combo" dx="26" fmlaLink="$AY$8" fmlaRange="$I$20:$I$56" sel="5" val="0"/>
</file>

<file path=xl/ctrlProps/ctrlProp31.xml><?xml version="1.0" encoding="utf-8"?>
<formControlPr xmlns="http://schemas.microsoft.com/office/spreadsheetml/2009/9/main" objectType="Drop" dropLines="36" dropStyle="combo" dx="26" fmlaLink="$AY$7" fmlaRange="$EQ$17:$EQ$76" sel="12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checked="Checked" firstButton="1" fmlaLink="$AY$9" lockText="1"/>
</file>

<file path=xl/ctrlProps/ctrlProp41.xml><?xml version="1.0" encoding="utf-8"?>
<formControlPr xmlns="http://schemas.microsoft.com/office/spreadsheetml/2009/9/main" objectType="Radio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25</xdr:row>
          <xdr:rowOff>7620</xdr:rowOff>
        </xdr:from>
        <xdr:to>
          <xdr:col>6</xdr:col>
          <xdr:colOff>693420</xdr:colOff>
          <xdr:row>25</xdr:row>
          <xdr:rowOff>213360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Extendable 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45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Participating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14</xdr:row>
          <xdr:rowOff>152400</xdr:rowOff>
        </xdr:from>
        <xdr:to>
          <xdr:col>8</xdr:col>
          <xdr:colOff>548640</xdr:colOff>
          <xdr:row>15</xdr:row>
          <xdr:rowOff>152400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WTI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16</xdr:row>
          <xdr:rowOff>38100</xdr:rowOff>
        </xdr:from>
        <xdr:to>
          <xdr:col>8</xdr:col>
          <xdr:colOff>579120</xdr:colOff>
          <xdr:row>17</xdr:row>
          <xdr:rowOff>68580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Brent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17</xdr:row>
          <xdr:rowOff>198120</xdr:rowOff>
        </xdr:to>
        <xdr:sp macro="" textlink="">
          <xdr:nvSpPr>
            <xdr:cNvPr id="1033" name="Group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7</xdr:row>
          <xdr:rowOff>7620</xdr:rowOff>
        </xdr:from>
        <xdr:to>
          <xdr:col>3</xdr:col>
          <xdr:colOff>403860</xdr:colOff>
          <xdr:row>8</xdr:row>
          <xdr:rowOff>22860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Specified Strikes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</xdr:row>
          <xdr:rowOff>182880</xdr:rowOff>
        </xdr:from>
        <xdr:to>
          <xdr:col>3</xdr:col>
          <xdr:colOff>502920</xdr:colOff>
          <xdr:row>8</xdr:row>
          <xdr:rowOff>167640</xdr:rowOff>
        </xdr:to>
        <xdr:sp macro="" textlink="">
          <xdr:nvSpPr>
            <xdr:cNvPr id="1040" name="Option Button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At-the-Money Strike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8</xdr:row>
          <xdr:rowOff>129540</xdr:rowOff>
        </xdr:from>
        <xdr:to>
          <xdr:col>2</xdr:col>
          <xdr:colOff>274320</xdr:colOff>
          <xdr:row>9</xdr:row>
          <xdr:rowOff>152400</xdr:rowOff>
        </xdr:to>
        <xdr:sp macro="" textlink="">
          <xdr:nvSpPr>
            <xdr:cNvPr id="1041" name="Option Button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236220</xdr:colOff>
          <xdr:row>8</xdr:row>
          <xdr:rowOff>129540</xdr:rowOff>
        </xdr:from>
        <xdr:to>
          <xdr:col>3</xdr:col>
          <xdr:colOff>441960</xdr:colOff>
          <xdr:row>9</xdr:row>
          <xdr:rowOff>152400</xdr:rowOff>
        </xdr:to>
        <xdr:sp macro="" textlink="">
          <xdr:nvSpPr>
            <xdr:cNvPr id="1042" name="Option Button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68580</xdr:colOff>
          <xdr:row>24</xdr:row>
          <xdr:rowOff>7620</xdr:rowOff>
        </xdr:from>
        <xdr:to>
          <xdr:col>5</xdr:col>
          <xdr:colOff>601980</xdr:colOff>
          <xdr:row>24</xdr:row>
          <xdr:rowOff>228600</xdr:rowOff>
        </xdr:to>
        <xdr:sp macro="" textlink="">
          <xdr:nvSpPr>
            <xdr:cNvPr id="1045" name="Option 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53340</xdr:colOff>
          <xdr:row>24</xdr:row>
          <xdr:rowOff>7620</xdr:rowOff>
        </xdr:from>
        <xdr:to>
          <xdr:col>6</xdr:col>
          <xdr:colOff>518160</xdr:colOff>
          <xdr:row>24</xdr:row>
          <xdr:rowOff>228600</xdr:rowOff>
        </xdr:to>
        <xdr:sp macro="" textlink="">
          <xdr:nvSpPr>
            <xdr:cNvPr id="1046" name="Option Button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693420</xdr:colOff>
          <xdr:row>25</xdr:row>
          <xdr:rowOff>0</xdr:rowOff>
        </xdr:to>
        <xdr:sp macro="" textlink="">
          <xdr:nvSpPr>
            <xdr:cNvPr id="1047" name="Group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3</xdr:col>
          <xdr:colOff>632460</xdr:colOff>
          <xdr:row>10</xdr:row>
          <xdr:rowOff>7620</xdr:rowOff>
        </xdr:to>
        <xdr:sp macro="" textlink="">
          <xdr:nvSpPr>
            <xdr:cNvPr id="1048" name="Group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4</xdr:col>
          <xdr:colOff>0</xdr:colOff>
          <xdr:row>47</xdr:row>
          <xdr:rowOff>38100</xdr:rowOff>
        </xdr:to>
        <xdr:sp macro="" textlink="">
          <xdr:nvSpPr>
            <xdr:cNvPr id="1051" name="Group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251460</xdr:colOff>
          <xdr:row>45</xdr:row>
          <xdr:rowOff>7620</xdr:rowOff>
        </xdr:from>
        <xdr:to>
          <xdr:col>3</xdr:col>
          <xdr:colOff>518160</xdr:colOff>
          <xdr:row>46</xdr:row>
          <xdr:rowOff>60960</xdr:rowOff>
        </xdr:to>
        <xdr:sp macro="" textlink="">
          <xdr:nvSpPr>
            <xdr:cNvPr id="1052" name="Option Butto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Upside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236220</xdr:colOff>
          <xdr:row>45</xdr:row>
          <xdr:rowOff>160020</xdr:rowOff>
        </xdr:from>
        <xdr:to>
          <xdr:col>3</xdr:col>
          <xdr:colOff>502920</xdr:colOff>
          <xdr:row>47</xdr:row>
          <xdr:rowOff>22860</xdr:rowOff>
        </xdr:to>
        <xdr:sp macro="" textlink="">
          <xdr:nvSpPr>
            <xdr:cNvPr id="1053" name="Option 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Downside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32</xdr:row>
          <xdr:rowOff>7620</xdr:rowOff>
        </xdr:from>
        <xdr:to>
          <xdr:col>6</xdr:col>
          <xdr:colOff>693420</xdr:colOff>
          <xdr:row>33</xdr:row>
          <xdr:rowOff>0</xdr:rowOff>
        </xdr:to>
        <xdr:sp macro="" textlink="">
          <xdr:nvSpPr>
            <xdr:cNvPr id="1056" name="Button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45720</xdr:colOff>
          <xdr:row>10</xdr:row>
          <xdr:rowOff>38100</xdr:rowOff>
        </xdr:from>
        <xdr:to>
          <xdr:col>43</xdr:col>
          <xdr:colOff>15240</xdr:colOff>
          <xdr:row>11</xdr:row>
          <xdr:rowOff>121920</xdr:rowOff>
        </xdr:to>
        <xdr:sp macro="" textlink="">
          <xdr:nvSpPr>
            <xdr:cNvPr id="1057" name="Option Button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Automatic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236220</xdr:colOff>
          <xdr:row>10</xdr:row>
          <xdr:rowOff>38100</xdr:rowOff>
        </xdr:from>
        <xdr:to>
          <xdr:col>45</xdr:col>
          <xdr:colOff>502920</xdr:colOff>
          <xdr:row>11</xdr:row>
          <xdr:rowOff>137160</xdr:rowOff>
        </xdr:to>
        <xdr:sp macro="" textlink="">
          <xdr:nvSpPr>
            <xdr:cNvPr id="1058" name="Option Button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Manual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22860</xdr:colOff>
          <xdr:row>10</xdr:row>
          <xdr:rowOff>22860</xdr:rowOff>
        </xdr:from>
        <xdr:to>
          <xdr:col>45</xdr:col>
          <xdr:colOff>601980</xdr:colOff>
          <xdr:row>11</xdr:row>
          <xdr:rowOff>137160</xdr:rowOff>
        </xdr:to>
        <xdr:sp macro="" textlink="">
          <xdr:nvSpPr>
            <xdr:cNvPr id="1059" name="Group Box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53340</xdr:colOff>
          <xdr:row>12</xdr:row>
          <xdr:rowOff>7620</xdr:rowOff>
        </xdr:from>
        <xdr:to>
          <xdr:col>38</xdr:col>
          <xdr:colOff>7620</xdr:colOff>
          <xdr:row>13</xdr:row>
          <xdr:rowOff>45720</xdr:rowOff>
        </xdr:to>
        <xdr:sp macro="" textlink="">
          <xdr:nvSpPr>
            <xdr:cNvPr id="1142" name="Option Button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441960</xdr:colOff>
          <xdr:row>12</xdr:row>
          <xdr:rowOff>7620</xdr:rowOff>
        </xdr:from>
        <xdr:to>
          <xdr:col>39</xdr:col>
          <xdr:colOff>388620</xdr:colOff>
          <xdr:row>13</xdr:row>
          <xdr:rowOff>38100</xdr:rowOff>
        </xdr:to>
        <xdr:sp macro="" textlink="">
          <xdr:nvSpPr>
            <xdr:cNvPr id="1143" name="Option Button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Off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39</xdr:col>
          <xdr:colOff>411480</xdr:colOff>
          <xdr:row>13</xdr:row>
          <xdr:rowOff>45720</xdr:rowOff>
        </xdr:to>
        <xdr:sp macro="" textlink="">
          <xdr:nvSpPr>
            <xdr:cNvPr id="1144" name="Group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74</xdr:col>
      <xdr:colOff>0</xdr:colOff>
      <xdr:row>14</xdr:row>
      <xdr:rowOff>0</xdr:rowOff>
    </xdr:from>
    <xdr:to>
      <xdr:col>74</xdr:col>
      <xdr:colOff>0</xdr:colOff>
      <xdr:row>40</xdr:row>
      <xdr:rowOff>121920</xdr:rowOff>
    </xdr:to>
    <xdr:graphicFrame macro="">
      <xdr:nvGraphicFramePr>
        <xdr:cNvPr id="1153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45720</xdr:colOff>
          <xdr:row>16</xdr:row>
          <xdr:rowOff>38100</xdr:rowOff>
        </xdr:from>
        <xdr:to>
          <xdr:col>21</xdr:col>
          <xdr:colOff>563880</xdr:colOff>
          <xdr:row>17</xdr:row>
          <xdr:rowOff>68580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</xdr:col>
          <xdr:colOff>45720</xdr:colOff>
          <xdr:row>14</xdr:row>
          <xdr:rowOff>15240</xdr:rowOff>
        </xdr:from>
        <xdr:to>
          <xdr:col>117</xdr:col>
          <xdr:colOff>510540</xdr:colOff>
          <xdr:row>15</xdr:row>
          <xdr:rowOff>160020</xdr:rowOff>
        </xdr:to>
        <xdr:sp macro="" textlink="">
          <xdr:nvSpPr>
            <xdr:cNvPr id="1196" name="Button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Price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121</xdr:col>
          <xdr:colOff>53340</xdr:colOff>
          <xdr:row>14</xdr:row>
          <xdr:rowOff>15240</xdr:rowOff>
        </xdr:from>
        <xdr:to>
          <xdr:col>130</xdr:col>
          <xdr:colOff>502920</xdr:colOff>
          <xdr:row>15</xdr:row>
          <xdr:rowOff>152400</xdr:rowOff>
        </xdr:to>
        <xdr:sp macro="" textlink="">
          <xdr:nvSpPr>
            <xdr:cNvPr id="1198" name="Button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Vol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198120</xdr:rowOff>
        </xdr:from>
        <xdr:to>
          <xdr:col>6</xdr:col>
          <xdr:colOff>708660</xdr:colOff>
          <xdr:row>18</xdr:row>
          <xdr:rowOff>213360</xdr:rowOff>
        </xdr:to>
        <xdr:sp macro="" textlink="">
          <xdr:nvSpPr>
            <xdr:cNvPr id="6340" name="Drop Down 1220" hidden="1">
              <a:extLst>
                <a:ext uri="{63B3BB69-23CF-44E3-9099-C40C66FF867C}">
                  <a14:compatExt spid="_x0000_s6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601980</xdr:colOff>
          <xdr:row>2</xdr:row>
          <xdr:rowOff>7620</xdr:rowOff>
        </xdr:from>
        <xdr:to>
          <xdr:col>4</xdr:col>
          <xdr:colOff>45720</xdr:colOff>
          <xdr:row>2</xdr:row>
          <xdr:rowOff>236220</xdr:rowOff>
        </xdr:to>
        <xdr:sp macro="" textlink="">
          <xdr:nvSpPr>
            <xdr:cNvPr id="6341" name="Drop Down 1221" hidden="1">
              <a:extLst>
                <a:ext uri="{63B3BB69-23CF-44E3-9099-C40C66FF867C}">
                  <a14:compatExt spid="_x0000_s6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7620</xdr:rowOff>
        </xdr:from>
        <xdr:to>
          <xdr:col>1</xdr:col>
          <xdr:colOff>769620</xdr:colOff>
          <xdr:row>2</xdr:row>
          <xdr:rowOff>243840</xdr:rowOff>
        </xdr:to>
        <xdr:sp macro="" textlink="">
          <xdr:nvSpPr>
            <xdr:cNvPr id="6342" name="Drop Down 1222" hidden="1">
              <a:extLst>
                <a:ext uri="{63B3BB69-23CF-44E3-9099-C40C66FF867C}">
                  <a14:compatExt spid="_x0000_s6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601980</xdr:colOff>
          <xdr:row>23</xdr:row>
          <xdr:rowOff>7620</xdr:rowOff>
        </xdr:from>
        <xdr:to>
          <xdr:col>4</xdr:col>
          <xdr:colOff>7620</xdr:colOff>
          <xdr:row>23</xdr:row>
          <xdr:rowOff>236220</xdr:rowOff>
        </xdr:to>
        <xdr:sp macro="" textlink="">
          <xdr:nvSpPr>
            <xdr:cNvPr id="6343" name="Drop Down 1223" hidden="1">
              <a:extLst>
                <a:ext uri="{63B3BB69-23CF-44E3-9099-C40C66FF867C}">
                  <a14:compatExt spid="_x0000_s6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23</xdr:row>
          <xdr:rowOff>7620</xdr:rowOff>
        </xdr:from>
        <xdr:to>
          <xdr:col>1</xdr:col>
          <xdr:colOff>769620</xdr:colOff>
          <xdr:row>23</xdr:row>
          <xdr:rowOff>243840</xdr:rowOff>
        </xdr:to>
        <xdr:sp macro="" textlink="">
          <xdr:nvSpPr>
            <xdr:cNvPr id="6344" name="Drop Down 1224" hidden="1">
              <a:extLst>
                <a:ext uri="{63B3BB69-23CF-44E3-9099-C40C66FF867C}">
                  <a14:compatExt spid="_x0000_s6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281940</xdr:colOff>
      <xdr:row>1</xdr:row>
      <xdr:rowOff>38100</xdr:rowOff>
    </xdr:from>
    <xdr:to>
      <xdr:col>18</xdr:col>
      <xdr:colOff>548640</xdr:colOff>
      <xdr:row>13</xdr:row>
      <xdr:rowOff>182880</xdr:rowOff>
    </xdr:to>
    <xdr:graphicFrame macro="">
      <xdr:nvGraphicFramePr>
        <xdr:cNvPr id="6345" name="Chart 1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7620</xdr:colOff>
          <xdr:row>15</xdr:row>
          <xdr:rowOff>175260</xdr:rowOff>
        </xdr:from>
        <xdr:to>
          <xdr:col>19</xdr:col>
          <xdr:colOff>251460</xdr:colOff>
          <xdr:row>16</xdr:row>
          <xdr:rowOff>182880</xdr:rowOff>
        </xdr:to>
        <xdr:sp macro="" textlink="">
          <xdr:nvSpPr>
            <xdr:cNvPr id="6348" name="Button 1228" hidden="1">
              <a:extLst>
                <a:ext uri="{63B3BB69-23CF-44E3-9099-C40C66FF867C}">
                  <a14:compatExt spid="_x0000_s6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281940</xdr:colOff>
          <xdr:row>15</xdr:row>
          <xdr:rowOff>175260</xdr:rowOff>
        </xdr:from>
        <xdr:to>
          <xdr:col>20</xdr:col>
          <xdr:colOff>548640</xdr:colOff>
          <xdr:row>16</xdr:row>
          <xdr:rowOff>182880</xdr:rowOff>
        </xdr:to>
        <xdr:sp macro="" textlink="">
          <xdr:nvSpPr>
            <xdr:cNvPr id="6349" name="Button 1229" hidden="1">
              <a:extLst>
                <a:ext uri="{63B3BB69-23CF-44E3-9099-C40C66FF867C}">
                  <a14:compatExt spid="_x0000_s6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xdr:twoCellAnchor>
    <xdr:from>
      <xdr:col>19</xdr:col>
      <xdr:colOff>0</xdr:colOff>
      <xdr:row>8</xdr:row>
      <xdr:rowOff>7620</xdr:rowOff>
    </xdr:from>
    <xdr:to>
      <xdr:col>26</xdr:col>
      <xdr:colOff>0</xdr:colOff>
      <xdr:row>13</xdr:row>
      <xdr:rowOff>190500</xdr:rowOff>
    </xdr:to>
    <xdr:graphicFrame macro="">
      <xdr:nvGraphicFramePr>
        <xdr:cNvPr id="6350" name="Chart 1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7620</xdr:colOff>
          <xdr:row>1</xdr:row>
          <xdr:rowOff>7620</xdr:rowOff>
        </xdr:from>
        <xdr:to>
          <xdr:col>26</xdr:col>
          <xdr:colOff>678180</xdr:colOff>
          <xdr:row>6</xdr:row>
          <xdr:rowOff>106680</xdr:rowOff>
        </xdr:to>
        <xdr:sp macro="" textlink="">
          <xdr:nvSpPr>
            <xdr:cNvPr id="6351" name="Button 1231" hidden="1">
              <a:extLst>
                <a:ext uri="{63B3BB69-23CF-44E3-9099-C40C66FF867C}">
                  <a14:compatExt spid="_x0000_s6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15240</xdr:colOff>
          <xdr:row>15</xdr:row>
          <xdr:rowOff>7620</xdr:rowOff>
        </xdr:from>
        <xdr:to>
          <xdr:col>10</xdr:col>
          <xdr:colOff>266700</xdr:colOff>
          <xdr:row>16</xdr:row>
          <xdr:rowOff>182880</xdr:rowOff>
        </xdr:to>
        <xdr:sp macro="" textlink="">
          <xdr:nvSpPr>
            <xdr:cNvPr id="7195" name="Button 2075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289560</xdr:colOff>
          <xdr:row>15</xdr:row>
          <xdr:rowOff>7620</xdr:rowOff>
        </xdr:from>
        <xdr:to>
          <xdr:col>11</xdr:col>
          <xdr:colOff>472440</xdr:colOff>
          <xdr:row>16</xdr:row>
          <xdr:rowOff>182880</xdr:rowOff>
        </xdr:to>
        <xdr:sp macro="" textlink="">
          <xdr:nvSpPr>
            <xdr:cNvPr id="7198" name="Button 2078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22860</xdr:colOff>
          <xdr:row>15</xdr:row>
          <xdr:rowOff>7620</xdr:rowOff>
        </xdr:from>
        <xdr:to>
          <xdr:col>13</xdr:col>
          <xdr:colOff>297180</xdr:colOff>
          <xdr:row>16</xdr:row>
          <xdr:rowOff>182880</xdr:rowOff>
        </xdr:to>
        <xdr:sp macro="" textlink="">
          <xdr:nvSpPr>
            <xdr:cNvPr id="7199" name="Button 2079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304800</xdr:colOff>
          <xdr:row>15</xdr:row>
          <xdr:rowOff>7620</xdr:rowOff>
        </xdr:from>
        <xdr:to>
          <xdr:col>14</xdr:col>
          <xdr:colOff>518160</xdr:colOff>
          <xdr:row>16</xdr:row>
          <xdr:rowOff>182880</xdr:rowOff>
        </xdr:to>
        <xdr:sp macro="" textlink="">
          <xdr:nvSpPr>
            <xdr:cNvPr id="7200" name="Button 2080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34</xdr:row>
          <xdr:rowOff>0</xdr:rowOff>
        </xdr:from>
        <xdr:to>
          <xdr:col>4</xdr:col>
          <xdr:colOff>0</xdr:colOff>
          <xdr:row>34</xdr:row>
          <xdr:rowOff>251460</xdr:rowOff>
        </xdr:to>
        <xdr:sp macro="" textlink="">
          <xdr:nvSpPr>
            <xdr:cNvPr id="7386" name="Group Box 2266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617220</xdr:colOff>
          <xdr:row>34</xdr:row>
          <xdr:rowOff>7620</xdr:rowOff>
        </xdr:from>
        <xdr:to>
          <xdr:col>2</xdr:col>
          <xdr:colOff>434340</xdr:colOff>
          <xdr:row>34</xdr:row>
          <xdr:rowOff>228600</xdr:rowOff>
        </xdr:to>
        <xdr:sp macro="" textlink="">
          <xdr:nvSpPr>
            <xdr:cNvPr id="7387" name="Option Button 2267" hidden="1">
              <a:extLst>
                <a:ext uri="{63B3BB69-23CF-44E3-9099-C40C66FF867C}">
                  <a14:compatExt spid="_x0000_s7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Today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441960</xdr:colOff>
          <xdr:row>34</xdr:row>
          <xdr:rowOff>7620</xdr:rowOff>
        </xdr:from>
        <xdr:to>
          <xdr:col>3</xdr:col>
          <xdr:colOff>594360</xdr:colOff>
          <xdr:row>34</xdr:row>
          <xdr:rowOff>228600</xdr:rowOff>
        </xdr:to>
        <xdr:sp macro="" textlink="">
          <xdr:nvSpPr>
            <xdr:cNvPr id="7388" name="Option Button 2268" hidden="1">
              <a:extLst>
                <a:ext uri="{63B3BB69-23CF-44E3-9099-C40C66FF867C}">
                  <a14:compatExt spid="_x0000_s7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Beginning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22860</xdr:colOff>
          <xdr:row>15</xdr:row>
          <xdr:rowOff>7620</xdr:rowOff>
        </xdr:from>
        <xdr:to>
          <xdr:col>16</xdr:col>
          <xdr:colOff>274320</xdr:colOff>
          <xdr:row>16</xdr:row>
          <xdr:rowOff>182880</xdr:rowOff>
        </xdr:to>
        <xdr:sp macro="" textlink="">
          <xdr:nvSpPr>
            <xdr:cNvPr id="7523" name="Button 2403" hidden="1">
              <a:extLst>
                <a:ext uri="{63B3BB69-23CF-44E3-9099-C40C66FF867C}">
                  <a14:compatExt spid="_x0000_s7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297180</xdr:colOff>
          <xdr:row>15</xdr:row>
          <xdr:rowOff>7620</xdr:rowOff>
        </xdr:from>
        <xdr:to>
          <xdr:col>17</xdr:col>
          <xdr:colOff>510540</xdr:colOff>
          <xdr:row>16</xdr:row>
          <xdr:rowOff>182880</xdr:rowOff>
        </xdr:to>
        <xdr:sp macro="" textlink="">
          <xdr:nvSpPr>
            <xdr:cNvPr id="7524" name="Button 2404" hidden="1">
              <a:extLst>
                <a:ext uri="{63B3BB69-23CF-44E3-9099-C40C66FF867C}">
                  <a14:compatExt spid="_x0000_s7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7620</xdr:colOff>
          <xdr:row>6</xdr:row>
          <xdr:rowOff>114300</xdr:rowOff>
        </xdr:from>
        <xdr:to>
          <xdr:col>26</xdr:col>
          <xdr:colOff>678180</xdr:colOff>
          <xdr:row>14</xdr:row>
          <xdr:rowOff>0</xdr:rowOff>
        </xdr:to>
        <xdr:sp macro="" textlink="">
          <xdr:nvSpPr>
            <xdr:cNvPr id="7525" name="Button 2405" hidden="1">
              <a:extLst>
                <a:ext uri="{63B3BB69-23CF-44E3-9099-C40C66FF867C}">
                  <a14:compatExt spid="_x0000_s7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Retrieve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7620</xdr:colOff>
          <xdr:row>7</xdr:row>
          <xdr:rowOff>7620</xdr:rowOff>
        </xdr:from>
        <xdr:to>
          <xdr:col>5</xdr:col>
          <xdr:colOff>0</xdr:colOff>
          <xdr:row>7</xdr:row>
          <xdr:rowOff>213360</xdr:rowOff>
        </xdr:to>
        <xdr:sp macro="" textlink="">
          <xdr:nvSpPr>
            <xdr:cNvPr id="7658" name="Button 2538" hidden="1">
              <a:extLst>
                <a:ext uri="{63B3BB69-23CF-44E3-9099-C40C66FF867C}">
                  <a14:compatExt spid="_x0000_s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Straddle</a:t>
              </a:r>
            </a:p>
          </xdr:txBody>
        </xdr:sp>
        <xdr:clientData/>
      </xdr:twoCellAnchor>
    </mc:Choice>
    <mc:Fallback/>
  </mc:AlternateContent>
  <xdr:twoCellAnchor>
    <xdr:from>
      <xdr:col>7</xdr:col>
      <xdr:colOff>22860</xdr:colOff>
      <xdr:row>1</xdr:row>
      <xdr:rowOff>22860</xdr:rowOff>
    </xdr:from>
    <xdr:to>
      <xdr:col>12</xdr:col>
      <xdr:colOff>274320</xdr:colOff>
      <xdr:row>13</xdr:row>
      <xdr:rowOff>182880</xdr:rowOff>
    </xdr:to>
    <xdr:graphicFrame macro="">
      <xdr:nvGraphicFramePr>
        <xdr:cNvPr id="7659" name="Chart 25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22860</xdr:colOff>
          <xdr:row>14</xdr:row>
          <xdr:rowOff>15240</xdr:rowOff>
        </xdr:from>
        <xdr:to>
          <xdr:col>6</xdr:col>
          <xdr:colOff>693420</xdr:colOff>
          <xdr:row>15</xdr:row>
          <xdr:rowOff>152400</xdr:rowOff>
        </xdr:to>
        <xdr:sp macro="" textlink="">
          <xdr:nvSpPr>
            <xdr:cNvPr id="14357" name="Button 8213" hidden="1">
              <a:extLst>
                <a:ext uri="{63B3BB69-23CF-44E3-9099-C40C66FF867C}">
                  <a14:compatExt spid="_x0000_s14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45720</xdr:colOff>
      <xdr:row>59</xdr:row>
      <xdr:rowOff>137160</xdr:rowOff>
    </xdr:from>
    <xdr:to>
      <xdr:col>6</xdr:col>
      <xdr:colOff>662940</xdr:colOff>
      <xdr:row>74</xdr:row>
      <xdr:rowOff>106680</xdr:rowOff>
    </xdr:to>
    <xdr:graphicFrame macro="">
      <xdr:nvGraphicFramePr>
        <xdr:cNvPr id="15740" name="Chart 95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45720</xdr:colOff>
      <xdr:row>47</xdr:row>
      <xdr:rowOff>38100</xdr:rowOff>
    </xdr:from>
    <xdr:to>
      <xdr:col>6</xdr:col>
      <xdr:colOff>670560</xdr:colOff>
      <xdr:row>59</xdr:row>
      <xdr:rowOff>129540</xdr:rowOff>
    </xdr:to>
    <xdr:graphicFrame macro="">
      <xdr:nvGraphicFramePr>
        <xdr:cNvPr id="15777" name="Chart 96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118</xdr:col>
          <xdr:colOff>0</xdr:colOff>
          <xdr:row>14</xdr:row>
          <xdr:rowOff>15240</xdr:rowOff>
        </xdr:from>
        <xdr:to>
          <xdr:col>120</xdr:col>
          <xdr:colOff>457200</xdr:colOff>
          <xdr:row>15</xdr:row>
          <xdr:rowOff>144780</xdr:rowOff>
        </xdr:to>
        <xdr:sp macro="" textlink="">
          <xdr:nvSpPr>
            <xdr:cNvPr id="17004" name="Button 10860" hidden="1">
              <a:extLst>
                <a:ext uri="{63B3BB69-23CF-44E3-9099-C40C66FF867C}">
                  <a14:compatExt spid="_x0000_s17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Dated 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7620</xdr:colOff>
          <xdr:row>16</xdr:row>
          <xdr:rowOff>7620</xdr:rowOff>
        </xdr:from>
        <xdr:to>
          <xdr:col>46</xdr:col>
          <xdr:colOff>7620</xdr:colOff>
          <xdr:row>17</xdr:row>
          <xdr:rowOff>198120</xdr:rowOff>
        </xdr:to>
        <xdr:sp macro="" textlink="">
          <xdr:nvSpPr>
            <xdr:cNvPr id="28492" name="Button 21324" hidden="1">
              <a:extLst>
                <a:ext uri="{63B3BB69-23CF-44E3-9099-C40C66FF867C}">
                  <a14:compatExt spid="_x0000_s28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Brent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IPE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237</xdr:col>
          <xdr:colOff>45720</xdr:colOff>
          <xdr:row>11</xdr:row>
          <xdr:rowOff>7620</xdr:rowOff>
        </xdr:from>
        <xdr:to>
          <xdr:col>239</xdr:col>
          <xdr:colOff>0</xdr:colOff>
          <xdr:row>13</xdr:row>
          <xdr:rowOff>0</xdr:rowOff>
        </xdr:to>
        <xdr:sp macro="" textlink="">
          <xdr:nvSpPr>
            <xdr:cNvPr id="33897" name="Button 26729" hidden="1">
              <a:extLst>
                <a:ext uri="{63B3BB69-23CF-44E3-9099-C40C66FF867C}">
                  <a14:compatExt spid="_x0000_s33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Calculate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239</xdr:col>
          <xdr:colOff>45720</xdr:colOff>
          <xdr:row>11</xdr:row>
          <xdr:rowOff>7620</xdr:rowOff>
        </xdr:from>
        <xdr:to>
          <xdr:col>242</xdr:col>
          <xdr:colOff>243840</xdr:colOff>
          <xdr:row>13</xdr:row>
          <xdr:rowOff>0</xdr:rowOff>
        </xdr:to>
        <xdr:sp macro="" textlink="">
          <xdr:nvSpPr>
            <xdr:cNvPr id="33898" name="Button 26730" hidden="1">
              <a:extLst>
                <a:ext uri="{63B3BB69-23CF-44E3-9099-C40C66FF867C}">
                  <a14:compatExt spid="_x0000_s33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Save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242</xdr:col>
          <xdr:colOff>274320</xdr:colOff>
          <xdr:row>11</xdr:row>
          <xdr:rowOff>7620</xdr:rowOff>
        </xdr:from>
        <xdr:to>
          <xdr:col>245</xdr:col>
          <xdr:colOff>586740</xdr:colOff>
          <xdr:row>12</xdr:row>
          <xdr:rowOff>190500</xdr:rowOff>
        </xdr:to>
        <xdr:sp macro="" textlink="">
          <xdr:nvSpPr>
            <xdr:cNvPr id="33899" name="Button 26731" hidden="1">
              <a:extLst>
                <a:ext uri="{63B3BB69-23CF-44E3-9099-C40C66FF867C}">
                  <a14:compatExt spid="_x0000_s33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Retrieve</a:t>
              </a:r>
            </a:p>
          </xdr:txBody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CLc1 MTH" advise="1">
        <values>
          <value t="str">
            <val>SEP0</val>
          </value>
        </values>
      </ddeItem>
      <ddeItem name="CLc1 NET.CHNG" advise="1">
        <values>
          <value>
            <val>0.27</val>
          </value>
        </values>
      </ddeItem>
      <ddeItem name="CLc10 MTH" advise="1">
        <values>
          <value t="str">
            <val>JUN1</val>
          </value>
        </values>
      </ddeItem>
      <ddeItem name="CLc10 NET.CHNG" advise="1">
        <values>
          <value>
            <val>0</val>
          </value>
        </values>
      </ddeItem>
      <ddeItem name="CLc11 MTH" advise="1">
        <values>
          <value t="str">
            <val>JUL1</val>
          </value>
        </values>
      </ddeItem>
      <ddeItem name="CLc11 NET.CHNG" advise="1">
        <values>
          <value>
            <val>0</val>
          </value>
        </values>
      </ddeItem>
      <ddeItem name="CLc12 MTH" advise="1">
        <values>
          <value t="str">
            <val>AUG1</val>
          </value>
        </values>
      </ddeItem>
      <ddeItem name="CLc12 NET.CHNG" advise="1">
        <values>
          <value>
            <val>0</val>
          </value>
        </values>
      </ddeItem>
      <ddeItem name="CLc13 MTH" advise="1">
        <values>
          <value t="str">
            <val>SEP1</val>
          </value>
        </values>
      </ddeItem>
      <ddeItem name="CLc13 NET.CHNG" advise="1">
        <values>
          <value>
            <val>0</val>
          </value>
        </values>
      </ddeItem>
      <ddeItem name="CLc14 MTH" advise="1">
        <values>
          <value t="str">
            <val>OCT1</val>
          </value>
        </values>
      </ddeItem>
      <ddeItem name="CLc14 NET.CHNG" advise="1">
        <values>
          <value>
            <val>0</val>
          </value>
        </values>
      </ddeItem>
      <ddeItem name="CLc15 MTH" advise="1">
        <values>
          <value t="str">
            <val>NOV1</val>
          </value>
        </values>
      </ddeItem>
      <ddeItem name="CLc15 NET.CHNG" advise="1">
        <values>
          <value>
            <val>0</val>
          </value>
        </values>
      </ddeItem>
      <ddeItem name="CLc16 MTH" advise="1">
        <values>
          <value t="str">
            <val>DEC1</val>
          </value>
        </values>
      </ddeItem>
      <ddeItem name="CLc16 NET.CHNG" advise="1">
        <values>
          <value>
            <val>0</val>
          </value>
        </values>
      </ddeItem>
      <ddeItem name="CLc17 MTH" advise="1">
        <values>
          <value t="str">
            <val>JAN2</val>
          </value>
        </values>
      </ddeItem>
      <ddeItem name="CLc17 NET.CHNG" advise="1">
        <values>
          <value>
            <val>0</val>
          </value>
        </values>
      </ddeItem>
      <ddeItem name="CLc18 MTH" advise="1">
        <values>
          <value t="str">
            <val>FEB2</val>
          </value>
        </values>
      </ddeItem>
      <ddeItem name="CLc18 NET.CHNG" advise="1">
        <values>
          <value>
            <val>0</val>
          </value>
        </values>
      </ddeItem>
      <ddeItem name="CLc19 MTH" advise="1">
        <values>
          <value t="str">
            <val>MAR2</val>
          </value>
        </values>
      </ddeItem>
      <ddeItem name="CLc19 NET.CHNG" advise="1">
        <values>
          <value>
            <val>0</val>
          </value>
        </values>
      </ddeItem>
      <ddeItem name="CLc2 MTH" advise="1">
        <values>
          <value t="str">
            <val>OCT0</val>
          </value>
        </values>
      </ddeItem>
      <ddeItem name="CLc2 NET.CHNG" advise="1">
        <values>
          <value>
            <val>0.26</val>
          </value>
        </values>
      </ddeItem>
      <ddeItem name="CLc20 MTH" advise="1">
        <values>
          <value t="str">
            <val>APR2</val>
          </value>
        </values>
      </ddeItem>
      <ddeItem name="CLc20 NET.CHNG" advise="1">
        <values>
          <value>
            <val>0</val>
          </value>
        </values>
      </ddeItem>
      <ddeItem name="CLc21 MTH" advise="1">
        <values>
          <value t="str">
            <val>MAY2</val>
          </value>
        </values>
      </ddeItem>
      <ddeItem name="CLc21 NET.CHNG" advise="1">
        <values>
          <value>
            <val>0</val>
          </value>
        </values>
      </ddeItem>
      <ddeItem name="CLc22 MTH" advise="1">
        <values>
          <value t="str">
            <val>JUN2</val>
          </value>
        </values>
      </ddeItem>
      <ddeItem name="CLc22 NET.CHNG" advise="1">
        <values>
          <value>
            <val>0</val>
          </value>
        </values>
      </ddeItem>
      <ddeItem name="CLc23 MTH" advise="1">
        <values>
          <value t="str">
            <val>JUL2</val>
          </value>
        </values>
      </ddeItem>
      <ddeItem name="CLc23 NET.CHNG" advise="1">
        <values>
          <value>
            <val>0</val>
          </value>
        </values>
      </ddeItem>
      <ddeItem name="CLc24 MTH" advise="1">
        <values>
          <value t="str">
            <val>AUG2</val>
          </value>
        </values>
      </ddeItem>
      <ddeItem name="CLc24 NET.CHNG" advise="1">
        <values>
          <value>
            <val>0</val>
          </value>
        </values>
      </ddeItem>
      <ddeItem name="CLc25 MTH" advise="1">
        <values>
          <value t="str">
            <val>SEP2</val>
          </value>
        </values>
      </ddeItem>
      <ddeItem name="CLc25 NET.CHNG" advise="1">
        <values>
          <value>
            <val>0</val>
          </value>
        </values>
      </ddeItem>
      <ddeItem name="CLc26 MTH" advise="1">
        <values>
          <value t="str">
            <val>OCT2</val>
          </value>
        </values>
      </ddeItem>
      <ddeItem name="CLc26 NET.CHNG" advise="1">
        <values>
          <value>
            <val>0</val>
          </value>
        </values>
      </ddeItem>
      <ddeItem name="CLc27 MTH" advise="1">
        <values>
          <value t="str">
            <val>NOV2</val>
          </value>
        </values>
      </ddeItem>
      <ddeItem name="CLc27 NET.CHNG" advise="1">
        <values>
          <value>
            <val>0</val>
          </value>
        </values>
      </ddeItem>
      <ddeItem name="CLc28 MTH" advise="1">
        <values>
          <value t="str">
            <val>DEC2</val>
          </value>
        </values>
      </ddeItem>
      <ddeItem name="CLc28 NET.CHNG" advise="1">
        <values>
          <value>
            <val>0</val>
          </value>
        </values>
      </ddeItem>
      <ddeItem name="CLc29 MTH" advise="1">
        <values>
          <value t="str">
            <val>JUN3</val>
          </value>
        </values>
      </ddeItem>
      <ddeItem name="CLc29 NET.CHNG" advise="1">
        <values>
          <value>
            <val>0</val>
          </value>
        </values>
      </ddeItem>
      <ddeItem name="CLc3 MTH" advise="1">
        <values>
          <value t="str">
            <val>NOV0</val>
          </value>
        </values>
      </ddeItem>
      <ddeItem name="CLc3 NET.CHNG" advise="1">
        <values>
          <value>
            <val>0.25</val>
          </value>
        </values>
      </ddeItem>
      <ddeItem name="CLc30 MTH" advise="1">
        <values>
          <value t="str">
            <val>DEC3</val>
          </value>
        </values>
      </ddeItem>
      <ddeItem name="CLc30 NET.CHNG" advise="1">
        <values>
          <value>
            <val>0</val>
          </value>
        </values>
      </ddeItem>
      <ddeItem name="CLc31 MTH" advise="1">
        <values>
          <value t="str">
            <val>DEC4</val>
          </value>
        </values>
      </ddeItem>
      <ddeItem name="CLc31 NET.CHNG" advise="1">
        <values>
          <value>
            <val>0</val>
          </value>
        </values>
      </ddeItem>
      <ddeItem name="CLc32 MTH" advise="1">
        <values>
          <value t="str">
            <val>DEC5</val>
          </value>
        </values>
      </ddeItem>
      <ddeItem name="CLc32 NET.CHNG" advise="1">
        <values>
          <value>
            <val>0</val>
          </value>
        </values>
      </ddeItem>
      <ddeItem name="CLc33 MTH" advise="1">
        <values>
          <value t="str">
            <val>DEC6</val>
          </value>
        </values>
      </ddeItem>
      <ddeItem name="CLc33 NET.CHNG" advise="1">
        <values>
          <value>
            <val>0</val>
          </value>
        </values>
      </ddeItem>
      <ddeItem name="CLc34 MTH" advise="1">
        <values>
          <value t="str">
            <val>+NA+</val>
          </value>
        </values>
      </ddeItem>
      <ddeItem name="CLc34 NET.CHNG" advise="1">
        <values>
          <value t="str">
            <val>+NA+</val>
          </value>
        </values>
      </ddeItem>
      <ddeItem name="CLc35 MTH" advise="1">
        <values>
          <value t="str">
            <val>+NA+</val>
          </value>
        </values>
      </ddeItem>
      <ddeItem name="CLc35 NET.CHNG" advise="1">
        <values>
          <value t="str">
            <val>+NA+</val>
          </value>
        </values>
      </ddeItem>
      <ddeItem name="CLc4 MTH" advise="1">
        <values>
          <value t="str">
            <val>DEC0</val>
          </value>
        </values>
      </ddeItem>
      <ddeItem name="CLc4 NET.CHNG" advise="1">
        <values>
          <value>
            <val>0.26</val>
          </value>
        </values>
      </ddeItem>
      <ddeItem name="CLc5 MTH" advise="1">
        <values>
          <value t="str">
            <val>JAN1</val>
          </value>
        </values>
      </ddeItem>
      <ddeItem name="CLc5 NET.CHNG" advise="1">
        <values>
          <value>
            <val>0.21</val>
          </value>
        </values>
      </ddeItem>
      <ddeItem name="CLc6 MTH" advise="1">
        <values>
          <value t="str">
            <val>FEB1</val>
          </value>
        </values>
      </ddeItem>
      <ddeItem name="CLc6 NET.CHNG" advise="1">
        <values>
          <value>
            <val>0.19</val>
          </value>
        </values>
      </ddeItem>
      <ddeItem name="CLc7 MTH" advise="1">
        <values>
          <value t="str">
            <val>MAR1</val>
          </value>
        </values>
      </ddeItem>
      <ddeItem name="CLc7 NET.CHNG" advise="1">
        <values>
          <value>
            <val>0.02</val>
          </value>
        </values>
      </ddeItem>
      <ddeItem name="CLc8 MTH" advise="1">
        <values>
          <value t="str">
            <val>APR1</val>
          </value>
        </values>
      </ddeItem>
      <ddeItem name="CLc8 NET.CHNG" advise="1">
        <values>
          <value>
            <val>0</val>
          </value>
        </values>
      </ddeItem>
      <ddeItem name="CLc9 MTH" advise="1">
        <values>
          <value t="str">
            <val>MAY1</val>
          </value>
        </values>
      </ddeItem>
      <ddeItem name="CLc9 NET.CHNG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IM2721"/>
  <sheetViews>
    <sheetView tabSelected="1" zoomScale="85" workbookViewId="0"/>
  </sheetViews>
  <sheetFormatPr defaultColWidth="9.33203125" defaultRowHeight="13.2"/>
  <cols>
    <col min="1" max="1" width="7.44140625" style="55" customWidth="1"/>
    <col min="2" max="2" width="11.6640625" style="55" customWidth="1"/>
    <col min="3" max="3" width="9.77734375" style="55" bestFit="1" customWidth="1"/>
    <col min="4" max="4" width="9.33203125" style="55"/>
    <col min="5" max="5" width="10" style="55" bestFit="1" customWidth="1"/>
    <col min="6" max="6" width="9.109375" style="55" customWidth="1"/>
    <col min="7" max="7" width="10.44140625" style="55" customWidth="1"/>
    <col min="8" max="8" width="0.6640625" style="55" customWidth="1"/>
    <col min="9" max="9" width="8.77734375" style="55" customWidth="1"/>
    <col min="10" max="10" width="7.44140625" style="55" bestFit="1" customWidth="1"/>
    <col min="11" max="11" width="7.6640625" style="55" customWidth="1"/>
    <col min="12" max="12" width="6.77734375" style="55" customWidth="1"/>
    <col min="13" max="13" width="7.77734375" style="55" bestFit="1" customWidth="1"/>
    <col min="14" max="14" width="8.44140625" style="55" customWidth="1"/>
    <col min="15" max="15" width="7.77734375" style="55" bestFit="1" customWidth="1"/>
    <col min="16" max="16" width="7.44140625" style="55" bestFit="1" customWidth="1"/>
    <col min="17" max="17" width="7.44140625" style="55" customWidth="1"/>
    <col min="18" max="18" width="7" style="55" customWidth="1"/>
    <col min="19" max="19" width="8.33203125" style="43" customWidth="1"/>
    <col min="20" max="20" width="8" style="55" customWidth="1"/>
    <col min="21" max="21" width="8.44140625" style="55" customWidth="1"/>
    <col min="22" max="22" width="8.6640625" style="55" customWidth="1"/>
    <col min="23" max="26" width="8.44140625" style="55" customWidth="1"/>
    <col min="27" max="27" width="10" style="55" customWidth="1"/>
    <col min="28" max="28" width="8.33203125" style="55" customWidth="1"/>
    <col min="29" max="29" width="9.77734375" style="55" customWidth="1"/>
    <col min="30" max="30" width="10.33203125" style="55" customWidth="1"/>
    <col min="31" max="32" width="10" style="55" bestFit="1" customWidth="1"/>
    <col min="33" max="33" width="6.77734375" style="55" customWidth="1"/>
    <col min="34" max="34" width="8.33203125" style="55" customWidth="1"/>
    <col min="35" max="35" width="6.109375" style="55" customWidth="1"/>
    <col min="36" max="37" width="5.77734375" style="55" customWidth="1"/>
    <col min="38" max="38" width="7.109375" style="55" bestFit="1" customWidth="1"/>
    <col min="39" max="40" width="9.77734375" style="43" bestFit="1" customWidth="1"/>
    <col min="41" max="41" width="7.109375" style="43" bestFit="1" customWidth="1"/>
    <col min="42" max="43" width="8.44140625" style="43" customWidth="1"/>
    <col min="44" max="44" width="7.77734375" style="43" bestFit="1" customWidth="1"/>
    <col min="45" max="45" width="8" style="43" customWidth="1"/>
    <col min="46" max="46" width="9.44140625" style="55" bestFit="1" customWidth="1"/>
    <col min="47" max="47" width="8.77734375" style="55" customWidth="1"/>
    <col min="48" max="48" width="8.77734375" style="43" customWidth="1"/>
    <col min="49" max="50" width="8" style="43" customWidth="1"/>
    <col min="51" max="51" width="9.44140625" style="43" bestFit="1" customWidth="1"/>
    <col min="52" max="52" width="8.77734375" style="43" customWidth="1"/>
    <col min="53" max="53" width="7.77734375" style="43" bestFit="1" customWidth="1"/>
    <col min="54" max="54" width="7.77734375" style="43" customWidth="1"/>
    <col min="55" max="55" width="9.33203125" style="43"/>
    <col min="56" max="56" width="6.33203125" style="43" customWidth="1"/>
    <col min="57" max="57" width="8.6640625" style="43" customWidth="1"/>
    <col min="58" max="58" width="10.44140625" style="43" bestFit="1" customWidth="1"/>
    <col min="59" max="59" width="6.77734375" style="43" customWidth="1"/>
    <col min="60" max="60" width="7.6640625" style="43" customWidth="1"/>
    <col min="61" max="61" width="6.77734375" style="43" customWidth="1"/>
    <col min="62" max="62" width="6.6640625" style="43" bestFit="1" customWidth="1"/>
    <col min="63" max="63" width="7.44140625" style="43" customWidth="1"/>
    <col min="64" max="64" width="8.109375" style="43" bestFit="1" customWidth="1"/>
    <col min="65" max="65" width="5.6640625" style="43" customWidth="1"/>
    <col min="66" max="66" width="8.109375" style="43" bestFit="1" customWidth="1"/>
    <col min="67" max="67" width="4.77734375" style="43" bestFit="1" customWidth="1"/>
    <col min="68" max="69" width="5.44140625" style="43" bestFit="1" customWidth="1"/>
    <col min="70" max="70" width="7.77734375" style="43" bestFit="1" customWidth="1"/>
    <col min="71" max="72" width="6.77734375" style="43" customWidth="1"/>
    <col min="73" max="78" width="7.77734375" style="43" bestFit="1" customWidth="1"/>
    <col min="79" max="79" width="7.77734375" style="43" customWidth="1"/>
    <col min="80" max="80" width="7.77734375" style="43" bestFit="1" customWidth="1"/>
    <col min="81" max="81" width="7.77734375" style="43" customWidth="1"/>
    <col min="82" max="83" width="7.77734375" style="43" bestFit="1" customWidth="1"/>
    <col min="84" max="84" width="8.77734375" style="43" customWidth="1"/>
    <col min="85" max="86" width="8.109375" style="43" bestFit="1" customWidth="1"/>
    <col min="87" max="87" width="9" style="43" bestFit="1" customWidth="1"/>
    <col min="88" max="88" width="8.109375" style="55" customWidth="1"/>
    <col min="89" max="89" width="9" style="55" bestFit="1" customWidth="1"/>
    <col min="90" max="90" width="8.109375" style="55" bestFit="1" customWidth="1"/>
    <col min="91" max="91" width="9" style="55" bestFit="1" customWidth="1"/>
    <col min="92" max="92" width="7.77734375" style="55" bestFit="1" customWidth="1"/>
    <col min="93" max="94" width="7.44140625" style="55" bestFit="1" customWidth="1"/>
    <col min="95" max="96" width="6.6640625" style="55" customWidth="1"/>
    <col min="97" max="97" width="7.77734375" style="55" bestFit="1" customWidth="1"/>
    <col min="98" max="99" width="8.109375" style="55" customWidth="1"/>
    <col min="100" max="107" width="8.77734375" style="55" customWidth="1"/>
    <col min="108" max="108" width="10.109375" style="55" customWidth="1"/>
    <col min="109" max="109" width="8.6640625" style="55" bestFit="1" customWidth="1"/>
    <col min="110" max="110" width="5.109375" style="53" customWidth="1"/>
    <col min="111" max="111" width="8.6640625" style="54" bestFit="1" customWidth="1"/>
    <col min="112" max="113" width="7.77734375" style="54" bestFit="1" customWidth="1"/>
    <col min="114" max="114" width="8.6640625" style="54" bestFit="1" customWidth="1"/>
    <col min="115" max="115" width="7.77734375" style="54" bestFit="1" customWidth="1"/>
    <col min="116" max="116" width="7.77734375" style="55" bestFit="1" customWidth="1"/>
    <col min="117" max="117" width="8.6640625" style="55" bestFit="1" customWidth="1"/>
    <col min="118" max="118" width="7.77734375" style="55" bestFit="1" customWidth="1"/>
    <col min="119" max="119" width="8.6640625" style="55" bestFit="1" customWidth="1"/>
    <col min="120" max="120" width="7.77734375" style="55" bestFit="1" customWidth="1"/>
    <col min="121" max="121" width="7.44140625" style="55" bestFit="1" customWidth="1"/>
    <col min="122" max="122" width="8.6640625" style="55" bestFit="1" customWidth="1"/>
    <col min="123" max="124" width="7.77734375" style="55" bestFit="1" customWidth="1"/>
    <col min="125" max="125" width="8.6640625" style="55" bestFit="1" customWidth="1"/>
    <col min="126" max="127" width="7.77734375" style="55" bestFit="1" customWidth="1"/>
    <col min="128" max="128" width="8.6640625" style="55" bestFit="1" customWidth="1"/>
    <col min="129" max="129" width="7.77734375" style="55" customWidth="1"/>
    <col min="130" max="130" width="8.6640625" style="55" bestFit="1" customWidth="1"/>
    <col min="131" max="131" width="7.77734375" style="55" bestFit="1" customWidth="1"/>
    <col min="132" max="132" width="10" style="55" bestFit="1" customWidth="1"/>
    <col min="133" max="133" width="7.77734375" style="55" bestFit="1" customWidth="1"/>
    <col min="134" max="137" width="10" style="55" bestFit="1" customWidth="1"/>
    <col min="138" max="138" width="8.44140625" style="55" bestFit="1" customWidth="1"/>
    <col min="139" max="139" width="7.6640625" style="55" bestFit="1" customWidth="1"/>
    <col min="140" max="140" width="10.44140625" style="55" bestFit="1" customWidth="1"/>
    <col min="141" max="141" width="7.44140625" style="55" bestFit="1" customWidth="1"/>
    <col min="142" max="142" width="4.44140625" style="43" bestFit="1" customWidth="1"/>
    <col min="143" max="143" width="9.44140625" style="43" bestFit="1" customWidth="1"/>
    <col min="144" max="144" width="9.44140625" style="55" bestFit="1" customWidth="1"/>
    <col min="145" max="145" width="9.44140625" style="43" bestFit="1" customWidth="1"/>
    <col min="146" max="146" width="3.6640625" style="55" customWidth="1"/>
    <col min="147" max="147" width="7.109375" style="55" bestFit="1" customWidth="1"/>
    <col min="148" max="148" width="7.44140625" style="55" customWidth="1"/>
    <col min="149" max="149" width="3.33203125" style="43" bestFit="1" customWidth="1"/>
    <col min="150" max="150" width="7.44140625" style="55" bestFit="1" customWidth="1"/>
    <col min="151" max="151" width="6.6640625" style="55" bestFit="1" customWidth="1"/>
    <col min="152" max="152" width="9" style="55" bestFit="1" customWidth="1"/>
    <col min="153" max="153" width="8" style="55" bestFit="1" customWidth="1"/>
    <col min="154" max="154" width="7.77734375" style="55" bestFit="1" customWidth="1"/>
    <col min="155" max="155" width="2.44140625" style="55" bestFit="1" customWidth="1"/>
    <col min="156" max="157" width="7.77734375" style="55" bestFit="1" customWidth="1"/>
    <col min="158" max="158" width="14.33203125" style="55" bestFit="1" customWidth="1"/>
    <col min="159" max="159" width="7.6640625" style="55" bestFit="1" customWidth="1"/>
    <col min="160" max="163" width="10" style="55" bestFit="1" customWidth="1"/>
    <col min="164" max="164" width="11.6640625" style="55" bestFit="1" customWidth="1"/>
    <col min="165" max="165" width="6.6640625" style="55" customWidth="1"/>
    <col min="166" max="166" width="68.109375" style="55" bestFit="1" customWidth="1"/>
    <col min="167" max="167" width="8.77734375" style="55" bestFit="1" customWidth="1"/>
    <col min="168" max="170" width="6.6640625" style="55" bestFit="1" customWidth="1"/>
    <col min="171" max="206" width="6.6640625" style="55" customWidth="1"/>
    <col min="207" max="238" width="6.6640625" style="55" bestFit="1" customWidth="1"/>
    <col min="239" max="239" width="13.77734375" style="55" bestFit="1" customWidth="1"/>
    <col min="240" max="243" width="6.6640625" style="55" bestFit="1" customWidth="1"/>
    <col min="244" max="246" width="7.109375" style="55" bestFit="1" customWidth="1"/>
    <col min="247" max="16384" width="9.33203125" style="55"/>
  </cols>
  <sheetData>
    <row r="1" spans="1:247" ht="3" customHeight="1" thickBot="1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2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M1" s="55"/>
      <c r="AN1" s="55"/>
      <c r="AO1" s="55"/>
      <c r="AP1" s="54"/>
      <c r="AQ1" s="54"/>
      <c r="AR1" s="54">
        <v>5</v>
      </c>
      <c r="AT1" s="43"/>
      <c r="AU1" s="43"/>
      <c r="BG1" s="55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V1" s="53"/>
      <c r="DW1" s="54"/>
      <c r="DX1" s="54"/>
      <c r="DY1" s="54"/>
      <c r="DZ1" s="54"/>
      <c r="EA1" s="54"/>
      <c r="EB1" s="54"/>
      <c r="EC1" s="54"/>
    </row>
    <row r="2" spans="1:247" ht="14.25" customHeight="1" thickBot="1">
      <c r="A2" s="50" t="str">
        <f>CONCATENATE("Cal 0",YEAR(NextMonth)-1999)</f>
        <v>Cal 01</v>
      </c>
      <c r="B2" s="56" t="s">
        <v>178</v>
      </c>
      <c r="C2" s="101"/>
      <c r="D2" s="101"/>
      <c r="E2" s="101"/>
      <c r="F2" s="101"/>
      <c r="G2" s="101"/>
      <c r="H2" s="50"/>
      <c r="I2" s="50"/>
      <c r="J2" s="50"/>
      <c r="K2" s="50"/>
      <c r="L2" s="50"/>
      <c r="M2" s="50"/>
      <c r="N2" s="52"/>
      <c r="O2" s="50"/>
      <c r="P2" s="50"/>
      <c r="Q2" s="50"/>
      <c r="R2" s="50"/>
      <c r="S2" s="50"/>
      <c r="T2" s="180" t="s">
        <v>11</v>
      </c>
      <c r="U2" s="181"/>
      <c r="V2" s="181"/>
      <c r="W2" s="181"/>
      <c r="X2" s="181"/>
      <c r="Y2" s="181"/>
      <c r="Z2" s="182"/>
      <c r="AA2" s="50"/>
      <c r="AB2" s="167" t="s">
        <v>165</v>
      </c>
      <c r="AC2" s="170"/>
      <c r="AD2" s="172"/>
      <c r="AE2" s="50"/>
      <c r="AF2" s="188" t="s">
        <v>200</v>
      </c>
      <c r="AG2" s="170"/>
      <c r="AH2" s="323" t="s">
        <v>201</v>
      </c>
      <c r="AI2" s="50"/>
      <c r="AJ2" s="174" t="s">
        <v>167</v>
      </c>
      <c r="AK2" s="175"/>
      <c r="AL2" s="175"/>
      <c r="AM2" s="175"/>
      <c r="AN2" s="176"/>
      <c r="AP2" s="174" t="s">
        <v>0</v>
      </c>
      <c r="AQ2" s="407"/>
      <c r="AR2" s="407"/>
      <c r="AS2" s="408"/>
      <c r="AT2" s="409"/>
      <c r="AU2" s="408"/>
      <c r="AV2" s="408"/>
      <c r="AW2" s="408"/>
      <c r="AX2" s="408"/>
      <c r="AY2" s="409"/>
      <c r="AZ2" s="405"/>
      <c r="BA2" s="404"/>
      <c r="BC2" s="209" t="s">
        <v>24</v>
      </c>
      <c r="BD2" s="210"/>
      <c r="BE2" s="211"/>
      <c r="BF2" s="212"/>
      <c r="BH2" s="60" t="s">
        <v>52</v>
      </c>
      <c r="BI2" s="61"/>
      <c r="BK2" s="174" t="s">
        <v>287</v>
      </c>
      <c r="BL2" s="175"/>
      <c r="BM2" s="408"/>
      <c r="BN2" s="623" t="s">
        <v>289</v>
      </c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V2" s="53"/>
      <c r="DW2" s="54"/>
      <c r="DX2" s="54"/>
      <c r="DY2" s="54"/>
      <c r="DZ2" s="54"/>
      <c r="EA2" s="54"/>
      <c r="EB2" s="54"/>
      <c r="EC2" s="54"/>
      <c r="ES2" s="54"/>
      <c r="ID2" s="36"/>
      <c r="IE2" s="36"/>
      <c r="IF2" s="36">
        <v>1</v>
      </c>
      <c r="IG2" s="36">
        <v>2</v>
      </c>
      <c r="IH2" s="36">
        <v>4</v>
      </c>
      <c r="II2" s="36">
        <v>6</v>
      </c>
      <c r="IJ2" s="36">
        <v>12</v>
      </c>
      <c r="IK2" s="36">
        <v>36</v>
      </c>
      <c r="IL2" s="36">
        <v>60</v>
      </c>
      <c r="IM2"/>
    </row>
    <row r="3" spans="1:247" ht="20.25" customHeight="1" thickBot="1">
      <c r="A3" s="818">
        <f ca="1">SUMPRODUCT(INDEX(X20:X258,AY11):INDEX(X20:X258,AY11+11),INDEX(AP20:AP258,AY11):INDEX(AP20:AP258,AY11+11))/SUM(INDEX(AP20:AP258,AY11):INDEX(AP20:AP258,AY11+11))</f>
        <v>0</v>
      </c>
      <c r="B3" s="505"/>
      <c r="C3" s="506" t="s">
        <v>272</v>
      </c>
      <c r="D3" s="507"/>
      <c r="E3" s="504" t="s">
        <v>157</v>
      </c>
      <c r="F3" s="215">
        <f ca="1">EOMONTH(FirstPricingMonth,SwapFirstMonthPosition-2)+1</f>
        <v>36892</v>
      </c>
      <c r="G3" s="216">
        <f ca="1">EOMONTH(DateStart,SwapNumOfMonths-2)+1</f>
        <v>37226</v>
      </c>
      <c r="H3" s="50"/>
      <c r="I3" s="50"/>
      <c r="J3" s="50"/>
      <c r="K3" s="50"/>
      <c r="L3" s="50"/>
      <c r="M3" s="50"/>
      <c r="N3" s="52"/>
      <c r="O3" s="50"/>
      <c r="P3" s="50"/>
      <c r="Q3" s="50"/>
      <c r="R3" s="50"/>
      <c r="S3" s="50"/>
      <c r="T3" s="183" t="s">
        <v>77</v>
      </c>
      <c r="U3" s="141" t="s">
        <v>223</v>
      </c>
      <c r="V3" s="141"/>
      <c r="W3" s="184"/>
      <c r="X3" s="185" t="s">
        <v>224</v>
      </c>
      <c r="Y3" s="141"/>
      <c r="Z3" s="142"/>
      <c r="AA3" s="50"/>
      <c r="AB3" s="435" t="s">
        <v>2</v>
      </c>
      <c r="AC3" s="436" t="s">
        <v>222</v>
      </c>
      <c r="AD3" s="437" t="s">
        <v>221</v>
      </c>
      <c r="AE3" s="50"/>
      <c r="AF3" s="177">
        <v>1</v>
      </c>
      <c r="AG3" s="198">
        <v>0.95</v>
      </c>
      <c r="AH3" s="324" t="s">
        <v>202</v>
      </c>
      <c r="AI3" s="50"/>
      <c r="AJ3" s="632" t="s">
        <v>177</v>
      </c>
      <c r="AK3" s="633"/>
      <c r="AL3" s="633"/>
      <c r="AM3" s="634"/>
      <c r="AN3" s="635">
        <f>EOMONTH(NextMonth,EuroOptionMonthPosition-2)+1</f>
        <v>36770</v>
      </c>
      <c r="AP3" s="410"/>
      <c r="AQ3" s="411"/>
      <c r="AR3" s="411"/>
      <c r="AS3" s="412" t="s">
        <v>5</v>
      </c>
      <c r="AT3" s="413">
        <v>1</v>
      </c>
      <c r="AU3" s="410"/>
      <c r="AV3" s="411"/>
      <c r="AW3" s="411"/>
      <c r="AX3" s="412" t="s">
        <v>21</v>
      </c>
      <c r="AY3" s="413">
        <v>1</v>
      </c>
      <c r="AZ3" s="405"/>
      <c r="BA3" s="405"/>
      <c r="BB3" s="55"/>
      <c r="BC3" s="206"/>
      <c r="BD3" s="203"/>
      <c r="BE3" s="204" t="s">
        <v>25</v>
      </c>
      <c r="BF3" s="205" t="e">
        <f ca="1">(IF(SwaptionType=1,-1,1)*(SwaptionStrike-UnderlyingPriceAsian)*E32+SwaptionPremium*D33)/(D32+D33)</f>
        <v>#NUM!</v>
      </c>
      <c r="BH3" s="64" t="s">
        <v>53</v>
      </c>
      <c r="BI3" s="65" t="s">
        <v>54</v>
      </c>
      <c r="BK3" s="617"/>
      <c r="BL3" s="616">
        <v>1</v>
      </c>
      <c r="BM3" s="622">
        <v>2</v>
      </c>
      <c r="BN3" s="624" t="s">
        <v>288</v>
      </c>
      <c r="BP3" s="481"/>
      <c r="BQ3" s="481"/>
      <c r="BR3" s="481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V3" s="53"/>
      <c r="DW3" s="54"/>
      <c r="DX3" s="54"/>
      <c r="DY3" s="54"/>
      <c r="DZ3" s="54"/>
      <c r="EA3" s="54"/>
      <c r="EB3" s="54"/>
      <c r="EC3" s="54"/>
      <c r="ES3" s="54"/>
      <c r="ID3" s="36"/>
      <c r="IE3" s="36" t="s">
        <v>487</v>
      </c>
      <c r="IF3" s="849" t="s">
        <v>121</v>
      </c>
      <c r="IG3" s="849" t="s">
        <v>122</v>
      </c>
      <c r="IH3" s="849" t="s">
        <v>124</v>
      </c>
      <c r="II3" s="849" t="s">
        <v>126</v>
      </c>
      <c r="IJ3" s="849" t="s">
        <v>483</v>
      </c>
      <c r="IK3" s="849" t="s">
        <v>485</v>
      </c>
      <c r="IL3" s="849" t="s">
        <v>486</v>
      </c>
      <c r="IM3" s="806"/>
    </row>
    <row r="4" spans="1:247" ht="15.75" customHeight="1" thickBot="1">
      <c r="A4" s="50" t="s">
        <v>495</v>
      </c>
      <c r="B4" s="56" t="s">
        <v>49</v>
      </c>
      <c r="C4" s="363"/>
      <c r="D4" s="56" t="s">
        <v>115</v>
      </c>
      <c r="E4" s="363"/>
      <c r="F4" s="57"/>
      <c r="G4" s="57"/>
      <c r="H4" s="50"/>
      <c r="I4" s="50"/>
      <c r="J4" s="50"/>
      <c r="K4" s="50"/>
      <c r="L4" s="50"/>
      <c r="M4" s="50"/>
      <c r="N4" s="52"/>
      <c r="O4" s="50"/>
      <c r="P4" s="50"/>
      <c r="Q4" s="50"/>
      <c r="R4" s="50"/>
      <c r="S4" s="50"/>
      <c r="T4" s="183" t="s">
        <v>78</v>
      </c>
      <c r="U4" s="186">
        <v>0.3</v>
      </c>
      <c r="V4" s="186">
        <v>0.2</v>
      </c>
      <c r="W4" s="186">
        <v>0.1</v>
      </c>
      <c r="X4" s="186">
        <v>0.1</v>
      </c>
      <c r="Y4" s="186">
        <v>0.2</v>
      </c>
      <c r="Z4" s="187">
        <v>0.3</v>
      </c>
      <c r="AA4" s="50"/>
      <c r="AB4" s="253">
        <v>2002</v>
      </c>
      <c r="AC4" s="255"/>
      <c r="AD4" s="256">
        <v>1.17</v>
      </c>
      <c r="AE4" s="50"/>
      <c r="AF4" s="177">
        <v>2</v>
      </c>
      <c r="AG4" s="198">
        <v>1.05</v>
      </c>
      <c r="AH4" s="324" t="s">
        <v>4</v>
      </c>
      <c r="AI4" s="50"/>
      <c r="AJ4" s="632" t="s">
        <v>169</v>
      </c>
      <c r="AK4" s="633"/>
      <c r="AL4" s="633"/>
      <c r="AM4" s="634"/>
      <c r="AN4" s="636">
        <f ca="1">VLOOKUP(AN3,PricingArea,CHOOSE(Underlying,4,10))</f>
        <v>0</v>
      </c>
      <c r="AP4" s="274"/>
      <c r="AQ4" s="201"/>
      <c r="AR4" s="201"/>
      <c r="AS4" s="262" t="s">
        <v>9</v>
      </c>
      <c r="AT4" s="275">
        <v>1</v>
      </c>
      <c r="AU4" s="274"/>
      <c r="AV4" s="201"/>
      <c r="AW4" s="201"/>
      <c r="AX4" s="262" t="s">
        <v>173</v>
      </c>
      <c r="AY4" s="275">
        <v>12</v>
      </c>
      <c r="AZ4" s="405"/>
      <c r="BA4" s="405"/>
      <c r="BB4" s="55"/>
      <c r="BC4" s="197"/>
      <c r="BD4" s="207"/>
      <c r="BE4" s="208" t="s">
        <v>26</v>
      </c>
      <c r="BF4" s="127" t="e">
        <f ca="1">SwaptionPremium*D33/E32</f>
        <v>#NUM!</v>
      </c>
      <c r="BH4" s="66" t="s">
        <v>55</v>
      </c>
      <c r="BI4" s="67" t="s">
        <v>56</v>
      </c>
      <c r="BK4" s="618" t="s">
        <v>3</v>
      </c>
      <c r="BL4" s="620">
        <f ca="1">MAX(0,(AJ19-BN4)/(AI19-BN4))</f>
        <v>0.61111111111111116</v>
      </c>
      <c r="BM4" s="621">
        <f ca="1">1-BL4</f>
        <v>0.38888888888888884</v>
      </c>
      <c r="BN4" s="625">
        <f ca="1">NETWORKDAYS(FirstPricingMonth,DateToday,HolidaysWTI)-1</f>
        <v>5</v>
      </c>
      <c r="BP4" s="481"/>
      <c r="BQ4" s="481"/>
      <c r="BR4" s="481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V4" s="53"/>
      <c r="DW4" s="54"/>
      <c r="DX4" s="54"/>
      <c r="DY4" s="54"/>
      <c r="DZ4" s="54"/>
      <c r="EA4" s="54"/>
      <c r="EB4" s="54"/>
      <c r="EC4" s="54"/>
      <c r="ES4" s="54"/>
      <c r="ID4" s="36">
        <v>1</v>
      </c>
      <c r="IE4" s="849" t="s">
        <v>121</v>
      </c>
      <c r="IF4" s="850">
        <v>0.33947396586920636</v>
      </c>
      <c r="IG4" s="850">
        <v>0.32194708876551337</v>
      </c>
      <c r="IH4" s="850">
        <v>0.29406677292053629</v>
      </c>
      <c r="II4" s="850">
        <v>0.27468059830222541</v>
      </c>
      <c r="IJ4" s="850">
        <v>0.23989543617510534</v>
      </c>
      <c r="IK4" s="850">
        <v>0.20063973173451871</v>
      </c>
      <c r="IL4" s="850">
        <v>0.19146323725987766</v>
      </c>
      <c r="IM4"/>
    </row>
    <row r="5" spans="1:247" ht="15.75" customHeight="1" thickBot="1">
      <c r="A5" s="480">
        <f>INDEX(L20:L260,AY11-1)-INDEX(L20:L260,AY11+11)</f>
        <v>0</v>
      </c>
      <c r="B5" s="72" t="s">
        <v>220</v>
      </c>
      <c r="C5" s="63" t="s">
        <v>219</v>
      </c>
      <c r="D5" s="102" t="s">
        <v>114</v>
      </c>
      <c r="E5" s="102" t="s">
        <v>209</v>
      </c>
      <c r="F5" s="62" t="s">
        <v>16</v>
      </c>
      <c r="G5" s="63" t="s">
        <v>19</v>
      </c>
      <c r="H5" s="50"/>
      <c r="I5" s="50"/>
      <c r="J5" s="50"/>
      <c r="K5" s="50"/>
      <c r="L5" s="50"/>
      <c r="M5" s="50"/>
      <c r="N5" s="52"/>
      <c r="O5" s="50"/>
      <c r="P5" s="50"/>
      <c r="Q5" s="50"/>
      <c r="R5" s="50"/>
      <c r="S5" s="50"/>
      <c r="T5" s="5">
        <v>30</v>
      </c>
      <c r="U5" s="132">
        <v>0.02</v>
      </c>
      <c r="V5" s="132">
        <v>1.6E-2</v>
      </c>
      <c r="W5" s="132">
        <v>1.2E-2</v>
      </c>
      <c r="X5" s="132">
        <v>2.5000000000000001E-3</v>
      </c>
      <c r="Y5" s="132">
        <v>3.5000000000000001E-3</v>
      </c>
      <c r="Z5" s="133">
        <v>4.4999999999999997E-3</v>
      </c>
      <c r="AA5" s="50"/>
      <c r="AB5" s="253">
        <v>2003</v>
      </c>
      <c r="AC5" s="257"/>
      <c r="AD5" s="256">
        <v>1.17</v>
      </c>
      <c r="AE5" s="50"/>
      <c r="AF5" s="177">
        <v>3</v>
      </c>
      <c r="AG5" s="198">
        <v>1.03</v>
      </c>
      <c r="AH5" s="325" t="s">
        <v>15</v>
      </c>
      <c r="AI5" s="50"/>
      <c r="AJ5" s="632" t="s">
        <v>170</v>
      </c>
      <c r="AK5" s="633"/>
      <c r="AL5" s="633"/>
      <c r="AM5" s="634"/>
      <c r="AN5" s="637">
        <f ca="1">VLOOKUP(AN3,PricingArea,CHOOSE(Underlying,22,24))-DateToday+1</f>
        <v>10</v>
      </c>
      <c r="AP5" s="274"/>
      <c r="AQ5" s="201"/>
      <c r="AR5" s="201"/>
      <c r="AS5" s="262" t="s">
        <v>10</v>
      </c>
      <c r="AT5" s="275">
        <v>1</v>
      </c>
      <c r="AU5" s="274"/>
      <c r="AV5" s="201"/>
      <c r="AW5" s="201"/>
      <c r="AX5" s="262" t="s">
        <v>174</v>
      </c>
      <c r="AY5" s="275">
        <v>6</v>
      </c>
      <c r="AZ5" s="405"/>
      <c r="BA5" s="405"/>
      <c r="BB5" s="55"/>
      <c r="BC5" s="58" t="s">
        <v>27</v>
      </c>
      <c r="BD5" s="213"/>
      <c r="BE5" s="213"/>
      <c r="BF5" s="59"/>
      <c r="BH5" s="66" t="s">
        <v>57</v>
      </c>
      <c r="BI5" s="67" t="s">
        <v>58</v>
      </c>
      <c r="BK5" s="619" t="s">
        <v>4</v>
      </c>
      <c r="BL5" s="626">
        <f ca="1">MAX(0,(AM19-BN5)/(AL19-BN5))</f>
        <v>0.33333333333333331</v>
      </c>
      <c r="BM5" s="626">
        <f ca="1">1-BL5</f>
        <v>0.66666666666666674</v>
      </c>
      <c r="BN5" s="627">
        <f ca="1">NETWORKDAYS(FirstPricingMonth,DateToday,HolidaysBrent)-1</f>
        <v>5</v>
      </c>
      <c r="BP5" s="481"/>
      <c r="BQ5" s="481"/>
      <c r="BR5" s="481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V5" s="53"/>
      <c r="DW5" s="54"/>
      <c r="DX5" s="54"/>
      <c r="DY5" s="54"/>
      <c r="DZ5" s="54"/>
      <c r="EA5" s="54"/>
      <c r="EB5" s="54"/>
      <c r="EC5" s="54"/>
      <c r="ES5" s="54"/>
      <c r="ID5" s="36">
        <v>3</v>
      </c>
      <c r="IE5" s="849" t="s">
        <v>123</v>
      </c>
      <c r="IF5" s="850">
        <v>0.30978576389742923</v>
      </c>
      <c r="IG5" s="850">
        <v>0.29652947128076368</v>
      </c>
      <c r="IH5" s="850">
        <v>0.27510393928678273</v>
      </c>
      <c r="II5" s="850">
        <v>0.2590115909537829</v>
      </c>
      <c r="IJ5" s="850">
        <v>0.22995335496633004</v>
      </c>
      <c r="IK5" s="850">
        <v>0.19669452324587511</v>
      </c>
      <c r="IL5" s="850">
        <v>0.18889608775797712</v>
      </c>
      <c r="IM5"/>
    </row>
    <row r="6" spans="1:247" ht="16.5" customHeight="1" thickBot="1">
      <c r="A6" s="480">
        <f>INDEX(L20:L260,AY11+11)-INDEX(L20:L260,AY11+23)</f>
        <v>0</v>
      </c>
      <c r="B6" s="527">
        <v>-0.05</v>
      </c>
      <c r="C6" s="528">
        <f ca="1">UnderlyingPriceAsian-SwapPriceSettle</f>
        <v>-0.05</v>
      </c>
      <c r="D6" s="529">
        <f ca="1">SUMPRODUCT(CHOOSE(Underlying,W19:W258,Y19:Y258),BD19:BD258,AP19:AP258)/E32</f>
        <v>0</v>
      </c>
      <c r="E6" s="817">
        <f ca="1">SUMPRODUCT(CHOOSE(Underlying,X19:X258,Z19:Z258),BD19:BD258,AP19:AP258)/E32</f>
        <v>0</v>
      </c>
      <c r="F6" s="530">
        <v>0</v>
      </c>
      <c r="G6" s="542">
        <f ca="1">IF(F6,F6,SwapPriceCurve+PriceSpreadAsian)</f>
        <v>-0.05</v>
      </c>
      <c r="H6" s="50"/>
      <c r="I6" s="50"/>
      <c r="J6" s="50"/>
      <c r="K6" s="50"/>
      <c r="L6" s="50"/>
      <c r="M6" s="50"/>
      <c r="N6" s="52"/>
      <c r="O6" s="50"/>
      <c r="P6" s="50"/>
      <c r="Q6" s="50"/>
      <c r="R6" s="50"/>
      <c r="S6" s="50"/>
      <c r="T6" s="5">
        <v>180</v>
      </c>
      <c r="U6" s="132">
        <v>1.7999999999999999E-2</v>
      </c>
      <c r="V6" s="132">
        <v>1.2999999999999999E-2</v>
      </c>
      <c r="W6" s="132">
        <v>8.0000000000000002E-3</v>
      </c>
      <c r="X6" s="132">
        <v>1.5E-3</v>
      </c>
      <c r="Y6" s="132">
        <v>2E-3</v>
      </c>
      <c r="Z6" s="133">
        <v>2.5000000000000001E-3</v>
      </c>
      <c r="AA6" s="50"/>
      <c r="AB6" s="253">
        <v>2004</v>
      </c>
      <c r="AC6" s="257"/>
      <c r="AD6" s="256">
        <v>1.17</v>
      </c>
      <c r="AE6" s="50"/>
      <c r="AF6" s="179">
        <v>4</v>
      </c>
      <c r="AG6" s="199">
        <v>0.97</v>
      </c>
      <c r="AH6" s="200">
        <v>0.05</v>
      </c>
      <c r="AI6" s="50"/>
      <c r="AJ6" s="632" t="s">
        <v>168</v>
      </c>
      <c r="AK6" s="633"/>
      <c r="AL6" s="633"/>
      <c r="AM6" s="634"/>
      <c r="AN6" s="638">
        <f ca="1">VLOOKUP(AN3,PricingArea,CHOOSE(Underlying,7,36))</f>
        <v>0</v>
      </c>
      <c r="AP6" s="274"/>
      <c r="AQ6" s="201"/>
      <c r="AR6" s="201"/>
      <c r="AS6" s="262" t="s">
        <v>12</v>
      </c>
      <c r="AT6" s="275">
        <v>1</v>
      </c>
      <c r="AU6" s="274"/>
      <c r="AV6" s="201"/>
      <c r="AW6" s="201"/>
      <c r="AX6" s="262" t="s">
        <v>172</v>
      </c>
      <c r="AY6" s="275">
        <v>1</v>
      </c>
      <c r="AZ6" s="405"/>
      <c r="BA6" s="405"/>
      <c r="BB6" s="55"/>
      <c r="BC6" s="196"/>
      <c r="BD6" s="195"/>
      <c r="BE6" s="202" t="s">
        <v>25</v>
      </c>
      <c r="BF6" s="126" t="e">
        <f ca="1">IF(ParticipationType=1,1,-1)*(ParticipatingSwapPrice-UnderlyingPriceAsian)*E32/D32*(1-ParticipationRate)+IF(ParticipationType=1,C14,C13)*ParticipationRate</f>
        <v>#VALUE!</v>
      </c>
      <c r="BH6" s="66" t="s">
        <v>59</v>
      </c>
      <c r="BI6" s="67" t="s">
        <v>60</v>
      </c>
      <c r="BP6" s="481"/>
      <c r="BQ6" s="481"/>
      <c r="BR6" s="481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V6" s="53"/>
      <c r="DW6" s="54"/>
      <c r="DX6" s="54"/>
      <c r="DY6" s="54"/>
      <c r="DZ6" s="54"/>
      <c r="EA6" s="54"/>
      <c r="EB6" s="54"/>
      <c r="EC6" s="54"/>
      <c r="ES6" s="54"/>
      <c r="ID6" s="36">
        <v>6</v>
      </c>
      <c r="IE6" s="849" t="s">
        <v>126</v>
      </c>
      <c r="IF6" s="850">
        <v>0.27776521369751733</v>
      </c>
      <c r="IG6" s="850">
        <v>0.26615963336643911</v>
      </c>
      <c r="IH6" s="850">
        <v>0.24947943018778018</v>
      </c>
      <c r="II6" s="850">
        <v>0.23695036524802351</v>
      </c>
      <c r="IJ6" s="850">
        <v>0.21428305709611484</v>
      </c>
      <c r="IK6" s="850">
        <v>0.18825036543594326</v>
      </c>
      <c r="IL6" s="850">
        <v>0.18213944783743369</v>
      </c>
      <c r="IM6"/>
    </row>
    <row r="7" spans="1:247" ht="15.75" customHeight="1" thickBot="1">
      <c r="A7" s="819" t="s">
        <v>266</v>
      </c>
      <c r="B7" s="56" t="s">
        <v>22</v>
      </c>
      <c r="C7" s="101"/>
      <c r="D7" s="101"/>
      <c r="E7" s="56" t="s">
        <v>23</v>
      </c>
      <c r="F7" s="101"/>
      <c r="G7" s="101"/>
      <c r="H7" s="50"/>
      <c r="I7" s="50"/>
      <c r="J7" s="50"/>
      <c r="K7" s="50"/>
      <c r="L7" s="50"/>
      <c r="M7" s="50"/>
      <c r="N7" s="52"/>
      <c r="O7" s="50"/>
      <c r="P7" s="50"/>
      <c r="Q7" s="50"/>
      <c r="R7" s="50"/>
      <c r="S7" s="50"/>
      <c r="T7" s="5">
        <v>360</v>
      </c>
      <c r="U7" s="132">
        <v>1.7999999999999999E-2</v>
      </c>
      <c r="V7" s="132">
        <v>1.2999999999999999E-2</v>
      </c>
      <c r="W7" s="132">
        <v>8.0000000000000002E-3</v>
      </c>
      <c r="X7" s="132">
        <v>1E-3</v>
      </c>
      <c r="Y7" s="132">
        <v>1.5E-3</v>
      </c>
      <c r="Z7" s="133">
        <v>2E-3</v>
      </c>
      <c r="AA7" s="50"/>
      <c r="AB7" s="253">
        <v>2005</v>
      </c>
      <c r="AC7" s="257"/>
      <c r="AD7" s="256">
        <v>1.18</v>
      </c>
      <c r="AE7" s="50"/>
      <c r="AF7" s="50"/>
      <c r="AG7" s="50"/>
      <c r="AH7" s="50"/>
      <c r="AI7" s="50"/>
      <c r="AJ7" s="632" t="s">
        <v>180</v>
      </c>
      <c r="AK7" s="633"/>
      <c r="AL7" s="633"/>
      <c r="AM7" s="634"/>
      <c r="AN7" s="639">
        <f ca="1">VLOOKUP(AN3,PricingArea,35)</f>
        <v>0</v>
      </c>
      <c r="AP7" s="274"/>
      <c r="AQ7" s="201"/>
      <c r="AR7" s="201"/>
      <c r="AS7" s="262" t="s">
        <v>93</v>
      </c>
      <c r="AT7" s="275">
        <v>1</v>
      </c>
      <c r="AU7" s="274"/>
      <c r="AV7" s="201"/>
      <c r="AW7" s="201"/>
      <c r="AX7" s="262" t="s">
        <v>175</v>
      </c>
      <c r="AY7" s="275">
        <v>12</v>
      </c>
      <c r="AZ7" s="405"/>
      <c r="BA7" s="405"/>
      <c r="BB7" s="55"/>
      <c r="BC7" s="197"/>
      <c r="BD7" s="207"/>
      <c r="BE7" s="208" t="s">
        <v>26</v>
      </c>
      <c r="BF7" s="127" t="e">
        <f ca="1">IF(ParticipationType=1,C14,C13)*D32/E32*ParticipationRate/(1-ParticipationRate)</f>
        <v>#VALUE!</v>
      </c>
      <c r="BH7" s="66" t="s">
        <v>61</v>
      </c>
      <c r="BI7" s="67" t="s">
        <v>62</v>
      </c>
      <c r="BK7" s="445" t="s">
        <v>225</v>
      </c>
      <c r="BL7" s="446"/>
      <c r="BM7" s="447"/>
      <c r="BN7" s="448">
        <f ca="1">SwaptionStrike/SwaptionUnderlyingPrice-1</f>
        <v>0</v>
      </c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V7" s="53"/>
      <c r="DW7" s="54"/>
      <c r="DX7" s="54"/>
      <c r="DY7" s="54"/>
      <c r="DZ7" s="54"/>
      <c r="EA7" s="54"/>
      <c r="EB7" s="54"/>
      <c r="EC7" s="54"/>
      <c r="ES7" s="54"/>
      <c r="ID7" s="36">
        <v>9</v>
      </c>
      <c r="IE7" s="849" t="s">
        <v>129</v>
      </c>
      <c r="IF7" s="850">
        <v>0.25256576781288381</v>
      </c>
      <c r="IG7" s="850">
        <v>0.24372417284707232</v>
      </c>
      <c r="IH7" s="850">
        <v>0.23022251415544859</v>
      </c>
      <c r="II7" s="850">
        <v>0.22043820673609124</v>
      </c>
      <c r="IJ7" s="850">
        <v>0.2024254251014988</v>
      </c>
      <c r="IK7" s="850">
        <v>0.18168769782856312</v>
      </c>
      <c r="IL7" s="850">
        <v>0.17683276060219727</v>
      </c>
      <c r="IM7"/>
    </row>
    <row r="8" spans="1:247" ht="18" customHeight="1" thickBot="1">
      <c r="A8" s="499">
        <v>22</v>
      </c>
      <c r="B8" s="68"/>
      <c r="C8" s="69"/>
      <c r="D8" s="121"/>
      <c r="E8" s="77"/>
      <c r="F8" s="62" t="s">
        <v>18</v>
      </c>
      <c r="G8" s="63" t="s">
        <v>19</v>
      </c>
      <c r="H8" s="50"/>
      <c r="I8" s="50"/>
      <c r="J8" s="50"/>
      <c r="K8" s="50"/>
      <c r="L8" s="50"/>
      <c r="M8" s="50"/>
      <c r="N8" s="52"/>
      <c r="O8" s="50"/>
      <c r="P8" s="50"/>
      <c r="Q8" s="50"/>
      <c r="R8" s="50"/>
      <c r="S8" s="50"/>
      <c r="T8" s="6">
        <v>720</v>
      </c>
      <c r="U8" s="134">
        <v>1.2E-2</v>
      </c>
      <c r="V8" s="134">
        <v>8.0000000000000002E-3</v>
      </c>
      <c r="W8" s="134">
        <v>4.0000000000000001E-3</v>
      </c>
      <c r="X8" s="134">
        <v>5.0000000000000001E-4</v>
      </c>
      <c r="Y8" s="134">
        <v>5.0000000000000001E-4</v>
      </c>
      <c r="Z8" s="135">
        <v>5.0000000000000001E-4</v>
      </c>
      <c r="AA8" s="50"/>
      <c r="AB8" s="254">
        <v>2006</v>
      </c>
      <c r="AC8" s="255">
        <v>0.45</v>
      </c>
      <c r="AD8" s="256">
        <v>1.18</v>
      </c>
      <c r="AE8" s="50"/>
      <c r="AF8" s="167" t="s">
        <v>166</v>
      </c>
      <c r="AG8" s="139"/>
      <c r="AH8" s="140"/>
      <c r="AI8" s="50"/>
      <c r="AJ8" s="640"/>
      <c r="AK8" s="641"/>
      <c r="AL8" s="641"/>
      <c r="AM8" s="642">
        <v>1</v>
      </c>
      <c r="AN8" s="643">
        <v>2</v>
      </c>
      <c r="AP8" s="274"/>
      <c r="AQ8" s="201"/>
      <c r="AR8" s="201"/>
      <c r="AS8" s="262" t="s">
        <v>113</v>
      </c>
      <c r="AT8" s="276" t="b">
        <v>0</v>
      </c>
      <c r="AU8" s="274"/>
      <c r="AV8" s="201"/>
      <c r="AW8" s="201"/>
      <c r="AX8" s="262" t="s">
        <v>176</v>
      </c>
      <c r="AY8" s="275">
        <v>5</v>
      </c>
      <c r="AZ8" s="406"/>
      <c r="BA8" s="406"/>
      <c r="BB8" s="55"/>
      <c r="BC8" s="58" t="s">
        <v>208</v>
      </c>
      <c r="BD8" s="213"/>
      <c r="BE8" s="213"/>
      <c r="BF8" s="59"/>
      <c r="BH8" s="66" t="s">
        <v>63</v>
      </c>
      <c r="BI8" s="67" t="s">
        <v>40</v>
      </c>
      <c r="BK8" s="449" t="s">
        <v>226</v>
      </c>
      <c r="BL8" s="443"/>
      <c r="BM8" s="444"/>
      <c r="BN8" s="450">
        <f ca="1">IF(VolSkewFlag=1,IF(BN7&gt;0,INDEX(BA19:BA200,SwaptionFirstMonthPosition+SwaptionNumOfMonths)*MIN(BN7/10%,1)+(INDEX(BB19:BB200,SwaptionFirstMonthPosition+SwaptionNumOfMonths)-INDEX(BA19:BA200,SwaptionFirstMonthPosition+SwaptionNumOfMonths))*MAX(0,MIN(BN7/10%-1,1))+(INDEX(BC19:BC200,SwaptionFirstMonthPosition+SwaptionNumOfMonths)-INDEX(BB19:BB200,SwaptionFirstMonthPosition+SwaptionNumOfMonths))*MAX(0,BN7/10%-2),INDEX(AZ19:AZ200,SwaptionFirstMonthPosition+SwaptionNumOfMonths)*MIN(-BN7/10%,1)+(INDEX(AY19:AY200,SwaptionFirstMonthPosition+SwaptionNumOfMonths)-INDEX(AZ19:AZ200,SwaptionFirstMonthPosition+SwaptionNumOfMonths))*MAX(0,MIN(-BN7/10%-1,1))+(INDEX(AX19:AX200,SwaptionFirstMonthPosition+SwaptionNumOfMonths)-INDEX(AY19:AY200,SwaptionFirstMonthPosition+SwaptionNumOfMonths))*MAX(0,-BN7/10%-2)),0)</f>
        <v>0</v>
      </c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V8" s="53"/>
      <c r="DW8" s="54"/>
      <c r="DX8" s="54"/>
      <c r="DY8" s="54"/>
      <c r="DZ8" s="54"/>
      <c r="EA8" s="54"/>
      <c r="EB8" s="54"/>
      <c r="EC8" s="54"/>
      <c r="EQ8" s="250"/>
      <c r="ER8" s="250"/>
      <c r="ES8" s="54"/>
      <c r="ET8" s="250"/>
      <c r="EU8" s="455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GZ8" s="36"/>
      <c r="HA8" s="36"/>
      <c r="HB8" s="36"/>
      <c r="HC8" s="250"/>
      <c r="HD8" s="36"/>
      <c r="HE8" s="36"/>
      <c r="HF8" s="250"/>
      <c r="HG8" s="250"/>
      <c r="HH8" s="250"/>
      <c r="HI8" s="250"/>
      <c r="HJ8" s="250"/>
      <c r="HK8" s="250"/>
      <c r="HL8" s="250"/>
      <c r="HM8" s="250"/>
      <c r="HN8" s="456"/>
      <c r="HO8" s="456"/>
      <c r="HP8" s="456"/>
      <c r="HQ8" s="456"/>
      <c r="HR8" s="250"/>
      <c r="HS8" s="250"/>
      <c r="HT8" s="250"/>
      <c r="HU8" s="250"/>
      <c r="HV8" s="457"/>
      <c r="HW8" s="250"/>
      <c r="HX8" s="250"/>
      <c r="HY8" s="250"/>
      <c r="HZ8" s="250"/>
      <c r="IA8" s="250"/>
      <c r="IB8" s="250"/>
      <c r="IC8" s="250"/>
      <c r="ID8" s="36">
        <v>12</v>
      </c>
      <c r="IE8" s="849" t="s">
        <v>483</v>
      </c>
      <c r="IF8" s="850">
        <v>0.23546945646275055</v>
      </c>
      <c r="IG8" s="850">
        <v>0.2287044850391958</v>
      </c>
      <c r="IH8" s="850">
        <v>0.21742919663080879</v>
      </c>
      <c r="II8" s="850">
        <v>0.20924231057128201</v>
      </c>
      <c r="IJ8" s="850">
        <v>0.19434155565843161</v>
      </c>
      <c r="IK8" s="850">
        <v>0.17710787057802496</v>
      </c>
      <c r="IL8" s="850" t="e">
        <v>#REF!</v>
      </c>
      <c r="IM8"/>
    </row>
    <row r="9" spans="1:247" ht="15" customHeight="1" thickBot="1">
      <c r="A9" s="499">
        <f ca="1">(UnderlyingPriceAsian-A8)*E32/NominalVolume</f>
        <v>-22.05</v>
      </c>
      <c r="B9" s="78"/>
      <c r="C9" s="122"/>
      <c r="D9" s="123"/>
      <c r="E9" s="79" t="str">
        <f>CONCATENATE(IF(OptControl=4,"Put 1","Call"),IF(OptControl=3," 1",""))</f>
        <v>Call</v>
      </c>
      <c r="F9" s="531">
        <f>ROUND(2*INDEX(L20:L55,EuroOptionMonthPosition),0)/2</f>
        <v>0</v>
      </c>
      <c r="G9" s="532">
        <f>IF(OptControl=2,UnderlyingPriceAsian,StrikeSpec1)</f>
        <v>0</v>
      </c>
      <c r="H9" s="50"/>
      <c r="I9" s="50"/>
      <c r="J9" s="50"/>
      <c r="K9" s="50"/>
      <c r="L9" s="50"/>
      <c r="M9" s="50"/>
      <c r="N9" s="52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254">
        <v>2007</v>
      </c>
      <c r="AC9" s="255">
        <v>0.45</v>
      </c>
      <c r="AD9" s="256">
        <v>1.19</v>
      </c>
      <c r="AE9" s="50"/>
      <c r="AF9" s="189" t="s">
        <v>2</v>
      </c>
      <c r="AG9" s="190" t="s">
        <v>198</v>
      </c>
      <c r="AH9" s="191" t="s">
        <v>199</v>
      </c>
      <c r="AI9" s="50"/>
      <c r="AJ9" s="632" t="s">
        <v>42</v>
      </c>
      <c r="AK9" s="634"/>
      <c r="AL9" s="634"/>
      <c r="AM9" s="792" t="e">
        <f ca="1">Strike1/AN4-1</f>
        <v>#DIV/0!</v>
      </c>
      <c r="AN9" s="793" t="e">
        <f ca="1">Strike2/AN4-1</f>
        <v>#DIV/0!</v>
      </c>
      <c r="AP9" s="277"/>
      <c r="AQ9" s="278"/>
      <c r="AR9" s="278"/>
      <c r="AS9" s="279" t="s">
        <v>20</v>
      </c>
      <c r="AT9" s="280">
        <v>1</v>
      </c>
      <c r="AU9" s="277"/>
      <c r="AV9" s="278"/>
      <c r="AW9" s="278"/>
      <c r="AX9" s="279" t="s">
        <v>214</v>
      </c>
      <c r="AY9" s="280">
        <v>1</v>
      </c>
      <c r="AZ9" s="405"/>
      <c r="BA9" s="405"/>
      <c r="BB9" s="55"/>
      <c r="BC9" s="196"/>
      <c r="BD9" s="195"/>
      <c r="BE9" s="202" t="s">
        <v>25</v>
      </c>
      <c r="BF9" s="126" t="e">
        <f ca="1">IF(ParticipationType=1,1,-1)*(ParticipatingSwapPrice-UnderlyingPriceAsian)*E46/D46*(1-ParticipationRate)+IF(ParticipationType=1,C18,C17)*ParticipationRate</f>
        <v>#VALUE!</v>
      </c>
      <c r="BH9" s="66" t="s">
        <v>64</v>
      </c>
      <c r="BI9" s="67" t="s">
        <v>65</v>
      </c>
      <c r="BK9" s="449" t="s">
        <v>227</v>
      </c>
      <c r="BL9" s="443"/>
      <c r="BM9" s="444"/>
      <c r="BN9" s="450">
        <f ca="1">IF(BN7&gt;0,IF(BN7&gt;0.2,INDEX(BC19:BC200,SwaptionFirstMonthPosition+SwaptionNumOfMonths)-INDEX(BB19:BB200,SwaptionFirstMonthPosition+SwaptionNumOfMonths),IF(BN7&gt;0.1,INDEX(BB19:BB200,SwaptionFirstMonthPosition+SwaptionNumOfMonths)-INDEX(BA19:BA200,SwaptionFirstMonthPosition+SwaptionNumOfMonths),INDEX(BA19:BA200,SwaptionFirstMonthPosition+SwaptionNumOfMonths))),IF(BN7&lt;-0.2,INDEX(AX19:AX200,SwaptionFirstMonthPosition+SwaptionNumOfMonths)-INDEX(AY19:AY200,SwaptionFirstMonthPosition+SwaptionNumOfMonths),IF(BN7&lt;-0.1,INDEX(AY19:AY200,SwaptionFirstMonthPosition+SwaptionNumOfMonths)-INDEX(AZ19:AZ200,SwaptionFirstMonthPosition+SwaptionNumOfMonths),INDEX(AZ19:AZ200,SwaptionFirstMonthPosition+SwaptionNumOfMonths))))</f>
        <v>6.1688433016317623E-3</v>
      </c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V9" s="53"/>
      <c r="DW9" s="54"/>
      <c r="DX9" s="54"/>
      <c r="DY9" s="54"/>
      <c r="DZ9" s="54"/>
      <c r="EA9" s="54"/>
      <c r="EB9" s="54"/>
      <c r="EC9" s="54"/>
      <c r="EQ9" s="250"/>
      <c r="ER9" s="250"/>
      <c r="ES9" s="54"/>
      <c r="EU9" s="456"/>
      <c r="EV9" s="456"/>
      <c r="EW9" s="456"/>
      <c r="EX9" s="456"/>
      <c r="EY9" s="456"/>
      <c r="EZ9" s="456"/>
      <c r="FA9" s="456"/>
      <c r="FB9" s="456"/>
      <c r="FC9" s="456"/>
      <c r="FD9" s="456"/>
      <c r="FE9" s="456"/>
      <c r="FF9" s="456"/>
      <c r="FG9" s="456"/>
      <c r="FH9" s="456"/>
      <c r="FI9" s="456"/>
      <c r="FJ9" s="250"/>
      <c r="GZ9" s="36"/>
      <c r="HA9" s="36"/>
      <c r="HB9" s="36"/>
      <c r="HC9" s="250"/>
      <c r="HD9" s="36"/>
      <c r="HE9" s="36"/>
      <c r="HF9" s="250"/>
      <c r="HG9" s="458"/>
      <c r="HH9" s="458"/>
      <c r="HI9" s="458"/>
      <c r="HJ9" s="458"/>
      <c r="HK9" s="458"/>
      <c r="HL9" s="458"/>
      <c r="HM9" s="458"/>
      <c r="HN9" s="459"/>
      <c r="HO9" s="459"/>
      <c r="HP9" s="459"/>
      <c r="HQ9" s="459"/>
      <c r="HR9" s="250"/>
      <c r="HS9" s="250"/>
      <c r="HT9" s="250"/>
      <c r="HU9" s="250"/>
      <c r="HV9" s="250"/>
      <c r="HW9" s="250"/>
      <c r="HX9" s="250"/>
      <c r="HY9" s="250"/>
      <c r="HZ9" s="250"/>
      <c r="IA9" s="460"/>
      <c r="IB9" s="250"/>
      <c r="IC9" s="250"/>
      <c r="ID9" s="36">
        <v>24</v>
      </c>
      <c r="IE9" s="849" t="s">
        <v>484</v>
      </c>
      <c r="IF9" s="850">
        <v>0.20266162408818439</v>
      </c>
      <c r="IG9" s="850">
        <v>0.19871094486206667</v>
      </c>
      <c r="IH9" s="850">
        <v>0.19201970763218212</v>
      </c>
      <c r="II9" s="850">
        <v>0.1870826455337215</v>
      </c>
      <c r="IJ9" s="850">
        <v>0.17820699055447148</v>
      </c>
      <c r="IK9" s="850">
        <v>0.16811674202607144</v>
      </c>
      <c r="IL9" s="850" t="e">
        <v>#REF!</v>
      </c>
      <c r="IM9"/>
    </row>
    <row r="10" spans="1:247" ht="15" customHeight="1" thickBot="1">
      <c r="A10" s="499" t="e">
        <f ca="1">C15*100*(A8-StrikeSpec1)</f>
        <v>#VALUE!</v>
      </c>
      <c r="B10" s="81"/>
      <c r="C10" s="124"/>
      <c r="D10" s="125"/>
      <c r="E10" s="82" t="str">
        <f>CONCATENATE(IF(OptControl=3,"Call 2","Put"),IF(OptControl=4," 2",""))</f>
        <v>Put</v>
      </c>
      <c r="F10" s="533">
        <f>StrikeSpec1</f>
        <v>0</v>
      </c>
      <c r="G10" s="534">
        <f>IF(OptControl=2,UnderlyingPriceAsian,StrikeSpec2)</f>
        <v>0</v>
      </c>
      <c r="H10" s="50"/>
      <c r="I10" s="50"/>
      <c r="J10" s="50"/>
      <c r="K10" s="50"/>
      <c r="L10" s="50"/>
      <c r="M10" s="50"/>
      <c r="N10" s="52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254">
        <v>2008</v>
      </c>
      <c r="AC10" s="255">
        <v>0.45</v>
      </c>
      <c r="AD10" s="256">
        <v>1.22</v>
      </c>
      <c r="AE10" s="50"/>
      <c r="AF10" s="178">
        <v>1998</v>
      </c>
      <c r="AG10" s="365">
        <v>1</v>
      </c>
      <c r="AH10" s="367">
        <v>0</v>
      </c>
      <c r="AI10" s="50"/>
      <c r="AJ10" s="632" t="s">
        <v>13</v>
      </c>
      <c r="AK10" s="634"/>
      <c r="AL10" s="634"/>
      <c r="AM10" s="644" t="e">
        <f ca="1">AN6+IF(VolSkewFlag=1,IF(AM9&gt;0,INDEX(BA19:BA200,EuroOptionMonthPosition)*MIN(AM9/10%,1)+(INDEX(BB19:BB200,EuroOptionMonthPosition)-INDEX(BA19:BA200,EuroOptionMonthPosition))*MAX(0,MIN(AM9/10%-1,1))+(INDEX(BC19:BC200,EuroOptionMonthPosition)-INDEX(BB19:BB200,EuroOptionMonthPosition))*MAX(0,AM9/10%-2),INDEX(AZ19:AZ200,EuroOptionMonthPosition)*MIN(-AM9/10%,1)+(INDEX(AY19:AY200,EuroOptionMonthPosition)-INDEX(AZ19:AZ200,EuroOptionMonthPosition))*MAX(0,MIN(-AM9/10%-1,1))+(INDEX(AX19:AX200,EuroOptionMonthPosition)-INDEX(AY19:AY200,EuroOptionMonthPosition))*MAX(0,-AM9/10%-2)),0)</f>
        <v>#DIV/0!</v>
      </c>
      <c r="AN10" s="638" t="e">
        <f ca="1">AN6+IF(VolSkewFlag=1,IF(AN9&gt;0,INDEX(BA19:BA200,EuroOptionMonthPosition)*MIN(AN9/10%,1)+(INDEX(BB19:BB200,EuroOptionMonthPosition)-INDEX(BA19:BA200,EuroOptionMonthPosition))*MAX(0,MIN(AN9/10%-1,1))+(INDEX(BC19:BC200,EuroOptionMonthPosition)-INDEX(BB19:BB200,EuroOptionMonthPosition))*MAX(0,AN9/10%-2),INDEX(AZ19:AZ200,EuroOptionMonthPosition)*MIN(-AN9/10%,1)+(INDEX(AY19:AY200,EuroOptionMonthPosition)-INDEX(AZ19:AZ200,EuroOptionMonthPosition))*MAX(0,MIN(-AN9/10%-1,1))+(INDEX(AX19:AX200,EuroOptionMonthPosition)-INDEX(AY19:AY200,EuroOptionMonthPosition))*MAX(0,-AN9/10%-2)),0)</f>
        <v>#DIV/0!</v>
      </c>
      <c r="AU10" s="405"/>
      <c r="AZ10" s="405"/>
      <c r="BA10" s="405"/>
      <c r="BB10" s="55"/>
      <c r="BC10" s="197"/>
      <c r="BD10" s="207"/>
      <c r="BE10" s="208" t="s">
        <v>26</v>
      </c>
      <c r="BF10" s="127" t="e">
        <f>IF(ParticipationType=1,C18,C17)*D46/E46*ParticipationRate/(1-ParticipationRate)</f>
        <v>#VALUE!</v>
      </c>
      <c r="BH10" s="66" t="s">
        <v>66</v>
      </c>
      <c r="BI10" s="67" t="s">
        <v>67</v>
      </c>
      <c r="BK10" s="449" t="s">
        <v>492</v>
      </c>
      <c r="BL10" s="443"/>
      <c r="BM10" s="444"/>
      <c r="BN10" s="816">
        <f ca="1">(B26-DateToday+1)/365.25</f>
        <v>0.39972621492128679</v>
      </c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V10" s="53"/>
      <c r="DW10" s="54"/>
      <c r="DX10" s="54"/>
      <c r="DY10" s="54"/>
      <c r="DZ10" s="54"/>
      <c r="EA10" s="54"/>
      <c r="EB10" s="54"/>
      <c r="EC10" s="54"/>
      <c r="EQ10" s="250"/>
      <c r="ER10" s="250"/>
      <c r="EU10" s="456"/>
      <c r="EV10" s="456"/>
      <c r="EW10" s="456"/>
      <c r="EX10" s="456"/>
      <c r="EY10" s="456"/>
      <c r="EZ10" s="456"/>
      <c r="FA10" s="456"/>
      <c r="FB10" s="456"/>
      <c r="FC10" s="456"/>
      <c r="FD10" s="456"/>
      <c r="FE10" s="456"/>
      <c r="FF10" s="456"/>
      <c r="FG10" s="456"/>
      <c r="FH10" s="456"/>
      <c r="FI10" s="456"/>
      <c r="FJ10" s="250"/>
      <c r="GZ10" s="36"/>
      <c r="HA10" s="36"/>
      <c r="HB10" s="36"/>
      <c r="HC10" s="250"/>
      <c r="HD10" s="36"/>
      <c r="HE10" s="36"/>
      <c r="HF10" s="250"/>
      <c r="HG10" s="250"/>
      <c r="HH10" s="250"/>
      <c r="HI10" s="250"/>
      <c r="HJ10" s="250"/>
      <c r="HK10" s="250"/>
      <c r="HL10" s="250"/>
      <c r="HM10" s="250"/>
      <c r="HN10" s="456"/>
      <c r="HO10" s="456"/>
      <c r="HP10" s="456"/>
      <c r="HQ10" s="456"/>
      <c r="HR10" s="250"/>
      <c r="HS10" s="250"/>
      <c r="HT10" s="250"/>
      <c r="HU10" s="250"/>
      <c r="HV10" s="250"/>
      <c r="HW10" s="250"/>
      <c r="HX10" s="250"/>
      <c r="HY10" s="250"/>
      <c r="HZ10" s="250"/>
      <c r="IA10" s="460"/>
      <c r="IB10" s="250"/>
      <c r="IC10" s="250"/>
      <c r="ID10" s="36">
        <v>36</v>
      </c>
      <c r="IE10" s="849" t="s">
        <v>485</v>
      </c>
      <c r="IF10" s="850">
        <v>0.18950727961460606</v>
      </c>
      <c r="IG10" s="850">
        <v>0.18642556167437868</v>
      </c>
      <c r="IH10" s="850">
        <v>0.18153987319815942</v>
      </c>
      <c r="II10" s="850">
        <v>0.17800977719925265</v>
      </c>
      <c r="IJ10" s="850">
        <v>0.17169068420310654</v>
      </c>
      <c r="IK10" s="850" t="e">
        <v>#REF!</v>
      </c>
      <c r="IL10" s="850" t="e">
        <v>#REF!</v>
      </c>
      <c r="IM10"/>
    </row>
    <row r="11" spans="1:247" ht="15" customHeight="1" thickBot="1">
      <c r="A11" s="480" t="e">
        <f ca="1">A10+C13</f>
        <v>#VALUE!</v>
      </c>
      <c r="B11" s="56" t="s">
        <v>116</v>
      </c>
      <c r="C11" s="57"/>
      <c r="D11" s="57"/>
      <c r="E11" s="57"/>
      <c r="F11" s="57"/>
      <c r="G11" s="57"/>
      <c r="H11" s="50"/>
      <c r="I11" s="50"/>
      <c r="J11" s="50"/>
      <c r="K11" s="50"/>
      <c r="L11" s="50"/>
      <c r="M11" s="50"/>
      <c r="N11" s="52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254">
        <v>2009</v>
      </c>
      <c r="AC11" s="255">
        <v>0.45</v>
      </c>
      <c r="AD11" s="256">
        <v>1.23</v>
      </c>
      <c r="AE11" s="50"/>
      <c r="AF11" s="131">
        <v>1999</v>
      </c>
      <c r="AG11" s="366">
        <v>1</v>
      </c>
      <c r="AH11" s="368">
        <v>0</v>
      </c>
      <c r="AI11" s="50"/>
      <c r="AJ11" s="645" t="s">
        <v>171</v>
      </c>
      <c r="AK11" s="646"/>
      <c r="AL11" s="646"/>
      <c r="AM11" s="647" t="e">
        <f ca="1">IF(AM9&gt;0,IF(AM9&gt;0.2,INDEX(BC19:BC200,EuroOptionMonthPosition)-INDEX(BB19:BB200,EuroOptionMonthPosition),IF(AM9&gt;0.1,INDEX(BB19:BB200,EuroOptionMonthPosition)-INDEX(BA19:BA200,EuroOptionMonthPosition),INDEX(BA19:BA200,EuroOptionMonthPosition))),IF(AM9&lt;-0.2,INDEX(AX19:AX200,EuroOptionMonthPosition)-INDEX(AY19:AY200,EuroOptionMonthPosition),IF(AM9&lt;-0.1,INDEX(AY19:AY200,EuroOptionMonthPosition)-INDEX(AZ19:AZ200,EuroOptionMonthPosition),INDEX(AZ19:AZ200,EuroOptionMonthPosition))))</f>
        <v>#DIV/0!</v>
      </c>
      <c r="AN11" s="648" t="e">
        <f ca="1">IF(AN9&gt;0,IF(AN9&gt;0.2,INDEX(BC19:BC200,EuroOptionMonthPosition)-INDEX(BB19:BB200,EuroOptionMonthPosition),IF(AN9&gt;0.1,INDEX(BB19:BB200,EuroOptionMonthPosition)-INDEX(BA19:BA200,EuroOptionMonthPosition),INDEX(BA19:BA200,EuroOptionMonthPosition))),IF(AN9&lt;-0.2,INDEX(AX19:AX200,EuroOptionMonthPosition)-INDEX(AY19:AY200,EuroOptionMonthPosition),IF(AN9&lt;-0.1,INDEX(AY19:AY200,EuroOptionMonthPosition)-INDEX(AZ19:AZ200,EuroOptionMonthPosition),INDEX(AZ19:AZ200,EuroOptionMonthPosition))))</f>
        <v>#DIV/0!</v>
      </c>
      <c r="AP11" s="128"/>
      <c r="AQ11" s="128"/>
      <c r="AR11" s="214"/>
      <c r="AS11" s="214"/>
      <c r="AT11" s="319"/>
      <c r="AU11" s="75"/>
      <c r="AV11" s="837" t="s">
        <v>496</v>
      </c>
      <c r="AW11" s="344"/>
      <c r="AX11" s="344"/>
      <c r="AY11" s="838">
        <f>MATCH(DATE(YEAR(NextMonth),12,1),I19:I260)</f>
        <v>5</v>
      </c>
      <c r="AZ11" s="405"/>
      <c r="BA11" s="405"/>
      <c r="BB11" s="55"/>
      <c r="BC11" s="58" t="s">
        <v>273</v>
      </c>
      <c r="BD11" s="213"/>
      <c r="BE11" s="213"/>
      <c r="BF11" s="59"/>
      <c r="BH11" s="66" t="s">
        <v>68</v>
      </c>
      <c r="BI11" s="67" t="s">
        <v>69</v>
      </c>
      <c r="BK11" s="807" t="s">
        <v>489</v>
      </c>
      <c r="BL11" s="808"/>
      <c r="BM11" s="809"/>
      <c r="BN11" s="810">
        <f ca="1">MAX(1,MATCH(B26-1,AD19:AD260)-MATCH(DateToday-1,AD19:AD260)+1)</f>
        <v>6</v>
      </c>
      <c r="BP11" s="481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V11" s="53"/>
      <c r="DW11" s="54"/>
      <c r="DX11" s="54"/>
      <c r="DY11" s="54"/>
      <c r="DZ11" s="54"/>
      <c r="EA11" s="54"/>
      <c r="EB11" s="54"/>
      <c r="EC11" s="54"/>
      <c r="EQ11" s="250"/>
      <c r="ER11" s="250"/>
      <c r="EU11" s="456"/>
      <c r="EV11" s="456"/>
      <c r="EW11" s="456"/>
      <c r="EX11" s="456"/>
      <c r="EY11" s="456"/>
      <c r="EZ11" s="456"/>
      <c r="FA11" s="456"/>
      <c r="FB11" s="456"/>
      <c r="FC11" s="456"/>
      <c r="FD11" s="456"/>
      <c r="FE11" s="456"/>
      <c r="FF11" s="456"/>
      <c r="FG11" s="456"/>
      <c r="FH11" s="456"/>
      <c r="FI11" s="456"/>
      <c r="FJ11" s="250"/>
      <c r="GZ11" s="36"/>
      <c r="HA11" s="36"/>
      <c r="HB11" s="36"/>
      <c r="HC11" s="250"/>
      <c r="HD11" s="36"/>
      <c r="HE11" s="36"/>
      <c r="HF11" s="250"/>
      <c r="HG11" s="461"/>
      <c r="HH11" s="461"/>
      <c r="HI11" s="461"/>
      <c r="HJ11" s="461"/>
      <c r="HK11" s="461"/>
      <c r="HL11" s="461"/>
      <c r="HM11" s="461"/>
      <c r="HN11" s="462"/>
      <c r="HO11" s="462"/>
      <c r="HP11" s="462"/>
      <c r="HQ11" s="462"/>
      <c r="HR11" s="250"/>
      <c r="HS11" s="250"/>
      <c r="HT11" s="250"/>
      <c r="HU11" s="250"/>
      <c r="HV11" s="250"/>
      <c r="HW11" s="250"/>
      <c r="HX11" s="250"/>
      <c r="HY11" s="250"/>
      <c r="HZ11" s="250"/>
      <c r="IA11" s="460"/>
      <c r="IB11" s="250"/>
      <c r="IC11" s="250"/>
      <c r="ID11" s="36">
        <v>60</v>
      </c>
      <c r="IE11" s="849" t="s">
        <v>486</v>
      </c>
      <c r="IF11" s="850">
        <v>0.17747142045741587</v>
      </c>
      <c r="IG11" s="850">
        <v>0.17543580696532438</v>
      </c>
      <c r="IH11" s="850">
        <v>0.17236289326445445</v>
      </c>
      <c r="II11" s="850">
        <v>0.1701335944337565</v>
      </c>
      <c r="IJ11" s="850" t="e">
        <v>#REF!</v>
      </c>
      <c r="IK11" s="850" t="e">
        <v>#REF!</v>
      </c>
      <c r="IL11" s="850" t="e">
        <v>#REF!</v>
      </c>
      <c r="IM11"/>
    </row>
    <row r="12" spans="1:247" ht="12" customHeight="1" thickBot="1">
      <c r="A12" s="71" t="s">
        <v>107</v>
      </c>
      <c r="B12" s="84"/>
      <c r="C12" s="85" t="s">
        <v>28</v>
      </c>
      <c r="D12" s="62" t="s">
        <v>29</v>
      </c>
      <c r="E12" s="62" t="s">
        <v>30</v>
      </c>
      <c r="F12" s="701" t="str">
        <f>CONCATENATE(DaysForThetaCalculation,"-d Theta")</f>
        <v>1-d Theta</v>
      </c>
      <c r="G12" s="706" t="s">
        <v>476</v>
      </c>
      <c r="H12" s="50"/>
      <c r="I12" s="50"/>
      <c r="J12" s="50"/>
      <c r="K12" s="50"/>
      <c r="L12" s="50"/>
      <c r="M12" s="50"/>
      <c r="N12" s="52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254">
        <v>2010</v>
      </c>
      <c r="AC12" s="255">
        <v>0.45</v>
      </c>
      <c r="AD12" s="256">
        <v>1.23</v>
      </c>
      <c r="AE12" s="50"/>
      <c r="AF12" s="178">
        <v>2000</v>
      </c>
      <c r="AG12" s="366">
        <v>1</v>
      </c>
      <c r="AH12" s="368">
        <v>0</v>
      </c>
      <c r="AI12" s="50"/>
      <c r="AN12" s="55"/>
      <c r="AP12" s="129"/>
      <c r="AQ12" s="130"/>
      <c r="AR12" s="214"/>
      <c r="AS12" s="214"/>
      <c r="AT12" s="320"/>
      <c r="AU12" s="43"/>
      <c r="AZ12" s="405"/>
      <c r="BA12" s="405"/>
      <c r="BB12" s="55"/>
      <c r="BC12" s="196"/>
      <c r="BD12" s="195"/>
      <c r="BE12" s="202" t="s">
        <v>25</v>
      </c>
      <c r="BF12" s="126" t="e">
        <f ca="1">C16-G14</f>
        <v>#VALUE!</v>
      </c>
      <c r="BH12" s="66" t="s">
        <v>70</v>
      </c>
      <c r="BI12" s="67" t="s">
        <v>71</v>
      </c>
      <c r="BK12" s="451" t="s">
        <v>490</v>
      </c>
      <c r="BL12" s="452"/>
      <c r="BM12" s="452"/>
      <c r="BN12" s="811">
        <f ca="1">IF(DateToday&lt;=AD20,0,1)</f>
        <v>0</v>
      </c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V12" s="53"/>
      <c r="DW12" s="54"/>
      <c r="DX12" s="54"/>
      <c r="DY12" s="54"/>
      <c r="DZ12" s="54"/>
      <c r="EA12" s="54"/>
      <c r="EB12" s="54"/>
      <c r="EC12" s="54"/>
      <c r="EQ12" s="250"/>
      <c r="ER12" s="250"/>
      <c r="ET12" s="36"/>
      <c r="EU12" s="456"/>
      <c r="EV12" s="456"/>
      <c r="EW12" s="456"/>
      <c r="EX12" s="456"/>
      <c r="EY12" s="456"/>
      <c r="EZ12" s="456"/>
      <c r="FA12" s="456"/>
      <c r="FB12" s="456"/>
      <c r="FC12" s="456"/>
      <c r="FD12" s="456"/>
      <c r="FE12" s="456"/>
      <c r="FF12" s="456"/>
      <c r="FG12" s="456"/>
      <c r="FH12" s="456"/>
      <c r="FI12" s="456"/>
      <c r="FJ12" s="250"/>
      <c r="FK12" s="250"/>
      <c r="FL12" s="250"/>
      <c r="FM12" s="250"/>
      <c r="FN12" s="250"/>
      <c r="FO12" s="250"/>
      <c r="FP12" s="250"/>
      <c r="FQ12" s="250"/>
      <c r="FR12" s="250"/>
      <c r="FS12" s="250"/>
      <c r="FT12" s="250"/>
      <c r="FU12" s="250"/>
      <c r="FV12" s="250"/>
      <c r="FW12" s="250"/>
      <c r="FX12" s="250"/>
      <c r="FY12" s="250"/>
      <c r="FZ12" s="250"/>
      <c r="GA12" s="250"/>
      <c r="GB12" s="250"/>
      <c r="GC12" s="250"/>
      <c r="GD12" s="250"/>
      <c r="GE12" s="250"/>
      <c r="GF12" s="250"/>
      <c r="GG12" s="250"/>
      <c r="GH12" s="250"/>
      <c r="GI12" s="250"/>
      <c r="GJ12" s="250"/>
      <c r="GK12" s="250"/>
      <c r="GL12" s="250"/>
      <c r="GM12" s="250"/>
      <c r="GN12" s="250"/>
      <c r="GO12" s="250"/>
      <c r="GP12" s="250"/>
      <c r="GQ12" s="250"/>
      <c r="GR12" s="250"/>
      <c r="GS12" s="250"/>
      <c r="GT12" s="250"/>
      <c r="GU12" s="250"/>
      <c r="GV12" s="250"/>
      <c r="GW12" s="250"/>
      <c r="GX12" s="250"/>
      <c r="GY12" s="250"/>
      <c r="GZ12" s="250"/>
      <c r="HA12" s="250"/>
      <c r="HB12" s="250"/>
      <c r="HC12" s="250"/>
      <c r="HD12" s="36"/>
      <c r="HE12" s="36"/>
      <c r="HF12" s="250"/>
      <c r="HG12" s="463"/>
      <c r="HH12" s="463"/>
      <c r="HI12" s="463"/>
      <c r="HJ12" s="463"/>
      <c r="HK12" s="463"/>
      <c r="HL12" s="463"/>
      <c r="HM12" s="463"/>
      <c r="HN12" s="464"/>
      <c r="HO12" s="464"/>
      <c r="HP12" s="464"/>
      <c r="HQ12" s="464"/>
      <c r="HR12" s="250"/>
      <c r="HS12" s="250"/>
      <c r="HT12" s="250"/>
      <c r="HU12" s="250"/>
      <c r="HV12" s="250"/>
      <c r="HW12" s="250"/>
      <c r="HX12" s="465"/>
      <c r="HY12" s="250"/>
      <c r="HZ12" s="250"/>
      <c r="IA12" s="460"/>
      <c r="IB12" s="250"/>
      <c r="IC12" s="250"/>
      <c r="ID12" s="1"/>
      <c r="IE12" s="848"/>
      <c r="IF12" s="1"/>
      <c r="IG12" s="1"/>
      <c r="IH12" s="1"/>
      <c r="II12" s="1"/>
      <c r="IJ12" s="1"/>
      <c r="IK12" s="1"/>
      <c r="IL12" s="1"/>
      <c r="IM12"/>
    </row>
    <row r="13" spans="1:247" ht="15.75" customHeight="1" thickBot="1">
      <c r="A13" s="535" t="e">
        <f ca="1">SUMPRODUCT($BD19:$BD258,EF19:EF258)/$D$32</f>
        <v>#VALUE!</v>
      </c>
      <c r="B13" s="87" t="str">
        <f>CONCATENATE("Asian ",IF(OptControl=4,"Put 1","Call"),IF(OptControl=3," 1",""))</f>
        <v>Asian Call</v>
      </c>
      <c r="C13" s="535" t="e">
        <f ca="1">SUMPRODUCT($BD19:$BD258,CF19:CF258)/NominalVolume</f>
        <v>#VALUE!</v>
      </c>
      <c r="D13" s="94" t="e">
        <f ca="1">SUMPRODUCT($BD19:$BD258,CG19:CG258)/E32</f>
        <v>#VALUE!</v>
      </c>
      <c r="E13" s="94" t="e">
        <f ca="1">SUMPRODUCT($BD19:$BD258,CH19:CH258)/NominalVolume</f>
        <v>#VALUE!</v>
      </c>
      <c r="F13" s="702" t="e">
        <f ca="1">SUMPRODUCT($BD19:$BD258,CI19:CI258)/NominalVolume</f>
        <v>#VALUE!</v>
      </c>
      <c r="G13" s="712" t="s">
        <v>477</v>
      </c>
      <c r="H13" s="50"/>
      <c r="I13" s="50"/>
      <c r="J13" s="50"/>
      <c r="K13" s="50"/>
      <c r="L13" s="50"/>
      <c r="M13" s="50"/>
      <c r="N13" s="52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417">
        <v>2011</v>
      </c>
      <c r="AC13" s="255">
        <v>0.45</v>
      </c>
      <c r="AD13" s="256">
        <v>1.23</v>
      </c>
      <c r="AE13" s="50"/>
      <c r="AF13" s="131">
        <v>2001</v>
      </c>
      <c r="AG13" s="366">
        <v>1</v>
      </c>
      <c r="AH13" s="368">
        <v>0</v>
      </c>
      <c r="AI13" s="50"/>
      <c r="AJ13" s="320"/>
      <c r="AK13" s="320"/>
      <c r="AL13" s="320"/>
      <c r="AM13" s="399"/>
      <c r="AN13" s="320"/>
      <c r="AO13" s="481"/>
      <c r="AP13" s="343" t="s">
        <v>207</v>
      </c>
      <c r="AQ13" s="344"/>
      <c r="AR13" s="344"/>
      <c r="AS13" s="344"/>
      <c r="AT13" s="345">
        <f ca="1">DateCurve</f>
        <v>36745</v>
      </c>
      <c r="AU13" s="405"/>
      <c r="AZ13" s="405"/>
      <c r="BA13" s="405"/>
      <c r="BB13" s="55"/>
      <c r="BC13" s="197"/>
      <c r="BD13" s="207"/>
      <c r="BE13" s="208" t="s">
        <v>26</v>
      </c>
      <c r="BF13" s="127" t="e">
        <f ca="1">CostlessCollarValue/D13</f>
        <v>#VALUE!</v>
      </c>
      <c r="BH13" s="66" t="s">
        <v>72</v>
      </c>
      <c r="BI13" s="67" t="s">
        <v>73</v>
      </c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V13" s="53"/>
      <c r="DW13" s="54"/>
      <c r="DX13" s="54"/>
      <c r="DY13" s="54"/>
      <c r="DZ13" s="54"/>
      <c r="EA13" s="54"/>
      <c r="EB13" s="54"/>
      <c r="EC13" s="54"/>
      <c r="EQ13" s="250"/>
      <c r="ER13" s="250"/>
      <c r="ET13" s="250"/>
      <c r="EU13" s="456"/>
      <c r="EV13" s="456"/>
      <c r="EW13" s="250"/>
      <c r="EX13" s="250"/>
      <c r="EY13" s="250"/>
      <c r="EZ13" s="250"/>
      <c r="FA13" s="250"/>
      <c r="FB13" s="250"/>
      <c r="FC13" s="250"/>
      <c r="FD13" s="250"/>
      <c r="FE13" s="250"/>
      <c r="FF13" s="250"/>
      <c r="FG13" s="250"/>
      <c r="FH13" s="250"/>
      <c r="FI13" s="250"/>
      <c r="FJ13" s="250"/>
      <c r="FK13" s="250"/>
      <c r="FL13" s="250"/>
      <c r="FM13" s="250"/>
      <c r="FN13" s="250"/>
      <c r="FO13" s="250"/>
      <c r="FP13" s="250"/>
      <c r="FQ13" s="250"/>
      <c r="FR13" s="250"/>
      <c r="FS13" s="250"/>
      <c r="FT13" s="250"/>
      <c r="FU13" s="250"/>
      <c r="FV13" s="250"/>
      <c r="FW13" s="250"/>
      <c r="FX13" s="250"/>
      <c r="FY13" s="250"/>
      <c r="FZ13" s="250"/>
      <c r="GA13" s="250"/>
      <c r="GB13" s="250"/>
      <c r="GC13" s="250"/>
      <c r="GD13" s="250"/>
      <c r="GE13" s="250"/>
      <c r="GF13" s="250"/>
      <c r="GG13" s="250"/>
      <c r="GH13" s="250"/>
      <c r="GI13" s="250"/>
      <c r="GJ13" s="250"/>
      <c r="GK13" s="250"/>
      <c r="GL13" s="250"/>
      <c r="GM13" s="250"/>
      <c r="GN13" s="250"/>
      <c r="GO13" s="250"/>
      <c r="GP13" s="250"/>
      <c r="GQ13" s="250"/>
      <c r="GR13" s="250"/>
      <c r="GS13" s="250"/>
      <c r="GT13" s="250"/>
      <c r="GU13" s="250"/>
      <c r="GV13" s="250"/>
      <c r="GW13" s="250"/>
      <c r="GX13" s="250"/>
      <c r="GY13" s="250"/>
      <c r="GZ13" s="250"/>
      <c r="HA13" s="250"/>
      <c r="HB13" s="250"/>
      <c r="HC13" s="250"/>
      <c r="HD13" s="36"/>
      <c r="HE13" s="36"/>
      <c r="HF13" s="36"/>
      <c r="HG13" s="463"/>
      <c r="HH13" s="463"/>
      <c r="HI13" s="463"/>
      <c r="HJ13" s="463"/>
      <c r="HK13" s="463"/>
      <c r="HL13" s="463"/>
      <c r="HM13" s="463"/>
      <c r="HN13" s="464"/>
      <c r="HO13" s="464"/>
      <c r="HP13" s="464"/>
      <c r="HQ13" s="464"/>
      <c r="HR13" s="250"/>
      <c r="HS13" s="250"/>
      <c r="HT13" s="250"/>
      <c r="HU13" s="250"/>
      <c r="HV13" s="250"/>
      <c r="HW13" s="250"/>
      <c r="HX13" s="465"/>
      <c r="HY13" s="250"/>
      <c r="HZ13" s="250"/>
      <c r="IA13" s="460"/>
      <c r="IB13" s="250"/>
      <c r="IC13" s="250"/>
      <c r="ID13" s="1"/>
      <c r="IE13" s="848"/>
      <c r="IF13" s="1"/>
      <c r="IG13" s="1"/>
      <c r="IH13" s="1"/>
      <c r="II13" s="1"/>
      <c r="IJ13" s="1"/>
      <c r="IK13" s="1"/>
      <c r="IL13" s="1"/>
      <c r="IM13"/>
    </row>
    <row r="14" spans="1:247" ht="16.5" customHeight="1" thickBot="1">
      <c r="A14" s="536" t="e">
        <f ca="1">SUMPRODUCT($BD19:$BD258,EG19:EG258)/$D$32</f>
        <v>#VALUE!</v>
      </c>
      <c r="B14" s="88" t="str">
        <f>CONCATENATE(IF(OptControl=3,"Call 2","Put"),IF(OptControl=4," 2",""))</f>
        <v>Put</v>
      </c>
      <c r="C14" s="536" t="e">
        <f ca="1">SUMPRODUCT($BD19:$BD258,CJ19:CJ258)/NominalVolume</f>
        <v>#VALUE!</v>
      </c>
      <c r="D14" s="96" t="e">
        <f ca="1">SUMPRODUCT($BD19:$BD258,CK19:CK258)/E32</f>
        <v>#VALUE!</v>
      </c>
      <c r="E14" s="96" t="e">
        <f ca="1">SUMPRODUCT($BD19:$BD258,CL19:CL258)/NominalVolume</f>
        <v>#VALUE!</v>
      </c>
      <c r="F14" s="705" t="e">
        <f ca="1">SUMPRODUCT($BD19:$BD258,CM19:CM258)/NominalVolume</f>
        <v>#VALUE!</v>
      </c>
      <c r="G14" s="713">
        <v>0.05</v>
      </c>
      <c r="H14" s="50"/>
      <c r="I14" s="50"/>
      <c r="J14" s="50"/>
      <c r="K14" s="50"/>
      <c r="L14" s="50"/>
      <c r="M14" s="50"/>
      <c r="N14" s="52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254">
        <v>2012</v>
      </c>
      <c r="AC14" s="255">
        <v>0.45</v>
      </c>
      <c r="AD14" s="256">
        <v>1.23</v>
      </c>
      <c r="AE14" s="50"/>
      <c r="AF14" s="178">
        <v>2002</v>
      </c>
      <c r="AG14" s="366">
        <v>1</v>
      </c>
      <c r="AH14" s="368">
        <v>0</v>
      </c>
      <c r="AI14" s="50"/>
      <c r="AJ14" s="320"/>
      <c r="AK14" s="320"/>
      <c r="AL14" s="320"/>
      <c r="AM14" s="399"/>
      <c r="AN14" s="320"/>
      <c r="AU14" s="405"/>
      <c r="AZ14" s="405"/>
      <c r="BA14" s="405"/>
      <c r="BB14" s="55"/>
      <c r="BC14" s="55"/>
      <c r="BE14" s="55"/>
      <c r="BF14" s="55"/>
      <c r="BH14" s="73" t="s">
        <v>74</v>
      </c>
      <c r="BI14" s="74" t="s">
        <v>75</v>
      </c>
      <c r="CE14" s="5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V14" s="53"/>
      <c r="DW14" s="54"/>
      <c r="DX14" s="54"/>
      <c r="DY14" s="54"/>
      <c r="DZ14" s="54"/>
      <c r="EA14" s="54"/>
      <c r="EB14" s="54"/>
      <c r="EC14" s="54"/>
      <c r="EQ14" s="250"/>
      <c r="ER14" s="250"/>
      <c r="ET14" s="250"/>
      <c r="EU14" s="456"/>
      <c r="EV14" s="456"/>
      <c r="EW14" s="250"/>
      <c r="EX14" s="250"/>
      <c r="EY14" s="250"/>
      <c r="EZ14" s="250"/>
      <c r="FA14" s="250"/>
      <c r="FB14" s="250"/>
      <c r="FC14" s="250"/>
      <c r="FD14" s="250"/>
      <c r="FE14" s="250"/>
      <c r="FF14" s="250"/>
      <c r="FG14" s="250"/>
      <c r="FH14" s="466" t="s">
        <v>228</v>
      </c>
      <c r="FI14" s="250"/>
      <c r="FJ14" s="250"/>
      <c r="FK14" s="250"/>
      <c r="FL14" s="250"/>
      <c r="FM14" s="250"/>
      <c r="FN14" s="250"/>
      <c r="FO14" s="250"/>
      <c r="FP14" s="250"/>
      <c r="FQ14" s="250"/>
      <c r="FR14" s="250"/>
      <c r="FS14" s="250"/>
      <c r="FT14" s="250"/>
      <c r="FU14" s="250"/>
      <c r="FV14" s="250"/>
      <c r="FW14" s="250"/>
      <c r="FX14" s="250"/>
      <c r="FY14" s="250"/>
      <c r="FZ14" s="250"/>
      <c r="GA14" s="250"/>
      <c r="GB14" s="250"/>
      <c r="GC14" s="250"/>
      <c r="GD14" s="250"/>
      <c r="GE14" s="250"/>
      <c r="GF14" s="250"/>
      <c r="GG14" s="250"/>
      <c r="GH14" s="250"/>
      <c r="GI14" s="250"/>
      <c r="GJ14" s="250"/>
      <c r="GK14" s="250"/>
      <c r="GL14" s="250"/>
      <c r="GM14" s="250"/>
      <c r="GN14" s="250"/>
      <c r="GO14" s="250"/>
      <c r="GP14" s="250"/>
      <c r="GQ14" s="250"/>
      <c r="GR14" s="250"/>
      <c r="GS14" s="250"/>
      <c r="GT14" s="250"/>
      <c r="GU14" s="250"/>
      <c r="GV14" s="250"/>
      <c r="GW14" s="250"/>
      <c r="GX14" s="250"/>
      <c r="GY14" s="250"/>
      <c r="GZ14" s="250"/>
      <c r="HA14" s="250"/>
      <c r="HB14" s="250"/>
      <c r="HC14" s="250"/>
      <c r="HD14" s="250"/>
      <c r="HE14" s="250"/>
      <c r="HF14" s="250"/>
      <c r="HG14" s="250"/>
      <c r="HH14" s="250"/>
      <c r="HI14" s="250"/>
      <c r="HJ14" s="250"/>
      <c r="HK14" s="250"/>
      <c r="HL14" s="250"/>
      <c r="HM14" s="250"/>
      <c r="HN14" s="250"/>
      <c r="HO14" s="250"/>
      <c r="HP14" s="250"/>
      <c r="HQ14" s="250"/>
      <c r="HR14" s="250"/>
      <c r="HS14" s="250"/>
      <c r="HT14" s="250"/>
      <c r="HU14" s="250"/>
      <c r="HV14" s="250"/>
      <c r="HW14" s="250"/>
      <c r="HX14" s="250"/>
      <c r="HY14" s="250"/>
      <c r="HZ14" s="250"/>
      <c r="IA14" s="250"/>
      <c r="IB14" s="250"/>
      <c r="IC14" s="250"/>
      <c r="ID14" s="1"/>
      <c r="IE14" s="1"/>
      <c r="IF14" s="1"/>
      <c r="IG14" s="1"/>
      <c r="IH14" s="1"/>
      <c r="II14" s="1"/>
      <c r="IJ14" s="1"/>
      <c r="IK14" s="1"/>
      <c r="IL14" s="1"/>
      <c r="IM14"/>
    </row>
    <row r="15" spans="1:247" s="75" customFormat="1" ht="16.5" customHeight="1" thickBot="1">
      <c r="A15" s="537" t="e">
        <f ca="1">A13+A14*IF(OptControl&gt;2,-1,1)</f>
        <v>#VALUE!</v>
      </c>
      <c r="B15" s="453" t="str">
        <f>IF(OptControl=3,"Call Spread",IF(OptControl=4,"Put Spread","Straddle"))</f>
        <v>Straddle</v>
      </c>
      <c r="C15" s="537" t="e">
        <f ca="1">C13+C14*IF(OptControl&gt;2,-1,1)</f>
        <v>#VALUE!</v>
      </c>
      <c r="D15" s="454" t="e">
        <f ca="1">D13+D14*IF(OptControl&gt;2,-1,1)</f>
        <v>#VALUE!</v>
      </c>
      <c r="E15" s="454" t="e">
        <f ca="1">E13+E14*IF(OptControl&gt;2,-1,1)</f>
        <v>#VALUE!</v>
      </c>
      <c r="F15" s="703" t="e">
        <f ca="1">F13+F14*IF(OptControl&gt;2,-1,1)</f>
        <v>#VALUE!</v>
      </c>
      <c r="G15" s="708"/>
      <c r="H15" s="51"/>
      <c r="I15" s="500">
        <f>Underlying</f>
        <v>1</v>
      </c>
      <c r="J15" s="400" t="s">
        <v>205</v>
      </c>
      <c r="K15" s="329"/>
      <c r="L15" s="329"/>
      <c r="M15" s="295" t="s">
        <v>206</v>
      </c>
      <c r="N15" s="329"/>
      <c r="O15" s="330"/>
      <c r="P15" s="295" t="s">
        <v>215</v>
      </c>
      <c r="Q15" s="329"/>
      <c r="R15" s="329"/>
      <c r="S15" s="487" t="s">
        <v>109</v>
      </c>
      <c r="T15" s="333" t="s">
        <v>164</v>
      </c>
      <c r="U15" s="385"/>
      <c r="V15" s="192"/>
      <c r="W15" s="298" t="s">
        <v>43</v>
      </c>
      <c r="X15" s="329"/>
      <c r="Y15" s="420"/>
      <c r="Z15" s="420"/>
      <c r="AA15" s="421"/>
      <c r="AB15" s="421"/>
      <c r="AC15" s="329" t="s">
        <v>50</v>
      </c>
      <c r="AD15" s="230"/>
      <c r="AE15" s="230"/>
      <c r="AF15" s="230"/>
      <c r="AG15" s="220" t="s">
        <v>216</v>
      </c>
      <c r="AH15" s="222"/>
      <c r="AI15" s="220" t="s">
        <v>184</v>
      </c>
      <c r="AJ15" s="221"/>
      <c r="AK15" s="221"/>
      <c r="AL15" s="221"/>
      <c r="AM15" s="221"/>
      <c r="AN15" s="221"/>
      <c r="AO15" s="295" t="s">
        <v>187</v>
      </c>
      <c r="AP15" s="855"/>
      <c r="AQ15" s="297"/>
      <c r="AR15" s="296"/>
      <c r="AS15" s="295" t="s">
        <v>203</v>
      </c>
      <c r="AT15" s="236"/>
      <c r="AU15" s="236"/>
      <c r="AV15" s="237"/>
      <c r="AW15" s="442" t="s">
        <v>11</v>
      </c>
      <c r="AX15" s="263"/>
      <c r="AY15" s="263"/>
      <c r="AZ15" s="263"/>
      <c r="BA15" s="263"/>
      <c r="BB15" s="263"/>
      <c r="BC15" s="289"/>
      <c r="BD15" s="298" t="s">
        <v>210</v>
      </c>
      <c r="BE15" s="289"/>
      <c r="BF15" s="258"/>
      <c r="BG15" s="281"/>
      <c r="BH15" s="260" t="s">
        <v>181</v>
      </c>
      <c r="BI15" s="248" t="s">
        <v>190</v>
      </c>
      <c r="BJ15" s="155"/>
      <c r="BK15" s="155"/>
      <c r="BL15" s="155"/>
      <c r="BM15" s="155"/>
      <c r="BN15" s="155"/>
      <c r="BO15" s="263"/>
      <c r="BP15" s="263"/>
      <c r="BQ15" s="263"/>
      <c r="BR15" s="230"/>
      <c r="BS15" s="230"/>
      <c r="BT15" s="230"/>
      <c r="BU15" s="230"/>
      <c r="BV15" s="230"/>
      <c r="BW15" s="509"/>
      <c r="BX15" s="509"/>
      <c r="BY15" s="509"/>
      <c r="BZ15" s="509"/>
      <c r="CA15" s="509"/>
      <c r="CB15" s="509"/>
      <c r="CC15" s="509"/>
      <c r="CD15" s="509"/>
      <c r="CE15" s="509"/>
      <c r="CF15" s="509"/>
      <c r="CG15" s="509"/>
      <c r="CH15" s="509"/>
      <c r="CI15" s="509"/>
      <c r="CJ15" s="509"/>
      <c r="CK15" s="509"/>
      <c r="CL15" s="509"/>
      <c r="CM15" s="510"/>
      <c r="CN15" s="53"/>
      <c r="CO15" s="728" t="s">
        <v>482</v>
      </c>
      <c r="CP15" s="729"/>
      <c r="CQ15" s="729"/>
      <c r="CR15" s="729"/>
      <c r="CS15" s="729"/>
      <c r="CT15" s="729"/>
      <c r="CU15" s="729"/>
      <c r="CV15" s="729"/>
      <c r="CW15" s="729"/>
      <c r="CX15" s="729"/>
      <c r="CY15" s="729"/>
      <c r="CZ15" s="729"/>
      <c r="DA15" s="729"/>
      <c r="DB15" s="729"/>
      <c r="DC15" s="729"/>
      <c r="DD15" s="729"/>
      <c r="DE15" s="730"/>
      <c r="DF15" s="53"/>
      <c r="DG15" s="393"/>
      <c r="DH15" s="394"/>
      <c r="DI15" s="394"/>
      <c r="DJ15" s="394"/>
      <c r="DK15" s="394"/>
      <c r="DL15" s="394"/>
      <c r="DM15" s="394"/>
      <c r="DN15" s="394"/>
      <c r="DO15" s="394"/>
      <c r="DP15" s="394"/>
      <c r="DQ15" s="395"/>
      <c r="DR15" s="394"/>
      <c r="DS15" s="394"/>
      <c r="DT15" s="394"/>
      <c r="DU15" s="394"/>
      <c r="DV15" s="394"/>
      <c r="DW15" s="394"/>
      <c r="DX15" s="394"/>
      <c r="DY15" s="394"/>
      <c r="DZ15" s="394"/>
      <c r="EA15" s="395"/>
      <c r="EB15" s="1"/>
      <c r="EC15" s="1"/>
      <c r="ED15" s="1"/>
      <c r="EE15" s="1"/>
      <c r="EF15" s="1"/>
      <c r="EG15" s="1"/>
      <c r="EH15" s="55"/>
      <c r="EI15" s="482"/>
      <c r="EJ15" s="55"/>
      <c r="EK15" s="55"/>
      <c r="EL15" s="55"/>
      <c r="EM15" s="1"/>
      <c r="EN15" s="106"/>
      <c r="EO15" s="106"/>
      <c r="EP15" s="1"/>
      <c r="EQ15" s="106"/>
      <c r="ER15" s="55"/>
      <c r="ES15" s="250"/>
      <c r="ET15" s="250"/>
      <c r="EV15" s="250"/>
      <c r="EW15" s="456"/>
      <c r="EX15" s="456"/>
      <c r="EY15" s="250"/>
      <c r="EZ15" s="250"/>
      <c r="FA15" s="250"/>
      <c r="FB15" s="250"/>
      <c r="FC15" s="250"/>
      <c r="FD15" s="250"/>
      <c r="FE15" s="250"/>
      <c r="FF15" s="250"/>
      <c r="FG15" s="250"/>
      <c r="FH15" s="250"/>
      <c r="FI15" s="250"/>
      <c r="FJ15" s="250"/>
      <c r="FK15" s="468">
        <f ca="1">MAX(ET20,0)</f>
        <v>2.7378507871321012E-2</v>
      </c>
      <c r="FL15" s="468">
        <f ca="1">INDEX($ET$20:$ET$200,FL19)-FK15</f>
        <v>7.939767282683094E-2</v>
      </c>
      <c r="FM15" s="457">
        <f t="shared" ref="FM15:ID15" ca="1" si="0">INDEX($ET$20:$ET$92,FM19)-INDEX($ET$20:$ET$92,FM19-1)</f>
        <v>8.7611225188227254E-2</v>
      </c>
      <c r="FN15" s="457">
        <f t="shared" ca="1" si="0"/>
        <v>7.6659822039698844E-2</v>
      </c>
      <c r="FO15" s="457">
        <f t="shared" ca="1" si="0"/>
        <v>8.2135523613963035E-2</v>
      </c>
      <c r="FP15" s="457">
        <f t="shared" ca="1" si="0"/>
        <v>9.3086926762491418E-2</v>
      </c>
      <c r="FQ15" s="457">
        <f t="shared" ca="1" si="0"/>
        <v>7.6659822039698899E-2</v>
      </c>
      <c r="FR15" s="457">
        <f t="shared" ca="1" si="0"/>
        <v>7.9397672826830856E-2</v>
      </c>
      <c r="FS15" s="457">
        <f t="shared" ca="1" si="0"/>
        <v>9.034907597535935E-2</v>
      </c>
      <c r="FT15" s="457">
        <f t="shared" ca="1" si="0"/>
        <v>8.2135523613963035E-2</v>
      </c>
      <c r="FU15" s="457">
        <f t="shared" ca="1" si="0"/>
        <v>7.9397672826830967E-2</v>
      </c>
      <c r="FV15" s="457">
        <f t="shared" ca="1" si="0"/>
        <v>8.7611225188227282E-2</v>
      </c>
      <c r="FW15" s="457">
        <f t="shared" ca="1" si="0"/>
        <v>8.2135523613962924E-2</v>
      </c>
      <c r="FX15" s="457">
        <f t="shared" ca="1" si="0"/>
        <v>8.7611225188227282E-2</v>
      </c>
      <c r="FY15" s="457">
        <f t="shared" ca="1" si="0"/>
        <v>8.2135523613963146E-2</v>
      </c>
      <c r="FZ15" s="457">
        <f t="shared" ca="1" si="0"/>
        <v>7.6659822039698788E-2</v>
      </c>
      <c r="GA15" s="457">
        <f t="shared" ca="1" si="0"/>
        <v>8.2135523613962924E-2</v>
      </c>
      <c r="GB15" s="457">
        <f t="shared" ca="1" si="0"/>
        <v>9.034907597535935E-2</v>
      </c>
      <c r="GC15" s="457">
        <f t="shared" ca="1" si="0"/>
        <v>7.9397672826831078E-2</v>
      </c>
      <c r="GD15" s="457">
        <f t="shared" ca="1" si="0"/>
        <v>7.9397672826830856E-2</v>
      </c>
      <c r="GE15" s="457">
        <f t="shared" ca="1" si="0"/>
        <v>9.034907597535935E-2</v>
      </c>
      <c r="GF15" s="457">
        <f t="shared" ca="1" si="0"/>
        <v>7.9397672826830856E-2</v>
      </c>
      <c r="GG15" s="457">
        <f t="shared" ca="1" si="0"/>
        <v>8.7611225188227282E-2</v>
      </c>
      <c r="GH15" s="457">
        <f t="shared" ca="1" si="0"/>
        <v>8.2135523613963146E-2</v>
      </c>
      <c r="GI15" s="457">
        <f t="shared" ca="1" si="0"/>
        <v>7.9397672826831078E-2</v>
      </c>
      <c r="GJ15" s="457">
        <f t="shared" ca="1" si="0"/>
        <v>9.0349075975359128E-2</v>
      </c>
      <c r="GK15" s="457">
        <f t="shared" ca="1" si="0"/>
        <v>8.2135523613962924E-2</v>
      </c>
      <c r="GL15" s="457">
        <f t="shared" ca="1" si="0"/>
        <v>7.9397672826830856E-2</v>
      </c>
      <c r="GM15" s="457">
        <f t="shared" ca="1" si="0"/>
        <v>8.4873374401095436E-2</v>
      </c>
      <c r="GN15" s="457">
        <f t="shared" ca="1" si="0"/>
        <v>8.4873374401094992E-2</v>
      </c>
      <c r="GO15" s="457">
        <f t="shared" ca="1" si="0"/>
        <v>8.4873374401094992E-2</v>
      </c>
      <c r="GP15" s="457">
        <f t="shared" ca="1" si="0"/>
        <v>7.6659822039699232E-2</v>
      </c>
      <c r="GQ15" s="457">
        <f t="shared" ca="1" si="0"/>
        <v>8.4873374401094992E-2</v>
      </c>
      <c r="GR15" s="457">
        <f t="shared" ca="1" si="0"/>
        <v>8.2135523613962924E-2</v>
      </c>
      <c r="GS15" s="457">
        <f t="shared" ca="1" si="0"/>
        <v>8.4873374401095436E-2</v>
      </c>
      <c r="GT15" s="457">
        <f t="shared" ca="1" si="0"/>
        <v>8.2135523613962924E-2</v>
      </c>
      <c r="GU15" s="457">
        <f t="shared" ca="1" si="0"/>
        <v>8.4873374401094992E-2</v>
      </c>
      <c r="GV15" s="457">
        <f t="shared" ca="1" si="0"/>
        <v>8.4873374401094992E-2</v>
      </c>
      <c r="GW15" s="457">
        <f t="shared" ca="1" si="0"/>
        <v>8.2135523613963368E-2</v>
      </c>
      <c r="GX15" s="457">
        <f t="shared" ca="1" si="0"/>
        <v>8.4873374401094992E-2</v>
      </c>
      <c r="GY15" s="457">
        <f t="shared" ca="1" si="0"/>
        <v>8.2135523613962924E-2</v>
      </c>
      <c r="GZ15" s="457">
        <f t="shared" ca="1" si="0"/>
        <v>8.4873374401095436E-2</v>
      </c>
      <c r="HA15" s="457">
        <f t="shared" ca="1" si="0"/>
        <v>8.4873374401094992E-2</v>
      </c>
      <c r="HB15" s="457">
        <f t="shared" ca="1" si="0"/>
        <v>7.9397672826830856E-2</v>
      </c>
      <c r="HC15" s="457">
        <f t="shared" ca="1" si="0"/>
        <v>8.4873374401094992E-2</v>
      </c>
      <c r="HD15" s="457">
        <f t="shared" ca="1" si="0"/>
        <v>8.2135523613963368E-2</v>
      </c>
      <c r="HE15" s="457">
        <f t="shared" ca="1" si="0"/>
        <v>8.4873374401094992E-2</v>
      </c>
      <c r="HF15" s="457">
        <f t="shared" ca="1" si="0"/>
        <v>8.2135523613962924E-2</v>
      </c>
      <c r="HG15" s="457">
        <f t="shared" ca="1" si="0"/>
        <v>8.4873374401094992E-2</v>
      </c>
      <c r="HH15" s="457">
        <f t="shared" ca="1" si="0"/>
        <v>8.487337440109588E-2</v>
      </c>
      <c r="HI15" s="457">
        <f t="shared" ca="1" si="0"/>
        <v>8.2135523613962924E-2</v>
      </c>
      <c r="HJ15" s="457">
        <f t="shared" ca="1" si="0"/>
        <v>8.4873374401094992E-2</v>
      </c>
      <c r="HK15" s="457">
        <f t="shared" ca="1" si="0"/>
        <v>8.2135523613962924E-2</v>
      </c>
      <c r="HL15" s="457">
        <f t="shared" ca="1" si="0"/>
        <v>8.4873374401094992E-2</v>
      </c>
      <c r="HM15" s="457">
        <f t="shared" ca="1" si="0"/>
        <v>8.4873374401094992E-2</v>
      </c>
      <c r="HN15" s="457">
        <f t="shared" ca="1" si="0"/>
        <v>7.6659822039698788E-2</v>
      </c>
      <c r="HO15" s="457">
        <f t="shared" ca="1" si="0"/>
        <v>8.4873374401094992E-2</v>
      </c>
      <c r="HP15" s="457">
        <f t="shared" ca="1" si="0"/>
        <v>8.2135523613963812E-2</v>
      </c>
      <c r="HQ15" s="457">
        <f t="shared" ca="1" si="0"/>
        <v>8.4873374401094992E-2</v>
      </c>
      <c r="HR15" s="457">
        <f t="shared" ca="1" si="0"/>
        <v>8.2135523613962924E-2</v>
      </c>
      <c r="HS15" s="457">
        <f t="shared" ca="1" si="0"/>
        <v>8.4873374401094992E-2</v>
      </c>
      <c r="HT15" s="457">
        <f t="shared" ca="1" si="0"/>
        <v>8.4873374401094992E-2</v>
      </c>
      <c r="HU15" s="457">
        <f t="shared" ca="1" si="0"/>
        <v>8.2135523613962924E-2</v>
      </c>
      <c r="HV15" s="457">
        <f t="shared" ca="1" si="0"/>
        <v>8.487337440109588E-2</v>
      </c>
      <c r="HW15" s="457">
        <f t="shared" ca="1" si="0"/>
        <v>8.2135523613962924E-2</v>
      </c>
      <c r="HX15" s="457">
        <f t="shared" ca="1" si="0"/>
        <v>8.4873374401094992E-2</v>
      </c>
      <c r="HY15" s="457">
        <f t="shared" ca="1" si="0"/>
        <v>8.4873374401094992E-2</v>
      </c>
      <c r="HZ15" s="457">
        <f t="shared" ca="1" si="0"/>
        <v>7.6659822039698788E-2</v>
      </c>
      <c r="IA15" s="457">
        <f t="shared" ca="1" si="0"/>
        <v>8.4873374401094992E-2</v>
      </c>
      <c r="IB15" s="457">
        <f t="shared" ca="1" si="0"/>
        <v>8.2135523613962924E-2</v>
      </c>
      <c r="IC15" s="457">
        <f t="shared" ca="1" si="0"/>
        <v>8.487337440109588E-2</v>
      </c>
      <c r="ID15" s="457">
        <f t="shared" ca="1" si="0"/>
        <v>8.2135523613962924E-2</v>
      </c>
      <c r="IE15" s="250"/>
    </row>
    <row r="16" spans="1:247" ht="14.25" customHeight="1" thickBot="1">
      <c r="A16" s="538" t="e">
        <f ca="1">IF(OptControl&gt;2,"",A13-A14)</f>
        <v>#VALUE!</v>
      </c>
      <c r="B16" s="89" t="str">
        <f>IF(OptControl&gt;2,"","Fence")</f>
        <v>Fence</v>
      </c>
      <c r="C16" s="538" t="e">
        <f ca="1">IF(OptControl&gt;2,"",C13-C14)</f>
        <v>#VALUE!</v>
      </c>
      <c r="D16" s="97" t="e">
        <f ca="1">IF(OptControl&gt;2,"",D13-D14)</f>
        <v>#VALUE!</v>
      </c>
      <c r="E16" s="97" t="e">
        <f ca="1">IF(OptControl&gt;2,"",E13-E14)</f>
        <v>#VALUE!</v>
      </c>
      <c r="F16" s="704" t="e">
        <f ca="1">IF(OptControl&gt;2,"",F13-F14)</f>
        <v>#VALUE!</v>
      </c>
      <c r="G16" s="707"/>
      <c r="H16" s="51"/>
      <c r="I16" s="501">
        <f>Underlying</f>
        <v>1</v>
      </c>
      <c r="J16" s="401"/>
      <c r="K16" s="318"/>
      <c r="L16" s="318"/>
      <c r="M16" s="331"/>
      <c r="N16" s="318"/>
      <c r="O16" s="332"/>
      <c r="P16" s="331"/>
      <c r="Q16" s="318"/>
      <c r="R16" s="318"/>
      <c r="S16" s="488" t="s">
        <v>13</v>
      </c>
      <c r="T16" s="334" t="s">
        <v>162</v>
      </c>
      <c r="U16" s="386" t="s">
        <v>163</v>
      </c>
      <c r="V16" s="193" t="s">
        <v>112</v>
      </c>
      <c r="W16" s="422"/>
      <c r="X16" s="414"/>
      <c r="Y16" s="416"/>
      <c r="Z16" s="414"/>
      <c r="AA16" s="416"/>
      <c r="AB16" s="423"/>
      <c r="AC16" s="231"/>
      <c r="AD16" s="231"/>
      <c r="AE16" s="231"/>
      <c r="AF16" s="231"/>
      <c r="AG16" s="252" t="s">
        <v>217</v>
      </c>
      <c r="AH16" s="251"/>
      <c r="AI16" s="252" t="s">
        <v>185</v>
      </c>
      <c r="AJ16" s="282"/>
      <c r="AK16" s="282"/>
      <c r="AL16" s="282"/>
      <c r="AM16" s="282"/>
      <c r="AN16" s="282"/>
      <c r="AO16" s="859" t="s">
        <v>500</v>
      </c>
      <c r="AP16" s="217"/>
      <c r="AQ16" s="856" t="s">
        <v>501</v>
      </c>
      <c r="AR16" s="860"/>
      <c r="AS16" s="336" t="s">
        <v>204</v>
      </c>
      <c r="AT16" s="239"/>
      <c r="AU16" s="240"/>
      <c r="AV16" s="240"/>
      <c r="AW16" s="439"/>
      <c r="AX16" s="238"/>
      <c r="AY16" s="239"/>
      <c r="AZ16" s="239"/>
      <c r="BA16" s="239"/>
      <c r="BB16" s="239"/>
      <c r="BC16" s="240"/>
      <c r="BD16" s="354" t="s">
        <v>31</v>
      </c>
      <c r="BE16" s="355"/>
      <c r="BF16" s="246" t="s">
        <v>39</v>
      </c>
      <c r="BG16" s="245" t="s">
        <v>40</v>
      </c>
      <c r="BH16" s="261" t="s">
        <v>77</v>
      </c>
      <c r="BI16" s="299" t="s">
        <v>197</v>
      </c>
      <c r="BJ16" s="219"/>
      <c r="BK16" s="219"/>
      <c r="BL16" s="219"/>
      <c r="BM16" s="219"/>
      <c r="BN16" s="217"/>
      <c r="BO16" s="314" t="s">
        <v>188</v>
      </c>
      <c r="BP16" s="301"/>
      <c r="BQ16" s="302"/>
      <c r="BR16" s="300"/>
      <c r="BS16" s="301" t="s">
        <v>42</v>
      </c>
      <c r="BT16" s="302"/>
      <c r="BU16" s="301" t="s">
        <v>193</v>
      </c>
      <c r="BV16" s="302"/>
      <c r="BW16" s="511" t="s">
        <v>192</v>
      </c>
      <c r="BX16" s="512"/>
      <c r="BY16" s="511" t="s">
        <v>274</v>
      </c>
      <c r="BZ16" s="512"/>
      <c r="CA16" s="511" t="s">
        <v>191</v>
      </c>
      <c r="CB16" s="511"/>
      <c r="CC16" s="511"/>
      <c r="CD16" s="512"/>
      <c r="CE16" s="513"/>
      <c r="CF16" s="514" t="s">
        <v>196</v>
      </c>
      <c r="CG16" s="511"/>
      <c r="CH16" s="511"/>
      <c r="CI16" s="511"/>
      <c r="CJ16" s="511"/>
      <c r="CK16" s="511"/>
      <c r="CL16" s="511"/>
      <c r="CM16" s="515"/>
      <c r="CN16" s="53"/>
      <c r="CO16" s="731" t="s">
        <v>77</v>
      </c>
      <c r="CP16" s="714" t="s">
        <v>478</v>
      </c>
      <c r="CQ16" s="716" t="s">
        <v>42</v>
      </c>
      <c r="CR16" s="717"/>
      <c r="CS16" s="716" t="s">
        <v>480</v>
      </c>
      <c r="CT16" s="717"/>
      <c r="CU16" s="720" t="s">
        <v>46</v>
      </c>
      <c r="CV16" s="716" t="s">
        <v>481</v>
      </c>
      <c r="CW16" s="717"/>
      <c r="CX16" s="722" t="str">
        <f>CF17</f>
        <v>Call</v>
      </c>
      <c r="CY16" s="723"/>
      <c r="CZ16" s="723"/>
      <c r="DA16" s="724"/>
      <c r="DB16" s="722" t="str">
        <f>CJ17</f>
        <v>Put</v>
      </c>
      <c r="DC16" s="723"/>
      <c r="DD16" s="723"/>
      <c r="DE16" s="742"/>
      <c r="DG16" s="396"/>
      <c r="DH16" s="397"/>
      <c r="DI16" s="397"/>
      <c r="DJ16" s="397"/>
      <c r="DK16" s="397"/>
      <c r="DL16" s="397"/>
      <c r="DM16" s="397"/>
      <c r="DN16" s="397"/>
      <c r="DO16" s="397"/>
      <c r="DP16" s="397"/>
      <c r="DQ16" s="649"/>
      <c r="DR16" s="397"/>
      <c r="DS16" s="397"/>
      <c r="DT16" s="397"/>
      <c r="DU16" s="397"/>
      <c r="DV16" s="397"/>
      <c r="DW16" s="397"/>
      <c r="DX16" s="397"/>
      <c r="DY16" s="397"/>
      <c r="DZ16" s="397"/>
      <c r="EA16" s="398"/>
      <c r="EB16" s="1"/>
      <c r="EC16" s="4" t="s">
        <v>107</v>
      </c>
      <c r="ED16" s="2"/>
      <c r="EE16" s="2"/>
      <c r="EF16" s="2"/>
      <c r="EG16" s="47"/>
      <c r="EL16" s="55"/>
      <c r="EM16" s="1"/>
      <c r="EN16" s="106"/>
      <c r="EO16" s="106"/>
      <c r="EP16" s="1"/>
      <c r="EQ16" s="106"/>
      <c r="ES16" s="250"/>
      <c r="ET16" s="250"/>
      <c r="EU16" s="250"/>
      <c r="EV16" s="250"/>
      <c r="EW16" s="455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469"/>
      <c r="FK16" s="469"/>
      <c r="FL16" s="7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250"/>
      <c r="HF16" s="36"/>
      <c r="HG16" s="36"/>
      <c r="HH16" s="36"/>
      <c r="HI16" s="463"/>
      <c r="HJ16" s="463"/>
      <c r="HK16" s="463"/>
      <c r="HL16" s="463"/>
      <c r="HM16" s="463"/>
      <c r="HN16" s="463"/>
      <c r="HO16" s="463"/>
      <c r="HP16" s="464"/>
      <c r="HQ16" s="464"/>
      <c r="HR16" s="464"/>
      <c r="HS16" s="464"/>
      <c r="HT16" s="250"/>
      <c r="HU16" s="250"/>
      <c r="HV16" s="250"/>
      <c r="HW16" s="250"/>
      <c r="HX16" s="457"/>
      <c r="HY16" s="250"/>
      <c r="HZ16" s="250"/>
      <c r="IA16" s="250"/>
      <c r="IB16" s="250"/>
      <c r="IC16" s="250"/>
      <c r="ID16" s="250"/>
      <c r="IE16" s="250"/>
    </row>
    <row r="17" spans="1:239" ht="15" customHeight="1" thickBot="1">
      <c r="A17" s="611"/>
      <c r="B17" s="56" t="s">
        <v>120</v>
      </c>
      <c r="C17" s="57"/>
      <c r="D17" s="57"/>
      <c r="E17" s="57"/>
      <c r="F17" s="57"/>
      <c r="G17" s="57"/>
      <c r="H17" s="51"/>
      <c r="I17" s="502">
        <f>Underlying</f>
        <v>1</v>
      </c>
      <c r="J17" s="383"/>
      <c r="K17" s="337"/>
      <c r="L17" s="383"/>
      <c r="M17" s="338"/>
      <c r="N17" s="337"/>
      <c r="O17" s="339"/>
      <c r="P17" s="338"/>
      <c r="Q17" s="337"/>
      <c r="R17" s="383"/>
      <c r="S17" s="489"/>
      <c r="T17" s="173"/>
      <c r="U17" s="387"/>
      <c r="V17" s="194"/>
      <c r="W17" s="424" t="s">
        <v>3</v>
      </c>
      <c r="X17" s="419"/>
      <c r="Y17" s="418" t="s">
        <v>4</v>
      </c>
      <c r="Z17" s="419"/>
      <c r="AA17" s="418" t="s">
        <v>221</v>
      </c>
      <c r="AB17" s="425"/>
      <c r="AC17" s="219" t="s">
        <v>51</v>
      </c>
      <c r="AD17" s="217"/>
      <c r="AE17" s="218" t="s">
        <v>4</v>
      </c>
      <c r="AF17" s="219"/>
      <c r="AG17" s="252" t="s">
        <v>218</v>
      </c>
      <c r="AH17" s="251"/>
      <c r="AI17" s="290" t="s">
        <v>3</v>
      </c>
      <c r="AJ17" s="287"/>
      <c r="AK17" s="288"/>
      <c r="AL17" s="286" t="s">
        <v>4</v>
      </c>
      <c r="AM17" s="287"/>
      <c r="AN17" s="287"/>
      <c r="AO17" s="244" t="s">
        <v>180</v>
      </c>
      <c r="AP17" s="857" t="s">
        <v>186</v>
      </c>
      <c r="AQ17" s="858" t="s">
        <v>180</v>
      </c>
      <c r="AR17" s="245" t="s">
        <v>186</v>
      </c>
      <c r="AS17" s="326" t="s">
        <v>3</v>
      </c>
      <c r="AT17" s="327" t="s">
        <v>4</v>
      </c>
      <c r="AU17" s="241" t="s">
        <v>4</v>
      </c>
      <c r="AV17" s="328" t="s">
        <v>3</v>
      </c>
      <c r="AW17" s="440" t="s">
        <v>179</v>
      </c>
      <c r="AX17" s="238" t="s">
        <v>223</v>
      </c>
      <c r="AY17" s="238"/>
      <c r="AZ17" s="304"/>
      <c r="BA17" s="315" t="s">
        <v>224</v>
      </c>
      <c r="BB17" s="238"/>
      <c r="BC17" s="438"/>
      <c r="BD17" s="356" t="s">
        <v>6</v>
      </c>
      <c r="BE17" s="357" t="s">
        <v>36</v>
      </c>
      <c r="BF17" s="246"/>
      <c r="BG17" s="245"/>
      <c r="BH17" s="261" t="s">
        <v>182</v>
      </c>
      <c r="BI17" s="219" t="s">
        <v>119</v>
      </c>
      <c r="BJ17" s="219"/>
      <c r="BK17" s="219"/>
      <c r="BL17" s="217"/>
      <c r="BM17" s="218" t="s">
        <v>212</v>
      </c>
      <c r="BN17" s="217"/>
      <c r="BO17" s="315" t="s">
        <v>189</v>
      </c>
      <c r="BP17" s="238"/>
      <c r="BQ17" s="304"/>
      <c r="BR17" s="303" t="s">
        <v>6</v>
      </c>
      <c r="BS17" s="238" t="s">
        <v>195</v>
      </c>
      <c r="BT17" s="304"/>
      <c r="BU17" s="238" t="s">
        <v>194</v>
      </c>
      <c r="BV17" s="304"/>
      <c r="BW17" s="516"/>
      <c r="BX17" s="517"/>
      <c r="BY17" s="513"/>
      <c r="BZ17" s="517"/>
      <c r="CA17" s="517" t="str">
        <f>CF17</f>
        <v>Call</v>
      </c>
      <c r="CB17" s="517" t="str">
        <f>CF17</f>
        <v>Call</v>
      </c>
      <c r="CC17" s="517" t="str">
        <f>CJ17</f>
        <v>Put</v>
      </c>
      <c r="CD17" s="517" t="str">
        <f>CJ17</f>
        <v>Put</v>
      </c>
      <c r="CE17" s="518" t="s">
        <v>19</v>
      </c>
      <c r="CF17" s="519" t="str">
        <f>CONCATENATE(IF(OptControl=4,"Put 1","Call"),IF(OptControl=3," 1",""))</f>
        <v>Call</v>
      </c>
      <c r="CG17" s="519"/>
      <c r="CH17" s="519"/>
      <c r="CI17" s="520"/>
      <c r="CJ17" s="521" t="str">
        <f>CONCATENATE(IF(OptControl=3,"Call 2","Put"),IF(OptControl=4," 2",""))</f>
        <v>Put</v>
      </c>
      <c r="CK17" s="519"/>
      <c r="CL17" s="519"/>
      <c r="CM17" s="522"/>
      <c r="CN17" s="53"/>
      <c r="CO17" s="732" t="s">
        <v>286</v>
      </c>
      <c r="CP17" s="715" t="s">
        <v>479</v>
      </c>
      <c r="CQ17" s="718"/>
      <c r="CR17" s="719"/>
      <c r="CS17" s="718" t="s">
        <v>226</v>
      </c>
      <c r="CT17" s="719"/>
      <c r="CU17" s="721" t="s">
        <v>13</v>
      </c>
      <c r="CV17" s="718" t="s">
        <v>13</v>
      </c>
      <c r="CW17" s="719"/>
      <c r="CX17" s="725"/>
      <c r="CY17" s="726"/>
      <c r="CZ17" s="726"/>
      <c r="DA17" s="727"/>
      <c r="DB17" s="740"/>
      <c r="DC17" s="741"/>
      <c r="DD17" s="741"/>
      <c r="DE17" s="743"/>
      <c r="DG17" s="650" t="s">
        <v>3</v>
      </c>
      <c r="DH17" s="651"/>
      <c r="DI17" s="652"/>
      <c r="DJ17" s="650" t="s">
        <v>4</v>
      </c>
      <c r="DK17" s="651"/>
      <c r="DL17" s="652"/>
      <c r="DM17" s="653" t="s">
        <v>106</v>
      </c>
      <c r="DN17" s="465"/>
      <c r="DO17" s="654" t="s">
        <v>267</v>
      </c>
      <c r="DP17" s="655"/>
      <c r="DQ17" s="655"/>
      <c r="DR17" s="650" t="s">
        <v>3</v>
      </c>
      <c r="DS17" s="651"/>
      <c r="DT17" s="652"/>
      <c r="DU17" s="650" t="s">
        <v>4</v>
      </c>
      <c r="DV17" s="651"/>
      <c r="DW17" s="652"/>
      <c r="DX17" s="650" t="s">
        <v>271</v>
      </c>
      <c r="DY17" s="652"/>
      <c r="DZ17" s="650" t="s">
        <v>270</v>
      </c>
      <c r="EA17" s="652"/>
      <c r="EB17" s="1"/>
      <c r="EC17" s="48" t="s">
        <v>46</v>
      </c>
      <c r="ED17" s="45" t="s">
        <v>17</v>
      </c>
      <c r="EE17" s="44"/>
      <c r="EF17" s="45" t="s">
        <v>108</v>
      </c>
      <c r="EG17" s="46"/>
      <c r="EL17" s="55"/>
      <c r="EM17" s="1"/>
      <c r="EN17" s="691" t="s">
        <v>111</v>
      </c>
      <c r="EO17" s="692"/>
      <c r="EP17" s="1"/>
      <c r="EQ17" s="682" t="s">
        <v>121</v>
      </c>
      <c r="ES17" s="494"/>
      <c r="ET17" s="470" t="s">
        <v>229</v>
      </c>
      <c r="EU17" s="839" t="s">
        <v>231</v>
      </c>
      <c r="EV17" s="812" t="s">
        <v>230</v>
      </c>
      <c r="EW17" s="4" t="s">
        <v>36</v>
      </c>
      <c r="EX17" s="47"/>
      <c r="EY17" s="586"/>
      <c r="EZ17" s="587" t="s">
        <v>161</v>
      </c>
      <c r="FA17" s="588"/>
      <c r="FB17" s="588"/>
      <c r="FC17" s="588"/>
      <c r="FD17" s="588"/>
      <c r="FE17" s="588"/>
      <c r="FF17" s="588"/>
      <c r="FG17" s="588"/>
      <c r="FH17" s="589"/>
      <c r="FI17" s="250"/>
      <c r="FJ17" s="250"/>
      <c r="FK17" s="250"/>
      <c r="FL17" s="250"/>
      <c r="FM17" s="250"/>
      <c r="FN17" s="250"/>
      <c r="FO17" s="250"/>
      <c r="FP17" s="250"/>
      <c r="FQ17" s="250"/>
      <c r="FR17" s="250"/>
      <c r="FS17" s="250"/>
      <c r="FT17" s="250"/>
      <c r="FU17" s="250"/>
      <c r="FV17" s="250"/>
      <c r="FW17" s="250"/>
      <c r="FX17" s="250"/>
      <c r="FY17" s="250"/>
      <c r="FZ17" s="250"/>
      <c r="GA17" s="250"/>
      <c r="GB17" s="250"/>
      <c r="GC17" s="250"/>
      <c r="GD17" s="250"/>
      <c r="GE17" s="250"/>
      <c r="GF17" s="250"/>
      <c r="GG17" s="250"/>
      <c r="GH17" s="250"/>
      <c r="GI17" s="250"/>
      <c r="GJ17" s="250"/>
      <c r="GK17" s="250"/>
      <c r="GL17" s="250"/>
      <c r="GM17" s="250"/>
      <c r="GN17" s="250"/>
      <c r="GO17" s="250"/>
      <c r="GP17" s="250"/>
      <c r="GQ17" s="250"/>
      <c r="GR17" s="250"/>
      <c r="GS17" s="250"/>
      <c r="GT17" s="250"/>
      <c r="GU17" s="250"/>
      <c r="GV17" s="250"/>
      <c r="GW17" s="250"/>
      <c r="GX17" s="250"/>
      <c r="GY17" s="250"/>
      <c r="GZ17" s="250"/>
      <c r="HA17" s="250"/>
      <c r="HB17" s="250"/>
      <c r="HC17" s="250"/>
      <c r="HD17" s="250"/>
      <c r="HE17" s="250"/>
      <c r="HF17" s="250"/>
      <c r="HG17" s="250"/>
      <c r="HH17" s="250"/>
      <c r="HI17" s="250"/>
      <c r="HJ17" s="250"/>
      <c r="HK17" s="250"/>
      <c r="HL17" s="250"/>
      <c r="HM17" s="250"/>
      <c r="HN17" s="250"/>
      <c r="HO17" s="250"/>
      <c r="HP17" s="250"/>
      <c r="HQ17" s="250"/>
      <c r="HR17" s="250"/>
      <c r="HS17" s="250"/>
      <c r="HT17" s="250"/>
      <c r="HU17" s="250"/>
      <c r="HV17" s="250"/>
      <c r="HW17" s="250"/>
      <c r="HX17" s="250"/>
      <c r="HY17" s="250"/>
      <c r="HZ17" s="250"/>
      <c r="IA17" s="250"/>
      <c r="IB17" s="250"/>
      <c r="IC17" s="250"/>
      <c r="ID17" s="250"/>
      <c r="IE17" s="250"/>
    </row>
    <row r="18" spans="1:239" ht="16.5" customHeight="1" thickBot="1">
      <c r="A18" s="836" t="s">
        <v>183</v>
      </c>
      <c r="B18" s="84"/>
      <c r="C18" s="85" t="s">
        <v>28</v>
      </c>
      <c r="D18" s="62" t="s">
        <v>29</v>
      </c>
      <c r="E18" s="62" t="s">
        <v>30</v>
      </c>
      <c r="F18" s="86" t="str">
        <f>CONCATENATE(DaysForThetaCalculation,"-d Theta")</f>
        <v>1-d Theta</v>
      </c>
      <c r="G18" s="709" t="s">
        <v>1</v>
      </c>
      <c r="H18" s="51"/>
      <c r="I18" s="503">
        <f>Underlying</f>
        <v>1</v>
      </c>
      <c r="J18" s="402" t="s">
        <v>114</v>
      </c>
      <c r="K18" s="341" t="s">
        <v>45</v>
      </c>
      <c r="L18" s="384" t="s">
        <v>118</v>
      </c>
      <c r="M18" s="340" t="s">
        <v>114</v>
      </c>
      <c r="N18" s="341" t="s">
        <v>45</v>
      </c>
      <c r="O18" s="342" t="s">
        <v>118</v>
      </c>
      <c r="P18" s="340" t="s">
        <v>114</v>
      </c>
      <c r="Q18" s="341" t="s">
        <v>45</v>
      </c>
      <c r="R18" s="384" t="s">
        <v>118</v>
      </c>
      <c r="S18" s="823">
        <v>0.75</v>
      </c>
      <c r="T18" s="824">
        <v>0.85499999999999998</v>
      </c>
      <c r="U18" s="823">
        <v>0.75</v>
      </c>
      <c r="V18" s="100"/>
      <c r="W18" s="426" t="s">
        <v>114</v>
      </c>
      <c r="X18" s="427" t="s">
        <v>209</v>
      </c>
      <c r="Y18" s="427" t="s">
        <v>114</v>
      </c>
      <c r="Z18" s="427" t="s">
        <v>209</v>
      </c>
      <c r="AA18" s="427" t="s">
        <v>114</v>
      </c>
      <c r="AB18" s="428" t="s">
        <v>209</v>
      </c>
      <c r="AC18" s="232" t="s">
        <v>8</v>
      </c>
      <c r="AD18" s="233" t="s">
        <v>44</v>
      </c>
      <c r="AE18" s="233" t="s">
        <v>8</v>
      </c>
      <c r="AF18" s="234" t="s">
        <v>44</v>
      </c>
      <c r="AG18" s="294" t="s">
        <v>3</v>
      </c>
      <c r="AH18" s="235" t="s">
        <v>4</v>
      </c>
      <c r="AI18" s="291" t="s">
        <v>105</v>
      </c>
      <c r="AJ18" s="264" t="s">
        <v>103</v>
      </c>
      <c r="AK18" s="264" t="s">
        <v>104</v>
      </c>
      <c r="AL18" s="264" t="s">
        <v>105</v>
      </c>
      <c r="AM18" s="264" t="s">
        <v>103</v>
      </c>
      <c r="AN18" s="265" t="s">
        <v>104</v>
      </c>
      <c r="AO18" s="854"/>
      <c r="AP18" s="267"/>
      <c r="AQ18" s="861"/>
      <c r="AR18" s="156"/>
      <c r="AS18" s="273" t="s">
        <v>80</v>
      </c>
      <c r="AT18" s="266" t="s">
        <v>41</v>
      </c>
      <c r="AU18" s="267" t="s">
        <v>80</v>
      </c>
      <c r="AV18" s="156" t="s">
        <v>110</v>
      </c>
      <c r="AW18" s="358" t="s">
        <v>79</v>
      </c>
      <c r="AX18" s="242">
        <v>0.3</v>
      </c>
      <c r="AY18" s="242">
        <v>0.2</v>
      </c>
      <c r="AZ18" s="242">
        <v>0.1</v>
      </c>
      <c r="BA18" s="242">
        <v>0.1</v>
      </c>
      <c r="BB18" s="242">
        <v>0.2</v>
      </c>
      <c r="BC18" s="441">
        <v>0.3</v>
      </c>
      <c r="BD18" s="358" t="s">
        <v>211</v>
      </c>
      <c r="BE18" s="359" t="s">
        <v>161</v>
      </c>
      <c r="BF18" s="246"/>
      <c r="BG18" s="156"/>
      <c r="BH18" s="259" t="s">
        <v>265</v>
      </c>
      <c r="BI18" s="306" t="s">
        <v>99</v>
      </c>
      <c r="BJ18" s="266" t="s">
        <v>100</v>
      </c>
      <c r="BK18" s="266" t="s">
        <v>101</v>
      </c>
      <c r="BL18" s="267" t="s">
        <v>102</v>
      </c>
      <c r="BM18" s="235" t="s">
        <v>99</v>
      </c>
      <c r="BN18" s="267" t="s">
        <v>102</v>
      </c>
      <c r="BO18" s="264" t="s">
        <v>105</v>
      </c>
      <c r="BP18" s="264" t="s">
        <v>103</v>
      </c>
      <c r="BQ18" s="265" t="s">
        <v>104</v>
      </c>
      <c r="BR18" s="316" t="s">
        <v>14</v>
      </c>
      <c r="BS18" s="317" t="str">
        <f>CF17</f>
        <v>Call</v>
      </c>
      <c r="BT18" s="316" t="str">
        <f>CJ17</f>
        <v>Put</v>
      </c>
      <c r="BU18" s="316" t="s">
        <v>95</v>
      </c>
      <c r="BV18" s="316" t="s">
        <v>96</v>
      </c>
      <c r="BW18" s="523" t="s">
        <v>97</v>
      </c>
      <c r="BX18" s="523" t="s">
        <v>98</v>
      </c>
      <c r="BY18" s="523" t="str">
        <f>CF17</f>
        <v>Call</v>
      </c>
      <c r="BZ18" s="523" t="str">
        <f>CJ17</f>
        <v>Put</v>
      </c>
      <c r="CA18" s="523" t="s">
        <v>97</v>
      </c>
      <c r="CB18" s="523" t="s">
        <v>98</v>
      </c>
      <c r="CC18" s="523" t="s">
        <v>97</v>
      </c>
      <c r="CD18" s="523" t="s">
        <v>98</v>
      </c>
      <c r="CE18" s="523" t="s">
        <v>94</v>
      </c>
      <c r="CF18" s="524" t="s">
        <v>47</v>
      </c>
      <c r="CG18" s="525" t="s">
        <v>29</v>
      </c>
      <c r="CH18" s="525" t="s">
        <v>30</v>
      </c>
      <c r="CI18" s="525" t="s">
        <v>48</v>
      </c>
      <c r="CJ18" s="525" t="s">
        <v>47</v>
      </c>
      <c r="CK18" s="525" t="s">
        <v>29</v>
      </c>
      <c r="CL18" s="525" t="s">
        <v>30</v>
      </c>
      <c r="CM18" s="526" t="s">
        <v>48</v>
      </c>
      <c r="CN18" s="53"/>
      <c r="CO18" s="733"/>
      <c r="CP18" s="734" t="s">
        <v>14</v>
      </c>
      <c r="CQ18" s="735" t="str">
        <f>CF17</f>
        <v>Call</v>
      </c>
      <c r="CR18" s="735" t="str">
        <f>CJ17</f>
        <v>Put</v>
      </c>
      <c r="CS18" s="735" t="str">
        <f>CF17</f>
        <v>Call</v>
      </c>
      <c r="CT18" s="735" t="str">
        <f>CJ17</f>
        <v>Put</v>
      </c>
      <c r="CU18" s="736"/>
      <c r="CV18" s="735" t="str">
        <f>CF17</f>
        <v>Call</v>
      </c>
      <c r="CW18" s="735" t="str">
        <f>CJ17</f>
        <v>Put</v>
      </c>
      <c r="CX18" s="737" t="s">
        <v>28</v>
      </c>
      <c r="CY18" s="737" t="s">
        <v>29</v>
      </c>
      <c r="CZ18" s="737" t="s">
        <v>30</v>
      </c>
      <c r="DA18" s="737" t="s">
        <v>48</v>
      </c>
      <c r="DB18" s="738" t="s">
        <v>28</v>
      </c>
      <c r="DC18" s="737" t="s">
        <v>29</v>
      </c>
      <c r="DD18" s="737" t="s">
        <v>30</v>
      </c>
      <c r="DE18" s="739" t="s">
        <v>48</v>
      </c>
      <c r="DG18" s="656" t="s">
        <v>1</v>
      </c>
      <c r="DH18" s="657" t="s">
        <v>7</v>
      </c>
      <c r="DI18" s="658" t="s">
        <v>6</v>
      </c>
      <c r="DJ18" s="656" t="s">
        <v>1</v>
      </c>
      <c r="DK18" s="657" t="s">
        <v>7</v>
      </c>
      <c r="DL18" s="658" t="s">
        <v>6</v>
      </c>
      <c r="DM18" s="656" t="s">
        <v>1</v>
      </c>
      <c r="DN18" s="659" t="s">
        <v>6</v>
      </c>
      <c r="DO18" s="660" t="s">
        <v>1</v>
      </c>
      <c r="DP18" s="661" t="s">
        <v>6</v>
      </c>
      <c r="DQ18" s="662" t="s">
        <v>15</v>
      </c>
      <c r="DR18" s="663" t="s">
        <v>1</v>
      </c>
      <c r="DS18" s="657" t="s">
        <v>7</v>
      </c>
      <c r="DT18" s="658" t="s">
        <v>80</v>
      </c>
      <c r="DU18" s="656" t="s">
        <v>1</v>
      </c>
      <c r="DV18" s="657" t="s">
        <v>7</v>
      </c>
      <c r="DW18" s="658" t="s">
        <v>80</v>
      </c>
      <c r="DX18" s="656" t="s">
        <v>1</v>
      </c>
      <c r="DY18" s="658" t="s">
        <v>13</v>
      </c>
      <c r="DZ18" s="656" t="s">
        <v>1</v>
      </c>
      <c r="EA18" s="658" t="s">
        <v>13</v>
      </c>
      <c r="EB18" s="1"/>
      <c r="EC18" s="49" t="s">
        <v>13</v>
      </c>
      <c r="ED18" s="37" t="str">
        <f>CF17</f>
        <v>Call</v>
      </c>
      <c r="EE18" s="38" t="str">
        <f>CJ17</f>
        <v>Put</v>
      </c>
      <c r="EF18" s="8" t="str">
        <f>CF17</f>
        <v>Call</v>
      </c>
      <c r="EG18" s="9" t="str">
        <f>CJ17</f>
        <v>Put</v>
      </c>
      <c r="EH18" s="75"/>
      <c r="EI18" s="75"/>
      <c r="EJ18" s="75"/>
      <c r="EK18" s="75"/>
      <c r="EL18" s="75"/>
      <c r="EM18" s="1"/>
      <c r="EN18" s="693" t="s">
        <v>3</v>
      </c>
      <c r="EO18" s="694" t="s">
        <v>4</v>
      </c>
      <c r="EP18" s="1"/>
      <c r="EQ18" s="683" t="s">
        <v>122</v>
      </c>
      <c r="ES18" s="495"/>
      <c r="ET18" s="471" t="s">
        <v>232</v>
      </c>
      <c r="EU18" s="840" t="s">
        <v>264</v>
      </c>
      <c r="EV18" s="7" t="s">
        <v>233</v>
      </c>
      <c r="EW18" s="472" t="s">
        <v>234</v>
      </c>
      <c r="EX18" s="473" t="s">
        <v>13</v>
      </c>
      <c r="EY18" s="250"/>
      <c r="EZ18" s="590" t="s">
        <v>283</v>
      </c>
      <c r="FA18" s="583"/>
      <c r="FB18" s="583"/>
      <c r="FC18" s="585" t="s">
        <v>77</v>
      </c>
      <c r="FD18" s="585" t="s">
        <v>14</v>
      </c>
      <c r="FE18" s="584" t="s">
        <v>42</v>
      </c>
      <c r="FF18" s="582"/>
      <c r="FG18" s="584" t="s">
        <v>282</v>
      </c>
      <c r="FH18" s="591"/>
      <c r="FI18" s="250"/>
      <c r="FJ18" s="467" t="s">
        <v>235</v>
      </c>
      <c r="FK18" s="250"/>
      <c r="FL18" s="250"/>
      <c r="FM18" s="250"/>
      <c r="FN18" s="250"/>
      <c r="FO18" s="250"/>
      <c r="FP18" s="250"/>
      <c r="FQ18" s="250"/>
      <c r="FR18" s="250"/>
      <c r="FS18" s="250"/>
      <c r="FT18" s="250"/>
      <c r="FU18" s="250"/>
      <c r="FV18" s="250"/>
      <c r="FW18" s="250"/>
      <c r="FX18" s="250"/>
      <c r="FY18" s="250"/>
      <c r="FZ18" s="250"/>
      <c r="GA18" s="250"/>
      <c r="GB18" s="250"/>
      <c r="GC18" s="250"/>
      <c r="GD18" s="250"/>
      <c r="GE18" s="250"/>
      <c r="GF18" s="250"/>
      <c r="GG18" s="250"/>
      <c r="GH18" s="250"/>
      <c r="GI18" s="250"/>
      <c r="GJ18" s="250"/>
      <c r="GK18" s="250"/>
      <c r="GL18" s="250"/>
      <c r="GM18" s="250"/>
      <c r="GN18" s="250"/>
      <c r="GO18" s="250"/>
      <c r="GP18" s="250"/>
      <c r="GQ18" s="250"/>
      <c r="GR18" s="250"/>
      <c r="GS18" s="250"/>
      <c r="GT18" s="250"/>
      <c r="GU18" s="250"/>
      <c r="GV18" s="250"/>
      <c r="GW18" s="250"/>
      <c r="GX18" s="250"/>
      <c r="GY18" s="250"/>
      <c r="GZ18" s="250"/>
      <c r="HA18" s="250"/>
      <c r="HB18" s="250"/>
      <c r="HC18" s="250"/>
      <c r="HD18" s="250"/>
      <c r="HE18" s="250"/>
      <c r="HF18" s="250"/>
      <c r="HG18" s="250"/>
      <c r="HH18" s="250"/>
      <c r="HI18" s="250"/>
      <c r="HJ18" s="250"/>
      <c r="HK18" s="250"/>
      <c r="HL18" s="250"/>
      <c r="HM18" s="250"/>
      <c r="HN18" s="250"/>
      <c r="HO18" s="250"/>
      <c r="HP18" s="250"/>
      <c r="HQ18" s="250"/>
      <c r="HR18" s="250"/>
      <c r="HS18" s="250"/>
      <c r="HT18" s="250"/>
      <c r="HU18" s="250"/>
      <c r="HV18" s="250"/>
      <c r="HW18" s="250"/>
      <c r="HX18" s="250"/>
      <c r="HY18" s="250"/>
      <c r="HZ18" s="250"/>
      <c r="IA18" s="250"/>
      <c r="IB18" s="250"/>
      <c r="IC18" s="250"/>
      <c r="ID18" s="250"/>
      <c r="IE18" s="250"/>
    </row>
    <row r="19" spans="1:239" ht="17.25" customHeight="1" thickBot="1">
      <c r="A19" s="836" t="s">
        <v>494</v>
      </c>
      <c r="B19" s="87" t="str">
        <f>IF(OptControl=2,"",CONCATENATE("Euro ",IF(OptControl=4,"Put 1","Call"),IF(OptControl=3," 1","")))</f>
        <v>Euro Call</v>
      </c>
      <c r="C19" s="535" t="e">
        <f ca="1">_xll.AMER(AN4,Strike1,AN7,AN7,AM10,AN5,IF(OptControl=4,0,1),0)</f>
        <v>#DIV/0!</v>
      </c>
      <c r="D19" s="94" t="e">
        <f ca="1">_xll.AMER(AN4,Strike1,AN7,AN7,AM10,AN5,IF(OptControl=4,0,1),1)+IF(OR(VolSkewFlag=2,ABS(AM9)&lt;0.0001),0,IF(AM9&gt;0,-1,1)*E19*100*Strike1/AN4^2*AM11/10%)</f>
        <v>#DIV/0!</v>
      </c>
      <c r="E19" s="94" t="e">
        <f ca="1">_xll.AMER(AN4,Strike1,AN7,AN7,AM10,AN5,IF(OptControl=4,0,1),3)/100</f>
        <v>#DIV/0!</v>
      </c>
      <c r="F19" s="95" t="e">
        <f ca="1">_xll.AMER(AN4,Strike1,AN7,AN7,AM10,AN5-DaysForThetaCalculation,IF(OptControl=4,0,1),0)-_xll.AMER(AN4,Strike1,AN7,AN7,AM10,AN5,IF(OptControl=4,0,1),0)</f>
        <v>#DIV/0!</v>
      </c>
      <c r="G19" s="710"/>
      <c r="H19" s="51"/>
      <c r="I19" s="403">
        <v>36739</v>
      </c>
      <c r="J19" s="388"/>
      <c r="K19" s="371"/>
      <c r="L19" s="391"/>
      <c r="M19" s="390"/>
      <c r="N19" s="369"/>
      <c r="O19" s="370"/>
      <c r="P19" s="388"/>
      <c r="Q19" s="371"/>
      <c r="R19" s="380"/>
      <c r="S19" s="825">
        <v>0.36</v>
      </c>
      <c r="T19" s="826">
        <v>0.85</v>
      </c>
      <c r="U19" s="827">
        <v>0.98</v>
      </c>
      <c r="V19" s="378">
        <v>0</v>
      </c>
      <c r="W19" s="613">
        <f ca="1">CHOOSE(AY9,J20*BL4+J21*BM4,(G35*BN4+J20*MAX(0,AJ19-BN4)+J21*(AI19-BN4-MAX(0,AJ19-BN4)))/AI19)</f>
        <v>0</v>
      </c>
      <c r="X19" s="614">
        <f ca="1">CHOOSE(AY9,L20*BL4+L21*BM4,(G35*BN4+L20*MAX(0,AJ19-BN4)+L21*(AI19-BN4-MAX(0,AJ19-BN4)))/AI19)</f>
        <v>0</v>
      </c>
      <c r="Y19" s="615">
        <f ca="1">CHOOSE(AY9,P20*BL5+P21*BM5,(G35*BN5+P20*MAX(0,AM19-BN5)+P21*(AL19-BN5-MAX(0,AM19-BN5)))/AL19)</f>
        <v>0</v>
      </c>
      <c r="Z19" s="615">
        <f ca="1">CHOOSE(AY9,R20*BL5+R21*BM5,(G35*BN5+R20*MAX(0,AM19-BN5)+R21*(AL19-BN5-MAX(0,AM19-BN5)))/AL19)</f>
        <v>0</v>
      </c>
      <c r="AA19" s="430">
        <f t="shared" ref="AA19:AA82" ca="1" si="1">IF(Q21="extra",INDEX(BrentSeasonalityTable,INT((BG19-1)/3)+1)*VLOOKUP(MAX(BF19,$AB$4),PriceSpreadTable,3),W19-Y19)</f>
        <v>0</v>
      </c>
      <c r="AB19" s="431">
        <f t="shared" ref="AB19:AB82" ca="1" si="2">IF(Q21="extra",INDEX(BrentSeasonalityTable,INT((BG19-1)/3)+1)*VLOOKUP(MAX(BF19,$AB$4),PriceSpreadTable,3),X19-Z19)</f>
        <v>0</v>
      </c>
      <c r="AC19" s="223">
        <v>36727</v>
      </c>
      <c r="AD19" s="224">
        <v>36724</v>
      </c>
      <c r="AE19" s="224">
        <v>36721</v>
      </c>
      <c r="AF19" s="225">
        <v>36718</v>
      </c>
      <c r="AG19" s="249" t="s">
        <v>497</v>
      </c>
      <c r="AH19" s="247" t="s">
        <v>497</v>
      </c>
      <c r="AI19" s="284">
        <v>23</v>
      </c>
      <c r="AJ19" s="283">
        <v>16</v>
      </c>
      <c r="AK19" s="283">
        <v>7</v>
      </c>
      <c r="AL19" s="292">
        <v>23</v>
      </c>
      <c r="AM19" s="283">
        <v>11</v>
      </c>
      <c r="AN19" s="285">
        <v>12</v>
      </c>
      <c r="AO19" s="853">
        <v>0</v>
      </c>
      <c r="AP19" s="852">
        <v>1</v>
      </c>
      <c r="AQ19" s="851">
        <v>0</v>
      </c>
      <c r="AR19" s="852">
        <v>1</v>
      </c>
      <c r="AS19" s="268">
        <f t="shared" ref="AS19:AS50" si="3">(O20*AJ19+O21*AK19)/AI19</f>
        <v>0</v>
      </c>
      <c r="AT19" s="372"/>
      <c r="AU19" s="269">
        <f t="shared" ref="AU19:AU82" si="4">(AT20*AM19+AT21*AN19)/AL19</f>
        <v>0</v>
      </c>
      <c r="AV19" s="360"/>
      <c r="AW19" s="158">
        <f t="shared" ref="AW19:AW50" ca="1" si="5">IF($I19-DateToday+15&gt;=$T$8,"",IF($I19-DateToday+15&lt;$T$5,1,MATCH($I19-DateToday+15,$T$5:$T$8)))</f>
        <v>1</v>
      </c>
      <c r="AX19" s="243">
        <f t="shared" ref="AX19:BC20" ca="1" si="6">INDEX(U$5:U$8,$AW19)^((INDEX($T$5:$T$8,$AW19+1)-($I19-DateToday+15))/(INDEX($T$5:$T$8,$AW19+1)-INDEX($T$5:$T$8,$AW19)))/INDEX(U$5:U$8,$AW19+1)^((INDEX($T$5:$T$8,$AW19)-($I19-DateToday+15))/(INDEX($T$5:$T$8,$AW19+1)-INDEX($T$5:$T$8,$AW19)))</f>
        <v>2.0311457773957823E-2</v>
      </c>
      <c r="AY19" s="243">
        <f t="shared" ca="1" si="6"/>
        <v>1.6494755728344152E-2</v>
      </c>
      <c r="AZ19" s="243">
        <f t="shared" ca="1" si="6"/>
        <v>1.2735264345844001E-2</v>
      </c>
      <c r="BA19" s="243">
        <f t="shared" ca="1" si="6"/>
        <v>2.6944977500083459E-3</v>
      </c>
      <c r="BB19" s="243">
        <f t="shared" ca="1" si="6"/>
        <v>3.7993878084937637E-3</v>
      </c>
      <c r="BC19" s="243">
        <f t="shared" ca="1" si="6"/>
        <v>4.9051521290273195E-3</v>
      </c>
      <c r="BD19" s="628">
        <f ca="1">IF(OR(DateStart&gt;=I20,DateEnd&lt;I19),0,IF(VolumeOverrideFlag,V19,Volume)*IF(AY9=1,(1-CHOOSE(Underlying,BN4/AI19,BN5/AL19)),1))</f>
        <v>0</v>
      </c>
      <c r="BE19" s="629">
        <f ca="1">IF(OR(DateStart2&gt;=I20,DateEnd2&lt;I19),0,IF(VolumeOverrideFlag,V19,VolumeSwaption)*IF(AY9=1,(1-CHOOSE(Underlying,BN4/AI19,BN5/AL19)),1))</f>
        <v>0</v>
      </c>
      <c r="BF19" s="39">
        <f t="shared" ref="BF19:BF50" si="7">YEAR(I19)</f>
        <v>2000</v>
      </c>
      <c r="BG19" s="143">
        <f t="shared" ref="BG19:BG50" si="8">MONTH(I19)</f>
        <v>8</v>
      </c>
      <c r="BH19" s="373"/>
      <c r="BI19" s="312">
        <f t="shared" ref="BI19:BI50" ca="1" si="9">(I19-DateToday+1)/365.25</f>
        <v>-1.6427104722792608E-2</v>
      </c>
      <c r="BJ19" s="148">
        <f t="shared" ref="BJ19:BJ82" ca="1" si="10">BI19+(BL19-BI19)*CHOOSE(Underlying,AJ19/AI19,AM19/AL19)</f>
        <v>4.0710650834746891E-2</v>
      </c>
      <c r="BK19" s="148">
        <f t="shared" ref="BK19:BK50" ca="1" si="11">BJ19+1/365.25</f>
        <v>4.3448501621878993E-2</v>
      </c>
      <c r="BL19" s="148">
        <f t="shared" ref="BL19:BL50" ca="1" si="12">(I20-DateToday)/365.25</f>
        <v>6.5708418891170434E-2</v>
      </c>
      <c r="BM19" s="149" t="e">
        <f t="shared" ref="BM19:BM82" ca="1" si="13">MAX(BI19-(BJ19-BI19)*(S20^2/O20^2-1),0)</f>
        <v>#DIV/0!</v>
      </c>
      <c r="BN19" s="148" t="e">
        <f t="shared" ref="BN19:BN82" ca="1" si="14">MAX(BL19+(BL19-BK19)*(S21^2/O21^2-1),0)</f>
        <v>#DIV/0!</v>
      </c>
      <c r="BO19" s="630">
        <f ca="1">CHOOSE(Underlying,AI19-BN4,AL19-BN5)</f>
        <v>18</v>
      </c>
      <c r="BP19" s="631">
        <f ca="1">CHOOSE(Underlying,MAX(0,AJ19-BN4),MAX(0,AM19-BN5))</f>
        <v>11</v>
      </c>
      <c r="BQ19" s="631">
        <f ca="1">BO19-BP19</f>
        <v>7</v>
      </c>
      <c r="BR19" s="305" t="str">
        <f t="shared" ref="BR19:BR82" ca="1" si="15">IF(BD19,IF(Underlying=1,X19,Z19)+UnderlyingPriceAsian-SwapPriceCurve,"")</f>
        <v/>
      </c>
      <c r="BS19" s="305" t="str">
        <f t="shared" ref="BS19:BS50" ca="1" si="16">IF(BD19,Strike1/BR19-1,"")</f>
        <v/>
      </c>
      <c r="BT19" s="307" t="str">
        <f t="shared" ref="BT19:BT50" ca="1" si="17">IF(BD19,Strike2/BR19-1,"")</f>
        <v/>
      </c>
      <c r="BU19" s="161" t="str">
        <f t="shared" ref="BU19:BU82" ca="1" si="18">IF(BD19,IF(Underlying=1,L20,R20)+UnderlyingPriceAsian-SwapPriceCurve,"")</f>
        <v/>
      </c>
      <c r="BV19" s="161" t="str">
        <f t="shared" ref="BV19:BV82" ca="1" si="19">IF(BD19,IF(Underlying=1,L21,R21)+UnderlyingPriceAsian-SwapPriceCurve,"")</f>
        <v/>
      </c>
      <c r="BW19" s="308" t="str">
        <f t="shared" ref="BW19:BW82" ca="1" si="20">IF(BD19,IF(Underlying=1,O20,AT20),"")</f>
        <v/>
      </c>
      <c r="BX19" s="309" t="str">
        <f t="shared" ref="BX19:BX82" ca="1" si="21">IF(BD19,IF(Underlying=1,O21,AT21),"")</f>
        <v/>
      </c>
      <c r="BY19" s="308" t="str">
        <f ca="1">IF(BD19,IF(BS19&gt;0,IF(BS19&gt;0.2,BC19-BB19,IF(BS19&gt;0.1,BB19-BA19,BA19)),IF(BS19&lt;-0.2,AX19-AY19,IF(BS19&lt;-0.1,AY19-AZ19,AZ19))),"")</f>
        <v/>
      </c>
      <c r="BZ19" s="309" t="str">
        <f ca="1">IF(BD19,IF(BT19&gt;0,IF(BT19&gt;0.2,BC19-BB19,IF(BT19&gt;0.1,BB19-BA19,BA19)),IF(BT19&lt;-0.2,AX19-AY19,IF(BT19&lt;-0.1,AY19-AZ19,AZ19))),"")</f>
        <v/>
      </c>
      <c r="CA19" s="154" t="str">
        <f t="shared" ref="CA19:CA82" ca="1" si="22">IF($BD19,$BW19+IF(VolSkewFlag=1,IF(BS19&gt;0,$BA19*MIN(BS19/10%,1)+($BB19-$BA19)*MAX(0,MIN(BS19/10%-1,1))+($BC19-$BB19)*MAX(0,BS19/10%-2),$AZ19*MIN(-BS19/10%,1)+($AY19-$AZ19)*MAX(0,MIN(-BS19/10%-1,1))+($AX19-$AY19)*MAX(0,-BS19/10%-2)),0),"")</f>
        <v/>
      </c>
      <c r="CB19" s="154" t="str">
        <f t="shared" ref="CB19:CB82" ca="1" si="23">IF($BD19,$BX19+IF(VolSkewFlag=1,IF(BS19&gt;0,$BA19*MIN(BS19/10%,1)+($BB19-$BA19)*MAX(0,MIN(BS19/10%-1,1))+($BC19-$BB19)*MAX(0,BS19/10%-2),$AZ19*MIN(-BS19/10%,1)+($AY19-$AZ19)*MAX(0,MIN(-BS19/10%-1,1))+($AX19-$AY19)*MAX(0,-BS19/10%-2)),0),"")</f>
        <v/>
      </c>
      <c r="CC19" s="154" t="str">
        <f t="shared" ref="CC19:CC82" ca="1" si="24">IF($BD19,$BW19+IF(VolSkewFlag=1,IF(BT19&gt;0,$BA19*MIN(BT19/10%,1)+($BB19-$BA19)*MAX(0,MIN(BT19/10%-1,1))+($BC19-$BB19)*MAX(0,BT19/10%-2),$AZ19*MIN(-BT19/10%,1)+($AY19-$AZ19)*MAX(0,MIN(-BT19/10%-1,1))+($AX19-$AY19)*MAX(0,-BT19/10%-2)),0),"")</f>
        <v/>
      </c>
      <c r="CD19" s="154" t="str">
        <f t="shared" ref="CD19:CD82" ca="1" si="25">IF($BD19,$BX19+IF(VolSkewFlag=1,IF(BT19&gt;0,$BA19*MIN(BT19/10%,1)+($BB19-$BA19)*MAX(0,MIN(BT19/10%-1,1))+($BC19-$BB19)*MAX(0,BT19/10%-2),$AZ19*MIN(-BT19/10%,1)+($AY19-$AZ19)*MAX(0,MIN(-BT19/10%-1,1))+($AX19-$AY19)*MAX(0,-BT19/10%-2)),0),"")</f>
        <v/>
      </c>
      <c r="CE19" s="310">
        <v>1</v>
      </c>
      <c r="CF19" s="162">
        <f ca="1">IF(BD19,_xll.xCrudeAPO(BU19,BV19,CA19,CB19,S20,S21,BI19,BL19,BP19,BQ19,0,Strike1,AO19,CE19,0,BL19,IF(OptControl=4,0,1),0,1),0)</f>
        <v>0</v>
      </c>
      <c r="CG19" s="163">
        <f ca="1">IF(BD19,_xll.xCrudeAPO(BU19,BV19,CA19,CB19,S20,S21,BI19,BL19,BP19,BQ19,0,Strike1,AO19,CE19,0,BL19,IF(OptControl=4,0,1),1,1)+_xll.xCrudeAPO(BU19,BV19,CA19,CB19,S20,S21,BI19,BL19,BP19,BQ19,0,Strike1,AO19,CE19,0,BL19,IF(OptControl=4,0,1),1,2)+IF(OR(VolSkewFlag=2,ABS(BS19)&lt;0.0001),0,IF(BS19&gt;0,-1,1)*CH19*Strike1/BR19^2*BY19/10%),0)</f>
        <v>0</v>
      </c>
      <c r="CH19" s="163">
        <f ca="1">IF(BD19,(_xll.xCrudeAPO(BU19,BV19,CA19,CB19,S20,S21,BI19,BL19,BP19,BQ19,0,Strike1,AO19,CE19,0,BL19,IF(OptControl=4,0,1),3,1)+_xll.xCrudeAPO(BU19,BV19,CA19,CB19,S20,S21,BI19,BL19,BP19,BQ19,0,Strike1,AO19,CE19,0,BL19,IF(OptControl=4,0,1),3,2))/100,0)</f>
        <v>0</v>
      </c>
      <c r="CI19" s="163">
        <f ca="1">IF(BD19,_xll.xCrudeAPO(BU19,BV19,CA19,CB19,S20,S21,BI19-DaysForThetaCalculation/365.25,BL19-DaysForThetaCalculation/365.25,BP19,BQ19,0,Strike1,AO19,CE19,0,BL19,IF(OptControl=4,0,1),0,1)-_xll.xCrudeAPO(BU19,BV19,CA19,CB19,S20,S21,BI19,BL19,BP19,BQ19,0,Strike1,AO19,CE19,0,BL19,IF(OptControl=4,0,1),0,1),0)</f>
        <v>0</v>
      </c>
      <c r="CJ19" s="311">
        <f ca="1">IF(BD19,_xll.xCrudeAPO(BU19,BV19,CC19,CD19,S20,S21,BI19,BL19,BP19,BQ19,0,Strike2,AO19,CE19,0,BL19,IF(OptControl=3,1,0),0,1),0)</f>
        <v>0</v>
      </c>
      <c r="CK19" s="163">
        <f ca="1">IF(BD19,_xll.xCrudeAPO(BU19,BV19,CC19,CD19,S20,S21,BI19,BL19,BP19,BQ19,0,Strike2,AO19,CE19,0,BL19,IF(OptControl=3,1,0),1,1)+_xll.xCrudeAPO(BU19,BV19,CC19,CD19,S20,S21,BI19,BL19,BP19,BQ19,0,Strike2,AO19,CE19,0,BL19,IF(OptControl=3,1,0),1,2)+IF(OR(VolSkewFlag=2,ABS(BT19)&lt;0.0001),0,IF(BT19&gt;0,-1,1)*CL19*Strike2/BR19^2*BZ19/10%),0)</f>
        <v>0</v>
      </c>
      <c r="CL19" s="163">
        <f ca="1">IF(BD19,(_xll.xCrudeAPO(BU19,BV19,CC19,CD19,S20,S21,BI19,BL19,BP19,BQ19,0,Strike2,AO19,CE19,0,BL19,IF(OptControl=3,1,0),3,1)+_xll.xCrudeAPO(BU19,BV19,CC19,CD19,S20,S21,BI19,BL19,BP19,BQ19,0,Strike2,AO19,CE19,0,BL19,IF(OptControl=3,1,0),3,2))/100,0)</f>
        <v>0</v>
      </c>
      <c r="CM19" s="164">
        <f ca="1">IF(BD19,_xll.xCrudeAPO(BU19,BV19,CC19,CD19,S20,S21,BI19-DaysForThetaCalculation/365.25,BL19-DaysForThetaCalculation/365.25,BP19,BQ19,0,Strike2,AO19,CE19,0,BL19,IF(OptControl=3,1,0),0,1)-_xll.xCrudeAPO(BU19,BV19,CC19,CD19,S20,S21,BI19,BL19,BP19,BQ19,0,Strike2,AO19,CE19,0,BL19,IF(OptControl=3,1,0),0,1),0)</f>
        <v>0</v>
      </c>
      <c r="CN19" s="508"/>
      <c r="CO19" s="557"/>
      <c r="CP19" s="794"/>
      <c r="CQ19" s="794"/>
      <c r="CR19" s="794"/>
      <c r="CS19" s="794"/>
      <c r="CT19" s="794"/>
      <c r="CU19" s="794"/>
      <c r="CV19" s="794"/>
      <c r="CW19" s="794"/>
      <c r="CX19" s="794"/>
      <c r="CY19" s="794"/>
      <c r="CZ19" s="794"/>
      <c r="DA19" s="794"/>
      <c r="DB19" s="794"/>
      <c r="DC19" s="794"/>
      <c r="DD19" s="794"/>
      <c r="DE19" s="795"/>
      <c r="DF19" s="508"/>
      <c r="DG19" s="664">
        <f ca="1">DATE(YEAR(DateToday),1,1)</f>
        <v>36526</v>
      </c>
      <c r="DH19" s="475">
        <v>26.54</v>
      </c>
      <c r="DI19" s="665">
        <v>28.28</v>
      </c>
      <c r="DJ19" s="666">
        <f t="shared" ref="DJ19:DJ50" ca="1" si="26">DG19</f>
        <v>36526</v>
      </c>
      <c r="DK19" s="475">
        <v>26.09</v>
      </c>
      <c r="DL19" s="665">
        <v>26.54</v>
      </c>
      <c r="DM19" s="667">
        <f t="shared" ref="DM19:DM50" ca="1" si="27">DG19</f>
        <v>36526</v>
      </c>
      <c r="DN19" s="668">
        <f t="shared" ref="DN19:DN50" si="28">DK19+BrentPhyBrentSpread</f>
        <v>26.14</v>
      </c>
      <c r="DO19" s="667">
        <f ca="1">DG19</f>
        <v>36526</v>
      </c>
      <c r="DP19" s="579">
        <f>DL19+DQ19</f>
        <v>27.14</v>
      </c>
      <c r="DQ19" s="820">
        <v>0.6</v>
      </c>
      <c r="DR19" s="666">
        <f t="shared" ref="DR19:DR50" ca="1" si="29">DG19</f>
        <v>36526</v>
      </c>
      <c r="DS19" s="669">
        <v>1E-4</v>
      </c>
      <c r="DT19" s="606">
        <v>0.39161842105263156</v>
      </c>
      <c r="DU19" s="666">
        <f t="shared" ref="DU19:DU50" ca="1" si="30">DG19</f>
        <v>36526</v>
      </c>
      <c r="DV19" s="669">
        <v>1E-4</v>
      </c>
      <c r="DW19" s="606">
        <v>0.39161842105263156</v>
      </c>
      <c r="DX19" s="667">
        <f t="shared" ref="DX19:DX50" ca="1" si="31">DG19</f>
        <v>36526</v>
      </c>
      <c r="DY19" s="606">
        <v>1E-4</v>
      </c>
      <c r="DZ19" s="667">
        <f ca="1">DR19</f>
        <v>36526</v>
      </c>
      <c r="EA19" s="606">
        <f>DT19</f>
        <v>0.39161842105263156</v>
      </c>
      <c r="EB19" s="1"/>
      <c r="EC19" s="113" t="str">
        <f t="shared" ref="EC19:EC50" ca="1" si="32">IF(BD19,IF(Underlying=1,AS19,AU19),"")</f>
        <v/>
      </c>
      <c r="ED19" s="114" t="str">
        <f t="shared" ref="ED19:ED82" ca="1" si="33">IF($BD19,$EC19+IF(VolSkewFlag=1,IF(BS19&gt;0,$BA19*MIN(BS19/10%,1)+($BB19-$BA19)*MAX(0,MIN(BS19/10%-1,1))+($BC19-$BB19)*MAX(0,BS19/10%-2),$AZ19*MIN(-BS19/10%,1)+($AY19-$AZ19)*MAX(0,MIN(-BS19/10%-1,1))+($AX19-$AY19)*MAX(0,-BS19/10%-2)),0),"")</f>
        <v/>
      </c>
      <c r="EE19" s="115" t="str">
        <f t="shared" ref="EE19:EE82" ca="1" si="34">IF($BD19,$EC19+IF(VolSkewFlag=1,IF(BT19&gt;0,$BA19*MIN(BT19/10%,1)+($BB19-$BA19)*MAX(0,MIN(BT19/10%-1,1))+($BC19-$BB19)*MAX(0,BT19/10%-2),$AZ19*MIN(-BT19/10%,1)+($AY19-$AZ19)*MAX(0,MIN(-BT19/10%-1,1))+($AX19-$AY19)*MAX(0,-BT19/10%-2)),0),"")</f>
        <v/>
      </c>
      <c r="EF19" s="116">
        <f ca="1">IF(BD19,_xll.xASN(BR19,Strike1,AO19,ED19,0,BO19,0,BI19,BL19,IF(OptControl=4,0,1),0),0)</f>
        <v>0</v>
      </c>
      <c r="EG19" s="117">
        <f ca="1">IF(BD19,_xll.xASN(BR19,Strike2,AO19,EE19,0,BO19,0,BI19,BL19,IF(OptControl=3,1,0),0),0)</f>
        <v>0</v>
      </c>
      <c r="EI19" s="688" t="s">
        <v>410</v>
      </c>
      <c r="EJ19" s="689"/>
      <c r="EK19" s="689"/>
      <c r="EL19" s="690"/>
      <c r="EM19" s="1"/>
      <c r="EN19" s="695">
        <v>36345</v>
      </c>
      <c r="EO19" s="696">
        <v>36519</v>
      </c>
      <c r="EP19" s="1"/>
      <c r="EQ19" s="683" t="s">
        <v>123</v>
      </c>
      <c r="ES19" s="496"/>
      <c r="ET19" s="474" t="s">
        <v>183</v>
      </c>
      <c r="EU19" s="841" t="s">
        <v>236</v>
      </c>
      <c r="EV19" s="813" t="s">
        <v>209</v>
      </c>
      <c r="EW19" s="492">
        <f ca="1">SUM(EW21:EW55)</f>
        <v>11.999999999999998</v>
      </c>
      <c r="EX19" s="493"/>
      <c r="EY19" s="577"/>
      <c r="EZ19" s="592" t="s">
        <v>284</v>
      </c>
      <c r="FA19" s="593" t="s">
        <v>285</v>
      </c>
      <c r="FB19" s="594" t="s">
        <v>6</v>
      </c>
      <c r="FC19" s="595" t="s">
        <v>286</v>
      </c>
      <c r="FD19" s="595" t="s">
        <v>209</v>
      </c>
      <c r="FE19" s="596" t="s">
        <v>278</v>
      </c>
      <c r="FF19" s="597" t="s">
        <v>279</v>
      </c>
      <c r="FG19" s="597" t="s">
        <v>278</v>
      </c>
      <c r="FH19" s="598" t="s">
        <v>279</v>
      </c>
      <c r="FI19" s="250"/>
      <c r="FJ19" s="670"/>
      <c r="FK19" s="671">
        <v>1</v>
      </c>
      <c r="FL19" s="671">
        <v>2</v>
      </c>
      <c r="FM19" s="671">
        <v>3</v>
      </c>
      <c r="FN19" s="671">
        <v>4</v>
      </c>
      <c r="FO19" s="671">
        <v>5</v>
      </c>
      <c r="FP19" s="671">
        <v>6</v>
      </c>
      <c r="FQ19" s="671">
        <v>7</v>
      </c>
      <c r="FR19" s="671">
        <v>8</v>
      </c>
      <c r="FS19" s="671">
        <v>9</v>
      </c>
      <c r="FT19" s="671">
        <v>10</v>
      </c>
      <c r="FU19" s="671">
        <v>11</v>
      </c>
      <c r="FV19" s="671">
        <v>12</v>
      </c>
      <c r="FW19" s="671">
        <v>13</v>
      </c>
      <c r="FX19" s="671">
        <v>14</v>
      </c>
      <c r="FY19" s="671">
        <v>15</v>
      </c>
      <c r="FZ19" s="671">
        <v>16</v>
      </c>
      <c r="GA19" s="671">
        <v>17</v>
      </c>
      <c r="GB19" s="671">
        <v>18</v>
      </c>
      <c r="GC19" s="671">
        <v>19</v>
      </c>
      <c r="GD19" s="671">
        <v>20</v>
      </c>
      <c r="GE19" s="671">
        <v>21</v>
      </c>
      <c r="GF19" s="671">
        <v>22</v>
      </c>
      <c r="GG19" s="671">
        <v>23</v>
      </c>
      <c r="GH19" s="671">
        <v>24</v>
      </c>
      <c r="GI19" s="671">
        <v>25</v>
      </c>
      <c r="GJ19" s="671">
        <v>26</v>
      </c>
      <c r="GK19" s="671">
        <v>27</v>
      </c>
      <c r="GL19" s="671">
        <v>28</v>
      </c>
      <c r="GM19" s="671">
        <v>29</v>
      </c>
      <c r="GN19" s="671">
        <v>30</v>
      </c>
      <c r="GO19" s="671">
        <v>31</v>
      </c>
      <c r="GP19" s="671">
        <v>32</v>
      </c>
      <c r="GQ19" s="671">
        <v>33</v>
      </c>
      <c r="GR19" s="671">
        <v>34</v>
      </c>
      <c r="GS19" s="671">
        <v>35</v>
      </c>
      <c r="GT19" s="671">
        <v>36</v>
      </c>
      <c r="GU19" s="671">
        <v>37</v>
      </c>
      <c r="GV19" s="671">
        <v>38</v>
      </c>
      <c r="GW19" s="671">
        <v>39</v>
      </c>
      <c r="GX19" s="671">
        <v>40</v>
      </c>
      <c r="GY19" s="671">
        <v>41</v>
      </c>
      <c r="GZ19" s="671">
        <v>42</v>
      </c>
      <c r="HA19" s="671">
        <v>43</v>
      </c>
      <c r="HB19" s="671">
        <v>44</v>
      </c>
      <c r="HC19" s="671">
        <v>45</v>
      </c>
      <c r="HD19" s="671">
        <v>46</v>
      </c>
      <c r="HE19" s="671">
        <v>47</v>
      </c>
      <c r="HF19" s="671">
        <v>48</v>
      </c>
      <c r="HG19" s="671">
        <v>49</v>
      </c>
      <c r="HH19" s="671">
        <v>50</v>
      </c>
      <c r="HI19" s="671">
        <v>51</v>
      </c>
      <c r="HJ19" s="671">
        <v>52</v>
      </c>
      <c r="HK19" s="671">
        <v>53</v>
      </c>
      <c r="HL19" s="671">
        <v>54</v>
      </c>
      <c r="HM19" s="671">
        <v>55</v>
      </c>
      <c r="HN19" s="671">
        <v>56</v>
      </c>
      <c r="HO19" s="671">
        <v>57</v>
      </c>
      <c r="HP19" s="671">
        <v>58</v>
      </c>
      <c r="HQ19" s="671">
        <v>59</v>
      </c>
      <c r="HR19" s="671">
        <v>60</v>
      </c>
      <c r="HS19" s="671">
        <v>61</v>
      </c>
      <c r="HT19" s="671">
        <v>62</v>
      </c>
      <c r="HU19" s="671">
        <v>63</v>
      </c>
      <c r="HV19" s="671">
        <v>64</v>
      </c>
      <c r="HW19" s="671">
        <v>65</v>
      </c>
      <c r="HX19" s="671">
        <v>66</v>
      </c>
      <c r="HY19" s="671">
        <v>67</v>
      </c>
      <c r="HZ19" s="671">
        <v>68</v>
      </c>
      <c r="IA19" s="671">
        <v>69</v>
      </c>
      <c r="IB19" s="671">
        <v>70</v>
      </c>
      <c r="IC19" s="671">
        <v>71</v>
      </c>
      <c r="ID19" s="672">
        <v>72</v>
      </c>
      <c r="IE19" s="250"/>
    </row>
    <row r="20" spans="1:239" ht="16.5" customHeight="1">
      <c r="A20" s="611">
        <f>L20*O20*SQRT(2/260/3.14)</f>
        <v>0</v>
      </c>
      <c r="B20" s="88" t="str">
        <f>IF(OptControl=2,"",CONCATENATE(IF(OptControl=3,"Call 2","Put"),IF(OptControl=4," 2","")))</f>
        <v>Put</v>
      </c>
      <c r="C20" s="536" t="e">
        <f ca="1">_xll.AMER(AN4,Strike2,AN7,AN7,AN10,AN5,IF(OptControl=3,1,0),0)</f>
        <v>#DIV/0!</v>
      </c>
      <c r="D20" s="96" t="e">
        <f ca="1">_xll.AMER(AN4,Strike2,AN7,AN7,AN10,AN5,IF(OptControl=3,1,0),1)+IF(OR(VolSkewFlag=2,ABS(AN9)&lt;0.0001),0,IF(AN9&gt;0,-1,1)*E20*100*Strike2/AN4^2*AN11/10%)</f>
        <v>#DIV/0!</v>
      </c>
      <c r="E20" s="96" t="e">
        <f ca="1">_xll.AMER(AN4,Strike2,AN7,AN7,AN10,AN5,IF(OptControl=3,1,0),3)/100</f>
        <v>#DIV/0!</v>
      </c>
      <c r="F20" s="705" t="e">
        <f ca="1">_xll.AMER(AN4,Strike2,AN7,AN7,AN10,AN5-DaysForThetaCalculation,IF(OptControl=3,1,0),0)-_xll.AMER(AN4,Strike2,AN7,AN7,AN10,AN5,IF(OptControl=3,1,0),0)</f>
        <v>#DIV/0!</v>
      </c>
      <c r="G20" s="709" t="s">
        <v>8</v>
      </c>
      <c r="H20" s="51">
        <f t="shared" ref="H20:H83" ca="1" si="35">VLOOKUP(I20,$EJ$20:$EL$54,3)</f>
        <v>27</v>
      </c>
      <c r="I20" s="379">
        <f t="shared" ref="I20:I83" si="36">EOMONTH(I19,0)+1</f>
        <v>36770</v>
      </c>
      <c r="J20" s="377"/>
      <c r="K20" s="104">
        <v>0</v>
      </c>
      <c r="L20" s="392">
        <f t="shared" ref="L20:L83" si="37">IF(ISNUMBER(K20),J20+K20/100,IF(K20="extra",L19+VLOOKUP(BF20,PriceSpreadTable,2)/12,IF(K20="inter",interpolateprices($K$19:$L$200,ROW(K20)-ROW(FirstPricingMonth)+1),interpolatechanges($J$19:$K$200,ROW(K20)-ROW(FirstPricingMonth)+1))))</f>
        <v>0</v>
      </c>
      <c r="M20" s="171"/>
      <c r="N20" s="382">
        <v>0</v>
      </c>
      <c r="O20" s="171">
        <f t="shared" ref="O20:O82" si="38">M20+N20</f>
        <v>0</v>
      </c>
      <c r="P20" s="377"/>
      <c r="Q20" s="103">
        <v>0</v>
      </c>
      <c r="R20" s="377">
        <f ca="1">IF(ISNUMBER(Q20),P20+Q20/100,IF(Q20="extra",(Z18*AL18-R19*AM18)/AN18,IF(Q20="inter",interpolateprices($Q$19:$R$260,ROW(Q20)-ROW(FirstPricingMonth)+1),interpolatechanges($P$19:$Q$260,ROW(Q20)-ROW(FirstPricingMonth)+1))))</f>
        <v>0</v>
      </c>
      <c r="S20" s="828">
        <f>O20</f>
        <v>0</v>
      </c>
      <c r="T20" s="829">
        <f>SQRT((1-(1-T19^2/U19)*T$18)*U20)</f>
        <v>0.87390744472099291</v>
      </c>
      <c r="U20" s="830">
        <f>1-(1-U19)*U$18</f>
        <v>0.98499999999999999</v>
      </c>
      <c r="V20" s="389">
        <v>0</v>
      </c>
      <c r="W20" s="432">
        <f t="shared" ref="W20:W50" si="39">(J21*AJ20+J22*AK20)/AI20</f>
        <v>0</v>
      </c>
      <c r="X20" s="161">
        <f t="shared" ref="X20:X50" si="40">(L21*AJ20+L22*AK20)/AI20</f>
        <v>0</v>
      </c>
      <c r="Y20" s="321">
        <f t="shared" ref="Y20:Y50" si="41">IF(Q22="extra",W20-AA20,(P21*AM20+P22*AN20)/AL20)</f>
        <v>0</v>
      </c>
      <c r="Z20" s="321">
        <f t="shared" ref="Z20:Z50" ca="1" si="42">IF(Q22="extra",X20-AB20,(R21*AM20+R22*AN20)/AL20)</f>
        <v>0</v>
      </c>
      <c r="AA20" s="429">
        <f t="shared" si="1"/>
        <v>0</v>
      </c>
      <c r="AB20" s="433">
        <f t="shared" ca="1" si="2"/>
        <v>0</v>
      </c>
      <c r="AC20" s="226">
        <v>36760</v>
      </c>
      <c r="AD20" s="227">
        <v>36755</v>
      </c>
      <c r="AE20" s="227">
        <v>36754</v>
      </c>
      <c r="AF20" s="228">
        <v>36749</v>
      </c>
      <c r="AG20" s="249" t="s">
        <v>497</v>
      </c>
      <c r="AH20" s="247" t="s">
        <v>497</v>
      </c>
      <c r="AI20" s="146">
        <v>21</v>
      </c>
      <c r="AJ20" s="41">
        <v>14</v>
      </c>
      <c r="AK20" s="41">
        <v>7</v>
      </c>
      <c r="AL20" s="293">
        <v>21</v>
      </c>
      <c r="AM20" s="41">
        <v>9</v>
      </c>
      <c r="AN20" s="147">
        <v>12</v>
      </c>
      <c r="AO20" s="374"/>
      <c r="AP20" s="153">
        <f t="shared" ref="AP20:AP83" ca="1" si="43">(1+AO20/2)^(-2*BL20)</f>
        <v>1</v>
      </c>
      <c r="AQ20" s="374"/>
      <c r="AR20" s="153">
        <f ca="1">(1+AQ20/2)^(-2*BH20/365.25)</f>
        <v>1</v>
      </c>
      <c r="AS20" s="270">
        <f t="shared" si="3"/>
        <v>0</v>
      </c>
      <c r="AT20" s="157">
        <f t="shared" ref="AT20:AT83" si="44">O20*VLOOKUP(BF20,BrentVolTable,2)+VLOOKUP(BF20,BrentVolTable,3)</f>
        <v>0</v>
      </c>
      <c r="AU20" s="157">
        <f t="shared" si="4"/>
        <v>0</v>
      </c>
      <c r="AV20" s="361"/>
      <c r="AW20" s="158">
        <f t="shared" ca="1" si="5"/>
        <v>1</v>
      </c>
      <c r="AX20" s="243">
        <f t="shared" ca="1" si="6"/>
        <v>1.9873966170612326E-2</v>
      </c>
      <c r="AY20" s="243">
        <f t="shared" ca="1" si="6"/>
        <v>1.5801902755621537E-2</v>
      </c>
      <c r="AZ20" s="243">
        <f t="shared" ca="1" si="6"/>
        <v>1.1711587581860356E-2</v>
      </c>
      <c r="BA20" s="243">
        <f t="shared" ca="1" si="6"/>
        <v>2.4245384938130837E-3</v>
      </c>
      <c r="BB20" s="243">
        <f t="shared" ca="1" si="6"/>
        <v>3.384431756485349E-3</v>
      </c>
      <c r="BC20" s="243">
        <f t="shared" ca="1" si="6"/>
        <v>4.3440634847681176E-3</v>
      </c>
      <c r="BD20" s="151">
        <f t="shared" ref="BD20:BD50" ca="1" si="45">IF(OR(DateStart&gt;=I21,DateEnd&lt;I20),0,IF(VolumeOverrideFlag,V20,Volume))</f>
        <v>0</v>
      </c>
      <c r="BE20" s="152">
        <f t="shared" ref="BE20:BE50" ca="1" si="46">IF(OR(DateStart2&gt;=I21,DateEnd2&lt;I20),0,IF(VolumeOverrideFlag,V20,VolumeSwaption))</f>
        <v>0</v>
      </c>
      <c r="BF20" s="40">
        <f t="shared" si="7"/>
        <v>2000</v>
      </c>
      <c r="BG20" s="144">
        <f t="shared" si="8"/>
        <v>9</v>
      </c>
      <c r="BH20" s="145">
        <f t="shared" ref="BH20:BH50" ca="1" si="47">AD20-DateToday+1</f>
        <v>10</v>
      </c>
      <c r="BI20" s="313">
        <f t="shared" ca="1" si="9"/>
        <v>6.8446269678302529E-2</v>
      </c>
      <c r="BJ20" s="42">
        <f t="shared" ca="1" si="10"/>
        <v>0.12137805156285648</v>
      </c>
      <c r="BK20" s="42">
        <f t="shared" ca="1" si="11"/>
        <v>0.12411590234998858</v>
      </c>
      <c r="BL20" s="42">
        <f t="shared" ca="1" si="12"/>
        <v>0.14784394250513347</v>
      </c>
      <c r="BM20" s="150" t="e">
        <f t="shared" ca="1" si="13"/>
        <v>#DIV/0!</v>
      </c>
      <c r="BN20" s="42" t="e">
        <f t="shared" ca="1" si="14"/>
        <v>#DIV/0!</v>
      </c>
      <c r="BO20" s="293">
        <f t="shared" ref="BO20:BO83" si="48">CHOOSE(Underlying,AI20,AL20)</f>
        <v>21</v>
      </c>
      <c r="BP20" s="41">
        <f t="shared" ref="BP20:BP82" si="49">CHOOSE(Underlying,AJ20,AM20)</f>
        <v>14</v>
      </c>
      <c r="BQ20" s="41">
        <f t="shared" ref="BQ20:BQ82" si="50">CHOOSE(Underlying,AK20,AN20)</f>
        <v>7</v>
      </c>
      <c r="BR20" s="305" t="str">
        <f t="shared" ca="1" si="15"/>
        <v/>
      </c>
      <c r="BS20" s="305" t="str">
        <f t="shared" ca="1" si="16"/>
        <v/>
      </c>
      <c r="BT20" s="307" t="str">
        <f t="shared" ca="1" si="17"/>
        <v/>
      </c>
      <c r="BU20" s="161" t="str">
        <f t="shared" ca="1" si="18"/>
        <v/>
      </c>
      <c r="BV20" s="161" t="str">
        <f t="shared" ca="1" si="19"/>
        <v/>
      </c>
      <c r="BW20" s="308" t="str">
        <f t="shared" ca="1" si="20"/>
        <v/>
      </c>
      <c r="BX20" s="309" t="str">
        <f t="shared" ca="1" si="21"/>
        <v/>
      </c>
      <c r="BY20" s="308" t="str">
        <f t="shared" ref="BY20:BY83" ca="1" si="51">IF(BD20,IF(BS20&gt;0,IF(BS20&gt;0.2,BC20-BB20,IF(BS20&gt;0.1,BB20-BA20,BA20)),IF(BS20&lt;-0.2,AX20-AY20,IF(BS20&lt;-0.1,AY20-AZ20,AZ20))),"")</f>
        <v/>
      </c>
      <c r="BZ20" s="309" t="str">
        <f t="shared" ref="BZ20:BZ83" ca="1" si="52">IF(BD20,IF(BT20&gt;0,IF(BT20&gt;0.2,BC20-BB20,IF(BT20&gt;0.1,BB20-BA20,BA20)),IF(BT20&lt;-0.2,AX20-AY20,IF(BT20&lt;-0.1,AY20-AZ20,AZ20))),"")</f>
        <v/>
      </c>
      <c r="CA20" s="154" t="str">
        <f t="shared" ca="1" si="22"/>
        <v/>
      </c>
      <c r="CB20" s="154" t="str">
        <f t="shared" ca="1" si="23"/>
        <v/>
      </c>
      <c r="CC20" s="154" t="str">
        <f t="shared" ca="1" si="24"/>
        <v/>
      </c>
      <c r="CD20" s="154" t="str">
        <f t="shared" ca="1" si="25"/>
        <v/>
      </c>
      <c r="CE20" s="310">
        <v>1</v>
      </c>
      <c r="CF20" s="162">
        <f ca="1">IF(BD20,_xll.xCrudeAPO(BU20,BV20,CA20,CB20,S21,S22,BI20,BL20,BP20,BQ20,0,Strike1,AO20,CE20,0,BL20,IF(OptControl=4,0,1),0,1),0)</f>
        <v>0</v>
      </c>
      <c r="CG20" s="163">
        <f ca="1">IF(BD20,_xll.xCrudeAPO(BU20,BV20,CA20,CB20,S21,S22,BI20,BL20,BP20,BQ20,0,Strike1,AO20,CE20,0,BL20,IF(OptControl=4,0,1),1,1)+_xll.xCrudeAPO(BU20,BV20,CA20,CB20,S21,S22,BI20,BL20,BP20,BQ20,0,Strike1,AO20,CE20,0,BL20,IF(OptControl=4,0,1),1,2)+IF(OR(VolSkewFlag=2,ABS(BS20)&lt;0.0001),0,IF(BS20&gt;0,-1,1)*CH20*Strike1/BR20^2*BY20/10%),0)</f>
        <v>0</v>
      </c>
      <c r="CH20" s="163">
        <f ca="1">IF(BD20,(_xll.xCrudeAPO(BU20,BV20,CA20,CB20,S21,S22,BI20,BL20,BP20,BQ20,0,Strike1,AO20,CE20,0,BL20,IF(OptControl=4,0,1),3,1)+_xll.xCrudeAPO(BU20,BV20,CA20,CB20,S21,S22,BI20,BL20,BP20,BQ20,0,Strike1,AO20,CE20,0,BL20,IF(OptControl=4,0,1),3,2))/100,0)</f>
        <v>0</v>
      </c>
      <c r="CI20" s="163">
        <f ca="1">IF(BD20,_xll.xCrudeAPO(BU20,BV20,CA20,CB20,S21,S22,BI20-DaysForThetaCalculation/365.25,BL20-DaysForThetaCalculation/365.25,BP20,BQ20,0,Strike1,AO20,CE20,0,BL20,IF(OptControl=4,0,1),0,1)-_xll.xCrudeAPO(BU20,BV20,CA20,CB20,S21,S22,BI20,BL20,BP20,BQ20,0,Strike1,AO20,CE20,0,BL20,IF(OptControl=4,0,1),0,1),0)</f>
        <v>0</v>
      </c>
      <c r="CJ20" s="311">
        <f ca="1">IF(BD20,_xll.xCrudeAPO(BU20,BV20,CC20,CD20,S21,S22,BI20,BL20,BP20,BQ20,0,Strike2,AO20,CE20,0,BL20,IF(OptControl=3,1,0),0,1),0)</f>
        <v>0</v>
      </c>
      <c r="CK20" s="163">
        <f ca="1">IF(BD20,_xll.xCrudeAPO(BU20,BV20,CC20,CD20,S21,S22,BI20,BL20,BP20,BQ20,0,Strike2,AO20,CE20,0,BL20,IF(OptControl=3,1,0),1,1)+_xll.xCrudeAPO(BU20,BV20,CC20,CD20,S21,S22,BI20,BL20,BP20,BQ20,0,Strike2,AO20,CE20,0,BL20,IF(OptControl=3,1,0),1,2)+IF(OR(VolSkewFlag=2,ABS(BT20)&lt;0.0001),0,IF(BT20&gt;0,-1,1)*CL20*Strike2/BR20^2*BZ20/10%),0)</f>
        <v>0</v>
      </c>
      <c r="CL20" s="163">
        <f ca="1">IF(BD20,(_xll.xCrudeAPO(BU20,BV20,CC20,CD20,S21,S22,BI20,BL20,BP20,BQ20,0,Strike2,AO20,CE20,0,BL20,IF(OptControl=3,1,0),3,1)+_xll.xCrudeAPO(BU20,BV20,CC20,CD20,S21,S22,BI20,BL20,BP20,BQ20,0,Strike2,AO20,CE20,0,BL20,IF(OptControl=3,1,0),3,2))/100,0)</f>
        <v>0</v>
      </c>
      <c r="CM20" s="164">
        <f ca="1">IF(BD20,_xll.xCrudeAPO(BU20,BV20,CC20,CD20,S21,S22,BI20-DaysForThetaCalculation/365.25,BL20-DaysForThetaCalculation/365.25,BP20,BQ20,0,Strike2,AO20,CE20,0,BL20,IF(OptControl=3,1,0),0,1)-_xll.xCrudeAPO(BU20,BV20,CC20,CD20,S21,S22,BI20,BL20,BP20,BQ20,0,Strike2,AO20,CE20,0,BL20,IF(OptControl=3,1,0),0,1),0)</f>
        <v>0</v>
      </c>
      <c r="CN20" s="508"/>
      <c r="CO20" s="796" t="str">
        <f t="shared" ref="CO20:CO83" ca="1" si="53">IF(BD20,CHOOSE(Underlying,AD20,AF20)-DateToday+1,"")</f>
        <v/>
      </c>
      <c r="CP20" s="797" t="str">
        <f t="shared" ref="CP20:CP83" ca="1" si="54">IF(BD20,CHOOSE(Underlying,L20,R20),"")</f>
        <v/>
      </c>
      <c r="CQ20" s="797" t="str">
        <f t="shared" ref="CQ20:CQ83" ca="1" si="55">IF(BD20,Strike1/CP20-1,"")</f>
        <v/>
      </c>
      <c r="CR20" s="797" t="str">
        <f t="shared" ref="CR20:CR83" ca="1" si="56">IF(BD20,Strike2/CP20-1,"")</f>
        <v/>
      </c>
      <c r="CS20" s="797" t="str">
        <f t="shared" ref="CS20:CS83" ca="1" si="57">IF(BD20,IF(CQ20&gt;0,IF(CQ20&gt;0.2,BC19-BB19,IF(CQ20&gt;0.1,BB19-BA19,BA19)),IF(CQ20&lt;-0.2,AX19-AY19,IF(CQ20&lt;-0.1,AY19-AZ19,AZ19))),"")</f>
        <v/>
      </c>
      <c r="CT20" s="797" t="str">
        <f t="shared" ref="CT20:CT83" ca="1" si="58">IF(BD20,IF(CR20&gt;0,IF(CR20&gt;0.2,BC19-BB19,IF(CR20&gt;0.1,BB19-BA19,BA19)),IF(CR20&lt;-0.2,AX19-AY19,IF(CR20&lt;-0.1,AY19-AZ19,AZ19))),"")</f>
        <v/>
      </c>
      <c r="CU20" s="798" t="str">
        <f t="shared" ref="CU20:CU83" ca="1" si="59">IF(BD20,CHOOSE(Underlying,O20,AT20),"")</f>
        <v/>
      </c>
      <c r="CV20" s="799" t="str">
        <f t="shared" ref="CV20:CV83" ca="1" si="60">IF(BD20,CU20+IF(VolSkewFlag=1,IF(CQ20&gt;0,BA19*MIN(CQ20/10%,1)+(BB19-BA19)*MAX(0,MIN(CQ20/10%-1,1))+(BC19-BB19)*MAX(0,CQ20/10%-2),AZ19*MIN(-CQ20/10%,1)+(AY19-AZ19)*MAX(0,MIN(-CQ20/10%-1,1))+(AX19-AY19)*MAX(0,-CQ20/10%-2)),0),"")</f>
        <v/>
      </c>
      <c r="CW20" s="799" t="str">
        <f t="shared" ref="CW20:CW83" ca="1" si="61">IF(BD20,CU20+IF(VolSkewFlag=1,IF(CR20&gt;0,BA19*MIN(CR20/10%,1)+(BB19-BA19)*MAX(0,MIN(CR20/10%-1,1))+(BC19-BB19)*MAX(0,CR20/10%-2),AZ19*MIN(-CR20/10%,1)+(AY19-AZ19)*MAX(0,MIN(-CR20/10%-1,1))+(AX19-AY19)*MAX(0,-CR20/10%-2)),0),"")</f>
        <v/>
      </c>
      <c r="CX20" s="163">
        <f ca="1">IF(BD20,_xll.EURO(CP20,Strike1,AO20,AO20,CV20,CO20,IF(OptControl=4,0,1),0),0)</f>
        <v>0</v>
      </c>
      <c r="CY20" s="163">
        <f ca="1">IF(BD20,_xll.EURO(CP20,Strike1,AO20,AO20,CV20,CO20,IF(OptControl=4,0,1),1)+IF(OR(VolSkewFlag=2,ABS(CQ20)&lt;0.0001),0,IF(CQ20&gt;0,-1,1)*CZ20*100*Strike1/CP20^2*CS20/10%),0)</f>
        <v>0</v>
      </c>
      <c r="CZ20" s="163">
        <f ca="1">IF(BD20,_xll.EURO(CP20,Strike1,AO20,AO20,CV20,CO20,IF(OptControl=4,0,1),3)/100,0)</f>
        <v>0</v>
      </c>
      <c r="DA20" s="163">
        <f ca="1">IF(BD20,_xll.EURO(CP20,Strike1,AO20,AO20,CV20,CO20,IF(OptControl=4,0,1),0)-_xll.EURO(CP20,Strike1,AO20,AO20,CV20,CO20-1,IF(OptControl=4,0,1),0),0)</f>
        <v>0</v>
      </c>
      <c r="DB20" s="163">
        <f ca="1">IF(BD20,_xll.EURO(CP20,Strike2,AO20,AO20,CW20,CO20,IF(OptControl=3,1,0),0),0)</f>
        <v>0</v>
      </c>
      <c r="DC20" s="163">
        <f ca="1">IF(BD20,_xll.EURO(CP20,Strike2,AO20,AO20,CW20,CO20,IF(OptControl=3,1,0),1)+IF(OR(VolSkewFlag=2,ABS(CR20)&lt;0.0001),0,IF(CR20&gt;0,-1,1)*DD20*100*Strike2/CP20^2*CT20/10%),0)</f>
        <v>0</v>
      </c>
      <c r="DD20" s="163">
        <f ca="1">IF(BD20,_xll.EURO(CP20,Strike2,AO20,AO20,CW20,CO20,IF(OptControl=3,1,0),3)/100,0)</f>
        <v>0</v>
      </c>
      <c r="DE20" s="164">
        <f ca="1">IF(BD20,_xll.EURO(CP20,Strike2,AO20,AO20,CW20,CO20,IF(OptControl=3,1,0),0)-_xll.EURO(CP20,Strike2,AO20,AO20,CW20,CO20-1,IF(OptControl=3,1,0),0),0)</f>
        <v>0</v>
      </c>
      <c r="DF20" s="508"/>
      <c r="DG20" s="667">
        <f t="shared" ref="DG20:DG83" ca="1" si="62">EOMONTH(DG19,0)+1</f>
        <v>36557</v>
      </c>
      <c r="DH20" s="475">
        <v>29.66</v>
      </c>
      <c r="DI20" s="665">
        <v>29.65</v>
      </c>
      <c r="DJ20" s="666">
        <f t="shared" ca="1" si="26"/>
        <v>36557</v>
      </c>
      <c r="DK20" s="475">
        <v>25.47</v>
      </c>
      <c r="DL20" s="665">
        <v>27.37</v>
      </c>
      <c r="DM20" s="667">
        <f t="shared" ca="1" si="27"/>
        <v>36557</v>
      </c>
      <c r="DN20" s="668">
        <f t="shared" si="28"/>
        <v>25.52</v>
      </c>
      <c r="DO20" s="667">
        <f t="shared" ref="DO20:DO83" ca="1" si="63">DG20</f>
        <v>36557</v>
      </c>
      <c r="DP20" s="579">
        <f t="shared" ref="DP20:DP83" si="64">DL20+DQ20</f>
        <v>27.970000000000002</v>
      </c>
      <c r="DQ20" s="821">
        <v>0.6</v>
      </c>
      <c r="DR20" s="666">
        <f t="shared" ca="1" si="29"/>
        <v>36557</v>
      </c>
      <c r="DS20" s="669">
        <v>0.379</v>
      </c>
      <c r="DT20" s="606">
        <v>0.42754999999999999</v>
      </c>
      <c r="DU20" s="666">
        <f t="shared" ca="1" si="30"/>
        <v>36557</v>
      </c>
      <c r="DV20" s="669">
        <v>0.379</v>
      </c>
      <c r="DW20" s="606">
        <v>0.42754999999999999</v>
      </c>
      <c r="DX20" s="667">
        <f t="shared" ca="1" si="31"/>
        <v>36557</v>
      </c>
      <c r="DY20" s="606">
        <v>0.379</v>
      </c>
      <c r="DZ20" s="667">
        <f t="shared" ref="DZ20:DZ83" ca="1" si="65">DR20</f>
        <v>36557</v>
      </c>
      <c r="EA20" s="606">
        <f t="shared" ref="EA20:EA83" si="66">DT20</f>
        <v>0.42754999999999999</v>
      </c>
      <c r="EB20" s="1"/>
      <c r="EC20" s="118" t="str">
        <f t="shared" ca="1" si="32"/>
        <v/>
      </c>
      <c r="ED20" s="119" t="str">
        <f t="shared" ca="1" si="33"/>
        <v/>
      </c>
      <c r="EE20" s="112" t="str">
        <f t="shared" ca="1" si="34"/>
        <v/>
      </c>
      <c r="EF20" s="120">
        <f ca="1">IF(BD20,_xll.xASN(BR20,Strike1,AO20,ED20,0,BO20,0,BI20,BL20,IF(OptControl=4,0,1),0),0)</f>
        <v>0</v>
      </c>
      <c r="EG20" s="111">
        <f ca="1">IF(BD20,_xll.xASN(BR20,Strike2,AO20,EE20,0,BO20,0,BI20,BL20,IF(OptControl=3,1,0),0),0)</f>
        <v>0</v>
      </c>
      <c r="EI20" s="684" t="str">
        <f>[1]!'CLc1 MTH'</f>
        <v>SEP0</v>
      </c>
      <c r="EJ20" s="685">
        <f>DATEVALUE(CONCATENATE(LEFT(EI20,3),"-",IF(VALUE(RIGHT(EI20,1))=9,"1999",CONCATENATE("200",RIGHT(EI20,1)))))</f>
        <v>36770</v>
      </c>
      <c r="EK20" s="686">
        <f>[1]!'CLc1 NET.CHNG'</f>
        <v>0.27</v>
      </c>
      <c r="EL20" s="687">
        <f>IF(ISNUMBER(VALUE(EK20)),VALUE(EK20)*100,0)</f>
        <v>27</v>
      </c>
      <c r="EM20" s="1"/>
      <c r="EN20" s="697">
        <v>36519</v>
      </c>
      <c r="EO20" s="698">
        <v>36526</v>
      </c>
      <c r="EP20" s="1"/>
      <c r="EQ20" s="683" t="s">
        <v>124</v>
      </c>
      <c r="ES20" s="497">
        <v>1</v>
      </c>
      <c r="ET20" s="476">
        <f ca="1">BH20/365.25</f>
        <v>2.7378507871321012E-2</v>
      </c>
      <c r="EU20" s="842">
        <f t="shared" ref="EU20:EU51" ca="1" si="67">O20^2*ET20</f>
        <v>0</v>
      </c>
      <c r="EV20" s="814">
        <f>S20</f>
        <v>0</v>
      </c>
      <c r="EW20" s="490"/>
      <c r="EX20" s="491"/>
      <c r="EY20" s="250">
        <v>0</v>
      </c>
      <c r="EZ20" s="599"/>
      <c r="FA20" s="600"/>
      <c r="FB20" s="601" t="str">
        <f t="shared" ref="FB20:FB51" ca="1" si="68">IF(BE20,2/3*EZ21+1/3*FA22,"")</f>
        <v/>
      </c>
      <c r="FC20" s="608" t="str">
        <f t="shared" ref="FC20:FC51" ca="1" si="69">IF(BE20,(I21+I20-1)/2-DateToday,"")</f>
        <v/>
      </c>
      <c r="FD20" s="602" t="str">
        <f t="shared" ref="FD20:FD51" ca="1" si="70">IF(BE20,CHOOSE(Underlying,X20,Z20)+SwaptionUnderlyingPrice-$D$26,"")</f>
        <v/>
      </c>
      <c r="FE20" s="602" t="str">
        <f t="shared" ref="FE20:FE51" ca="1" si="71">IF(BE20,CollartionFloor/FD20-1,"")</f>
        <v/>
      </c>
      <c r="FF20" s="602" t="str">
        <f t="shared" ref="FF20:FF51" ca="1" si="72">IF(BE20,CollartionCap/FD20-1,"")</f>
        <v/>
      </c>
      <c r="FG20" s="603" t="str">
        <f t="shared" ref="FG20:FG51" ca="1" si="73">IF(BE20,IF(VolSkewFlag=1,IF(FE20&gt;0,$BA20*MIN(FE20/10%,1)+($BB20-$BA20)*MAX(0,MIN(FE20/10%-1,1))+($BC20-$BB20)*MAX(0,FE20/10%-2),$AZ20*MIN(-FE20/10%,1)+($AY20-$AZ20)*MAX(0,MIN(-FE20/10%-1,1))+($AX20-$AY20)*MAX(0,-FE20/10%-2)),0),"")</f>
        <v/>
      </c>
      <c r="FH20" s="604" t="str">
        <f t="shared" ref="FH20:FH51" ca="1" si="74">IF(BE20,IF(VolSkewFlag=1,IF(FF20&gt;0,$BA20*MIN(FF20/10%,1)+($BB20-$BA20)*MAX(0,MIN(FF20/10%-1,1))+($BC20-$BB20)*MAX(0,FF20/10%-2),$AZ20*MIN(-FF20/10%,1)+($AY20-$AZ20)*MAX(0,MIN(-FF20/10%-1,1))+($AX20-$AY20)*MAX(0,-FF20/10%-2)),0),"")</f>
        <v/>
      </c>
      <c r="FI20" s="250"/>
      <c r="FJ20" s="673">
        <v>1</v>
      </c>
      <c r="FK20" s="460">
        <f t="shared" ref="FK20:FK51" ca="1" si="75">IF(FK$19&gt;$FJ20,"",MAX(0,IF(FK$19=$FJ20,$S20^2*FK$15,FK19*INDEX($T$20:$T$91,$FJ20-FK$19)^2/INDEX($U$20:$U$91,$FJ20-FK$19))))</f>
        <v>0</v>
      </c>
      <c r="FL20" s="460" t="str">
        <f t="shared" ref="FL20:FL51" si="76">IF(FL$19&gt;$FJ20,"",MAX(0,IF(FL$19=$FJ20,$S20^2*FL$15,FL19*INDEX($T$20:$T$91,$FJ20-FL$19)^2/INDEX($U$20:$U$91,$FJ20-FL$19))))</f>
        <v/>
      </c>
      <c r="FM20" s="460" t="str">
        <f t="shared" ref="FM20:FM51" si="77">IF(FM$19&gt;$FJ20,"",MAX(0,IF(FM$19=$FJ20,$S20^2*FM$15,FM19*INDEX($T$20:$T$91,$FJ20-FM$19)^2/INDEX($U$20:$U$91,$FJ20-FM$19))))</f>
        <v/>
      </c>
      <c r="FN20" s="460" t="str">
        <f t="shared" ref="FN20:FN51" si="78">IF(FN$19&gt;$FJ20,"",MAX(0,IF(FN$19=$FJ20,$S20^2*FN$15,FN19*INDEX($T$20:$T$91,$FJ20-FN$19)^2/INDEX($U$20:$U$91,$FJ20-FN$19))))</f>
        <v/>
      </c>
      <c r="FO20" s="460" t="str">
        <f t="shared" ref="FO20:FO51" si="79">IF(FO$19&gt;$FJ20,"",MAX(0,IF(FO$19=$FJ20,$S20^2*FO$15,FO19*INDEX($T$20:$T$91,$FJ20-FO$19)^2/INDEX($U$20:$U$91,$FJ20-FO$19))))</f>
        <v/>
      </c>
      <c r="FP20" s="460" t="str">
        <f t="shared" ref="FP20:FP51" si="80">IF(FP$19&gt;$FJ20,"",MAX(0,IF(FP$19=$FJ20,$S20^2*FP$15,FP19*INDEX($T$20:$T$91,$FJ20-FP$19)^2/INDEX($U$20:$U$91,$FJ20-FP$19))))</f>
        <v/>
      </c>
      <c r="FQ20" s="460" t="str">
        <f t="shared" ref="FQ20:FQ51" si="81">IF(FQ$19&gt;$FJ20,"",MAX(0,IF(FQ$19=$FJ20,$S20^2*FQ$15,FQ19*INDEX($T$20:$T$91,$FJ20-FQ$19)^2/INDEX($U$20:$U$91,$FJ20-FQ$19))))</f>
        <v/>
      </c>
      <c r="FR20" s="460" t="str">
        <f t="shared" ref="FR20:FR51" si="82">IF(FR$19&gt;$FJ20,"",MAX(0,IF(FR$19=$FJ20,$S20^2*FR$15,FR19*INDEX($T$20:$T$91,$FJ20-FR$19)^2/INDEX($U$20:$U$91,$FJ20-FR$19))))</f>
        <v/>
      </c>
      <c r="FS20" s="460" t="str">
        <f t="shared" ref="FS20:FS51" si="83">IF(FS$19&gt;$FJ20,"",MAX(0,IF(FS$19=$FJ20,$S20^2*FS$15,FS19*INDEX($T$20:$T$91,$FJ20-FS$19)^2/INDEX($U$20:$U$91,$FJ20-FS$19))))</f>
        <v/>
      </c>
      <c r="FT20" s="460" t="str">
        <f t="shared" ref="FT20:FT51" si="84">IF(FT$19&gt;$FJ20,"",MAX(0,IF(FT$19=$FJ20,$S20^2*FT$15,FT19*INDEX($T$20:$T$91,$FJ20-FT$19)^2/INDEX($U$20:$U$91,$FJ20-FT$19))))</f>
        <v/>
      </c>
      <c r="FU20" s="460" t="str">
        <f t="shared" ref="FU20:FU51" si="85">IF(FU$19&gt;$FJ20,"",MAX(0,IF(FU$19=$FJ20,$S20^2*FU$15,FU19*INDEX($T$20:$T$91,$FJ20-FU$19)^2/INDEX($U$20:$U$91,$FJ20-FU$19))))</f>
        <v/>
      </c>
      <c r="FV20" s="460" t="str">
        <f t="shared" ref="FV20:FV51" si="86">IF(FV$19&gt;$FJ20,"",MAX(0,IF(FV$19=$FJ20,$S20^2*FV$15,FV19*INDEX($T$20:$T$91,$FJ20-FV$19)^2/INDEX($U$20:$U$91,$FJ20-FV$19))))</f>
        <v/>
      </c>
      <c r="FW20" s="460" t="str">
        <f t="shared" ref="FW20:FW51" si="87">IF(FW$19&gt;$FJ20,"",MAX(0,IF(FW$19=$FJ20,$S20^2*FW$15,FW19*INDEX($T$20:$T$91,$FJ20-FW$19)^2/INDEX($U$20:$U$91,$FJ20-FW$19))))</f>
        <v/>
      </c>
      <c r="FX20" s="460" t="str">
        <f t="shared" ref="FX20:FX51" si="88">IF(FX$19&gt;$FJ20,"",MAX(0,IF(FX$19=$FJ20,$S20^2*FX$15,FX19*INDEX($T$20:$T$91,$FJ20-FX$19)^2/INDEX($U$20:$U$91,$FJ20-FX$19))))</f>
        <v/>
      </c>
      <c r="FY20" s="460" t="str">
        <f t="shared" ref="FY20:FY51" si="89">IF(FY$19&gt;$FJ20,"",MAX(0,IF(FY$19=$FJ20,$S20^2*FY$15,FY19*INDEX($T$20:$T$91,$FJ20-FY$19)^2/INDEX($U$20:$U$91,$FJ20-FY$19))))</f>
        <v/>
      </c>
      <c r="FZ20" s="460" t="str">
        <f t="shared" ref="FZ20:FZ51" si="90">IF(FZ$19&gt;$FJ20,"",MAX(0,IF(FZ$19=$FJ20,$S20^2*FZ$15,FZ19*INDEX($T$20:$T$91,$FJ20-FZ$19)^2/INDEX($U$20:$U$91,$FJ20-FZ$19))))</f>
        <v/>
      </c>
      <c r="GA20" s="460" t="str">
        <f t="shared" ref="GA20:GA51" si="91">IF(GA$19&gt;$FJ20,"",MAX(0,IF(GA$19=$FJ20,$S20^2*GA$15,GA19*INDEX($T$20:$T$91,$FJ20-GA$19)^2/INDEX($U$20:$U$91,$FJ20-GA$19))))</f>
        <v/>
      </c>
      <c r="GB20" s="460" t="str">
        <f t="shared" ref="GB20:GB51" si="92">IF(GB$19&gt;$FJ20,"",MAX(0,IF(GB$19=$FJ20,$S20^2*GB$15,GB19*INDEX($T$20:$T$91,$FJ20-GB$19)^2/INDEX($U$20:$U$91,$FJ20-GB$19))))</f>
        <v/>
      </c>
      <c r="GC20" s="460" t="str">
        <f t="shared" ref="GC20:GC51" si="93">IF(GC$19&gt;$FJ20,"",MAX(0,IF(GC$19=$FJ20,$S20^2*GC$15,GC19*INDEX($T$20:$T$91,$FJ20-GC$19)^2/INDEX($U$20:$U$91,$FJ20-GC$19))))</f>
        <v/>
      </c>
      <c r="GD20" s="460" t="str">
        <f t="shared" ref="GD20:GD51" si="94">IF(GD$19&gt;$FJ20,"",MAX(0,IF(GD$19=$FJ20,$S20^2*GD$15,GD19*INDEX($T$20:$T$91,$FJ20-GD$19)^2/INDEX($U$20:$U$91,$FJ20-GD$19))))</f>
        <v/>
      </c>
      <c r="GE20" s="460" t="str">
        <f t="shared" ref="GE20:GE51" si="95">IF(GE$19&gt;$FJ20,"",MAX(0,IF(GE$19=$FJ20,$S20^2*GE$15,GE19*INDEX($T$20:$T$91,$FJ20-GE$19)^2/INDEX($U$20:$U$91,$FJ20-GE$19))))</f>
        <v/>
      </c>
      <c r="GF20" s="460" t="str">
        <f t="shared" ref="GF20:GF51" si="96">IF(GF$19&gt;$FJ20,"",MAX(0,IF(GF$19=$FJ20,$S20^2*GF$15,GF19*INDEX($T$20:$T$91,$FJ20-GF$19)^2/INDEX($U$20:$U$91,$FJ20-GF$19))))</f>
        <v/>
      </c>
      <c r="GG20" s="460" t="str">
        <f t="shared" ref="GG20:GG51" si="97">IF(GG$19&gt;$FJ20,"",MAX(0,IF(GG$19=$FJ20,$S20^2*GG$15,GG19*INDEX($T$20:$T$91,$FJ20-GG$19)^2/INDEX($U$20:$U$91,$FJ20-GG$19))))</f>
        <v/>
      </c>
      <c r="GH20" s="460" t="str">
        <f t="shared" ref="GH20:GH51" si="98">IF(GH$19&gt;$FJ20,"",MAX(0,IF(GH$19=$FJ20,$S20^2*GH$15,GH19*INDEX($T$20:$T$91,$FJ20-GH$19)^2/INDEX($U$20:$U$91,$FJ20-GH$19))))</f>
        <v/>
      </c>
      <c r="GI20" s="460" t="str">
        <f t="shared" ref="GI20:GI51" si="99">IF(GI$19&gt;$FJ20,"",MAX(0,IF(GI$19=$FJ20,$S20^2*GI$15,GI19*INDEX($T$20:$T$91,$FJ20-GI$19)^2/INDEX($U$20:$U$91,$FJ20-GI$19))))</f>
        <v/>
      </c>
      <c r="GJ20" s="460" t="str">
        <f t="shared" ref="GJ20:GJ51" si="100">IF(GJ$19&gt;$FJ20,"",MAX(0,IF(GJ$19=$FJ20,$S20^2*GJ$15,GJ19*INDEX($T$20:$T$91,$FJ20-GJ$19)^2/INDEX($U$20:$U$91,$FJ20-GJ$19))))</f>
        <v/>
      </c>
      <c r="GK20" s="460" t="str">
        <f t="shared" ref="GK20:GK51" si="101">IF(GK$19&gt;$FJ20,"",MAX(0,IF(GK$19=$FJ20,$S20^2*GK$15,GK19*INDEX($T$20:$T$91,$FJ20-GK$19)^2/INDEX($U$20:$U$91,$FJ20-GK$19))))</f>
        <v/>
      </c>
      <c r="GL20" s="460" t="str">
        <f t="shared" ref="GL20:GL51" si="102">IF(GL$19&gt;$FJ20,"",MAX(0,IF(GL$19=$FJ20,$S20^2*GL$15,GL19*INDEX($T$20:$T$91,$FJ20-GL$19)^2/INDEX($U$20:$U$91,$FJ20-GL$19))))</f>
        <v/>
      </c>
      <c r="GM20" s="460" t="str">
        <f t="shared" ref="GM20:GM51" si="103">IF(GM$19&gt;$FJ20,"",MAX(0,IF(GM$19=$FJ20,$S20^2*GM$15,GM19*INDEX($T$20:$T$91,$FJ20-GM$19)^2/INDEX($U$20:$U$91,$FJ20-GM$19))))</f>
        <v/>
      </c>
      <c r="GN20" s="460" t="str">
        <f t="shared" ref="GN20:GN51" si="104">IF(GN$19&gt;$FJ20,"",MAX(0,IF(GN$19=$FJ20,$S20^2*GN$15,GN19*INDEX($T$20:$T$91,$FJ20-GN$19)^2/INDEX($U$20:$U$91,$FJ20-GN$19))))</f>
        <v/>
      </c>
      <c r="GO20" s="460" t="str">
        <f t="shared" ref="GO20:GO51" si="105">IF(GO$19&gt;$FJ20,"",MAX(0,IF(GO$19=$FJ20,$S20^2*GO$15,GO19*INDEX($T$20:$T$91,$FJ20-GO$19)^2/INDEX($U$20:$U$91,$FJ20-GO$19))))</f>
        <v/>
      </c>
      <c r="GP20" s="460" t="str">
        <f t="shared" ref="GP20:GP51" si="106">IF(GP$19&gt;$FJ20,"",MAX(0,IF(GP$19=$FJ20,$S20^2*GP$15,GP19*INDEX($T$20:$T$91,$FJ20-GP$19)^2/INDEX($U$20:$U$91,$FJ20-GP$19))))</f>
        <v/>
      </c>
      <c r="GQ20" s="460" t="str">
        <f t="shared" ref="GQ20:GQ51" si="107">IF(GQ$19&gt;$FJ20,"",MAX(0,IF(GQ$19=$FJ20,$S20^2*GQ$15,GQ19*INDEX($T$20:$T$91,$FJ20-GQ$19)^2/INDEX($U$20:$U$91,$FJ20-GQ$19))))</f>
        <v/>
      </c>
      <c r="GR20" s="460" t="str">
        <f t="shared" ref="GR20:GR51" si="108">IF(GR$19&gt;$FJ20,"",MAX(0,IF(GR$19=$FJ20,$S20^2*GR$15,GR19*INDEX($T$20:$T$91,$FJ20-GR$19)^2/INDEX($U$20:$U$91,$FJ20-GR$19))))</f>
        <v/>
      </c>
      <c r="GS20" s="460" t="str">
        <f t="shared" ref="GS20:GS51" si="109">IF(GS$19&gt;$FJ20,"",MAX(0,IF(GS$19=$FJ20,$S20^2*GS$15,GS19*INDEX($T$20:$T$91,$FJ20-GS$19)^2/INDEX($U$20:$U$91,$FJ20-GS$19))))</f>
        <v/>
      </c>
      <c r="GT20" s="460" t="str">
        <f t="shared" ref="GT20:GT51" si="110">IF(GT$19&gt;$FJ20,"",MAX(0,IF(GT$19=$FJ20,$S20^2*GT$15,GT19*INDEX($T$20:$T$91,$FJ20-GT$19)^2/INDEX($U$20:$U$91,$FJ20-GT$19))))</f>
        <v/>
      </c>
      <c r="GU20" s="460" t="str">
        <f t="shared" ref="GU20:GU51" si="111">IF(GU$19&gt;$FJ20,"",MAX(0,IF(GU$19=$FJ20,$S20^2*GU$15,GU19*INDEX($T$20:$T$91,$FJ20-GU$19)^2/INDEX($U$20:$U$91,$FJ20-GU$19))))</f>
        <v/>
      </c>
      <c r="GV20" s="460" t="str">
        <f t="shared" ref="GV20:GV51" si="112">IF(GV$19&gt;$FJ20,"",MAX(0,IF(GV$19=$FJ20,$S20^2*GV$15,GV19*INDEX($T$20:$T$91,$FJ20-GV$19)^2/INDEX($U$20:$U$91,$FJ20-GV$19))))</f>
        <v/>
      </c>
      <c r="GW20" s="460" t="str">
        <f t="shared" ref="GW20:GW51" si="113">IF(GW$19&gt;$FJ20,"",MAX(0,IF(GW$19=$FJ20,$S20^2*GW$15,GW19*INDEX($T$20:$T$91,$FJ20-GW$19)^2/INDEX($U$20:$U$91,$FJ20-GW$19))))</f>
        <v/>
      </c>
      <c r="GX20" s="460" t="str">
        <f t="shared" ref="GX20:GX51" si="114">IF(GX$19&gt;$FJ20,"",MAX(0,IF(GX$19=$FJ20,$S20^2*GX$15,GX19*INDEX($T$20:$T$91,$FJ20-GX$19)^2/INDEX($U$20:$U$91,$FJ20-GX$19))))</f>
        <v/>
      </c>
      <c r="GY20" s="460" t="str">
        <f t="shared" ref="GY20:GY51" si="115">IF(GY$19&gt;$FJ20,"",MAX(0,IF(GY$19=$FJ20,$S20^2*GY$15,GY19*INDEX($T$20:$T$91,$FJ20-GY$19)^2/INDEX($U$20:$U$91,$FJ20-GY$19))))</f>
        <v/>
      </c>
      <c r="GZ20" s="460" t="str">
        <f t="shared" ref="GZ20:GZ51" si="116">IF(GZ$19&gt;$FJ20,"",MAX(0,IF(GZ$19=$FJ20,$S20^2*GZ$15,GZ19*INDEX($T$20:$T$91,$FJ20-GZ$19)^2/INDEX($U$20:$U$91,$FJ20-GZ$19))))</f>
        <v/>
      </c>
      <c r="HA20" s="460" t="str">
        <f t="shared" ref="HA20:HA51" si="117">IF(HA$19&gt;$FJ20,"",MAX(0,IF(HA$19=$FJ20,$S20^2*HA$15,HA19*INDEX($T$20:$T$91,$FJ20-HA$19)^2/INDEX($U$20:$U$91,$FJ20-HA$19))))</f>
        <v/>
      </c>
      <c r="HB20" s="460" t="str">
        <f t="shared" ref="HB20:HB51" si="118">IF(HB$19&gt;$FJ20,"",MAX(0,IF(HB$19=$FJ20,$S20^2*HB$15,HB19*INDEX($T$20:$T$91,$FJ20-HB$19)^2/INDEX($U$20:$U$91,$FJ20-HB$19))))</f>
        <v/>
      </c>
      <c r="HC20" s="460" t="str">
        <f t="shared" ref="HC20:HC51" si="119">IF(HC$19&gt;$FJ20,"",MAX(0,IF(HC$19=$FJ20,$S20^2*HC$15,HC19*INDEX($T$20:$T$91,$FJ20-HC$19)^2/INDEX($U$20:$U$91,$FJ20-HC$19))))</f>
        <v/>
      </c>
      <c r="HD20" s="460" t="str">
        <f t="shared" ref="HD20:HD51" si="120">IF(HD$19&gt;$FJ20,"",MAX(0,IF(HD$19=$FJ20,$S20^2*HD$15,HD19*INDEX($T$20:$T$91,$FJ20-HD$19)^2/INDEX($U$20:$U$91,$FJ20-HD$19))))</f>
        <v/>
      </c>
      <c r="HE20" s="460" t="str">
        <f t="shared" ref="HE20:HE51" si="121">IF(HE$19&gt;$FJ20,"",MAX(0,IF(HE$19=$FJ20,$S20^2*HE$15,HE19*INDEX($T$20:$T$91,$FJ20-HE$19)^2/INDEX($U$20:$U$91,$FJ20-HE$19))))</f>
        <v/>
      </c>
      <c r="HF20" s="460" t="str">
        <f t="shared" ref="HF20:HF51" si="122">IF(HF$19&gt;$FJ20,"",MAX(0,IF(HF$19=$FJ20,$S20^2*HF$15,HF19*INDEX($T$20:$T$91,$FJ20-HF$19)^2/INDEX($U$20:$U$91,$FJ20-HF$19))))</f>
        <v/>
      </c>
      <c r="HG20" s="460" t="str">
        <f t="shared" ref="HG20:HG51" si="123">IF(HG$19&gt;$FJ20,"",MAX(0,IF(HG$19=$FJ20,$S20^2*HG$15,HG19*INDEX($T$20:$T$91,$FJ20-HG$19)^2/INDEX($U$20:$U$91,$FJ20-HG$19))))</f>
        <v/>
      </c>
      <c r="HH20" s="460" t="str">
        <f t="shared" ref="HH20:HH51" si="124">IF(HH$19&gt;$FJ20,"",MAX(0,IF(HH$19=$FJ20,$S20^2*HH$15,HH19*INDEX($T$20:$T$91,$FJ20-HH$19)^2/INDEX($U$20:$U$91,$FJ20-HH$19))))</f>
        <v/>
      </c>
      <c r="HI20" s="460" t="str">
        <f t="shared" ref="HI20:HI51" si="125">IF(HI$19&gt;$FJ20,"",MAX(0,IF(HI$19=$FJ20,$S20^2*HI$15,HI19*INDEX($T$20:$T$91,$FJ20-HI$19)^2/INDEX($U$20:$U$91,$FJ20-HI$19))))</f>
        <v/>
      </c>
      <c r="HJ20" s="460" t="str">
        <f t="shared" ref="HJ20:HJ51" si="126">IF(HJ$19&gt;$FJ20,"",MAX(0,IF(HJ$19=$FJ20,$S20^2*HJ$15,HJ19*INDEX($T$20:$T$91,$FJ20-HJ$19)^2/INDEX($U$20:$U$91,$FJ20-HJ$19))))</f>
        <v/>
      </c>
      <c r="HK20" s="460" t="str">
        <f t="shared" ref="HK20:HK51" si="127">IF(HK$19&gt;$FJ20,"",MAX(0,IF(HK$19=$FJ20,$S20^2*HK$15,HK19*INDEX($T$20:$T$91,$FJ20-HK$19)^2/INDEX($U$20:$U$91,$FJ20-HK$19))))</f>
        <v/>
      </c>
      <c r="HL20" s="460" t="str">
        <f t="shared" ref="HL20:HL51" si="128">IF(HL$19&gt;$FJ20,"",MAX(0,IF(HL$19=$FJ20,$S20^2*HL$15,HL19*INDEX($T$20:$T$91,$FJ20-HL$19)^2/INDEX($U$20:$U$91,$FJ20-HL$19))))</f>
        <v/>
      </c>
      <c r="HM20" s="460" t="str">
        <f t="shared" ref="HM20:HM51" si="129">IF(HM$19&gt;$FJ20,"",MAX(0,IF(HM$19=$FJ20,$S20^2*HM$15,HM19*INDEX($T$20:$T$91,$FJ20-HM$19)^2/INDEX($U$20:$U$91,$FJ20-HM$19))))</f>
        <v/>
      </c>
      <c r="HN20" s="460" t="str">
        <f t="shared" ref="HN20:HN51" si="130">IF(HN$19&gt;$FJ20,"",MAX(0,IF(HN$19=$FJ20,$S20^2*HN$15,HN19*INDEX($T$20:$T$91,$FJ20-HN$19)^2/INDEX($U$20:$U$91,$FJ20-HN$19))))</f>
        <v/>
      </c>
      <c r="HO20" s="460" t="str">
        <f t="shared" ref="HO20:HO51" si="131">IF(HO$19&gt;$FJ20,"",MAX(0,IF(HO$19=$FJ20,$S20^2*HO$15,HO19*INDEX($T$20:$T$91,$FJ20-HO$19)^2/INDEX($U$20:$U$91,$FJ20-HO$19))))</f>
        <v/>
      </c>
      <c r="HP20" s="460" t="str">
        <f t="shared" ref="HP20:HP51" si="132">IF(HP$19&gt;$FJ20,"",MAX(0,IF(HP$19=$FJ20,$S20^2*HP$15,HP19*INDEX($T$20:$T$91,$FJ20-HP$19)^2/INDEX($U$20:$U$91,$FJ20-HP$19))))</f>
        <v/>
      </c>
      <c r="HQ20" s="460" t="str">
        <f t="shared" ref="HQ20:HQ51" si="133">IF(HQ$19&gt;$FJ20,"",MAX(0,IF(HQ$19=$FJ20,$S20^2*HQ$15,HQ19*INDEX($T$20:$T$91,$FJ20-HQ$19)^2/INDEX($U$20:$U$91,$FJ20-HQ$19))))</f>
        <v/>
      </c>
      <c r="HR20" s="460" t="str">
        <f t="shared" ref="HR20:HR51" si="134">IF(HR$19&gt;$FJ20,"",MAX(0,IF(HR$19=$FJ20,$S20^2*HR$15,HR19*INDEX($T$20:$T$91,$FJ20-HR$19)^2/INDEX($U$20:$U$91,$FJ20-HR$19))))</f>
        <v/>
      </c>
      <c r="HS20" s="460" t="str">
        <f t="shared" ref="HS20:HS51" si="135">IF(HS$19&gt;$FJ20,"",MAX(0,IF(HS$19=$FJ20,$S20^2*HS$15,HS19*INDEX($T$20:$T$91,$FJ20-HS$19)^2/INDEX($U$20:$U$91,$FJ20-HS$19))))</f>
        <v/>
      </c>
      <c r="HT20" s="460" t="str">
        <f t="shared" ref="HT20:HT51" si="136">IF(HT$19&gt;$FJ20,"",MAX(0,IF(HT$19=$FJ20,$S20^2*HT$15,HT19*INDEX($T$20:$T$91,$FJ20-HT$19)^2/INDEX($U$20:$U$91,$FJ20-HT$19))))</f>
        <v/>
      </c>
      <c r="HU20" s="460" t="str">
        <f t="shared" ref="HU20:HU51" si="137">IF(HU$19&gt;$FJ20,"",MAX(0,IF(HU$19=$FJ20,$S20^2*HU$15,HU19*INDEX($T$20:$T$91,$FJ20-HU$19)^2/INDEX($U$20:$U$91,$FJ20-HU$19))))</f>
        <v/>
      </c>
      <c r="HV20" s="460" t="str">
        <f t="shared" ref="HV20:HV51" si="138">IF(HV$19&gt;$FJ20,"",MAX(0,IF(HV$19=$FJ20,$S20^2*HV$15,HV19*INDEX($T$20:$T$91,$FJ20-HV$19)^2/INDEX($U$20:$U$91,$FJ20-HV$19))))</f>
        <v/>
      </c>
      <c r="HW20" s="460" t="str">
        <f t="shared" ref="HW20:HW51" si="139">IF(HW$19&gt;$FJ20,"",MAX(0,IF(HW$19=$FJ20,$S20^2*HW$15,HW19*INDEX($T$20:$T$91,$FJ20-HW$19)^2/INDEX($U$20:$U$91,$FJ20-HW$19))))</f>
        <v/>
      </c>
      <c r="HX20" s="460" t="str">
        <f t="shared" ref="HX20:HX51" si="140">IF(HX$19&gt;$FJ20,"",MAX(0,IF(HX$19=$FJ20,$S20^2*HX$15,HX19*INDEX($T$20:$T$91,$FJ20-HX$19)^2/INDEX($U$20:$U$91,$FJ20-HX$19))))</f>
        <v/>
      </c>
      <c r="HY20" s="460" t="str">
        <f t="shared" ref="HY20:HY51" si="141">IF(HY$19&gt;$FJ20,"",MAX(0,IF(HY$19=$FJ20,$S20^2*HY$15,HY19*INDEX($T$20:$T$91,$FJ20-HY$19)^2/INDEX($U$20:$U$91,$FJ20-HY$19))))</f>
        <v/>
      </c>
      <c r="HZ20" s="460" t="str">
        <f t="shared" ref="HZ20:HZ51" si="142">IF(HZ$19&gt;$FJ20,"",MAX(0,IF(HZ$19=$FJ20,$S20^2*HZ$15,HZ19*INDEX($T$20:$T$91,$FJ20-HZ$19)^2/INDEX($U$20:$U$91,$FJ20-HZ$19))))</f>
        <v/>
      </c>
      <c r="IA20" s="460" t="str">
        <f t="shared" ref="IA20:IA51" si="143">IF(IA$19&gt;$FJ20,"",MAX(0,IF(IA$19=$FJ20,$S20^2*IA$15,IA19*INDEX($T$20:$T$91,$FJ20-IA$19)^2/INDEX($U$20:$U$91,$FJ20-IA$19))))</f>
        <v/>
      </c>
      <c r="IB20" s="460" t="str">
        <f t="shared" ref="IB20:IB51" si="144">IF(IB$19&gt;$FJ20,"",MAX(0,IF(IB$19=$FJ20,$S20^2*IB$15,IB19*INDEX($T$20:$T$91,$FJ20-IB$19)^2/INDEX($U$20:$U$91,$FJ20-IB$19))))</f>
        <v/>
      </c>
      <c r="IC20" s="460" t="str">
        <f t="shared" ref="IC20:IC51" si="145">IF(IC$19&gt;$FJ20,"",MAX(0,IF(IC$19=$FJ20,$S20^2*IC$15,IC19*INDEX($T$20:$T$91,$FJ20-IC$19)^2/INDEX($U$20:$U$91,$FJ20-IC$19))))</f>
        <v/>
      </c>
      <c r="ID20" s="674" t="str">
        <f t="shared" ref="ID20:ID51" si="146">IF(ID$19&gt;$FJ20,"",MAX(0,IF(ID$19=$FJ20,$S20^2*ID$15,ID19*INDEX($T$20:$T$91,$FJ20-ID$19)^2/INDEX($U$20:$U$91,$FJ20-ID$19))))</f>
        <v/>
      </c>
      <c r="IE20" s="250"/>
    </row>
    <row r="21" spans="1:239" ht="16.5" customHeight="1">
      <c r="A21" s="611">
        <f t="shared" ref="A21:A26" si="147">L21*O21*SQRT(2/260/3.14)</f>
        <v>0</v>
      </c>
      <c r="B21" s="453" t="str">
        <f>IF(OptControl=2,"",IF(OptControl=3,"Call Spread",IF(OptControl=4,"Put Spread","Straddle")))</f>
        <v>Straddle</v>
      </c>
      <c r="C21" s="537" t="e">
        <f ca="1">C19+C20*IF(OptControl&gt;2,-1,1)</f>
        <v>#DIV/0!</v>
      </c>
      <c r="D21" s="454" t="e">
        <f ca="1">D19+D20*IF(OptControl&gt;2,-1,1)</f>
        <v>#DIV/0!</v>
      </c>
      <c r="E21" s="454" t="e">
        <f ca="1">E19+E20*IF(OptControl&gt;2,-1,1)</f>
        <v>#DIV/0!</v>
      </c>
      <c r="F21" s="703" t="e">
        <f ca="1">F19+F20*IF(OptControl&gt;2,-1,1)</f>
        <v>#DIV/0!</v>
      </c>
      <c r="G21" s="711" t="s">
        <v>14</v>
      </c>
      <c r="H21" s="51">
        <f t="shared" ca="1" si="35"/>
        <v>26</v>
      </c>
      <c r="I21" s="379">
        <f t="shared" si="36"/>
        <v>36800</v>
      </c>
      <c r="J21" s="377"/>
      <c r="K21" s="104">
        <v>0</v>
      </c>
      <c r="L21" s="392">
        <f t="shared" si="37"/>
        <v>0</v>
      </c>
      <c r="M21" s="171"/>
      <c r="N21" s="382">
        <v>0</v>
      </c>
      <c r="O21" s="171">
        <f t="shared" si="38"/>
        <v>0</v>
      </c>
      <c r="P21" s="377"/>
      <c r="Q21" s="103">
        <v>0</v>
      </c>
      <c r="R21" s="377">
        <f t="shared" ref="R21:R84" ca="1" si="148">IF(ISNUMBER(Q21),P21+Q21/100,IF(Q21="extra",(Z19*AL19-R20*AM19)/AN19,IF(Q21="inter",interpolateprices($Q$19:$R$260,ROW(Q21)-ROW(FirstPricingMonth)+1),interpolatechanges($P$19:$Q$260,ROW(Q21)-ROW(FirstPricingMonth)+1))))</f>
        <v>0</v>
      </c>
      <c r="S21" s="381">
        <v>0.38</v>
      </c>
      <c r="T21" s="831">
        <f t="shared" ref="T21:T84" si="149">SQRT((1-(1-T20^2/U20)*T$18)*U21)</f>
        <v>0.8937731019117171</v>
      </c>
      <c r="U21" s="545">
        <f t="shared" ref="U21:U84" si="150">1-(1-U20)*U$18</f>
        <v>0.98875000000000002</v>
      </c>
      <c r="V21" s="389">
        <v>0</v>
      </c>
      <c r="W21" s="434">
        <f t="shared" si="39"/>
        <v>0</v>
      </c>
      <c r="X21" s="415">
        <f t="shared" si="40"/>
        <v>0</v>
      </c>
      <c r="Y21" s="322">
        <f t="shared" si="41"/>
        <v>0</v>
      </c>
      <c r="Z21" s="322">
        <f t="shared" ca="1" si="42"/>
        <v>0</v>
      </c>
      <c r="AA21" s="429">
        <f t="shared" si="1"/>
        <v>0</v>
      </c>
      <c r="AB21" s="433">
        <f t="shared" ca="1" si="2"/>
        <v>0</v>
      </c>
      <c r="AC21" s="226">
        <v>36789</v>
      </c>
      <c r="AD21" s="227">
        <v>36784</v>
      </c>
      <c r="AE21" s="227">
        <v>36783</v>
      </c>
      <c r="AF21" s="228">
        <v>36780</v>
      </c>
      <c r="AG21" s="249" t="s">
        <v>498</v>
      </c>
      <c r="AH21" s="247" t="s">
        <v>498</v>
      </c>
      <c r="AI21" s="146">
        <v>22</v>
      </c>
      <c r="AJ21" s="41">
        <v>15</v>
      </c>
      <c r="AK21" s="41">
        <v>7</v>
      </c>
      <c r="AL21" s="293">
        <v>22</v>
      </c>
      <c r="AM21" s="41">
        <v>10</v>
      </c>
      <c r="AN21" s="147">
        <v>12</v>
      </c>
      <c r="AO21" s="374"/>
      <c r="AP21" s="153">
        <f t="shared" ca="1" si="43"/>
        <v>1</v>
      </c>
      <c r="AQ21" s="374"/>
      <c r="AR21" s="153">
        <f t="shared" ref="AR21:AR84" ca="1" si="151">(1+AQ21/2)^(-2*BH21/365.25)</f>
        <v>1</v>
      </c>
      <c r="AS21" s="272">
        <f t="shared" si="3"/>
        <v>0</v>
      </c>
      <c r="AT21" s="157">
        <f t="shared" si="44"/>
        <v>0</v>
      </c>
      <c r="AU21" s="157">
        <f t="shared" si="4"/>
        <v>0</v>
      </c>
      <c r="AV21" s="362">
        <f ca="1">IF(BH20&gt;0,SQRT(MAX(0.000000000001,(O21^2*BH21-S21^2*(BH21-BH20))/BH20)),O21)</f>
        <v>9.9999999999999995E-7</v>
      </c>
      <c r="AW21" s="158">
        <f t="shared" ca="1" si="5"/>
        <v>1</v>
      </c>
      <c r="AX21" s="157">
        <f t="shared" ref="AX21:AX84" ca="1" si="152">IF($AW21="",AX20^2/AX19,INDEX(U$5:U$8,$AW21)^((INDEX($T$5:$T$8,$AW21+1)-($I21-DateToday+15))/(INDEX($T$5:$T$8,$AW21+1)-INDEX($T$5:$T$8,$AW21)))/INDEX(U$5:U$8,$AW21+1)^((INDEX($T$5:$T$8,$AW21)-($I21-DateToday+15))/(INDEX($T$5:$T$8,$AW21+1)-INDEX($T$5:$T$8,$AW21))))</f>
        <v>1.9459561429572503E-2</v>
      </c>
      <c r="AY21" s="157">
        <f t="shared" ref="AY21:AY84" ca="1" si="153">IF($AW21="",AY20^2/AY19,INDEX(V$5:V$8,$AW21)^((INDEX($T$5:$T$8,$AW21+1)-($I21-DateToday+15))/(INDEX($T$5:$T$8,$AW21+1)-INDEX($T$5:$T$8,$AW21)))/INDEX(V$5:V$8,$AW21+1)^((INDEX($T$5:$T$8,$AW21)-($I21-DateToday+15))/(INDEX($T$5:$T$8,$AW21+1)-INDEX($T$5:$T$8,$AW21))))</f>
        <v>1.5159122370301965E-2</v>
      </c>
      <c r="AZ21" s="157">
        <f t="shared" ref="AZ21:AZ84" ca="1" si="154">IF($AW21="",AZ20^2/AZ19,INDEX(W$5:W$8,$AW21)^((INDEX($T$5:$T$8,$AW21+1)-($I21-DateToday+15))/(INDEX($T$5:$T$8,$AW21+1)-INDEX($T$5:$T$8,$AW21)))/INDEX(W$5:W$8,$AW21+1)^((INDEX($T$5:$T$8,$AW21)-($I21-DateToday+15))/(INDEX($T$5:$T$8,$AW21+1)-INDEX($T$5:$T$8,$AW21))))</f>
        <v>1.0799347565244585E-2</v>
      </c>
      <c r="BA21" s="157">
        <f t="shared" ref="BA21:BA84" ca="1" si="155">IF($AW21="",BA20^2/BA19,INDEX(X$5:X$8,$AW21)^((INDEX($T$5:$T$8,$AW21+1)-($I21-DateToday+15))/(INDEX($T$5:$T$8,$AW21+1)-INDEX($T$5:$T$8,$AW21)))/INDEX(X$5:X$8,$AW21+1)^((INDEX($T$5:$T$8,$AW21)-($I21-DateToday+15))/(INDEX($T$5:$T$8,$AW21+1)-INDEX($T$5:$T$8,$AW21))))</f>
        <v>2.1890684098456389E-3</v>
      </c>
      <c r="BB21" s="157">
        <f t="shared" ref="BB21:BB84" ca="1" si="156">IF($AW21="",BB20^2/BB19,INDEX(Y$5:Y$8,$AW21)^((INDEX($T$5:$T$8,$AW21+1)-($I21-DateToday+15))/(INDEX($T$5:$T$8,$AW21+1)-INDEX($T$5:$T$8,$AW21)))/INDEX(Y$5:Y$8,$AW21+1)^((INDEX($T$5:$T$8,$AW21)-($I21-DateToday+15))/(INDEX($T$5:$T$8,$AW21+1)-INDEX($T$5:$T$8,$AW21))))</f>
        <v>3.026064297936005E-3</v>
      </c>
      <c r="BC21" s="157">
        <f t="shared" ref="BC21:BC84" ca="1" si="157">IF($AW21="",BC20^2/BC19,INDEX(Z$5:Z$8,$AW21)^((INDEX($T$5:$T$8,$AW21+1)-($I21-DateToday+15))/(INDEX($T$5:$T$8,$AW21+1)-INDEX($T$5:$T$8,$AW21)))/INDEX(Z$5:Z$8,$AW21+1)^((INDEX($T$5:$T$8,$AW21)-($I21-DateToday+15))/(INDEX($T$5:$T$8,$AW21+1)-INDEX($T$5:$T$8,$AW21))))</f>
        <v>3.8622613886013127E-3</v>
      </c>
      <c r="BD21" s="151">
        <f t="shared" ca="1" si="45"/>
        <v>0</v>
      </c>
      <c r="BE21" s="152">
        <f t="shared" ca="1" si="46"/>
        <v>0</v>
      </c>
      <c r="BF21" s="40">
        <f t="shared" si="7"/>
        <v>2000</v>
      </c>
      <c r="BG21" s="144">
        <f t="shared" si="8"/>
        <v>10</v>
      </c>
      <c r="BH21" s="145">
        <f t="shared" ca="1" si="47"/>
        <v>39</v>
      </c>
      <c r="BI21" s="313">
        <f t="shared" ca="1" si="9"/>
        <v>0.15058179329226556</v>
      </c>
      <c r="BJ21" s="42">
        <f t="shared" ca="1" si="10"/>
        <v>0.20658328666542217</v>
      </c>
      <c r="BK21" s="42">
        <f t="shared" ca="1" si="11"/>
        <v>0.20932113745255426</v>
      </c>
      <c r="BL21" s="42">
        <f t="shared" ca="1" si="12"/>
        <v>0.2327173169062286</v>
      </c>
      <c r="BM21" s="150" t="e">
        <f t="shared" ca="1" si="13"/>
        <v>#DIV/0!</v>
      </c>
      <c r="BN21" s="42" t="e">
        <f t="shared" ca="1" si="14"/>
        <v>#DIV/0!</v>
      </c>
      <c r="BO21" s="293">
        <f t="shared" si="48"/>
        <v>22</v>
      </c>
      <c r="BP21" s="41">
        <f t="shared" si="49"/>
        <v>15</v>
      </c>
      <c r="BQ21" s="41">
        <f t="shared" si="50"/>
        <v>7</v>
      </c>
      <c r="BR21" s="305" t="str">
        <f t="shared" ca="1" si="15"/>
        <v/>
      </c>
      <c r="BS21" s="305" t="str">
        <f t="shared" ca="1" si="16"/>
        <v/>
      </c>
      <c r="BT21" s="307" t="str">
        <f t="shared" ca="1" si="17"/>
        <v/>
      </c>
      <c r="BU21" s="161" t="str">
        <f t="shared" ca="1" si="18"/>
        <v/>
      </c>
      <c r="BV21" s="161" t="str">
        <f t="shared" ca="1" si="19"/>
        <v/>
      </c>
      <c r="BW21" s="308" t="str">
        <f t="shared" ca="1" si="20"/>
        <v/>
      </c>
      <c r="BX21" s="309" t="str">
        <f t="shared" ca="1" si="21"/>
        <v/>
      </c>
      <c r="BY21" s="308" t="str">
        <f t="shared" ca="1" si="51"/>
        <v/>
      </c>
      <c r="BZ21" s="309" t="str">
        <f t="shared" ca="1" si="52"/>
        <v/>
      </c>
      <c r="CA21" s="154" t="str">
        <f t="shared" ca="1" si="22"/>
        <v/>
      </c>
      <c r="CB21" s="154" t="str">
        <f t="shared" ca="1" si="23"/>
        <v/>
      </c>
      <c r="CC21" s="154" t="str">
        <f t="shared" ca="1" si="24"/>
        <v/>
      </c>
      <c r="CD21" s="154" t="str">
        <f t="shared" ca="1" si="25"/>
        <v/>
      </c>
      <c r="CE21" s="310">
        <v>1</v>
      </c>
      <c r="CF21" s="162">
        <f ca="1">IF(BD21,_xll.xCrudeAPO(BU21,BV21,CA21,CB21,S22,S23,BI21,BL21,BP21,BQ21,0,Strike1,AO21,CE21,0,BL21,IF(OptControl=4,0,1),0,1),0)</f>
        <v>0</v>
      </c>
      <c r="CG21" s="163">
        <f ca="1">IF(BD21,_xll.xCrudeAPO(BU21,BV21,CA21,CB21,S22,S23,BI21,BL21,BP21,BQ21,0,Strike1,AO21,CE21,0,BL21,IF(OptControl=4,0,1),1,1)+_xll.xCrudeAPO(BU21,BV21,CA21,CB21,S22,S23,BI21,BL21,BP21,BQ21,0,Strike1,AO21,CE21,0,BL21,IF(OptControl=4,0,1),1,2)+IF(OR(VolSkewFlag=2,ABS(BS21)&lt;0.0001),0,IF(BS21&gt;0,-1,1)*CH21*Strike1/BR21^2*BY21/10%),0)</f>
        <v>0</v>
      </c>
      <c r="CH21" s="163">
        <f ca="1">IF(BD21,(_xll.xCrudeAPO(BU21,BV21,CA21,CB21,S22,S23,BI21,BL21,BP21,BQ21,0,Strike1,AO21,CE21,0,BL21,IF(OptControl=4,0,1),3,1)+_xll.xCrudeAPO(BU21,BV21,CA21,CB21,S22,S23,BI21,BL21,BP21,BQ21,0,Strike1,AO21,CE21,0,BL21,IF(OptControl=4,0,1),3,2))/100,0)</f>
        <v>0</v>
      </c>
      <c r="CI21" s="163">
        <f ca="1">IF(BD21,_xll.xCrudeAPO(BU21,BV21,CA21,CB21,S22,S23,BI21-DaysForThetaCalculation/365.25,BL21-DaysForThetaCalculation/365.25,BP21,BQ21,0,Strike1,AO21,CE21,0,BL21,IF(OptControl=4,0,1),0,1)-_xll.xCrudeAPO(BU21,BV21,CA21,CB21,S22,S23,BI21,BL21,BP21,BQ21,0,Strike1,AO21,CE21,0,BL21,IF(OptControl=4,0,1),0,1),0)</f>
        <v>0</v>
      </c>
      <c r="CJ21" s="311">
        <f ca="1">IF(BD21,_xll.xCrudeAPO(BU21,BV21,CC21,CD21,S22,S23,BI21,BL21,BP21,BQ21,0,Strike2,AO21,CE21,0,BL21,IF(OptControl=3,1,0),0,1),0)</f>
        <v>0</v>
      </c>
      <c r="CK21" s="163">
        <f ca="1">IF(BD21,_xll.xCrudeAPO(BU21,BV21,CC21,CD21,S22,S23,BI21,BL21,BP21,BQ21,0,Strike2,AO21,CE21,0,BL21,IF(OptControl=3,1,0),1,1)+_xll.xCrudeAPO(BU21,BV21,CC21,CD21,S22,S23,BI21,BL21,BP21,BQ21,0,Strike2,AO21,CE21,0,BL21,IF(OptControl=3,1,0),1,2)+IF(OR(VolSkewFlag=2,ABS(BT21)&lt;0.0001),0,IF(BT21&gt;0,-1,1)*CL21*Strike2/BR21^2*BZ21/10%),0)</f>
        <v>0</v>
      </c>
      <c r="CL21" s="163">
        <f ca="1">IF(BD21,(_xll.xCrudeAPO(BU21,BV21,CC21,CD21,S22,S23,BI21,BL21,BP21,BQ21,0,Strike2,AO21,CE21,0,BL21,IF(OptControl=3,1,0),3,1)+_xll.xCrudeAPO(BU21,BV21,CC21,CD21,S22,S23,BI21,BL21,BP21,BQ21,0,Strike2,AO21,CE21,0,BL21,IF(OptControl=3,1,0),3,2))/100,0)</f>
        <v>0</v>
      </c>
      <c r="CM21" s="164">
        <f ca="1">IF(BD21,_xll.xCrudeAPO(BU21,BV21,CC21,CD21,S22,S23,BI21-DaysForThetaCalculation/365.25,BL21-DaysForThetaCalculation/365.25,BP21,BQ21,0,Strike2,AO21,CE21,0,BL21,IF(OptControl=3,1,0),0,1)-_xll.xCrudeAPO(BU21,BV21,CC21,CD21,S22,S23,BI21,BL21,BP21,BQ21,0,Strike2,AO21,CE21,0,BL21,IF(OptControl=3,1,0),0,1),0)</f>
        <v>0</v>
      </c>
      <c r="CN21" s="508"/>
      <c r="CO21" s="796" t="str">
        <f t="shared" ca="1" si="53"/>
        <v/>
      </c>
      <c r="CP21" s="800" t="str">
        <f t="shared" ca="1" si="54"/>
        <v/>
      </c>
      <c r="CQ21" s="797" t="str">
        <f t="shared" ca="1" si="55"/>
        <v/>
      </c>
      <c r="CR21" s="797" t="str">
        <f t="shared" ca="1" si="56"/>
        <v/>
      </c>
      <c r="CS21" s="797" t="str">
        <f t="shared" ca="1" si="57"/>
        <v/>
      </c>
      <c r="CT21" s="797" t="str">
        <f t="shared" ca="1" si="58"/>
        <v/>
      </c>
      <c r="CU21" s="798" t="str">
        <f t="shared" ca="1" si="59"/>
        <v/>
      </c>
      <c r="CV21" s="799" t="str">
        <f t="shared" ca="1" si="60"/>
        <v/>
      </c>
      <c r="CW21" s="799" t="str">
        <f t="shared" ca="1" si="61"/>
        <v/>
      </c>
      <c r="CX21" s="163">
        <f ca="1">IF(BD21,_xll.EURO(CP21,Strike1,AO21,AO21,CV21,CO21,IF(OptControl=4,0,1),0),0)</f>
        <v>0</v>
      </c>
      <c r="CY21" s="163">
        <f ca="1">IF(BD21,_xll.EURO(CP21,Strike1,AO21,AO21,CV21,CO21,IF(OptControl=4,0,1),1)+IF(OR(VolSkewFlag=2,ABS(CQ21)&lt;0.0001),0,IF(CQ21&gt;0,-1,1)*CZ21*100*Strike1/CP21^2*CS21/10%),0)</f>
        <v>0</v>
      </c>
      <c r="CZ21" s="163">
        <f ca="1">IF(BD21,_xll.EURO(CP21,Strike1,AO21,AO21,CV21,CO21,IF(OptControl=4,0,1),3)/100,0)</f>
        <v>0</v>
      </c>
      <c r="DA21" s="163">
        <f ca="1">IF(BD21,_xll.EURO(CP21,Strike1,AO21,AO21,CV21,CO21,IF(OptControl=4,0,1),0)-_xll.EURO(CP21,Strike1,AO21,AO21,CV21,CO21-1,IF(OptControl=4,0,1),0),0)</f>
        <v>0</v>
      </c>
      <c r="DB21" s="163">
        <f ca="1">IF(BD21,_xll.EURO(CP21,Strike2,AO21,AO21,CW21,CO21,IF(OptControl=3,1,0),0),0)</f>
        <v>0</v>
      </c>
      <c r="DC21" s="163">
        <f ca="1">IF(BD21,_xll.EURO(CP21,Strike2,AO21,AO21,CW21,CO21,IF(OptControl=3,1,0),1)+IF(OR(VolSkewFlag=2,ABS(CR21)&lt;0.0001),0,IF(CR21&gt;0,-1,1)*DD21*100*Strike2/CP21^2*CT21/10%),0)</f>
        <v>0</v>
      </c>
      <c r="DD21" s="163">
        <f ca="1">IF(BD21,_xll.EURO(CP21,Strike2,AO21,AO21,CW21,CO21,IF(OptControl=3,1,0),3)/100,0)</f>
        <v>0</v>
      </c>
      <c r="DE21" s="164">
        <f ca="1">IF(BD21,_xll.EURO(CP21,Strike2,AO21,AO21,CW21,CO21,IF(OptControl=3,1,0),0)-_xll.EURO(CP21,Strike2,AO21,AO21,CW21,CO21-1,IF(OptControl=3,1,0),0),0)</f>
        <v>0</v>
      </c>
      <c r="DF21" s="508"/>
      <c r="DG21" s="667">
        <f t="shared" ca="1" si="62"/>
        <v>36586</v>
      </c>
      <c r="DH21" s="475">
        <v>30.05</v>
      </c>
      <c r="DI21" s="665">
        <v>28.978695652173911</v>
      </c>
      <c r="DJ21" s="666">
        <f t="shared" ca="1" si="26"/>
        <v>36586</v>
      </c>
      <c r="DK21" s="475">
        <v>28.76</v>
      </c>
      <c r="DL21" s="665">
        <v>26.816956521739129</v>
      </c>
      <c r="DM21" s="667">
        <f t="shared" ca="1" si="27"/>
        <v>36586</v>
      </c>
      <c r="DN21" s="668">
        <f t="shared" si="28"/>
        <v>28.810000000000002</v>
      </c>
      <c r="DO21" s="667">
        <f t="shared" ca="1" si="63"/>
        <v>36586</v>
      </c>
      <c r="DP21" s="579">
        <f t="shared" si="64"/>
        <v>27.416956521739131</v>
      </c>
      <c r="DQ21" s="821">
        <v>0.6</v>
      </c>
      <c r="DR21" s="666">
        <f t="shared" ca="1" si="29"/>
        <v>36586</v>
      </c>
      <c r="DS21" s="669">
        <v>0.44575000000000004</v>
      </c>
      <c r="DT21" s="606">
        <v>0.36575000000000002</v>
      </c>
      <c r="DU21" s="666">
        <f t="shared" ca="1" si="30"/>
        <v>36586</v>
      </c>
      <c r="DV21" s="669">
        <v>0.44575000000000004</v>
      </c>
      <c r="DW21" s="606">
        <v>0.36575000000000002</v>
      </c>
      <c r="DX21" s="667">
        <f t="shared" ca="1" si="31"/>
        <v>36586</v>
      </c>
      <c r="DY21" s="606">
        <v>0.44575000000000004</v>
      </c>
      <c r="DZ21" s="667">
        <f t="shared" ca="1" si="65"/>
        <v>36586</v>
      </c>
      <c r="EA21" s="606">
        <f t="shared" si="66"/>
        <v>0.36575000000000002</v>
      </c>
      <c r="EB21" s="1"/>
      <c r="EC21" s="118" t="str">
        <f t="shared" ca="1" si="32"/>
        <v/>
      </c>
      <c r="ED21" s="119" t="str">
        <f t="shared" ca="1" si="33"/>
        <v/>
      </c>
      <c r="EE21" s="112" t="str">
        <f t="shared" ca="1" si="34"/>
        <v/>
      </c>
      <c r="EF21" s="120">
        <f ca="1">IF(BD21,_xll.xASN(BR21,Strike1,AO21,ED21,0,BO21,0,BI21,BL21,IF(OptControl=4,0,1),0),0)</f>
        <v>0</v>
      </c>
      <c r="EG21" s="111">
        <f ca="1">IF(BD21,_xll.xASN(BR21,Strike2,AO21,EE21,0,BO21,0,BI21,BL21,IF(OptControl=3,1,0),0),0)</f>
        <v>0</v>
      </c>
      <c r="EI21" s="483" t="str">
        <f>[1]!'CLc2 MTH'</f>
        <v>OCT0</v>
      </c>
      <c r="EJ21" s="484">
        <f t="shared" ref="EJ21:EJ54" si="158">DATEVALUE(CONCATENATE(LEFT(EI21,3),"-",IF(VALUE(RIGHT(EI21,1))=9,"1999",CONCATENATE("200",RIGHT(EI21,1)))))</f>
        <v>36800</v>
      </c>
      <c r="EK21" s="485">
        <f>[1]!'CLc2 NET.CHNG'</f>
        <v>0.26</v>
      </c>
      <c r="EL21" s="486">
        <f t="shared" ref="EL21:EL54" si="159">IF(ISNUMBER(VALUE(EK21)),VALUE(EK21)*100,0)</f>
        <v>26</v>
      </c>
      <c r="EM21" s="1"/>
      <c r="EN21" s="697">
        <v>36526</v>
      </c>
      <c r="EO21" s="698">
        <v>36885</v>
      </c>
      <c r="EP21" s="1"/>
      <c r="EQ21" s="683" t="s">
        <v>125</v>
      </c>
      <c r="ES21" s="498">
        <v>2</v>
      </c>
      <c r="ET21" s="476">
        <f ca="1">BH21/365.25</f>
        <v>0.10677618069815195</v>
      </c>
      <c r="EU21" s="842">
        <f t="shared" ca="1" si="67"/>
        <v>0</v>
      </c>
      <c r="EV21" s="815">
        <f t="shared" ref="EV21:EV52" ca="1" si="160">SQRT(SUM(FK21:ID21)/ET21)</f>
        <v>0.327680269430979</v>
      </c>
      <c r="EW21" s="478" t="str">
        <f t="shared" ref="EW21:EW52" ca="1" si="161">IF(OR(DateStart2&gt;I20,DateEnd2&lt;I19),"",IF(DateStart2&lt;I20,AK19/AI19*AP19*BE19*SwaptionNumOfMonths/$D$33,0)+IF(DateEnd2&gt;I19,AJ20/AI20*AP20*BE20*SwaptionNumOfMonths/$D$33,0))</f>
        <v/>
      </c>
      <c r="EX21" s="477" t="str">
        <f t="shared" ref="EX21:EX52" ca="1" si="162">IF(EW21="","",SQRT(SUM(FK326:ID326)/SwaptionYearsToExp))</f>
        <v/>
      </c>
      <c r="EY21" s="250">
        <v>0</v>
      </c>
      <c r="EZ21" s="605" t="str">
        <f ca="1">IF(OR(EW21="",EW22=""),"",SQRT(SUM(INDEX(FK21:ID21,SwaptionFirstMonthPosition+1):INDEX(FK21:ID21,FJ21))/SUM(INDEX($FK$15:$ID$15,SwaptionFirstMonthPosition+1):INDEX($FK$15:$ID$15,FJ21))))</f>
        <v/>
      </c>
      <c r="FA21" s="581" t="str">
        <f ca="1">IF(OR(EW21="",EW20=""),"",SQRT(SUM(INDEX(FK21:ID21,SwaptionFirstMonthPosition+1):INDEX(FK21:ID21,FJ21-1))/SUM(INDEX($FK$15:$ID$15,SwaptionFirstMonthPosition+1):INDEX($FK$15:$ID$15,FJ21-1))))</f>
        <v/>
      </c>
      <c r="FB21" s="578" t="str">
        <f t="shared" ca="1" si="68"/>
        <v/>
      </c>
      <c r="FC21" s="578" t="str">
        <f t="shared" ca="1" si="69"/>
        <v/>
      </c>
      <c r="FD21" s="579" t="str">
        <f t="shared" ca="1" si="70"/>
        <v/>
      </c>
      <c r="FE21" s="579" t="str">
        <f t="shared" ca="1" si="71"/>
        <v/>
      </c>
      <c r="FF21" s="579" t="str">
        <f t="shared" ca="1" si="72"/>
        <v/>
      </c>
      <c r="FG21" s="580" t="str">
        <f t="shared" ca="1" si="73"/>
        <v/>
      </c>
      <c r="FH21" s="606" t="str">
        <f t="shared" ca="1" si="74"/>
        <v/>
      </c>
      <c r="FI21" s="250"/>
      <c r="FJ21" s="673">
        <v>2</v>
      </c>
      <c r="FK21" s="460">
        <f t="shared" ca="1" si="75"/>
        <v>0</v>
      </c>
      <c r="FL21" s="460">
        <f t="shared" ca="1" si="76"/>
        <v>1.1465023956194387E-2</v>
      </c>
      <c r="FM21" s="460" t="str">
        <f t="shared" si="77"/>
        <v/>
      </c>
      <c r="FN21" s="460" t="str">
        <f t="shared" si="78"/>
        <v/>
      </c>
      <c r="FO21" s="460" t="str">
        <f t="shared" si="79"/>
        <v/>
      </c>
      <c r="FP21" s="460" t="str">
        <f t="shared" si="80"/>
        <v/>
      </c>
      <c r="FQ21" s="460" t="str">
        <f t="shared" si="81"/>
        <v/>
      </c>
      <c r="FR21" s="460" t="str">
        <f t="shared" si="82"/>
        <v/>
      </c>
      <c r="FS21" s="460" t="str">
        <f t="shared" si="83"/>
        <v/>
      </c>
      <c r="FT21" s="460" t="str">
        <f t="shared" si="84"/>
        <v/>
      </c>
      <c r="FU21" s="460" t="str">
        <f t="shared" si="85"/>
        <v/>
      </c>
      <c r="FV21" s="460" t="str">
        <f t="shared" si="86"/>
        <v/>
      </c>
      <c r="FW21" s="460" t="str">
        <f t="shared" si="87"/>
        <v/>
      </c>
      <c r="FX21" s="460" t="str">
        <f t="shared" si="88"/>
        <v/>
      </c>
      <c r="FY21" s="460" t="str">
        <f t="shared" si="89"/>
        <v/>
      </c>
      <c r="FZ21" s="460" t="str">
        <f t="shared" si="90"/>
        <v/>
      </c>
      <c r="GA21" s="460" t="str">
        <f t="shared" si="91"/>
        <v/>
      </c>
      <c r="GB21" s="460" t="str">
        <f t="shared" si="92"/>
        <v/>
      </c>
      <c r="GC21" s="460" t="str">
        <f t="shared" si="93"/>
        <v/>
      </c>
      <c r="GD21" s="460" t="str">
        <f t="shared" si="94"/>
        <v/>
      </c>
      <c r="GE21" s="460" t="str">
        <f t="shared" si="95"/>
        <v/>
      </c>
      <c r="GF21" s="460" t="str">
        <f t="shared" si="96"/>
        <v/>
      </c>
      <c r="GG21" s="460" t="str">
        <f t="shared" si="97"/>
        <v/>
      </c>
      <c r="GH21" s="460" t="str">
        <f t="shared" si="98"/>
        <v/>
      </c>
      <c r="GI21" s="460" t="str">
        <f t="shared" si="99"/>
        <v/>
      </c>
      <c r="GJ21" s="460" t="str">
        <f t="shared" si="100"/>
        <v/>
      </c>
      <c r="GK21" s="460" t="str">
        <f t="shared" si="101"/>
        <v/>
      </c>
      <c r="GL21" s="460" t="str">
        <f t="shared" si="102"/>
        <v/>
      </c>
      <c r="GM21" s="460" t="str">
        <f t="shared" si="103"/>
        <v/>
      </c>
      <c r="GN21" s="460" t="str">
        <f t="shared" si="104"/>
        <v/>
      </c>
      <c r="GO21" s="460" t="str">
        <f t="shared" si="105"/>
        <v/>
      </c>
      <c r="GP21" s="460" t="str">
        <f t="shared" si="106"/>
        <v/>
      </c>
      <c r="GQ21" s="460" t="str">
        <f t="shared" si="107"/>
        <v/>
      </c>
      <c r="GR21" s="460" t="str">
        <f t="shared" si="108"/>
        <v/>
      </c>
      <c r="GS21" s="460" t="str">
        <f t="shared" si="109"/>
        <v/>
      </c>
      <c r="GT21" s="460" t="str">
        <f t="shared" si="110"/>
        <v/>
      </c>
      <c r="GU21" s="460" t="str">
        <f t="shared" si="111"/>
        <v/>
      </c>
      <c r="GV21" s="460" t="str">
        <f t="shared" si="112"/>
        <v/>
      </c>
      <c r="GW21" s="460" t="str">
        <f t="shared" si="113"/>
        <v/>
      </c>
      <c r="GX21" s="460" t="str">
        <f t="shared" si="114"/>
        <v/>
      </c>
      <c r="GY21" s="460" t="str">
        <f t="shared" si="115"/>
        <v/>
      </c>
      <c r="GZ21" s="460" t="str">
        <f t="shared" si="116"/>
        <v/>
      </c>
      <c r="HA21" s="460" t="str">
        <f t="shared" si="117"/>
        <v/>
      </c>
      <c r="HB21" s="460" t="str">
        <f t="shared" si="118"/>
        <v/>
      </c>
      <c r="HC21" s="460" t="str">
        <f t="shared" si="119"/>
        <v/>
      </c>
      <c r="HD21" s="460" t="str">
        <f t="shared" si="120"/>
        <v/>
      </c>
      <c r="HE21" s="460" t="str">
        <f t="shared" si="121"/>
        <v/>
      </c>
      <c r="HF21" s="460" t="str">
        <f t="shared" si="122"/>
        <v/>
      </c>
      <c r="HG21" s="460" t="str">
        <f t="shared" si="123"/>
        <v/>
      </c>
      <c r="HH21" s="460" t="str">
        <f t="shared" si="124"/>
        <v/>
      </c>
      <c r="HI21" s="460" t="str">
        <f t="shared" si="125"/>
        <v/>
      </c>
      <c r="HJ21" s="460" t="str">
        <f t="shared" si="126"/>
        <v/>
      </c>
      <c r="HK21" s="460" t="str">
        <f t="shared" si="127"/>
        <v/>
      </c>
      <c r="HL21" s="460" t="str">
        <f t="shared" si="128"/>
        <v/>
      </c>
      <c r="HM21" s="460" t="str">
        <f t="shared" si="129"/>
        <v/>
      </c>
      <c r="HN21" s="460" t="str">
        <f t="shared" si="130"/>
        <v/>
      </c>
      <c r="HO21" s="460" t="str">
        <f t="shared" si="131"/>
        <v/>
      </c>
      <c r="HP21" s="460" t="str">
        <f t="shared" si="132"/>
        <v/>
      </c>
      <c r="HQ21" s="460" t="str">
        <f t="shared" si="133"/>
        <v/>
      </c>
      <c r="HR21" s="460" t="str">
        <f t="shared" si="134"/>
        <v/>
      </c>
      <c r="HS21" s="460" t="str">
        <f t="shared" si="135"/>
        <v/>
      </c>
      <c r="HT21" s="460" t="str">
        <f t="shared" si="136"/>
        <v/>
      </c>
      <c r="HU21" s="460" t="str">
        <f t="shared" si="137"/>
        <v/>
      </c>
      <c r="HV21" s="460" t="str">
        <f t="shared" si="138"/>
        <v/>
      </c>
      <c r="HW21" s="460" t="str">
        <f t="shared" si="139"/>
        <v/>
      </c>
      <c r="HX21" s="460" t="str">
        <f t="shared" si="140"/>
        <v/>
      </c>
      <c r="HY21" s="460" t="str">
        <f t="shared" si="141"/>
        <v/>
      </c>
      <c r="HZ21" s="460" t="str">
        <f t="shared" si="142"/>
        <v/>
      </c>
      <c r="IA21" s="460" t="str">
        <f t="shared" si="143"/>
        <v/>
      </c>
      <c r="IB21" s="460" t="str">
        <f t="shared" si="144"/>
        <v/>
      </c>
      <c r="IC21" s="460" t="str">
        <f t="shared" si="145"/>
        <v/>
      </c>
      <c r="ID21" s="674" t="str">
        <f t="shared" si="146"/>
        <v/>
      </c>
      <c r="IE21" s="250"/>
    </row>
    <row r="22" spans="1:239" ht="16.5" customHeight="1" thickBot="1">
      <c r="A22" s="611">
        <f t="shared" si="147"/>
        <v>0</v>
      </c>
      <c r="B22" s="89" t="str">
        <f>IF(OptControl&gt;1,"","Fence")</f>
        <v>Fence</v>
      </c>
      <c r="C22" s="538" t="e">
        <f ca="1">IF(OptControl&gt;2,"",C19-C20)</f>
        <v>#DIV/0!</v>
      </c>
      <c r="D22" s="97" t="e">
        <f ca="1">IF(OptControl&gt;2,"",D19-D20)</f>
        <v>#DIV/0!</v>
      </c>
      <c r="E22" s="97" t="e">
        <f ca="1">IF(OptControl&gt;2,"",E19-E20)</f>
        <v>#DIV/0!</v>
      </c>
      <c r="F22" s="704" t="e">
        <f ca="1">IF(OptControl&gt;2,"",F19-F20)</f>
        <v>#DIV/0!</v>
      </c>
      <c r="G22" s="790">
        <f ca="1">AN4</f>
        <v>0</v>
      </c>
      <c r="H22" s="51">
        <f t="shared" ca="1" si="35"/>
        <v>25</v>
      </c>
      <c r="I22" s="379">
        <f t="shared" si="36"/>
        <v>36831</v>
      </c>
      <c r="J22" s="377"/>
      <c r="K22" s="104" t="s">
        <v>488</v>
      </c>
      <c r="L22" s="392">
        <f t="shared" si="37"/>
        <v>0</v>
      </c>
      <c r="M22" s="171"/>
      <c r="N22" s="382">
        <v>0</v>
      </c>
      <c r="O22" s="171">
        <f t="shared" si="38"/>
        <v>0</v>
      </c>
      <c r="P22" s="377"/>
      <c r="Q22" s="103" t="s">
        <v>488</v>
      </c>
      <c r="R22" s="377">
        <f t="shared" ca="1" si="148"/>
        <v>0</v>
      </c>
      <c r="S22" s="381">
        <v>0.39</v>
      </c>
      <c r="T22" s="831">
        <f t="shared" si="149"/>
        <v>0.91034021779792074</v>
      </c>
      <c r="U22" s="545">
        <f t="shared" si="150"/>
        <v>0.99156250000000001</v>
      </c>
      <c r="V22" s="389">
        <v>0</v>
      </c>
      <c r="W22" s="434">
        <f t="shared" si="39"/>
        <v>0</v>
      </c>
      <c r="X22" s="415">
        <f t="shared" si="40"/>
        <v>0</v>
      </c>
      <c r="Y22" s="322">
        <f t="shared" si="41"/>
        <v>0</v>
      </c>
      <c r="Z22" s="322">
        <f t="shared" ca="1" si="42"/>
        <v>0</v>
      </c>
      <c r="AA22" s="429">
        <f t="shared" si="1"/>
        <v>0</v>
      </c>
      <c r="AB22" s="433">
        <f t="shared" ca="1" si="2"/>
        <v>0</v>
      </c>
      <c r="AC22" s="226">
        <v>36819</v>
      </c>
      <c r="AD22" s="227">
        <v>36816</v>
      </c>
      <c r="AE22" s="227">
        <v>36815</v>
      </c>
      <c r="AF22" s="228">
        <v>36810</v>
      </c>
      <c r="AG22" s="249" t="s">
        <v>498</v>
      </c>
      <c r="AH22" s="247" t="s">
        <v>498</v>
      </c>
      <c r="AI22" s="146">
        <v>22</v>
      </c>
      <c r="AJ22" s="41">
        <v>13</v>
      </c>
      <c r="AK22" s="41">
        <v>9</v>
      </c>
      <c r="AL22" s="293">
        <v>22</v>
      </c>
      <c r="AM22" s="41">
        <v>10</v>
      </c>
      <c r="AN22" s="147">
        <v>12</v>
      </c>
      <c r="AO22" s="374"/>
      <c r="AP22" s="153">
        <f t="shared" ca="1" si="43"/>
        <v>1</v>
      </c>
      <c r="AQ22" s="374"/>
      <c r="AR22" s="153">
        <f t="shared" ca="1" si="151"/>
        <v>1</v>
      </c>
      <c r="AS22" s="272">
        <f t="shared" si="3"/>
        <v>0</v>
      </c>
      <c r="AT22" s="157">
        <f t="shared" si="44"/>
        <v>0</v>
      </c>
      <c r="AU22" s="157">
        <f t="shared" si="4"/>
        <v>0</v>
      </c>
      <c r="AV22" s="271">
        <f t="shared" ref="AV22:AV85" ca="1" si="163">SQRT(MAX(0.000000000001,(O22^2*BH22-S22^2*(BH22-BH21))/BH21))</f>
        <v>9.9999999999999995E-7</v>
      </c>
      <c r="AW22" s="158">
        <f t="shared" ca="1" si="5"/>
        <v>1</v>
      </c>
      <c r="AX22" s="157">
        <f t="shared" ca="1" si="152"/>
        <v>1.9040418952209821E-2</v>
      </c>
      <c r="AY22" s="157">
        <f t="shared" ca="1" si="153"/>
        <v>1.4522371928458101E-2</v>
      </c>
      <c r="AZ22" s="157">
        <f t="shared" ca="1" si="154"/>
        <v>9.9312822570963473E-3</v>
      </c>
      <c r="BA22" s="157">
        <f t="shared" ca="1" si="155"/>
        <v>1.9697476552891931E-3</v>
      </c>
      <c r="BB22" s="157">
        <f t="shared" ca="1" si="156"/>
        <v>2.6955679765581267E-3</v>
      </c>
      <c r="BC22" s="157">
        <f t="shared" ca="1" si="157"/>
        <v>3.4204665269331374E-3</v>
      </c>
      <c r="BD22" s="151">
        <f t="shared" ca="1" si="45"/>
        <v>0</v>
      </c>
      <c r="BE22" s="152">
        <f t="shared" ca="1" si="46"/>
        <v>0</v>
      </c>
      <c r="BF22" s="40">
        <f t="shared" si="7"/>
        <v>2000</v>
      </c>
      <c r="BG22" s="144">
        <f t="shared" si="8"/>
        <v>11</v>
      </c>
      <c r="BH22" s="145">
        <f t="shared" ca="1" si="47"/>
        <v>71</v>
      </c>
      <c r="BI22" s="313">
        <f t="shared" ca="1" si="9"/>
        <v>0.23545516769336072</v>
      </c>
      <c r="BJ22" s="42">
        <f t="shared" ca="1" si="10"/>
        <v>0.28237197436376082</v>
      </c>
      <c r="BK22" s="42">
        <f t="shared" ca="1" si="11"/>
        <v>0.28510982515089295</v>
      </c>
      <c r="BL22" s="42">
        <f t="shared" ca="1" si="12"/>
        <v>0.31485284052019163</v>
      </c>
      <c r="BM22" s="150" t="e">
        <f t="shared" ca="1" si="13"/>
        <v>#DIV/0!</v>
      </c>
      <c r="BN22" s="42" t="e">
        <f t="shared" ca="1" si="14"/>
        <v>#DIV/0!</v>
      </c>
      <c r="BO22" s="293">
        <f t="shared" si="48"/>
        <v>22</v>
      </c>
      <c r="BP22" s="41">
        <f t="shared" si="49"/>
        <v>13</v>
      </c>
      <c r="BQ22" s="41">
        <f t="shared" si="50"/>
        <v>9</v>
      </c>
      <c r="BR22" s="305" t="str">
        <f t="shared" ca="1" si="15"/>
        <v/>
      </c>
      <c r="BS22" s="305" t="str">
        <f t="shared" ca="1" si="16"/>
        <v/>
      </c>
      <c r="BT22" s="307" t="str">
        <f t="shared" ca="1" si="17"/>
        <v/>
      </c>
      <c r="BU22" s="161" t="str">
        <f t="shared" ca="1" si="18"/>
        <v/>
      </c>
      <c r="BV22" s="161" t="str">
        <f t="shared" ca="1" si="19"/>
        <v/>
      </c>
      <c r="BW22" s="308" t="str">
        <f t="shared" ca="1" si="20"/>
        <v/>
      </c>
      <c r="BX22" s="309" t="str">
        <f t="shared" ca="1" si="21"/>
        <v/>
      </c>
      <c r="BY22" s="308" t="str">
        <f t="shared" ca="1" si="51"/>
        <v/>
      </c>
      <c r="BZ22" s="309" t="str">
        <f t="shared" ca="1" si="52"/>
        <v/>
      </c>
      <c r="CA22" s="154" t="str">
        <f t="shared" ca="1" si="22"/>
        <v/>
      </c>
      <c r="CB22" s="154" t="str">
        <f t="shared" ca="1" si="23"/>
        <v/>
      </c>
      <c r="CC22" s="154" t="str">
        <f t="shared" ca="1" si="24"/>
        <v/>
      </c>
      <c r="CD22" s="154" t="str">
        <f t="shared" ca="1" si="25"/>
        <v/>
      </c>
      <c r="CE22" s="310">
        <v>1</v>
      </c>
      <c r="CF22" s="162">
        <f ca="1">IF(BD22,_xll.xCrudeAPO(BU22,BV22,CA22,CB22,S23,S24,BI22,BL22,BP22,BQ22,0,Strike1,AO22,CE22,0,BL22,IF(OptControl=4,0,1),0,1),0)</f>
        <v>0</v>
      </c>
      <c r="CG22" s="163">
        <f ca="1">IF(BD22,_xll.xCrudeAPO(BU22,BV22,CA22,CB22,S23,S24,BI22,BL22,BP22,BQ22,0,Strike1,AO22,CE22,0,BL22,IF(OptControl=4,0,1),1,1)+_xll.xCrudeAPO(BU22,BV22,CA22,CB22,S23,S24,BI22,BL22,BP22,BQ22,0,Strike1,AO22,CE22,0,BL22,IF(OptControl=4,0,1),1,2)+IF(OR(VolSkewFlag=2,ABS(BS22)&lt;0.0001),0,IF(BS22&gt;0,-1,1)*CH22*Strike1/BR22^2*BY22/10%),0)</f>
        <v>0</v>
      </c>
      <c r="CH22" s="163">
        <f ca="1">IF(BD22,(_xll.xCrudeAPO(BU22,BV22,CA22,CB22,S23,S24,BI22,BL22,BP22,BQ22,0,Strike1,AO22,CE22,0,BL22,IF(OptControl=4,0,1),3,1)+_xll.xCrudeAPO(BU22,BV22,CA22,CB22,S23,S24,BI22,BL22,BP22,BQ22,0,Strike1,AO22,CE22,0,BL22,IF(OptControl=4,0,1),3,2))/100,0)</f>
        <v>0</v>
      </c>
      <c r="CI22" s="163">
        <f ca="1">IF(BD22,_xll.xCrudeAPO(BU22,BV22,CA22,CB22,S23,S24,BI22-DaysForThetaCalculation/365.25,BL22-DaysForThetaCalculation/365.25,BP22,BQ22,0,Strike1,AO22,CE22,0,BL22,IF(OptControl=4,0,1),0,1)-_xll.xCrudeAPO(BU22,BV22,CA22,CB22,S23,S24,BI22,BL22,BP22,BQ22,0,Strike1,AO22,CE22,0,BL22,IF(OptControl=4,0,1),0,1),0)</f>
        <v>0</v>
      </c>
      <c r="CJ22" s="311">
        <f ca="1">IF(BD22,_xll.xCrudeAPO(BU22,BV22,CC22,CD22,S23,S24,BI22,BL22,BP22,BQ22,0,Strike2,AO22,CE22,0,BL22,IF(OptControl=3,1,0),0,1),0)</f>
        <v>0</v>
      </c>
      <c r="CK22" s="163">
        <f ca="1">IF(BD22,_xll.xCrudeAPO(BU22,BV22,CC22,CD22,S23,S24,BI22,BL22,BP22,BQ22,0,Strike2,AO22,CE22,0,BL22,IF(OptControl=3,1,0),1,1)+_xll.xCrudeAPO(BU22,BV22,CC22,CD22,S23,S24,BI22,BL22,BP22,BQ22,0,Strike2,AO22,CE22,0,BL22,IF(OptControl=3,1,0),1,2)+IF(OR(VolSkewFlag=2,ABS(BT22)&lt;0.0001),0,IF(BT22&gt;0,-1,1)*CL22*Strike2/BR22^2*BZ22/10%),0)</f>
        <v>0</v>
      </c>
      <c r="CL22" s="163">
        <f ca="1">IF(BD22,(_xll.xCrudeAPO(BU22,BV22,CC22,CD22,S23,S24,BI22,BL22,BP22,BQ22,0,Strike2,AO22,CE22,0,BL22,IF(OptControl=3,1,0),3,1)+_xll.xCrudeAPO(BU22,BV22,CC22,CD22,S23,S24,BI22,BL22,BP22,BQ22,0,Strike2,AO22,CE22,0,BL22,IF(OptControl=3,1,0),3,2))/100,0)</f>
        <v>0</v>
      </c>
      <c r="CM22" s="164">
        <f ca="1">IF(BD22,_xll.xCrudeAPO(BU22,BV22,CC22,CD22,S23,S24,BI22-DaysForThetaCalculation/365.25,BL22-DaysForThetaCalculation/365.25,BP22,BQ22,0,Strike2,AO22,CE22,0,BL22,IF(OptControl=3,1,0),0,1)-_xll.xCrudeAPO(BU22,BV22,CC22,CD22,S23,S24,BI22,BL22,BP22,BQ22,0,Strike2,AO22,CE22,0,BL22,IF(OptControl=3,1,0),0,1),0)</f>
        <v>0</v>
      </c>
      <c r="CN22" s="508"/>
      <c r="CO22" s="796" t="str">
        <f t="shared" ca="1" si="53"/>
        <v/>
      </c>
      <c r="CP22" s="800" t="str">
        <f t="shared" ca="1" si="54"/>
        <v/>
      </c>
      <c r="CQ22" s="797" t="str">
        <f t="shared" ca="1" si="55"/>
        <v/>
      </c>
      <c r="CR22" s="797" t="str">
        <f t="shared" ca="1" si="56"/>
        <v/>
      </c>
      <c r="CS22" s="797" t="str">
        <f t="shared" ca="1" si="57"/>
        <v/>
      </c>
      <c r="CT22" s="797" t="str">
        <f t="shared" ca="1" si="58"/>
        <v/>
      </c>
      <c r="CU22" s="798" t="str">
        <f t="shared" ca="1" si="59"/>
        <v/>
      </c>
      <c r="CV22" s="799" t="str">
        <f t="shared" ca="1" si="60"/>
        <v/>
      </c>
      <c r="CW22" s="799" t="str">
        <f t="shared" ca="1" si="61"/>
        <v/>
      </c>
      <c r="CX22" s="163">
        <f ca="1">IF(BD22,_xll.EURO(CP22,Strike1,AO22,AO22,CV22,CO22,IF(OptControl=4,0,1),0),0)</f>
        <v>0</v>
      </c>
      <c r="CY22" s="163">
        <f ca="1">IF(BD22,_xll.EURO(CP22,Strike1,AO22,AO22,CV22,CO22,IF(OptControl=4,0,1),1)+IF(OR(VolSkewFlag=2,ABS(CQ22)&lt;0.0001),0,IF(CQ22&gt;0,-1,1)*CZ22*100*Strike1/CP22^2*CS22/10%),0)</f>
        <v>0</v>
      </c>
      <c r="CZ22" s="163">
        <f ca="1">IF(BD22,_xll.EURO(CP22,Strike1,AO22,AO22,CV22,CO22,IF(OptControl=4,0,1),3)/100,0)</f>
        <v>0</v>
      </c>
      <c r="DA22" s="163">
        <f ca="1">IF(BD22,_xll.EURO(CP22,Strike1,AO22,AO22,CV22,CO22,IF(OptControl=4,0,1),0)-_xll.EURO(CP22,Strike1,AO22,AO22,CV22,CO22-1,IF(OptControl=4,0,1),0),0)</f>
        <v>0</v>
      </c>
      <c r="DB22" s="163">
        <f ca="1">IF(BD22,_xll.EURO(CP22,Strike2,AO22,AO22,CW22,CO22,IF(OptControl=3,1,0),0),0)</f>
        <v>0</v>
      </c>
      <c r="DC22" s="163">
        <f ca="1">IF(BD22,_xll.EURO(CP22,Strike2,AO22,AO22,CW22,CO22,IF(OptControl=3,1,0),1)+IF(OR(VolSkewFlag=2,ABS(CR22)&lt;0.0001),0,IF(CR22&gt;0,-1,1)*DD22*100*Strike2/CP22^2*CT22/10%),0)</f>
        <v>0</v>
      </c>
      <c r="DD22" s="163">
        <f ca="1">IF(BD22,_xll.EURO(CP22,Strike2,AO22,AO22,CW22,CO22,IF(OptControl=3,1,0),3)/100,0)</f>
        <v>0</v>
      </c>
      <c r="DE22" s="164">
        <f ca="1">IF(BD22,_xll.EURO(CP22,Strike2,AO22,AO22,CW22,CO22,IF(OptControl=3,1,0),0)-_xll.EURO(CP22,Strike2,AO22,AO22,CW22,CO22-1,IF(OptControl=3,1,0),0),0)</f>
        <v>0</v>
      </c>
      <c r="DF22" s="508"/>
      <c r="DG22" s="667">
        <f t="shared" ca="1" si="62"/>
        <v>36617</v>
      </c>
      <c r="DH22" s="475">
        <v>29.33</v>
      </c>
      <c r="DI22" s="665">
        <v>28.045263157894738</v>
      </c>
      <c r="DJ22" s="666">
        <f t="shared" ca="1" si="26"/>
        <v>36617</v>
      </c>
      <c r="DK22" s="475">
        <v>27.37</v>
      </c>
      <c r="DL22" s="665">
        <v>25.782</v>
      </c>
      <c r="DM22" s="667">
        <f t="shared" ca="1" si="27"/>
        <v>36617</v>
      </c>
      <c r="DN22" s="668">
        <f t="shared" si="28"/>
        <v>27.42</v>
      </c>
      <c r="DO22" s="667">
        <f t="shared" ca="1" si="63"/>
        <v>36617</v>
      </c>
      <c r="DP22" s="579">
        <f t="shared" si="64"/>
        <v>25.457000000000001</v>
      </c>
      <c r="DQ22" s="821">
        <v>-0.32500000000000001</v>
      </c>
      <c r="DR22" s="666">
        <f t="shared" ca="1" si="29"/>
        <v>36617</v>
      </c>
      <c r="DS22" s="669">
        <v>0.37295</v>
      </c>
      <c r="DT22" s="606">
        <v>0.34501842105263164</v>
      </c>
      <c r="DU22" s="666">
        <f t="shared" ca="1" si="30"/>
        <v>36617</v>
      </c>
      <c r="DV22" s="669">
        <v>0.37295</v>
      </c>
      <c r="DW22" s="606">
        <v>0.34501842105263164</v>
      </c>
      <c r="DX22" s="667">
        <f t="shared" ca="1" si="31"/>
        <v>36617</v>
      </c>
      <c r="DY22" s="606">
        <v>0.38</v>
      </c>
      <c r="DZ22" s="667">
        <f t="shared" ca="1" si="65"/>
        <v>36617</v>
      </c>
      <c r="EA22" s="606">
        <f t="shared" si="66"/>
        <v>0.34501842105263164</v>
      </c>
      <c r="EB22" s="1"/>
      <c r="EC22" s="118" t="str">
        <f t="shared" ca="1" si="32"/>
        <v/>
      </c>
      <c r="ED22" s="119" t="str">
        <f t="shared" ca="1" si="33"/>
        <v/>
      </c>
      <c r="EE22" s="112" t="str">
        <f t="shared" ca="1" si="34"/>
        <v/>
      </c>
      <c r="EF22" s="120">
        <f ca="1">IF(BD22,_xll.xASN(BR22,Strike1,AO22,ED22,0,BO22,0,BI22,BL22,IF(OptControl=4,0,1),0),0)</f>
        <v>0</v>
      </c>
      <c r="EG22" s="111">
        <f ca="1">IF(BD22,_xll.xASN(BR22,Strike2,AO22,EE22,0,BO22,0,BI22,BL22,IF(OptControl=3,1,0),0),0)</f>
        <v>0</v>
      </c>
      <c r="EI22" s="483" t="str">
        <f>[1]!'CLc3 MTH'</f>
        <v>NOV0</v>
      </c>
      <c r="EJ22" s="484">
        <f t="shared" si="158"/>
        <v>36831</v>
      </c>
      <c r="EK22" s="485">
        <f>[1]!'CLc3 NET.CHNG'</f>
        <v>0.25</v>
      </c>
      <c r="EL22" s="486">
        <f t="shared" si="159"/>
        <v>25</v>
      </c>
      <c r="EM22" s="1"/>
      <c r="EN22" s="697">
        <v>36528</v>
      </c>
      <c r="EO22" s="698">
        <v>36892</v>
      </c>
      <c r="EP22" s="1"/>
      <c r="EQ22" s="683" t="s">
        <v>126</v>
      </c>
      <c r="ES22" s="498">
        <v>3</v>
      </c>
      <c r="ET22" s="476">
        <f ca="1">BH22/365.25</f>
        <v>0.19438740588637921</v>
      </c>
      <c r="EU22" s="842">
        <f t="shared" ca="1" si="67"/>
        <v>0</v>
      </c>
      <c r="EV22" s="815">
        <f t="shared" ca="1" si="160"/>
        <v>0.33805641995489755</v>
      </c>
      <c r="EW22" s="478" t="str">
        <f t="shared" ca="1" si="161"/>
        <v/>
      </c>
      <c r="EX22" s="477" t="str">
        <f t="shared" ca="1" si="162"/>
        <v/>
      </c>
      <c r="EY22" s="250">
        <v>0</v>
      </c>
      <c r="EZ22" s="605" t="str">
        <f ca="1">IF(OR(EW22="",EW23=""),"",SQRT(SUM(INDEX(FK22:ID22,SwaptionFirstMonthPosition+1):INDEX(FK22:ID22,FJ22))/SUM(INDEX($FK$15:$ID$15,SwaptionFirstMonthPosition+1):INDEX($FK$15:$ID$15,FJ22))))</f>
        <v/>
      </c>
      <c r="FA22" s="581" t="str">
        <f ca="1">IF(OR(EW22="",EW21=""),"",SQRT(SUM(INDEX(FK22:ID22,SwaptionFirstMonthPosition+1):INDEX(FK22:ID22,FJ22-1))/SUM(INDEX($FK$15:$ID$15,SwaptionFirstMonthPosition+1):INDEX($FK$15:$ID$15,FJ22-1))))</f>
        <v/>
      </c>
      <c r="FB22" s="578" t="str">
        <f t="shared" ca="1" si="68"/>
        <v/>
      </c>
      <c r="FC22" s="609" t="str">
        <f t="shared" ca="1" si="69"/>
        <v/>
      </c>
      <c r="FD22" s="579" t="str">
        <f t="shared" ca="1" si="70"/>
        <v/>
      </c>
      <c r="FE22" s="579" t="str">
        <f t="shared" ca="1" si="71"/>
        <v/>
      </c>
      <c r="FF22" s="579" t="str">
        <f t="shared" ca="1" si="72"/>
        <v/>
      </c>
      <c r="FG22" s="580" t="str">
        <f t="shared" ca="1" si="73"/>
        <v/>
      </c>
      <c r="FH22" s="606" t="str">
        <f t="shared" ca="1" si="74"/>
        <v/>
      </c>
      <c r="FI22" s="250"/>
      <c r="FJ22" s="673">
        <v>3</v>
      </c>
      <c r="FK22" s="460">
        <f t="shared" ca="1" si="75"/>
        <v>0</v>
      </c>
      <c r="FL22" s="460">
        <f t="shared" ca="1" si="76"/>
        <v>8.8893419799131127E-3</v>
      </c>
      <c r="FM22" s="460">
        <f t="shared" ca="1" si="77"/>
        <v>1.3325667351129366E-2</v>
      </c>
      <c r="FN22" s="460" t="str">
        <f t="shared" si="78"/>
        <v/>
      </c>
      <c r="FO22" s="460" t="str">
        <f t="shared" si="79"/>
        <v/>
      </c>
      <c r="FP22" s="460" t="str">
        <f t="shared" si="80"/>
        <v/>
      </c>
      <c r="FQ22" s="460" t="str">
        <f t="shared" si="81"/>
        <v/>
      </c>
      <c r="FR22" s="460" t="str">
        <f t="shared" si="82"/>
        <v/>
      </c>
      <c r="FS22" s="460" t="str">
        <f t="shared" si="83"/>
        <v/>
      </c>
      <c r="FT22" s="460" t="str">
        <f t="shared" si="84"/>
        <v/>
      </c>
      <c r="FU22" s="460" t="str">
        <f t="shared" si="85"/>
        <v/>
      </c>
      <c r="FV22" s="460" t="str">
        <f t="shared" si="86"/>
        <v/>
      </c>
      <c r="FW22" s="460" t="str">
        <f t="shared" si="87"/>
        <v/>
      </c>
      <c r="FX22" s="460" t="str">
        <f t="shared" si="88"/>
        <v/>
      </c>
      <c r="FY22" s="460" t="str">
        <f t="shared" si="89"/>
        <v/>
      </c>
      <c r="FZ22" s="460" t="str">
        <f t="shared" si="90"/>
        <v/>
      </c>
      <c r="GA22" s="460" t="str">
        <f t="shared" si="91"/>
        <v/>
      </c>
      <c r="GB22" s="460" t="str">
        <f t="shared" si="92"/>
        <v/>
      </c>
      <c r="GC22" s="460" t="str">
        <f t="shared" si="93"/>
        <v/>
      </c>
      <c r="GD22" s="460" t="str">
        <f t="shared" si="94"/>
        <v/>
      </c>
      <c r="GE22" s="460" t="str">
        <f t="shared" si="95"/>
        <v/>
      </c>
      <c r="GF22" s="460" t="str">
        <f t="shared" si="96"/>
        <v/>
      </c>
      <c r="GG22" s="460" t="str">
        <f t="shared" si="97"/>
        <v/>
      </c>
      <c r="GH22" s="460" t="str">
        <f t="shared" si="98"/>
        <v/>
      </c>
      <c r="GI22" s="460" t="str">
        <f t="shared" si="99"/>
        <v/>
      </c>
      <c r="GJ22" s="460" t="str">
        <f t="shared" si="100"/>
        <v/>
      </c>
      <c r="GK22" s="460" t="str">
        <f t="shared" si="101"/>
        <v/>
      </c>
      <c r="GL22" s="460" t="str">
        <f t="shared" si="102"/>
        <v/>
      </c>
      <c r="GM22" s="460" t="str">
        <f t="shared" si="103"/>
        <v/>
      </c>
      <c r="GN22" s="460" t="str">
        <f t="shared" si="104"/>
        <v/>
      </c>
      <c r="GO22" s="460" t="str">
        <f t="shared" si="105"/>
        <v/>
      </c>
      <c r="GP22" s="460" t="str">
        <f t="shared" si="106"/>
        <v/>
      </c>
      <c r="GQ22" s="460" t="str">
        <f t="shared" si="107"/>
        <v/>
      </c>
      <c r="GR22" s="460" t="str">
        <f t="shared" si="108"/>
        <v/>
      </c>
      <c r="GS22" s="460" t="str">
        <f t="shared" si="109"/>
        <v/>
      </c>
      <c r="GT22" s="460" t="str">
        <f t="shared" si="110"/>
        <v/>
      </c>
      <c r="GU22" s="460" t="str">
        <f t="shared" si="111"/>
        <v/>
      </c>
      <c r="GV22" s="460" t="str">
        <f t="shared" si="112"/>
        <v/>
      </c>
      <c r="GW22" s="460" t="str">
        <f t="shared" si="113"/>
        <v/>
      </c>
      <c r="GX22" s="460" t="str">
        <f t="shared" si="114"/>
        <v/>
      </c>
      <c r="GY22" s="460" t="str">
        <f t="shared" si="115"/>
        <v/>
      </c>
      <c r="GZ22" s="460" t="str">
        <f t="shared" si="116"/>
        <v/>
      </c>
      <c r="HA22" s="460" t="str">
        <f t="shared" si="117"/>
        <v/>
      </c>
      <c r="HB22" s="460" t="str">
        <f t="shared" si="118"/>
        <v/>
      </c>
      <c r="HC22" s="460" t="str">
        <f t="shared" si="119"/>
        <v/>
      </c>
      <c r="HD22" s="460" t="str">
        <f t="shared" si="120"/>
        <v/>
      </c>
      <c r="HE22" s="460" t="str">
        <f t="shared" si="121"/>
        <v/>
      </c>
      <c r="HF22" s="460" t="str">
        <f t="shared" si="122"/>
        <v/>
      </c>
      <c r="HG22" s="460" t="str">
        <f t="shared" si="123"/>
        <v/>
      </c>
      <c r="HH22" s="460" t="str">
        <f t="shared" si="124"/>
        <v/>
      </c>
      <c r="HI22" s="460" t="str">
        <f t="shared" si="125"/>
        <v/>
      </c>
      <c r="HJ22" s="460" t="str">
        <f t="shared" si="126"/>
        <v/>
      </c>
      <c r="HK22" s="460" t="str">
        <f t="shared" si="127"/>
        <v/>
      </c>
      <c r="HL22" s="460" t="str">
        <f t="shared" si="128"/>
        <v/>
      </c>
      <c r="HM22" s="460" t="str">
        <f t="shared" si="129"/>
        <v/>
      </c>
      <c r="HN22" s="460" t="str">
        <f t="shared" si="130"/>
        <v/>
      </c>
      <c r="HO22" s="460" t="str">
        <f t="shared" si="131"/>
        <v/>
      </c>
      <c r="HP22" s="460" t="str">
        <f t="shared" si="132"/>
        <v/>
      </c>
      <c r="HQ22" s="460" t="str">
        <f t="shared" si="133"/>
        <v/>
      </c>
      <c r="HR22" s="460" t="str">
        <f t="shared" si="134"/>
        <v/>
      </c>
      <c r="HS22" s="460" t="str">
        <f t="shared" si="135"/>
        <v/>
      </c>
      <c r="HT22" s="460" t="str">
        <f t="shared" si="136"/>
        <v/>
      </c>
      <c r="HU22" s="460" t="str">
        <f t="shared" si="137"/>
        <v/>
      </c>
      <c r="HV22" s="460" t="str">
        <f t="shared" si="138"/>
        <v/>
      </c>
      <c r="HW22" s="460" t="str">
        <f t="shared" si="139"/>
        <v/>
      </c>
      <c r="HX22" s="460" t="str">
        <f t="shared" si="140"/>
        <v/>
      </c>
      <c r="HY22" s="460" t="str">
        <f t="shared" si="141"/>
        <v/>
      </c>
      <c r="HZ22" s="460" t="str">
        <f t="shared" si="142"/>
        <v/>
      </c>
      <c r="IA22" s="460" t="str">
        <f t="shared" si="143"/>
        <v/>
      </c>
      <c r="IB22" s="460" t="str">
        <f t="shared" si="144"/>
        <v/>
      </c>
      <c r="IC22" s="460" t="str">
        <f t="shared" si="145"/>
        <v/>
      </c>
      <c r="ID22" s="674" t="str">
        <f t="shared" si="146"/>
        <v/>
      </c>
      <c r="IE22" s="250"/>
    </row>
    <row r="23" spans="1:239" ht="15" customHeight="1" thickBot="1">
      <c r="A23" s="611">
        <f t="shared" si="147"/>
        <v>0</v>
      </c>
      <c r="B23" s="56" t="s">
        <v>158</v>
      </c>
      <c r="C23" s="101"/>
      <c r="D23" s="101"/>
      <c r="E23" s="101"/>
      <c r="F23" s="101"/>
      <c r="G23" s="101"/>
      <c r="H23" s="51">
        <f t="shared" ca="1" si="35"/>
        <v>26</v>
      </c>
      <c r="I23" s="379">
        <f t="shared" si="36"/>
        <v>36861</v>
      </c>
      <c r="J23" s="377"/>
      <c r="K23" s="104" t="s">
        <v>488</v>
      </c>
      <c r="L23" s="392">
        <f t="shared" si="37"/>
        <v>0</v>
      </c>
      <c r="M23" s="171"/>
      <c r="N23" s="382">
        <v>0</v>
      </c>
      <c r="O23" s="171">
        <f t="shared" si="38"/>
        <v>0</v>
      </c>
      <c r="P23" s="377"/>
      <c r="Q23" s="103" t="s">
        <v>488</v>
      </c>
      <c r="R23" s="377">
        <f t="shared" ca="1" si="148"/>
        <v>0</v>
      </c>
      <c r="S23" s="832">
        <f t="shared" ref="S23:S95" si="164">S$19+(S22-S$19)*S$18</f>
        <v>0.38250000000000001</v>
      </c>
      <c r="T23" s="831">
        <f t="shared" si="149"/>
        <v>0.92419952393885207</v>
      </c>
      <c r="U23" s="545">
        <f t="shared" si="150"/>
        <v>0.99367187499999998</v>
      </c>
      <c r="V23" s="389">
        <v>0</v>
      </c>
      <c r="W23" s="434">
        <f t="shared" si="39"/>
        <v>0</v>
      </c>
      <c r="X23" s="415">
        <f t="shared" si="40"/>
        <v>0</v>
      </c>
      <c r="Y23" s="322">
        <f t="shared" si="41"/>
        <v>0</v>
      </c>
      <c r="Z23" s="322">
        <f t="shared" ca="1" si="42"/>
        <v>0</v>
      </c>
      <c r="AA23" s="429">
        <f t="shared" si="1"/>
        <v>0</v>
      </c>
      <c r="AB23" s="433">
        <f t="shared" ca="1" si="2"/>
        <v>0</v>
      </c>
      <c r="AC23" s="226">
        <v>36847</v>
      </c>
      <c r="AD23" s="227">
        <v>36844</v>
      </c>
      <c r="AE23" s="227">
        <v>36845</v>
      </c>
      <c r="AF23" s="228">
        <v>36840</v>
      </c>
      <c r="AG23" s="249" t="s">
        <v>497</v>
      </c>
      <c r="AH23" s="247" t="s">
        <v>497</v>
      </c>
      <c r="AI23" s="146">
        <v>20</v>
      </c>
      <c r="AJ23" s="41">
        <v>13</v>
      </c>
      <c r="AK23" s="41">
        <v>7</v>
      </c>
      <c r="AL23" s="293">
        <v>20</v>
      </c>
      <c r="AM23" s="41">
        <v>9</v>
      </c>
      <c r="AN23" s="147">
        <v>11</v>
      </c>
      <c r="AO23" s="374"/>
      <c r="AP23" s="153">
        <f t="shared" ca="1" si="43"/>
        <v>1</v>
      </c>
      <c r="AQ23" s="374"/>
      <c r="AR23" s="153">
        <f t="shared" ca="1" si="151"/>
        <v>1</v>
      </c>
      <c r="AS23" s="272">
        <f t="shared" si="3"/>
        <v>0</v>
      </c>
      <c r="AT23" s="157">
        <f t="shared" si="44"/>
        <v>0</v>
      </c>
      <c r="AU23" s="157">
        <f t="shared" si="4"/>
        <v>0</v>
      </c>
      <c r="AV23" s="271">
        <f t="shared" ca="1" si="163"/>
        <v>9.9999999999999995E-7</v>
      </c>
      <c r="AW23" s="158">
        <f t="shared" ca="1" si="5"/>
        <v>1</v>
      </c>
      <c r="AX23" s="157">
        <f t="shared" ca="1" si="152"/>
        <v>1.8643395035723161E-2</v>
      </c>
      <c r="AY23" s="157">
        <f t="shared" ca="1" si="153"/>
        <v>1.3931639535765233E-2</v>
      </c>
      <c r="AZ23" s="157">
        <f t="shared" ca="1" si="154"/>
        <v>9.1577139404266528E-3</v>
      </c>
      <c r="BA23" s="157">
        <f t="shared" ca="1" si="155"/>
        <v>1.7784466522450322E-3</v>
      </c>
      <c r="BB23" s="157">
        <f t="shared" ca="1" si="156"/>
        <v>2.4101422641752321E-3</v>
      </c>
      <c r="BC23" s="157">
        <f t="shared" ca="1" si="157"/>
        <v>3.0411009977867011E-3</v>
      </c>
      <c r="BD23" s="151">
        <f t="shared" ca="1" si="45"/>
        <v>0</v>
      </c>
      <c r="BE23" s="152">
        <f t="shared" ca="1" si="46"/>
        <v>0</v>
      </c>
      <c r="BF23" s="40">
        <f t="shared" si="7"/>
        <v>2000</v>
      </c>
      <c r="BG23" s="144">
        <f t="shared" si="8"/>
        <v>12</v>
      </c>
      <c r="BH23" s="145">
        <f t="shared" ca="1" si="47"/>
        <v>99</v>
      </c>
      <c r="BI23" s="313">
        <f t="shared" ca="1" si="9"/>
        <v>0.31759069130732376</v>
      </c>
      <c r="BJ23" s="42">
        <f t="shared" ca="1" si="10"/>
        <v>0.37097878165639975</v>
      </c>
      <c r="BK23" s="42">
        <f t="shared" ca="1" si="11"/>
        <v>0.37371663244353187</v>
      </c>
      <c r="BL23" s="42">
        <f t="shared" ca="1" si="12"/>
        <v>0.39972621492128679</v>
      </c>
      <c r="BM23" s="150" t="e">
        <f t="shared" ca="1" si="13"/>
        <v>#DIV/0!</v>
      </c>
      <c r="BN23" s="42" t="e">
        <f t="shared" ca="1" si="14"/>
        <v>#DIV/0!</v>
      </c>
      <c r="BO23" s="293">
        <f t="shared" si="48"/>
        <v>20</v>
      </c>
      <c r="BP23" s="41">
        <f t="shared" si="49"/>
        <v>13</v>
      </c>
      <c r="BQ23" s="41">
        <f t="shared" si="50"/>
        <v>7</v>
      </c>
      <c r="BR23" s="305" t="str">
        <f t="shared" ca="1" si="15"/>
        <v/>
      </c>
      <c r="BS23" s="305" t="str">
        <f t="shared" ca="1" si="16"/>
        <v/>
      </c>
      <c r="BT23" s="307" t="str">
        <f t="shared" ca="1" si="17"/>
        <v/>
      </c>
      <c r="BU23" s="161" t="str">
        <f t="shared" ca="1" si="18"/>
        <v/>
      </c>
      <c r="BV23" s="161" t="str">
        <f t="shared" ca="1" si="19"/>
        <v/>
      </c>
      <c r="BW23" s="308" t="str">
        <f t="shared" ca="1" si="20"/>
        <v/>
      </c>
      <c r="BX23" s="309" t="str">
        <f t="shared" ca="1" si="21"/>
        <v/>
      </c>
      <c r="BY23" s="308" t="str">
        <f t="shared" ca="1" si="51"/>
        <v/>
      </c>
      <c r="BZ23" s="309" t="str">
        <f t="shared" ca="1" si="52"/>
        <v/>
      </c>
      <c r="CA23" s="154" t="str">
        <f t="shared" ca="1" si="22"/>
        <v/>
      </c>
      <c r="CB23" s="154" t="str">
        <f t="shared" ca="1" si="23"/>
        <v/>
      </c>
      <c r="CC23" s="154" t="str">
        <f t="shared" ca="1" si="24"/>
        <v/>
      </c>
      <c r="CD23" s="154" t="str">
        <f t="shared" ca="1" si="25"/>
        <v/>
      </c>
      <c r="CE23" s="310">
        <v>1</v>
      </c>
      <c r="CF23" s="162">
        <f ca="1">IF(BD23,_xll.xCrudeAPO(BU23,BV23,CA23,CB23,S24,S25,BI23,BL23,BP23,BQ23,0,Strike1,AO23,CE23,0,BL23,IF(OptControl=4,0,1),0,1),0)</f>
        <v>0</v>
      </c>
      <c r="CG23" s="163">
        <f ca="1">IF(BD23,_xll.xCrudeAPO(BU23,BV23,CA23,CB23,S24,S25,BI23,BL23,BP23,BQ23,0,Strike1,AO23,CE23,0,BL23,IF(OptControl=4,0,1),1,1)+_xll.xCrudeAPO(BU23,BV23,CA23,CB23,S24,S25,BI23,BL23,BP23,BQ23,0,Strike1,AO23,CE23,0,BL23,IF(OptControl=4,0,1),1,2)+IF(OR(VolSkewFlag=2,ABS(BS23)&lt;0.0001),0,IF(BS23&gt;0,-1,1)*CH23*Strike1/BR23^2*BY23/10%),0)</f>
        <v>0</v>
      </c>
      <c r="CH23" s="163">
        <f ca="1">IF(BD23,(_xll.xCrudeAPO(BU23,BV23,CA23,CB23,S24,S25,BI23,BL23,BP23,BQ23,0,Strike1,AO23,CE23,0,BL23,IF(OptControl=4,0,1),3,1)+_xll.xCrudeAPO(BU23,BV23,CA23,CB23,S24,S25,BI23,BL23,BP23,BQ23,0,Strike1,AO23,CE23,0,BL23,IF(OptControl=4,0,1),3,2))/100,0)</f>
        <v>0</v>
      </c>
      <c r="CI23" s="163">
        <f ca="1">IF(BD23,_xll.xCrudeAPO(BU23,BV23,CA23,CB23,S24,S25,BI23-DaysForThetaCalculation/365.25,BL23-DaysForThetaCalculation/365.25,BP23,BQ23,0,Strike1,AO23,CE23,0,BL23,IF(OptControl=4,0,1),0,1)-_xll.xCrudeAPO(BU23,BV23,CA23,CB23,S24,S25,BI23,BL23,BP23,BQ23,0,Strike1,AO23,CE23,0,BL23,IF(OptControl=4,0,1),0,1),0)</f>
        <v>0</v>
      </c>
      <c r="CJ23" s="311">
        <f ca="1">IF(BD23,_xll.xCrudeAPO(BU23,BV23,CC23,CD23,S24,S25,BI23,BL23,BP23,BQ23,0,Strike2,AO23,CE23,0,BL23,IF(OptControl=3,1,0),0,1),0)</f>
        <v>0</v>
      </c>
      <c r="CK23" s="163">
        <f ca="1">IF(BD23,_xll.xCrudeAPO(BU23,BV23,CC23,CD23,S24,S25,BI23,BL23,BP23,BQ23,0,Strike2,AO23,CE23,0,BL23,IF(OptControl=3,1,0),1,1)+_xll.xCrudeAPO(BU23,BV23,CC23,CD23,S24,S25,BI23,BL23,BP23,BQ23,0,Strike2,AO23,CE23,0,BL23,IF(OptControl=3,1,0),1,2)+IF(OR(VolSkewFlag=2,ABS(BT23)&lt;0.0001),0,IF(BT23&gt;0,-1,1)*CL23*Strike2/BR23^2*BZ23/10%),0)</f>
        <v>0</v>
      </c>
      <c r="CL23" s="163">
        <f ca="1">IF(BD23,(_xll.xCrudeAPO(BU23,BV23,CC23,CD23,S24,S25,BI23,BL23,BP23,BQ23,0,Strike2,AO23,CE23,0,BL23,IF(OptControl=3,1,0),3,1)+_xll.xCrudeAPO(BU23,BV23,CC23,CD23,S24,S25,BI23,BL23,BP23,BQ23,0,Strike2,AO23,CE23,0,BL23,IF(OptControl=3,1,0),3,2))/100,0)</f>
        <v>0</v>
      </c>
      <c r="CM23" s="164">
        <f ca="1">IF(BD23,_xll.xCrudeAPO(BU23,BV23,CC23,CD23,S24,S25,BI23-DaysForThetaCalculation/365.25,BL23-DaysForThetaCalculation/365.25,BP23,BQ23,0,Strike2,AO23,CE23,0,BL23,IF(OptControl=3,1,0),0,1)-_xll.xCrudeAPO(BU23,BV23,CC23,CD23,S24,S25,BI23,BL23,BP23,BQ23,0,Strike2,AO23,CE23,0,BL23,IF(OptControl=3,1,0),0,1),0)</f>
        <v>0</v>
      </c>
      <c r="CN23" s="508"/>
      <c r="CO23" s="796" t="str">
        <f t="shared" ca="1" si="53"/>
        <v/>
      </c>
      <c r="CP23" s="800" t="str">
        <f t="shared" ca="1" si="54"/>
        <v/>
      </c>
      <c r="CQ23" s="797" t="str">
        <f t="shared" ca="1" si="55"/>
        <v/>
      </c>
      <c r="CR23" s="797" t="str">
        <f t="shared" ca="1" si="56"/>
        <v/>
      </c>
      <c r="CS23" s="797" t="str">
        <f t="shared" ca="1" si="57"/>
        <v/>
      </c>
      <c r="CT23" s="797" t="str">
        <f t="shared" ca="1" si="58"/>
        <v/>
      </c>
      <c r="CU23" s="798" t="str">
        <f t="shared" ca="1" si="59"/>
        <v/>
      </c>
      <c r="CV23" s="799" t="str">
        <f t="shared" ca="1" si="60"/>
        <v/>
      </c>
      <c r="CW23" s="799" t="str">
        <f t="shared" ca="1" si="61"/>
        <v/>
      </c>
      <c r="CX23" s="163">
        <f ca="1">IF(BD23,_xll.EURO(CP23,Strike1,AO23,AO23,CV23,CO23,IF(OptControl=4,0,1),0),0)</f>
        <v>0</v>
      </c>
      <c r="CY23" s="163">
        <f ca="1">IF(BD23,_xll.EURO(CP23,Strike1,AO23,AO23,CV23,CO23,IF(OptControl=4,0,1),1)+IF(OR(VolSkewFlag=2,ABS(CQ23)&lt;0.0001),0,IF(CQ23&gt;0,-1,1)*CZ23*100*Strike1/CP23^2*CS23/10%),0)</f>
        <v>0</v>
      </c>
      <c r="CZ23" s="163">
        <f ca="1">IF(BD23,_xll.EURO(CP23,Strike1,AO23,AO23,CV23,CO23,IF(OptControl=4,0,1),3)/100,0)</f>
        <v>0</v>
      </c>
      <c r="DA23" s="163">
        <f ca="1">IF(BD23,_xll.EURO(CP23,Strike1,AO23,AO23,CV23,CO23,IF(OptControl=4,0,1),0)-_xll.EURO(CP23,Strike1,AO23,AO23,CV23,CO23-1,IF(OptControl=4,0,1),0),0)</f>
        <v>0</v>
      </c>
      <c r="DB23" s="163">
        <f ca="1">IF(BD23,_xll.EURO(CP23,Strike2,AO23,AO23,CW23,CO23,IF(OptControl=3,1,0),0),0)</f>
        <v>0</v>
      </c>
      <c r="DC23" s="163">
        <f ca="1">IF(BD23,_xll.EURO(CP23,Strike2,AO23,AO23,CW23,CO23,IF(OptControl=3,1,0),1)+IF(OR(VolSkewFlag=2,ABS(CR23)&lt;0.0001),0,IF(CR23&gt;0,-1,1)*DD23*100*Strike2/CP23^2*CT23/10%),0)</f>
        <v>0</v>
      </c>
      <c r="DD23" s="163">
        <f ca="1">IF(BD23,_xll.EURO(CP23,Strike2,AO23,AO23,CW23,CO23,IF(OptControl=3,1,0),3)/100,0)</f>
        <v>0</v>
      </c>
      <c r="DE23" s="164">
        <f ca="1">IF(BD23,_xll.EURO(CP23,Strike2,AO23,AO23,CW23,CO23,IF(OptControl=3,1,0),0)-_xll.EURO(CP23,Strike2,AO23,AO23,CW23,CO23-1,IF(OptControl=3,1,0),0),0)</f>
        <v>0</v>
      </c>
      <c r="DF23" s="508"/>
      <c r="DG23" s="667">
        <f t="shared" ca="1" si="62"/>
        <v>36647</v>
      </c>
      <c r="DH23" s="475">
        <v>28.32</v>
      </c>
      <c r="DI23" s="665">
        <v>27.245454545454546</v>
      </c>
      <c r="DJ23" s="666">
        <f t="shared" ca="1" si="26"/>
        <v>36647</v>
      </c>
      <c r="DK23" s="475">
        <v>26.31</v>
      </c>
      <c r="DL23" s="665">
        <v>25.106521739130436</v>
      </c>
      <c r="DM23" s="667">
        <f t="shared" ca="1" si="27"/>
        <v>36647</v>
      </c>
      <c r="DN23" s="668">
        <f t="shared" si="28"/>
        <v>26.36</v>
      </c>
      <c r="DO23" s="667">
        <f t="shared" ca="1" si="63"/>
        <v>36647</v>
      </c>
      <c r="DP23" s="579">
        <f t="shared" si="64"/>
        <v>24.781521739130437</v>
      </c>
      <c r="DQ23" s="821">
        <v>-0.32500000000000001</v>
      </c>
      <c r="DR23" s="666">
        <f t="shared" ca="1" si="29"/>
        <v>36647</v>
      </c>
      <c r="DS23" s="669">
        <v>0.35225000000000001</v>
      </c>
      <c r="DT23" s="606">
        <v>0.32523181818181823</v>
      </c>
      <c r="DU23" s="666">
        <f t="shared" ca="1" si="30"/>
        <v>36647</v>
      </c>
      <c r="DV23" s="669">
        <v>0.35225000000000001</v>
      </c>
      <c r="DW23" s="606">
        <v>0.32523181818181823</v>
      </c>
      <c r="DX23" s="667">
        <f t="shared" ca="1" si="31"/>
        <v>36647</v>
      </c>
      <c r="DY23" s="606">
        <v>0.37</v>
      </c>
      <c r="DZ23" s="667">
        <f t="shared" ca="1" si="65"/>
        <v>36647</v>
      </c>
      <c r="EA23" s="606">
        <f t="shared" si="66"/>
        <v>0.32523181818181823</v>
      </c>
      <c r="EB23" s="1"/>
      <c r="EC23" s="118" t="str">
        <f t="shared" ca="1" si="32"/>
        <v/>
      </c>
      <c r="ED23" s="119" t="str">
        <f t="shared" ca="1" si="33"/>
        <v/>
      </c>
      <c r="EE23" s="112" t="str">
        <f t="shared" ca="1" si="34"/>
        <v/>
      </c>
      <c r="EF23" s="120">
        <f ca="1">IF(BD23,_xll.xASN(BR23,Strike1,AO23,ED23,0,BO23,0,BI23,BL23,IF(OptControl=4,0,1),0),0)</f>
        <v>0</v>
      </c>
      <c r="EG23" s="111">
        <f ca="1">IF(BD23,_xll.xASN(BR23,Strike2,AO23,EE23,0,BO23,0,BI23,BL23,IF(OptControl=3,1,0),0),0)</f>
        <v>0</v>
      </c>
      <c r="EI23" s="483" t="str">
        <f>[1]!'CLc4 MTH'</f>
        <v>DEC0</v>
      </c>
      <c r="EJ23" s="484">
        <f t="shared" si="158"/>
        <v>36861</v>
      </c>
      <c r="EK23" s="485">
        <f>[1]!'CLc4 NET.CHNG'</f>
        <v>0.26</v>
      </c>
      <c r="EL23" s="486">
        <f t="shared" si="159"/>
        <v>26</v>
      </c>
      <c r="EM23" s="1"/>
      <c r="EN23" s="697">
        <v>36542</v>
      </c>
      <c r="EO23" s="698">
        <v>37250</v>
      </c>
      <c r="EP23" s="1"/>
      <c r="EQ23" s="683" t="s">
        <v>127</v>
      </c>
      <c r="ES23" s="498">
        <v>4</v>
      </c>
      <c r="ET23" s="476">
        <f ca="1">BH23/365.25</f>
        <v>0.27104722792607805</v>
      </c>
      <c r="EU23" s="842">
        <f t="shared" ca="1" si="67"/>
        <v>0</v>
      </c>
      <c r="EV23" s="815">
        <f t="shared" ca="1" si="160"/>
        <v>0.32556881164560558</v>
      </c>
      <c r="EW23" s="478" t="str">
        <f t="shared" ca="1" si="161"/>
        <v/>
      </c>
      <c r="EX23" s="477" t="str">
        <f t="shared" ca="1" si="162"/>
        <v/>
      </c>
      <c r="EY23" s="250">
        <v>0</v>
      </c>
      <c r="EZ23" s="605" t="str">
        <f ca="1">IF(OR(EW23="",EW24=""),"",SQRT(SUM(INDEX(FK23:ID23,SwaptionFirstMonthPosition+1):INDEX(FK23:ID23,FJ23))/SUM(INDEX($FK$15:$ID$15,SwaptionFirstMonthPosition+1):INDEX($FK$15:$ID$15,FJ23))))</f>
        <v/>
      </c>
      <c r="FA23" s="581" t="str">
        <f ca="1">IF(OR(EW23="",EW22=""),"",SQRT(SUM(INDEX(FK23:ID23,SwaptionFirstMonthPosition+1):INDEX(FK23:ID23,FJ23-1))/SUM(INDEX($FK$15:$ID$15,SwaptionFirstMonthPosition+1):INDEX($FK$15:$ID$15,FJ23-1))))</f>
        <v/>
      </c>
      <c r="FB23" s="578" t="str">
        <f t="shared" ca="1" si="68"/>
        <v/>
      </c>
      <c r="FC23" s="609" t="str">
        <f t="shared" ca="1" si="69"/>
        <v/>
      </c>
      <c r="FD23" s="579" t="str">
        <f t="shared" ca="1" si="70"/>
        <v/>
      </c>
      <c r="FE23" s="579" t="str">
        <f t="shared" ca="1" si="71"/>
        <v/>
      </c>
      <c r="FF23" s="579" t="str">
        <f t="shared" ca="1" si="72"/>
        <v/>
      </c>
      <c r="FG23" s="580" t="str">
        <f t="shared" ca="1" si="73"/>
        <v/>
      </c>
      <c r="FH23" s="606" t="str">
        <f t="shared" ca="1" si="74"/>
        <v/>
      </c>
      <c r="FI23" s="250"/>
      <c r="FJ23" s="673">
        <v>4</v>
      </c>
      <c r="FK23" s="460">
        <f t="shared" ca="1" si="75"/>
        <v>0</v>
      </c>
      <c r="FL23" s="460">
        <f t="shared" ca="1" si="76"/>
        <v>7.1818722968794461E-3</v>
      </c>
      <c r="FM23" s="460">
        <f t="shared" ca="1" si="77"/>
        <v>1.0331981393789548E-2</v>
      </c>
      <c r="FN23" s="460">
        <f t="shared" ca="1" si="78"/>
        <v>1.1215811088295689E-2</v>
      </c>
      <c r="FO23" s="460" t="str">
        <f t="shared" si="79"/>
        <v/>
      </c>
      <c r="FP23" s="460" t="str">
        <f t="shared" si="80"/>
        <v/>
      </c>
      <c r="FQ23" s="460" t="str">
        <f t="shared" si="81"/>
        <v/>
      </c>
      <c r="FR23" s="460" t="str">
        <f t="shared" si="82"/>
        <v/>
      </c>
      <c r="FS23" s="460" t="str">
        <f t="shared" si="83"/>
        <v/>
      </c>
      <c r="FT23" s="460" t="str">
        <f t="shared" si="84"/>
        <v/>
      </c>
      <c r="FU23" s="460" t="str">
        <f t="shared" si="85"/>
        <v/>
      </c>
      <c r="FV23" s="460" t="str">
        <f t="shared" si="86"/>
        <v/>
      </c>
      <c r="FW23" s="460" t="str">
        <f t="shared" si="87"/>
        <v/>
      </c>
      <c r="FX23" s="460" t="str">
        <f t="shared" si="88"/>
        <v/>
      </c>
      <c r="FY23" s="460" t="str">
        <f t="shared" si="89"/>
        <v/>
      </c>
      <c r="FZ23" s="460" t="str">
        <f t="shared" si="90"/>
        <v/>
      </c>
      <c r="GA23" s="460" t="str">
        <f t="shared" si="91"/>
        <v/>
      </c>
      <c r="GB23" s="460" t="str">
        <f t="shared" si="92"/>
        <v/>
      </c>
      <c r="GC23" s="460" t="str">
        <f t="shared" si="93"/>
        <v/>
      </c>
      <c r="GD23" s="460" t="str">
        <f t="shared" si="94"/>
        <v/>
      </c>
      <c r="GE23" s="460" t="str">
        <f t="shared" si="95"/>
        <v/>
      </c>
      <c r="GF23" s="460" t="str">
        <f t="shared" si="96"/>
        <v/>
      </c>
      <c r="GG23" s="460" t="str">
        <f t="shared" si="97"/>
        <v/>
      </c>
      <c r="GH23" s="460" t="str">
        <f t="shared" si="98"/>
        <v/>
      </c>
      <c r="GI23" s="460" t="str">
        <f t="shared" si="99"/>
        <v/>
      </c>
      <c r="GJ23" s="460" t="str">
        <f t="shared" si="100"/>
        <v/>
      </c>
      <c r="GK23" s="460" t="str">
        <f t="shared" si="101"/>
        <v/>
      </c>
      <c r="GL23" s="460" t="str">
        <f t="shared" si="102"/>
        <v/>
      </c>
      <c r="GM23" s="460" t="str">
        <f t="shared" si="103"/>
        <v/>
      </c>
      <c r="GN23" s="460" t="str">
        <f t="shared" si="104"/>
        <v/>
      </c>
      <c r="GO23" s="460" t="str">
        <f t="shared" si="105"/>
        <v/>
      </c>
      <c r="GP23" s="460" t="str">
        <f t="shared" si="106"/>
        <v/>
      </c>
      <c r="GQ23" s="460" t="str">
        <f t="shared" si="107"/>
        <v/>
      </c>
      <c r="GR23" s="460" t="str">
        <f t="shared" si="108"/>
        <v/>
      </c>
      <c r="GS23" s="460" t="str">
        <f t="shared" si="109"/>
        <v/>
      </c>
      <c r="GT23" s="460" t="str">
        <f t="shared" si="110"/>
        <v/>
      </c>
      <c r="GU23" s="460" t="str">
        <f t="shared" si="111"/>
        <v/>
      </c>
      <c r="GV23" s="460" t="str">
        <f t="shared" si="112"/>
        <v/>
      </c>
      <c r="GW23" s="460" t="str">
        <f t="shared" si="113"/>
        <v/>
      </c>
      <c r="GX23" s="460" t="str">
        <f t="shared" si="114"/>
        <v/>
      </c>
      <c r="GY23" s="460" t="str">
        <f t="shared" si="115"/>
        <v/>
      </c>
      <c r="GZ23" s="460" t="str">
        <f t="shared" si="116"/>
        <v/>
      </c>
      <c r="HA23" s="460" t="str">
        <f t="shared" si="117"/>
        <v/>
      </c>
      <c r="HB23" s="460" t="str">
        <f t="shared" si="118"/>
        <v/>
      </c>
      <c r="HC23" s="460" t="str">
        <f t="shared" si="119"/>
        <v/>
      </c>
      <c r="HD23" s="460" t="str">
        <f t="shared" si="120"/>
        <v/>
      </c>
      <c r="HE23" s="460" t="str">
        <f t="shared" si="121"/>
        <v/>
      </c>
      <c r="HF23" s="460" t="str">
        <f t="shared" si="122"/>
        <v/>
      </c>
      <c r="HG23" s="460" t="str">
        <f t="shared" si="123"/>
        <v/>
      </c>
      <c r="HH23" s="460" t="str">
        <f t="shared" si="124"/>
        <v/>
      </c>
      <c r="HI23" s="460" t="str">
        <f t="shared" si="125"/>
        <v/>
      </c>
      <c r="HJ23" s="460" t="str">
        <f t="shared" si="126"/>
        <v/>
      </c>
      <c r="HK23" s="460" t="str">
        <f t="shared" si="127"/>
        <v/>
      </c>
      <c r="HL23" s="460" t="str">
        <f t="shared" si="128"/>
        <v/>
      </c>
      <c r="HM23" s="460" t="str">
        <f t="shared" si="129"/>
        <v/>
      </c>
      <c r="HN23" s="460" t="str">
        <f t="shared" si="130"/>
        <v/>
      </c>
      <c r="HO23" s="460" t="str">
        <f t="shared" si="131"/>
        <v/>
      </c>
      <c r="HP23" s="460" t="str">
        <f t="shared" si="132"/>
        <v/>
      </c>
      <c r="HQ23" s="460" t="str">
        <f t="shared" si="133"/>
        <v/>
      </c>
      <c r="HR23" s="460" t="str">
        <f t="shared" si="134"/>
        <v/>
      </c>
      <c r="HS23" s="460" t="str">
        <f t="shared" si="135"/>
        <v/>
      </c>
      <c r="HT23" s="460" t="str">
        <f t="shared" si="136"/>
        <v/>
      </c>
      <c r="HU23" s="460" t="str">
        <f t="shared" si="137"/>
        <v/>
      </c>
      <c r="HV23" s="460" t="str">
        <f t="shared" si="138"/>
        <v/>
      </c>
      <c r="HW23" s="460" t="str">
        <f t="shared" si="139"/>
        <v/>
      </c>
      <c r="HX23" s="460" t="str">
        <f t="shared" si="140"/>
        <v/>
      </c>
      <c r="HY23" s="460" t="str">
        <f t="shared" si="141"/>
        <v/>
      </c>
      <c r="HZ23" s="460" t="str">
        <f t="shared" si="142"/>
        <v/>
      </c>
      <c r="IA23" s="460" t="str">
        <f t="shared" si="143"/>
        <v/>
      </c>
      <c r="IB23" s="460" t="str">
        <f t="shared" si="144"/>
        <v/>
      </c>
      <c r="IC23" s="460" t="str">
        <f t="shared" si="145"/>
        <v/>
      </c>
      <c r="ID23" s="674" t="str">
        <f t="shared" si="146"/>
        <v/>
      </c>
      <c r="IE23" s="250"/>
    </row>
    <row r="24" spans="1:239" ht="20.25" customHeight="1" thickBot="1">
      <c r="A24" s="611">
        <f t="shared" si="147"/>
        <v>0</v>
      </c>
      <c r="B24" s="557"/>
      <c r="C24" s="506" t="s">
        <v>272</v>
      </c>
      <c r="D24" s="507"/>
      <c r="E24" s="504" t="s">
        <v>157</v>
      </c>
      <c r="F24" s="551">
        <f>EOMONTH(NextMonth,SwaptionFirstMonthPosition-2)+1</f>
        <v>36892</v>
      </c>
      <c r="G24" s="216">
        <f>EOMONTH(DateStart2,SwaptionNumOfMonths-2)+1</f>
        <v>37226</v>
      </c>
      <c r="H24" s="51">
        <f t="shared" ca="1" si="35"/>
        <v>21</v>
      </c>
      <c r="I24" s="379">
        <f t="shared" si="36"/>
        <v>36892</v>
      </c>
      <c r="J24" s="377"/>
      <c r="K24" s="104">
        <v>0</v>
      </c>
      <c r="L24" s="392">
        <f t="shared" si="37"/>
        <v>0</v>
      </c>
      <c r="M24" s="171"/>
      <c r="N24" s="382">
        <v>0</v>
      </c>
      <c r="O24" s="171">
        <f t="shared" si="38"/>
        <v>0</v>
      </c>
      <c r="P24" s="377"/>
      <c r="Q24" s="103">
        <v>0</v>
      </c>
      <c r="R24" s="377">
        <f t="shared" ca="1" si="148"/>
        <v>0</v>
      </c>
      <c r="S24" s="832">
        <f t="shared" si="164"/>
        <v>0.37687500000000002</v>
      </c>
      <c r="T24" s="831">
        <f t="shared" si="149"/>
        <v>0.93582492569822329</v>
      </c>
      <c r="U24" s="545">
        <f t="shared" si="150"/>
        <v>0.99525390624999999</v>
      </c>
      <c r="V24" s="389">
        <v>0</v>
      </c>
      <c r="W24" s="434">
        <f t="shared" si="39"/>
        <v>0</v>
      </c>
      <c r="X24" s="415">
        <f t="shared" si="40"/>
        <v>0</v>
      </c>
      <c r="Y24" s="322">
        <f t="shared" si="41"/>
        <v>0</v>
      </c>
      <c r="Z24" s="322">
        <f t="shared" ca="1" si="42"/>
        <v>0</v>
      </c>
      <c r="AA24" s="429">
        <f t="shared" si="1"/>
        <v>0</v>
      </c>
      <c r="AB24" s="433">
        <f t="shared" ca="1" si="2"/>
        <v>0</v>
      </c>
      <c r="AC24" s="226">
        <v>36879</v>
      </c>
      <c r="AD24" s="227">
        <v>36874</v>
      </c>
      <c r="AE24" s="227">
        <v>36874</v>
      </c>
      <c r="AF24" s="228">
        <v>36873</v>
      </c>
      <c r="AG24" s="249" t="s">
        <v>498</v>
      </c>
      <c r="AH24" s="247" t="s">
        <v>498</v>
      </c>
      <c r="AI24" s="146">
        <v>22</v>
      </c>
      <c r="AJ24" s="41">
        <v>15</v>
      </c>
      <c r="AK24" s="41">
        <v>7</v>
      </c>
      <c r="AL24" s="293">
        <v>22</v>
      </c>
      <c r="AM24" s="41">
        <v>10</v>
      </c>
      <c r="AN24" s="147">
        <v>12</v>
      </c>
      <c r="AO24" s="374"/>
      <c r="AP24" s="153">
        <f t="shared" ca="1" si="43"/>
        <v>1</v>
      </c>
      <c r="AQ24" s="374"/>
      <c r="AR24" s="153">
        <f t="shared" ca="1" si="151"/>
        <v>1</v>
      </c>
      <c r="AS24" s="272">
        <f t="shared" si="3"/>
        <v>0</v>
      </c>
      <c r="AT24" s="157">
        <f t="shared" si="44"/>
        <v>0</v>
      </c>
      <c r="AU24" s="157">
        <f t="shared" si="4"/>
        <v>0</v>
      </c>
      <c r="AV24" s="271">
        <f t="shared" ca="1" si="163"/>
        <v>9.9999999999999995E-7</v>
      </c>
      <c r="AW24" s="158">
        <f t="shared" ca="1" si="5"/>
        <v>1</v>
      </c>
      <c r="AX24" s="157">
        <f t="shared" ca="1" si="152"/>
        <v>1.8241832091460252E-2</v>
      </c>
      <c r="AY24" s="157">
        <f t="shared" ca="1" si="153"/>
        <v>1.3346448822654624E-2</v>
      </c>
      <c r="AZ24" s="157">
        <f t="shared" ca="1" si="154"/>
        <v>8.4216052333401618E-3</v>
      </c>
      <c r="BA24" s="157">
        <f t="shared" ca="1" si="155"/>
        <v>1.6002657146578561E-3</v>
      </c>
      <c r="BB24" s="157">
        <f t="shared" ca="1" si="156"/>
        <v>2.1469148261956191E-3</v>
      </c>
      <c r="BC24" s="157">
        <f t="shared" ca="1" si="157"/>
        <v>2.6932367132508793E-3</v>
      </c>
      <c r="BD24" s="151">
        <f t="shared" ca="1" si="45"/>
        <v>30</v>
      </c>
      <c r="BE24" s="152">
        <f t="shared" ca="1" si="46"/>
        <v>30</v>
      </c>
      <c r="BF24" s="40">
        <f t="shared" si="7"/>
        <v>2001</v>
      </c>
      <c r="BG24" s="144">
        <f t="shared" si="8"/>
        <v>1</v>
      </c>
      <c r="BH24" s="145">
        <f t="shared" ca="1" si="47"/>
        <v>129</v>
      </c>
      <c r="BI24" s="313">
        <f t="shared" ca="1" si="9"/>
        <v>0.40246406570841892</v>
      </c>
      <c r="BJ24" s="42">
        <f t="shared" ca="1" si="10"/>
        <v>0.45846555908157555</v>
      </c>
      <c r="BK24" s="42">
        <f t="shared" ca="1" si="11"/>
        <v>0.46120340986870767</v>
      </c>
      <c r="BL24" s="42">
        <f t="shared" ca="1" si="12"/>
        <v>0.48459958932238195</v>
      </c>
      <c r="BM24" s="150" t="e">
        <f t="shared" ca="1" si="13"/>
        <v>#DIV/0!</v>
      </c>
      <c r="BN24" s="42" t="e">
        <f t="shared" ca="1" si="14"/>
        <v>#DIV/0!</v>
      </c>
      <c r="BO24" s="293">
        <f t="shared" si="48"/>
        <v>22</v>
      </c>
      <c r="BP24" s="41">
        <f t="shared" si="49"/>
        <v>15</v>
      </c>
      <c r="BQ24" s="41">
        <f t="shared" si="50"/>
        <v>7</v>
      </c>
      <c r="BR24" s="305">
        <f t="shared" ca="1" si="15"/>
        <v>-0.05</v>
      </c>
      <c r="BS24" s="305">
        <f t="shared" ca="1" si="16"/>
        <v>-1</v>
      </c>
      <c r="BT24" s="307">
        <f t="shared" ca="1" si="17"/>
        <v>-1</v>
      </c>
      <c r="BU24" s="161">
        <f t="shared" ca="1" si="18"/>
        <v>-0.05</v>
      </c>
      <c r="BV24" s="161">
        <f t="shared" ca="1" si="19"/>
        <v>-0.05</v>
      </c>
      <c r="BW24" s="308">
        <f t="shared" ca="1" si="20"/>
        <v>0</v>
      </c>
      <c r="BX24" s="309">
        <f t="shared" ca="1" si="21"/>
        <v>0</v>
      </c>
      <c r="BY24" s="308">
        <f t="shared" ca="1" si="51"/>
        <v>4.8953832688056285E-3</v>
      </c>
      <c r="BZ24" s="309">
        <f t="shared" ca="1" si="52"/>
        <v>4.8953832688056285E-3</v>
      </c>
      <c r="CA24" s="154">
        <f t="shared" ca="1" si="22"/>
        <v>5.250951497309965E-2</v>
      </c>
      <c r="CB24" s="154">
        <f t="shared" ca="1" si="23"/>
        <v>5.250951497309965E-2</v>
      </c>
      <c r="CC24" s="154">
        <f t="shared" ca="1" si="24"/>
        <v>5.250951497309965E-2</v>
      </c>
      <c r="CD24" s="154">
        <f t="shared" ca="1" si="25"/>
        <v>5.250951497309965E-2</v>
      </c>
      <c r="CE24" s="310">
        <v>1</v>
      </c>
      <c r="CF24" s="162" t="e">
        <f ca="1">IF(BD24,_xll.xCrudeAPO(BU24,BV24,CA24,CB24,S25,S26,BI24,BL24,BP24,BQ24,0,Strike1,AO24,CE24,0,BL24,IF(OptControl=4,0,1),0,1),0)</f>
        <v>#VALUE!</v>
      </c>
      <c r="CG24" s="163" t="e">
        <f ca="1">IF(BD24,_xll.xCrudeAPO(BU24,BV24,CA24,CB24,S25,S26,BI24,BL24,BP24,BQ24,0,Strike1,AO24,CE24,0,BL24,IF(OptControl=4,0,1),1,1)+_xll.xCrudeAPO(BU24,BV24,CA24,CB24,S25,S26,BI24,BL24,BP24,BQ24,0,Strike1,AO24,CE24,0,BL24,IF(OptControl=4,0,1),1,2)+IF(OR(VolSkewFlag=2,ABS(BS24)&lt;0.0001),0,IF(BS24&gt;0,-1,1)*CH24*Strike1/BR24^2*BY24/10%),0)</f>
        <v>#VALUE!</v>
      </c>
      <c r="CH24" s="163" t="e">
        <f ca="1">IF(BD24,(_xll.xCrudeAPO(BU24,BV24,CA24,CB24,S25,S26,BI24,BL24,BP24,BQ24,0,Strike1,AO24,CE24,0,BL24,IF(OptControl=4,0,1),3,1)+_xll.xCrudeAPO(BU24,BV24,CA24,CB24,S25,S26,BI24,BL24,BP24,BQ24,0,Strike1,AO24,CE24,0,BL24,IF(OptControl=4,0,1),3,2))/100,0)</f>
        <v>#VALUE!</v>
      </c>
      <c r="CI24" s="163" t="e">
        <f ca="1">IF(BD24,_xll.xCrudeAPO(BU24,BV24,CA24,CB24,S25,S26,BI24-DaysForThetaCalculation/365.25,BL24-DaysForThetaCalculation/365.25,BP24,BQ24,0,Strike1,AO24,CE24,0,BL24,IF(OptControl=4,0,1),0,1)-_xll.xCrudeAPO(BU24,BV24,CA24,CB24,S25,S26,BI24,BL24,BP24,BQ24,0,Strike1,AO24,CE24,0,BL24,IF(OptControl=4,0,1),0,1),0)</f>
        <v>#VALUE!</v>
      </c>
      <c r="CJ24" s="311" t="e">
        <f ca="1">IF(BD24,_xll.xCrudeAPO(BU24,BV24,CC24,CD24,S25,S26,BI24,BL24,BP24,BQ24,0,Strike2,AO24,CE24,0,BL24,IF(OptControl=3,1,0),0,1),0)</f>
        <v>#VALUE!</v>
      </c>
      <c r="CK24" s="163" t="e">
        <f ca="1">IF(BD24,_xll.xCrudeAPO(BU24,BV24,CC24,CD24,S25,S26,BI24,BL24,BP24,BQ24,0,Strike2,AO24,CE24,0,BL24,IF(OptControl=3,1,0),1,1)+_xll.xCrudeAPO(BU24,BV24,CC24,CD24,S25,S26,BI24,BL24,BP24,BQ24,0,Strike2,AO24,CE24,0,BL24,IF(OptControl=3,1,0),1,2)+IF(OR(VolSkewFlag=2,ABS(BT24)&lt;0.0001),0,IF(BT24&gt;0,-1,1)*CL24*Strike2/BR24^2*BZ24/10%),0)</f>
        <v>#VALUE!</v>
      </c>
      <c r="CL24" s="163" t="e">
        <f ca="1">IF(BD24,(_xll.xCrudeAPO(BU24,BV24,CC24,CD24,S25,S26,BI24,BL24,BP24,BQ24,0,Strike2,AO24,CE24,0,BL24,IF(OptControl=3,1,0),3,1)+_xll.xCrudeAPO(BU24,BV24,CC24,CD24,S25,S26,BI24,BL24,BP24,BQ24,0,Strike2,AO24,CE24,0,BL24,IF(OptControl=3,1,0),3,2))/100,0)</f>
        <v>#VALUE!</v>
      </c>
      <c r="CM24" s="164" t="e">
        <f ca="1">IF(BD24,_xll.xCrudeAPO(BU24,BV24,CC24,CD24,S25,S26,BI24-DaysForThetaCalculation/365.25,BL24-DaysForThetaCalculation/365.25,BP24,BQ24,0,Strike2,AO24,CE24,0,BL24,IF(OptControl=3,1,0),0,1)-_xll.xCrudeAPO(BU24,BV24,CC24,CD24,S25,S26,BI24,BL24,BP24,BQ24,0,Strike2,AO24,CE24,0,BL24,IF(OptControl=3,1,0),0,1),0)</f>
        <v>#VALUE!</v>
      </c>
      <c r="CN24" s="508"/>
      <c r="CO24" s="796">
        <f t="shared" ca="1" si="53"/>
        <v>129</v>
      </c>
      <c r="CP24" s="800">
        <f t="shared" ca="1" si="54"/>
        <v>0</v>
      </c>
      <c r="CQ24" s="797" t="e">
        <f t="shared" ca="1" si="55"/>
        <v>#DIV/0!</v>
      </c>
      <c r="CR24" s="797" t="e">
        <f t="shared" ca="1" si="56"/>
        <v>#DIV/0!</v>
      </c>
      <c r="CS24" s="797" t="e">
        <f t="shared" ca="1" si="57"/>
        <v>#DIV/0!</v>
      </c>
      <c r="CT24" s="797" t="e">
        <f t="shared" ca="1" si="58"/>
        <v>#DIV/0!</v>
      </c>
      <c r="CU24" s="798">
        <f t="shared" ca="1" si="59"/>
        <v>0</v>
      </c>
      <c r="CV24" s="799" t="e">
        <f t="shared" ca="1" si="60"/>
        <v>#DIV/0!</v>
      </c>
      <c r="CW24" s="799" t="e">
        <f t="shared" ca="1" si="61"/>
        <v>#DIV/0!</v>
      </c>
      <c r="CX24" s="163" t="e">
        <f ca="1">IF(BD24,_xll.EURO(CP24,Strike1,AO24,AO24,CV24,CO24,IF(OptControl=4,0,1),0),0)</f>
        <v>#DIV/0!</v>
      </c>
      <c r="CY24" s="163" t="e">
        <f ca="1">IF(BD24,_xll.EURO(CP24,Strike1,AO24,AO24,CV24,CO24,IF(OptControl=4,0,1),1)+IF(OR(VolSkewFlag=2,ABS(CQ24)&lt;0.0001),0,IF(CQ24&gt;0,-1,1)*CZ24*100*Strike1/CP24^2*CS24/10%),0)</f>
        <v>#DIV/0!</v>
      </c>
      <c r="CZ24" s="163" t="e">
        <f ca="1">IF(BD24,_xll.EURO(CP24,Strike1,AO24,AO24,CV24,CO24,IF(OptControl=4,0,1),3)/100,0)</f>
        <v>#DIV/0!</v>
      </c>
      <c r="DA24" s="163" t="e">
        <f ca="1">IF(BD24,_xll.EURO(CP24,Strike1,AO24,AO24,CV24,CO24,IF(OptControl=4,0,1),0)-_xll.EURO(CP24,Strike1,AO24,AO24,CV24,CO24-1,IF(OptControl=4,0,1),0),0)</f>
        <v>#DIV/0!</v>
      </c>
      <c r="DB24" s="163" t="e">
        <f ca="1">IF(BD24,_xll.EURO(CP24,Strike2,AO24,AO24,CW24,CO24,IF(OptControl=3,1,0),0),0)</f>
        <v>#DIV/0!</v>
      </c>
      <c r="DC24" s="163" t="e">
        <f ca="1">IF(BD24,_xll.EURO(CP24,Strike2,AO24,AO24,CW24,CO24,IF(OptControl=3,1,0),1)+IF(OR(VolSkewFlag=2,ABS(CR24)&lt;0.0001),0,IF(CR24&gt;0,-1,1)*DD24*100*Strike2/CP24^2*CT24/10%),0)</f>
        <v>#DIV/0!</v>
      </c>
      <c r="DD24" s="163" t="e">
        <f ca="1">IF(BD24,_xll.EURO(CP24,Strike2,AO24,AO24,CW24,CO24,IF(OptControl=3,1,0),3)/100,0)</f>
        <v>#DIV/0!</v>
      </c>
      <c r="DE24" s="164" t="e">
        <f ca="1">IF(BD24,_xll.EURO(CP24,Strike2,AO24,AO24,CW24,CO24,IF(OptControl=3,1,0),0)-_xll.EURO(CP24,Strike2,AO24,AO24,CW24,CO24-1,IF(OptControl=3,1,0),0),0)</f>
        <v>#DIV/0!</v>
      </c>
      <c r="DF24" s="508"/>
      <c r="DG24" s="667">
        <f t="shared" ca="1" si="62"/>
        <v>36678</v>
      </c>
      <c r="DH24" s="475">
        <v>27.45</v>
      </c>
      <c r="DI24" s="665">
        <v>26.463636363636365</v>
      </c>
      <c r="DJ24" s="666">
        <f t="shared" ca="1" si="26"/>
        <v>36678</v>
      </c>
      <c r="DK24" s="475">
        <v>25.43</v>
      </c>
      <c r="DL24" s="665">
        <v>24.520909090909086</v>
      </c>
      <c r="DM24" s="667">
        <f t="shared" ca="1" si="27"/>
        <v>36678</v>
      </c>
      <c r="DN24" s="668">
        <f t="shared" si="28"/>
        <v>25.48</v>
      </c>
      <c r="DO24" s="667">
        <f t="shared" ca="1" si="63"/>
        <v>36678</v>
      </c>
      <c r="DP24" s="579">
        <f t="shared" si="64"/>
        <v>24.620909090909088</v>
      </c>
      <c r="DQ24" s="821">
        <v>0.1</v>
      </c>
      <c r="DR24" s="666">
        <f t="shared" ca="1" si="29"/>
        <v>36678</v>
      </c>
      <c r="DS24" s="669">
        <v>0.32935000000000003</v>
      </c>
      <c r="DT24" s="606">
        <v>0.3094318181818182</v>
      </c>
      <c r="DU24" s="666">
        <f t="shared" ca="1" si="30"/>
        <v>36678</v>
      </c>
      <c r="DV24" s="669">
        <v>0.32935000000000003</v>
      </c>
      <c r="DW24" s="606">
        <v>0.3094318181818182</v>
      </c>
      <c r="DX24" s="667">
        <f t="shared" ca="1" si="31"/>
        <v>36678</v>
      </c>
      <c r="DY24" s="606">
        <v>0.36</v>
      </c>
      <c r="DZ24" s="667">
        <f t="shared" ca="1" si="65"/>
        <v>36678</v>
      </c>
      <c r="EA24" s="606">
        <f t="shared" si="66"/>
        <v>0.3094318181818182</v>
      </c>
      <c r="EB24" s="1"/>
      <c r="EC24" s="118">
        <f t="shared" ca="1" si="32"/>
        <v>0</v>
      </c>
      <c r="ED24" s="119">
        <f t="shared" ca="1" si="33"/>
        <v>5.250951497309965E-2</v>
      </c>
      <c r="EE24" s="112">
        <f t="shared" ca="1" si="34"/>
        <v>5.250951497309965E-2</v>
      </c>
      <c r="EF24" s="120" t="e">
        <f ca="1">IF(BD24,_xll.xASN(BR24,Strike1,AO24,ED24,0,BO24,0,BI24,BL24,IF(OptControl=4,0,1),0),0)</f>
        <v>#VALUE!</v>
      </c>
      <c r="EG24" s="111" t="e">
        <f ca="1">IF(BD24,_xll.xASN(BR24,Strike2,AO24,EE24,0,BO24,0,BI24,BL24,IF(OptControl=3,1,0),0),0)</f>
        <v>#VALUE!</v>
      </c>
      <c r="EI24" s="483" t="str">
        <f>[1]!'CLc5 MTH'</f>
        <v>JAN1</v>
      </c>
      <c r="EJ24" s="484">
        <f t="shared" si="158"/>
        <v>36892</v>
      </c>
      <c r="EK24" s="485">
        <f>[1]!'CLc5 NET.CHNG'</f>
        <v>0.21</v>
      </c>
      <c r="EL24" s="486">
        <f t="shared" si="159"/>
        <v>21</v>
      </c>
      <c r="EM24" s="1"/>
      <c r="EN24" s="697">
        <v>36577</v>
      </c>
      <c r="EO24" s="698">
        <v>37257</v>
      </c>
      <c r="EP24" s="1"/>
      <c r="EQ24" s="683" t="s">
        <v>128</v>
      </c>
      <c r="ES24" s="498">
        <v>5</v>
      </c>
      <c r="ET24" s="476">
        <f t="shared" ref="ET24:ET87" ca="1" si="165">BH24/365.25</f>
        <v>0.35318275154004108</v>
      </c>
      <c r="EU24" s="842">
        <f t="shared" ca="1" si="67"/>
        <v>0</v>
      </c>
      <c r="EV24" s="815">
        <f t="shared" ca="1" si="160"/>
        <v>0.31350194547622545</v>
      </c>
      <c r="EW24" s="478" t="str">
        <f t="shared" ca="1" si="161"/>
        <v/>
      </c>
      <c r="EX24" s="477" t="str">
        <f t="shared" ca="1" si="162"/>
        <v/>
      </c>
      <c r="EY24" s="250">
        <v>0</v>
      </c>
      <c r="EZ24" s="605" t="str">
        <f ca="1">IF(OR(EW24="",EW25=""),"",SQRT(SUM(INDEX(FK24:ID24,SwaptionFirstMonthPosition+1):INDEX(FK24:ID24,FJ24))/SUM(INDEX($FK$15:$ID$15,SwaptionFirstMonthPosition+1):INDEX($FK$15:$ID$15,FJ24))))</f>
        <v/>
      </c>
      <c r="FA24" s="581" t="str">
        <f ca="1">IF(OR(EW24="",EW23=""),"",SQRT(SUM(INDEX(FK24:ID24,SwaptionFirstMonthPosition+1):INDEX(FK24:ID24,FJ24-1))/SUM(INDEX($FK$15:$ID$15,SwaptionFirstMonthPosition+1):INDEX($FK$15:$ID$15,FJ24-1))))</f>
        <v/>
      </c>
      <c r="FB24" s="578">
        <f t="shared" ca="1" si="68"/>
        <v>0.35781663347891635</v>
      </c>
      <c r="FC24" s="609">
        <f t="shared" ca="1" si="69"/>
        <v>161</v>
      </c>
      <c r="FD24" s="579">
        <f t="shared" ca="1" si="70"/>
        <v>-0.05</v>
      </c>
      <c r="FE24" s="579">
        <f t="shared" ca="1" si="71"/>
        <v>-1</v>
      </c>
      <c r="FF24" s="579">
        <f t="shared" ca="1" si="72"/>
        <v>-1</v>
      </c>
      <c r="FG24" s="580">
        <f t="shared" ca="1" si="73"/>
        <v>5.250951497309965E-2</v>
      </c>
      <c r="FH24" s="606">
        <f t="shared" ca="1" si="74"/>
        <v>5.250951497309965E-2</v>
      </c>
      <c r="FI24" s="250"/>
      <c r="FJ24" s="673">
        <v>5</v>
      </c>
      <c r="FK24" s="460">
        <f t="shared" ca="1" si="75"/>
        <v>0</v>
      </c>
      <c r="FL24" s="460">
        <f t="shared" ca="1" si="76"/>
        <v>6.0024015326818865E-3</v>
      </c>
      <c r="FM24" s="460">
        <f t="shared" ca="1" si="77"/>
        <v>8.3474087408949398E-3</v>
      </c>
      <c r="FN24" s="460">
        <f t="shared" ca="1" si="78"/>
        <v>8.6961161814315038E-3</v>
      </c>
      <c r="FO24" s="460">
        <f t="shared" ca="1" si="79"/>
        <v>1.1666099845995892E-2</v>
      </c>
      <c r="FP24" s="460" t="str">
        <f t="shared" si="80"/>
        <v/>
      </c>
      <c r="FQ24" s="460" t="str">
        <f t="shared" si="81"/>
        <v/>
      </c>
      <c r="FR24" s="460" t="str">
        <f t="shared" si="82"/>
        <v/>
      </c>
      <c r="FS24" s="460" t="str">
        <f t="shared" si="83"/>
        <v/>
      </c>
      <c r="FT24" s="460" t="str">
        <f t="shared" si="84"/>
        <v/>
      </c>
      <c r="FU24" s="460" t="str">
        <f t="shared" si="85"/>
        <v/>
      </c>
      <c r="FV24" s="460" t="str">
        <f t="shared" si="86"/>
        <v/>
      </c>
      <c r="FW24" s="460" t="str">
        <f t="shared" si="87"/>
        <v/>
      </c>
      <c r="FX24" s="460" t="str">
        <f t="shared" si="88"/>
        <v/>
      </c>
      <c r="FY24" s="460" t="str">
        <f t="shared" si="89"/>
        <v/>
      </c>
      <c r="FZ24" s="460" t="str">
        <f t="shared" si="90"/>
        <v/>
      </c>
      <c r="GA24" s="460" t="str">
        <f t="shared" si="91"/>
        <v/>
      </c>
      <c r="GB24" s="460" t="str">
        <f t="shared" si="92"/>
        <v/>
      </c>
      <c r="GC24" s="460" t="str">
        <f t="shared" si="93"/>
        <v/>
      </c>
      <c r="GD24" s="460" t="str">
        <f t="shared" si="94"/>
        <v/>
      </c>
      <c r="GE24" s="460" t="str">
        <f t="shared" si="95"/>
        <v/>
      </c>
      <c r="GF24" s="460" t="str">
        <f t="shared" si="96"/>
        <v/>
      </c>
      <c r="GG24" s="460" t="str">
        <f t="shared" si="97"/>
        <v/>
      </c>
      <c r="GH24" s="460" t="str">
        <f t="shared" si="98"/>
        <v/>
      </c>
      <c r="GI24" s="460" t="str">
        <f t="shared" si="99"/>
        <v/>
      </c>
      <c r="GJ24" s="460" t="str">
        <f t="shared" si="100"/>
        <v/>
      </c>
      <c r="GK24" s="460" t="str">
        <f t="shared" si="101"/>
        <v/>
      </c>
      <c r="GL24" s="460" t="str">
        <f t="shared" si="102"/>
        <v/>
      </c>
      <c r="GM24" s="460" t="str">
        <f t="shared" si="103"/>
        <v/>
      </c>
      <c r="GN24" s="460" t="str">
        <f t="shared" si="104"/>
        <v/>
      </c>
      <c r="GO24" s="460" t="str">
        <f t="shared" si="105"/>
        <v/>
      </c>
      <c r="GP24" s="460" t="str">
        <f t="shared" si="106"/>
        <v/>
      </c>
      <c r="GQ24" s="460" t="str">
        <f t="shared" si="107"/>
        <v/>
      </c>
      <c r="GR24" s="460" t="str">
        <f t="shared" si="108"/>
        <v/>
      </c>
      <c r="GS24" s="460" t="str">
        <f t="shared" si="109"/>
        <v/>
      </c>
      <c r="GT24" s="460" t="str">
        <f t="shared" si="110"/>
        <v/>
      </c>
      <c r="GU24" s="460" t="str">
        <f t="shared" si="111"/>
        <v/>
      </c>
      <c r="GV24" s="460" t="str">
        <f t="shared" si="112"/>
        <v/>
      </c>
      <c r="GW24" s="460" t="str">
        <f t="shared" si="113"/>
        <v/>
      </c>
      <c r="GX24" s="460" t="str">
        <f t="shared" si="114"/>
        <v/>
      </c>
      <c r="GY24" s="460" t="str">
        <f t="shared" si="115"/>
        <v/>
      </c>
      <c r="GZ24" s="460" t="str">
        <f t="shared" si="116"/>
        <v/>
      </c>
      <c r="HA24" s="460" t="str">
        <f t="shared" si="117"/>
        <v/>
      </c>
      <c r="HB24" s="460" t="str">
        <f t="shared" si="118"/>
        <v/>
      </c>
      <c r="HC24" s="460" t="str">
        <f t="shared" si="119"/>
        <v/>
      </c>
      <c r="HD24" s="460" t="str">
        <f t="shared" si="120"/>
        <v/>
      </c>
      <c r="HE24" s="460" t="str">
        <f t="shared" si="121"/>
        <v/>
      </c>
      <c r="HF24" s="460" t="str">
        <f t="shared" si="122"/>
        <v/>
      </c>
      <c r="HG24" s="460" t="str">
        <f t="shared" si="123"/>
        <v/>
      </c>
      <c r="HH24" s="460" t="str">
        <f t="shared" si="124"/>
        <v/>
      </c>
      <c r="HI24" s="460" t="str">
        <f t="shared" si="125"/>
        <v/>
      </c>
      <c r="HJ24" s="460" t="str">
        <f t="shared" si="126"/>
        <v/>
      </c>
      <c r="HK24" s="460" t="str">
        <f t="shared" si="127"/>
        <v/>
      </c>
      <c r="HL24" s="460" t="str">
        <f t="shared" si="128"/>
        <v/>
      </c>
      <c r="HM24" s="460" t="str">
        <f t="shared" si="129"/>
        <v/>
      </c>
      <c r="HN24" s="460" t="str">
        <f t="shared" si="130"/>
        <v/>
      </c>
      <c r="HO24" s="460" t="str">
        <f t="shared" si="131"/>
        <v/>
      </c>
      <c r="HP24" s="460" t="str">
        <f t="shared" si="132"/>
        <v/>
      </c>
      <c r="HQ24" s="460" t="str">
        <f t="shared" si="133"/>
        <v/>
      </c>
      <c r="HR24" s="460" t="str">
        <f t="shared" si="134"/>
        <v/>
      </c>
      <c r="HS24" s="460" t="str">
        <f t="shared" si="135"/>
        <v/>
      </c>
      <c r="HT24" s="460" t="str">
        <f t="shared" si="136"/>
        <v/>
      </c>
      <c r="HU24" s="460" t="str">
        <f t="shared" si="137"/>
        <v/>
      </c>
      <c r="HV24" s="460" t="str">
        <f t="shared" si="138"/>
        <v/>
      </c>
      <c r="HW24" s="460" t="str">
        <f t="shared" si="139"/>
        <v/>
      </c>
      <c r="HX24" s="460" t="str">
        <f t="shared" si="140"/>
        <v/>
      </c>
      <c r="HY24" s="460" t="str">
        <f t="shared" si="141"/>
        <v/>
      </c>
      <c r="HZ24" s="460" t="str">
        <f t="shared" si="142"/>
        <v/>
      </c>
      <c r="IA24" s="460" t="str">
        <f t="shared" si="143"/>
        <v/>
      </c>
      <c r="IB24" s="460" t="str">
        <f t="shared" si="144"/>
        <v/>
      </c>
      <c r="IC24" s="460" t="str">
        <f t="shared" si="145"/>
        <v/>
      </c>
      <c r="ID24" s="674" t="str">
        <f t="shared" si="146"/>
        <v/>
      </c>
      <c r="IE24" s="250"/>
    </row>
    <row r="25" spans="1:239" ht="19.5" customHeight="1">
      <c r="A25" s="611">
        <f t="shared" si="147"/>
        <v>0</v>
      </c>
      <c r="B25" s="558" t="s">
        <v>37</v>
      </c>
      <c r="C25" s="556" t="s">
        <v>6</v>
      </c>
      <c r="D25" s="549" t="s">
        <v>14</v>
      </c>
      <c r="E25" s="550" t="s">
        <v>13</v>
      </c>
      <c r="F25" s="68"/>
      <c r="G25" s="121"/>
      <c r="H25" s="51">
        <f t="shared" ca="1" si="35"/>
        <v>19</v>
      </c>
      <c r="I25" s="379">
        <f t="shared" si="36"/>
        <v>36923</v>
      </c>
      <c r="J25" s="377"/>
      <c r="K25" s="104" t="s">
        <v>488</v>
      </c>
      <c r="L25" s="392">
        <f t="shared" si="37"/>
        <v>0</v>
      </c>
      <c r="M25" s="171"/>
      <c r="N25" s="382">
        <v>0</v>
      </c>
      <c r="O25" s="171">
        <f t="shared" si="38"/>
        <v>0</v>
      </c>
      <c r="P25" s="377"/>
      <c r="Q25" s="103" t="s">
        <v>488</v>
      </c>
      <c r="R25" s="377">
        <f t="shared" ca="1" si="148"/>
        <v>0</v>
      </c>
      <c r="S25" s="832">
        <f t="shared" si="164"/>
        <v>0.37265625000000002</v>
      </c>
      <c r="T25" s="831">
        <f t="shared" si="149"/>
        <v>0.94559951121504016</v>
      </c>
      <c r="U25" s="545">
        <f t="shared" si="150"/>
        <v>0.99644042968750002</v>
      </c>
      <c r="V25" s="389">
        <v>0</v>
      </c>
      <c r="W25" s="434">
        <f t="shared" si="39"/>
        <v>0</v>
      </c>
      <c r="X25" s="415">
        <f t="shared" si="40"/>
        <v>0</v>
      </c>
      <c r="Y25" s="322">
        <f t="shared" si="41"/>
        <v>0</v>
      </c>
      <c r="Z25" s="322">
        <f t="shared" ca="1" si="42"/>
        <v>0</v>
      </c>
      <c r="AA25" s="429">
        <f t="shared" si="1"/>
        <v>0</v>
      </c>
      <c r="AB25" s="433">
        <f t="shared" ca="1" si="2"/>
        <v>0</v>
      </c>
      <c r="AC25" s="226">
        <v>36913</v>
      </c>
      <c r="AD25" s="227">
        <v>36908</v>
      </c>
      <c r="AE25" s="227">
        <v>36907</v>
      </c>
      <c r="AF25" s="228">
        <v>36902</v>
      </c>
      <c r="AG25" s="249" t="s">
        <v>498</v>
      </c>
      <c r="AH25" s="247" t="s">
        <v>498</v>
      </c>
      <c r="AI25" s="146">
        <v>20</v>
      </c>
      <c r="AJ25" s="41">
        <v>14</v>
      </c>
      <c r="AK25" s="41">
        <v>6</v>
      </c>
      <c r="AL25" s="293">
        <v>20</v>
      </c>
      <c r="AM25" s="41">
        <v>8</v>
      </c>
      <c r="AN25" s="147">
        <v>12</v>
      </c>
      <c r="AO25" s="374"/>
      <c r="AP25" s="153">
        <f t="shared" ca="1" si="43"/>
        <v>1</v>
      </c>
      <c r="AQ25" s="374"/>
      <c r="AR25" s="153">
        <f t="shared" ca="1" si="151"/>
        <v>1</v>
      </c>
      <c r="AS25" s="272">
        <f t="shared" si="3"/>
        <v>0</v>
      </c>
      <c r="AT25" s="157">
        <f t="shared" si="44"/>
        <v>0</v>
      </c>
      <c r="AU25" s="157">
        <f t="shared" si="4"/>
        <v>0</v>
      </c>
      <c r="AV25" s="271">
        <f t="shared" ca="1" si="163"/>
        <v>9.9999999999999995E-7</v>
      </c>
      <c r="AW25" s="158">
        <f t="shared" ca="1" si="5"/>
        <v>2</v>
      </c>
      <c r="AX25" s="157">
        <f t="shared" ca="1" si="152"/>
        <v>1.7999999999999999E-2</v>
      </c>
      <c r="AY25" s="157">
        <f t="shared" ca="1" si="153"/>
        <v>1.2999999999999996E-2</v>
      </c>
      <c r="AZ25" s="157">
        <f t="shared" ca="1" si="154"/>
        <v>7.999999999999995E-3</v>
      </c>
      <c r="BA25" s="157">
        <f t="shared" ca="1" si="155"/>
        <v>1.4599965911678144E-3</v>
      </c>
      <c r="BB25" s="157">
        <f t="shared" ca="1" si="156"/>
        <v>1.9620078766348281E-3</v>
      </c>
      <c r="BC25" s="157">
        <f t="shared" ca="1" si="157"/>
        <v>2.4630846694976604E-3</v>
      </c>
      <c r="BD25" s="151">
        <f t="shared" ca="1" si="45"/>
        <v>30</v>
      </c>
      <c r="BE25" s="152">
        <f t="shared" ca="1" si="46"/>
        <v>30</v>
      </c>
      <c r="BF25" s="40">
        <f t="shared" si="7"/>
        <v>2001</v>
      </c>
      <c r="BG25" s="144">
        <f t="shared" si="8"/>
        <v>2</v>
      </c>
      <c r="BH25" s="145">
        <f t="shared" ca="1" si="47"/>
        <v>163</v>
      </c>
      <c r="BI25" s="313">
        <f t="shared" ca="1" si="9"/>
        <v>0.48733744010951402</v>
      </c>
      <c r="BJ25" s="42">
        <f t="shared" ca="1" si="10"/>
        <v>0.5390828199863108</v>
      </c>
      <c r="BK25" s="42">
        <f t="shared" ca="1" si="11"/>
        <v>0.54182067077344287</v>
      </c>
      <c r="BL25" s="42">
        <f t="shared" ca="1" si="12"/>
        <v>0.5612594113620808</v>
      </c>
      <c r="BM25" s="150" t="e">
        <f t="shared" ca="1" si="13"/>
        <v>#DIV/0!</v>
      </c>
      <c r="BN25" s="42" t="e">
        <f t="shared" ca="1" si="14"/>
        <v>#DIV/0!</v>
      </c>
      <c r="BO25" s="293">
        <f t="shared" si="48"/>
        <v>20</v>
      </c>
      <c r="BP25" s="41">
        <f t="shared" si="49"/>
        <v>14</v>
      </c>
      <c r="BQ25" s="41">
        <f t="shared" si="50"/>
        <v>6</v>
      </c>
      <c r="BR25" s="305">
        <f t="shared" ca="1" si="15"/>
        <v>-0.05</v>
      </c>
      <c r="BS25" s="305">
        <f t="shared" ca="1" si="16"/>
        <v>-1</v>
      </c>
      <c r="BT25" s="307">
        <f t="shared" ca="1" si="17"/>
        <v>-1</v>
      </c>
      <c r="BU25" s="161">
        <f t="shared" ca="1" si="18"/>
        <v>-0.05</v>
      </c>
      <c r="BV25" s="161">
        <f t="shared" ca="1" si="19"/>
        <v>-0.05</v>
      </c>
      <c r="BW25" s="308">
        <f t="shared" ca="1" si="20"/>
        <v>0</v>
      </c>
      <c r="BX25" s="309">
        <f t="shared" ca="1" si="21"/>
        <v>0</v>
      </c>
      <c r="BY25" s="308">
        <f t="shared" ca="1" si="51"/>
        <v>5.0000000000000027E-3</v>
      </c>
      <c r="BZ25" s="309">
        <f t="shared" ca="1" si="52"/>
        <v>5.0000000000000027E-3</v>
      </c>
      <c r="CA25" s="154">
        <f t="shared" ca="1" si="22"/>
        <v>5.3000000000000019E-2</v>
      </c>
      <c r="CB25" s="154">
        <f t="shared" ca="1" si="23"/>
        <v>5.3000000000000019E-2</v>
      </c>
      <c r="CC25" s="154">
        <f t="shared" ca="1" si="24"/>
        <v>5.3000000000000019E-2</v>
      </c>
      <c r="CD25" s="154">
        <f t="shared" ca="1" si="25"/>
        <v>5.3000000000000019E-2</v>
      </c>
      <c r="CE25" s="310">
        <v>1</v>
      </c>
      <c r="CF25" s="162" t="e">
        <f ca="1">IF(BD25,_xll.xCrudeAPO(BU25,BV25,CA25,CB25,S26,S27,BI25,BL25,BP25,BQ25,0,Strike1,AO25,CE25,0,BL25,IF(OptControl=4,0,1),0,1),0)</f>
        <v>#VALUE!</v>
      </c>
      <c r="CG25" s="163" t="e">
        <f ca="1">IF(BD25,_xll.xCrudeAPO(BU25,BV25,CA25,CB25,S26,S27,BI25,BL25,BP25,BQ25,0,Strike1,AO25,CE25,0,BL25,IF(OptControl=4,0,1),1,1)+_xll.xCrudeAPO(BU25,BV25,CA25,CB25,S26,S27,BI25,BL25,BP25,BQ25,0,Strike1,AO25,CE25,0,BL25,IF(OptControl=4,0,1),1,2)+IF(OR(VolSkewFlag=2,ABS(BS25)&lt;0.0001),0,IF(BS25&gt;0,-1,1)*CH25*Strike1/BR25^2*BY25/10%),0)</f>
        <v>#VALUE!</v>
      </c>
      <c r="CH25" s="163" t="e">
        <f ca="1">IF(BD25,(_xll.xCrudeAPO(BU25,BV25,CA25,CB25,S26,S27,BI25,BL25,BP25,BQ25,0,Strike1,AO25,CE25,0,BL25,IF(OptControl=4,0,1),3,1)+_xll.xCrudeAPO(BU25,BV25,CA25,CB25,S26,S27,BI25,BL25,BP25,BQ25,0,Strike1,AO25,CE25,0,BL25,IF(OptControl=4,0,1),3,2))/100,0)</f>
        <v>#VALUE!</v>
      </c>
      <c r="CI25" s="163" t="e">
        <f ca="1">IF(BD25,_xll.xCrudeAPO(BU25,BV25,CA25,CB25,S26,S27,BI25-DaysForThetaCalculation/365.25,BL25-DaysForThetaCalculation/365.25,BP25,BQ25,0,Strike1,AO25,CE25,0,BL25,IF(OptControl=4,0,1),0,1)-_xll.xCrudeAPO(BU25,BV25,CA25,CB25,S26,S27,BI25,BL25,BP25,BQ25,0,Strike1,AO25,CE25,0,BL25,IF(OptControl=4,0,1),0,1),0)</f>
        <v>#VALUE!</v>
      </c>
      <c r="CJ25" s="311" t="e">
        <f ca="1">IF(BD25,_xll.xCrudeAPO(BU25,BV25,CC25,CD25,S26,S27,BI25,BL25,BP25,BQ25,0,Strike2,AO25,CE25,0,BL25,IF(OptControl=3,1,0),0,1),0)</f>
        <v>#VALUE!</v>
      </c>
      <c r="CK25" s="163" t="e">
        <f ca="1">IF(BD25,_xll.xCrudeAPO(BU25,BV25,CC25,CD25,S26,S27,BI25,BL25,BP25,BQ25,0,Strike2,AO25,CE25,0,BL25,IF(OptControl=3,1,0),1,1)+_xll.xCrudeAPO(BU25,BV25,CC25,CD25,S26,S27,BI25,BL25,BP25,BQ25,0,Strike2,AO25,CE25,0,BL25,IF(OptControl=3,1,0),1,2)+IF(OR(VolSkewFlag=2,ABS(BT25)&lt;0.0001),0,IF(BT25&gt;0,-1,1)*CL25*Strike2/BR25^2*BZ25/10%),0)</f>
        <v>#VALUE!</v>
      </c>
      <c r="CL25" s="163" t="e">
        <f ca="1">IF(BD25,(_xll.xCrudeAPO(BU25,BV25,CC25,CD25,S26,S27,BI25,BL25,BP25,BQ25,0,Strike2,AO25,CE25,0,BL25,IF(OptControl=3,1,0),3,1)+_xll.xCrudeAPO(BU25,BV25,CC25,CD25,S26,S27,BI25,BL25,BP25,BQ25,0,Strike2,AO25,CE25,0,BL25,IF(OptControl=3,1,0),3,2))/100,0)</f>
        <v>#VALUE!</v>
      </c>
      <c r="CM25" s="164" t="e">
        <f ca="1">IF(BD25,_xll.xCrudeAPO(BU25,BV25,CC25,CD25,S26,S27,BI25-DaysForThetaCalculation/365.25,BL25-DaysForThetaCalculation/365.25,BP25,BQ25,0,Strike2,AO25,CE25,0,BL25,IF(OptControl=3,1,0),0,1)-_xll.xCrudeAPO(BU25,BV25,CC25,CD25,S26,S27,BI25,BL25,BP25,BQ25,0,Strike2,AO25,CE25,0,BL25,IF(OptControl=3,1,0),0,1),0)</f>
        <v>#VALUE!</v>
      </c>
      <c r="CN25" s="508"/>
      <c r="CO25" s="796">
        <f t="shared" ca="1" si="53"/>
        <v>163</v>
      </c>
      <c r="CP25" s="800">
        <f t="shared" ca="1" si="54"/>
        <v>0</v>
      </c>
      <c r="CQ25" s="797" t="e">
        <f t="shared" ca="1" si="55"/>
        <v>#DIV/0!</v>
      </c>
      <c r="CR25" s="797" t="e">
        <f t="shared" ca="1" si="56"/>
        <v>#DIV/0!</v>
      </c>
      <c r="CS25" s="797" t="e">
        <f t="shared" ca="1" si="57"/>
        <v>#DIV/0!</v>
      </c>
      <c r="CT25" s="797" t="e">
        <f t="shared" ca="1" si="58"/>
        <v>#DIV/0!</v>
      </c>
      <c r="CU25" s="798">
        <f t="shared" ca="1" si="59"/>
        <v>0</v>
      </c>
      <c r="CV25" s="799" t="e">
        <f t="shared" ca="1" si="60"/>
        <v>#DIV/0!</v>
      </c>
      <c r="CW25" s="799" t="e">
        <f t="shared" ca="1" si="61"/>
        <v>#DIV/0!</v>
      </c>
      <c r="CX25" s="163" t="e">
        <f ca="1">IF(BD25,_xll.EURO(CP25,Strike1,AO25,AO25,CV25,CO25,IF(OptControl=4,0,1),0),0)</f>
        <v>#DIV/0!</v>
      </c>
      <c r="CY25" s="163" t="e">
        <f ca="1">IF(BD25,_xll.EURO(CP25,Strike1,AO25,AO25,CV25,CO25,IF(OptControl=4,0,1),1)+IF(OR(VolSkewFlag=2,ABS(CQ25)&lt;0.0001),0,IF(CQ25&gt;0,-1,1)*CZ25*100*Strike1/CP25^2*CS25/10%),0)</f>
        <v>#DIV/0!</v>
      </c>
      <c r="CZ25" s="163" t="e">
        <f ca="1">IF(BD25,_xll.EURO(CP25,Strike1,AO25,AO25,CV25,CO25,IF(OptControl=4,0,1),3)/100,0)</f>
        <v>#DIV/0!</v>
      </c>
      <c r="DA25" s="163" t="e">
        <f ca="1">IF(BD25,_xll.EURO(CP25,Strike1,AO25,AO25,CV25,CO25,IF(OptControl=4,0,1),0)-_xll.EURO(CP25,Strike1,AO25,AO25,CV25,CO25-1,IF(OptControl=4,0,1),0),0)</f>
        <v>#DIV/0!</v>
      </c>
      <c r="DB25" s="163" t="e">
        <f ca="1">IF(BD25,_xll.EURO(CP25,Strike2,AO25,AO25,CW25,CO25,IF(OptControl=3,1,0),0),0)</f>
        <v>#DIV/0!</v>
      </c>
      <c r="DC25" s="163" t="e">
        <f ca="1">IF(BD25,_xll.EURO(CP25,Strike2,AO25,AO25,CW25,CO25,IF(OptControl=3,1,0),1)+IF(OR(VolSkewFlag=2,ABS(CR25)&lt;0.0001),0,IF(CR25&gt;0,-1,1)*DD25*100*Strike2/CP25^2*CT25/10%),0)</f>
        <v>#DIV/0!</v>
      </c>
      <c r="DD25" s="163" t="e">
        <f ca="1">IF(BD25,_xll.EURO(CP25,Strike2,AO25,AO25,CW25,CO25,IF(OptControl=3,1,0),3)/100,0)</f>
        <v>#DIV/0!</v>
      </c>
      <c r="DE25" s="164" t="e">
        <f ca="1">IF(BD25,_xll.EURO(CP25,Strike2,AO25,AO25,CW25,CO25,IF(OptControl=3,1,0),0)-_xll.EURO(CP25,Strike2,AO25,AO25,CW25,CO25-1,IF(OptControl=3,1,0),0),0)</f>
        <v>#DIV/0!</v>
      </c>
      <c r="DF25" s="508"/>
      <c r="DG25" s="667">
        <f t="shared" ca="1" si="62"/>
        <v>36708</v>
      </c>
      <c r="DH25" s="475">
        <v>26.7</v>
      </c>
      <c r="DI25" s="665">
        <v>25.84</v>
      </c>
      <c r="DJ25" s="666">
        <f t="shared" ca="1" si="26"/>
        <v>36708</v>
      </c>
      <c r="DK25" s="475">
        <v>24.81</v>
      </c>
      <c r="DL25" s="665">
        <v>24.04</v>
      </c>
      <c r="DM25" s="667">
        <f t="shared" ca="1" si="27"/>
        <v>36708</v>
      </c>
      <c r="DN25" s="668">
        <f t="shared" si="28"/>
        <v>24.86</v>
      </c>
      <c r="DO25" s="667">
        <f t="shared" ca="1" si="63"/>
        <v>36708</v>
      </c>
      <c r="DP25" s="579">
        <f t="shared" si="64"/>
        <v>24.64</v>
      </c>
      <c r="DQ25" s="821">
        <v>0.6</v>
      </c>
      <c r="DR25" s="666">
        <f t="shared" ca="1" si="29"/>
        <v>36708</v>
      </c>
      <c r="DS25" s="669">
        <v>0.31424999999999997</v>
      </c>
      <c r="DT25" s="606">
        <v>0.29785</v>
      </c>
      <c r="DU25" s="666">
        <f t="shared" ca="1" si="30"/>
        <v>36708</v>
      </c>
      <c r="DV25" s="669">
        <v>0.31424999999999997</v>
      </c>
      <c r="DW25" s="606">
        <v>0.29785</v>
      </c>
      <c r="DX25" s="667">
        <f t="shared" ca="1" si="31"/>
        <v>36708</v>
      </c>
      <c r="DY25" s="606">
        <v>0.35499999999999998</v>
      </c>
      <c r="DZ25" s="667">
        <f t="shared" ca="1" si="65"/>
        <v>36708</v>
      </c>
      <c r="EA25" s="606">
        <f t="shared" si="66"/>
        <v>0.29785</v>
      </c>
      <c r="EB25" s="1"/>
      <c r="EC25" s="118">
        <f t="shared" ca="1" si="32"/>
        <v>0</v>
      </c>
      <c r="ED25" s="119">
        <f t="shared" ca="1" si="33"/>
        <v>5.3000000000000019E-2</v>
      </c>
      <c r="EE25" s="112">
        <f t="shared" ca="1" si="34"/>
        <v>5.3000000000000019E-2</v>
      </c>
      <c r="EF25" s="120" t="e">
        <f ca="1">IF(BD25,_xll.xASN(BR25,Strike1,AO25,ED25,0,BO25,0,BI25,BL25,IF(OptControl=4,0,1),0),0)</f>
        <v>#VALUE!</v>
      </c>
      <c r="EG25" s="111" t="e">
        <f ca="1">IF(BD25,_xll.xASN(BR25,Strike2,AO25,EE25,0,BO25,0,BI25,BL25,IF(OptControl=3,1,0),0),0)</f>
        <v>#VALUE!</v>
      </c>
      <c r="EI25" s="483" t="str">
        <f>[1]!'CLc6 MTH'</f>
        <v>FEB1</v>
      </c>
      <c r="EJ25" s="484">
        <f t="shared" si="158"/>
        <v>36923</v>
      </c>
      <c r="EK25" s="485">
        <f>[1]!'CLc6 NET.CHNG'</f>
        <v>0.19</v>
      </c>
      <c r="EL25" s="486">
        <f t="shared" si="159"/>
        <v>19</v>
      </c>
      <c r="EM25" s="1"/>
      <c r="EN25" s="697">
        <v>36637</v>
      </c>
      <c r="EO25" s="698">
        <v>37615</v>
      </c>
      <c r="EP25" s="1"/>
      <c r="EQ25" s="683" t="s">
        <v>129</v>
      </c>
      <c r="ES25" s="498">
        <v>6</v>
      </c>
      <c r="ET25" s="476">
        <f t="shared" ca="1" si="165"/>
        <v>0.4462696783025325</v>
      </c>
      <c r="EU25" s="842">
        <f t="shared" ca="1" si="67"/>
        <v>0</v>
      </c>
      <c r="EV25" s="815">
        <f t="shared" ca="1" si="160"/>
        <v>0.30360123174300452</v>
      </c>
      <c r="EW25" s="478">
        <f t="shared" ca="1" si="161"/>
        <v>0.68181818181818177</v>
      </c>
      <c r="EX25" s="477">
        <f t="shared" ca="1" si="162"/>
        <v>0.29451002749397959</v>
      </c>
      <c r="EY25" s="250">
        <v>0</v>
      </c>
      <c r="EZ25" s="605">
        <f ca="1">IF(OR(EW25="",EW26=""),"",SQRT(SUM(INDEX(FK25:ID25,SwaptionFirstMonthPosition+1):INDEX(FK25:ID25,FJ25))/SUM(INDEX($FK$15:$ID$15,SwaptionFirstMonthPosition+1):INDEX($FK$15:$ID$15,FJ25))))</f>
        <v>0.37265625000000002</v>
      </c>
      <c r="FA25" s="581" t="str">
        <f ca="1">IF(OR(EW25="",EW24=""),"",SQRT(SUM(INDEX(FK25:ID25,SwaptionFirstMonthPosition+1):INDEX(FK25:ID25,FJ25-1))/SUM(INDEX($FK$15:$ID$15,SwaptionFirstMonthPosition+1):INDEX($FK$15:$ID$15,FJ25-1))))</f>
        <v/>
      </c>
      <c r="FB25" s="578">
        <f t="shared" ca="1" si="68"/>
        <v>0.33463160253743585</v>
      </c>
      <c r="FC25" s="609">
        <f t="shared" ca="1" si="69"/>
        <v>190.5</v>
      </c>
      <c r="FD25" s="579">
        <f t="shared" ca="1" si="70"/>
        <v>-0.05</v>
      </c>
      <c r="FE25" s="579">
        <f t="shared" ca="1" si="71"/>
        <v>-1</v>
      </c>
      <c r="FF25" s="579">
        <f t="shared" ca="1" si="72"/>
        <v>-1</v>
      </c>
      <c r="FG25" s="580">
        <f t="shared" ca="1" si="73"/>
        <v>5.3000000000000019E-2</v>
      </c>
      <c r="FH25" s="606">
        <f t="shared" ca="1" si="74"/>
        <v>5.3000000000000019E-2</v>
      </c>
      <c r="FI25" s="250"/>
      <c r="FJ25" s="673">
        <v>6</v>
      </c>
      <c r="FK25" s="460">
        <f t="shared" ca="1" si="75"/>
        <v>0</v>
      </c>
      <c r="FL25" s="460">
        <f t="shared" ca="1" si="76"/>
        <v>5.1595702221612387E-3</v>
      </c>
      <c r="FM25" s="460">
        <f t="shared" ca="1" si="77"/>
        <v>6.9765232447868194E-3</v>
      </c>
      <c r="FN25" s="460">
        <f t="shared" ca="1" si="78"/>
        <v>7.0257614157486206E-3</v>
      </c>
      <c r="FO25" s="460">
        <f t="shared" ca="1" si="79"/>
        <v>9.0452450425835725E-3</v>
      </c>
      <c r="FP25" s="460">
        <f t="shared" ca="1" si="80"/>
        <v>1.2927231054286446E-2</v>
      </c>
      <c r="FQ25" s="460" t="str">
        <f t="shared" si="81"/>
        <v/>
      </c>
      <c r="FR25" s="460" t="str">
        <f t="shared" si="82"/>
        <v/>
      </c>
      <c r="FS25" s="460" t="str">
        <f t="shared" si="83"/>
        <v/>
      </c>
      <c r="FT25" s="460" t="str">
        <f t="shared" si="84"/>
        <v/>
      </c>
      <c r="FU25" s="460" t="str">
        <f t="shared" si="85"/>
        <v/>
      </c>
      <c r="FV25" s="460" t="str">
        <f t="shared" si="86"/>
        <v/>
      </c>
      <c r="FW25" s="460" t="str">
        <f t="shared" si="87"/>
        <v/>
      </c>
      <c r="FX25" s="460" t="str">
        <f t="shared" si="88"/>
        <v/>
      </c>
      <c r="FY25" s="460" t="str">
        <f t="shared" si="89"/>
        <v/>
      </c>
      <c r="FZ25" s="460" t="str">
        <f t="shared" si="90"/>
        <v/>
      </c>
      <c r="GA25" s="460" t="str">
        <f t="shared" si="91"/>
        <v/>
      </c>
      <c r="GB25" s="460" t="str">
        <f t="shared" si="92"/>
        <v/>
      </c>
      <c r="GC25" s="460" t="str">
        <f t="shared" si="93"/>
        <v/>
      </c>
      <c r="GD25" s="460" t="str">
        <f t="shared" si="94"/>
        <v/>
      </c>
      <c r="GE25" s="460" t="str">
        <f t="shared" si="95"/>
        <v/>
      </c>
      <c r="GF25" s="460" t="str">
        <f t="shared" si="96"/>
        <v/>
      </c>
      <c r="GG25" s="460" t="str">
        <f t="shared" si="97"/>
        <v/>
      </c>
      <c r="GH25" s="460" t="str">
        <f t="shared" si="98"/>
        <v/>
      </c>
      <c r="GI25" s="460" t="str">
        <f t="shared" si="99"/>
        <v/>
      </c>
      <c r="GJ25" s="460" t="str">
        <f t="shared" si="100"/>
        <v/>
      </c>
      <c r="GK25" s="460" t="str">
        <f t="shared" si="101"/>
        <v/>
      </c>
      <c r="GL25" s="460" t="str">
        <f t="shared" si="102"/>
        <v/>
      </c>
      <c r="GM25" s="460" t="str">
        <f t="shared" si="103"/>
        <v/>
      </c>
      <c r="GN25" s="460" t="str">
        <f t="shared" si="104"/>
        <v/>
      </c>
      <c r="GO25" s="460" t="str">
        <f t="shared" si="105"/>
        <v/>
      </c>
      <c r="GP25" s="460" t="str">
        <f t="shared" si="106"/>
        <v/>
      </c>
      <c r="GQ25" s="460" t="str">
        <f t="shared" si="107"/>
        <v/>
      </c>
      <c r="GR25" s="460" t="str">
        <f t="shared" si="108"/>
        <v/>
      </c>
      <c r="GS25" s="460" t="str">
        <f t="shared" si="109"/>
        <v/>
      </c>
      <c r="GT25" s="460" t="str">
        <f t="shared" si="110"/>
        <v/>
      </c>
      <c r="GU25" s="460" t="str">
        <f t="shared" si="111"/>
        <v/>
      </c>
      <c r="GV25" s="460" t="str">
        <f t="shared" si="112"/>
        <v/>
      </c>
      <c r="GW25" s="460" t="str">
        <f t="shared" si="113"/>
        <v/>
      </c>
      <c r="GX25" s="460" t="str">
        <f t="shared" si="114"/>
        <v/>
      </c>
      <c r="GY25" s="460" t="str">
        <f t="shared" si="115"/>
        <v/>
      </c>
      <c r="GZ25" s="460" t="str">
        <f t="shared" si="116"/>
        <v/>
      </c>
      <c r="HA25" s="460" t="str">
        <f t="shared" si="117"/>
        <v/>
      </c>
      <c r="HB25" s="460" t="str">
        <f t="shared" si="118"/>
        <v/>
      </c>
      <c r="HC25" s="460" t="str">
        <f t="shared" si="119"/>
        <v/>
      </c>
      <c r="HD25" s="460" t="str">
        <f t="shared" si="120"/>
        <v/>
      </c>
      <c r="HE25" s="460" t="str">
        <f t="shared" si="121"/>
        <v/>
      </c>
      <c r="HF25" s="460" t="str">
        <f t="shared" si="122"/>
        <v/>
      </c>
      <c r="HG25" s="460" t="str">
        <f t="shared" si="123"/>
        <v/>
      </c>
      <c r="HH25" s="460" t="str">
        <f t="shared" si="124"/>
        <v/>
      </c>
      <c r="HI25" s="460" t="str">
        <f t="shared" si="125"/>
        <v/>
      </c>
      <c r="HJ25" s="460" t="str">
        <f t="shared" si="126"/>
        <v/>
      </c>
      <c r="HK25" s="460" t="str">
        <f t="shared" si="127"/>
        <v/>
      </c>
      <c r="HL25" s="460" t="str">
        <f t="shared" si="128"/>
        <v/>
      </c>
      <c r="HM25" s="460" t="str">
        <f t="shared" si="129"/>
        <v/>
      </c>
      <c r="HN25" s="460" t="str">
        <f t="shared" si="130"/>
        <v/>
      </c>
      <c r="HO25" s="460" t="str">
        <f t="shared" si="131"/>
        <v/>
      </c>
      <c r="HP25" s="460" t="str">
        <f t="shared" si="132"/>
        <v/>
      </c>
      <c r="HQ25" s="460" t="str">
        <f t="shared" si="133"/>
        <v/>
      </c>
      <c r="HR25" s="460" t="str">
        <f t="shared" si="134"/>
        <v/>
      </c>
      <c r="HS25" s="460" t="str">
        <f t="shared" si="135"/>
        <v/>
      </c>
      <c r="HT25" s="460" t="str">
        <f t="shared" si="136"/>
        <v/>
      </c>
      <c r="HU25" s="460" t="str">
        <f t="shared" si="137"/>
        <v/>
      </c>
      <c r="HV25" s="460" t="str">
        <f t="shared" si="138"/>
        <v/>
      </c>
      <c r="HW25" s="460" t="str">
        <f t="shared" si="139"/>
        <v/>
      </c>
      <c r="HX25" s="460" t="str">
        <f t="shared" si="140"/>
        <v/>
      </c>
      <c r="HY25" s="460" t="str">
        <f t="shared" si="141"/>
        <v/>
      </c>
      <c r="HZ25" s="460" t="str">
        <f t="shared" si="142"/>
        <v/>
      </c>
      <c r="IA25" s="460" t="str">
        <f t="shared" si="143"/>
        <v/>
      </c>
      <c r="IB25" s="460" t="str">
        <f t="shared" si="144"/>
        <v/>
      </c>
      <c r="IC25" s="460" t="str">
        <f t="shared" si="145"/>
        <v/>
      </c>
      <c r="ID25" s="674" t="str">
        <f t="shared" si="146"/>
        <v/>
      </c>
      <c r="IE25" s="250"/>
    </row>
    <row r="26" spans="1:239" ht="17.25" customHeight="1" thickBot="1">
      <c r="A26" s="611">
        <f t="shared" si="147"/>
        <v>0</v>
      </c>
      <c r="B26" s="559">
        <f ca="1">DateStart2-1</f>
        <v>36891</v>
      </c>
      <c r="C26" s="169" t="s">
        <v>76</v>
      </c>
      <c r="D26" s="536">
        <f ca="1">SUMPRODUCT(CHOOSE(Underlying,X19:X258,Z19:Z258),BE19:BE258,AP19:AP258)/E33</f>
        <v>0</v>
      </c>
      <c r="E26" s="545" t="e">
        <f ca="1">_xll.xBASVOL(INDEX(L20:L91,SwaptionFirstMonthPosition+1):INDEX(L20:L91,SwaptionFirstMonthPosition+SwaptionNumOfMonths+1),INDEX(EX20:EX91,SwaptionFirstMonthPosition+1):INDEX(EX20:EX91,SwaptionFirstMonthPosition+SwaptionNumOfMonths+1),INDEX(EY20:EY91,SwaptionFirstMonthPosition+1):INDEX(EY20:EY91,SwaptionFirstMonthPosition+SwaptionNumOfMonths+1),INDEX(EW20:EW91,SwaptionFirstMonthPosition+1):INDEX(EW20:EW91,SwaptionFirstMonthPosition+SwaptionNumOfMonths+1),INDEX(FK170:ID241,SwaptionFirstMonthPosition+1,SwaptionFirstMonthPosition+1):INDEX(FK170:ID241,SwaptionFirstMonthPosition+SwaptionNumOfMonths+1,SwaptionFirstMonthPosition+SwaptionNumOfMonths+1),(DateStart2-DateToday)/365.25)</f>
        <v>#NUM!</v>
      </c>
      <c r="F26" s="165"/>
      <c r="G26" s="552"/>
      <c r="H26" s="51">
        <f t="shared" ca="1" si="35"/>
        <v>2</v>
      </c>
      <c r="I26" s="379">
        <f t="shared" si="36"/>
        <v>36951</v>
      </c>
      <c r="J26" s="377"/>
      <c r="K26" s="104" t="s">
        <v>488</v>
      </c>
      <c r="L26" s="392">
        <f t="shared" si="37"/>
        <v>0</v>
      </c>
      <c r="M26" s="171"/>
      <c r="N26" s="382">
        <v>0</v>
      </c>
      <c r="O26" s="171">
        <f t="shared" si="38"/>
        <v>0</v>
      </c>
      <c r="P26" s="377"/>
      <c r="Q26" s="103" t="s">
        <v>488</v>
      </c>
      <c r="R26" s="377">
        <f t="shared" ca="1" si="148"/>
        <v>0</v>
      </c>
      <c r="S26" s="832">
        <f t="shared" si="164"/>
        <v>0.36949218750000001</v>
      </c>
      <c r="T26" s="831">
        <f t="shared" si="149"/>
        <v>0.95383495282856312</v>
      </c>
      <c r="U26" s="545">
        <f t="shared" si="150"/>
        <v>0.99733032226562501</v>
      </c>
      <c r="V26" s="389">
        <v>0</v>
      </c>
      <c r="W26" s="434">
        <f t="shared" si="39"/>
        <v>0</v>
      </c>
      <c r="X26" s="415">
        <f t="shared" si="40"/>
        <v>0</v>
      </c>
      <c r="Y26" s="322">
        <f t="shared" si="41"/>
        <v>0</v>
      </c>
      <c r="Z26" s="322">
        <f t="shared" ca="1" si="42"/>
        <v>0</v>
      </c>
      <c r="AA26" s="429">
        <f t="shared" si="1"/>
        <v>0</v>
      </c>
      <c r="AB26" s="433">
        <f t="shared" ca="1" si="2"/>
        <v>0</v>
      </c>
      <c r="AC26" s="226">
        <v>36942</v>
      </c>
      <c r="AD26" s="227">
        <v>36936</v>
      </c>
      <c r="AE26" s="227">
        <v>36935</v>
      </c>
      <c r="AF26" s="228">
        <v>36931</v>
      </c>
      <c r="AG26" s="249" t="s">
        <v>498</v>
      </c>
      <c r="AH26" s="247" t="s">
        <v>498</v>
      </c>
      <c r="AI26" s="146">
        <v>22</v>
      </c>
      <c r="AJ26" s="41">
        <v>14</v>
      </c>
      <c r="AK26" s="41">
        <v>8</v>
      </c>
      <c r="AL26" s="293">
        <v>22</v>
      </c>
      <c r="AM26" s="41">
        <v>11</v>
      </c>
      <c r="AN26" s="147">
        <v>11</v>
      </c>
      <c r="AO26" s="374"/>
      <c r="AP26" s="153">
        <f t="shared" ca="1" si="43"/>
        <v>1</v>
      </c>
      <c r="AQ26" s="374"/>
      <c r="AR26" s="153">
        <f t="shared" ca="1" si="151"/>
        <v>1</v>
      </c>
      <c r="AS26" s="272">
        <f t="shared" si="3"/>
        <v>0</v>
      </c>
      <c r="AT26" s="157">
        <f t="shared" si="44"/>
        <v>0</v>
      </c>
      <c r="AU26" s="157">
        <f t="shared" si="4"/>
        <v>0</v>
      </c>
      <c r="AV26" s="271">
        <f t="shared" ca="1" si="163"/>
        <v>9.9999999999999995E-7</v>
      </c>
      <c r="AW26" s="158">
        <f t="shared" ca="1" si="5"/>
        <v>2</v>
      </c>
      <c r="AX26" s="157">
        <f t="shared" ca="1" si="152"/>
        <v>1.8000000000000002E-2</v>
      </c>
      <c r="AY26" s="157">
        <f t="shared" ca="1" si="153"/>
        <v>1.2999999999999999E-2</v>
      </c>
      <c r="AZ26" s="157">
        <f t="shared" ca="1" si="154"/>
        <v>7.9999999999999984E-3</v>
      </c>
      <c r="BA26" s="157">
        <f t="shared" ca="1" si="155"/>
        <v>1.3707550929608681E-3</v>
      </c>
      <c r="BB26" s="157">
        <f t="shared" ca="1" si="156"/>
        <v>1.8761425449123877E-3</v>
      </c>
      <c r="BC26" s="157">
        <f t="shared" ca="1" si="157"/>
        <v>2.3790548239866357E-3</v>
      </c>
      <c r="BD26" s="151">
        <f t="shared" ca="1" si="45"/>
        <v>30</v>
      </c>
      <c r="BE26" s="152">
        <f t="shared" ca="1" si="46"/>
        <v>30</v>
      </c>
      <c r="BF26" s="40">
        <f t="shared" si="7"/>
        <v>2001</v>
      </c>
      <c r="BG26" s="144">
        <f t="shared" si="8"/>
        <v>3</v>
      </c>
      <c r="BH26" s="145">
        <f t="shared" ca="1" si="47"/>
        <v>191</v>
      </c>
      <c r="BI26" s="313">
        <f t="shared" ca="1" si="9"/>
        <v>0.56399726214921286</v>
      </c>
      <c r="BJ26" s="42">
        <f t="shared" ca="1" si="10"/>
        <v>0.61626532263082567</v>
      </c>
      <c r="BK26" s="42">
        <f t="shared" ca="1" si="11"/>
        <v>0.61900317341795774</v>
      </c>
      <c r="BL26" s="42">
        <f t="shared" ca="1" si="12"/>
        <v>0.6461327857631759</v>
      </c>
      <c r="BM26" s="150" t="e">
        <f t="shared" ca="1" si="13"/>
        <v>#DIV/0!</v>
      </c>
      <c r="BN26" s="42" t="e">
        <f t="shared" ca="1" si="14"/>
        <v>#DIV/0!</v>
      </c>
      <c r="BO26" s="293">
        <f t="shared" si="48"/>
        <v>22</v>
      </c>
      <c r="BP26" s="41">
        <f t="shared" si="49"/>
        <v>14</v>
      </c>
      <c r="BQ26" s="41">
        <f t="shared" si="50"/>
        <v>8</v>
      </c>
      <c r="BR26" s="305">
        <f t="shared" ca="1" si="15"/>
        <v>-0.05</v>
      </c>
      <c r="BS26" s="305">
        <f t="shared" ca="1" si="16"/>
        <v>-1</v>
      </c>
      <c r="BT26" s="307">
        <f t="shared" ca="1" si="17"/>
        <v>-1</v>
      </c>
      <c r="BU26" s="161">
        <f t="shared" ca="1" si="18"/>
        <v>-0.05</v>
      </c>
      <c r="BV26" s="161">
        <f t="shared" ca="1" si="19"/>
        <v>-0.05</v>
      </c>
      <c r="BW26" s="308">
        <f t="shared" ca="1" si="20"/>
        <v>0</v>
      </c>
      <c r="BX26" s="309">
        <f t="shared" ca="1" si="21"/>
        <v>0</v>
      </c>
      <c r="BY26" s="308">
        <f t="shared" ca="1" si="51"/>
        <v>5.0000000000000027E-3</v>
      </c>
      <c r="BZ26" s="309">
        <f t="shared" ca="1" si="52"/>
        <v>5.0000000000000027E-3</v>
      </c>
      <c r="CA26" s="154">
        <f t="shared" ca="1" si="22"/>
        <v>5.3000000000000019E-2</v>
      </c>
      <c r="CB26" s="154">
        <f t="shared" ca="1" si="23"/>
        <v>5.3000000000000019E-2</v>
      </c>
      <c r="CC26" s="154">
        <f t="shared" ca="1" si="24"/>
        <v>5.3000000000000019E-2</v>
      </c>
      <c r="CD26" s="154">
        <f t="shared" ca="1" si="25"/>
        <v>5.3000000000000019E-2</v>
      </c>
      <c r="CE26" s="310">
        <v>1</v>
      </c>
      <c r="CF26" s="162" t="e">
        <f ca="1">IF(BD26,_xll.xCrudeAPO(BU26,BV26,CA26,CB26,S27,S28,BI26,BL26,BP26,BQ26,0,Strike1,AO26,CE26,0,BL26,IF(OptControl=4,0,1),0,1),0)</f>
        <v>#VALUE!</v>
      </c>
      <c r="CG26" s="163" t="e">
        <f ca="1">IF(BD26,_xll.xCrudeAPO(BU26,BV26,CA26,CB26,S27,S28,BI26,BL26,BP26,BQ26,0,Strike1,AO26,CE26,0,BL26,IF(OptControl=4,0,1),1,1)+_xll.xCrudeAPO(BU26,BV26,CA26,CB26,S27,S28,BI26,BL26,BP26,BQ26,0,Strike1,AO26,CE26,0,BL26,IF(OptControl=4,0,1),1,2)+IF(OR(VolSkewFlag=2,ABS(BS26)&lt;0.0001),0,IF(BS26&gt;0,-1,1)*CH26*Strike1/BR26^2*BY26/10%),0)</f>
        <v>#VALUE!</v>
      </c>
      <c r="CH26" s="163" t="e">
        <f ca="1">IF(BD26,(_xll.xCrudeAPO(BU26,BV26,CA26,CB26,S27,S28,BI26,BL26,BP26,BQ26,0,Strike1,AO26,CE26,0,BL26,IF(OptControl=4,0,1),3,1)+_xll.xCrudeAPO(BU26,BV26,CA26,CB26,S27,S28,BI26,BL26,BP26,BQ26,0,Strike1,AO26,CE26,0,BL26,IF(OptControl=4,0,1),3,2))/100,0)</f>
        <v>#VALUE!</v>
      </c>
      <c r="CI26" s="163" t="e">
        <f ca="1">IF(BD26,_xll.xCrudeAPO(BU26,BV26,CA26,CB26,S27,S28,BI26-DaysForThetaCalculation/365.25,BL26-DaysForThetaCalculation/365.25,BP26,BQ26,0,Strike1,AO26,CE26,0,BL26,IF(OptControl=4,0,1),0,1)-_xll.xCrudeAPO(BU26,BV26,CA26,CB26,S27,S28,BI26,BL26,BP26,BQ26,0,Strike1,AO26,CE26,0,BL26,IF(OptControl=4,0,1),0,1),0)</f>
        <v>#VALUE!</v>
      </c>
      <c r="CJ26" s="311" t="e">
        <f ca="1">IF(BD26,_xll.xCrudeAPO(BU26,BV26,CC26,CD26,S27,S28,BI26,BL26,BP26,BQ26,0,Strike2,AO26,CE26,0,BL26,IF(OptControl=3,1,0),0,1),0)</f>
        <v>#VALUE!</v>
      </c>
      <c r="CK26" s="163" t="e">
        <f ca="1">IF(BD26,_xll.xCrudeAPO(BU26,BV26,CC26,CD26,S27,S28,BI26,BL26,BP26,BQ26,0,Strike2,AO26,CE26,0,BL26,IF(OptControl=3,1,0),1,1)+_xll.xCrudeAPO(BU26,BV26,CC26,CD26,S27,S28,BI26,BL26,BP26,BQ26,0,Strike2,AO26,CE26,0,BL26,IF(OptControl=3,1,0),1,2)+IF(OR(VolSkewFlag=2,ABS(BT26)&lt;0.0001),0,IF(BT26&gt;0,-1,1)*CL26*Strike2/BR26^2*BZ26/10%),0)</f>
        <v>#VALUE!</v>
      </c>
      <c r="CL26" s="163" t="e">
        <f ca="1">IF(BD26,(_xll.xCrudeAPO(BU26,BV26,CC26,CD26,S27,S28,BI26,BL26,BP26,BQ26,0,Strike2,AO26,CE26,0,BL26,IF(OptControl=3,1,0),3,1)+_xll.xCrudeAPO(BU26,BV26,CC26,CD26,S27,S28,BI26,BL26,BP26,BQ26,0,Strike2,AO26,CE26,0,BL26,IF(OptControl=3,1,0),3,2))/100,0)</f>
        <v>#VALUE!</v>
      </c>
      <c r="CM26" s="164" t="e">
        <f ca="1">IF(BD26,_xll.xCrudeAPO(BU26,BV26,CC26,CD26,S27,S28,BI26-DaysForThetaCalculation/365.25,BL26-DaysForThetaCalculation/365.25,BP26,BQ26,0,Strike2,AO26,CE26,0,BL26,IF(OptControl=3,1,0),0,1)-_xll.xCrudeAPO(BU26,BV26,CC26,CD26,S27,S28,BI26,BL26,BP26,BQ26,0,Strike2,AO26,CE26,0,BL26,IF(OptControl=3,1,0),0,1),0)</f>
        <v>#VALUE!</v>
      </c>
      <c r="CN26" s="508"/>
      <c r="CO26" s="796">
        <f t="shared" ca="1" si="53"/>
        <v>191</v>
      </c>
      <c r="CP26" s="800">
        <f t="shared" ca="1" si="54"/>
        <v>0</v>
      </c>
      <c r="CQ26" s="797" t="e">
        <f t="shared" ca="1" si="55"/>
        <v>#DIV/0!</v>
      </c>
      <c r="CR26" s="797" t="e">
        <f t="shared" ca="1" si="56"/>
        <v>#DIV/0!</v>
      </c>
      <c r="CS26" s="797" t="e">
        <f t="shared" ca="1" si="57"/>
        <v>#DIV/0!</v>
      </c>
      <c r="CT26" s="797" t="e">
        <f t="shared" ca="1" si="58"/>
        <v>#DIV/0!</v>
      </c>
      <c r="CU26" s="798">
        <f t="shared" ca="1" si="59"/>
        <v>0</v>
      </c>
      <c r="CV26" s="799" t="e">
        <f t="shared" ca="1" si="60"/>
        <v>#DIV/0!</v>
      </c>
      <c r="CW26" s="799" t="e">
        <f t="shared" ca="1" si="61"/>
        <v>#DIV/0!</v>
      </c>
      <c r="CX26" s="163" t="e">
        <f ca="1">IF(BD26,_xll.EURO(CP26,Strike1,AO26,AO26,CV26,CO26,IF(OptControl=4,0,1),0),0)</f>
        <v>#DIV/0!</v>
      </c>
      <c r="CY26" s="163" t="e">
        <f ca="1">IF(BD26,_xll.EURO(CP26,Strike1,AO26,AO26,CV26,CO26,IF(OptControl=4,0,1),1)+IF(OR(VolSkewFlag=2,ABS(CQ26)&lt;0.0001),0,IF(CQ26&gt;0,-1,1)*CZ26*100*Strike1/CP26^2*CS26/10%),0)</f>
        <v>#DIV/0!</v>
      </c>
      <c r="CZ26" s="163" t="e">
        <f ca="1">IF(BD26,_xll.EURO(CP26,Strike1,AO26,AO26,CV26,CO26,IF(OptControl=4,0,1),3)/100,0)</f>
        <v>#DIV/0!</v>
      </c>
      <c r="DA26" s="163" t="e">
        <f ca="1">IF(BD26,_xll.EURO(CP26,Strike1,AO26,AO26,CV26,CO26,IF(OptControl=4,0,1),0)-_xll.EURO(CP26,Strike1,AO26,AO26,CV26,CO26-1,IF(OptControl=4,0,1),0),0)</f>
        <v>#DIV/0!</v>
      </c>
      <c r="DB26" s="163" t="e">
        <f ca="1">IF(BD26,_xll.EURO(CP26,Strike2,AO26,AO26,CW26,CO26,IF(OptControl=3,1,0),0),0)</f>
        <v>#DIV/0!</v>
      </c>
      <c r="DC26" s="163" t="e">
        <f ca="1">IF(BD26,_xll.EURO(CP26,Strike2,AO26,AO26,CW26,CO26,IF(OptControl=3,1,0),1)+IF(OR(VolSkewFlag=2,ABS(CR26)&lt;0.0001),0,IF(CR26&gt;0,-1,1)*DD26*100*Strike2/CP26^2*CT26/10%),0)</f>
        <v>#DIV/0!</v>
      </c>
      <c r="DD26" s="163" t="e">
        <f ca="1">IF(BD26,_xll.EURO(CP26,Strike2,AO26,AO26,CW26,CO26,IF(OptControl=3,1,0),3)/100,0)</f>
        <v>#DIV/0!</v>
      </c>
      <c r="DE26" s="164" t="e">
        <f ca="1">IF(BD26,_xll.EURO(CP26,Strike2,AO26,AO26,CW26,CO26,IF(OptControl=3,1,0),0)-_xll.EURO(CP26,Strike2,AO26,AO26,CW26,CO26-1,IF(OptControl=3,1,0),0),0)</f>
        <v>#DIV/0!</v>
      </c>
      <c r="DF26" s="508"/>
      <c r="DG26" s="667">
        <f t="shared" ca="1" si="62"/>
        <v>36739</v>
      </c>
      <c r="DH26" s="475">
        <v>26.05</v>
      </c>
      <c r="DI26" s="665">
        <v>25.315652173913044</v>
      </c>
      <c r="DJ26" s="666">
        <f t="shared" ca="1" si="26"/>
        <v>36739</v>
      </c>
      <c r="DK26" s="475">
        <v>24.28</v>
      </c>
      <c r="DL26" s="665">
        <v>23.666956521739127</v>
      </c>
      <c r="DM26" s="667">
        <f t="shared" ca="1" si="27"/>
        <v>36739</v>
      </c>
      <c r="DN26" s="668">
        <f t="shared" si="28"/>
        <v>24.330000000000002</v>
      </c>
      <c r="DO26" s="667">
        <f t="shared" ca="1" si="63"/>
        <v>36739</v>
      </c>
      <c r="DP26" s="579">
        <f t="shared" si="64"/>
        <v>24.266956521739129</v>
      </c>
      <c r="DQ26" s="821">
        <v>0.6</v>
      </c>
      <c r="DR26" s="666">
        <f t="shared" ca="1" si="29"/>
        <v>36739</v>
      </c>
      <c r="DS26" s="669">
        <v>0.30100000000000005</v>
      </c>
      <c r="DT26" s="606">
        <v>0.29028913043478266</v>
      </c>
      <c r="DU26" s="666">
        <f t="shared" ca="1" si="30"/>
        <v>36739</v>
      </c>
      <c r="DV26" s="669">
        <v>0.30100000000000005</v>
      </c>
      <c r="DW26" s="606">
        <v>0.29028913043478266</v>
      </c>
      <c r="DX26" s="667">
        <f t="shared" ca="1" si="31"/>
        <v>36739</v>
      </c>
      <c r="DY26" s="606">
        <v>0.35249999999999998</v>
      </c>
      <c r="DZ26" s="667">
        <f t="shared" ca="1" si="65"/>
        <v>36739</v>
      </c>
      <c r="EA26" s="606">
        <f t="shared" si="66"/>
        <v>0.29028913043478266</v>
      </c>
      <c r="EB26" s="1"/>
      <c r="EC26" s="118">
        <f t="shared" ca="1" si="32"/>
        <v>0</v>
      </c>
      <c r="ED26" s="119">
        <f t="shared" ca="1" si="33"/>
        <v>5.3000000000000019E-2</v>
      </c>
      <c r="EE26" s="112">
        <f t="shared" ca="1" si="34"/>
        <v>5.3000000000000019E-2</v>
      </c>
      <c r="EF26" s="120" t="e">
        <f ca="1">IF(BD26,_xll.xASN(BR26,Strike1,AO26,ED26,0,BO26,0,BI26,BL26,IF(OptControl=4,0,1),0),0)</f>
        <v>#VALUE!</v>
      </c>
      <c r="EG26" s="111" t="e">
        <f ca="1">IF(BD26,_xll.xASN(BR26,Strike2,AO26,EE26,0,BO26,0,BI26,BL26,IF(OptControl=3,1,0),0),0)</f>
        <v>#VALUE!</v>
      </c>
      <c r="EI26" s="483" t="str">
        <f ca="1">[1]!'CLc7 MTH'</f>
        <v>MAR1</v>
      </c>
      <c r="EJ26" s="484">
        <f t="shared" ca="1" si="158"/>
        <v>36951</v>
      </c>
      <c r="EK26" s="485">
        <f>[1]!'CLc7 NET.CHNG'</f>
        <v>0.02</v>
      </c>
      <c r="EL26" s="486">
        <f t="shared" si="159"/>
        <v>2</v>
      </c>
      <c r="EM26" s="1"/>
      <c r="EN26" s="697">
        <v>36675</v>
      </c>
      <c r="EO26" s="698">
        <v>37622</v>
      </c>
      <c r="EP26" s="1"/>
      <c r="EQ26" s="683" t="s">
        <v>130</v>
      </c>
      <c r="ES26" s="498">
        <v>7</v>
      </c>
      <c r="ET26" s="476">
        <f t="shared" ca="1" si="165"/>
        <v>0.5229295003422314</v>
      </c>
      <c r="EU26" s="842">
        <f t="shared" ca="1" si="67"/>
        <v>0</v>
      </c>
      <c r="EV26" s="815">
        <f t="shared" ca="1" si="160"/>
        <v>0.29074889019333761</v>
      </c>
      <c r="EW26" s="478">
        <f t="shared" ca="1" si="161"/>
        <v>1.0181818181818181</v>
      </c>
      <c r="EX26" s="477">
        <f t="shared" ca="1" si="162"/>
        <v>0.26808584828401066</v>
      </c>
      <c r="EY26" s="250">
        <v>0</v>
      </c>
      <c r="EZ26" s="605">
        <f ca="1">IF(OR(EW26="",EW27=""),"",SQRT(SUM(INDEX(FK26:ID26,SwaptionFirstMonthPosition+1):INDEX(FK26:ID26,FJ26))/SUM(INDEX($FK$15:$ID$15,SwaptionFirstMonthPosition+1):INDEX($FK$15:$ID$15,FJ26))))</f>
        <v>0.34742385024733108</v>
      </c>
      <c r="FA26" s="581">
        <f ca="1">IF(OR(EW26="",EW25=""),"",SQRT(SUM(INDEX(FK26:ID26,SwaptionFirstMonthPosition+1):INDEX(FK26:ID26,FJ26-1))/SUM(INDEX($FK$15:$ID$15,SwaptionFirstMonthPosition+1):INDEX($FK$15:$ID$15,FJ26-1))))</f>
        <v>0.32813740043674894</v>
      </c>
      <c r="FB26" s="578">
        <f t="shared" ca="1" si="68"/>
        <v>0.31730800699235462</v>
      </c>
      <c r="FC26" s="609">
        <f t="shared" ca="1" si="69"/>
        <v>220</v>
      </c>
      <c r="FD26" s="579">
        <f t="shared" ca="1" si="70"/>
        <v>-0.05</v>
      </c>
      <c r="FE26" s="579">
        <f t="shared" ca="1" si="71"/>
        <v>-1</v>
      </c>
      <c r="FF26" s="579">
        <f t="shared" ca="1" si="72"/>
        <v>-1</v>
      </c>
      <c r="FG26" s="580">
        <f t="shared" ca="1" si="73"/>
        <v>5.3000000000000019E-2</v>
      </c>
      <c r="FH26" s="606">
        <f t="shared" ca="1" si="74"/>
        <v>5.3000000000000019E-2</v>
      </c>
      <c r="FI26" s="250"/>
      <c r="FJ26" s="673">
        <v>7</v>
      </c>
      <c r="FK26" s="460">
        <f t="shared" ca="1" si="75"/>
        <v>0</v>
      </c>
      <c r="FL26" s="460">
        <f t="shared" ca="1" si="76"/>
        <v>4.5401359092993943E-3</v>
      </c>
      <c r="FM26" s="460">
        <f t="shared" ca="1" si="77"/>
        <v>5.9969099687895659E-3</v>
      </c>
      <c r="FN26" s="460">
        <f t="shared" ca="1" si="78"/>
        <v>5.8719285649886099E-3</v>
      </c>
      <c r="FO26" s="460">
        <f t="shared" ca="1" si="79"/>
        <v>7.3078294137641072E-3</v>
      </c>
      <c r="FP26" s="460">
        <f t="shared" ca="1" si="80"/>
        <v>1.0023056047154463E-2</v>
      </c>
      <c r="FQ26" s="460">
        <f t="shared" ca="1" si="81"/>
        <v>1.046594208202324E-2</v>
      </c>
      <c r="FR26" s="460" t="str">
        <f t="shared" si="82"/>
        <v/>
      </c>
      <c r="FS26" s="460" t="str">
        <f t="shared" si="83"/>
        <v/>
      </c>
      <c r="FT26" s="460" t="str">
        <f t="shared" si="84"/>
        <v/>
      </c>
      <c r="FU26" s="460" t="str">
        <f t="shared" si="85"/>
        <v/>
      </c>
      <c r="FV26" s="460" t="str">
        <f t="shared" si="86"/>
        <v/>
      </c>
      <c r="FW26" s="460" t="str">
        <f t="shared" si="87"/>
        <v/>
      </c>
      <c r="FX26" s="460" t="str">
        <f t="shared" si="88"/>
        <v/>
      </c>
      <c r="FY26" s="460" t="str">
        <f t="shared" si="89"/>
        <v/>
      </c>
      <c r="FZ26" s="460" t="str">
        <f t="shared" si="90"/>
        <v/>
      </c>
      <c r="GA26" s="460" t="str">
        <f t="shared" si="91"/>
        <v/>
      </c>
      <c r="GB26" s="460" t="str">
        <f t="shared" si="92"/>
        <v/>
      </c>
      <c r="GC26" s="460" t="str">
        <f t="shared" si="93"/>
        <v/>
      </c>
      <c r="GD26" s="460" t="str">
        <f t="shared" si="94"/>
        <v/>
      </c>
      <c r="GE26" s="460" t="str">
        <f t="shared" si="95"/>
        <v/>
      </c>
      <c r="GF26" s="460" t="str">
        <f t="shared" si="96"/>
        <v/>
      </c>
      <c r="GG26" s="460" t="str">
        <f t="shared" si="97"/>
        <v/>
      </c>
      <c r="GH26" s="460" t="str">
        <f t="shared" si="98"/>
        <v/>
      </c>
      <c r="GI26" s="460" t="str">
        <f t="shared" si="99"/>
        <v/>
      </c>
      <c r="GJ26" s="460" t="str">
        <f t="shared" si="100"/>
        <v/>
      </c>
      <c r="GK26" s="460" t="str">
        <f t="shared" si="101"/>
        <v/>
      </c>
      <c r="GL26" s="460" t="str">
        <f t="shared" si="102"/>
        <v/>
      </c>
      <c r="GM26" s="460" t="str">
        <f t="shared" si="103"/>
        <v/>
      </c>
      <c r="GN26" s="460" t="str">
        <f t="shared" si="104"/>
        <v/>
      </c>
      <c r="GO26" s="460" t="str">
        <f t="shared" si="105"/>
        <v/>
      </c>
      <c r="GP26" s="460" t="str">
        <f t="shared" si="106"/>
        <v/>
      </c>
      <c r="GQ26" s="460" t="str">
        <f t="shared" si="107"/>
        <v/>
      </c>
      <c r="GR26" s="460" t="str">
        <f t="shared" si="108"/>
        <v/>
      </c>
      <c r="GS26" s="460" t="str">
        <f t="shared" si="109"/>
        <v/>
      </c>
      <c r="GT26" s="460" t="str">
        <f t="shared" si="110"/>
        <v/>
      </c>
      <c r="GU26" s="460" t="str">
        <f t="shared" si="111"/>
        <v/>
      </c>
      <c r="GV26" s="460" t="str">
        <f t="shared" si="112"/>
        <v/>
      </c>
      <c r="GW26" s="460" t="str">
        <f t="shared" si="113"/>
        <v/>
      </c>
      <c r="GX26" s="460" t="str">
        <f t="shared" si="114"/>
        <v/>
      </c>
      <c r="GY26" s="460" t="str">
        <f t="shared" si="115"/>
        <v/>
      </c>
      <c r="GZ26" s="460" t="str">
        <f t="shared" si="116"/>
        <v/>
      </c>
      <c r="HA26" s="460" t="str">
        <f t="shared" si="117"/>
        <v/>
      </c>
      <c r="HB26" s="460" t="str">
        <f t="shared" si="118"/>
        <v/>
      </c>
      <c r="HC26" s="460" t="str">
        <f t="shared" si="119"/>
        <v/>
      </c>
      <c r="HD26" s="460" t="str">
        <f t="shared" si="120"/>
        <v/>
      </c>
      <c r="HE26" s="460" t="str">
        <f t="shared" si="121"/>
        <v/>
      </c>
      <c r="HF26" s="460" t="str">
        <f t="shared" si="122"/>
        <v/>
      </c>
      <c r="HG26" s="460" t="str">
        <f t="shared" si="123"/>
        <v/>
      </c>
      <c r="HH26" s="460" t="str">
        <f t="shared" si="124"/>
        <v/>
      </c>
      <c r="HI26" s="460" t="str">
        <f t="shared" si="125"/>
        <v/>
      </c>
      <c r="HJ26" s="460" t="str">
        <f t="shared" si="126"/>
        <v/>
      </c>
      <c r="HK26" s="460" t="str">
        <f t="shared" si="127"/>
        <v/>
      </c>
      <c r="HL26" s="460" t="str">
        <f t="shared" si="128"/>
        <v/>
      </c>
      <c r="HM26" s="460" t="str">
        <f t="shared" si="129"/>
        <v/>
      </c>
      <c r="HN26" s="460" t="str">
        <f t="shared" si="130"/>
        <v/>
      </c>
      <c r="HO26" s="460" t="str">
        <f t="shared" si="131"/>
        <v/>
      </c>
      <c r="HP26" s="460" t="str">
        <f t="shared" si="132"/>
        <v/>
      </c>
      <c r="HQ26" s="460" t="str">
        <f t="shared" si="133"/>
        <v/>
      </c>
      <c r="HR26" s="460" t="str">
        <f t="shared" si="134"/>
        <v/>
      </c>
      <c r="HS26" s="460" t="str">
        <f t="shared" si="135"/>
        <v/>
      </c>
      <c r="HT26" s="460" t="str">
        <f t="shared" si="136"/>
        <v/>
      </c>
      <c r="HU26" s="460" t="str">
        <f t="shared" si="137"/>
        <v/>
      </c>
      <c r="HV26" s="460" t="str">
        <f t="shared" si="138"/>
        <v/>
      </c>
      <c r="HW26" s="460" t="str">
        <f t="shared" si="139"/>
        <v/>
      </c>
      <c r="HX26" s="460" t="str">
        <f t="shared" si="140"/>
        <v/>
      </c>
      <c r="HY26" s="460" t="str">
        <f t="shared" si="141"/>
        <v/>
      </c>
      <c r="HZ26" s="460" t="str">
        <f t="shared" si="142"/>
        <v/>
      </c>
      <c r="IA26" s="460" t="str">
        <f t="shared" si="143"/>
        <v/>
      </c>
      <c r="IB26" s="460" t="str">
        <f t="shared" si="144"/>
        <v/>
      </c>
      <c r="IC26" s="460" t="str">
        <f t="shared" si="145"/>
        <v/>
      </c>
      <c r="ID26" s="674" t="str">
        <f t="shared" si="146"/>
        <v/>
      </c>
      <c r="IE26" s="250"/>
    </row>
    <row r="27" spans="1:239" ht="16.5" customHeight="1" thickBot="1">
      <c r="A27" s="611"/>
      <c r="B27" s="324" t="s">
        <v>193</v>
      </c>
      <c r="C27" s="168" t="s">
        <v>15</v>
      </c>
      <c r="D27" s="539">
        <v>-0.05</v>
      </c>
      <c r="E27" s="546">
        <v>0</v>
      </c>
      <c r="F27" s="553" t="s">
        <v>38</v>
      </c>
      <c r="G27" s="541">
        <f ca="1">SwaptionUnderlyingPrice</f>
        <v>-0.05</v>
      </c>
      <c r="H27" s="51">
        <f t="shared" ca="1" si="35"/>
        <v>0</v>
      </c>
      <c r="I27" s="379">
        <f t="shared" si="36"/>
        <v>36982</v>
      </c>
      <c r="J27" s="377"/>
      <c r="K27" s="104" t="s">
        <v>488</v>
      </c>
      <c r="L27" s="392">
        <f t="shared" si="37"/>
        <v>0</v>
      </c>
      <c r="M27" s="171"/>
      <c r="N27" s="382">
        <v>0</v>
      </c>
      <c r="O27" s="171">
        <f t="shared" si="38"/>
        <v>0</v>
      </c>
      <c r="P27" s="377"/>
      <c r="Q27" s="103" t="s">
        <v>488</v>
      </c>
      <c r="R27" s="377">
        <f t="shared" ca="1" si="148"/>
        <v>0</v>
      </c>
      <c r="S27" s="832">
        <f t="shared" si="164"/>
        <v>0.36711914062500001</v>
      </c>
      <c r="T27" s="831">
        <f t="shared" si="149"/>
        <v>0.96078623518249295</v>
      </c>
      <c r="U27" s="545">
        <f t="shared" si="150"/>
        <v>0.99799774169921873</v>
      </c>
      <c r="V27" s="389">
        <v>0</v>
      </c>
      <c r="W27" s="434">
        <f t="shared" si="39"/>
        <v>0</v>
      </c>
      <c r="X27" s="415">
        <f t="shared" si="40"/>
        <v>0</v>
      </c>
      <c r="Y27" s="322">
        <f t="shared" si="41"/>
        <v>0</v>
      </c>
      <c r="Z27" s="322">
        <f t="shared" ca="1" si="42"/>
        <v>0</v>
      </c>
      <c r="AA27" s="429">
        <f t="shared" si="1"/>
        <v>0</v>
      </c>
      <c r="AB27" s="433">
        <f t="shared" ca="1" si="2"/>
        <v>0</v>
      </c>
      <c r="AC27" s="226">
        <v>36970</v>
      </c>
      <c r="AD27" s="227">
        <v>36965</v>
      </c>
      <c r="AE27" s="227">
        <v>36966</v>
      </c>
      <c r="AF27" s="228">
        <v>36963</v>
      </c>
      <c r="AG27" s="249" t="s">
        <v>498</v>
      </c>
      <c r="AH27" s="247" t="s">
        <v>498</v>
      </c>
      <c r="AI27" s="146">
        <v>21</v>
      </c>
      <c r="AJ27" s="41">
        <v>15</v>
      </c>
      <c r="AK27" s="41">
        <v>6</v>
      </c>
      <c r="AL27" s="293">
        <v>21</v>
      </c>
      <c r="AM27" s="41">
        <v>8</v>
      </c>
      <c r="AN27" s="147">
        <v>13</v>
      </c>
      <c r="AO27" s="374"/>
      <c r="AP27" s="153">
        <f t="shared" ca="1" si="43"/>
        <v>1</v>
      </c>
      <c r="AQ27" s="374"/>
      <c r="AR27" s="153">
        <f t="shared" ca="1" si="151"/>
        <v>1</v>
      </c>
      <c r="AS27" s="272">
        <f t="shared" si="3"/>
        <v>0</v>
      </c>
      <c r="AT27" s="157">
        <f t="shared" si="44"/>
        <v>0</v>
      </c>
      <c r="AU27" s="157">
        <f t="shared" si="4"/>
        <v>0</v>
      </c>
      <c r="AV27" s="271">
        <f t="shared" ca="1" si="163"/>
        <v>9.9999999999999995E-7</v>
      </c>
      <c r="AW27" s="158">
        <f t="shared" ca="1" si="5"/>
        <v>2</v>
      </c>
      <c r="AX27" s="157">
        <f t="shared" ca="1" si="152"/>
        <v>1.7999999999999999E-2</v>
      </c>
      <c r="AY27" s="157">
        <f t="shared" ca="1" si="153"/>
        <v>1.3000000000000003E-2</v>
      </c>
      <c r="AZ27" s="157">
        <f t="shared" ca="1" si="154"/>
        <v>7.999999999999995E-3</v>
      </c>
      <c r="BA27" s="157">
        <f t="shared" ca="1" si="155"/>
        <v>1.2783007396335345E-3</v>
      </c>
      <c r="BB27" s="157">
        <f t="shared" ca="1" si="156"/>
        <v>1.7854537512615571E-3</v>
      </c>
      <c r="BC27" s="157">
        <f t="shared" ca="1" si="157"/>
        <v>2.2893615916133882E-3</v>
      </c>
      <c r="BD27" s="151">
        <f t="shared" ca="1" si="45"/>
        <v>30</v>
      </c>
      <c r="BE27" s="152">
        <f t="shared" ca="1" si="46"/>
        <v>30</v>
      </c>
      <c r="BF27" s="40">
        <f t="shared" si="7"/>
        <v>2001</v>
      </c>
      <c r="BG27" s="144">
        <f t="shared" si="8"/>
        <v>4</v>
      </c>
      <c r="BH27" s="145">
        <f t="shared" ca="1" si="47"/>
        <v>220</v>
      </c>
      <c r="BI27" s="313">
        <f t="shared" ca="1" si="9"/>
        <v>0.64887063655030797</v>
      </c>
      <c r="BJ27" s="42">
        <f t="shared" ca="1" si="10"/>
        <v>0.70558325999804439</v>
      </c>
      <c r="BK27" s="42">
        <f t="shared" ca="1" si="11"/>
        <v>0.70832111078517646</v>
      </c>
      <c r="BL27" s="42">
        <f t="shared" ca="1" si="12"/>
        <v>0.72826830937713893</v>
      </c>
      <c r="BM27" s="150" t="e">
        <f t="shared" ca="1" si="13"/>
        <v>#DIV/0!</v>
      </c>
      <c r="BN27" s="42" t="e">
        <f t="shared" ca="1" si="14"/>
        <v>#DIV/0!</v>
      </c>
      <c r="BO27" s="293">
        <f t="shared" si="48"/>
        <v>21</v>
      </c>
      <c r="BP27" s="41">
        <f t="shared" si="49"/>
        <v>15</v>
      </c>
      <c r="BQ27" s="41">
        <f t="shared" si="50"/>
        <v>6</v>
      </c>
      <c r="BR27" s="305">
        <f t="shared" ca="1" si="15"/>
        <v>-0.05</v>
      </c>
      <c r="BS27" s="305">
        <f t="shared" ca="1" si="16"/>
        <v>-1</v>
      </c>
      <c r="BT27" s="307">
        <f t="shared" ca="1" si="17"/>
        <v>-1</v>
      </c>
      <c r="BU27" s="161">
        <f t="shared" ca="1" si="18"/>
        <v>-0.05</v>
      </c>
      <c r="BV27" s="161">
        <f t="shared" ca="1" si="19"/>
        <v>-0.05</v>
      </c>
      <c r="BW27" s="308">
        <f t="shared" ca="1" si="20"/>
        <v>0</v>
      </c>
      <c r="BX27" s="309">
        <f t="shared" ca="1" si="21"/>
        <v>0</v>
      </c>
      <c r="BY27" s="308">
        <f t="shared" ca="1" si="51"/>
        <v>4.9999999999999958E-3</v>
      </c>
      <c r="BZ27" s="309">
        <f t="shared" ca="1" si="52"/>
        <v>4.9999999999999958E-3</v>
      </c>
      <c r="CA27" s="154">
        <f t="shared" ca="1" si="22"/>
        <v>5.2999999999999971E-2</v>
      </c>
      <c r="CB27" s="154">
        <f t="shared" ca="1" si="23"/>
        <v>5.2999999999999971E-2</v>
      </c>
      <c r="CC27" s="154">
        <f t="shared" ca="1" si="24"/>
        <v>5.2999999999999971E-2</v>
      </c>
      <c r="CD27" s="154">
        <f t="shared" ca="1" si="25"/>
        <v>5.2999999999999971E-2</v>
      </c>
      <c r="CE27" s="310">
        <v>1</v>
      </c>
      <c r="CF27" s="162" t="e">
        <f ca="1">IF(BD27,_xll.xCrudeAPO(BU27,BV27,CA27,CB27,S28,S29,BI27,BL27,BP27,BQ27,0,Strike1,AO27,CE27,0,BL27,IF(OptControl=4,0,1),0,1),0)</f>
        <v>#VALUE!</v>
      </c>
      <c r="CG27" s="163" t="e">
        <f ca="1">IF(BD27,_xll.xCrudeAPO(BU27,BV27,CA27,CB27,S28,S29,BI27,BL27,BP27,BQ27,0,Strike1,AO27,CE27,0,BL27,IF(OptControl=4,0,1),1,1)+_xll.xCrudeAPO(BU27,BV27,CA27,CB27,S28,S29,BI27,BL27,BP27,BQ27,0,Strike1,AO27,CE27,0,BL27,IF(OptControl=4,0,1),1,2)+IF(OR(VolSkewFlag=2,ABS(BS27)&lt;0.0001),0,IF(BS27&gt;0,-1,1)*CH27*Strike1/BR27^2*BY27/10%),0)</f>
        <v>#VALUE!</v>
      </c>
      <c r="CH27" s="163" t="e">
        <f ca="1">IF(BD27,(_xll.xCrudeAPO(BU27,BV27,CA27,CB27,S28,S29,BI27,BL27,BP27,BQ27,0,Strike1,AO27,CE27,0,BL27,IF(OptControl=4,0,1),3,1)+_xll.xCrudeAPO(BU27,BV27,CA27,CB27,S28,S29,BI27,BL27,BP27,BQ27,0,Strike1,AO27,CE27,0,BL27,IF(OptControl=4,0,1),3,2))/100,0)</f>
        <v>#VALUE!</v>
      </c>
      <c r="CI27" s="163" t="e">
        <f ca="1">IF(BD27,_xll.xCrudeAPO(BU27,BV27,CA27,CB27,S28,S29,BI27-DaysForThetaCalculation/365.25,BL27-DaysForThetaCalculation/365.25,BP27,BQ27,0,Strike1,AO27,CE27,0,BL27,IF(OptControl=4,0,1),0,1)-_xll.xCrudeAPO(BU27,BV27,CA27,CB27,S28,S29,BI27,BL27,BP27,BQ27,0,Strike1,AO27,CE27,0,BL27,IF(OptControl=4,0,1),0,1),0)</f>
        <v>#VALUE!</v>
      </c>
      <c r="CJ27" s="311" t="e">
        <f ca="1">IF(BD27,_xll.xCrudeAPO(BU27,BV27,CC27,CD27,S28,S29,BI27,BL27,BP27,BQ27,0,Strike2,AO27,CE27,0,BL27,IF(OptControl=3,1,0),0,1),0)</f>
        <v>#VALUE!</v>
      </c>
      <c r="CK27" s="163" t="e">
        <f ca="1">IF(BD27,_xll.xCrudeAPO(BU27,BV27,CC27,CD27,S28,S29,BI27,BL27,BP27,BQ27,0,Strike2,AO27,CE27,0,BL27,IF(OptControl=3,1,0),1,1)+_xll.xCrudeAPO(BU27,BV27,CC27,CD27,S28,S29,BI27,BL27,BP27,BQ27,0,Strike2,AO27,CE27,0,BL27,IF(OptControl=3,1,0),1,2)+IF(OR(VolSkewFlag=2,ABS(BT27)&lt;0.0001),0,IF(BT27&gt;0,-1,1)*CL27*Strike2/BR27^2*BZ27/10%),0)</f>
        <v>#VALUE!</v>
      </c>
      <c r="CL27" s="163" t="e">
        <f ca="1">IF(BD27,(_xll.xCrudeAPO(BU27,BV27,CC27,CD27,S28,S29,BI27,BL27,BP27,BQ27,0,Strike2,AO27,CE27,0,BL27,IF(OptControl=3,1,0),3,1)+_xll.xCrudeAPO(BU27,BV27,CC27,CD27,S28,S29,BI27,BL27,BP27,BQ27,0,Strike2,AO27,CE27,0,BL27,IF(OptControl=3,1,0),3,2))/100,0)</f>
        <v>#VALUE!</v>
      </c>
      <c r="CM27" s="164" t="e">
        <f ca="1">IF(BD27,_xll.xCrudeAPO(BU27,BV27,CC27,CD27,S28,S29,BI27-DaysForThetaCalculation/365.25,BL27-DaysForThetaCalculation/365.25,BP27,BQ27,0,Strike2,AO27,CE27,0,BL27,IF(OptControl=3,1,0),0,1)-_xll.xCrudeAPO(BU27,BV27,CC27,CD27,S28,S29,BI27,BL27,BP27,BQ27,0,Strike2,AO27,CE27,0,BL27,IF(OptControl=3,1,0),0,1),0)</f>
        <v>#VALUE!</v>
      </c>
      <c r="CN27" s="508"/>
      <c r="CO27" s="796">
        <f t="shared" ca="1" si="53"/>
        <v>220</v>
      </c>
      <c r="CP27" s="800">
        <f t="shared" ca="1" si="54"/>
        <v>0</v>
      </c>
      <c r="CQ27" s="797" t="e">
        <f t="shared" ca="1" si="55"/>
        <v>#DIV/0!</v>
      </c>
      <c r="CR27" s="797" t="e">
        <f t="shared" ca="1" si="56"/>
        <v>#DIV/0!</v>
      </c>
      <c r="CS27" s="797" t="e">
        <f t="shared" ca="1" si="57"/>
        <v>#DIV/0!</v>
      </c>
      <c r="CT27" s="797" t="e">
        <f t="shared" ca="1" si="58"/>
        <v>#DIV/0!</v>
      </c>
      <c r="CU27" s="798">
        <f t="shared" ca="1" si="59"/>
        <v>0</v>
      </c>
      <c r="CV27" s="799" t="e">
        <f t="shared" ca="1" si="60"/>
        <v>#DIV/0!</v>
      </c>
      <c r="CW27" s="799" t="e">
        <f t="shared" ca="1" si="61"/>
        <v>#DIV/0!</v>
      </c>
      <c r="CX27" s="163" t="e">
        <f ca="1">IF(BD27,_xll.EURO(CP27,Strike1,AO27,AO27,CV27,CO27,IF(OptControl=4,0,1),0),0)</f>
        <v>#DIV/0!</v>
      </c>
      <c r="CY27" s="163" t="e">
        <f ca="1">IF(BD27,_xll.EURO(CP27,Strike1,AO27,AO27,CV27,CO27,IF(OptControl=4,0,1),1)+IF(OR(VolSkewFlag=2,ABS(CQ27)&lt;0.0001),0,IF(CQ27&gt;0,-1,1)*CZ27*100*Strike1/CP27^2*CS27/10%),0)</f>
        <v>#DIV/0!</v>
      </c>
      <c r="CZ27" s="163" t="e">
        <f ca="1">IF(BD27,_xll.EURO(CP27,Strike1,AO27,AO27,CV27,CO27,IF(OptControl=4,0,1),3)/100,0)</f>
        <v>#DIV/0!</v>
      </c>
      <c r="DA27" s="163" t="e">
        <f ca="1">IF(BD27,_xll.EURO(CP27,Strike1,AO27,AO27,CV27,CO27,IF(OptControl=4,0,1),0)-_xll.EURO(CP27,Strike1,AO27,AO27,CV27,CO27-1,IF(OptControl=4,0,1),0),0)</f>
        <v>#DIV/0!</v>
      </c>
      <c r="DB27" s="163" t="e">
        <f ca="1">IF(BD27,_xll.EURO(CP27,Strike2,AO27,AO27,CW27,CO27,IF(OptControl=3,1,0),0),0)</f>
        <v>#DIV/0!</v>
      </c>
      <c r="DC27" s="163" t="e">
        <f ca="1">IF(BD27,_xll.EURO(CP27,Strike2,AO27,AO27,CW27,CO27,IF(OptControl=3,1,0),1)+IF(OR(VolSkewFlag=2,ABS(CR27)&lt;0.0001),0,IF(CR27&gt;0,-1,1)*DD27*100*Strike2/CP27^2*CT27/10%),0)</f>
        <v>#DIV/0!</v>
      </c>
      <c r="DD27" s="163" t="e">
        <f ca="1">IF(BD27,_xll.EURO(CP27,Strike2,AO27,AO27,CW27,CO27,IF(OptControl=3,1,0),3)/100,0)</f>
        <v>#DIV/0!</v>
      </c>
      <c r="DE27" s="164" t="e">
        <f ca="1">IF(BD27,_xll.EURO(CP27,Strike2,AO27,AO27,CW27,CO27,IF(OptControl=3,1,0),0)-_xll.EURO(CP27,Strike2,AO27,AO27,CW27,CO27-1,IF(OptControl=3,1,0),0),0)</f>
        <v>#DIV/0!</v>
      </c>
      <c r="DF27" s="508"/>
      <c r="DG27" s="667">
        <f t="shared" ca="1" si="62"/>
        <v>36770</v>
      </c>
      <c r="DH27" s="475">
        <v>25.48</v>
      </c>
      <c r="DI27" s="665">
        <v>24.786666666666665</v>
      </c>
      <c r="DJ27" s="666">
        <f t="shared" ca="1" si="26"/>
        <v>36770</v>
      </c>
      <c r="DK27" s="475">
        <v>23.86</v>
      </c>
      <c r="DL27" s="665">
        <v>23.278571428571428</v>
      </c>
      <c r="DM27" s="667">
        <f t="shared" ca="1" si="27"/>
        <v>36770</v>
      </c>
      <c r="DN27" s="668">
        <f t="shared" si="28"/>
        <v>23.91</v>
      </c>
      <c r="DO27" s="667">
        <f t="shared" ca="1" si="63"/>
        <v>36770</v>
      </c>
      <c r="DP27" s="579">
        <f t="shared" si="64"/>
        <v>23.87857142857143</v>
      </c>
      <c r="DQ27" s="821">
        <v>0.6</v>
      </c>
      <c r="DR27" s="666">
        <f t="shared" ca="1" si="29"/>
        <v>36770</v>
      </c>
      <c r="DS27" s="669">
        <v>0.29245000000000004</v>
      </c>
      <c r="DT27" s="606">
        <v>0.28265000000000001</v>
      </c>
      <c r="DU27" s="666">
        <f t="shared" ca="1" si="30"/>
        <v>36770</v>
      </c>
      <c r="DV27" s="669">
        <v>0.29245000000000004</v>
      </c>
      <c r="DW27" s="606">
        <v>0.28265000000000001</v>
      </c>
      <c r="DX27" s="667">
        <f t="shared" ca="1" si="31"/>
        <v>36770</v>
      </c>
      <c r="DY27" s="606">
        <v>0.35125000000000001</v>
      </c>
      <c r="DZ27" s="667">
        <f t="shared" ca="1" si="65"/>
        <v>36770</v>
      </c>
      <c r="EA27" s="606">
        <f t="shared" si="66"/>
        <v>0.28265000000000001</v>
      </c>
      <c r="EB27" s="1"/>
      <c r="EC27" s="118">
        <f t="shared" ca="1" si="32"/>
        <v>0</v>
      </c>
      <c r="ED27" s="119">
        <f t="shared" ca="1" si="33"/>
        <v>5.2999999999999971E-2</v>
      </c>
      <c r="EE27" s="112">
        <f t="shared" ca="1" si="34"/>
        <v>5.2999999999999971E-2</v>
      </c>
      <c r="EF27" s="120" t="e">
        <f ca="1">IF(BD27,_xll.xASN(BR27,Strike1,AO27,ED27,0,BO27,0,BI27,BL27,IF(OptControl=4,0,1),0),0)</f>
        <v>#VALUE!</v>
      </c>
      <c r="EG27" s="111" t="e">
        <f ca="1">IF(BD27,_xll.xASN(BR27,Strike2,AO27,EE27,0,BO27,0,BI27,BL27,IF(OptControl=3,1,0),0),0)</f>
        <v>#VALUE!</v>
      </c>
      <c r="EI27" s="483" t="str">
        <f ca="1">[1]!'CLc8 MTH'</f>
        <v>APR1</v>
      </c>
      <c r="EJ27" s="484">
        <f t="shared" ca="1" si="158"/>
        <v>36982</v>
      </c>
      <c r="EK27" s="485">
        <f>[1]!'CLc8 NET.CHNG'</f>
        <v>0</v>
      </c>
      <c r="EL27" s="486">
        <f t="shared" si="159"/>
        <v>0</v>
      </c>
      <c r="EM27" s="1"/>
      <c r="EN27" s="697">
        <v>36710</v>
      </c>
      <c r="EO27" s="698">
        <v>37980</v>
      </c>
      <c r="EP27" s="1"/>
      <c r="EQ27" s="683" t="s">
        <v>131</v>
      </c>
      <c r="ES27" s="498">
        <v>8</v>
      </c>
      <c r="ET27" s="476">
        <f t="shared" ca="1" si="165"/>
        <v>0.60232717316906226</v>
      </c>
      <c r="EU27" s="842">
        <f t="shared" ca="1" si="67"/>
        <v>0</v>
      </c>
      <c r="EV27" s="815">
        <f t="shared" ca="1" si="160"/>
        <v>0.2805839112224448</v>
      </c>
      <c r="EW27" s="478">
        <f t="shared" ca="1" si="161"/>
        <v>0.93636363636363629</v>
      </c>
      <c r="EX27" s="477">
        <f t="shared" ca="1" si="162"/>
        <v>0.24785011312078217</v>
      </c>
      <c r="EY27" s="250">
        <v>0</v>
      </c>
      <c r="EZ27" s="605">
        <f ca="1">IF(OR(EW27="",EW28=""),"",SQRT(SUM(INDEX(FK27:ID27,SwaptionFirstMonthPosition+1):INDEX(FK27:ID27,FJ27))/SUM(INDEX($FK$15:$ID$15,SwaptionFirstMonthPosition+1):INDEX($FK$15:$ID$15,FJ27))))</f>
        <v>0.3286693875240852</v>
      </c>
      <c r="FA27" s="581">
        <f ca="1">IF(OR(EW27="",EW26=""),"",SQRT(SUM(INDEX(FK27:ID27,SwaptionFirstMonthPosition+1):INDEX(FK27:ID27,FJ27-1))/SUM(INDEX($FK$15:$ID$15,SwaptionFirstMonthPosition+1):INDEX($FK$15:$ID$15,FJ27-1))))</f>
        <v>0.30904710711764549</v>
      </c>
      <c r="FB27" s="578">
        <f t="shared" ca="1" si="68"/>
        <v>0.30459190795174451</v>
      </c>
      <c r="FC27" s="609">
        <f t="shared" ca="1" si="69"/>
        <v>250.5</v>
      </c>
      <c r="FD27" s="579">
        <f t="shared" ca="1" si="70"/>
        <v>-0.05</v>
      </c>
      <c r="FE27" s="579">
        <f t="shared" ca="1" si="71"/>
        <v>-1</v>
      </c>
      <c r="FF27" s="579">
        <f t="shared" ca="1" si="72"/>
        <v>-1</v>
      </c>
      <c r="FG27" s="580">
        <f t="shared" ca="1" si="73"/>
        <v>5.2999999999999971E-2</v>
      </c>
      <c r="FH27" s="606">
        <f t="shared" ca="1" si="74"/>
        <v>5.2999999999999971E-2</v>
      </c>
      <c r="FI27" s="250"/>
      <c r="FJ27" s="673">
        <v>8</v>
      </c>
      <c r="FK27" s="460">
        <f t="shared" ca="1" si="75"/>
        <v>0</v>
      </c>
      <c r="FL27" s="460">
        <f t="shared" ca="1" si="76"/>
        <v>4.074102877770271E-3</v>
      </c>
      <c r="FM27" s="460">
        <f t="shared" ca="1" si="77"/>
        <v>5.2769484902431022E-3</v>
      </c>
      <c r="FN27" s="460">
        <f t="shared" ca="1" si="78"/>
        <v>5.0474177053324524E-3</v>
      </c>
      <c r="FO27" s="460">
        <f t="shared" ca="1" si="79"/>
        <v>6.1076728547254698E-3</v>
      </c>
      <c r="FP27" s="460">
        <f t="shared" ca="1" si="80"/>
        <v>8.0978219442776177E-3</v>
      </c>
      <c r="FQ27" s="460">
        <f t="shared" ca="1" si="81"/>
        <v>8.1147094558666633E-3</v>
      </c>
      <c r="FR27" s="460">
        <f t="shared" ca="1" si="82"/>
        <v>1.0700937546841652E-2</v>
      </c>
      <c r="FS27" s="460" t="str">
        <f t="shared" si="83"/>
        <v/>
      </c>
      <c r="FT27" s="460" t="str">
        <f t="shared" si="84"/>
        <v/>
      </c>
      <c r="FU27" s="460" t="str">
        <f t="shared" si="85"/>
        <v/>
      </c>
      <c r="FV27" s="460" t="str">
        <f t="shared" si="86"/>
        <v/>
      </c>
      <c r="FW27" s="460" t="str">
        <f t="shared" si="87"/>
        <v/>
      </c>
      <c r="FX27" s="460" t="str">
        <f t="shared" si="88"/>
        <v/>
      </c>
      <c r="FY27" s="460" t="str">
        <f t="shared" si="89"/>
        <v/>
      </c>
      <c r="FZ27" s="460" t="str">
        <f t="shared" si="90"/>
        <v/>
      </c>
      <c r="GA27" s="460" t="str">
        <f t="shared" si="91"/>
        <v/>
      </c>
      <c r="GB27" s="460" t="str">
        <f t="shared" si="92"/>
        <v/>
      </c>
      <c r="GC27" s="460" t="str">
        <f t="shared" si="93"/>
        <v/>
      </c>
      <c r="GD27" s="460" t="str">
        <f t="shared" si="94"/>
        <v/>
      </c>
      <c r="GE27" s="460" t="str">
        <f t="shared" si="95"/>
        <v/>
      </c>
      <c r="GF27" s="460" t="str">
        <f t="shared" si="96"/>
        <v/>
      </c>
      <c r="GG27" s="460" t="str">
        <f t="shared" si="97"/>
        <v/>
      </c>
      <c r="GH27" s="460" t="str">
        <f t="shared" si="98"/>
        <v/>
      </c>
      <c r="GI27" s="460" t="str">
        <f t="shared" si="99"/>
        <v/>
      </c>
      <c r="GJ27" s="460" t="str">
        <f t="shared" si="100"/>
        <v/>
      </c>
      <c r="GK27" s="460" t="str">
        <f t="shared" si="101"/>
        <v/>
      </c>
      <c r="GL27" s="460" t="str">
        <f t="shared" si="102"/>
        <v/>
      </c>
      <c r="GM27" s="460" t="str">
        <f t="shared" si="103"/>
        <v/>
      </c>
      <c r="GN27" s="460" t="str">
        <f t="shared" si="104"/>
        <v/>
      </c>
      <c r="GO27" s="460" t="str">
        <f t="shared" si="105"/>
        <v/>
      </c>
      <c r="GP27" s="460" t="str">
        <f t="shared" si="106"/>
        <v/>
      </c>
      <c r="GQ27" s="460" t="str">
        <f t="shared" si="107"/>
        <v/>
      </c>
      <c r="GR27" s="460" t="str">
        <f t="shared" si="108"/>
        <v/>
      </c>
      <c r="GS27" s="460" t="str">
        <f t="shared" si="109"/>
        <v/>
      </c>
      <c r="GT27" s="460" t="str">
        <f t="shared" si="110"/>
        <v/>
      </c>
      <c r="GU27" s="460" t="str">
        <f t="shared" si="111"/>
        <v/>
      </c>
      <c r="GV27" s="460" t="str">
        <f t="shared" si="112"/>
        <v/>
      </c>
      <c r="GW27" s="460" t="str">
        <f t="shared" si="113"/>
        <v/>
      </c>
      <c r="GX27" s="460" t="str">
        <f t="shared" si="114"/>
        <v/>
      </c>
      <c r="GY27" s="460" t="str">
        <f t="shared" si="115"/>
        <v/>
      </c>
      <c r="GZ27" s="460" t="str">
        <f t="shared" si="116"/>
        <v/>
      </c>
      <c r="HA27" s="460" t="str">
        <f t="shared" si="117"/>
        <v/>
      </c>
      <c r="HB27" s="460" t="str">
        <f t="shared" si="118"/>
        <v/>
      </c>
      <c r="HC27" s="460" t="str">
        <f t="shared" si="119"/>
        <v/>
      </c>
      <c r="HD27" s="460" t="str">
        <f t="shared" si="120"/>
        <v/>
      </c>
      <c r="HE27" s="460" t="str">
        <f t="shared" si="121"/>
        <v/>
      </c>
      <c r="HF27" s="460" t="str">
        <f t="shared" si="122"/>
        <v/>
      </c>
      <c r="HG27" s="460" t="str">
        <f t="shared" si="123"/>
        <v/>
      </c>
      <c r="HH27" s="460" t="str">
        <f t="shared" si="124"/>
        <v/>
      </c>
      <c r="HI27" s="460" t="str">
        <f t="shared" si="125"/>
        <v/>
      </c>
      <c r="HJ27" s="460" t="str">
        <f t="shared" si="126"/>
        <v/>
      </c>
      <c r="HK27" s="460" t="str">
        <f t="shared" si="127"/>
        <v/>
      </c>
      <c r="HL27" s="460" t="str">
        <f t="shared" si="128"/>
        <v/>
      </c>
      <c r="HM27" s="460" t="str">
        <f t="shared" si="129"/>
        <v/>
      </c>
      <c r="HN27" s="460" t="str">
        <f t="shared" si="130"/>
        <v/>
      </c>
      <c r="HO27" s="460" t="str">
        <f t="shared" si="131"/>
        <v/>
      </c>
      <c r="HP27" s="460" t="str">
        <f t="shared" si="132"/>
        <v/>
      </c>
      <c r="HQ27" s="460" t="str">
        <f t="shared" si="133"/>
        <v/>
      </c>
      <c r="HR27" s="460" t="str">
        <f t="shared" si="134"/>
        <v/>
      </c>
      <c r="HS27" s="460" t="str">
        <f t="shared" si="135"/>
        <v/>
      </c>
      <c r="HT27" s="460" t="str">
        <f t="shared" si="136"/>
        <v/>
      </c>
      <c r="HU27" s="460" t="str">
        <f t="shared" si="137"/>
        <v/>
      </c>
      <c r="HV27" s="460" t="str">
        <f t="shared" si="138"/>
        <v/>
      </c>
      <c r="HW27" s="460" t="str">
        <f t="shared" si="139"/>
        <v/>
      </c>
      <c r="HX27" s="460" t="str">
        <f t="shared" si="140"/>
        <v/>
      </c>
      <c r="HY27" s="460" t="str">
        <f t="shared" si="141"/>
        <v/>
      </c>
      <c r="HZ27" s="460" t="str">
        <f t="shared" si="142"/>
        <v/>
      </c>
      <c r="IA27" s="460" t="str">
        <f t="shared" si="143"/>
        <v/>
      </c>
      <c r="IB27" s="460" t="str">
        <f t="shared" si="144"/>
        <v/>
      </c>
      <c r="IC27" s="460" t="str">
        <f t="shared" si="145"/>
        <v/>
      </c>
      <c r="ID27" s="674" t="str">
        <f t="shared" si="146"/>
        <v/>
      </c>
      <c r="IE27" s="250"/>
    </row>
    <row r="28" spans="1:239" ht="15" customHeight="1" thickBot="1">
      <c r="A28" s="480"/>
      <c r="B28" s="544" t="s">
        <v>275</v>
      </c>
      <c r="C28" s="168" t="s">
        <v>16</v>
      </c>
      <c r="D28" s="539">
        <v>0</v>
      </c>
      <c r="E28" s="546">
        <v>0</v>
      </c>
      <c r="F28" s="554" t="s">
        <v>29</v>
      </c>
      <c r="G28" s="555" t="e">
        <f ca="1">_xll.EURO(SwaptionUnderlyingPrice,SwaptionStrike,0,0,E29+BN8,B26-DateToday+1,IF(SwaptionType=1,1,0),1)+IF(OR(VolSkewFlag=2,ABS(BN7)&lt;0.0001),0,IF(BN7&gt;0,-1,1)*_xll.EURO(SwaptionUnderlyingPrice,SwaptionStrike,0,0,E29+BN8,B26-DateToday+1,IF(SwaptionType=1,1,0),3)*E33/D33*SwaptionStrike/SwaptionUnderlyingPrice^2*BN9/10%)</f>
        <v>#NUM!</v>
      </c>
      <c r="H28" s="51">
        <f t="shared" ca="1" si="35"/>
        <v>0</v>
      </c>
      <c r="I28" s="379">
        <f t="shared" si="36"/>
        <v>37012</v>
      </c>
      <c r="J28" s="377"/>
      <c r="K28" s="104" t="s">
        <v>488</v>
      </c>
      <c r="L28" s="392">
        <f t="shared" si="37"/>
        <v>0</v>
      </c>
      <c r="M28" s="171"/>
      <c r="N28" s="382">
        <v>0</v>
      </c>
      <c r="O28" s="171">
        <f t="shared" si="38"/>
        <v>0</v>
      </c>
      <c r="P28" s="377"/>
      <c r="Q28" s="103" t="s">
        <v>488</v>
      </c>
      <c r="R28" s="377">
        <f t="shared" ca="1" si="148"/>
        <v>0</v>
      </c>
      <c r="S28" s="832">
        <f t="shared" si="164"/>
        <v>0.36533935546875002</v>
      </c>
      <c r="T28" s="831">
        <f t="shared" si="149"/>
        <v>0.96666298907583459</v>
      </c>
      <c r="U28" s="545">
        <f t="shared" si="150"/>
        <v>0.99849830627441405</v>
      </c>
      <c r="V28" s="389">
        <v>0</v>
      </c>
      <c r="W28" s="434">
        <f t="shared" si="39"/>
        <v>0</v>
      </c>
      <c r="X28" s="415">
        <f t="shared" si="40"/>
        <v>0</v>
      </c>
      <c r="Y28" s="322">
        <f t="shared" si="41"/>
        <v>0</v>
      </c>
      <c r="Z28" s="322">
        <f t="shared" ca="1" si="42"/>
        <v>0</v>
      </c>
      <c r="AA28" s="429">
        <f t="shared" si="1"/>
        <v>0</v>
      </c>
      <c r="AB28" s="433">
        <f t="shared" ca="1" si="2"/>
        <v>0</v>
      </c>
      <c r="AC28" s="226">
        <v>37001</v>
      </c>
      <c r="AD28" s="227">
        <v>36998</v>
      </c>
      <c r="AE28" s="227">
        <v>36993</v>
      </c>
      <c r="AF28" s="228">
        <v>36991</v>
      </c>
      <c r="AG28" s="249" t="s">
        <v>498</v>
      </c>
      <c r="AH28" s="247" t="s">
        <v>498</v>
      </c>
      <c r="AI28" s="146">
        <v>23</v>
      </c>
      <c r="AJ28" s="41">
        <v>16</v>
      </c>
      <c r="AK28" s="41">
        <v>7</v>
      </c>
      <c r="AL28" s="293">
        <v>23</v>
      </c>
      <c r="AM28" s="41">
        <v>11</v>
      </c>
      <c r="AN28" s="147">
        <v>12</v>
      </c>
      <c r="AO28" s="374"/>
      <c r="AP28" s="153">
        <f t="shared" ca="1" si="43"/>
        <v>1</v>
      </c>
      <c r="AQ28" s="374"/>
      <c r="AR28" s="153">
        <f t="shared" ca="1" si="151"/>
        <v>1</v>
      </c>
      <c r="AS28" s="272">
        <f t="shared" si="3"/>
        <v>0</v>
      </c>
      <c r="AT28" s="157">
        <f t="shared" si="44"/>
        <v>0</v>
      </c>
      <c r="AU28" s="157">
        <f t="shared" si="4"/>
        <v>0</v>
      </c>
      <c r="AV28" s="271">
        <f t="shared" ca="1" si="163"/>
        <v>9.9999999999999995E-7</v>
      </c>
      <c r="AW28" s="158">
        <f t="shared" ca="1" si="5"/>
        <v>2</v>
      </c>
      <c r="AX28" s="157">
        <f t="shared" ca="1" si="152"/>
        <v>1.7999999999999995E-2</v>
      </c>
      <c r="AY28" s="157">
        <f t="shared" ca="1" si="153"/>
        <v>1.2999999999999999E-2</v>
      </c>
      <c r="AZ28" s="157">
        <f t="shared" ca="1" si="154"/>
        <v>7.9999999999999967E-3</v>
      </c>
      <c r="BA28" s="157">
        <f t="shared" ca="1" si="155"/>
        <v>1.1947705167871705E-3</v>
      </c>
      <c r="BB28" s="157">
        <f t="shared" ca="1" si="156"/>
        <v>1.701866471574975E-3</v>
      </c>
      <c r="BC28" s="157">
        <f t="shared" ca="1" si="157"/>
        <v>2.2057826866754781E-3</v>
      </c>
      <c r="BD28" s="151">
        <f t="shared" ca="1" si="45"/>
        <v>30</v>
      </c>
      <c r="BE28" s="152">
        <f t="shared" ca="1" si="46"/>
        <v>30</v>
      </c>
      <c r="BF28" s="40">
        <f t="shared" si="7"/>
        <v>2001</v>
      </c>
      <c r="BG28" s="144">
        <f t="shared" si="8"/>
        <v>5</v>
      </c>
      <c r="BH28" s="145">
        <f t="shared" ca="1" si="47"/>
        <v>253</v>
      </c>
      <c r="BI28" s="313">
        <f t="shared" ca="1" si="9"/>
        <v>0.731006160164271</v>
      </c>
      <c r="BJ28" s="42">
        <f t="shared" ca="1" si="10"/>
        <v>0.78814391572181053</v>
      </c>
      <c r="BK28" s="42">
        <f t="shared" ca="1" si="11"/>
        <v>0.7908817665089426</v>
      </c>
      <c r="BL28" s="42">
        <f t="shared" ca="1" si="12"/>
        <v>0.81314168377823404</v>
      </c>
      <c r="BM28" s="150" t="e">
        <f t="shared" ca="1" si="13"/>
        <v>#DIV/0!</v>
      </c>
      <c r="BN28" s="42" t="e">
        <f t="shared" ca="1" si="14"/>
        <v>#DIV/0!</v>
      </c>
      <c r="BO28" s="293">
        <f t="shared" si="48"/>
        <v>23</v>
      </c>
      <c r="BP28" s="41">
        <f t="shared" si="49"/>
        <v>16</v>
      </c>
      <c r="BQ28" s="41">
        <f t="shared" si="50"/>
        <v>7</v>
      </c>
      <c r="BR28" s="305">
        <f t="shared" ca="1" si="15"/>
        <v>-0.05</v>
      </c>
      <c r="BS28" s="305">
        <f t="shared" ca="1" si="16"/>
        <v>-1</v>
      </c>
      <c r="BT28" s="307">
        <f t="shared" ca="1" si="17"/>
        <v>-1</v>
      </c>
      <c r="BU28" s="161">
        <f t="shared" ca="1" si="18"/>
        <v>-0.05</v>
      </c>
      <c r="BV28" s="161">
        <f t="shared" ca="1" si="19"/>
        <v>-0.05</v>
      </c>
      <c r="BW28" s="308">
        <f t="shared" ca="1" si="20"/>
        <v>0</v>
      </c>
      <c r="BX28" s="309">
        <f t="shared" ca="1" si="21"/>
        <v>0</v>
      </c>
      <c r="BY28" s="308">
        <f t="shared" ca="1" si="51"/>
        <v>4.9999999999999958E-3</v>
      </c>
      <c r="BZ28" s="309">
        <f t="shared" ca="1" si="52"/>
        <v>4.9999999999999958E-3</v>
      </c>
      <c r="CA28" s="154">
        <f t="shared" ca="1" si="22"/>
        <v>5.2999999999999964E-2</v>
      </c>
      <c r="CB28" s="154">
        <f t="shared" ca="1" si="23"/>
        <v>5.2999999999999964E-2</v>
      </c>
      <c r="CC28" s="154">
        <f t="shared" ca="1" si="24"/>
        <v>5.2999999999999964E-2</v>
      </c>
      <c r="CD28" s="154">
        <f t="shared" ca="1" si="25"/>
        <v>5.2999999999999964E-2</v>
      </c>
      <c r="CE28" s="310">
        <v>1</v>
      </c>
      <c r="CF28" s="162" t="e">
        <f ca="1">IF(BD28,_xll.xCrudeAPO(BU28,BV28,CA28,CB28,S29,S30,BI28,BL28,BP28,BQ28,0,Strike1,AO28,CE28,0,BL28,IF(OptControl=4,0,1),0,1),0)</f>
        <v>#VALUE!</v>
      </c>
      <c r="CG28" s="163" t="e">
        <f ca="1">IF(BD28,_xll.xCrudeAPO(BU28,BV28,CA28,CB28,S29,S30,BI28,BL28,BP28,BQ28,0,Strike1,AO28,CE28,0,BL28,IF(OptControl=4,0,1),1,1)+_xll.xCrudeAPO(BU28,BV28,CA28,CB28,S29,S30,BI28,BL28,BP28,BQ28,0,Strike1,AO28,CE28,0,BL28,IF(OptControl=4,0,1),1,2)+IF(OR(VolSkewFlag=2,ABS(BS28)&lt;0.0001),0,IF(BS28&gt;0,-1,1)*CH28*Strike1/BR28^2*BY28/10%),0)</f>
        <v>#VALUE!</v>
      </c>
      <c r="CH28" s="163" t="e">
        <f ca="1">IF(BD28,(_xll.xCrudeAPO(BU28,BV28,CA28,CB28,S29,S30,BI28,BL28,BP28,BQ28,0,Strike1,AO28,CE28,0,BL28,IF(OptControl=4,0,1),3,1)+_xll.xCrudeAPO(BU28,BV28,CA28,CB28,S29,S30,BI28,BL28,BP28,BQ28,0,Strike1,AO28,CE28,0,BL28,IF(OptControl=4,0,1),3,2))/100,0)</f>
        <v>#VALUE!</v>
      </c>
      <c r="CI28" s="163" t="e">
        <f ca="1">IF(BD28,_xll.xCrudeAPO(BU28,BV28,CA28,CB28,S29,S30,BI28-DaysForThetaCalculation/365.25,BL28-DaysForThetaCalculation/365.25,BP28,BQ28,0,Strike1,AO28,CE28,0,BL28,IF(OptControl=4,0,1),0,1)-_xll.xCrudeAPO(BU28,BV28,CA28,CB28,S29,S30,BI28,BL28,BP28,BQ28,0,Strike1,AO28,CE28,0,BL28,IF(OptControl=4,0,1),0,1),0)</f>
        <v>#VALUE!</v>
      </c>
      <c r="CJ28" s="311" t="e">
        <f ca="1">IF(BD28,_xll.xCrudeAPO(BU28,BV28,CC28,CD28,S29,S30,BI28,BL28,BP28,BQ28,0,Strike2,AO28,CE28,0,BL28,IF(OptControl=3,1,0),0,1),0)</f>
        <v>#VALUE!</v>
      </c>
      <c r="CK28" s="163" t="e">
        <f ca="1">IF(BD28,_xll.xCrudeAPO(BU28,BV28,CC28,CD28,S29,S30,BI28,BL28,BP28,BQ28,0,Strike2,AO28,CE28,0,BL28,IF(OptControl=3,1,0),1,1)+_xll.xCrudeAPO(BU28,BV28,CC28,CD28,S29,S30,BI28,BL28,BP28,BQ28,0,Strike2,AO28,CE28,0,BL28,IF(OptControl=3,1,0),1,2)+IF(OR(VolSkewFlag=2,ABS(BT28)&lt;0.0001),0,IF(BT28&gt;0,-1,1)*CL28*Strike2/BR28^2*BZ28/10%),0)</f>
        <v>#VALUE!</v>
      </c>
      <c r="CL28" s="163" t="e">
        <f ca="1">IF(BD28,(_xll.xCrudeAPO(BU28,BV28,CC28,CD28,S29,S30,BI28,BL28,BP28,BQ28,0,Strike2,AO28,CE28,0,BL28,IF(OptControl=3,1,0),3,1)+_xll.xCrudeAPO(BU28,BV28,CC28,CD28,S29,S30,BI28,BL28,BP28,BQ28,0,Strike2,AO28,CE28,0,BL28,IF(OptControl=3,1,0),3,2))/100,0)</f>
        <v>#VALUE!</v>
      </c>
      <c r="CM28" s="164" t="e">
        <f ca="1">IF(BD28,_xll.xCrudeAPO(BU28,BV28,CC28,CD28,S29,S30,BI28-DaysForThetaCalculation/365.25,BL28-DaysForThetaCalculation/365.25,BP28,BQ28,0,Strike2,AO28,CE28,0,BL28,IF(OptControl=3,1,0),0,1)-_xll.xCrudeAPO(BU28,BV28,CC28,CD28,S29,S30,BI28,BL28,BP28,BQ28,0,Strike2,AO28,CE28,0,BL28,IF(OptControl=3,1,0),0,1),0)</f>
        <v>#VALUE!</v>
      </c>
      <c r="CN28" s="508"/>
      <c r="CO28" s="796">
        <f t="shared" ca="1" si="53"/>
        <v>253</v>
      </c>
      <c r="CP28" s="800">
        <f t="shared" ca="1" si="54"/>
        <v>0</v>
      </c>
      <c r="CQ28" s="797" t="e">
        <f t="shared" ca="1" si="55"/>
        <v>#DIV/0!</v>
      </c>
      <c r="CR28" s="797" t="e">
        <f t="shared" ca="1" si="56"/>
        <v>#DIV/0!</v>
      </c>
      <c r="CS28" s="797" t="e">
        <f t="shared" ca="1" si="57"/>
        <v>#DIV/0!</v>
      </c>
      <c r="CT28" s="797" t="e">
        <f t="shared" ca="1" si="58"/>
        <v>#DIV/0!</v>
      </c>
      <c r="CU28" s="798">
        <f t="shared" ca="1" si="59"/>
        <v>0</v>
      </c>
      <c r="CV28" s="799" t="e">
        <f t="shared" ca="1" si="60"/>
        <v>#DIV/0!</v>
      </c>
      <c r="CW28" s="799" t="e">
        <f t="shared" ca="1" si="61"/>
        <v>#DIV/0!</v>
      </c>
      <c r="CX28" s="163" t="e">
        <f ca="1">IF(BD28,_xll.EURO(CP28,Strike1,AO28,AO28,CV28,CO28,IF(OptControl=4,0,1),0),0)</f>
        <v>#DIV/0!</v>
      </c>
      <c r="CY28" s="163" t="e">
        <f ca="1">IF(BD28,_xll.EURO(CP28,Strike1,AO28,AO28,CV28,CO28,IF(OptControl=4,0,1),1)+IF(OR(VolSkewFlag=2,ABS(CQ28)&lt;0.0001),0,IF(CQ28&gt;0,-1,1)*CZ28*100*Strike1/CP28^2*CS28/10%),0)</f>
        <v>#DIV/0!</v>
      </c>
      <c r="CZ28" s="163" t="e">
        <f ca="1">IF(BD28,_xll.EURO(CP28,Strike1,AO28,AO28,CV28,CO28,IF(OptControl=4,0,1),3)/100,0)</f>
        <v>#DIV/0!</v>
      </c>
      <c r="DA28" s="163" t="e">
        <f ca="1">IF(BD28,_xll.EURO(CP28,Strike1,AO28,AO28,CV28,CO28,IF(OptControl=4,0,1),0)-_xll.EURO(CP28,Strike1,AO28,AO28,CV28,CO28-1,IF(OptControl=4,0,1),0),0)</f>
        <v>#DIV/0!</v>
      </c>
      <c r="DB28" s="163" t="e">
        <f ca="1">IF(BD28,_xll.EURO(CP28,Strike2,AO28,AO28,CW28,CO28,IF(OptControl=3,1,0),0),0)</f>
        <v>#DIV/0!</v>
      </c>
      <c r="DC28" s="163" t="e">
        <f ca="1">IF(BD28,_xll.EURO(CP28,Strike2,AO28,AO28,CW28,CO28,IF(OptControl=3,1,0),1)+IF(OR(VolSkewFlag=2,ABS(CR28)&lt;0.0001),0,IF(CR28&gt;0,-1,1)*DD28*100*Strike2/CP28^2*CT28/10%),0)</f>
        <v>#DIV/0!</v>
      </c>
      <c r="DD28" s="163" t="e">
        <f ca="1">IF(BD28,_xll.EURO(CP28,Strike2,AO28,AO28,CW28,CO28,IF(OptControl=3,1,0),3)/100,0)</f>
        <v>#DIV/0!</v>
      </c>
      <c r="DE28" s="164" t="e">
        <f ca="1">IF(BD28,_xll.EURO(CP28,Strike2,AO28,AO28,CW28,CO28,IF(OptControl=3,1,0),0)-_xll.EURO(CP28,Strike2,AO28,AO28,CW28,CO28-1,IF(OptControl=3,1,0),0),0)</f>
        <v>#DIV/0!</v>
      </c>
      <c r="DF28" s="508"/>
      <c r="DG28" s="667">
        <f t="shared" ca="1" si="62"/>
        <v>36800</v>
      </c>
      <c r="DH28" s="475">
        <v>24.94</v>
      </c>
      <c r="DI28" s="665">
        <v>24.343181818181815</v>
      </c>
      <c r="DJ28" s="666">
        <f t="shared" ca="1" si="26"/>
        <v>36800</v>
      </c>
      <c r="DK28" s="475">
        <v>23.49</v>
      </c>
      <c r="DL28" s="665">
        <v>22.918181818181818</v>
      </c>
      <c r="DM28" s="667">
        <f t="shared" ca="1" si="27"/>
        <v>36800</v>
      </c>
      <c r="DN28" s="668">
        <f t="shared" si="28"/>
        <v>23.54</v>
      </c>
      <c r="DO28" s="667">
        <f t="shared" ca="1" si="63"/>
        <v>36800</v>
      </c>
      <c r="DP28" s="579">
        <f t="shared" si="64"/>
        <v>23.268181818181819</v>
      </c>
      <c r="DQ28" s="821">
        <v>0.35</v>
      </c>
      <c r="DR28" s="666">
        <f t="shared" ca="1" si="29"/>
        <v>36800</v>
      </c>
      <c r="DS28" s="669">
        <v>0.28535000000000005</v>
      </c>
      <c r="DT28" s="606">
        <v>0.27535536533980515</v>
      </c>
      <c r="DU28" s="666">
        <f t="shared" ca="1" si="30"/>
        <v>36800</v>
      </c>
      <c r="DV28" s="669">
        <v>0.28535000000000005</v>
      </c>
      <c r="DW28" s="606">
        <v>0.27535536533980515</v>
      </c>
      <c r="DX28" s="667">
        <f t="shared" ca="1" si="31"/>
        <v>36800</v>
      </c>
      <c r="DY28" s="606">
        <v>0.35062500000000002</v>
      </c>
      <c r="DZ28" s="667">
        <f t="shared" ca="1" si="65"/>
        <v>36800</v>
      </c>
      <c r="EA28" s="606">
        <f t="shared" si="66"/>
        <v>0.27535536533980515</v>
      </c>
      <c r="EB28" s="1"/>
      <c r="EC28" s="118">
        <f t="shared" ca="1" si="32"/>
        <v>0</v>
      </c>
      <c r="ED28" s="119">
        <f t="shared" ca="1" si="33"/>
        <v>5.2999999999999964E-2</v>
      </c>
      <c r="EE28" s="112">
        <f t="shared" ca="1" si="34"/>
        <v>5.2999999999999964E-2</v>
      </c>
      <c r="EF28" s="120" t="e">
        <f ca="1">IF(BD28,_xll.xASN(BR28,Strike1,AO28,ED28,0,BO28,0,BI28,BL28,IF(OptControl=4,0,1),0),0)</f>
        <v>#VALUE!</v>
      </c>
      <c r="EG28" s="111" t="e">
        <f ca="1">IF(BD28,_xll.xASN(BR28,Strike2,AO28,EE28,0,BO28,0,BI28,BL28,IF(OptControl=3,1,0),0),0)</f>
        <v>#VALUE!</v>
      </c>
      <c r="EI28" s="483" t="str">
        <f ca="1">[1]!'CLc9 MTH'</f>
        <v>MAY1</v>
      </c>
      <c r="EJ28" s="484">
        <f t="shared" ca="1" si="158"/>
        <v>37012</v>
      </c>
      <c r="EK28" s="485">
        <f>[1]!'CLc9 NET.CHNG'</f>
        <v>0</v>
      </c>
      <c r="EL28" s="486">
        <f t="shared" si="159"/>
        <v>0</v>
      </c>
      <c r="EM28" s="1"/>
      <c r="EN28" s="697">
        <v>36711</v>
      </c>
      <c r="EO28" s="698">
        <v>37987</v>
      </c>
      <c r="EP28" s="1"/>
      <c r="EQ28" s="683" t="s">
        <v>132</v>
      </c>
      <c r="ES28" s="498">
        <v>9</v>
      </c>
      <c r="ET28" s="476">
        <f t="shared" ca="1" si="165"/>
        <v>0.69267624914442161</v>
      </c>
      <c r="EU28" s="842">
        <f t="shared" ca="1" si="67"/>
        <v>0</v>
      </c>
      <c r="EV28" s="815">
        <f t="shared" ca="1" si="160"/>
        <v>0.27352536775111119</v>
      </c>
      <c r="EW28" s="478">
        <f t="shared" ca="1" si="161"/>
        <v>1.0779220779220779</v>
      </c>
      <c r="EX28" s="477">
        <f t="shared" ca="1" si="162"/>
        <v>0.2320670390573697</v>
      </c>
      <c r="EY28" s="250">
        <v>0</v>
      </c>
      <c r="EZ28" s="605">
        <f ca="1">IF(OR(EW28="",EW29=""),"",SQRT(SUM(INDEX(FK28:ID28,SwaptionFirstMonthPosition+1):INDEX(FK28:ID28,FJ28))/SUM(INDEX($FK$15:$ID$15,SwaptionFirstMonthPosition+1):INDEX($FK$15:$ID$15,FJ28))))</f>
        <v>0.31497089447486037</v>
      </c>
      <c r="FA28" s="581">
        <f ca="1">IF(OR(EW28="",EW27=""),"",SQRT(SUM(INDEX(FK28:ID28,SwaptionFirstMonthPosition+1):INDEX(FK28:ID28,FJ28-1))/SUM(INDEX($FK$15:$ID$15,SwaptionFirstMonthPosition+1):INDEX($FK$15:$ID$15,FJ28-1))))</f>
        <v>0.29458524592889362</v>
      </c>
      <c r="FB28" s="578">
        <f t="shared" ca="1" si="68"/>
        <v>0.29175340137425387</v>
      </c>
      <c r="FC28" s="609">
        <f t="shared" ca="1" si="69"/>
        <v>281</v>
      </c>
      <c r="FD28" s="579">
        <f t="shared" ca="1" si="70"/>
        <v>-0.05</v>
      </c>
      <c r="FE28" s="579">
        <f t="shared" ca="1" si="71"/>
        <v>-1</v>
      </c>
      <c r="FF28" s="579">
        <f t="shared" ca="1" si="72"/>
        <v>-1</v>
      </c>
      <c r="FG28" s="580">
        <f t="shared" ca="1" si="73"/>
        <v>5.2999999999999964E-2</v>
      </c>
      <c r="FH28" s="606">
        <f t="shared" ca="1" si="74"/>
        <v>5.2999999999999964E-2</v>
      </c>
      <c r="FI28" s="250"/>
      <c r="FJ28" s="673">
        <v>9</v>
      </c>
      <c r="FK28" s="460">
        <f t="shared" ca="1" si="75"/>
        <v>0</v>
      </c>
      <c r="FL28" s="460">
        <f t="shared" ca="1" si="76"/>
        <v>3.7165453282473906E-3</v>
      </c>
      <c r="FM28" s="460">
        <f t="shared" ca="1" si="77"/>
        <v>4.7352835816896225E-3</v>
      </c>
      <c r="FN28" s="460">
        <f t="shared" ca="1" si="78"/>
        <v>4.4414479087396515E-3</v>
      </c>
      <c r="FO28" s="460">
        <f t="shared" ca="1" si="79"/>
        <v>5.2500597996255668E-3</v>
      </c>
      <c r="FP28" s="460">
        <f t="shared" ca="1" si="80"/>
        <v>6.7679258054806493E-3</v>
      </c>
      <c r="FQ28" s="460">
        <f t="shared" ca="1" si="81"/>
        <v>6.5560316129140653E-3</v>
      </c>
      <c r="FR28" s="460">
        <f t="shared" ca="1" si="82"/>
        <v>8.2969118706615209E-3</v>
      </c>
      <c r="FS28" s="460">
        <f t="shared" ca="1" si="83"/>
        <v>1.2059148182320647E-2</v>
      </c>
      <c r="FT28" s="460" t="str">
        <f t="shared" si="84"/>
        <v/>
      </c>
      <c r="FU28" s="460" t="str">
        <f t="shared" si="85"/>
        <v/>
      </c>
      <c r="FV28" s="460" t="str">
        <f t="shared" si="86"/>
        <v/>
      </c>
      <c r="FW28" s="460" t="str">
        <f t="shared" si="87"/>
        <v/>
      </c>
      <c r="FX28" s="460" t="str">
        <f t="shared" si="88"/>
        <v/>
      </c>
      <c r="FY28" s="460" t="str">
        <f t="shared" si="89"/>
        <v/>
      </c>
      <c r="FZ28" s="460" t="str">
        <f t="shared" si="90"/>
        <v/>
      </c>
      <c r="GA28" s="460" t="str">
        <f t="shared" si="91"/>
        <v/>
      </c>
      <c r="GB28" s="460" t="str">
        <f t="shared" si="92"/>
        <v/>
      </c>
      <c r="GC28" s="460" t="str">
        <f t="shared" si="93"/>
        <v/>
      </c>
      <c r="GD28" s="460" t="str">
        <f t="shared" si="94"/>
        <v/>
      </c>
      <c r="GE28" s="460" t="str">
        <f t="shared" si="95"/>
        <v/>
      </c>
      <c r="GF28" s="460" t="str">
        <f t="shared" si="96"/>
        <v/>
      </c>
      <c r="GG28" s="460" t="str">
        <f t="shared" si="97"/>
        <v/>
      </c>
      <c r="GH28" s="460" t="str">
        <f t="shared" si="98"/>
        <v/>
      </c>
      <c r="GI28" s="460" t="str">
        <f t="shared" si="99"/>
        <v/>
      </c>
      <c r="GJ28" s="460" t="str">
        <f t="shared" si="100"/>
        <v/>
      </c>
      <c r="GK28" s="460" t="str">
        <f t="shared" si="101"/>
        <v/>
      </c>
      <c r="GL28" s="460" t="str">
        <f t="shared" si="102"/>
        <v/>
      </c>
      <c r="GM28" s="460" t="str">
        <f t="shared" si="103"/>
        <v/>
      </c>
      <c r="GN28" s="460" t="str">
        <f t="shared" si="104"/>
        <v/>
      </c>
      <c r="GO28" s="460" t="str">
        <f t="shared" si="105"/>
        <v/>
      </c>
      <c r="GP28" s="460" t="str">
        <f t="shared" si="106"/>
        <v/>
      </c>
      <c r="GQ28" s="460" t="str">
        <f t="shared" si="107"/>
        <v/>
      </c>
      <c r="GR28" s="460" t="str">
        <f t="shared" si="108"/>
        <v/>
      </c>
      <c r="GS28" s="460" t="str">
        <f t="shared" si="109"/>
        <v/>
      </c>
      <c r="GT28" s="460" t="str">
        <f t="shared" si="110"/>
        <v/>
      </c>
      <c r="GU28" s="460" t="str">
        <f t="shared" si="111"/>
        <v/>
      </c>
      <c r="GV28" s="460" t="str">
        <f t="shared" si="112"/>
        <v/>
      </c>
      <c r="GW28" s="460" t="str">
        <f t="shared" si="113"/>
        <v/>
      </c>
      <c r="GX28" s="460" t="str">
        <f t="shared" si="114"/>
        <v/>
      </c>
      <c r="GY28" s="460" t="str">
        <f t="shared" si="115"/>
        <v/>
      </c>
      <c r="GZ28" s="460" t="str">
        <f t="shared" si="116"/>
        <v/>
      </c>
      <c r="HA28" s="460" t="str">
        <f t="shared" si="117"/>
        <v/>
      </c>
      <c r="HB28" s="460" t="str">
        <f t="shared" si="118"/>
        <v/>
      </c>
      <c r="HC28" s="460" t="str">
        <f t="shared" si="119"/>
        <v/>
      </c>
      <c r="HD28" s="460" t="str">
        <f t="shared" si="120"/>
        <v/>
      </c>
      <c r="HE28" s="460" t="str">
        <f t="shared" si="121"/>
        <v/>
      </c>
      <c r="HF28" s="460" t="str">
        <f t="shared" si="122"/>
        <v/>
      </c>
      <c r="HG28" s="460" t="str">
        <f t="shared" si="123"/>
        <v/>
      </c>
      <c r="HH28" s="460" t="str">
        <f t="shared" si="124"/>
        <v/>
      </c>
      <c r="HI28" s="460" t="str">
        <f t="shared" si="125"/>
        <v/>
      </c>
      <c r="HJ28" s="460" t="str">
        <f t="shared" si="126"/>
        <v/>
      </c>
      <c r="HK28" s="460" t="str">
        <f t="shared" si="127"/>
        <v/>
      </c>
      <c r="HL28" s="460" t="str">
        <f t="shared" si="128"/>
        <v/>
      </c>
      <c r="HM28" s="460" t="str">
        <f t="shared" si="129"/>
        <v/>
      </c>
      <c r="HN28" s="460" t="str">
        <f t="shared" si="130"/>
        <v/>
      </c>
      <c r="HO28" s="460" t="str">
        <f t="shared" si="131"/>
        <v/>
      </c>
      <c r="HP28" s="460" t="str">
        <f t="shared" si="132"/>
        <v/>
      </c>
      <c r="HQ28" s="460" t="str">
        <f t="shared" si="133"/>
        <v/>
      </c>
      <c r="HR28" s="460" t="str">
        <f t="shared" si="134"/>
        <v/>
      </c>
      <c r="HS28" s="460" t="str">
        <f t="shared" si="135"/>
        <v/>
      </c>
      <c r="HT28" s="460" t="str">
        <f t="shared" si="136"/>
        <v/>
      </c>
      <c r="HU28" s="460" t="str">
        <f t="shared" si="137"/>
        <v/>
      </c>
      <c r="HV28" s="460" t="str">
        <f t="shared" si="138"/>
        <v/>
      </c>
      <c r="HW28" s="460" t="str">
        <f t="shared" si="139"/>
        <v/>
      </c>
      <c r="HX28" s="460" t="str">
        <f t="shared" si="140"/>
        <v/>
      </c>
      <c r="HY28" s="460" t="str">
        <f t="shared" si="141"/>
        <v/>
      </c>
      <c r="HZ28" s="460" t="str">
        <f t="shared" si="142"/>
        <v/>
      </c>
      <c r="IA28" s="460" t="str">
        <f t="shared" si="143"/>
        <v/>
      </c>
      <c r="IB28" s="460" t="str">
        <f t="shared" si="144"/>
        <v/>
      </c>
      <c r="IC28" s="460" t="str">
        <f t="shared" si="145"/>
        <v/>
      </c>
      <c r="ID28" s="674" t="str">
        <f t="shared" si="146"/>
        <v/>
      </c>
      <c r="IE28" s="250"/>
    </row>
    <row r="29" spans="1:239" ht="14.25" customHeight="1" thickBot="1">
      <c r="A29" s="480"/>
      <c r="B29" s="576">
        <f ca="1">SwaptionUnderlyingPrice-SUMPRODUCT(CHOOSE(Underlying,W19:W258,Y19:Y258),BE19:BE258,AP19:AP258)/E33</f>
        <v>-0.05</v>
      </c>
      <c r="C29" s="547" t="s">
        <v>19</v>
      </c>
      <c r="D29" s="538">
        <f ca="1">IF(D28,D28,D26+D27)</f>
        <v>-0.05</v>
      </c>
      <c r="E29" s="548" t="e">
        <f ca="1">IF(E28,E28,E26+E27)</f>
        <v>#NUM!</v>
      </c>
      <c r="F29" s="70" t="s">
        <v>28</v>
      </c>
      <c r="G29" s="540" t="e">
        <f ca="1">_xll.EURO(SwaptionUnderlyingPrice,SwaptionStrike,0,0,E29+BN8,B26-DateToday+1,IF(SwaptionType=1,1,0),0)*E33/D33</f>
        <v>#NUM!</v>
      </c>
      <c r="H29" s="51">
        <f t="shared" ca="1" si="35"/>
        <v>0</v>
      </c>
      <c r="I29" s="379">
        <f t="shared" si="36"/>
        <v>37043</v>
      </c>
      <c r="J29" s="377"/>
      <c r="K29" s="104" t="s">
        <v>488</v>
      </c>
      <c r="L29" s="392">
        <f t="shared" si="37"/>
        <v>0</v>
      </c>
      <c r="M29" s="171"/>
      <c r="N29" s="382">
        <v>0</v>
      </c>
      <c r="O29" s="171">
        <f t="shared" si="38"/>
        <v>0</v>
      </c>
      <c r="P29" s="377"/>
      <c r="Q29" s="103" t="s">
        <v>488</v>
      </c>
      <c r="R29" s="377">
        <f t="shared" ca="1" si="148"/>
        <v>0</v>
      </c>
      <c r="S29" s="832">
        <f t="shared" si="164"/>
        <v>0.36400451660156252</v>
      </c>
      <c r="T29" s="831">
        <f t="shared" si="149"/>
        <v>0.97163830982953381</v>
      </c>
      <c r="U29" s="545">
        <f t="shared" si="150"/>
        <v>0.99887372970581056</v>
      </c>
      <c r="V29" s="389">
        <v>0</v>
      </c>
      <c r="W29" s="434">
        <f t="shared" si="39"/>
        <v>0</v>
      </c>
      <c r="X29" s="415">
        <f t="shared" si="40"/>
        <v>0</v>
      </c>
      <c r="Y29" s="322">
        <f t="shared" si="41"/>
        <v>0</v>
      </c>
      <c r="Z29" s="322">
        <f t="shared" ca="1" si="42"/>
        <v>0</v>
      </c>
      <c r="AA29" s="429">
        <f t="shared" si="1"/>
        <v>0</v>
      </c>
      <c r="AB29" s="433">
        <f t="shared" ca="1" si="2"/>
        <v>0</v>
      </c>
      <c r="AC29" s="226">
        <v>37033</v>
      </c>
      <c r="AD29" s="227">
        <v>37028</v>
      </c>
      <c r="AE29" s="227">
        <v>37027</v>
      </c>
      <c r="AF29" s="228">
        <v>37022</v>
      </c>
      <c r="AG29" s="249" t="s">
        <v>498</v>
      </c>
      <c r="AH29" s="247" t="s">
        <v>498</v>
      </c>
      <c r="AI29" s="146">
        <v>21</v>
      </c>
      <c r="AJ29" s="41">
        <v>14</v>
      </c>
      <c r="AK29" s="41">
        <v>7</v>
      </c>
      <c r="AL29" s="293">
        <v>21</v>
      </c>
      <c r="AM29" s="41">
        <v>10</v>
      </c>
      <c r="AN29" s="147">
        <v>11</v>
      </c>
      <c r="AO29" s="374"/>
      <c r="AP29" s="153">
        <f t="shared" ca="1" si="43"/>
        <v>1</v>
      </c>
      <c r="AQ29" s="374"/>
      <c r="AR29" s="153">
        <f t="shared" ca="1" si="151"/>
        <v>1</v>
      </c>
      <c r="AS29" s="272">
        <f t="shared" si="3"/>
        <v>0</v>
      </c>
      <c r="AT29" s="157">
        <f t="shared" si="44"/>
        <v>0</v>
      </c>
      <c r="AU29" s="157">
        <f t="shared" si="4"/>
        <v>0</v>
      </c>
      <c r="AV29" s="271">
        <f t="shared" ca="1" si="163"/>
        <v>9.9999999999999995E-7</v>
      </c>
      <c r="AW29" s="158">
        <f t="shared" ca="1" si="5"/>
        <v>2</v>
      </c>
      <c r="AX29" s="157">
        <f t="shared" ca="1" si="152"/>
        <v>1.8000000000000006E-2</v>
      </c>
      <c r="AY29" s="157">
        <f t="shared" ca="1" si="153"/>
        <v>1.3000000000000005E-2</v>
      </c>
      <c r="AZ29" s="157">
        <f t="shared" ca="1" si="154"/>
        <v>8.0000000000000002E-3</v>
      </c>
      <c r="BA29" s="157">
        <f t="shared" ca="1" si="155"/>
        <v>1.114185927992741E-3</v>
      </c>
      <c r="BB29" s="157">
        <f t="shared" ca="1" si="156"/>
        <v>1.6196018176016073E-3</v>
      </c>
      <c r="BC29" s="157">
        <f t="shared" ca="1" si="157"/>
        <v>2.1226220225805913E-3</v>
      </c>
      <c r="BD29" s="151">
        <f t="shared" ca="1" si="45"/>
        <v>30</v>
      </c>
      <c r="BE29" s="152">
        <f t="shared" ca="1" si="46"/>
        <v>30</v>
      </c>
      <c r="BF29" s="40">
        <f t="shared" si="7"/>
        <v>2001</v>
      </c>
      <c r="BG29" s="144">
        <f t="shared" si="8"/>
        <v>6</v>
      </c>
      <c r="BH29" s="145">
        <f t="shared" ca="1" si="47"/>
        <v>283</v>
      </c>
      <c r="BI29" s="313">
        <f t="shared" ca="1" si="9"/>
        <v>0.81587953456536622</v>
      </c>
      <c r="BJ29" s="42">
        <f t="shared" ca="1" si="10"/>
        <v>0.86881131644992016</v>
      </c>
      <c r="BK29" s="42">
        <f t="shared" ca="1" si="11"/>
        <v>0.87154916723705222</v>
      </c>
      <c r="BL29" s="42">
        <f t="shared" ca="1" si="12"/>
        <v>0.89527720739219707</v>
      </c>
      <c r="BM29" s="150" t="e">
        <f t="shared" ca="1" si="13"/>
        <v>#DIV/0!</v>
      </c>
      <c r="BN29" s="42" t="e">
        <f t="shared" ca="1" si="14"/>
        <v>#DIV/0!</v>
      </c>
      <c r="BO29" s="293">
        <f t="shared" si="48"/>
        <v>21</v>
      </c>
      <c r="BP29" s="41">
        <f t="shared" si="49"/>
        <v>14</v>
      </c>
      <c r="BQ29" s="41">
        <f t="shared" si="50"/>
        <v>7</v>
      </c>
      <c r="BR29" s="305">
        <f t="shared" ca="1" si="15"/>
        <v>-0.05</v>
      </c>
      <c r="BS29" s="305">
        <f t="shared" ca="1" si="16"/>
        <v>-1</v>
      </c>
      <c r="BT29" s="307">
        <f t="shared" ca="1" si="17"/>
        <v>-1</v>
      </c>
      <c r="BU29" s="161">
        <f t="shared" ca="1" si="18"/>
        <v>-0.05</v>
      </c>
      <c r="BV29" s="161">
        <f t="shared" ca="1" si="19"/>
        <v>-0.05</v>
      </c>
      <c r="BW29" s="308">
        <f t="shared" ca="1" si="20"/>
        <v>0</v>
      </c>
      <c r="BX29" s="309">
        <f t="shared" ca="1" si="21"/>
        <v>0</v>
      </c>
      <c r="BY29" s="308">
        <f t="shared" ca="1" si="51"/>
        <v>5.000000000000001E-3</v>
      </c>
      <c r="BZ29" s="309">
        <f t="shared" ca="1" si="52"/>
        <v>5.000000000000001E-3</v>
      </c>
      <c r="CA29" s="154">
        <f t="shared" ca="1" si="22"/>
        <v>5.3000000000000012E-2</v>
      </c>
      <c r="CB29" s="154">
        <f t="shared" ca="1" si="23"/>
        <v>5.3000000000000012E-2</v>
      </c>
      <c r="CC29" s="154">
        <f t="shared" ca="1" si="24"/>
        <v>5.3000000000000012E-2</v>
      </c>
      <c r="CD29" s="154">
        <f t="shared" ca="1" si="25"/>
        <v>5.3000000000000012E-2</v>
      </c>
      <c r="CE29" s="310">
        <v>1</v>
      </c>
      <c r="CF29" s="162" t="e">
        <f ca="1">IF(BD29,_xll.xCrudeAPO(BU29,BV29,CA29,CB29,S30,S31,BI29,BL29,BP29,BQ29,0,Strike1,AO29,CE29,0,BL29,IF(OptControl=4,0,1),0,1),0)</f>
        <v>#VALUE!</v>
      </c>
      <c r="CG29" s="163" t="e">
        <f ca="1">IF(BD29,_xll.xCrudeAPO(BU29,BV29,CA29,CB29,S30,S31,BI29,BL29,BP29,BQ29,0,Strike1,AO29,CE29,0,BL29,IF(OptControl=4,0,1),1,1)+_xll.xCrudeAPO(BU29,BV29,CA29,CB29,S30,S31,BI29,BL29,BP29,BQ29,0,Strike1,AO29,CE29,0,BL29,IF(OptControl=4,0,1),1,2)+IF(OR(VolSkewFlag=2,ABS(BS29)&lt;0.0001),0,IF(BS29&gt;0,-1,1)*CH29*Strike1/BR29^2*BY29/10%),0)</f>
        <v>#VALUE!</v>
      </c>
      <c r="CH29" s="163" t="e">
        <f ca="1">IF(BD29,(_xll.xCrudeAPO(BU29,BV29,CA29,CB29,S30,S31,BI29,BL29,BP29,BQ29,0,Strike1,AO29,CE29,0,BL29,IF(OptControl=4,0,1),3,1)+_xll.xCrudeAPO(BU29,BV29,CA29,CB29,S30,S31,BI29,BL29,BP29,BQ29,0,Strike1,AO29,CE29,0,BL29,IF(OptControl=4,0,1),3,2))/100,0)</f>
        <v>#VALUE!</v>
      </c>
      <c r="CI29" s="163" t="e">
        <f ca="1">IF(BD29,_xll.xCrudeAPO(BU29,BV29,CA29,CB29,S30,S31,BI29-DaysForThetaCalculation/365.25,BL29-DaysForThetaCalculation/365.25,BP29,BQ29,0,Strike1,AO29,CE29,0,BL29,IF(OptControl=4,0,1),0,1)-_xll.xCrudeAPO(BU29,BV29,CA29,CB29,S30,S31,BI29,BL29,BP29,BQ29,0,Strike1,AO29,CE29,0,BL29,IF(OptControl=4,0,1),0,1),0)</f>
        <v>#VALUE!</v>
      </c>
      <c r="CJ29" s="311" t="e">
        <f ca="1">IF(BD29,_xll.xCrudeAPO(BU29,BV29,CC29,CD29,S30,S31,BI29,BL29,BP29,BQ29,0,Strike2,AO29,CE29,0,BL29,IF(OptControl=3,1,0),0,1),0)</f>
        <v>#VALUE!</v>
      </c>
      <c r="CK29" s="163" t="e">
        <f ca="1">IF(BD29,_xll.xCrudeAPO(BU29,BV29,CC29,CD29,S30,S31,BI29,BL29,BP29,BQ29,0,Strike2,AO29,CE29,0,BL29,IF(OptControl=3,1,0),1,1)+_xll.xCrudeAPO(BU29,BV29,CC29,CD29,S30,S31,BI29,BL29,BP29,BQ29,0,Strike2,AO29,CE29,0,BL29,IF(OptControl=3,1,0),1,2)+IF(OR(VolSkewFlag=2,ABS(BT29)&lt;0.0001),0,IF(BT29&gt;0,-1,1)*CL29*Strike2/BR29^2*BZ29/10%),0)</f>
        <v>#VALUE!</v>
      </c>
      <c r="CL29" s="163" t="e">
        <f ca="1">IF(BD29,(_xll.xCrudeAPO(BU29,BV29,CC29,CD29,S30,S31,BI29,BL29,BP29,BQ29,0,Strike2,AO29,CE29,0,BL29,IF(OptControl=3,1,0),3,1)+_xll.xCrudeAPO(BU29,BV29,CC29,CD29,S30,S31,BI29,BL29,BP29,BQ29,0,Strike2,AO29,CE29,0,BL29,IF(OptControl=3,1,0),3,2))/100,0)</f>
        <v>#VALUE!</v>
      </c>
      <c r="CM29" s="164" t="e">
        <f ca="1">IF(BD29,_xll.xCrudeAPO(BU29,BV29,CC29,CD29,S30,S31,BI29-DaysForThetaCalculation/365.25,BL29-DaysForThetaCalculation/365.25,BP29,BQ29,0,Strike2,AO29,CE29,0,BL29,IF(OptControl=3,1,0),0,1)-_xll.xCrudeAPO(BU29,BV29,CC29,CD29,S30,S31,BI29,BL29,BP29,BQ29,0,Strike2,AO29,CE29,0,BL29,IF(OptControl=3,1,0),0,1),0)</f>
        <v>#VALUE!</v>
      </c>
      <c r="CN29" s="508"/>
      <c r="CO29" s="796">
        <f t="shared" ca="1" si="53"/>
        <v>283</v>
      </c>
      <c r="CP29" s="800">
        <f t="shared" ca="1" si="54"/>
        <v>0</v>
      </c>
      <c r="CQ29" s="797" t="e">
        <f t="shared" ca="1" si="55"/>
        <v>#DIV/0!</v>
      </c>
      <c r="CR29" s="797" t="e">
        <f t="shared" ca="1" si="56"/>
        <v>#DIV/0!</v>
      </c>
      <c r="CS29" s="797" t="e">
        <f t="shared" ca="1" si="57"/>
        <v>#DIV/0!</v>
      </c>
      <c r="CT29" s="797" t="e">
        <f t="shared" ca="1" si="58"/>
        <v>#DIV/0!</v>
      </c>
      <c r="CU29" s="798">
        <f t="shared" ca="1" si="59"/>
        <v>0</v>
      </c>
      <c r="CV29" s="799" t="e">
        <f t="shared" ca="1" si="60"/>
        <v>#DIV/0!</v>
      </c>
      <c r="CW29" s="799" t="e">
        <f t="shared" ca="1" si="61"/>
        <v>#DIV/0!</v>
      </c>
      <c r="CX29" s="163" t="e">
        <f ca="1">IF(BD29,_xll.EURO(CP29,Strike1,AO29,AO29,CV29,CO29,IF(OptControl=4,0,1),0),0)</f>
        <v>#DIV/0!</v>
      </c>
      <c r="CY29" s="163" t="e">
        <f ca="1">IF(BD29,_xll.EURO(CP29,Strike1,AO29,AO29,CV29,CO29,IF(OptControl=4,0,1),1)+IF(OR(VolSkewFlag=2,ABS(CQ29)&lt;0.0001),0,IF(CQ29&gt;0,-1,1)*CZ29*100*Strike1/CP29^2*CS29/10%),0)</f>
        <v>#DIV/0!</v>
      </c>
      <c r="CZ29" s="163" t="e">
        <f ca="1">IF(BD29,_xll.EURO(CP29,Strike1,AO29,AO29,CV29,CO29,IF(OptControl=4,0,1),3)/100,0)</f>
        <v>#DIV/0!</v>
      </c>
      <c r="DA29" s="163" t="e">
        <f ca="1">IF(BD29,_xll.EURO(CP29,Strike1,AO29,AO29,CV29,CO29,IF(OptControl=4,0,1),0)-_xll.EURO(CP29,Strike1,AO29,AO29,CV29,CO29-1,IF(OptControl=4,0,1),0),0)</f>
        <v>#DIV/0!</v>
      </c>
      <c r="DB29" s="163" t="e">
        <f ca="1">IF(BD29,_xll.EURO(CP29,Strike2,AO29,AO29,CW29,CO29,IF(OptControl=3,1,0),0),0)</f>
        <v>#DIV/0!</v>
      </c>
      <c r="DC29" s="163" t="e">
        <f ca="1">IF(BD29,_xll.EURO(CP29,Strike2,AO29,AO29,CW29,CO29,IF(OptControl=3,1,0),1)+IF(OR(VolSkewFlag=2,ABS(CR29)&lt;0.0001),0,IF(CR29&gt;0,-1,1)*DD29*100*Strike2/CP29^2*CT29/10%),0)</f>
        <v>#DIV/0!</v>
      </c>
      <c r="DD29" s="163" t="e">
        <f ca="1">IF(BD29,_xll.EURO(CP29,Strike2,AO29,AO29,CW29,CO29,IF(OptControl=3,1,0),3)/100,0)</f>
        <v>#DIV/0!</v>
      </c>
      <c r="DE29" s="164" t="e">
        <f ca="1">IF(BD29,_xll.EURO(CP29,Strike2,AO29,AO29,CW29,CO29,IF(OptControl=3,1,0),0)-_xll.EURO(CP29,Strike2,AO29,AO29,CW29,CO29-1,IF(OptControl=3,1,0),0),0)</f>
        <v>#DIV/0!</v>
      </c>
      <c r="DF29" s="508"/>
      <c r="DG29" s="667">
        <f t="shared" ca="1" si="62"/>
        <v>36831</v>
      </c>
      <c r="DH29" s="475">
        <v>24.48</v>
      </c>
      <c r="DI29" s="665">
        <v>23.87</v>
      </c>
      <c r="DJ29" s="666">
        <f t="shared" ca="1" si="26"/>
        <v>36831</v>
      </c>
      <c r="DK29" s="475">
        <v>23.12</v>
      </c>
      <c r="DL29" s="665">
        <v>22.51</v>
      </c>
      <c r="DM29" s="667">
        <f t="shared" ca="1" si="27"/>
        <v>36831</v>
      </c>
      <c r="DN29" s="668">
        <f t="shared" si="28"/>
        <v>23.17</v>
      </c>
      <c r="DO29" s="667">
        <f t="shared" ca="1" si="63"/>
        <v>36831</v>
      </c>
      <c r="DP29" s="579">
        <f t="shared" si="64"/>
        <v>22.860000000000003</v>
      </c>
      <c r="DQ29" s="821">
        <v>0.35</v>
      </c>
      <c r="DR29" s="666">
        <f t="shared" ca="1" si="29"/>
        <v>36831</v>
      </c>
      <c r="DS29" s="669">
        <v>0.27725</v>
      </c>
      <c r="DT29" s="606">
        <v>0.26934927550601784</v>
      </c>
      <c r="DU29" s="666">
        <f t="shared" ca="1" si="30"/>
        <v>36831</v>
      </c>
      <c r="DV29" s="669">
        <v>0.27725</v>
      </c>
      <c r="DW29" s="606">
        <v>0.26934927550601784</v>
      </c>
      <c r="DX29" s="667">
        <f t="shared" ca="1" si="31"/>
        <v>36831</v>
      </c>
      <c r="DY29" s="606">
        <v>0.35031250000000003</v>
      </c>
      <c r="DZ29" s="667">
        <f t="shared" ca="1" si="65"/>
        <v>36831</v>
      </c>
      <c r="EA29" s="606">
        <f t="shared" si="66"/>
        <v>0.26934927550601784</v>
      </c>
      <c r="EB29" s="1"/>
      <c r="EC29" s="118">
        <f t="shared" ca="1" si="32"/>
        <v>0</v>
      </c>
      <c r="ED29" s="119">
        <f t="shared" ca="1" si="33"/>
        <v>5.3000000000000012E-2</v>
      </c>
      <c r="EE29" s="112">
        <f t="shared" ca="1" si="34"/>
        <v>5.3000000000000012E-2</v>
      </c>
      <c r="EF29" s="120" t="e">
        <f ca="1">IF(BD29,_xll.xASN(BR29,Strike1,AO29,ED29,0,BO29,0,BI29,BL29,IF(OptControl=4,0,1),0),0)</f>
        <v>#VALUE!</v>
      </c>
      <c r="EG29" s="111" t="e">
        <f ca="1">IF(BD29,_xll.xASN(BR29,Strike2,AO29,EE29,0,BO29,0,BI29,BL29,IF(OptControl=3,1,0),0),0)</f>
        <v>#VALUE!</v>
      </c>
      <c r="EI29" s="483" t="str">
        <f ca="1">[1]!'CLc10 MTH'</f>
        <v>JUN1</v>
      </c>
      <c r="EJ29" s="484">
        <f t="shared" ca="1" si="158"/>
        <v>37043</v>
      </c>
      <c r="EK29" s="485">
        <f>[1]!'CLc10 NET.CHNG'</f>
        <v>0</v>
      </c>
      <c r="EL29" s="486">
        <f t="shared" si="159"/>
        <v>0</v>
      </c>
      <c r="EM29" s="1"/>
      <c r="EN29" s="697">
        <v>36885</v>
      </c>
      <c r="EO29" s="698">
        <v>38346</v>
      </c>
      <c r="EP29" s="1"/>
      <c r="EQ29" s="683" t="s">
        <v>133</v>
      </c>
      <c r="ER29" s="75"/>
      <c r="ES29" s="498">
        <v>10</v>
      </c>
      <c r="ET29" s="476">
        <f t="shared" ca="1" si="165"/>
        <v>0.77481177275838464</v>
      </c>
      <c r="EU29" s="842">
        <f t="shared" ca="1" si="67"/>
        <v>0</v>
      </c>
      <c r="EV29" s="815">
        <f t="shared" ca="1" si="160"/>
        <v>0.26544911379667541</v>
      </c>
      <c r="EW29" s="478">
        <f t="shared" ca="1" si="161"/>
        <v>0.98136645962732916</v>
      </c>
      <c r="EX29" s="477">
        <f t="shared" ca="1" si="162"/>
        <v>0.21957157257463064</v>
      </c>
      <c r="EY29" s="250">
        <v>0</v>
      </c>
      <c r="EZ29" s="605">
        <f ca="1">IF(OR(EW29="",EW30=""),"",SQRT(SUM(INDEX(FK29:ID29,SwaptionFirstMonthPosition+1):INDEX(FK29:ID29,FJ29))/SUM(INDEX($FK$15:$ID$15,SwaptionFirstMonthPosition+1):INDEX($FK$15:$ID$15,FJ29))))</f>
        <v>0.30113022775113674</v>
      </c>
      <c r="FA29" s="581">
        <f ca="1">IF(OR(EW29="",EW28=""),"",SQRT(SUM(INDEX(FK29:ID29,SwaptionFirstMonthPosition+1):INDEX(FK29:ID29,FJ29-1))/SUM(INDEX($FK$15:$ID$15,SwaptionFirstMonthPosition+1):INDEX($FK$15:$ID$15,FJ29-1))))</f>
        <v>0.28383393490551279</v>
      </c>
      <c r="FB29" s="578">
        <f t="shared" ca="1" si="68"/>
        <v>0.28060268156739643</v>
      </c>
      <c r="FC29" s="609">
        <f t="shared" ca="1" si="69"/>
        <v>311.5</v>
      </c>
      <c r="FD29" s="579">
        <f t="shared" ca="1" si="70"/>
        <v>-0.05</v>
      </c>
      <c r="FE29" s="579">
        <f t="shared" ca="1" si="71"/>
        <v>-1</v>
      </c>
      <c r="FF29" s="579">
        <f t="shared" ca="1" si="72"/>
        <v>-1</v>
      </c>
      <c r="FG29" s="580">
        <f t="shared" ca="1" si="73"/>
        <v>5.3000000000000012E-2</v>
      </c>
      <c r="FH29" s="606">
        <f t="shared" ca="1" si="74"/>
        <v>5.3000000000000012E-2</v>
      </c>
      <c r="FI29" s="250"/>
      <c r="FJ29" s="673">
        <v>10</v>
      </c>
      <c r="FK29" s="460">
        <f t="shared" ca="1" si="75"/>
        <v>0</v>
      </c>
      <c r="FL29" s="460">
        <f t="shared" ca="1" si="76"/>
        <v>3.4376639542347777E-3</v>
      </c>
      <c r="FM29" s="460">
        <f t="shared" ca="1" si="77"/>
        <v>4.3196984959513081E-3</v>
      </c>
      <c r="FN29" s="460">
        <f t="shared" ca="1" si="78"/>
        <v>3.9855449413749517E-3</v>
      </c>
      <c r="FO29" s="460">
        <f t="shared" ca="1" si="79"/>
        <v>4.6197617235384401E-3</v>
      </c>
      <c r="FP29" s="460">
        <f t="shared" ca="1" si="80"/>
        <v>5.8176028813841157E-3</v>
      </c>
      <c r="FQ29" s="460">
        <f t="shared" ca="1" si="81"/>
        <v>5.4793419563816071E-3</v>
      </c>
      <c r="FR29" s="460">
        <f t="shared" ca="1" si="82"/>
        <v>6.7032364879426798E-3</v>
      </c>
      <c r="FS29" s="460">
        <f t="shared" ca="1" si="83"/>
        <v>9.3499928642694508E-3</v>
      </c>
      <c r="FT29" s="460">
        <f t="shared" ca="1" si="84"/>
        <v>1.0882898407091352E-2</v>
      </c>
      <c r="FU29" s="460" t="str">
        <f t="shared" si="85"/>
        <v/>
      </c>
      <c r="FV29" s="460" t="str">
        <f t="shared" si="86"/>
        <v/>
      </c>
      <c r="FW29" s="460" t="str">
        <f t="shared" si="87"/>
        <v/>
      </c>
      <c r="FX29" s="460" t="str">
        <f t="shared" si="88"/>
        <v/>
      </c>
      <c r="FY29" s="460" t="str">
        <f t="shared" si="89"/>
        <v/>
      </c>
      <c r="FZ29" s="460" t="str">
        <f t="shared" si="90"/>
        <v/>
      </c>
      <c r="GA29" s="460" t="str">
        <f t="shared" si="91"/>
        <v/>
      </c>
      <c r="GB29" s="460" t="str">
        <f t="shared" si="92"/>
        <v/>
      </c>
      <c r="GC29" s="460" t="str">
        <f t="shared" si="93"/>
        <v/>
      </c>
      <c r="GD29" s="460" t="str">
        <f t="shared" si="94"/>
        <v/>
      </c>
      <c r="GE29" s="460" t="str">
        <f t="shared" si="95"/>
        <v/>
      </c>
      <c r="GF29" s="460" t="str">
        <f t="shared" si="96"/>
        <v/>
      </c>
      <c r="GG29" s="460" t="str">
        <f t="shared" si="97"/>
        <v/>
      </c>
      <c r="GH29" s="460" t="str">
        <f t="shared" si="98"/>
        <v/>
      </c>
      <c r="GI29" s="460" t="str">
        <f t="shared" si="99"/>
        <v/>
      </c>
      <c r="GJ29" s="460" t="str">
        <f t="shared" si="100"/>
        <v/>
      </c>
      <c r="GK29" s="460" t="str">
        <f t="shared" si="101"/>
        <v/>
      </c>
      <c r="GL29" s="460" t="str">
        <f t="shared" si="102"/>
        <v/>
      </c>
      <c r="GM29" s="460" t="str">
        <f t="shared" si="103"/>
        <v/>
      </c>
      <c r="GN29" s="460" t="str">
        <f t="shared" si="104"/>
        <v/>
      </c>
      <c r="GO29" s="460" t="str">
        <f t="shared" si="105"/>
        <v/>
      </c>
      <c r="GP29" s="460" t="str">
        <f t="shared" si="106"/>
        <v/>
      </c>
      <c r="GQ29" s="460" t="str">
        <f t="shared" si="107"/>
        <v/>
      </c>
      <c r="GR29" s="460" t="str">
        <f t="shared" si="108"/>
        <v/>
      </c>
      <c r="GS29" s="460" t="str">
        <f t="shared" si="109"/>
        <v/>
      </c>
      <c r="GT29" s="460" t="str">
        <f t="shared" si="110"/>
        <v/>
      </c>
      <c r="GU29" s="460" t="str">
        <f t="shared" si="111"/>
        <v/>
      </c>
      <c r="GV29" s="460" t="str">
        <f t="shared" si="112"/>
        <v/>
      </c>
      <c r="GW29" s="460" t="str">
        <f t="shared" si="113"/>
        <v/>
      </c>
      <c r="GX29" s="460" t="str">
        <f t="shared" si="114"/>
        <v/>
      </c>
      <c r="GY29" s="460" t="str">
        <f t="shared" si="115"/>
        <v/>
      </c>
      <c r="GZ29" s="460" t="str">
        <f t="shared" si="116"/>
        <v/>
      </c>
      <c r="HA29" s="460" t="str">
        <f t="shared" si="117"/>
        <v/>
      </c>
      <c r="HB29" s="460" t="str">
        <f t="shared" si="118"/>
        <v/>
      </c>
      <c r="HC29" s="460" t="str">
        <f t="shared" si="119"/>
        <v/>
      </c>
      <c r="HD29" s="460" t="str">
        <f t="shared" si="120"/>
        <v/>
      </c>
      <c r="HE29" s="460" t="str">
        <f t="shared" si="121"/>
        <v/>
      </c>
      <c r="HF29" s="460" t="str">
        <f t="shared" si="122"/>
        <v/>
      </c>
      <c r="HG29" s="460" t="str">
        <f t="shared" si="123"/>
        <v/>
      </c>
      <c r="HH29" s="460" t="str">
        <f t="shared" si="124"/>
        <v/>
      </c>
      <c r="HI29" s="460" t="str">
        <f t="shared" si="125"/>
        <v/>
      </c>
      <c r="HJ29" s="460" t="str">
        <f t="shared" si="126"/>
        <v/>
      </c>
      <c r="HK29" s="460" t="str">
        <f t="shared" si="127"/>
        <v/>
      </c>
      <c r="HL29" s="460" t="str">
        <f t="shared" si="128"/>
        <v/>
      </c>
      <c r="HM29" s="460" t="str">
        <f t="shared" si="129"/>
        <v/>
      </c>
      <c r="HN29" s="460" t="str">
        <f t="shared" si="130"/>
        <v/>
      </c>
      <c r="HO29" s="460" t="str">
        <f t="shared" si="131"/>
        <v/>
      </c>
      <c r="HP29" s="460" t="str">
        <f t="shared" si="132"/>
        <v/>
      </c>
      <c r="HQ29" s="460" t="str">
        <f t="shared" si="133"/>
        <v/>
      </c>
      <c r="HR29" s="460" t="str">
        <f t="shared" si="134"/>
        <v/>
      </c>
      <c r="HS29" s="460" t="str">
        <f t="shared" si="135"/>
        <v/>
      </c>
      <c r="HT29" s="460" t="str">
        <f t="shared" si="136"/>
        <v/>
      </c>
      <c r="HU29" s="460" t="str">
        <f t="shared" si="137"/>
        <v/>
      </c>
      <c r="HV29" s="460" t="str">
        <f t="shared" si="138"/>
        <v/>
      </c>
      <c r="HW29" s="460" t="str">
        <f t="shared" si="139"/>
        <v/>
      </c>
      <c r="HX29" s="460" t="str">
        <f t="shared" si="140"/>
        <v/>
      </c>
      <c r="HY29" s="460" t="str">
        <f t="shared" si="141"/>
        <v/>
      </c>
      <c r="HZ29" s="460" t="str">
        <f t="shared" si="142"/>
        <v/>
      </c>
      <c r="IA29" s="460" t="str">
        <f t="shared" si="143"/>
        <v/>
      </c>
      <c r="IB29" s="460" t="str">
        <f t="shared" si="144"/>
        <v/>
      </c>
      <c r="IC29" s="460" t="str">
        <f t="shared" si="145"/>
        <v/>
      </c>
      <c r="ID29" s="674" t="str">
        <f t="shared" si="146"/>
        <v/>
      </c>
      <c r="IE29" s="250"/>
    </row>
    <row r="30" spans="1:239" ht="13.5" customHeight="1" thickBot="1">
      <c r="A30" s="480"/>
      <c r="B30" s="50"/>
      <c r="C30" s="50"/>
      <c r="D30" s="50"/>
      <c r="E30" s="50"/>
      <c r="F30" s="50"/>
      <c r="G30" s="50"/>
      <c r="H30" s="51">
        <f t="shared" ca="1" si="35"/>
        <v>0</v>
      </c>
      <c r="I30" s="379">
        <f t="shared" si="36"/>
        <v>37073</v>
      </c>
      <c r="J30" s="377"/>
      <c r="K30" s="104" t="s">
        <v>488</v>
      </c>
      <c r="L30" s="392">
        <f t="shared" si="37"/>
        <v>0</v>
      </c>
      <c r="M30" s="171"/>
      <c r="N30" s="382">
        <v>0</v>
      </c>
      <c r="O30" s="171">
        <f t="shared" si="38"/>
        <v>0</v>
      </c>
      <c r="P30" s="377"/>
      <c r="Q30" s="103" t="s">
        <v>488</v>
      </c>
      <c r="R30" s="377">
        <f t="shared" ca="1" si="148"/>
        <v>0</v>
      </c>
      <c r="S30" s="832">
        <f t="shared" si="164"/>
        <v>0.36300338745117189</v>
      </c>
      <c r="T30" s="831">
        <f t="shared" si="149"/>
        <v>0.97585568199241801</v>
      </c>
      <c r="U30" s="545">
        <f t="shared" si="150"/>
        <v>0.99915529727935792</v>
      </c>
      <c r="V30" s="389">
        <v>0</v>
      </c>
      <c r="W30" s="434">
        <f t="shared" si="39"/>
        <v>0</v>
      </c>
      <c r="X30" s="415">
        <f t="shared" si="40"/>
        <v>0</v>
      </c>
      <c r="Y30" s="322">
        <f t="shared" si="41"/>
        <v>0</v>
      </c>
      <c r="Z30" s="322">
        <f t="shared" ca="1" si="42"/>
        <v>0</v>
      </c>
      <c r="AA30" s="429">
        <f t="shared" si="1"/>
        <v>0</v>
      </c>
      <c r="AB30" s="433">
        <f t="shared" ca="1" si="2"/>
        <v>0</v>
      </c>
      <c r="AC30" s="226">
        <v>37062</v>
      </c>
      <c r="AD30" s="227">
        <v>37057</v>
      </c>
      <c r="AE30" s="227">
        <v>37057</v>
      </c>
      <c r="AF30" s="228">
        <v>37054</v>
      </c>
      <c r="AG30" s="249" t="s">
        <v>498</v>
      </c>
      <c r="AH30" s="247" t="s">
        <v>498</v>
      </c>
      <c r="AI30" s="146">
        <v>21</v>
      </c>
      <c r="AJ30" s="41">
        <v>14</v>
      </c>
      <c r="AK30" s="41">
        <v>7</v>
      </c>
      <c r="AL30" s="293">
        <v>22</v>
      </c>
      <c r="AM30" s="41">
        <v>10</v>
      </c>
      <c r="AN30" s="147">
        <v>12</v>
      </c>
      <c r="AO30" s="374"/>
      <c r="AP30" s="153">
        <f t="shared" ca="1" si="43"/>
        <v>1</v>
      </c>
      <c r="AQ30" s="374"/>
      <c r="AR30" s="153">
        <f t="shared" ca="1" si="151"/>
        <v>1</v>
      </c>
      <c r="AS30" s="272">
        <f t="shared" si="3"/>
        <v>0</v>
      </c>
      <c r="AT30" s="157">
        <f t="shared" si="44"/>
        <v>0</v>
      </c>
      <c r="AU30" s="157">
        <f t="shared" si="4"/>
        <v>0</v>
      </c>
      <c r="AV30" s="271">
        <f t="shared" ca="1" si="163"/>
        <v>9.9999999999999995E-7</v>
      </c>
      <c r="AW30" s="158">
        <f t="shared" ca="1" si="5"/>
        <v>2</v>
      </c>
      <c r="AX30" s="157">
        <f t="shared" ca="1" si="152"/>
        <v>1.7999999999999999E-2</v>
      </c>
      <c r="AY30" s="157">
        <f t="shared" ca="1" si="153"/>
        <v>1.2999999999999998E-2</v>
      </c>
      <c r="AZ30" s="157">
        <f t="shared" ca="1" si="154"/>
        <v>7.999999999999995E-3</v>
      </c>
      <c r="BA30" s="157">
        <f t="shared" ca="1" si="155"/>
        <v>1.0413797439924107E-3</v>
      </c>
      <c r="BB30" s="157">
        <f t="shared" ca="1" si="156"/>
        <v>1.5437790134471409E-3</v>
      </c>
      <c r="BC30" s="157">
        <f t="shared" ca="1" si="157"/>
        <v>2.045130365127146E-3</v>
      </c>
      <c r="BD30" s="151">
        <f t="shared" ca="1" si="45"/>
        <v>30</v>
      </c>
      <c r="BE30" s="152">
        <f t="shared" ca="1" si="46"/>
        <v>30</v>
      </c>
      <c r="BF30" s="40">
        <f t="shared" si="7"/>
        <v>2001</v>
      </c>
      <c r="BG30" s="144">
        <f t="shared" si="8"/>
        <v>7</v>
      </c>
      <c r="BH30" s="145">
        <f t="shared" ca="1" si="47"/>
        <v>312</v>
      </c>
      <c r="BI30" s="313">
        <f t="shared" ca="1" si="9"/>
        <v>0.89801505817932925</v>
      </c>
      <c r="BJ30" s="42">
        <f t="shared" ca="1" si="10"/>
        <v>0.95277207392197127</v>
      </c>
      <c r="BK30" s="42">
        <f t="shared" ca="1" si="11"/>
        <v>0.95550992470910334</v>
      </c>
      <c r="BL30" s="42">
        <f t="shared" ca="1" si="12"/>
        <v>0.98015058179329229</v>
      </c>
      <c r="BM30" s="150" t="e">
        <f t="shared" ca="1" si="13"/>
        <v>#DIV/0!</v>
      </c>
      <c r="BN30" s="42" t="e">
        <f t="shared" ca="1" si="14"/>
        <v>#DIV/0!</v>
      </c>
      <c r="BO30" s="293">
        <f t="shared" si="48"/>
        <v>21</v>
      </c>
      <c r="BP30" s="41">
        <f t="shared" si="49"/>
        <v>14</v>
      </c>
      <c r="BQ30" s="41">
        <f t="shared" si="50"/>
        <v>7</v>
      </c>
      <c r="BR30" s="305">
        <f t="shared" ca="1" si="15"/>
        <v>-0.05</v>
      </c>
      <c r="BS30" s="305">
        <f t="shared" ca="1" si="16"/>
        <v>-1</v>
      </c>
      <c r="BT30" s="307">
        <f t="shared" ca="1" si="17"/>
        <v>-1</v>
      </c>
      <c r="BU30" s="161">
        <f t="shared" ca="1" si="18"/>
        <v>-0.05</v>
      </c>
      <c r="BV30" s="161">
        <f t="shared" ca="1" si="19"/>
        <v>-0.05</v>
      </c>
      <c r="BW30" s="308">
        <f t="shared" ca="1" si="20"/>
        <v>0</v>
      </c>
      <c r="BX30" s="309">
        <f t="shared" ca="1" si="21"/>
        <v>0</v>
      </c>
      <c r="BY30" s="308">
        <f t="shared" ca="1" si="51"/>
        <v>5.000000000000001E-3</v>
      </c>
      <c r="BZ30" s="309">
        <f t="shared" ca="1" si="52"/>
        <v>5.000000000000001E-3</v>
      </c>
      <c r="CA30" s="154">
        <f t="shared" ca="1" si="22"/>
        <v>5.3000000000000005E-2</v>
      </c>
      <c r="CB30" s="154">
        <f t="shared" ca="1" si="23"/>
        <v>5.3000000000000005E-2</v>
      </c>
      <c r="CC30" s="154">
        <f t="shared" ca="1" si="24"/>
        <v>5.3000000000000005E-2</v>
      </c>
      <c r="CD30" s="154">
        <f t="shared" ca="1" si="25"/>
        <v>5.3000000000000005E-2</v>
      </c>
      <c r="CE30" s="310">
        <v>1</v>
      </c>
      <c r="CF30" s="162" t="e">
        <f ca="1">IF(BD30,_xll.xCrudeAPO(BU30,BV30,CA30,CB30,S31,S32,BI30,BL30,BP30,BQ30,0,Strike1,AO30,CE30,0,BL30,IF(OptControl=4,0,1),0,1),0)</f>
        <v>#VALUE!</v>
      </c>
      <c r="CG30" s="163" t="e">
        <f ca="1">IF(BD30,_xll.xCrudeAPO(BU30,BV30,CA30,CB30,S31,S32,BI30,BL30,BP30,BQ30,0,Strike1,AO30,CE30,0,BL30,IF(OptControl=4,0,1),1,1)+_xll.xCrudeAPO(BU30,BV30,CA30,CB30,S31,S32,BI30,BL30,BP30,BQ30,0,Strike1,AO30,CE30,0,BL30,IF(OptControl=4,0,1),1,2)+IF(OR(VolSkewFlag=2,ABS(BS30)&lt;0.0001),0,IF(BS30&gt;0,-1,1)*CH30*Strike1/BR30^2*BY30/10%),0)</f>
        <v>#VALUE!</v>
      </c>
      <c r="CH30" s="163" t="e">
        <f ca="1">IF(BD30,(_xll.xCrudeAPO(BU30,BV30,CA30,CB30,S31,S32,BI30,BL30,BP30,BQ30,0,Strike1,AO30,CE30,0,BL30,IF(OptControl=4,0,1),3,1)+_xll.xCrudeAPO(BU30,BV30,CA30,CB30,S31,S32,BI30,BL30,BP30,BQ30,0,Strike1,AO30,CE30,0,BL30,IF(OptControl=4,0,1),3,2))/100,0)</f>
        <v>#VALUE!</v>
      </c>
      <c r="CI30" s="163" t="e">
        <f ca="1">IF(BD30,_xll.xCrudeAPO(BU30,BV30,CA30,CB30,S31,S32,BI30-DaysForThetaCalculation/365.25,BL30-DaysForThetaCalculation/365.25,BP30,BQ30,0,Strike1,AO30,CE30,0,BL30,IF(OptControl=4,0,1),0,1)-_xll.xCrudeAPO(BU30,BV30,CA30,CB30,S31,S32,BI30,BL30,BP30,BQ30,0,Strike1,AO30,CE30,0,BL30,IF(OptControl=4,0,1),0,1),0)</f>
        <v>#VALUE!</v>
      </c>
      <c r="CJ30" s="311" t="e">
        <f ca="1">IF(BD30,_xll.xCrudeAPO(BU30,BV30,CC30,CD30,S31,S32,BI30,BL30,BP30,BQ30,0,Strike2,AO30,CE30,0,BL30,IF(OptControl=3,1,0),0,1),0)</f>
        <v>#VALUE!</v>
      </c>
      <c r="CK30" s="163" t="e">
        <f ca="1">IF(BD30,_xll.xCrudeAPO(BU30,BV30,CC30,CD30,S31,S32,BI30,BL30,BP30,BQ30,0,Strike2,AO30,CE30,0,BL30,IF(OptControl=3,1,0),1,1)+_xll.xCrudeAPO(BU30,BV30,CC30,CD30,S31,S32,BI30,BL30,BP30,BQ30,0,Strike2,AO30,CE30,0,BL30,IF(OptControl=3,1,0),1,2)+IF(OR(VolSkewFlag=2,ABS(BT30)&lt;0.0001),0,IF(BT30&gt;0,-1,1)*CL30*Strike2/BR30^2*BZ30/10%),0)</f>
        <v>#VALUE!</v>
      </c>
      <c r="CL30" s="163" t="e">
        <f ca="1">IF(BD30,(_xll.xCrudeAPO(BU30,BV30,CC30,CD30,S31,S32,BI30,BL30,BP30,BQ30,0,Strike2,AO30,CE30,0,BL30,IF(OptControl=3,1,0),3,1)+_xll.xCrudeAPO(BU30,BV30,CC30,CD30,S31,S32,BI30,BL30,BP30,BQ30,0,Strike2,AO30,CE30,0,BL30,IF(OptControl=3,1,0),3,2))/100,0)</f>
        <v>#VALUE!</v>
      </c>
      <c r="CM30" s="164" t="e">
        <f ca="1">IF(BD30,_xll.xCrudeAPO(BU30,BV30,CC30,CD30,S31,S32,BI30-DaysForThetaCalculation/365.25,BL30-DaysForThetaCalculation/365.25,BP30,BQ30,0,Strike2,AO30,CE30,0,BL30,IF(OptControl=3,1,0),0,1)-_xll.xCrudeAPO(BU30,BV30,CC30,CD30,S31,S32,BI30,BL30,BP30,BQ30,0,Strike2,AO30,CE30,0,BL30,IF(OptControl=3,1,0),0,1),0)</f>
        <v>#VALUE!</v>
      </c>
      <c r="CN30" s="508"/>
      <c r="CO30" s="796">
        <f t="shared" ca="1" si="53"/>
        <v>312</v>
      </c>
      <c r="CP30" s="800">
        <f t="shared" ca="1" si="54"/>
        <v>0</v>
      </c>
      <c r="CQ30" s="797" t="e">
        <f t="shared" ca="1" si="55"/>
        <v>#DIV/0!</v>
      </c>
      <c r="CR30" s="797" t="e">
        <f t="shared" ca="1" si="56"/>
        <v>#DIV/0!</v>
      </c>
      <c r="CS30" s="797" t="e">
        <f t="shared" ca="1" si="57"/>
        <v>#DIV/0!</v>
      </c>
      <c r="CT30" s="797" t="e">
        <f t="shared" ca="1" si="58"/>
        <v>#DIV/0!</v>
      </c>
      <c r="CU30" s="798">
        <f t="shared" ca="1" si="59"/>
        <v>0</v>
      </c>
      <c r="CV30" s="799" t="e">
        <f t="shared" ca="1" si="60"/>
        <v>#DIV/0!</v>
      </c>
      <c r="CW30" s="799" t="e">
        <f t="shared" ca="1" si="61"/>
        <v>#DIV/0!</v>
      </c>
      <c r="CX30" s="163" t="e">
        <f ca="1">IF(BD30,_xll.EURO(CP30,Strike1,AO30,AO30,CV30,CO30,IF(OptControl=4,0,1),0),0)</f>
        <v>#DIV/0!</v>
      </c>
      <c r="CY30" s="163" t="e">
        <f ca="1">IF(BD30,_xll.EURO(CP30,Strike1,AO30,AO30,CV30,CO30,IF(OptControl=4,0,1),1)+IF(OR(VolSkewFlag=2,ABS(CQ30)&lt;0.0001),0,IF(CQ30&gt;0,-1,1)*CZ30*100*Strike1/CP30^2*CS30/10%),0)</f>
        <v>#DIV/0!</v>
      </c>
      <c r="CZ30" s="163" t="e">
        <f ca="1">IF(BD30,_xll.EURO(CP30,Strike1,AO30,AO30,CV30,CO30,IF(OptControl=4,0,1),3)/100,0)</f>
        <v>#DIV/0!</v>
      </c>
      <c r="DA30" s="163" t="e">
        <f ca="1">IF(BD30,_xll.EURO(CP30,Strike1,AO30,AO30,CV30,CO30,IF(OptControl=4,0,1),0)-_xll.EURO(CP30,Strike1,AO30,AO30,CV30,CO30-1,IF(OptControl=4,0,1),0),0)</f>
        <v>#DIV/0!</v>
      </c>
      <c r="DB30" s="163" t="e">
        <f ca="1">IF(BD30,_xll.EURO(CP30,Strike2,AO30,AO30,CW30,CO30,IF(OptControl=3,1,0),0),0)</f>
        <v>#DIV/0!</v>
      </c>
      <c r="DC30" s="163" t="e">
        <f ca="1">IF(BD30,_xll.EURO(CP30,Strike2,AO30,AO30,CW30,CO30,IF(OptControl=3,1,0),1)+IF(OR(VolSkewFlag=2,ABS(CR30)&lt;0.0001),0,IF(CR30&gt;0,-1,1)*DD30*100*Strike2/CP30^2*CT30/10%),0)</f>
        <v>#DIV/0!</v>
      </c>
      <c r="DD30" s="163" t="e">
        <f ca="1">IF(BD30,_xll.EURO(CP30,Strike2,AO30,AO30,CW30,CO30,IF(OptControl=3,1,0),3)/100,0)</f>
        <v>#DIV/0!</v>
      </c>
      <c r="DE30" s="164" t="e">
        <f ca="1">IF(BD30,_xll.EURO(CP30,Strike2,AO30,AO30,CW30,CO30,IF(OptControl=3,1,0),0)-_xll.EURO(CP30,Strike2,AO30,AO30,CW30,CO30-1,IF(OptControl=3,1,0),0),0)</f>
        <v>#DIV/0!</v>
      </c>
      <c r="DF30" s="508"/>
      <c r="DG30" s="667">
        <f t="shared" ca="1" si="62"/>
        <v>36861</v>
      </c>
      <c r="DH30" s="475">
        <v>24.05</v>
      </c>
      <c r="DI30" s="665">
        <v>23.466500000000003</v>
      </c>
      <c r="DJ30" s="666">
        <f t="shared" ca="1" si="26"/>
        <v>36861</v>
      </c>
      <c r="DK30" s="475">
        <v>22.75</v>
      </c>
      <c r="DL30" s="665">
        <v>22.09</v>
      </c>
      <c r="DM30" s="667">
        <f t="shared" ca="1" si="27"/>
        <v>36861</v>
      </c>
      <c r="DN30" s="668">
        <f t="shared" si="28"/>
        <v>22.8</v>
      </c>
      <c r="DO30" s="667">
        <f t="shared" ca="1" si="63"/>
        <v>36861</v>
      </c>
      <c r="DP30" s="579">
        <f t="shared" si="64"/>
        <v>22.44</v>
      </c>
      <c r="DQ30" s="821">
        <v>0.35</v>
      </c>
      <c r="DR30" s="666">
        <f t="shared" ca="1" si="29"/>
        <v>36861</v>
      </c>
      <c r="DS30" s="669">
        <v>0.27129543392510197</v>
      </c>
      <c r="DT30" s="606">
        <v>0.26479125651130558</v>
      </c>
      <c r="DU30" s="666">
        <f t="shared" ca="1" si="30"/>
        <v>36861</v>
      </c>
      <c r="DV30" s="669">
        <v>0.27129543392510197</v>
      </c>
      <c r="DW30" s="606">
        <v>0.26479125651130558</v>
      </c>
      <c r="DX30" s="667">
        <f t="shared" ca="1" si="31"/>
        <v>36861</v>
      </c>
      <c r="DY30" s="606">
        <v>0.35015625</v>
      </c>
      <c r="DZ30" s="667">
        <f t="shared" ca="1" si="65"/>
        <v>36861</v>
      </c>
      <c r="EA30" s="606">
        <f t="shared" si="66"/>
        <v>0.26479125651130558</v>
      </c>
      <c r="EB30" s="1"/>
      <c r="EC30" s="118">
        <f t="shared" ca="1" si="32"/>
        <v>0</v>
      </c>
      <c r="ED30" s="119">
        <f t="shared" ca="1" si="33"/>
        <v>5.3000000000000005E-2</v>
      </c>
      <c r="EE30" s="112">
        <f t="shared" ca="1" si="34"/>
        <v>5.3000000000000005E-2</v>
      </c>
      <c r="EF30" s="120" t="e">
        <f ca="1">IF(BD30,_xll.xASN(BR30,Strike1,AO30,ED30,0,BO30,0,BI30,BL30,IF(OptControl=4,0,1),0),0)</f>
        <v>#VALUE!</v>
      </c>
      <c r="EG30" s="111" t="e">
        <f ca="1">IF(BD30,_xll.xASN(BR30,Strike2,AO30,EE30,0,BO30,0,BI30,BL30,IF(OptControl=3,1,0),0),0)</f>
        <v>#VALUE!</v>
      </c>
      <c r="EI30" s="483" t="str">
        <f ca="1">[1]!'CLc11 MTH'</f>
        <v>JUL1</v>
      </c>
      <c r="EJ30" s="484">
        <f t="shared" ca="1" si="158"/>
        <v>37073</v>
      </c>
      <c r="EK30" s="485">
        <f>[1]!'CLc11 NET.CHNG'</f>
        <v>0</v>
      </c>
      <c r="EL30" s="486">
        <f t="shared" si="159"/>
        <v>0</v>
      </c>
      <c r="EM30" s="1"/>
      <c r="EN30" s="697">
        <v>36892</v>
      </c>
      <c r="EO30" s="698">
        <v>38353</v>
      </c>
      <c r="EP30" s="1"/>
      <c r="EQ30" s="683" t="s">
        <v>134</v>
      </c>
      <c r="ES30" s="498">
        <v>11</v>
      </c>
      <c r="ET30" s="476">
        <f t="shared" ca="1" si="165"/>
        <v>0.85420944558521561</v>
      </c>
      <c r="EU30" s="842">
        <f t="shared" ca="1" si="67"/>
        <v>0</v>
      </c>
      <c r="EV30" s="815">
        <f t="shared" ca="1" si="160"/>
        <v>0.2580459754159497</v>
      </c>
      <c r="EW30" s="478">
        <f t="shared" ca="1" si="161"/>
        <v>0.97101449275362306</v>
      </c>
      <c r="EX30" s="477">
        <f t="shared" ca="1" si="162"/>
        <v>0.20955662982844625</v>
      </c>
      <c r="EY30" s="250">
        <v>0</v>
      </c>
      <c r="EZ30" s="605">
        <f ca="1">IF(OR(EW30="",EW31=""),"",SQRT(SUM(INDEX(FK30:ID30,SwaptionFirstMonthPosition+1):INDEX(FK30:ID30,FJ30))/SUM(INDEX($FK$15:$ID$15,SwaptionFirstMonthPosition+1):INDEX($FK$15:$ID$15,FJ30))))</f>
        <v>0.28913680826691585</v>
      </c>
      <c r="FA30" s="581">
        <f ca="1">IF(OR(EW30="",EW29=""),"",SQRT(SUM(INDEX(FK30:ID30,SwaptionFirstMonthPosition+1):INDEX(FK30:ID30,FJ30-1))/SUM(INDEX($FK$15:$ID$15,SwaptionFirstMonthPosition+1):INDEX($FK$15:$ID$15,FJ30-1))))</f>
        <v>0.2729997486204882</v>
      </c>
      <c r="FB30" s="578">
        <f t="shared" ca="1" si="68"/>
        <v>0.27247119380406526</v>
      </c>
      <c r="FC30" s="609">
        <f t="shared" ca="1" si="69"/>
        <v>342</v>
      </c>
      <c r="FD30" s="579">
        <f t="shared" ca="1" si="70"/>
        <v>-0.05</v>
      </c>
      <c r="FE30" s="579">
        <f t="shared" ca="1" si="71"/>
        <v>-1</v>
      </c>
      <c r="FF30" s="579">
        <f t="shared" ca="1" si="72"/>
        <v>-1</v>
      </c>
      <c r="FG30" s="580">
        <f t="shared" ca="1" si="73"/>
        <v>5.3000000000000005E-2</v>
      </c>
      <c r="FH30" s="606">
        <f t="shared" ca="1" si="74"/>
        <v>5.3000000000000005E-2</v>
      </c>
      <c r="FI30" s="250"/>
      <c r="FJ30" s="673">
        <v>11</v>
      </c>
      <c r="FK30" s="460">
        <f t="shared" ca="1" si="75"/>
        <v>0</v>
      </c>
      <c r="FL30" s="460">
        <f t="shared" ca="1" si="76"/>
        <v>3.2171126600227069E-3</v>
      </c>
      <c r="FM30" s="460">
        <f t="shared" ca="1" si="77"/>
        <v>3.9955578369594777E-3</v>
      </c>
      <c r="FN30" s="460">
        <f t="shared" ca="1" si="78"/>
        <v>3.6357595467726273E-3</v>
      </c>
      <c r="FO30" s="460">
        <f t="shared" ca="1" si="79"/>
        <v>4.1455553112253211E-3</v>
      </c>
      <c r="FP30" s="460">
        <f t="shared" ca="1" si="80"/>
        <v>5.119168188537979E-3</v>
      </c>
      <c r="FQ30" s="460">
        <f t="shared" ca="1" si="81"/>
        <v>4.7099564134879986E-3</v>
      </c>
      <c r="FR30" s="460">
        <f t="shared" ca="1" si="82"/>
        <v>5.602371541281622E-3</v>
      </c>
      <c r="FS30" s="460">
        <f t="shared" ca="1" si="83"/>
        <v>7.5540411067157101E-3</v>
      </c>
      <c r="FT30" s="460">
        <f t="shared" ca="1" si="84"/>
        <v>8.4379942024472177E-3</v>
      </c>
      <c r="FU30" s="460">
        <f t="shared" ca="1" si="85"/>
        <v>1.0462347213496904E-2</v>
      </c>
      <c r="FV30" s="460" t="str">
        <f t="shared" si="86"/>
        <v/>
      </c>
      <c r="FW30" s="460" t="str">
        <f t="shared" si="87"/>
        <v/>
      </c>
      <c r="FX30" s="460" t="str">
        <f t="shared" si="88"/>
        <v/>
      </c>
      <c r="FY30" s="460" t="str">
        <f t="shared" si="89"/>
        <v/>
      </c>
      <c r="FZ30" s="460" t="str">
        <f t="shared" si="90"/>
        <v/>
      </c>
      <c r="GA30" s="460" t="str">
        <f t="shared" si="91"/>
        <v/>
      </c>
      <c r="GB30" s="460" t="str">
        <f t="shared" si="92"/>
        <v/>
      </c>
      <c r="GC30" s="460" t="str">
        <f t="shared" si="93"/>
        <v/>
      </c>
      <c r="GD30" s="460" t="str">
        <f t="shared" si="94"/>
        <v/>
      </c>
      <c r="GE30" s="460" t="str">
        <f t="shared" si="95"/>
        <v/>
      </c>
      <c r="GF30" s="460" t="str">
        <f t="shared" si="96"/>
        <v/>
      </c>
      <c r="GG30" s="460" t="str">
        <f t="shared" si="97"/>
        <v/>
      </c>
      <c r="GH30" s="460" t="str">
        <f t="shared" si="98"/>
        <v/>
      </c>
      <c r="GI30" s="460" t="str">
        <f t="shared" si="99"/>
        <v/>
      </c>
      <c r="GJ30" s="460" t="str">
        <f t="shared" si="100"/>
        <v/>
      </c>
      <c r="GK30" s="460" t="str">
        <f t="shared" si="101"/>
        <v/>
      </c>
      <c r="GL30" s="460" t="str">
        <f t="shared" si="102"/>
        <v/>
      </c>
      <c r="GM30" s="460" t="str">
        <f t="shared" si="103"/>
        <v/>
      </c>
      <c r="GN30" s="460" t="str">
        <f t="shared" si="104"/>
        <v/>
      </c>
      <c r="GO30" s="460" t="str">
        <f t="shared" si="105"/>
        <v/>
      </c>
      <c r="GP30" s="460" t="str">
        <f t="shared" si="106"/>
        <v/>
      </c>
      <c r="GQ30" s="460" t="str">
        <f t="shared" si="107"/>
        <v/>
      </c>
      <c r="GR30" s="460" t="str">
        <f t="shared" si="108"/>
        <v/>
      </c>
      <c r="GS30" s="460" t="str">
        <f t="shared" si="109"/>
        <v/>
      </c>
      <c r="GT30" s="460" t="str">
        <f t="shared" si="110"/>
        <v/>
      </c>
      <c r="GU30" s="460" t="str">
        <f t="shared" si="111"/>
        <v/>
      </c>
      <c r="GV30" s="460" t="str">
        <f t="shared" si="112"/>
        <v/>
      </c>
      <c r="GW30" s="460" t="str">
        <f t="shared" si="113"/>
        <v/>
      </c>
      <c r="GX30" s="460" t="str">
        <f t="shared" si="114"/>
        <v/>
      </c>
      <c r="GY30" s="460" t="str">
        <f t="shared" si="115"/>
        <v/>
      </c>
      <c r="GZ30" s="460" t="str">
        <f t="shared" si="116"/>
        <v/>
      </c>
      <c r="HA30" s="460" t="str">
        <f t="shared" si="117"/>
        <v/>
      </c>
      <c r="HB30" s="460" t="str">
        <f t="shared" si="118"/>
        <v/>
      </c>
      <c r="HC30" s="460" t="str">
        <f t="shared" si="119"/>
        <v/>
      </c>
      <c r="HD30" s="460" t="str">
        <f t="shared" si="120"/>
        <v/>
      </c>
      <c r="HE30" s="460" t="str">
        <f t="shared" si="121"/>
        <v/>
      </c>
      <c r="HF30" s="460" t="str">
        <f t="shared" si="122"/>
        <v/>
      </c>
      <c r="HG30" s="460" t="str">
        <f t="shared" si="123"/>
        <v/>
      </c>
      <c r="HH30" s="460" t="str">
        <f t="shared" si="124"/>
        <v/>
      </c>
      <c r="HI30" s="460" t="str">
        <f t="shared" si="125"/>
        <v/>
      </c>
      <c r="HJ30" s="460" t="str">
        <f t="shared" si="126"/>
        <v/>
      </c>
      <c r="HK30" s="460" t="str">
        <f t="shared" si="127"/>
        <v/>
      </c>
      <c r="HL30" s="460" t="str">
        <f t="shared" si="128"/>
        <v/>
      </c>
      <c r="HM30" s="460" t="str">
        <f t="shared" si="129"/>
        <v/>
      </c>
      <c r="HN30" s="460" t="str">
        <f t="shared" si="130"/>
        <v/>
      </c>
      <c r="HO30" s="460" t="str">
        <f t="shared" si="131"/>
        <v/>
      </c>
      <c r="HP30" s="460" t="str">
        <f t="shared" si="132"/>
        <v/>
      </c>
      <c r="HQ30" s="460" t="str">
        <f t="shared" si="133"/>
        <v/>
      </c>
      <c r="HR30" s="460" t="str">
        <f t="shared" si="134"/>
        <v/>
      </c>
      <c r="HS30" s="460" t="str">
        <f t="shared" si="135"/>
        <v/>
      </c>
      <c r="HT30" s="460" t="str">
        <f t="shared" si="136"/>
        <v/>
      </c>
      <c r="HU30" s="460" t="str">
        <f t="shared" si="137"/>
        <v/>
      </c>
      <c r="HV30" s="460" t="str">
        <f t="shared" si="138"/>
        <v/>
      </c>
      <c r="HW30" s="460" t="str">
        <f t="shared" si="139"/>
        <v/>
      </c>
      <c r="HX30" s="460" t="str">
        <f t="shared" si="140"/>
        <v/>
      </c>
      <c r="HY30" s="460" t="str">
        <f t="shared" si="141"/>
        <v/>
      </c>
      <c r="HZ30" s="460" t="str">
        <f t="shared" si="142"/>
        <v/>
      </c>
      <c r="IA30" s="460" t="str">
        <f t="shared" si="143"/>
        <v/>
      </c>
      <c r="IB30" s="460" t="str">
        <f t="shared" si="144"/>
        <v/>
      </c>
      <c r="IC30" s="460" t="str">
        <f t="shared" si="145"/>
        <v/>
      </c>
      <c r="ID30" s="674" t="str">
        <f t="shared" si="146"/>
        <v/>
      </c>
      <c r="IE30" s="250"/>
    </row>
    <row r="31" spans="1:239" ht="14.25" customHeight="1">
      <c r="A31" s="844" t="s">
        <v>493</v>
      </c>
      <c r="B31" s="76" t="s">
        <v>112</v>
      </c>
      <c r="C31" s="166" t="s">
        <v>33</v>
      </c>
      <c r="D31" s="166" t="s">
        <v>159</v>
      </c>
      <c r="E31" s="346" t="s">
        <v>160</v>
      </c>
      <c r="F31" s="349" t="s">
        <v>117</v>
      </c>
      <c r="G31" s="335">
        <f ca="1">TODAY()</f>
        <v>36746</v>
      </c>
      <c r="H31" s="51">
        <f t="shared" ca="1" si="35"/>
        <v>0</v>
      </c>
      <c r="I31" s="379">
        <f t="shared" si="36"/>
        <v>37104</v>
      </c>
      <c r="J31" s="377"/>
      <c r="K31" s="104" t="s">
        <v>488</v>
      </c>
      <c r="L31" s="392">
        <f t="shared" si="37"/>
        <v>0</v>
      </c>
      <c r="M31" s="171"/>
      <c r="N31" s="382">
        <v>0</v>
      </c>
      <c r="O31" s="171">
        <f t="shared" si="38"/>
        <v>0</v>
      </c>
      <c r="P31" s="377"/>
      <c r="Q31" s="103" t="s">
        <v>488</v>
      </c>
      <c r="R31" s="377">
        <f t="shared" ca="1" si="148"/>
        <v>0</v>
      </c>
      <c r="S31" s="832">
        <f t="shared" si="164"/>
        <v>0.36225254058837891</v>
      </c>
      <c r="T31" s="831">
        <f t="shared" si="149"/>
        <v>0.979434460524785</v>
      </c>
      <c r="U31" s="545">
        <f t="shared" si="150"/>
        <v>0.99936647295951841</v>
      </c>
      <c r="V31" s="389">
        <v>0</v>
      </c>
      <c r="W31" s="434">
        <f t="shared" si="39"/>
        <v>0</v>
      </c>
      <c r="X31" s="415">
        <f t="shared" si="40"/>
        <v>0</v>
      </c>
      <c r="Y31" s="322">
        <f t="shared" si="41"/>
        <v>0</v>
      </c>
      <c r="Z31" s="322">
        <f t="shared" ca="1" si="42"/>
        <v>0</v>
      </c>
      <c r="AA31" s="429">
        <f t="shared" si="1"/>
        <v>0</v>
      </c>
      <c r="AB31" s="433">
        <f t="shared" ca="1" si="2"/>
        <v>0</v>
      </c>
      <c r="AC31" s="226">
        <v>37092</v>
      </c>
      <c r="AD31" s="227">
        <v>37089</v>
      </c>
      <c r="AE31" s="227">
        <v>37088</v>
      </c>
      <c r="AF31" s="228">
        <v>37083</v>
      </c>
      <c r="AG31" s="249" t="s">
        <v>498</v>
      </c>
      <c r="AH31" s="247" t="s">
        <v>498</v>
      </c>
      <c r="AI31" s="146">
        <v>23</v>
      </c>
      <c r="AJ31" s="41">
        <v>15</v>
      </c>
      <c r="AK31" s="41">
        <v>8</v>
      </c>
      <c r="AL31" s="293">
        <v>23</v>
      </c>
      <c r="AM31" s="41">
        <v>11</v>
      </c>
      <c r="AN31" s="147">
        <v>12</v>
      </c>
      <c r="AO31" s="374"/>
      <c r="AP31" s="153">
        <f t="shared" ca="1" si="43"/>
        <v>1</v>
      </c>
      <c r="AQ31" s="374"/>
      <c r="AR31" s="153">
        <f t="shared" ca="1" si="151"/>
        <v>1</v>
      </c>
      <c r="AS31" s="272">
        <f t="shared" si="3"/>
        <v>0</v>
      </c>
      <c r="AT31" s="157">
        <f t="shared" si="44"/>
        <v>0</v>
      </c>
      <c r="AU31" s="157">
        <f t="shared" si="4"/>
        <v>0</v>
      </c>
      <c r="AV31" s="271">
        <f t="shared" ca="1" si="163"/>
        <v>9.9999999999999995E-7</v>
      </c>
      <c r="AW31" s="158">
        <f t="shared" ca="1" si="5"/>
        <v>3</v>
      </c>
      <c r="AX31" s="157">
        <f t="shared" ca="1" si="152"/>
        <v>1.7738367736876509E-2</v>
      </c>
      <c r="AY31" s="157">
        <f t="shared" ca="1" si="153"/>
        <v>1.2774067391217605E-2</v>
      </c>
      <c r="AZ31" s="157">
        <f t="shared" ca="1" si="154"/>
        <v>7.8022427687946044E-3</v>
      </c>
      <c r="BA31" s="157">
        <f t="shared" ca="1" si="155"/>
        <v>9.7528034609932566E-4</v>
      </c>
      <c r="BB31" s="157">
        <f t="shared" ca="1" si="156"/>
        <v>1.441656785471504E-3</v>
      </c>
      <c r="BC31" s="157">
        <f t="shared" ca="1" si="157"/>
        <v>1.9023435069752425E-3</v>
      </c>
      <c r="BD31" s="151">
        <f t="shared" ca="1" si="45"/>
        <v>30</v>
      </c>
      <c r="BE31" s="152">
        <f t="shared" ca="1" si="46"/>
        <v>30</v>
      </c>
      <c r="BF31" s="40">
        <f t="shared" si="7"/>
        <v>2001</v>
      </c>
      <c r="BG31" s="144">
        <f t="shared" si="8"/>
        <v>8</v>
      </c>
      <c r="BH31" s="145">
        <f t="shared" ca="1" si="47"/>
        <v>344</v>
      </c>
      <c r="BI31" s="313">
        <f t="shared" ca="1" si="9"/>
        <v>0.98288843258042435</v>
      </c>
      <c r="BJ31" s="42">
        <f t="shared" ca="1" si="10"/>
        <v>1.0364550784156177</v>
      </c>
      <c r="BK31" s="42">
        <f t="shared" ca="1" si="11"/>
        <v>1.0391929292027497</v>
      </c>
      <c r="BL31" s="42">
        <f t="shared" ca="1" si="12"/>
        <v>1.0650239561943875</v>
      </c>
      <c r="BM31" s="150" t="e">
        <f t="shared" ca="1" si="13"/>
        <v>#DIV/0!</v>
      </c>
      <c r="BN31" s="42" t="e">
        <f t="shared" ca="1" si="14"/>
        <v>#DIV/0!</v>
      </c>
      <c r="BO31" s="293">
        <f t="shared" si="48"/>
        <v>23</v>
      </c>
      <c r="BP31" s="41">
        <f t="shared" si="49"/>
        <v>15</v>
      </c>
      <c r="BQ31" s="41">
        <f t="shared" si="50"/>
        <v>8</v>
      </c>
      <c r="BR31" s="305">
        <f t="shared" ca="1" si="15"/>
        <v>-0.05</v>
      </c>
      <c r="BS31" s="305">
        <f t="shared" ca="1" si="16"/>
        <v>-1</v>
      </c>
      <c r="BT31" s="307">
        <f t="shared" ca="1" si="17"/>
        <v>-1</v>
      </c>
      <c r="BU31" s="161">
        <f t="shared" ca="1" si="18"/>
        <v>-0.05</v>
      </c>
      <c r="BV31" s="161">
        <f t="shared" ca="1" si="19"/>
        <v>-0.05</v>
      </c>
      <c r="BW31" s="308">
        <f t="shared" ca="1" si="20"/>
        <v>0</v>
      </c>
      <c r="BX31" s="309">
        <f t="shared" ca="1" si="21"/>
        <v>0</v>
      </c>
      <c r="BY31" s="308">
        <f t="shared" ca="1" si="51"/>
        <v>4.9643003456589039E-3</v>
      </c>
      <c r="BZ31" s="309">
        <f t="shared" ca="1" si="52"/>
        <v>4.9643003456589039E-3</v>
      </c>
      <c r="CA31" s="154">
        <f t="shared" ca="1" si="22"/>
        <v>5.2488470156488838E-2</v>
      </c>
      <c r="CB31" s="154">
        <f t="shared" ca="1" si="23"/>
        <v>5.2488470156488838E-2</v>
      </c>
      <c r="CC31" s="154">
        <f t="shared" ca="1" si="24"/>
        <v>5.2488470156488838E-2</v>
      </c>
      <c r="CD31" s="154">
        <f t="shared" ca="1" si="25"/>
        <v>5.2488470156488838E-2</v>
      </c>
      <c r="CE31" s="310">
        <v>1</v>
      </c>
      <c r="CF31" s="162" t="e">
        <f ca="1">IF(BD31,_xll.xCrudeAPO(BU31,BV31,CA31,CB31,S32,S33,BI31,BL31,BP31,BQ31,0,Strike1,AO31,CE31,0,BL31,IF(OptControl=4,0,1),0,1),0)</f>
        <v>#VALUE!</v>
      </c>
      <c r="CG31" s="163" t="e">
        <f ca="1">IF(BD31,_xll.xCrudeAPO(BU31,BV31,CA31,CB31,S32,S33,BI31,BL31,BP31,BQ31,0,Strike1,AO31,CE31,0,BL31,IF(OptControl=4,0,1),1,1)+_xll.xCrudeAPO(BU31,BV31,CA31,CB31,S32,S33,BI31,BL31,BP31,BQ31,0,Strike1,AO31,CE31,0,BL31,IF(OptControl=4,0,1),1,2)+IF(OR(VolSkewFlag=2,ABS(BS31)&lt;0.0001),0,IF(BS31&gt;0,-1,1)*CH31*Strike1/BR31^2*BY31/10%),0)</f>
        <v>#VALUE!</v>
      </c>
      <c r="CH31" s="163" t="e">
        <f ca="1">IF(BD31,(_xll.xCrudeAPO(BU31,BV31,CA31,CB31,S32,S33,BI31,BL31,BP31,BQ31,0,Strike1,AO31,CE31,0,BL31,IF(OptControl=4,0,1),3,1)+_xll.xCrudeAPO(BU31,BV31,CA31,CB31,S32,S33,BI31,BL31,BP31,BQ31,0,Strike1,AO31,CE31,0,BL31,IF(OptControl=4,0,1),3,2))/100,0)</f>
        <v>#VALUE!</v>
      </c>
      <c r="CI31" s="163" t="e">
        <f ca="1">IF(BD31,_xll.xCrudeAPO(BU31,BV31,CA31,CB31,S32,S33,BI31-DaysForThetaCalculation/365.25,BL31-DaysForThetaCalculation/365.25,BP31,BQ31,0,Strike1,AO31,CE31,0,BL31,IF(OptControl=4,0,1),0,1)-_xll.xCrudeAPO(BU31,BV31,CA31,CB31,S32,S33,BI31,BL31,BP31,BQ31,0,Strike1,AO31,CE31,0,BL31,IF(OptControl=4,0,1),0,1),0)</f>
        <v>#VALUE!</v>
      </c>
      <c r="CJ31" s="311" t="e">
        <f ca="1">IF(BD31,_xll.xCrudeAPO(BU31,BV31,CC31,CD31,S32,S33,BI31,BL31,BP31,BQ31,0,Strike2,AO31,CE31,0,BL31,IF(OptControl=3,1,0),0,1),0)</f>
        <v>#VALUE!</v>
      </c>
      <c r="CK31" s="163" t="e">
        <f ca="1">IF(BD31,_xll.xCrudeAPO(BU31,BV31,CC31,CD31,S32,S33,BI31,BL31,BP31,BQ31,0,Strike2,AO31,CE31,0,BL31,IF(OptControl=3,1,0),1,1)+_xll.xCrudeAPO(BU31,BV31,CC31,CD31,S32,S33,BI31,BL31,BP31,BQ31,0,Strike2,AO31,CE31,0,BL31,IF(OptControl=3,1,0),1,2)+IF(OR(VolSkewFlag=2,ABS(BT31)&lt;0.0001),0,IF(BT31&gt;0,-1,1)*CL31*Strike2/BR31^2*BZ31/10%),0)</f>
        <v>#VALUE!</v>
      </c>
      <c r="CL31" s="163" t="e">
        <f ca="1">IF(BD31,(_xll.xCrudeAPO(BU31,BV31,CC31,CD31,S32,S33,BI31,BL31,BP31,BQ31,0,Strike2,AO31,CE31,0,BL31,IF(OptControl=3,1,0),3,1)+_xll.xCrudeAPO(BU31,BV31,CC31,CD31,S32,S33,BI31,BL31,BP31,BQ31,0,Strike2,AO31,CE31,0,BL31,IF(OptControl=3,1,0),3,2))/100,0)</f>
        <v>#VALUE!</v>
      </c>
      <c r="CM31" s="164" t="e">
        <f ca="1">IF(BD31,_xll.xCrudeAPO(BU31,BV31,CC31,CD31,S32,S33,BI31-DaysForThetaCalculation/365.25,BL31-DaysForThetaCalculation/365.25,BP31,BQ31,0,Strike2,AO31,CE31,0,BL31,IF(OptControl=3,1,0),0,1)-_xll.xCrudeAPO(BU31,BV31,CC31,CD31,S32,S33,BI31,BL31,BP31,BQ31,0,Strike2,AO31,CE31,0,BL31,IF(OptControl=3,1,0),0,1),0)</f>
        <v>#VALUE!</v>
      </c>
      <c r="CN31" s="508"/>
      <c r="CO31" s="796">
        <f t="shared" ca="1" si="53"/>
        <v>344</v>
      </c>
      <c r="CP31" s="800">
        <f t="shared" ca="1" si="54"/>
        <v>0</v>
      </c>
      <c r="CQ31" s="797" t="e">
        <f t="shared" ca="1" si="55"/>
        <v>#DIV/0!</v>
      </c>
      <c r="CR31" s="797" t="e">
        <f t="shared" ca="1" si="56"/>
        <v>#DIV/0!</v>
      </c>
      <c r="CS31" s="797" t="e">
        <f t="shared" ca="1" si="57"/>
        <v>#DIV/0!</v>
      </c>
      <c r="CT31" s="797" t="e">
        <f t="shared" ca="1" si="58"/>
        <v>#DIV/0!</v>
      </c>
      <c r="CU31" s="798">
        <f t="shared" ca="1" si="59"/>
        <v>0</v>
      </c>
      <c r="CV31" s="799" t="e">
        <f t="shared" ca="1" si="60"/>
        <v>#DIV/0!</v>
      </c>
      <c r="CW31" s="799" t="e">
        <f t="shared" ca="1" si="61"/>
        <v>#DIV/0!</v>
      </c>
      <c r="CX31" s="163" t="e">
        <f ca="1">IF(BD31,_xll.EURO(CP31,Strike1,AO31,AO31,CV31,CO31,IF(OptControl=4,0,1),0),0)</f>
        <v>#DIV/0!</v>
      </c>
      <c r="CY31" s="163" t="e">
        <f ca="1">IF(BD31,_xll.EURO(CP31,Strike1,AO31,AO31,CV31,CO31,IF(OptControl=4,0,1),1)+IF(OR(VolSkewFlag=2,ABS(CQ31)&lt;0.0001),0,IF(CQ31&gt;0,-1,1)*CZ31*100*Strike1/CP31^2*CS31/10%),0)</f>
        <v>#DIV/0!</v>
      </c>
      <c r="CZ31" s="163" t="e">
        <f ca="1">IF(BD31,_xll.EURO(CP31,Strike1,AO31,AO31,CV31,CO31,IF(OptControl=4,0,1),3)/100,0)</f>
        <v>#DIV/0!</v>
      </c>
      <c r="DA31" s="163" t="e">
        <f ca="1">IF(BD31,_xll.EURO(CP31,Strike1,AO31,AO31,CV31,CO31,IF(OptControl=4,0,1),0)-_xll.EURO(CP31,Strike1,AO31,AO31,CV31,CO31-1,IF(OptControl=4,0,1),0),0)</f>
        <v>#DIV/0!</v>
      </c>
      <c r="DB31" s="163" t="e">
        <f ca="1">IF(BD31,_xll.EURO(CP31,Strike2,AO31,AO31,CW31,CO31,IF(OptControl=3,1,0),0),0)</f>
        <v>#DIV/0!</v>
      </c>
      <c r="DC31" s="163" t="e">
        <f ca="1">IF(BD31,_xll.EURO(CP31,Strike2,AO31,AO31,CW31,CO31,IF(OptControl=3,1,0),1)+IF(OR(VolSkewFlag=2,ABS(CR31)&lt;0.0001),0,IF(CR31&gt;0,-1,1)*DD31*100*Strike2/CP31^2*CT31/10%),0)</f>
        <v>#DIV/0!</v>
      </c>
      <c r="DD31" s="163" t="e">
        <f ca="1">IF(BD31,_xll.EURO(CP31,Strike2,AO31,AO31,CW31,CO31,IF(OptControl=3,1,0),3)/100,0)</f>
        <v>#DIV/0!</v>
      </c>
      <c r="DE31" s="164" t="e">
        <f ca="1">IF(BD31,_xll.EURO(CP31,Strike2,AO31,AO31,CW31,CO31,IF(OptControl=3,1,0),0)-_xll.EURO(CP31,Strike2,AO31,AO31,CW31,CO31-1,IF(OptControl=3,1,0),0),0)</f>
        <v>#DIV/0!</v>
      </c>
      <c r="DF31" s="508"/>
      <c r="DG31" s="667">
        <f t="shared" ca="1" si="62"/>
        <v>36892</v>
      </c>
      <c r="DH31" s="475">
        <v>23.61</v>
      </c>
      <c r="DI31" s="665">
        <v>23.069545454545452</v>
      </c>
      <c r="DJ31" s="666">
        <f t="shared" ca="1" si="26"/>
        <v>36892</v>
      </c>
      <c r="DK31" s="475">
        <v>22.31</v>
      </c>
      <c r="DL31" s="665">
        <v>21.691818181818181</v>
      </c>
      <c r="DM31" s="667">
        <f t="shared" ca="1" si="27"/>
        <v>36892</v>
      </c>
      <c r="DN31" s="668">
        <f t="shared" si="28"/>
        <v>22.36</v>
      </c>
      <c r="DO31" s="667">
        <f t="shared" ca="1" si="63"/>
        <v>36892</v>
      </c>
      <c r="DP31" s="579">
        <f t="shared" si="64"/>
        <v>22.00181818181818</v>
      </c>
      <c r="DQ31" s="821">
        <v>0.31</v>
      </c>
      <c r="DR31" s="666">
        <f t="shared" ca="1" si="29"/>
        <v>36892</v>
      </c>
      <c r="DS31" s="669">
        <v>0.26653815778956302</v>
      </c>
      <c r="DT31" s="606">
        <v>0.25965582628867362</v>
      </c>
      <c r="DU31" s="666">
        <f t="shared" ca="1" si="30"/>
        <v>36892</v>
      </c>
      <c r="DV31" s="669">
        <v>0.26653815778956302</v>
      </c>
      <c r="DW31" s="606">
        <v>0.25965582628867362</v>
      </c>
      <c r="DX31" s="667">
        <f t="shared" ca="1" si="31"/>
        <v>36892</v>
      </c>
      <c r="DY31" s="606">
        <v>0.35007812500000002</v>
      </c>
      <c r="DZ31" s="667">
        <f t="shared" ca="1" si="65"/>
        <v>36892</v>
      </c>
      <c r="EA31" s="606">
        <f t="shared" si="66"/>
        <v>0.25965582628867362</v>
      </c>
      <c r="EB31" s="1"/>
      <c r="EC31" s="118">
        <f t="shared" ca="1" si="32"/>
        <v>0</v>
      </c>
      <c r="ED31" s="119">
        <f t="shared" ca="1" si="33"/>
        <v>5.2488470156488838E-2</v>
      </c>
      <c r="EE31" s="112">
        <f t="shared" ca="1" si="34"/>
        <v>5.2488470156488838E-2</v>
      </c>
      <c r="EF31" s="120" t="e">
        <f ca="1">IF(BD31,_xll.xASN(BR31,Strike1,AO31,ED31,0,BO31,0,BI31,BL31,IF(OptControl=4,0,1),0),0)</f>
        <v>#VALUE!</v>
      </c>
      <c r="EG31" s="111" t="e">
        <f ca="1">IF(BD31,_xll.xASN(BR31,Strike2,AO31,EE31,0,BO31,0,BI31,BL31,IF(OptControl=3,1,0),0),0)</f>
        <v>#VALUE!</v>
      </c>
      <c r="EI31" s="483" t="str">
        <f ca="1">[1]!'CLc12 MTH'</f>
        <v>AUG1</v>
      </c>
      <c r="EJ31" s="484">
        <f t="shared" ca="1" si="158"/>
        <v>37104</v>
      </c>
      <c r="EK31" s="485">
        <f>[1]!'CLc12 NET.CHNG'</f>
        <v>0</v>
      </c>
      <c r="EL31" s="486">
        <f t="shared" si="159"/>
        <v>0</v>
      </c>
      <c r="EM31" s="1"/>
      <c r="EN31" s="697">
        <v>37076</v>
      </c>
      <c r="EO31" s="698">
        <v>38711</v>
      </c>
      <c r="EP31" s="1"/>
      <c r="EQ31" s="683" t="s">
        <v>135</v>
      </c>
      <c r="ES31" s="498">
        <v>12</v>
      </c>
      <c r="ET31" s="476">
        <f t="shared" ca="1" si="165"/>
        <v>0.94182067077344289</v>
      </c>
      <c r="EU31" s="842">
        <f t="shared" ca="1" si="67"/>
        <v>0</v>
      </c>
      <c r="EV31" s="815">
        <f t="shared" ca="1" si="160"/>
        <v>0.25285931218574398</v>
      </c>
      <c r="EW31" s="478">
        <f t="shared" ca="1" si="161"/>
        <v>1</v>
      </c>
      <c r="EX31" s="477">
        <f t="shared" ca="1" si="162"/>
        <v>0.20144776086828647</v>
      </c>
      <c r="EY31" s="250">
        <v>0</v>
      </c>
      <c r="EZ31" s="605">
        <f ca="1">IF(OR(EW31="",EW32=""),"",SQRT(SUM(INDEX(FK31:ID31,SwaptionFirstMonthPosition+1):INDEX(FK31:ID31,FJ31))/SUM(INDEX($FK$15:$ID$15,SwaptionFirstMonthPosition+1):INDEX($FK$15:$ID$15,FJ31))))</f>
        <v>0.28043722636395102</v>
      </c>
      <c r="FA31" s="581">
        <f ca="1">IF(OR(EW31="",EW30=""),"",SQRT(SUM(INDEX(FK31:ID31,SwaptionFirstMonthPosition+1):INDEX(FK31:ID31,FJ31-1))/SUM(INDEX($FK$15:$ID$15,SwaptionFirstMonthPosition+1):INDEX($FK$15:$ID$15,FJ31-1))))</f>
        <v>0.26353442816835759</v>
      </c>
      <c r="FB31" s="578">
        <f t="shared" ca="1" si="68"/>
        <v>0.26423932762301267</v>
      </c>
      <c r="FC31" s="609">
        <f t="shared" ca="1" si="69"/>
        <v>373</v>
      </c>
      <c r="FD31" s="579">
        <f t="shared" ca="1" si="70"/>
        <v>-0.05</v>
      </c>
      <c r="FE31" s="579">
        <f t="shared" ca="1" si="71"/>
        <v>-1</v>
      </c>
      <c r="FF31" s="579">
        <f t="shared" ca="1" si="72"/>
        <v>-1</v>
      </c>
      <c r="FG31" s="580">
        <f t="shared" ca="1" si="73"/>
        <v>5.2488470156488838E-2</v>
      </c>
      <c r="FH31" s="606">
        <f t="shared" ca="1" si="74"/>
        <v>5.2488470156488838E-2</v>
      </c>
      <c r="FI31" s="250"/>
      <c r="FJ31" s="673">
        <v>12</v>
      </c>
      <c r="FK31" s="460">
        <f t="shared" ca="1" si="75"/>
        <v>0</v>
      </c>
      <c r="FL31" s="460">
        <f t="shared" ca="1" si="76"/>
        <v>3.0406395356698782E-3</v>
      </c>
      <c r="FM31" s="460">
        <f t="shared" ca="1" si="77"/>
        <v>3.7392135683595664E-3</v>
      </c>
      <c r="FN31" s="460">
        <f t="shared" ca="1" si="78"/>
        <v>3.3629401598336359E-3</v>
      </c>
      <c r="FO31" s="460">
        <f t="shared" ca="1" si="79"/>
        <v>3.7817268456799133E-3</v>
      </c>
      <c r="FP31" s="460">
        <f t="shared" ca="1" si="80"/>
        <v>4.593699013722031E-3</v>
      </c>
      <c r="FQ31" s="460">
        <f t="shared" ca="1" si="81"/>
        <v>4.1445006702815245E-3</v>
      </c>
      <c r="FR31" s="460">
        <f t="shared" ca="1" si="82"/>
        <v>4.8157107152018586E-3</v>
      </c>
      <c r="FS31" s="460">
        <f t="shared" ca="1" si="83"/>
        <v>6.3134494798235017E-3</v>
      </c>
      <c r="FT31" s="460">
        <f t="shared" ca="1" si="84"/>
        <v>6.81721964805964E-3</v>
      </c>
      <c r="FU31" s="460">
        <f t="shared" ca="1" si="85"/>
        <v>8.1119221947300521E-3</v>
      </c>
      <c r="FV31" s="460">
        <f t="shared" ca="1" si="86"/>
        <v>1.1496949763744081E-2</v>
      </c>
      <c r="FW31" s="460" t="str">
        <f t="shared" si="87"/>
        <v/>
      </c>
      <c r="FX31" s="460" t="str">
        <f t="shared" si="88"/>
        <v/>
      </c>
      <c r="FY31" s="460" t="str">
        <f t="shared" si="89"/>
        <v/>
      </c>
      <c r="FZ31" s="460" t="str">
        <f t="shared" si="90"/>
        <v/>
      </c>
      <c r="GA31" s="460" t="str">
        <f t="shared" si="91"/>
        <v/>
      </c>
      <c r="GB31" s="460" t="str">
        <f t="shared" si="92"/>
        <v/>
      </c>
      <c r="GC31" s="460" t="str">
        <f t="shared" si="93"/>
        <v/>
      </c>
      <c r="GD31" s="460" t="str">
        <f t="shared" si="94"/>
        <v/>
      </c>
      <c r="GE31" s="460" t="str">
        <f t="shared" si="95"/>
        <v/>
      </c>
      <c r="GF31" s="460" t="str">
        <f t="shared" si="96"/>
        <v/>
      </c>
      <c r="GG31" s="460" t="str">
        <f t="shared" si="97"/>
        <v/>
      </c>
      <c r="GH31" s="460" t="str">
        <f t="shared" si="98"/>
        <v/>
      </c>
      <c r="GI31" s="460" t="str">
        <f t="shared" si="99"/>
        <v/>
      </c>
      <c r="GJ31" s="460" t="str">
        <f t="shared" si="100"/>
        <v/>
      </c>
      <c r="GK31" s="460" t="str">
        <f t="shared" si="101"/>
        <v/>
      </c>
      <c r="GL31" s="460" t="str">
        <f t="shared" si="102"/>
        <v/>
      </c>
      <c r="GM31" s="460" t="str">
        <f t="shared" si="103"/>
        <v/>
      </c>
      <c r="GN31" s="460" t="str">
        <f t="shared" si="104"/>
        <v/>
      </c>
      <c r="GO31" s="460" t="str">
        <f t="shared" si="105"/>
        <v/>
      </c>
      <c r="GP31" s="460" t="str">
        <f t="shared" si="106"/>
        <v/>
      </c>
      <c r="GQ31" s="460" t="str">
        <f t="shared" si="107"/>
        <v/>
      </c>
      <c r="GR31" s="460" t="str">
        <f t="shared" si="108"/>
        <v/>
      </c>
      <c r="GS31" s="460" t="str">
        <f t="shared" si="109"/>
        <v/>
      </c>
      <c r="GT31" s="460" t="str">
        <f t="shared" si="110"/>
        <v/>
      </c>
      <c r="GU31" s="460" t="str">
        <f t="shared" si="111"/>
        <v/>
      </c>
      <c r="GV31" s="460" t="str">
        <f t="shared" si="112"/>
        <v/>
      </c>
      <c r="GW31" s="460" t="str">
        <f t="shared" si="113"/>
        <v/>
      </c>
      <c r="GX31" s="460" t="str">
        <f t="shared" si="114"/>
        <v/>
      </c>
      <c r="GY31" s="460" t="str">
        <f t="shared" si="115"/>
        <v/>
      </c>
      <c r="GZ31" s="460" t="str">
        <f t="shared" si="116"/>
        <v/>
      </c>
      <c r="HA31" s="460" t="str">
        <f t="shared" si="117"/>
        <v/>
      </c>
      <c r="HB31" s="460" t="str">
        <f t="shared" si="118"/>
        <v/>
      </c>
      <c r="HC31" s="460" t="str">
        <f t="shared" si="119"/>
        <v/>
      </c>
      <c r="HD31" s="460" t="str">
        <f t="shared" si="120"/>
        <v/>
      </c>
      <c r="HE31" s="460" t="str">
        <f t="shared" si="121"/>
        <v/>
      </c>
      <c r="HF31" s="460" t="str">
        <f t="shared" si="122"/>
        <v/>
      </c>
      <c r="HG31" s="460" t="str">
        <f t="shared" si="123"/>
        <v/>
      </c>
      <c r="HH31" s="460" t="str">
        <f t="shared" si="124"/>
        <v/>
      </c>
      <c r="HI31" s="460" t="str">
        <f t="shared" si="125"/>
        <v/>
      </c>
      <c r="HJ31" s="460" t="str">
        <f t="shared" si="126"/>
        <v/>
      </c>
      <c r="HK31" s="460" t="str">
        <f t="shared" si="127"/>
        <v/>
      </c>
      <c r="HL31" s="460" t="str">
        <f t="shared" si="128"/>
        <v/>
      </c>
      <c r="HM31" s="460" t="str">
        <f t="shared" si="129"/>
        <v/>
      </c>
      <c r="HN31" s="460" t="str">
        <f t="shared" si="130"/>
        <v/>
      </c>
      <c r="HO31" s="460" t="str">
        <f t="shared" si="131"/>
        <v/>
      </c>
      <c r="HP31" s="460" t="str">
        <f t="shared" si="132"/>
        <v/>
      </c>
      <c r="HQ31" s="460" t="str">
        <f t="shared" si="133"/>
        <v/>
      </c>
      <c r="HR31" s="460" t="str">
        <f t="shared" si="134"/>
        <v/>
      </c>
      <c r="HS31" s="460" t="str">
        <f t="shared" si="135"/>
        <v/>
      </c>
      <c r="HT31" s="460" t="str">
        <f t="shared" si="136"/>
        <v/>
      </c>
      <c r="HU31" s="460" t="str">
        <f t="shared" si="137"/>
        <v/>
      </c>
      <c r="HV31" s="460" t="str">
        <f t="shared" si="138"/>
        <v/>
      </c>
      <c r="HW31" s="460" t="str">
        <f t="shared" si="139"/>
        <v/>
      </c>
      <c r="HX31" s="460" t="str">
        <f t="shared" si="140"/>
        <v/>
      </c>
      <c r="HY31" s="460" t="str">
        <f t="shared" si="141"/>
        <v/>
      </c>
      <c r="HZ31" s="460" t="str">
        <f t="shared" si="142"/>
        <v/>
      </c>
      <c r="IA31" s="460" t="str">
        <f t="shared" si="143"/>
        <v/>
      </c>
      <c r="IB31" s="460" t="str">
        <f t="shared" si="144"/>
        <v/>
      </c>
      <c r="IC31" s="460" t="str">
        <f t="shared" si="145"/>
        <v/>
      </c>
      <c r="ID31" s="674" t="str">
        <f t="shared" si="146"/>
        <v/>
      </c>
      <c r="IE31" s="250"/>
    </row>
    <row r="32" spans="1:239" ht="14.25" customHeight="1">
      <c r="A32" s="845" t="e">
        <f ca="1">_xll.xASTRIP(INDEX(BR19:BR260,SwapFirstMonthPosition):INDEX(BR19:BR260,SwapFirstMonthPosition+SwapNumOfMonths-1),INDEX(ED19:ED260,SwapFirstMonthPosition):INDEX(ED19:ED260,SwapFirstMonthPosition+SwapNumOfMonths-1),INDEX(BI19:BI260,SwapFirstMonthPosition):INDEX(BI19:BI260,SwapFirstMonthPosition+SwapNumOfMonths-1),INDEX(BL19:BL260,SwapFirstMonthPosition):INDEX(BL19:BL260,SwapFirstMonthPosition+SwapNumOfMonths-1),INDEX(BO19:BO260,SwapFirstMonthPosition):INDEX(BO19:BO260,SwapFirstMonthPosition+SwapNumOfMonths-1),0,Strike1,INDEX(AO19:AO260,SwapFirstMonthPosition):INDEX(AO19:AO260,SwapFirstMonthPosition+SwapNumOfMonths-1),1,0,INDEX(BL19:BL260,SwapFirstMonthPosition+SwapNumOfMonths-1),IF(OptControl=4,0,1),0,1)</f>
        <v>#VALUE!</v>
      </c>
      <c r="B32" s="80" t="s">
        <v>35</v>
      </c>
      <c r="C32" s="32">
        <v>30</v>
      </c>
      <c r="D32" s="98">
        <f ca="1">SUM(BD19:BD258)</f>
        <v>360</v>
      </c>
      <c r="E32" s="347">
        <f ca="1">SUMPRODUCT(BD19:BD258,AP19:AP258)</f>
        <v>360</v>
      </c>
      <c r="F32" s="350" t="s">
        <v>209</v>
      </c>
      <c r="G32" s="353">
        <f ca="1">DateToday-1-IF(WEEKDAY(DateToday)&lt;=2,WEEKDAY(DateToday),0)</f>
        <v>36745</v>
      </c>
      <c r="H32" s="51">
        <f t="shared" ca="1" si="35"/>
        <v>0</v>
      </c>
      <c r="I32" s="379">
        <f t="shared" si="36"/>
        <v>37135</v>
      </c>
      <c r="J32" s="377"/>
      <c r="K32" s="104" t="s">
        <v>488</v>
      </c>
      <c r="L32" s="392">
        <f t="shared" si="37"/>
        <v>0</v>
      </c>
      <c r="M32" s="171"/>
      <c r="N32" s="382">
        <v>0</v>
      </c>
      <c r="O32" s="171">
        <f t="shared" si="38"/>
        <v>0</v>
      </c>
      <c r="P32" s="377"/>
      <c r="Q32" s="103" t="s">
        <v>488</v>
      </c>
      <c r="R32" s="377">
        <f t="shared" ca="1" si="148"/>
        <v>0</v>
      </c>
      <c r="S32" s="832">
        <f t="shared" si="164"/>
        <v>0.3616894054412842</v>
      </c>
      <c r="T32" s="831">
        <f t="shared" si="149"/>
        <v>0.98247424014355889</v>
      </c>
      <c r="U32" s="545">
        <f t="shared" si="150"/>
        <v>0.99952485471963881</v>
      </c>
      <c r="V32" s="389">
        <v>0</v>
      </c>
      <c r="W32" s="434">
        <f t="shared" si="39"/>
        <v>0</v>
      </c>
      <c r="X32" s="415">
        <f t="shared" si="40"/>
        <v>0</v>
      </c>
      <c r="Y32" s="322">
        <f t="shared" si="41"/>
        <v>0</v>
      </c>
      <c r="Z32" s="322">
        <f ca="1">IF(Q34="extra",X32-AB32,(R33*AM32+R34*AN32)/AL32)</f>
        <v>0</v>
      </c>
      <c r="AA32" s="429">
        <f t="shared" si="1"/>
        <v>0</v>
      </c>
      <c r="AB32" s="433">
        <f t="shared" ca="1" si="2"/>
        <v>0</v>
      </c>
      <c r="AC32" s="226">
        <v>37124</v>
      </c>
      <c r="AD32" s="227">
        <v>37119</v>
      </c>
      <c r="AE32" s="227">
        <v>37119</v>
      </c>
      <c r="AF32" s="228">
        <v>37114</v>
      </c>
      <c r="AG32" s="249" t="s">
        <v>498</v>
      </c>
      <c r="AH32" s="247" t="s">
        <v>498</v>
      </c>
      <c r="AI32" s="146">
        <v>20</v>
      </c>
      <c r="AJ32" s="41">
        <v>14</v>
      </c>
      <c r="AK32" s="41">
        <v>6</v>
      </c>
      <c r="AL32" s="293">
        <v>20</v>
      </c>
      <c r="AM32" s="41">
        <v>8</v>
      </c>
      <c r="AN32" s="147">
        <v>12</v>
      </c>
      <c r="AO32" s="374"/>
      <c r="AP32" s="153">
        <f t="shared" ca="1" si="43"/>
        <v>1</v>
      </c>
      <c r="AQ32" s="374"/>
      <c r="AR32" s="153">
        <f t="shared" ca="1" si="151"/>
        <v>1</v>
      </c>
      <c r="AS32" s="272">
        <f t="shared" si="3"/>
        <v>0</v>
      </c>
      <c r="AT32" s="157">
        <f t="shared" si="44"/>
        <v>0</v>
      </c>
      <c r="AU32" s="157">
        <f t="shared" si="4"/>
        <v>0</v>
      </c>
      <c r="AV32" s="271">
        <f t="shared" ca="1" si="163"/>
        <v>9.9999999999999995E-7</v>
      </c>
      <c r="AW32" s="158">
        <f t="shared" ca="1" si="5"/>
        <v>3</v>
      </c>
      <c r="AX32" s="157">
        <f t="shared" ca="1" si="152"/>
        <v>1.7129719053406576E-2</v>
      </c>
      <c r="AY32" s="157">
        <f t="shared" ca="1" si="153"/>
        <v>1.2251023852700698E-2</v>
      </c>
      <c r="AZ32" s="157">
        <f t="shared" ca="1" si="154"/>
        <v>7.3501708139267216E-3</v>
      </c>
      <c r="BA32" s="157">
        <f t="shared" ca="1" si="155"/>
        <v>9.1877135174084118E-4</v>
      </c>
      <c r="BB32" s="157">
        <f t="shared" ca="1" si="156"/>
        <v>1.3115245941366003E-3</v>
      </c>
      <c r="BC32" s="157">
        <f t="shared" ca="1" si="157"/>
        <v>1.6882815935593831E-3</v>
      </c>
      <c r="BD32" s="151">
        <f t="shared" ca="1" si="45"/>
        <v>30</v>
      </c>
      <c r="BE32" s="152">
        <f t="shared" ca="1" si="46"/>
        <v>30</v>
      </c>
      <c r="BF32" s="40">
        <f t="shared" si="7"/>
        <v>2001</v>
      </c>
      <c r="BG32" s="144">
        <f t="shared" si="8"/>
        <v>9</v>
      </c>
      <c r="BH32" s="145">
        <f t="shared" ca="1" si="47"/>
        <v>374</v>
      </c>
      <c r="BI32" s="313">
        <f t="shared" ca="1" si="9"/>
        <v>1.0677618069815196</v>
      </c>
      <c r="BJ32" s="42">
        <f t="shared" ca="1" si="10"/>
        <v>1.1233401779603012</v>
      </c>
      <c r="BK32" s="42">
        <f t="shared" ca="1" si="11"/>
        <v>1.1260780287474332</v>
      </c>
      <c r="BL32" s="42">
        <f t="shared" ca="1" si="12"/>
        <v>1.1471594798083504</v>
      </c>
      <c r="BM32" s="150" t="e">
        <f t="shared" ca="1" si="13"/>
        <v>#DIV/0!</v>
      </c>
      <c r="BN32" s="42" t="e">
        <f t="shared" ca="1" si="14"/>
        <v>#DIV/0!</v>
      </c>
      <c r="BO32" s="293">
        <f t="shared" si="48"/>
        <v>20</v>
      </c>
      <c r="BP32" s="41">
        <f t="shared" si="49"/>
        <v>14</v>
      </c>
      <c r="BQ32" s="41">
        <f t="shared" si="50"/>
        <v>6</v>
      </c>
      <c r="BR32" s="305">
        <f t="shared" ca="1" si="15"/>
        <v>-0.05</v>
      </c>
      <c r="BS32" s="305">
        <f t="shared" ca="1" si="16"/>
        <v>-1</v>
      </c>
      <c r="BT32" s="307">
        <f t="shared" ca="1" si="17"/>
        <v>-1</v>
      </c>
      <c r="BU32" s="161">
        <f t="shared" ca="1" si="18"/>
        <v>-0.05</v>
      </c>
      <c r="BV32" s="161">
        <f t="shared" ca="1" si="19"/>
        <v>-0.05</v>
      </c>
      <c r="BW32" s="308">
        <f t="shared" ca="1" si="20"/>
        <v>0</v>
      </c>
      <c r="BX32" s="309">
        <f t="shared" ca="1" si="21"/>
        <v>0</v>
      </c>
      <c r="BY32" s="308">
        <f t="shared" ca="1" si="51"/>
        <v>4.8786952007058779E-3</v>
      </c>
      <c r="BZ32" s="309">
        <f t="shared" ca="1" si="52"/>
        <v>4.8786952007058779E-3</v>
      </c>
      <c r="CA32" s="154">
        <f t="shared" ca="1" si="22"/>
        <v>5.1280585458347724E-2</v>
      </c>
      <c r="CB32" s="154">
        <f t="shared" ca="1" si="23"/>
        <v>5.1280585458347724E-2</v>
      </c>
      <c r="CC32" s="154">
        <f t="shared" ca="1" si="24"/>
        <v>5.1280585458347724E-2</v>
      </c>
      <c r="CD32" s="154">
        <f t="shared" ca="1" si="25"/>
        <v>5.1280585458347724E-2</v>
      </c>
      <c r="CE32" s="310">
        <v>1</v>
      </c>
      <c r="CF32" s="162" t="e">
        <f ca="1">IF(BD32,_xll.xCrudeAPO(BU32,BV32,CA32,CB32,S33,S34,BI32,BL32,BP32,BQ32,0,Strike1,AO32,CE32,0,BL32,IF(OptControl=4,0,1),0,1),0)</f>
        <v>#VALUE!</v>
      </c>
      <c r="CG32" s="163" t="e">
        <f ca="1">IF(BD32,_xll.xCrudeAPO(BU32,BV32,CA32,CB32,S33,S34,BI32,BL32,BP32,BQ32,0,Strike1,AO32,CE32,0,BL32,IF(OptControl=4,0,1),1,1)+_xll.xCrudeAPO(BU32,BV32,CA32,CB32,S33,S34,BI32,BL32,BP32,BQ32,0,Strike1,AO32,CE32,0,BL32,IF(OptControl=4,0,1),1,2)+IF(OR(VolSkewFlag=2,ABS(BS32)&lt;0.0001),0,IF(BS32&gt;0,-1,1)*CH32*Strike1/BR32^2*BY32/10%),0)</f>
        <v>#VALUE!</v>
      </c>
      <c r="CH32" s="163" t="e">
        <f ca="1">IF(BD32,(_xll.xCrudeAPO(BU32,BV32,CA32,CB32,S33,S34,BI32,BL32,BP32,BQ32,0,Strike1,AO32,CE32,0,BL32,IF(OptControl=4,0,1),3,1)+_xll.xCrudeAPO(BU32,BV32,CA32,CB32,S33,S34,BI32,BL32,BP32,BQ32,0,Strike1,AO32,CE32,0,BL32,IF(OptControl=4,0,1),3,2))/100,0)</f>
        <v>#VALUE!</v>
      </c>
      <c r="CI32" s="163" t="e">
        <f ca="1">IF(BD32,_xll.xCrudeAPO(BU32,BV32,CA32,CB32,S33,S34,BI32-DaysForThetaCalculation/365.25,BL32-DaysForThetaCalculation/365.25,BP32,BQ32,0,Strike1,AO32,CE32,0,BL32,IF(OptControl=4,0,1),0,1)-_xll.xCrudeAPO(BU32,BV32,CA32,CB32,S33,S34,BI32,BL32,BP32,BQ32,0,Strike1,AO32,CE32,0,BL32,IF(OptControl=4,0,1),0,1),0)</f>
        <v>#VALUE!</v>
      </c>
      <c r="CJ32" s="311" t="e">
        <f ca="1">IF(BD32,_xll.xCrudeAPO(BU32,BV32,CC32,CD32,S33,S34,BI32,BL32,BP32,BQ32,0,Strike2,AO32,CE32,0,BL32,IF(OptControl=3,1,0),0,1),0)</f>
        <v>#VALUE!</v>
      </c>
      <c r="CK32" s="163" t="e">
        <f ca="1">IF(BD32,_xll.xCrudeAPO(BU32,BV32,CC32,CD32,S33,S34,BI32,BL32,BP32,BQ32,0,Strike2,AO32,CE32,0,BL32,IF(OptControl=3,1,0),1,1)+_xll.xCrudeAPO(BU32,BV32,CC32,CD32,S33,S34,BI32,BL32,BP32,BQ32,0,Strike2,AO32,CE32,0,BL32,IF(OptControl=3,1,0),1,2)+IF(OR(VolSkewFlag=2,ABS(BT32)&lt;0.0001),0,IF(BT32&gt;0,-1,1)*CL32*Strike2/BR32^2*BZ32/10%),0)</f>
        <v>#VALUE!</v>
      </c>
      <c r="CL32" s="163" t="e">
        <f ca="1">IF(BD32,(_xll.xCrudeAPO(BU32,BV32,CC32,CD32,S33,S34,BI32,BL32,BP32,BQ32,0,Strike2,AO32,CE32,0,BL32,IF(OptControl=3,1,0),3,1)+_xll.xCrudeAPO(BU32,BV32,CC32,CD32,S33,S34,BI32,BL32,BP32,BQ32,0,Strike2,AO32,CE32,0,BL32,IF(OptControl=3,1,0),3,2))/100,0)</f>
        <v>#VALUE!</v>
      </c>
      <c r="CM32" s="164" t="e">
        <f ca="1">IF(BD32,_xll.xCrudeAPO(BU32,BV32,CC32,CD32,S33,S34,BI32-DaysForThetaCalculation/365.25,BL32-DaysForThetaCalculation/365.25,BP32,BQ32,0,Strike2,AO32,CE32,0,BL32,IF(OptControl=3,1,0),0,1)-_xll.xCrudeAPO(BU32,BV32,CC32,CD32,S33,S34,BI32,BL32,BP32,BQ32,0,Strike2,AO32,CE32,0,BL32,IF(OptControl=3,1,0),0,1),0)</f>
        <v>#VALUE!</v>
      </c>
      <c r="CN32" s="508"/>
      <c r="CO32" s="796">
        <f t="shared" ca="1" si="53"/>
        <v>374</v>
      </c>
      <c r="CP32" s="800">
        <f t="shared" ca="1" si="54"/>
        <v>0</v>
      </c>
      <c r="CQ32" s="797" t="e">
        <f t="shared" ca="1" si="55"/>
        <v>#DIV/0!</v>
      </c>
      <c r="CR32" s="797" t="e">
        <f t="shared" ca="1" si="56"/>
        <v>#DIV/0!</v>
      </c>
      <c r="CS32" s="797" t="e">
        <f t="shared" ca="1" si="57"/>
        <v>#DIV/0!</v>
      </c>
      <c r="CT32" s="797" t="e">
        <f t="shared" ca="1" si="58"/>
        <v>#DIV/0!</v>
      </c>
      <c r="CU32" s="798">
        <f t="shared" ca="1" si="59"/>
        <v>0</v>
      </c>
      <c r="CV32" s="799" t="e">
        <f t="shared" ca="1" si="60"/>
        <v>#DIV/0!</v>
      </c>
      <c r="CW32" s="799" t="e">
        <f t="shared" ca="1" si="61"/>
        <v>#DIV/0!</v>
      </c>
      <c r="CX32" s="163" t="e">
        <f ca="1">IF(BD32,_xll.EURO(CP32,Strike1,AO32,AO32,CV32,CO32,IF(OptControl=4,0,1),0),0)</f>
        <v>#DIV/0!</v>
      </c>
      <c r="CY32" s="163" t="e">
        <f ca="1">IF(BD32,_xll.EURO(CP32,Strike1,AO32,AO32,CV32,CO32,IF(OptControl=4,0,1),1)+IF(OR(VolSkewFlag=2,ABS(CQ32)&lt;0.0001),0,IF(CQ32&gt;0,-1,1)*CZ32*100*Strike1/CP32^2*CS32/10%),0)</f>
        <v>#DIV/0!</v>
      </c>
      <c r="CZ32" s="163" t="e">
        <f ca="1">IF(BD32,_xll.EURO(CP32,Strike1,AO32,AO32,CV32,CO32,IF(OptControl=4,0,1),3)/100,0)</f>
        <v>#DIV/0!</v>
      </c>
      <c r="DA32" s="163" t="e">
        <f ca="1">IF(BD32,_xll.EURO(CP32,Strike1,AO32,AO32,CV32,CO32,IF(OptControl=4,0,1),0)-_xll.EURO(CP32,Strike1,AO32,AO32,CV32,CO32-1,IF(OptControl=4,0,1),0),0)</f>
        <v>#DIV/0!</v>
      </c>
      <c r="DB32" s="163" t="e">
        <f ca="1">IF(BD32,_xll.EURO(CP32,Strike2,AO32,AO32,CW32,CO32,IF(OptControl=3,1,0),0),0)</f>
        <v>#DIV/0!</v>
      </c>
      <c r="DC32" s="163" t="e">
        <f ca="1">IF(BD32,_xll.EURO(CP32,Strike2,AO32,AO32,CW32,CO32,IF(OptControl=3,1,0),1)+IF(OR(VolSkewFlag=2,ABS(CR32)&lt;0.0001),0,IF(CR32&gt;0,-1,1)*DD32*100*Strike2/CP32^2*CT32/10%),0)</f>
        <v>#DIV/0!</v>
      </c>
      <c r="DD32" s="163" t="e">
        <f ca="1">IF(BD32,_xll.EURO(CP32,Strike2,AO32,AO32,CW32,CO32,IF(OptControl=3,1,0),3)/100,0)</f>
        <v>#DIV/0!</v>
      </c>
      <c r="DE32" s="164" t="e">
        <f ca="1">IF(BD32,_xll.EURO(CP32,Strike2,AO32,AO32,CW32,CO32,IF(OptControl=3,1,0),0)-_xll.EURO(CP32,Strike2,AO32,AO32,CW32,CO32-1,IF(OptControl=3,1,0),0),0)</f>
        <v>#DIV/0!</v>
      </c>
      <c r="DF32" s="508"/>
      <c r="DG32" s="667">
        <f t="shared" ca="1" si="62"/>
        <v>36923</v>
      </c>
      <c r="DH32" s="475">
        <v>23.2</v>
      </c>
      <c r="DI32" s="665">
        <v>22.675999999999998</v>
      </c>
      <c r="DJ32" s="666">
        <f t="shared" ca="1" si="26"/>
        <v>36923</v>
      </c>
      <c r="DK32" s="475">
        <v>21.91</v>
      </c>
      <c r="DL32" s="665">
        <v>21.285999999999998</v>
      </c>
      <c r="DM32" s="667">
        <f t="shared" ca="1" si="27"/>
        <v>36923</v>
      </c>
      <c r="DN32" s="668">
        <f t="shared" si="28"/>
        <v>21.96</v>
      </c>
      <c r="DO32" s="667">
        <f t="shared" ca="1" si="63"/>
        <v>36923</v>
      </c>
      <c r="DP32" s="579">
        <f t="shared" si="64"/>
        <v>21.595999999999997</v>
      </c>
      <c r="DQ32" s="821">
        <v>0.31</v>
      </c>
      <c r="DR32" s="666">
        <f t="shared" ca="1" si="29"/>
        <v>36923</v>
      </c>
      <c r="DS32" s="669">
        <v>0.26154701128025604</v>
      </c>
      <c r="DT32" s="606">
        <v>0.25476581964572576</v>
      </c>
      <c r="DU32" s="666">
        <f t="shared" ca="1" si="30"/>
        <v>36923</v>
      </c>
      <c r="DV32" s="669">
        <v>0.26154701128025604</v>
      </c>
      <c r="DW32" s="606">
        <v>0.25476581964572576</v>
      </c>
      <c r="DX32" s="667">
        <f t="shared" ca="1" si="31"/>
        <v>36923</v>
      </c>
      <c r="DY32" s="606">
        <v>0.3500390625</v>
      </c>
      <c r="DZ32" s="667">
        <f t="shared" ca="1" si="65"/>
        <v>36923</v>
      </c>
      <c r="EA32" s="606">
        <f t="shared" si="66"/>
        <v>0.25476581964572576</v>
      </c>
      <c r="EB32" s="1"/>
      <c r="EC32" s="118">
        <f t="shared" ca="1" si="32"/>
        <v>0</v>
      </c>
      <c r="ED32" s="119">
        <f t="shared" ca="1" si="33"/>
        <v>5.1280585458347724E-2</v>
      </c>
      <c r="EE32" s="112">
        <f t="shared" ca="1" si="34"/>
        <v>5.1280585458347724E-2</v>
      </c>
      <c r="EF32" s="120" t="e">
        <f ca="1">IF(BD32,_xll.xASN(BR32,Strike1,AO32,ED32,0,BO32,0,BI32,BL32,IF(OptControl=4,0,1),0),0)</f>
        <v>#VALUE!</v>
      </c>
      <c r="EG32" s="111" t="e">
        <f ca="1">IF(BD32,_xll.xASN(BR32,Strike2,AO32,EE32,0,BO32,0,BI32,BL32,IF(OptControl=3,1,0),0),0)</f>
        <v>#VALUE!</v>
      </c>
      <c r="EI32" s="483" t="str">
        <f>[1]!'CLc13 MTH'</f>
        <v>SEP1</v>
      </c>
      <c r="EJ32" s="484">
        <f t="shared" si="158"/>
        <v>37135</v>
      </c>
      <c r="EK32" s="485">
        <f>[1]!'CLc13 NET.CHNG'</f>
        <v>0</v>
      </c>
      <c r="EL32" s="486">
        <f t="shared" si="159"/>
        <v>0</v>
      </c>
      <c r="EM32" s="1"/>
      <c r="EN32" s="697">
        <v>37250</v>
      </c>
      <c r="EO32" s="698">
        <v>38718</v>
      </c>
      <c r="EP32" s="1"/>
      <c r="EQ32" s="683" t="s">
        <v>136</v>
      </c>
      <c r="ES32" s="498">
        <v>13</v>
      </c>
      <c r="ET32" s="476">
        <f t="shared" ca="1" si="165"/>
        <v>1.0239561943874058</v>
      </c>
      <c r="EU32" s="842">
        <f t="shared" ca="1" si="67"/>
        <v>0</v>
      </c>
      <c r="EV32" s="815">
        <f t="shared" ca="1" si="160"/>
        <v>0.24718035260189919</v>
      </c>
      <c r="EW32" s="478">
        <f t="shared" ca="1" si="161"/>
        <v>0.98550724637681153</v>
      </c>
      <c r="EX32" s="477">
        <f t="shared" ca="1" si="162"/>
        <v>0.19482640990433411</v>
      </c>
      <c r="EY32" s="250">
        <v>0</v>
      </c>
      <c r="EZ32" s="605">
        <f ca="1">IF(OR(EW32="",EW33=""),"",SQRT(SUM(INDEX(FK32:ID32,SwaptionFirstMonthPosition+1):INDEX(FK32:ID32,FJ32))/SUM(INDEX($FK$15:$ID$15,SwaptionFirstMonthPosition+1):INDEX($FK$15:$ID$15,FJ32))))</f>
        <v>0.27161066491688302</v>
      </c>
      <c r="FA32" s="581">
        <f ca="1">IF(OR(EW32="",EW31=""),"",SQRT(SUM(INDEX(FK32:ID32,SwaptionFirstMonthPosition+1):INDEX(FK32:ID32,FJ32-1))/SUM(INDEX($FK$15:$ID$15,SwaptionFirstMonthPosition+1):INDEX($FK$15:$ID$15,FJ32-1))))</f>
        <v>0.25653912868429379</v>
      </c>
      <c r="FB32" s="578">
        <f t="shared" ca="1" si="68"/>
        <v>0.25788825769073009</v>
      </c>
      <c r="FC32" s="609">
        <f t="shared" ca="1" si="69"/>
        <v>403.5</v>
      </c>
      <c r="FD32" s="579">
        <f t="shared" ca="1" si="70"/>
        <v>-0.05</v>
      </c>
      <c r="FE32" s="579">
        <f t="shared" ca="1" si="71"/>
        <v>-1</v>
      </c>
      <c r="FF32" s="579">
        <f t="shared" ca="1" si="72"/>
        <v>-1</v>
      </c>
      <c r="FG32" s="580">
        <f t="shared" ca="1" si="73"/>
        <v>5.1280585458347724E-2</v>
      </c>
      <c r="FH32" s="606">
        <f t="shared" ca="1" si="74"/>
        <v>5.1280585458347724E-2</v>
      </c>
      <c r="FI32" s="250"/>
      <c r="FJ32" s="673">
        <v>13</v>
      </c>
      <c r="FK32" s="460">
        <f t="shared" ca="1" si="75"/>
        <v>0</v>
      </c>
      <c r="FL32" s="460">
        <f t="shared" ca="1" si="76"/>
        <v>2.8980317101646156E-3</v>
      </c>
      <c r="FM32" s="460">
        <f t="shared" ca="1" si="77"/>
        <v>3.534100856818329E-3</v>
      </c>
      <c r="FN32" s="460">
        <f t="shared" ca="1" si="78"/>
        <v>3.1471829437464231E-3</v>
      </c>
      <c r="FO32" s="460">
        <f t="shared" ca="1" si="79"/>
        <v>3.4979543941917619E-3</v>
      </c>
      <c r="FP32" s="460">
        <f t="shared" ca="1" si="80"/>
        <v>4.1905398859655276E-3</v>
      </c>
      <c r="FQ32" s="460">
        <f t="shared" ca="1" si="81"/>
        <v>3.71907855734662E-3</v>
      </c>
      <c r="FR32" s="460">
        <f t="shared" ca="1" si="82"/>
        <v>4.2375585960583067E-3</v>
      </c>
      <c r="FS32" s="460">
        <f t="shared" ca="1" si="83"/>
        <v>5.4269421593763755E-3</v>
      </c>
      <c r="FT32" s="460">
        <f t="shared" ca="1" si="84"/>
        <v>5.6976353759342164E-3</v>
      </c>
      <c r="FU32" s="460">
        <f t="shared" ca="1" si="85"/>
        <v>6.5537797304253019E-3</v>
      </c>
      <c r="FV32" s="460">
        <f t="shared" ca="1" si="86"/>
        <v>8.914095475621317E-3</v>
      </c>
      <c r="FW32" s="460">
        <f t="shared" ca="1" si="87"/>
        <v>1.0744905626979011E-2</v>
      </c>
      <c r="FX32" s="460" t="str">
        <f t="shared" si="88"/>
        <v/>
      </c>
      <c r="FY32" s="460" t="str">
        <f t="shared" si="89"/>
        <v/>
      </c>
      <c r="FZ32" s="460" t="str">
        <f t="shared" si="90"/>
        <v/>
      </c>
      <c r="GA32" s="460" t="str">
        <f t="shared" si="91"/>
        <v/>
      </c>
      <c r="GB32" s="460" t="str">
        <f t="shared" si="92"/>
        <v/>
      </c>
      <c r="GC32" s="460" t="str">
        <f t="shared" si="93"/>
        <v/>
      </c>
      <c r="GD32" s="460" t="str">
        <f t="shared" si="94"/>
        <v/>
      </c>
      <c r="GE32" s="460" t="str">
        <f t="shared" si="95"/>
        <v/>
      </c>
      <c r="GF32" s="460" t="str">
        <f t="shared" si="96"/>
        <v/>
      </c>
      <c r="GG32" s="460" t="str">
        <f t="shared" si="97"/>
        <v/>
      </c>
      <c r="GH32" s="460" t="str">
        <f t="shared" si="98"/>
        <v/>
      </c>
      <c r="GI32" s="460" t="str">
        <f t="shared" si="99"/>
        <v/>
      </c>
      <c r="GJ32" s="460" t="str">
        <f t="shared" si="100"/>
        <v/>
      </c>
      <c r="GK32" s="460" t="str">
        <f t="shared" si="101"/>
        <v/>
      </c>
      <c r="GL32" s="460" t="str">
        <f t="shared" si="102"/>
        <v/>
      </c>
      <c r="GM32" s="460" t="str">
        <f t="shared" si="103"/>
        <v/>
      </c>
      <c r="GN32" s="460" t="str">
        <f t="shared" si="104"/>
        <v/>
      </c>
      <c r="GO32" s="460" t="str">
        <f t="shared" si="105"/>
        <v/>
      </c>
      <c r="GP32" s="460" t="str">
        <f t="shared" si="106"/>
        <v/>
      </c>
      <c r="GQ32" s="460" t="str">
        <f t="shared" si="107"/>
        <v/>
      </c>
      <c r="GR32" s="460" t="str">
        <f t="shared" si="108"/>
        <v/>
      </c>
      <c r="GS32" s="460" t="str">
        <f t="shared" si="109"/>
        <v/>
      </c>
      <c r="GT32" s="460" t="str">
        <f t="shared" si="110"/>
        <v/>
      </c>
      <c r="GU32" s="460" t="str">
        <f t="shared" si="111"/>
        <v/>
      </c>
      <c r="GV32" s="460" t="str">
        <f t="shared" si="112"/>
        <v/>
      </c>
      <c r="GW32" s="460" t="str">
        <f t="shared" si="113"/>
        <v/>
      </c>
      <c r="GX32" s="460" t="str">
        <f t="shared" si="114"/>
        <v/>
      </c>
      <c r="GY32" s="460" t="str">
        <f t="shared" si="115"/>
        <v/>
      </c>
      <c r="GZ32" s="460" t="str">
        <f t="shared" si="116"/>
        <v/>
      </c>
      <c r="HA32" s="460" t="str">
        <f t="shared" si="117"/>
        <v/>
      </c>
      <c r="HB32" s="460" t="str">
        <f t="shared" si="118"/>
        <v/>
      </c>
      <c r="HC32" s="460" t="str">
        <f t="shared" si="119"/>
        <v/>
      </c>
      <c r="HD32" s="460" t="str">
        <f t="shared" si="120"/>
        <v/>
      </c>
      <c r="HE32" s="460" t="str">
        <f t="shared" si="121"/>
        <v/>
      </c>
      <c r="HF32" s="460" t="str">
        <f t="shared" si="122"/>
        <v/>
      </c>
      <c r="HG32" s="460" t="str">
        <f t="shared" si="123"/>
        <v/>
      </c>
      <c r="HH32" s="460" t="str">
        <f t="shared" si="124"/>
        <v/>
      </c>
      <c r="HI32" s="460" t="str">
        <f t="shared" si="125"/>
        <v/>
      </c>
      <c r="HJ32" s="460" t="str">
        <f t="shared" si="126"/>
        <v/>
      </c>
      <c r="HK32" s="460" t="str">
        <f t="shared" si="127"/>
        <v/>
      </c>
      <c r="HL32" s="460" t="str">
        <f t="shared" si="128"/>
        <v/>
      </c>
      <c r="HM32" s="460" t="str">
        <f t="shared" si="129"/>
        <v/>
      </c>
      <c r="HN32" s="460" t="str">
        <f t="shared" si="130"/>
        <v/>
      </c>
      <c r="HO32" s="460" t="str">
        <f t="shared" si="131"/>
        <v/>
      </c>
      <c r="HP32" s="460" t="str">
        <f t="shared" si="132"/>
        <v/>
      </c>
      <c r="HQ32" s="460" t="str">
        <f t="shared" si="133"/>
        <v/>
      </c>
      <c r="HR32" s="460" t="str">
        <f t="shared" si="134"/>
        <v/>
      </c>
      <c r="HS32" s="460" t="str">
        <f t="shared" si="135"/>
        <v/>
      </c>
      <c r="HT32" s="460" t="str">
        <f t="shared" si="136"/>
        <v/>
      </c>
      <c r="HU32" s="460" t="str">
        <f t="shared" si="137"/>
        <v/>
      </c>
      <c r="HV32" s="460" t="str">
        <f t="shared" si="138"/>
        <v/>
      </c>
      <c r="HW32" s="460" t="str">
        <f t="shared" si="139"/>
        <v/>
      </c>
      <c r="HX32" s="460" t="str">
        <f t="shared" si="140"/>
        <v/>
      </c>
      <c r="HY32" s="460" t="str">
        <f t="shared" si="141"/>
        <v/>
      </c>
      <c r="HZ32" s="460" t="str">
        <f t="shared" si="142"/>
        <v/>
      </c>
      <c r="IA32" s="460" t="str">
        <f t="shared" si="143"/>
        <v/>
      </c>
      <c r="IB32" s="460" t="str">
        <f t="shared" si="144"/>
        <v/>
      </c>
      <c r="IC32" s="460" t="str">
        <f t="shared" si="145"/>
        <v/>
      </c>
      <c r="ID32" s="674" t="str">
        <f t="shared" si="146"/>
        <v/>
      </c>
      <c r="IE32" s="250"/>
    </row>
    <row r="33" spans="1:239" ht="16.5" customHeight="1" thickBot="1">
      <c r="A33" s="846" t="e">
        <f ca="1">_xll.xASTRIP(INDEX(BR19:BR260,SwapFirstMonthPosition):INDEX(BR19:BR260,SwapFirstMonthPosition+SwapNumOfMonths-1),INDEX(EE19:EE260,SwapFirstMonthPosition):INDEX(EE19:EE260,SwapFirstMonthPosition+SwapNumOfMonths-1),INDEX(BI19:BI260,SwapFirstMonthPosition):INDEX(BI19:BI260,SwapFirstMonthPosition+SwapNumOfMonths-1),INDEX(BL19:BL260,SwapFirstMonthPosition):INDEX(BL19:BL260,SwapFirstMonthPosition+SwapNumOfMonths-1),INDEX(BO19:BO260,SwapFirstMonthPosition):INDEX(BO19:BO260,SwapFirstMonthPosition+SwapNumOfMonths-1),0,Strike2,INDEX(AO19:AO260,SwapFirstMonthPosition):INDEX(AO19:AO260,SwapFirstMonthPosition+SwapNumOfMonths-1),1,0,INDEX(BL19:BL260,SwapFirstMonthPosition+SwapNumOfMonths-1),IF(OptControl=3,1,0),0,1)</f>
        <v>#VALUE!</v>
      </c>
      <c r="B33" s="83" t="s">
        <v>36</v>
      </c>
      <c r="C33" s="33">
        <f ca="1">Volume</f>
        <v>30</v>
      </c>
      <c r="D33" s="99">
        <f ca="1">SUM(BE19:BE258)</f>
        <v>360</v>
      </c>
      <c r="E33" s="348">
        <f ca="1">SUMPRODUCT(BE19:BE258,AP19:AP258)</f>
        <v>360</v>
      </c>
      <c r="F33" s="351"/>
      <c r="G33" s="352"/>
      <c r="H33" s="51">
        <f t="shared" ca="1" si="35"/>
        <v>0</v>
      </c>
      <c r="I33" s="379">
        <f t="shared" si="36"/>
        <v>37165</v>
      </c>
      <c r="J33" s="377"/>
      <c r="K33" s="104" t="s">
        <v>488</v>
      </c>
      <c r="L33" s="392">
        <f t="shared" si="37"/>
        <v>0</v>
      </c>
      <c r="M33" s="171"/>
      <c r="N33" s="382">
        <v>0</v>
      </c>
      <c r="O33" s="171">
        <f t="shared" si="38"/>
        <v>0</v>
      </c>
      <c r="P33" s="377"/>
      <c r="Q33" s="104" t="s">
        <v>488</v>
      </c>
      <c r="R33" s="377">
        <f t="shared" ca="1" si="148"/>
        <v>0</v>
      </c>
      <c r="S33" s="832">
        <f t="shared" si="164"/>
        <v>0.36126705408096316</v>
      </c>
      <c r="T33" s="831">
        <f t="shared" si="149"/>
        <v>0.98505836069002539</v>
      </c>
      <c r="U33" s="545">
        <f t="shared" si="150"/>
        <v>0.99964364103972914</v>
      </c>
      <c r="V33" s="389">
        <v>0</v>
      </c>
      <c r="W33" s="434">
        <f t="shared" si="39"/>
        <v>0</v>
      </c>
      <c r="X33" s="415">
        <f t="shared" si="40"/>
        <v>0</v>
      </c>
      <c r="Y33" s="322">
        <f t="shared" si="41"/>
        <v>0</v>
      </c>
      <c r="Z33" s="322">
        <f t="shared" ca="1" si="42"/>
        <v>0</v>
      </c>
      <c r="AA33" s="429">
        <f t="shared" si="1"/>
        <v>0</v>
      </c>
      <c r="AB33" s="433">
        <f t="shared" ca="1" si="2"/>
        <v>0</v>
      </c>
      <c r="AC33" s="226">
        <v>37154</v>
      </c>
      <c r="AD33" s="227">
        <v>37151</v>
      </c>
      <c r="AE33" s="227">
        <v>37147</v>
      </c>
      <c r="AF33" s="228">
        <v>37145</v>
      </c>
      <c r="AG33" s="249" t="s">
        <v>498</v>
      </c>
      <c r="AH33" s="247" t="s">
        <v>90</v>
      </c>
      <c r="AI33" s="146">
        <v>23</v>
      </c>
      <c r="AJ33" s="41">
        <v>16</v>
      </c>
      <c r="AK33" s="41">
        <v>7</v>
      </c>
      <c r="AL33" s="293">
        <v>23</v>
      </c>
      <c r="AM33" s="41">
        <v>11</v>
      </c>
      <c r="AN33" s="147">
        <v>12</v>
      </c>
      <c r="AO33" s="374"/>
      <c r="AP33" s="153">
        <f t="shared" ca="1" si="43"/>
        <v>1</v>
      </c>
      <c r="AQ33" s="374"/>
      <c r="AR33" s="153">
        <f t="shared" ca="1" si="151"/>
        <v>1</v>
      </c>
      <c r="AS33" s="272">
        <f t="shared" si="3"/>
        <v>0</v>
      </c>
      <c r="AT33" s="157">
        <f t="shared" si="44"/>
        <v>0</v>
      </c>
      <c r="AU33" s="157">
        <f t="shared" si="4"/>
        <v>0</v>
      </c>
      <c r="AV33" s="271">
        <f t="shared" ca="1" si="163"/>
        <v>9.9999999999999995E-7</v>
      </c>
      <c r="AW33" s="158">
        <f t="shared" ca="1" si="5"/>
        <v>3</v>
      </c>
      <c r="AX33" s="157">
        <f t="shared" ca="1" si="152"/>
        <v>1.6560596226763521E-2</v>
      </c>
      <c r="AY33" s="157">
        <f t="shared" ca="1" si="153"/>
        <v>1.1765253026489092E-2</v>
      </c>
      <c r="AZ33" s="157">
        <f t="shared" ca="1" si="154"/>
        <v>6.9376374250881305E-3</v>
      </c>
      <c r="BA33" s="157">
        <f t="shared" ca="1" si="155"/>
        <v>8.6720467813601728E-4</v>
      </c>
      <c r="BB33" s="157">
        <f t="shared" ca="1" si="156"/>
        <v>1.1967855433809159E-3</v>
      </c>
      <c r="BC33" s="157">
        <f t="shared" ca="1" si="157"/>
        <v>1.5040879075619844E-3</v>
      </c>
      <c r="BD33" s="151">
        <f t="shared" ca="1" si="45"/>
        <v>30</v>
      </c>
      <c r="BE33" s="152">
        <f t="shared" ca="1" si="46"/>
        <v>30</v>
      </c>
      <c r="BF33" s="40">
        <f t="shared" si="7"/>
        <v>2001</v>
      </c>
      <c r="BG33" s="144">
        <f t="shared" si="8"/>
        <v>10</v>
      </c>
      <c r="BH33" s="145">
        <f t="shared" ca="1" si="47"/>
        <v>406</v>
      </c>
      <c r="BI33" s="313">
        <f t="shared" ca="1" si="9"/>
        <v>1.1498973305954825</v>
      </c>
      <c r="BJ33" s="42">
        <f t="shared" ca="1" si="10"/>
        <v>1.2070350861530221</v>
      </c>
      <c r="BK33" s="42">
        <f t="shared" ca="1" si="11"/>
        <v>1.2097729369401542</v>
      </c>
      <c r="BL33" s="42">
        <f t="shared" ca="1" si="12"/>
        <v>1.2320328542094456</v>
      </c>
      <c r="BM33" s="150" t="e">
        <f t="shared" ca="1" si="13"/>
        <v>#DIV/0!</v>
      </c>
      <c r="BN33" s="42" t="e">
        <f t="shared" ca="1" si="14"/>
        <v>#DIV/0!</v>
      </c>
      <c r="BO33" s="293">
        <f t="shared" si="48"/>
        <v>23</v>
      </c>
      <c r="BP33" s="41">
        <f t="shared" si="49"/>
        <v>16</v>
      </c>
      <c r="BQ33" s="41">
        <f t="shared" si="50"/>
        <v>7</v>
      </c>
      <c r="BR33" s="305">
        <f t="shared" ca="1" si="15"/>
        <v>-0.05</v>
      </c>
      <c r="BS33" s="305">
        <f t="shared" ca="1" si="16"/>
        <v>-1</v>
      </c>
      <c r="BT33" s="307">
        <f t="shared" ca="1" si="17"/>
        <v>-1</v>
      </c>
      <c r="BU33" s="161">
        <f t="shared" ca="1" si="18"/>
        <v>-0.05</v>
      </c>
      <c r="BV33" s="161">
        <f t="shared" ca="1" si="19"/>
        <v>-0.05</v>
      </c>
      <c r="BW33" s="308">
        <f t="shared" ca="1" si="20"/>
        <v>0</v>
      </c>
      <c r="BX33" s="309">
        <f t="shared" ca="1" si="21"/>
        <v>0</v>
      </c>
      <c r="BY33" s="308">
        <f t="shared" ca="1" si="51"/>
        <v>4.7953432002744295E-3</v>
      </c>
      <c r="BZ33" s="309">
        <f t="shared" ca="1" si="52"/>
        <v>4.7953432002744295E-3</v>
      </c>
      <c r="CA33" s="154">
        <f t="shared" ca="1" si="22"/>
        <v>5.0127998628684528E-2</v>
      </c>
      <c r="CB33" s="154">
        <f t="shared" ca="1" si="23"/>
        <v>5.0127998628684528E-2</v>
      </c>
      <c r="CC33" s="154">
        <f t="shared" ca="1" si="24"/>
        <v>5.0127998628684528E-2</v>
      </c>
      <c r="CD33" s="154">
        <f t="shared" ca="1" si="25"/>
        <v>5.0127998628684528E-2</v>
      </c>
      <c r="CE33" s="310">
        <v>1</v>
      </c>
      <c r="CF33" s="162" t="e">
        <f ca="1">IF(BD33,_xll.xCrudeAPO(BU33,BV33,CA33,CB33,S34,S35,BI33,BL33,BP33,BQ33,0,Strike1,AO33,CE33,0,BL33,IF(OptControl=4,0,1),0,1),0)</f>
        <v>#VALUE!</v>
      </c>
      <c r="CG33" s="163" t="e">
        <f ca="1">IF(BD33,_xll.xCrudeAPO(BU33,BV33,CA33,CB33,S34,S35,BI33,BL33,BP33,BQ33,0,Strike1,AO33,CE33,0,BL33,IF(OptControl=4,0,1),1,1)+_xll.xCrudeAPO(BU33,BV33,CA33,CB33,S34,S35,BI33,BL33,BP33,BQ33,0,Strike1,AO33,CE33,0,BL33,IF(OptControl=4,0,1),1,2)+IF(OR(VolSkewFlag=2,ABS(BS33)&lt;0.0001),0,IF(BS33&gt;0,-1,1)*CH33*Strike1/BR33^2*BY33/10%),0)</f>
        <v>#VALUE!</v>
      </c>
      <c r="CH33" s="163" t="e">
        <f ca="1">IF(BD33,(_xll.xCrudeAPO(BU33,BV33,CA33,CB33,S34,S35,BI33,BL33,BP33,BQ33,0,Strike1,AO33,CE33,0,BL33,IF(OptControl=4,0,1),3,1)+_xll.xCrudeAPO(BU33,BV33,CA33,CB33,S34,S35,BI33,BL33,BP33,BQ33,0,Strike1,AO33,CE33,0,BL33,IF(OptControl=4,0,1),3,2))/100,0)</f>
        <v>#VALUE!</v>
      </c>
      <c r="CI33" s="163" t="e">
        <f ca="1">IF(BD33,_xll.xCrudeAPO(BU33,BV33,CA33,CB33,S34,S35,BI33-DaysForThetaCalculation/365.25,BL33-DaysForThetaCalculation/365.25,BP33,BQ33,0,Strike1,AO33,CE33,0,BL33,IF(OptControl=4,0,1),0,1)-_xll.xCrudeAPO(BU33,BV33,CA33,CB33,S34,S35,BI33,BL33,BP33,BQ33,0,Strike1,AO33,CE33,0,BL33,IF(OptControl=4,0,1),0,1),0)</f>
        <v>#VALUE!</v>
      </c>
      <c r="CJ33" s="311" t="e">
        <f ca="1">IF(BD33,_xll.xCrudeAPO(BU33,BV33,CC33,CD33,S34,S35,BI33,BL33,BP33,BQ33,0,Strike2,AO33,CE33,0,BL33,IF(OptControl=3,1,0),0,1),0)</f>
        <v>#VALUE!</v>
      </c>
      <c r="CK33" s="163" t="e">
        <f ca="1">IF(BD33,_xll.xCrudeAPO(BU33,BV33,CC33,CD33,S34,S35,BI33,BL33,BP33,BQ33,0,Strike2,AO33,CE33,0,BL33,IF(OptControl=3,1,0),1,1)+_xll.xCrudeAPO(BU33,BV33,CC33,CD33,S34,S35,BI33,BL33,BP33,BQ33,0,Strike2,AO33,CE33,0,BL33,IF(OptControl=3,1,0),1,2)+IF(OR(VolSkewFlag=2,ABS(BT33)&lt;0.0001),0,IF(BT33&gt;0,-1,1)*CL33*Strike2/BR33^2*BZ33/10%),0)</f>
        <v>#VALUE!</v>
      </c>
      <c r="CL33" s="163" t="e">
        <f ca="1">IF(BD33,(_xll.xCrudeAPO(BU33,BV33,CC33,CD33,S34,S35,BI33,BL33,BP33,BQ33,0,Strike2,AO33,CE33,0,BL33,IF(OptControl=3,1,0),3,1)+_xll.xCrudeAPO(BU33,BV33,CC33,CD33,S34,S35,BI33,BL33,BP33,BQ33,0,Strike2,AO33,CE33,0,BL33,IF(OptControl=3,1,0),3,2))/100,0)</f>
        <v>#VALUE!</v>
      </c>
      <c r="CM33" s="164" t="e">
        <f ca="1">IF(BD33,_xll.xCrudeAPO(BU33,BV33,CC33,CD33,S34,S35,BI33-DaysForThetaCalculation/365.25,BL33-DaysForThetaCalculation/365.25,BP33,BQ33,0,Strike2,AO33,CE33,0,BL33,IF(OptControl=3,1,0),0,1)-_xll.xCrudeAPO(BU33,BV33,CC33,CD33,S34,S35,BI33,BL33,BP33,BQ33,0,Strike2,AO33,CE33,0,BL33,IF(OptControl=3,1,0),0,1),0)</f>
        <v>#VALUE!</v>
      </c>
      <c r="CN33" s="508"/>
      <c r="CO33" s="796">
        <f t="shared" ca="1" si="53"/>
        <v>406</v>
      </c>
      <c r="CP33" s="800">
        <f t="shared" ca="1" si="54"/>
        <v>0</v>
      </c>
      <c r="CQ33" s="797" t="e">
        <f t="shared" ca="1" si="55"/>
        <v>#DIV/0!</v>
      </c>
      <c r="CR33" s="797" t="e">
        <f t="shared" ca="1" si="56"/>
        <v>#DIV/0!</v>
      </c>
      <c r="CS33" s="797" t="e">
        <f t="shared" ca="1" si="57"/>
        <v>#DIV/0!</v>
      </c>
      <c r="CT33" s="797" t="e">
        <f t="shared" ca="1" si="58"/>
        <v>#DIV/0!</v>
      </c>
      <c r="CU33" s="798">
        <f t="shared" ca="1" si="59"/>
        <v>0</v>
      </c>
      <c r="CV33" s="799" t="e">
        <f t="shared" ca="1" si="60"/>
        <v>#DIV/0!</v>
      </c>
      <c r="CW33" s="799" t="e">
        <f t="shared" ca="1" si="61"/>
        <v>#DIV/0!</v>
      </c>
      <c r="CX33" s="163" t="e">
        <f ca="1">IF(BD33,_xll.EURO(CP33,Strike1,AO33,AO33,CV33,CO33,IF(OptControl=4,0,1),0),0)</f>
        <v>#DIV/0!</v>
      </c>
      <c r="CY33" s="163" t="e">
        <f ca="1">IF(BD33,_xll.EURO(CP33,Strike1,AO33,AO33,CV33,CO33,IF(OptControl=4,0,1),1)+IF(OR(VolSkewFlag=2,ABS(CQ33)&lt;0.0001),0,IF(CQ33&gt;0,-1,1)*CZ33*100*Strike1/CP33^2*CS33/10%),0)</f>
        <v>#DIV/0!</v>
      </c>
      <c r="CZ33" s="163" t="e">
        <f ca="1">IF(BD33,_xll.EURO(CP33,Strike1,AO33,AO33,CV33,CO33,IF(OptControl=4,0,1),3)/100,0)</f>
        <v>#DIV/0!</v>
      </c>
      <c r="DA33" s="163" t="e">
        <f ca="1">IF(BD33,_xll.EURO(CP33,Strike1,AO33,AO33,CV33,CO33,IF(OptControl=4,0,1),0)-_xll.EURO(CP33,Strike1,AO33,AO33,CV33,CO33-1,IF(OptControl=4,0,1),0),0)</f>
        <v>#DIV/0!</v>
      </c>
      <c r="DB33" s="163" t="e">
        <f ca="1">IF(BD33,_xll.EURO(CP33,Strike2,AO33,AO33,CW33,CO33,IF(OptControl=3,1,0),0),0)</f>
        <v>#DIV/0!</v>
      </c>
      <c r="DC33" s="163" t="e">
        <f ca="1">IF(BD33,_xll.EURO(CP33,Strike2,AO33,AO33,CW33,CO33,IF(OptControl=3,1,0),1)+IF(OR(VolSkewFlag=2,ABS(CR33)&lt;0.0001),0,IF(CR33&gt;0,-1,1)*DD33*100*Strike2/CP33^2*CT33/10%),0)</f>
        <v>#DIV/0!</v>
      </c>
      <c r="DD33" s="163" t="e">
        <f ca="1">IF(BD33,_xll.EURO(CP33,Strike2,AO33,AO33,CW33,CO33,IF(OptControl=3,1,0),3)/100,0)</f>
        <v>#DIV/0!</v>
      </c>
      <c r="DE33" s="164" t="e">
        <f ca="1">IF(BD33,_xll.EURO(CP33,Strike2,AO33,AO33,CW33,CO33,IF(OptControl=3,1,0),0)-_xll.EURO(CP33,Strike2,AO33,AO33,CW33,CO33-1,IF(OptControl=3,1,0),0),0)</f>
        <v>#DIV/0!</v>
      </c>
      <c r="DF33" s="508"/>
      <c r="DG33" s="667">
        <f t="shared" ca="1" si="62"/>
        <v>36951</v>
      </c>
      <c r="DH33" s="475">
        <v>22.79</v>
      </c>
      <c r="DI33" s="665">
        <v>22.282727272727275</v>
      </c>
      <c r="DJ33" s="666">
        <f t="shared" ca="1" si="26"/>
        <v>36951</v>
      </c>
      <c r="DK33" s="475">
        <v>21.51</v>
      </c>
      <c r="DL33" s="665">
        <v>20.95</v>
      </c>
      <c r="DM33" s="667">
        <f t="shared" ca="1" si="27"/>
        <v>36951</v>
      </c>
      <c r="DN33" s="668">
        <f t="shared" si="28"/>
        <v>21.560000000000002</v>
      </c>
      <c r="DO33" s="667">
        <f t="shared" ca="1" si="63"/>
        <v>36951</v>
      </c>
      <c r="DP33" s="579">
        <f t="shared" si="64"/>
        <v>21.259999999999998</v>
      </c>
      <c r="DQ33" s="821">
        <v>0.31</v>
      </c>
      <c r="DR33" s="666">
        <f t="shared" ca="1" si="29"/>
        <v>36951</v>
      </c>
      <c r="DS33" s="669">
        <v>0.25560328702099699</v>
      </c>
      <c r="DT33" s="606">
        <v>0.25113940948693297</v>
      </c>
      <c r="DU33" s="666">
        <f t="shared" ca="1" si="30"/>
        <v>36951</v>
      </c>
      <c r="DV33" s="669">
        <v>0.25560328702099699</v>
      </c>
      <c r="DW33" s="606">
        <v>0.25113940948693297</v>
      </c>
      <c r="DX33" s="667">
        <f t="shared" ca="1" si="31"/>
        <v>36951</v>
      </c>
      <c r="DY33" s="606">
        <v>0.35001953125000002</v>
      </c>
      <c r="DZ33" s="667">
        <f t="shared" ca="1" si="65"/>
        <v>36951</v>
      </c>
      <c r="EA33" s="606">
        <f t="shared" si="66"/>
        <v>0.25113940948693297</v>
      </c>
      <c r="EB33" s="1"/>
      <c r="EC33" s="118">
        <f t="shared" ca="1" si="32"/>
        <v>0</v>
      </c>
      <c r="ED33" s="119">
        <f t="shared" ca="1" si="33"/>
        <v>5.0127998628684528E-2</v>
      </c>
      <c r="EE33" s="112">
        <f t="shared" ca="1" si="34"/>
        <v>5.0127998628684528E-2</v>
      </c>
      <c r="EF33" s="120" t="e">
        <f ca="1">IF(BD33,_xll.xASN(BR33,Strike1,AO33,ED33,0,BO33,0,BI33,BL33,IF(OptControl=4,0,1),0),0)</f>
        <v>#VALUE!</v>
      </c>
      <c r="EG33" s="111" t="e">
        <f ca="1">IF(BD33,_xll.xASN(BR33,Strike2,AO33,EE33,0,BO33,0,BI33,BL33,IF(OptControl=3,1,0),0),0)</f>
        <v>#VALUE!</v>
      </c>
      <c r="EI33" s="483" t="str">
        <f>[1]!'CLc14 MTH'</f>
        <v>OCT1</v>
      </c>
      <c r="EJ33" s="484">
        <f t="shared" si="158"/>
        <v>37165</v>
      </c>
      <c r="EK33" s="485">
        <f>[1]!'CLc14 NET.CHNG'</f>
        <v>0</v>
      </c>
      <c r="EL33" s="486">
        <f t="shared" si="159"/>
        <v>0</v>
      </c>
      <c r="EM33" s="1"/>
      <c r="EN33" s="697">
        <v>37257</v>
      </c>
      <c r="EO33" s="698">
        <v>39076</v>
      </c>
      <c r="EP33" s="1"/>
      <c r="EQ33" s="683" t="s">
        <v>137</v>
      </c>
      <c r="ES33" s="498">
        <v>14</v>
      </c>
      <c r="ET33" s="476">
        <f t="shared" ca="1" si="165"/>
        <v>1.1115674195756331</v>
      </c>
      <c r="EU33" s="842">
        <f t="shared" ca="1" si="67"/>
        <v>0</v>
      </c>
      <c r="EV33" s="815">
        <f t="shared" ca="1" si="160"/>
        <v>0.24290831996090165</v>
      </c>
      <c r="EW33" s="478">
        <f t="shared" ca="1" si="161"/>
        <v>1.0478260869565217</v>
      </c>
      <c r="EX33" s="477">
        <f t="shared" ca="1" si="162"/>
        <v>0.18938133278712385</v>
      </c>
      <c r="EY33" s="250">
        <v>0</v>
      </c>
      <c r="EZ33" s="605">
        <f ca="1">IF(OR(EW33="",EW34=""),"",SQRT(SUM(INDEX(FK33:ID33,SwaptionFirstMonthPosition+1):INDEX(FK33:ID33,FJ33))/SUM(INDEX($FK$15:$ID$15,SwaptionFirstMonthPosition+1):INDEX($FK$15:$ID$15,FJ33))))</f>
        <v>0.26482980277464108</v>
      </c>
      <c r="FA33" s="581">
        <f ca="1">IF(OR(EW33="",EW32=""),"",SQRT(SUM(INDEX(FK33:ID33,SwaptionFirstMonthPosition+1):INDEX(FK33:ID33,FJ33-1))/SUM(INDEX($FK$15:$ID$15,SwaptionFirstMonthPosition+1):INDEX($FK$15:$ID$15,FJ33-1))))</f>
        <v>0.24949665303527199</v>
      </c>
      <c r="FB33" s="578">
        <f t="shared" ca="1" si="68"/>
        <v>0.25130649619801054</v>
      </c>
      <c r="FC33" s="609">
        <f t="shared" ca="1" si="69"/>
        <v>434</v>
      </c>
      <c r="FD33" s="579">
        <f t="shared" ca="1" si="70"/>
        <v>-0.05</v>
      </c>
      <c r="FE33" s="579">
        <f t="shared" ca="1" si="71"/>
        <v>-1</v>
      </c>
      <c r="FF33" s="579">
        <f t="shared" ca="1" si="72"/>
        <v>-1</v>
      </c>
      <c r="FG33" s="580">
        <f t="shared" ca="1" si="73"/>
        <v>5.0127998628684528E-2</v>
      </c>
      <c r="FH33" s="606">
        <f t="shared" ca="1" si="74"/>
        <v>5.0127998628684528E-2</v>
      </c>
      <c r="FI33" s="250"/>
      <c r="FJ33" s="673">
        <v>14</v>
      </c>
      <c r="FK33" s="460">
        <f t="shared" ca="1" si="75"/>
        <v>0</v>
      </c>
      <c r="FL33" s="460">
        <f t="shared" ca="1" si="76"/>
        <v>2.7818205952909137E-3</v>
      </c>
      <c r="FM33" s="460">
        <f t="shared" ca="1" si="77"/>
        <v>3.3683493981548429E-3</v>
      </c>
      <c r="FN33" s="460">
        <f t="shared" ca="1" si="78"/>
        <v>2.9745457794051085E-3</v>
      </c>
      <c r="FO33" s="460">
        <f t="shared" ca="1" si="79"/>
        <v>3.2735350271435588E-3</v>
      </c>
      <c r="FP33" s="460">
        <f t="shared" ca="1" si="80"/>
        <v>3.8760910045351404E-3</v>
      </c>
      <c r="FQ33" s="460">
        <f t="shared" ca="1" si="81"/>
        <v>3.3926791866523464E-3</v>
      </c>
      <c r="FR33" s="460">
        <f t="shared" ca="1" si="82"/>
        <v>3.8025843313543905E-3</v>
      </c>
      <c r="FS33" s="460">
        <f t="shared" ca="1" si="83"/>
        <v>4.7754083992590148E-3</v>
      </c>
      <c r="FT33" s="460">
        <f t="shared" ca="1" si="84"/>
        <v>4.8975980134517653E-3</v>
      </c>
      <c r="FU33" s="460">
        <f t="shared" ca="1" si="85"/>
        <v>5.4774598980069618E-3</v>
      </c>
      <c r="FV33" s="460">
        <f t="shared" ca="1" si="86"/>
        <v>7.2018711275554839E-3</v>
      </c>
      <c r="FW33" s="460">
        <f t="shared" ca="1" si="87"/>
        <v>8.3310022748363903E-3</v>
      </c>
      <c r="FX33" s="460">
        <f t="shared" ca="1" si="88"/>
        <v>1.1434481313234234E-2</v>
      </c>
      <c r="FY33" s="460" t="str">
        <f t="shared" si="89"/>
        <v/>
      </c>
      <c r="FZ33" s="460" t="str">
        <f t="shared" si="90"/>
        <v/>
      </c>
      <c r="GA33" s="460" t="str">
        <f t="shared" si="91"/>
        <v/>
      </c>
      <c r="GB33" s="460" t="str">
        <f t="shared" si="92"/>
        <v/>
      </c>
      <c r="GC33" s="460" t="str">
        <f t="shared" si="93"/>
        <v/>
      </c>
      <c r="GD33" s="460" t="str">
        <f t="shared" si="94"/>
        <v/>
      </c>
      <c r="GE33" s="460" t="str">
        <f t="shared" si="95"/>
        <v/>
      </c>
      <c r="GF33" s="460" t="str">
        <f t="shared" si="96"/>
        <v/>
      </c>
      <c r="GG33" s="460" t="str">
        <f t="shared" si="97"/>
        <v/>
      </c>
      <c r="GH33" s="460" t="str">
        <f t="shared" si="98"/>
        <v/>
      </c>
      <c r="GI33" s="460" t="str">
        <f t="shared" si="99"/>
        <v/>
      </c>
      <c r="GJ33" s="460" t="str">
        <f t="shared" si="100"/>
        <v/>
      </c>
      <c r="GK33" s="460" t="str">
        <f t="shared" si="101"/>
        <v/>
      </c>
      <c r="GL33" s="460" t="str">
        <f t="shared" si="102"/>
        <v/>
      </c>
      <c r="GM33" s="460" t="str">
        <f t="shared" si="103"/>
        <v/>
      </c>
      <c r="GN33" s="460" t="str">
        <f t="shared" si="104"/>
        <v/>
      </c>
      <c r="GO33" s="460" t="str">
        <f t="shared" si="105"/>
        <v/>
      </c>
      <c r="GP33" s="460" t="str">
        <f t="shared" si="106"/>
        <v/>
      </c>
      <c r="GQ33" s="460" t="str">
        <f t="shared" si="107"/>
        <v/>
      </c>
      <c r="GR33" s="460" t="str">
        <f t="shared" si="108"/>
        <v/>
      </c>
      <c r="GS33" s="460" t="str">
        <f t="shared" si="109"/>
        <v/>
      </c>
      <c r="GT33" s="460" t="str">
        <f t="shared" si="110"/>
        <v/>
      </c>
      <c r="GU33" s="460" t="str">
        <f t="shared" si="111"/>
        <v/>
      </c>
      <c r="GV33" s="460" t="str">
        <f t="shared" si="112"/>
        <v/>
      </c>
      <c r="GW33" s="460" t="str">
        <f t="shared" si="113"/>
        <v/>
      </c>
      <c r="GX33" s="460" t="str">
        <f t="shared" si="114"/>
        <v/>
      </c>
      <c r="GY33" s="460" t="str">
        <f t="shared" si="115"/>
        <v/>
      </c>
      <c r="GZ33" s="460" t="str">
        <f t="shared" si="116"/>
        <v/>
      </c>
      <c r="HA33" s="460" t="str">
        <f t="shared" si="117"/>
        <v/>
      </c>
      <c r="HB33" s="460" t="str">
        <f t="shared" si="118"/>
        <v/>
      </c>
      <c r="HC33" s="460" t="str">
        <f t="shared" si="119"/>
        <v/>
      </c>
      <c r="HD33" s="460" t="str">
        <f t="shared" si="120"/>
        <v/>
      </c>
      <c r="HE33" s="460" t="str">
        <f t="shared" si="121"/>
        <v/>
      </c>
      <c r="HF33" s="460" t="str">
        <f t="shared" si="122"/>
        <v/>
      </c>
      <c r="HG33" s="460" t="str">
        <f t="shared" si="123"/>
        <v/>
      </c>
      <c r="HH33" s="460" t="str">
        <f t="shared" si="124"/>
        <v/>
      </c>
      <c r="HI33" s="460" t="str">
        <f t="shared" si="125"/>
        <v/>
      </c>
      <c r="HJ33" s="460" t="str">
        <f t="shared" si="126"/>
        <v/>
      </c>
      <c r="HK33" s="460" t="str">
        <f t="shared" si="127"/>
        <v/>
      </c>
      <c r="HL33" s="460" t="str">
        <f t="shared" si="128"/>
        <v/>
      </c>
      <c r="HM33" s="460" t="str">
        <f t="shared" si="129"/>
        <v/>
      </c>
      <c r="HN33" s="460" t="str">
        <f t="shared" si="130"/>
        <v/>
      </c>
      <c r="HO33" s="460" t="str">
        <f t="shared" si="131"/>
        <v/>
      </c>
      <c r="HP33" s="460" t="str">
        <f t="shared" si="132"/>
        <v/>
      </c>
      <c r="HQ33" s="460" t="str">
        <f t="shared" si="133"/>
        <v/>
      </c>
      <c r="HR33" s="460" t="str">
        <f t="shared" si="134"/>
        <v/>
      </c>
      <c r="HS33" s="460" t="str">
        <f t="shared" si="135"/>
        <v/>
      </c>
      <c r="HT33" s="460" t="str">
        <f t="shared" si="136"/>
        <v/>
      </c>
      <c r="HU33" s="460" t="str">
        <f t="shared" si="137"/>
        <v/>
      </c>
      <c r="HV33" s="460" t="str">
        <f t="shared" si="138"/>
        <v/>
      </c>
      <c r="HW33" s="460" t="str">
        <f t="shared" si="139"/>
        <v/>
      </c>
      <c r="HX33" s="460" t="str">
        <f t="shared" si="140"/>
        <v/>
      </c>
      <c r="HY33" s="460" t="str">
        <f t="shared" si="141"/>
        <v/>
      </c>
      <c r="HZ33" s="460" t="str">
        <f t="shared" si="142"/>
        <v/>
      </c>
      <c r="IA33" s="460" t="str">
        <f t="shared" si="143"/>
        <v/>
      </c>
      <c r="IB33" s="460" t="str">
        <f t="shared" si="144"/>
        <v/>
      </c>
      <c r="IC33" s="460" t="str">
        <f t="shared" si="145"/>
        <v/>
      </c>
      <c r="ID33" s="674" t="str">
        <f t="shared" si="146"/>
        <v/>
      </c>
      <c r="IE33" s="250"/>
    </row>
    <row r="34" spans="1:239" ht="15.75" customHeight="1" thickBot="1">
      <c r="A34" s="846" t="e">
        <f ca="1">A32+A33*IF(OptControl&gt;2,-1,1)</f>
        <v>#VALUE!</v>
      </c>
      <c r="B34" s="364" t="s">
        <v>213</v>
      </c>
      <c r="C34" s="363"/>
      <c r="D34" s="363"/>
      <c r="E34" s="363"/>
      <c r="F34" s="363"/>
      <c r="G34" s="363"/>
      <c r="H34" s="51">
        <f t="shared" ca="1" si="35"/>
        <v>0</v>
      </c>
      <c r="I34" s="379">
        <f t="shared" si="36"/>
        <v>37196</v>
      </c>
      <c r="J34" s="377"/>
      <c r="K34" s="104" t="s">
        <v>488</v>
      </c>
      <c r="L34" s="392">
        <f t="shared" si="37"/>
        <v>0</v>
      </c>
      <c r="M34" s="171"/>
      <c r="N34" s="382">
        <v>0</v>
      </c>
      <c r="O34" s="171">
        <f t="shared" si="38"/>
        <v>0</v>
      </c>
      <c r="P34" s="377"/>
      <c r="Q34" s="103" t="s">
        <v>269</v>
      </c>
      <c r="R34" s="377">
        <f t="shared" ca="1" si="148"/>
        <v>0</v>
      </c>
      <c r="S34" s="832">
        <f t="shared" si="164"/>
        <v>0.36095029056072236</v>
      </c>
      <c r="T34" s="831">
        <f t="shared" si="149"/>
        <v>0.9872567358719363</v>
      </c>
      <c r="U34" s="545">
        <f t="shared" si="150"/>
        <v>0.99973273077979685</v>
      </c>
      <c r="V34" s="389">
        <v>0</v>
      </c>
      <c r="W34" s="434">
        <f t="shared" si="39"/>
        <v>0</v>
      </c>
      <c r="X34" s="415">
        <f t="shared" si="40"/>
        <v>0</v>
      </c>
      <c r="Y34" s="322">
        <f t="shared" si="41"/>
        <v>0</v>
      </c>
      <c r="Z34" s="322">
        <f ca="1">IF(Q36="extra",X34-AB34,(R35*AM34+R36*AN34)/AL34)</f>
        <v>0</v>
      </c>
      <c r="AA34" s="429">
        <f t="shared" si="1"/>
        <v>0</v>
      </c>
      <c r="AB34" s="433">
        <f t="shared" ca="1" si="2"/>
        <v>0</v>
      </c>
      <c r="AC34" s="226">
        <v>37186</v>
      </c>
      <c r="AD34" s="227">
        <v>37181</v>
      </c>
      <c r="AE34" s="227">
        <v>37180</v>
      </c>
      <c r="AF34" s="228">
        <v>37175</v>
      </c>
      <c r="AG34" s="249" t="s">
        <v>498</v>
      </c>
      <c r="AH34" s="247" t="s">
        <v>90</v>
      </c>
      <c r="AI34" s="146">
        <v>22</v>
      </c>
      <c r="AJ34" s="41">
        <v>13</v>
      </c>
      <c r="AK34" s="41">
        <v>9</v>
      </c>
      <c r="AL34" s="293">
        <v>22</v>
      </c>
      <c r="AM34" s="41">
        <v>10</v>
      </c>
      <c r="AN34" s="147">
        <v>12</v>
      </c>
      <c r="AO34" s="374"/>
      <c r="AP34" s="153">
        <f t="shared" ca="1" si="43"/>
        <v>1</v>
      </c>
      <c r="AQ34" s="374"/>
      <c r="AR34" s="153">
        <f t="shared" ca="1" si="151"/>
        <v>1</v>
      </c>
      <c r="AS34" s="272">
        <f t="shared" si="3"/>
        <v>0</v>
      </c>
      <c r="AT34" s="157">
        <f t="shared" si="44"/>
        <v>0</v>
      </c>
      <c r="AU34" s="157">
        <f t="shared" si="4"/>
        <v>0</v>
      </c>
      <c r="AV34" s="271">
        <f t="shared" ca="1" si="163"/>
        <v>9.9999999999999995E-7</v>
      </c>
      <c r="AW34" s="158">
        <f t="shared" ca="1" si="5"/>
        <v>3</v>
      </c>
      <c r="AX34" s="157">
        <f t="shared" ca="1" si="152"/>
        <v>1.5992359890680458E-2</v>
      </c>
      <c r="AY34" s="157">
        <f t="shared" ca="1" si="153"/>
        <v>1.1283516130474873E-2</v>
      </c>
      <c r="AZ34" s="157">
        <f t="shared" ca="1" si="154"/>
        <v>6.5356618129643962E-3</v>
      </c>
      <c r="BA34" s="157">
        <f t="shared" ca="1" si="155"/>
        <v>8.1695772662054974E-4</v>
      </c>
      <c r="BB34" s="157">
        <f t="shared" ca="1" si="156"/>
        <v>1.0887568316323315E-3</v>
      </c>
      <c r="BC34" s="157">
        <f t="shared" ca="1" si="157"/>
        <v>1.3348398541700346E-3</v>
      </c>
      <c r="BD34" s="151">
        <f t="shared" ca="1" si="45"/>
        <v>30</v>
      </c>
      <c r="BE34" s="152">
        <f t="shared" ca="1" si="46"/>
        <v>30</v>
      </c>
      <c r="BF34" s="40">
        <f t="shared" si="7"/>
        <v>2001</v>
      </c>
      <c r="BG34" s="144">
        <f t="shared" si="8"/>
        <v>11</v>
      </c>
      <c r="BH34" s="145">
        <f t="shared" ca="1" si="47"/>
        <v>436</v>
      </c>
      <c r="BI34" s="313">
        <f t="shared" ca="1" si="9"/>
        <v>1.2347707049965777</v>
      </c>
      <c r="BJ34" s="42">
        <f t="shared" ca="1" si="10"/>
        <v>1.2816875116669777</v>
      </c>
      <c r="BK34" s="42">
        <f t="shared" ca="1" si="11"/>
        <v>1.2844253624541098</v>
      </c>
      <c r="BL34" s="42">
        <f t="shared" ca="1" si="12"/>
        <v>1.3141683778234086</v>
      </c>
      <c r="BM34" s="150" t="e">
        <f t="shared" ca="1" si="13"/>
        <v>#DIV/0!</v>
      </c>
      <c r="BN34" s="42" t="e">
        <f t="shared" ca="1" si="14"/>
        <v>#DIV/0!</v>
      </c>
      <c r="BO34" s="293">
        <f t="shared" si="48"/>
        <v>22</v>
      </c>
      <c r="BP34" s="41">
        <f t="shared" si="49"/>
        <v>13</v>
      </c>
      <c r="BQ34" s="41">
        <f t="shared" si="50"/>
        <v>9</v>
      </c>
      <c r="BR34" s="305">
        <f t="shared" ca="1" si="15"/>
        <v>-0.05</v>
      </c>
      <c r="BS34" s="305">
        <f t="shared" ca="1" si="16"/>
        <v>-1</v>
      </c>
      <c r="BT34" s="307">
        <f t="shared" ca="1" si="17"/>
        <v>-1</v>
      </c>
      <c r="BU34" s="161">
        <f t="shared" ca="1" si="18"/>
        <v>-0.05</v>
      </c>
      <c r="BV34" s="161">
        <f t="shared" ca="1" si="19"/>
        <v>-0.05</v>
      </c>
      <c r="BW34" s="308">
        <f t="shared" ca="1" si="20"/>
        <v>0</v>
      </c>
      <c r="BX34" s="309">
        <f t="shared" ca="1" si="21"/>
        <v>0</v>
      </c>
      <c r="BY34" s="308">
        <f t="shared" ca="1" si="51"/>
        <v>4.708843760205585E-3</v>
      </c>
      <c r="BZ34" s="309">
        <f t="shared" ca="1" si="52"/>
        <v>4.708843760205585E-3</v>
      </c>
      <c r="CA34" s="154">
        <f t="shared" ca="1" si="22"/>
        <v>4.8954266212119554E-2</v>
      </c>
      <c r="CB34" s="154">
        <f t="shared" ca="1" si="23"/>
        <v>4.8954266212119554E-2</v>
      </c>
      <c r="CC34" s="154">
        <f t="shared" ca="1" si="24"/>
        <v>4.8954266212119554E-2</v>
      </c>
      <c r="CD34" s="154">
        <f t="shared" ca="1" si="25"/>
        <v>4.8954266212119554E-2</v>
      </c>
      <c r="CE34" s="310">
        <v>1</v>
      </c>
      <c r="CF34" s="162" t="e">
        <f ca="1">IF(BD34,_xll.xCrudeAPO(BU34,BV34,CA34,CB34,S35,S36,BI34,BL34,BP34,BQ34,0,Strike1,AO34,CE34,0,BL34,IF(OptControl=4,0,1),0,1),0)</f>
        <v>#VALUE!</v>
      </c>
      <c r="CG34" s="163" t="e">
        <f ca="1">IF(BD34,_xll.xCrudeAPO(BU34,BV34,CA34,CB34,S35,S36,BI34,BL34,BP34,BQ34,0,Strike1,AO34,CE34,0,BL34,IF(OptControl=4,0,1),1,1)+_xll.xCrudeAPO(BU34,BV34,CA34,CB34,S35,S36,BI34,BL34,BP34,BQ34,0,Strike1,AO34,CE34,0,BL34,IF(OptControl=4,0,1),1,2)+IF(OR(VolSkewFlag=2,ABS(BS34)&lt;0.0001),0,IF(BS34&gt;0,-1,1)*CH34*Strike1/BR34^2*BY34/10%),0)</f>
        <v>#VALUE!</v>
      </c>
      <c r="CH34" s="163" t="e">
        <f ca="1">IF(BD34,(_xll.xCrudeAPO(BU34,BV34,CA34,CB34,S35,S36,BI34,BL34,BP34,BQ34,0,Strike1,AO34,CE34,0,BL34,IF(OptControl=4,0,1),3,1)+_xll.xCrudeAPO(BU34,BV34,CA34,CB34,S35,S36,BI34,BL34,BP34,BQ34,0,Strike1,AO34,CE34,0,BL34,IF(OptControl=4,0,1),3,2))/100,0)</f>
        <v>#VALUE!</v>
      </c>
      <c r="CI34" s="163" t="e">
        <f ca="1">IF(BD34,_xll.xCrudeAPO(BU34,BV34,CA34,CB34,S35,S36,BI34-DaysForThetaCalculation/365.25,BL34-DaysForThetaCalculation/365.25,BP34,BQ34,0,Strike1,AO34,CE34,0,BL34,IF(OptControl=4,0,1),0,1)-_xll.xCrudeAPO(BU34,BV34,CA34,CB34,S35,S36,BI34,BL34,BP34,BQ34,0,Strike1,AO34,CE34,0,BL34,IF(OptControl=4,0,1),0,1),0)</f>
        <v>#VALUE!</v>
      </c>
      <c r="CJ34" s="311" t="e">
        <f ca="1">IF(BD34,_xll.xCrudeAPO(BU34,BV34,CC34,CD34,S35,S36,BI34,BL34,BP34,BQ34,0,Strike2,AO34,CE34,0,BL34,IF(OptControl=3,1,0),0,1),0)</f>
        <v>#VALUE!</v>
      </c>
      <c r="CK34" s="163" t="e">
        <f ca="1">IF(BD34,_xll.xCrudeAPO(BU34,BV34,CC34,CD34,S35,S36,BI34,BL34,BP34,BQ34,0,Strike2,AO34,CE34,0,BL34,IF(OptControl=3,1,0),1,1)+_xll.xCrudeAPO(BU34,BV34,CC34,CD34,S35,S36,BI34,BL34,BP34,BQ34,0,Strike2,AO34,CE34,0,BL34,IF(OptControl=3,1,0),1,2)+IF(OR(VolSkewFlag=2,ABS(BT34)&lt;0.0001),0,IF(BT34&gt;0,-1,1)*CL34*Strike2/BR34^2*BZ34/10%),0)</f>
        <v>#VALUE!</v>
      </c>
      <c r="CL34" s="163" t="e">
        <f ca="1">IF(BD34,(_xll.xCrudeAPO(BU34,BV34,CC34,CD34,S35,S36,BI34,BL34,BP34,BQ34,0,Strike2,AO34,CE34,0,BL34,IF(OptControl=3,1,0),3,1)+_xll.xCrudeAPO(BU34,BV34,CC34,CD34,S35,S36,BI34,BL34,BP34,BQ34,0,Strike2,AO34,CE34,0,BL34,IF(OptControl=3,1,0),3,2))/100,0)</f>
        <v>#VALUE!</v>
      </c>
      <c r="CM34" s="164" t="e">
        <f ca="1">IF(BD34,_xll.xCrudeAPO(BU34,BV34,CC34,CD34,S35,S36,BI34-DaysForThetaCalculation/365.25,BL34-DaysForThetaCalculation/365.25,BP34,BQ34,0,Strike2,AO34,CE34,0,BL34,IF(OptControl=3,1,0),0,1)-_xll.xCrudeAPO(BU34,BV34,CC34,CD34,S35,S36,BI34,BL34,BP34,BQ34,0,Strike2,AO34,CE34,0,BL34,IF(OptControl=3,1,0),0,1),0)</f>
        <v>#VALUE!</v>
      </c>
      <c r="CN34" s="508"/>
      <c r="CO34" s="796">
        <f t="shared" ca="1" si="53"/>
        <v>436</v>
      </c>
      <c r="CP34" s="800">
        <f t="shared" ca="1" si="54"/>
        <v>0</v>
      </c>
      <c r="CQ34" s="797" t="e">
        <f t="shared" ca="1" si="55"/>
        <v>#DIV/0!</v>
      </c>
      <c r="CR34" s="797" t="e">
        <f t="shared" ca="1" si="56"/>
        <v>#DIV/0!</v>
      </c>
      <c r="CS34" s="797" t="e">
        <f t="shared" ca="1" si="57"/>
        <v>#DIV/0!</v>
      </c>
      <c r="CT34" s="797" t="e">
        <f t="shared" ca="1" si="58"/>
        <v>#DIV/0!</v>
      </c>
      <c r="CU34" s="798">
        <f t="shared" ca="1" si="59"/>
        <v>0</v>
      </c>
      <c r="CV34" s="799" t="e">
        <f t="shared" ca="1" si="60"/>
        <v>#DIV/0!</v>
      </c>
      <c r="CW34" s="799" t="e">
        <f t="shared" ca="1" si="61"/>
        <v>#DIV/0!</v>
      </c>
      <c r="CX34" s="163" t="e">
        <f ca="1">IF(BD34,_xll.EURO(CP34,Strike1,AO34,AO34,CV34,CO34,IF(OptControl=4,0,1),0),0)</f>
        <v>#DIV/0!</v>
      </c>
      <c r="CY34" s="163" t="e">
        <f ca="1">IF(BD34,_xll.EURO(CP34,Strike1,AO34,AO34,CV34,CO34,IF(OptControl=4,0,1),1)+IF(OR(VolSkewFlag=2,ABS(CQ34)&lt;0.0001),0,IF(CQ34&gt;0,-1,1)*CZ34*100*Strike1/CP34^2*CS34/10%),0)</f>
        <v>#DIV/0!</v>
      </c>
      <c r="CZ34" s="163" t="e">
        <f ca="1">IF(BD34,_xll.EURO(CP34,Strike1,AO34,AO34,CV34,CO34,IF(OptControl=4,0,1),3)/100,0)</f>
        <v>#DIV/0!</v>
      </c>
      <c r="DA34" s="163" t="e">
        <f ca="1">IF(BD34,_xll.EURO(CP34,Strike1,AO34,AO34,CV34,CO34,IF(OptControl=4,0,1),0)-_xll.EURO(CP34,Strike1,AO34,AO34,CV34,CO34-1,IF(OptControl=4,0,1),0),0)</f>
        <v>#DIV/0!</v>
      </c>
      <c r="DB34" s="163" t="e">
        <f ca="1">IF(BD34,_xll.EURO(CP34,Strike2,AO34,AO34,CW34,CO34,IF(OptControl=3,1,0),0),0)</f>
        <v>#DIV/0!</v>
      </c>
      <c r="DC34" s="163" t="e">
        <f ca="1">IF(BD34,_xll.EURO(CP34,Strike2,AO34,AO34,CW34,CO34,IF(OptControl=3,1,0),1)+IF(OR(VolSkewFlag=2,ABS(CR34)&lt;0.0001),0,IF(CR34&gt;0,-1,1)*DD34*100*Strike2/CP34^2*CT34/10%),0)</f>
        <v>#DIV/0!</v>
      </c>
      <c r="DD34" s="163" t="e">
        <f ca="1">IF(BD34,_xll.EURO(CP34,Strike2,AO34,AO34,CW34,CO34,IF(OptControl=3,1,0),3)/100,0)</f>
        <v>#DIV/0!</v>
      </c>
      <c r="DE34" s="164" t="e">
        <f ca="1">IF(BD34,_xll.EURO(CP34,Strike2,AO34,AO34,CW34,CO34,IF(OptControl=3,1,0),0)-_xll.EURO(CP34,Strike2,AO34,AO34,CW34,CO34-1,IF(OptControl=3,1,0),0),0)</f>
        <v>#DIV/0!</v>
      </c>
      <c r="DF34" s="508"/>
      <c r="DG34" s="667">
        <f t="shared" ca="1" si="62"/>
        <v>36982</v>
      </c>
      <c r="DH34" s="475">
        <v>22.41</v>
      </c>
      <c r="DI34" s="665">
        <v>21.971428571428572</v>
      </c>
      <c r="DJ34" s="666">
        <f t="shared" ca="1" si="26"/>
        <v>36982</v>
      </c>
      <c r="DK34" s="475">
        <v>21.136666666666667</v>
      </c>
      <c r="DL34" s="665">
        <v>20.53222222222222</v>
      </c>
      <c r="DM34" s="667">
        <f t="shared" ca="1" si="27"/>
        <v>36982</v>
      </c>
      <c r="DN34" s="668">
        <f t="shared" si="28"/>
        <v>21.186666666666667</v>
      </c>
      <c r="DO34" s="667">
        <f t="shared" ca="1" si="63"/>
        <v>36982</v>
      </c>
      <c r="DP34" s="579">
        <f t="shared" si="64"/>
        <v>20.682222222222219</v>
      </c>
      <c r="DQ34" s="821">
        <v>0.15</v>
      </c>
      <c r="DR34" s="666">
        <f t="shared" ca="1" si="29"/>
        <v>36982</v>
      </c>
      <c r="DS34" s="669">
        <v>0.25281172910342609</v>
      </c>
      <c r="DT34" s="606">
        <v>0.2474167770351863</v>
      </c>
      <c r="DU34" s="666">
        <f t="shared" ca="1" si="30"/>
        <v>36982</v>
      </c>
      <c r="DV34" s="669">
        <v>0.25281172910342609</v>
      </c>
      <c r="DW34" s="606">
        <v>0.2474167770351863</v>
      </c>
      <c r="DX34" s="667">
        <f t="shared" ca="1" si="31"/>
        <v>36982</v>
      </c>
      <c r="DY34" s="606">
        <v>0.35000976562500002</v>
      </c>
      <c r="DZ34" s="667">
        <f t="shared" ca="1" si="65"/>
        <v>36982</v>
      </c>
      <c r="EA34" s="606">
        <f t="shared" si="66"/>
        <v>0.2474167770351863</v>
      </c>
      <c r="EB34" s="1"/>
      <c r="EC34" s="118">
        <f t="shared" ca="1" si="32"/>
        <v>0</v>
      </c>
      <c r="ED34" s="119">
        <f t="shared" ca="1" si="33"/>
        <v>4.8954266212119554E-2</v>
      </c>
      <c r="EE34" s="112">
        <f t="shared" ca="1" si="34"/>
        <v>4.8954266212119554E-2</v>
      </c>
      <c r="EF34" s="120" t="e">
        <f ca="1">IF(BD34,_xll.xASN(BR34,Strike1,AO34,ED34,0,BO34,0,BI34,BL34,IF(OptControl=4,0,1),0),0)</f>
        <v>#VALUE!</v>
      </c>
      <c r="EG34" s="111" t="e">
        <f ca="1">IF(BD34,_xll.xASN(BR34,Strike2,AO34,EE34,0,BO34,0,BI34,BL34,IF(OptControl=3,1,0),0),0)</f>
        <v>#VALUE!</v>
      </c>
      <c r="EI34" s="483" t="str">
        <f>[1]!'CLc15 MTH'</f>
        <v>NOV1</v>
      </c>
      <c r="EJ34" s="484">
        <f t="shared" si="158"/>
        <v>37196</v>
      </c>
      <c r="EK34" s="485">
        <f>[1]!'CLc15 NET.CHNG'</f>
        <v>0</v>
      </c>
      <c r="EL34" s="486">
        <f t="shared" si="159"/>
        <v>0</v>
      </c>
      <c r="EM34" s="1"/>
      <c r="EN34" s="697">
        <v>37441</v>
      </c>
      <c r="EO34" s="698">
        <v>39083</v>
      </c>
      <c r="EP34" s="1"/>
      <c r="EQ34" s="683" t="s">
        <v>138</v>
      </c>
      <c r="ES34" s="498">
        <v>15</v>
      </c>
      <c r="ET34" s="476">
        <f t="shared" ca="1" si="165"/>
        <v>1.1937029431895962</v>
      </c>
      <c r="EU34" s="842">
        <f t="shared" ca="1" si="67"/>
        <v>0</v>
      </c>
      <c r="EV34" s="815">
        <f t="shared" ca="1" si="160"/>
        <v>0.23815263626484848</v>
      </c>
      <c r="EW34" s="478">
        <f t="shared" ca="1" si="161"/>
        <v>0.9956521739130435</v>
      </c>
      <c r="EX34" s="477">
        <f t="shared" ca="1" si="162"/>
        <v>0.18487692658930474</v>
      </c>
      <c r="EY34" s="250">
        <v>0</v>
      </c>
      <c r="EZ34" s="605">
        <f ca="1">IF(OR(EW34="",EW35=""),"",SQRT(SUM(INDEX(FK34:ID34,SwaptionFirstMonthPosition+1):INDEX(FK34:ID34,FJ34))/SUM(INDEX($FK$15:$ID$15,SwaptionFirstMonthPosition+1):INDEX($FK$15:$ID$15,FJ34))))</f>
        <v>0.25778260100634148</v>
      </c>
      <c r="FA34" s="581">
        <f ca="1">IF(OR(EW34="",EW33=""),"",SQRT(SUM(INDEX(FK34:ID34,SwaptionFirstMonthPosition+1):INDEX(FK34:ID34,FJ34-1))/SUM(INDEX($FK$15:$ID$15,SwaptionFirstMonthPosition+1):INDEX($FK$15:$ID$15,FJ34-1))))</f>
        <v>0.24400516752290821</v>
      </c>
      <c r="FB34" s="578">
        <f t="shared" ca="1" si="68"/>
        <v>0.24486070851862349</v>
      </c>
      <c r="FC34" s="609">
        <f t="shared" ca="1" si="69"/>
        <v>464.5</v>
      </c>
      <c r="FD34" s="579">
        <f t="shared" ca="1" si="70"/>
        <v>-0.05</v>
      </c>
      <c r="FE34" s="579">
        <f t="shared" ca="1" si="71"/>
        <v>-1</v>
      </c>
      <c r="FF34" s="579">
        <f t="shared" ca="1" si="72"/>
        <v>-1</v>
      </c>
      <c r="FG34" s="580">
        <f t="shared" ca="1" si="73"/>
        <v>4.8954266212119554E-2</v>
      </c>
      <c r="FH34" s="606">
        <f t="shared" ca="1" si="74"/>
        <v>4.8954266212119554E-2</v>
      </c>
      <c r="FI34" s="250"/>
      <c r="FJ34" s="673">
        <v>15</v>
      </c>
      <c r="FK34" s="460">
        <f t="shared" ca="1" si="75"/>
        <v>0</v>
      </c>
      <c r="FL34" s="460">
        <f t="shared" ca="1" si="76"/>
        <v>2.6864444497373299E-3</v>
      </c>
      <c r="FM34" s="460">
        <f t="shared" ca="1" si="77"/>
        <v>3.2332785369662666E-3</v>
      </c>
      <c r="FN34" s="460">
        <f t="shared" ca="1" si="78"/>
        <v>2.8350377908748716E-3</v>
      </c>
      <c r="FO34" s="460">
        <f t="shared" ca="1" si="79"/>
        <v>3.093966881738801E-3</v>
      </c>
      <c r="FP34" s="460">
        <f t="shared" ca="1" si="80"/>
        <v>3.6274114073101449E-3</v>
      </c>
      <c r="FQ34" s="460">
        <f t="shared" ca="1" si="81"/>
        <v>3.1381000144392692E-3</v>
      </c>
      <c r="FR34" s="460">
        <f t="shared" ca="1" si="82"/>
        <v>3.4688562012200577E-3</v>
      </c>
      <c r="FS34" s="460">
        <f t="shared" ca="1" si="83"/>
        <v>4.2852252643141089E-3</v>
      </c>
      <c r="FT34" s="460">
        <f t="shared" ca="1" si="84"/>
        <v>4.3096148812316448E-3</v>
      </c>
      <c r="FU34" s="460">
        <f t="shared" ca="1" si="85"/>
        <v>4.7083386256253712E-3</v>
      </c>
      <c r="FV34" s="460">
        <f t="shared" ca="1" si="86"/>
        <v>6.01911597801585E-3</v>
      </c>
      <c r="FW34" s="460">
        <f t="shared" ca="1" si="87"/>
        <v>6.7307787885860972E-3</v>
      </c>
      <c r="FX34" s="460">
        <f t="shared" ca="1" si="88"/>
        <v>8.8656609131067491E-3</v>
      </c>
      <c r="FY34" s="460">
        <f t="shared" ca="1" si="89"/>
        <v>1.0701035914239841E-2</v>
      </c>
      <c r="FZ34" s="460" t="str">
        <f t="shared" si="90"/>
        <v/>
      </c>
      <c r="GA34" s="460" t="str">
        <f t="shared" si="91"/>
        <v/>
      </c>
      <c r="GB34" s="460" t="str">
        <f t="shared" si="92"/>
        <v/>
      </c>
      <c r="GC34" s="460" t="str">
        <f t="shared" si="93"/>
        <v/>
      </c>
      <c r="GD34" s="460" t="str">
        <f t="shared" si="94"/>
        <v/>
      </c>
      <c r="GE34" s="460" t="str">
        <f t="shared" si="95"/>
        <v/>
      </c>
      <c r="GF34" s="460" t="str">
        <f t="shared" si="96"/>
        <v/>
      </c>
      <c r="GG34" s="460" t="str">
        <f t="shared" si="97"/>
        <v/>
      </c>
      <c r="GH34" s="460" t="str">
        <f t="shared" si="98"/>
        <v/>
      </c>
      <c r="GI34" s="460" t="str">
        <f t="shared" si="99"/>
        <v/>
      </c>
      <c r="GJ34" s="460" t="str">
        <f t="shared" si="100"/>
        <v/>
      </c>
      <c r="GK34" s="460" t="str">
        <f t="shared" si="101"/>
        <v/>
      </c>
      <c r="GL34" s="460" t="str">
        <f t="shared" si="102"/>
        <v/>
      </c>
      <c r="GM34" s="460" t="str">
        <f t="shared" si="103"/>
        <v/>
      </c>
      <c r="GN34" s="460" t="str">
        <f t="shared" si="104"/>
        <v/>
      </c>
      <c r="GO34" s="460" t="str">
        <f t="shared" si="105"/>
        <v/>
      </c>
      <c r="GP34" s="460" t="str">
        <f t="shared" si="106"/>
        <v/>
      </c>
      <c r="GQ34" s="460" t="str">
        <f t="shared" si="107"/>
        <v/>
      </c>
      <c r="GR34" s="460" t="str">
        <f t="shared" si="108"/>
        <v/>
      </c>
      <c r="GS34" s="460" t="str">
        <f t="shared" si="109"/>
        <v/>
      </c>
      <c r="GT34" s="460" t="str">
        <f t="shared" si="110"/>
        <v/>
      </c>
      <c r="GU34" s="460" t="str">
        <f t="shared" si="111"/>
        <v/>
      </c>
      <c r="GV34" s="460" t="str">
        <f t="shared" si="112"/>
        <v/>
      </c>
      <c r="GW34" s="460" t="str">
        <f t="shared" si="113"/>
        <v/>
      </c>
      <c r="GX34" s="460" t="str">
        <f t="shared" si="114"/>
        <v/>
      </c>
      <c r="GY34" s="460" t="str">
        <f t="shared" si="115"/>
        <v/>
      </c>
      <c r="GZ34" s="460" t="str">
        <f t="shared" si="116"/>
        <v/>
      </c>
      <c r="HA34" s="460" t="str">
        <f t="shared" si="117"/>
        <v/>
      </c>
      <c r="HB34" s="460" t="str">
        <f t="shared" si="118"/>
        <v/>
      </c>
      <c r="HC34" s="460" t="str">
        <f t="shared" si="119"/>
        <v/>
      </c>
      <c r="HD34" s="460" t="str">
        <f t="shared" si="120"/>
        <v/>
      </c>
      <c r="HE34" s="460" t="str">
        <f t="shared" si="121"/>
        <v/>
      </c>
      <c r="HF34" s="460" t="str">
        <f t="shared" si="122"/>
        <v/>
      </c>
      <c r="HG34" s="460" t="str">
        <f t="shared" si="123"/>
        <v/>
      </c>
      <c r="HH34" s="460" t="str">
        <f t="shared" si="124"/>
        <v/>
      </c>
      <c r="HI34" s="460" t="str">
        <f t="shared" si="125"/>
        <v/>
      </c>
      <c r="HJ34" s="460" t="str">
        <f t="shared" si="126"/>
        <v/>
      </c>
      <c r="HK34" s="460" t="str">
        <f t="shared" si="127"/>
        <v/>
      </c>
      <c r="HL34" s="460" t="str">
        <f t="shared" si="128"/>
        <v/>
      </c>
      <c r="HM34" s="460" t="str">
        <f t="shared" si="129"/>
        <v/>
      </c>
      <c r="HN34" s="460" t="str">
        <f t="shared" si="130"/>
        <v/>
      </c>
      <c r="HO34" s="460" t="str">
        <f t="shared" si="131"/>
        <v/>
      </c>
      <c r="HP34" s="460" t="str">
        <f t="shared" si="132"/>
        <v/>
      </c>
      <c r="HQ34" s="460" t="str">
        <f t="shared" si="133"/>
        <v/>
      </c>
      <c r="HR34" s="460" t="str">
        <f t="shared" si="134"/>
        <v/>
      </c>
      <c r="HS34" s="460" t="str">
        <f t="shared" si="135"/>
        <v/>
      </c>
      <c r="HT34" s="460" t="str">
        <f t="shared" si="136"/>
        <v/>
      </c>
      <c r="HU34" s="460" t="str">
        <f t="shared" si="137"/>
        <v/>
      </c>
      <c r="HV34" s="460" t="str">
        <f t="shared" si="138"/>
        <v/>
      </c>
      <c r="HW34" s="460" t="str">
        <f t="shared" si="139"/>
        <v/>
      </c>
      <c r="HX34" s="460" t="str">
        <f t="shared" si="140"/>
        <v/>
      </c>
      <c r="HY34" s="460" t="str">
        <f t="shared" si="141"/>
        <v/>
      </c>
      <c r="HZ34" s="460" t="str">
        <f t="shared" si="142"/>
        <v/>
      </c>
      <c r="IA34" s="460" t="str">
        <f t="shared" si="143"/>
        <v/>
      </c>
      <c r="IB34" s="460" t="str">
        <f t="shared" si="144"/>
        <v/>
      </c>
      <c r="IC34" s="460" t="str">
        <f t="shared" si="145"/>
        <v/>
      </c>
      <c r="ID34" s="674" t="str">
        <f t="shared" si="146"/>
        <v/>
      </c>
      <c r="IE34" s="250"/>
    </row>
    <row r="35" spans="1:239" s="53" customFormat="1" ht="20.25" customHeight="1" thickBot="1">
      <c r="A35" s="847" t="e">
        <f ca="1">IF(OptControl&gt;2,"",A32-A33)</f>
        <v>#VALUE!</v>
      </c>
      <c r="B35" s="560" t="s">
        <v>277</v>
      </c>
      <c r="C35" s="561"/>
      <c r="D35" s="562"/>
      <c r="E35" s="563" t="s">
        <v>276</v>
      </c>
      <c r="F35" s="564"/>
      <c r="G35" s="565">
        <v>20</v>
      </c>
      <c r="H35" s="51">
        <f t="shared" ca="1" si="35"/>
        <v>0</v>
      </c>
      <c r="I35" s="379">
        <f t="shared" si="36"/>
        <v>37226</v>
      </c>
      <c r="J35" s="377"/>
      <c r="K35" s="104" t="s">
        <v>488</v>
      </c>
      <c r="L35" s="392">
        <f t="shared" si="37"/>
        <v>0</v>
      </c>
      <c r="M35" s="171"/>
      <c r="N35" s="382">
        <v>0</v>
      </c>
      <c r="O35" s="171">
        <f t="shared" si="38"/>
        <v>0</v>
      </c>
      <c r="P35" s="377"/>
      <c r="Q35" s="104" t="s">
        <v>269</v>
      </c>
      <c r="R35" s="377">
        <f t="shared" ca="1" si="148"/>
        <v>0</v>
      </c>
      <c r="S35" s="832">
        <f t="shared" si="164"/>
        <v>0.36071271792054177</v>
      </c>
      <c r="T35" s="831">
        <f t="shared" si="149"/>
        <v>0.98912814835853169</v>
      </c>
      <c r="U35" s="545">
        <f t="shared" si="150"/>
        <v>0.99979954808484761</v>
      </c>
      <c r="V35" s="389">
        <v>0</v>
      </c>
      <c r="W35" s="434">
        <f t="shared" si="39"/>
        <v>0</v>
      </c>
      <c r="X35" s="415">
        <f t="shared" si="40"/>
        <v>0</v>
      </c>
      <c r="Y35" s="322">
        <f t="shared" si="41"/>
        <v>0</v>
      </c>
      <c r="Z35" s="322">
        <f t="shared" ca="1" si="42"/>
        <v>0</v>
      </c>
      <c r="AA35" s="429">
        <f t="shared" si="1"/>
        <v>0</v>
      </c>
      <c r="AB35" s="433">
        <f t="shared" ca="1" si="2"/>
        <v>0</v>
      </c>
      <c r="AC35" s="226">
        <v>37214</v>
      </c>
      <c r="AD35" s="227">
        <v>37209</v>
      </c>
      <c r="AE35" s="227">
        <v>37210</v>
      </c>
      <c r="AF35" s="228">
        <v>37205</v>
      </c>
      <c r="AG35" s="249" t="s">
        <v>497</v>
      </c>
      <c r="AH35" s="247" t="s">
        <v>497</v>
      </c>
      <c r="AI35" s="146">
        <v>20</v>
      </c>
      <c r="AJ35" s="41">
        <v>13</v>
      </c>
      <c r="AK35" s="41">
        <v>7</v>
      </c>
      <c r="AL35" s="293">
        <v>20</v>
      </c>
      <c r="AM35" s="41">
        <v>8</v>
      </c>
      <c r="AN35" s="147">
        <v>12</v>
      </c>
      <c r="AO35" s="374"/>
      <c r="AP35" s="153">
        <f t="shared" ca="1" si="43"/>
        <v>1</v>
      </c>
      <c r="AQ35" s="374"/>
      <c r="AR35" s="153">
        <f t="shared" ca="1" si="151"/>
        <v>1</v>
      </c>
      <c r="AS35" s="272">
        <f t="shared" si="3"/>
        <v>0</v>
      </c>
      <c r="AT35" s="157">
        <f t="shared" si="44"/>
        <v>0</v>
      </c>
      <c r="AU35" s="157">
        <f t="shared" si="4"/>
        <v>0</v>
      </c>
      <c r="AV35" s="271">
        <f t="shared" ca="1" si="163"/>
        <v>9.9999999999999995E-7</v>
      </c>
      <c r="AW35" s="158">
        <f t="shared" ca="1" si="5"/>
        <v>3</v>
      </c>
      <c r="AX35" s="157">
        <f t="shared" ca="1" si="152"/>
        <v>1.5461025019553831E-2</v>
      </c>
      <c r="AY35" s="157">
        <f t="shared" ca="1" si="153"/>
        <v>1.0836108385687535E-2</v>
      </c>
      <c r="AZ35" s="157">
        <f t="shared" ca="1" si="154"/>
        <v>6.1688433016317623E-3</v>
      </c>
      <c r="BA35" s="157">
        <f t="shared" ca="1" si="155"/>
        <v>7.7110541270397073E-4</v>
      </c>
      <c r="BB35" s="157">
        <f t="shared" ca="1" si="156"/>
        <v>9.9350667321078932E-4</v>
      </c>
      <c r="BC35" s="157">
        <f t="shared" ca="1" si="157"/>
        <v>1.1892071150027218E-3</v>
      </c>
      <c r="BD35" s="151">
        <f t="shared" ca="1" si="45"/>
        <v>30</v>
      </c>
      <c r="BE35" s="152">
        <f t="shared" ca="1" si="46"/>
        <v>30</v>
      </c>
      <c r="BF35" s="40">
        <f t="shared" si="7"/>
        <v>2001</v>
      </c>
      <c r="BG35" s="144">
        <f t="shared" si="8"/>
        <v>12</v>
      </c>
      <c r="BH35" s="145">
        <f t="shared" ca="1" si="47"/>
        <v>464</v>
      </c>
      <c r="BI35" s="313">
        <f t="shared" ca="1" si="9"/>
        <v>1.3169062286105406</v>
      </c>
      <c r="BJ35" s="42">
        <f t="shared" ca="1" si="10"/>
        <v>1.3702943189596166</v>
      </c>
      <c r="BK35" s="42">
        <f t="shared" ca="1" si="11"/>
        <v>1.3730321697467487</v>
      </c>
      <c r="BL35" s="42">
        <f t="shared" ca="1" si="12"/>
        <v>1.3990417522245038</v>
      </c>
      <c r="BM35" s="150" t="e">
        <f t="shared" ca="1" si="13"/>
        <v>#DIV/0!</v>
      </c>
      <c r="BN35" s="42" t="e">
        <f t="shared" ca="1" si="14"/>
        <v>#DIV/0!</v>
      </c>
      <c r="BO35" s="293">
        <f t="shared" si="48"/>
        <v>20</v>
      </c>
      <c r="BP35" s="41">
        <f t="shared" si="49"/>
        <v>13</v>
      </c>
      <c r="BQ35" s="41">
        <f t="shared" si="50"/>
        <v>7</v>
      </c>
      <c r="BR35" s="305">
        <f t="shared" ca="1" si="15"/>
        <v>-0.05</v>
      </c>
      <c r="BS35" s="305">
        <f t="shared" ca="1" si="16"/>
        <v>-1</v>
      </c>
      <c r="BT35" s="307">
        <f t="shared" ca="1" si="17"/>
        <v>-1</v>
      </c>
      <c r="BU35" s="161">
        <f t="shared" ca="1" si="18"/>
        <v>-0.05</v>
      </c>
      <c r="BV35" s="161">
        <f t="shared" ca="1" si="19"/>
        <v>-0.05</v>
      </c>
      <c r="BW35" s="308">
        <f t="shared" ca="1" si="20"/>
        <v>0</v>
      </c>
      <c r="BX35" s="309">
        <f t="shared" ca="1" si="21"/>
        <v>0</v>
      </c>
      <c r="BY35" s="308">
        <f t="shared" ca="1" si="51"/>
        <v>4.624916633866296E-3</v>
      </c>
      <c r="BZ35" s="309">
        <f t="shared" ca="1" si="52"/>
        <v>4.624916633866296E-3</v>
      </c>
      <c r="CA35" s="154">
        <f t="shared" ca="1" si="22"/>
        <v>4.7835441456617903E-2</v>
      </c>
      <c r="CB35" s="154">
        <f t="shared" ca="1" si="23"/>
        <v>4.7835441456617903E-2</v>
      </c>
      <c r="CC35" s="154">
        <f t="shared" ca="1" si="24"/>
        <v>4.7835441456617903E-2</v>
      </c>
      <c r="CD35" s="154">
        <f t="shared" ca="1" si="25"/>
        <v>4.7835441456617903E-2</v>
      </c>
      <c r="CE35" s="310">
        <v>1</v>
      </c>
      <c r="CF35" s="162" t="e">
        <f ca="1">IF(BD35,_xll.xCrudeAPO(BU35,BV35,CA35,CB35,S36,S37,BI35,BL35,BP35,BQ35,0,Strike1,AO35,CE35,0,BL35,IF(OptControl=4,0,1),0,1),0)</f>
        <v>#VALUE!</v>
      </c>
      <c r="CG35" s="163" t="e">
        <f ca="1">IF(BD35,_xll.xCrudeAPO(BU35,BV35,CA35,CB35,S36,S37,BI35,BL35,BP35,BQ35,0,Strike1,AO35,CE35,0,BL35,IF(OptControl=4,0,1),1,1)+_xll.xCrudeAPO(BU35,BV35,CA35,CB35,S36,S37,BI35,BL35,BP35,BQ35,0,Strike1,AO35,CE35,0,BL35,IF(OptControl=4,0,1),1,2)+IF(OR(VolSkewFlag=2,ABS(BS35)&lt;0.0001),0,IF(BS35&gt;0,-1,1)*CH35*Strike1/BR35^2*BY35/10%),0)</f>
        <v>#VALUE!</v>
      </c>
      <c r="CH35" s="163" t="e">
        <f ca="1">IF(BD35,(_xll.xCrudeAPO(BU35,BV35,CA35,CB35,S36,S37,BI35,BL35,BP35,BQ35,0,Strike1,AO35,CE35,0,BL35,IF(OptControl=4,0,1),3,1)+_xll.xCrudeAPO(BU35,BV35,CA35,CB35,S36,S37,BI35,BL35,BP35,BQ35,0,Strike1,AO35,CE35,0,BL35,IF(OptControl=4,0,1),3,2))/100,0)</f>
        <v>#VALUE!</v>
      </c>
      <c r="CI35" s="163" t="e">
        <f ca="1">IF(BD35,_xll.xCrudeAPO(BU35,BV35,CA35,CB35,S36,S37,BI35-DaysForThetaCalculation/365.25,BL35-DaysForThetaCalculation/365.25,BP35,BQ35,0,Strike1,AO35,CE35,0,BL35,IF(OptControl=4,0,1),0,1)-_xll.xCrudeAPO(BU35,BV35,CA35,CB35,S36,S37,BI35,BL35,BP35,BQ35,0,Strike1,AO35,CE35,0,BL35,IF(OptControl=4,0,1),0,1),0)</f>
        <v>#VALUE!</v>
      </c>
      <c r="CJ35" s="311" t="e">
        <f ca="1">IF(BD35,_xll.xCrudeAPO(BU35,BV35,CC35,CD35,S36,S37,BI35,BL35,BP35,BQ35,0,Strike2,AO35,CE35,0,BL35,IF(OptControl=3,1,0),0,1),0)</f>
        <v>#VALUE!</v>
      </c>
      <c r="CK35" s="163" t="e">
        <f ca="1">IF(BD35,_xll.xCrudeAPO(BU35,BV35,CC35,CD35,S36,S37,BI35,BL35,BP35,BQ35,0,Strike2,AO35,CE35,0,BL35,IF(OptControl=3,1,0),1,1)+_xll.xCrudeAPO(BU35,BV35,CC35,CD35,S36,S37,BI35,BL35,BP35,BQ35,0,Strike2,AO35,CE35,0,BL35,IF(OptControl=3,1,0),1,2)+IF(OR(VolSkewFlag=2,ABS(BT35)&lt;0.0001),0,IF(BT35&gt;0,-1,1)*CL35*Strike2/BR35^2*BZ35/10%),0)</f>
        <v>#VALUE!</v>
      </c>
      <c r="CL35" s="163" t="e">
        <f ca="1">IF(BD35,(_xll.xCrudeAPO(BU35,BV35,CC35,CD35,S36,S37,BI35,BL35,BP35,BQ35,0,Strike2,AO35,CE35,0,BL35,IF(OptControl=3,1,0),3,1)+_xll.xCrudeAPO(BU35,BV35,CC35,CD35,S36,S37,BI35,BL35,BP35,BQ35,0,Strike2,AO35,CE35,0,BL35,IF(OptControl=3,1,0),3,2))/100,0)</f>
        <v>#VALUE!</v>
      </c>
      <c r="CM35" s="164" t="e">
        <f ca="1">IF(BD35,_xll.xCrudeAPO(BU35,BV35,CC35,CD35,S36,S37,BI35-DaysForThetaCalculation/365.25,BL35-DaysForThetaCalculation/365.25,BP35,BQ35,0,Strike2,AO35,CE35,0,BL35,IF(OptControl=3,1,0),0,1)-_xll.xCrudeAPO(BU35,BV35,CC35,CD35,S36,S37,BI35,BL35,BP35,BQ35,0,Strike2,AO35,CE35,0,BL35,IF(OptControl=3,1,0),0,1),0)</f>
        <v>#VALUE!</v>
      </c>
      <c r="CN35" s="55"/>
      <c r="CO35" s="796">
        <f t="shared" ca="1" si="53"/>
        <v>464</v>
      </c>
      <c r="CP35" s="800">
        <f t="shared" ca="1" si="54"/>
        <v>0</v>
      </c>
      <c r="CQ35" s="797" t="e">
        <f t="shared" ca="1" si="55"/>
        <v>#DIV/0!</v>
      </c>
      <c r="CR35" s="797" t="e">
        <f t="shared" ca="1" si="56"/>
        <v>#DIV/0!</v>
      </c>
      <c r="CS35" s="797" t="e">
        <f t="shared" ca="1" si="57"/>
        <v>#DIV/0!</v>
      </c>
      <c r="CT35" s="797" t="e">
        <f t="shared" ca="1" si="58"/>
        <v>#DIV/0!</v>
      </c>
      <c r="CU35" s="798">
        <f t="shared" ca="1" si="59"/>
        <v>0</v>
      </c>
      <c r="CV35" s="799" t="e">
        <f t="shared" ca="1" si="60"/>
        <v>#DIV/0!</v>
      </c>
      <c r="CW35" s="799" t="e">
        <f t="shared" ca="1" si="61"/>
        <v>#DIV/0!</v>
      </c>
      <c r="CX35" s="163" t="e">
        <f ca="1">IF(BD35,_xll.EURO(CP35,Strike1,AO35,AO35,CV35,CO35,IF(OptControl=4,0,1),0),0)</f>
        <v>#DIV/0!</v>
      </c>
      <c r="CY35" s="163" t="e">
        <f ca="1">IF(BD35,_xll.EURO(CP35,Strike1,AO35,AO35,CV35,CO35,IF(OptControl=4,0,1),1)+IF(OR(VolSkewFlag=2,ABS(CQ35)&lt;0.0001),0,IF(CQ35&gt;0,-1,1)*CZ35*100*Strike1/CP35^2*CS35/10%),0)</f>
        <v>#DIV/0!</v>
      </c>
      <c r="CZ35" s="163" t="e">
        <f ca="1">IF(BD35,_xll.EURO(CP35,Strike1,AO35,AO35,CV35,CO35,IF(OptControl=4,0,1),3)/100,0)</f>
        <v>#DIV/0!</v>
      </c>
      <c r="DA35" s="163" t="e">
        <f ca="1">IF(BD35,_xll.EURO(CP35,Strike1,AO35,AO35,CV35,CO35,IF(OptControl=4,0,1),0)-_xll.EURO(CP35,Strike1,AO35,AO35,CV35,CO35-1,IF(OptControl=4,0,1),0),0)</f>
        <v>#DIV/0!</v>
      </c>
      <c r="DB35" s="163" t="e">
        <f ca="1">IF(BD35,_xll.EURO(CP35,Strike2,AO35,AO35,CW35,CO35,IF(OptControl=3,1,0),0),0)</f>
        <v>#DIV/0!</v>
      </c>
      <c r="DC35" s="163" t="e">
        <f ca="1">IF(BD35,_xll.EURO(CP35,Strike2,AO35,AO35,CW35,CO35,IF(OptControl=3,1,0),1)+IF(OR(VolSkewFlag=2,ABS(CR35)&lt;0.0001),0,IF(CR35&gt;0,-1,1)*DD35*100*Strike2/CP35^2*CT35/10%),0)</f>
        <v>#DIV/0!</v>
      </c>
      <c r="DD35" s="163" t="e">
        <f ca="1">IF(BD35,_xll.EURO(CP35,Strike2,AO35,AO35,CW35,CO35,IF(OptControl=3,1,0),3)/100,0)</f>
        <v>#DIV/0!</v>
      </c>
      <c r="DE35" s="164" t="e">
        <f ca="1">IF(BD35,_xll.EURO(CP35,Strike2,AO35,AO35,CW35,CO35,IF(OptControl=3,1,0),0)-_xll.EURO(CP35,Strike2,AO35,AO35,CW35,CO35-1,IF(OptControl=3,1,0),0),0)</f>
        <v>#DIV/0!</v>
      </c>
      <c r="DF35" s="55"/>
      <c r="DG35" s="667">
        <f t="shared" ca="1" si="62"/>
        <v>37012</v>
      </c>
      <c r="DH35" s="475">
        <v>22.06</v>
      </c>
      <c r="DI35" s="665">
        <v>21.664782608695653</v>
      </c>
      <c r="DJ35" s="666">
        <f t="shared" ca="1" si="26"/>
        <v>37012</v>
      </c>
      <c r="DK35" s="475">
        <v>20.763333333333332</v>
      </c>
      <c r="DL35" s="665">
        <v>20.25</v>
      </c>
      <c r="DM35" s="667">
        <f t="shared" ca="1" si="27"/>
        <v>37012</v>
      </c>
      <c r="DN35" s="668">
        <f t="shared" si="28"/>
        <v>20.813333333333333</v>
      </c>
      <c r="DO35" s="667">
        <f t="shared" ca="1" si="63"/>
        <v>37012</v>
      </c>
      <c r="DP35" s="579">
        <f t="shared" si="64"/>
        <v>20.399999999999999</v>
      </c>
      <c r="DQ35" s="821">
        <v>0.15</v>
      </c>
      <c r="DR35" s="666">
        <f t="shared" ca="1" si="29"/>
        <v>37012</v>
      </c>
      <c r="DS35" s="669">
        <v>0.24821285015807001</v>
      </c>
      <c r="DT35" s="606">
        <v>0.24498437519148605</v>
      </c>
      <c r="DU35" s="666">
        <f t="shared" ca="1" si="30"/>
        <v>37012</v>
      </c>
      <c r="DV35" s="669">
        <v>0.24821285015807001</v>
      </c>
      <c r="DW35" s="606">
        <v>0.24498437519148605</v>
      </c>
      <c r="DX35" s="667">
        <f t="shared" ca="1" si="31"/>
        <v>37012</v>
      </c>
      <c r="DY35" s="606">
        <v>0.35000488281249997</v>
      </c>
      <c r="DZ35" s="667">
        <f t="shared" ca="1" si="65"/>
        <v>37012</v>
      </c>
      <c r="EA35" s="606">
        <f t="shared" si="66"/>
        <v>0.24498437519148605</v>
      </c>
      <c r="EB35" s="1"/>
      <c r="EC35" s="118">
        <f t="shared" ca="1" si="32"/>
        <v>0</v>
      </c>
      <c r="ED35" s="119">
        <f t="shared" ca="1" si="33"/>
        <v>4.7835441456617903E-2</v>
      </c>
      <c r="EE35" s="112">
        <f t="shared" ca="1" si="34"/>
        <v>4.7835441456617903E-2</v>
      </c>
      <c r="EF35" s="120" t="e">
        <f ca="1">IF(BD35,_xll.xASN(BR35,Strike1,AO35,ED35,0,BO35,0,BI35,BL35,IF(OptControl=4,0,1),0),0)</f>
        <v>#VALUE!</v>
      </c>
      <c r="EG35" s="111" t="e">
        <f ca="1">IF(BD35,_xll.xASN(BR35,Strike2,AO35,EE35,0,BO35,0,BI35,BL35,IF(OptControl=3,1,0),0),0)</f>
        <v>#VALUE!</v>
      </c>
      <c r="EH35" s="55"/>
      <c r="EI35" s="483" t="str">
        <f ca="1">[1]!'CLc16 MTH'</f>
        <v>DEC1</v>
      </c>
      <c r="EJ35" s="484">
        <f t="shared" ca="1" si="158"/>
        <v>37226</v>
      </c>
      <c r="EK35" s="485">
        <f>[1]!'CLc16 NET.CHNG'</f>
        <v>0</v>
      </c>
      <c r="EL35" s="486">
        <f t="shared" si="159"/>
        <v>0</v>
      </c>
      <c r="EM35" s="1"/>
      <c r="EN35" s="697">
        <v>37615</v>
      </c>
      <c r="EO35" s="698">
        <v>39441</v>
      </c>
      <c r="EP35" s="1"/>
      <c r="EQ35" s="683" t="s">
        <v>139</v>
      </c>
      <c r="ER35" s="55"/>
      <c r="ES35" s="498">
        <v>16</v>
      </c>
      <c r="ET35" s="476">
        <f t="shared" ca="1" si="165"/>
        <v>1.270362765229295</v>
      </c>
      <c r="EU35" s="842">
        <f t="shared" ca="1" si="67"/>
        <v>0</v>
      </c>
      <c r="EV35" s="815">
        <f t="shared" ca="1" si="160"/>
        <v>0.23327074548373333</v>
      </c>
      <c r="EW35" s="478">
        <f t="shared" ca="1" si="161"/>
        <v>0.89525691699604737</v>
      </c>
      <c r="EX35" s="477">
        <f t="shared" ca="1" si="162"/>
        <v>0.18113204216811019</v>
      </c>
      <c r="EY35" s="250">
        <v>0</v>
      </c>
      <c r="EZ35" s="605">
        <f ca="1">IF(OR(EW35="",EW36=""),"",SQRT(SUM(INDEX(FK35:ID35,SwaptionFirstMonthPosition+1):INDEX(FK35:ID35,FJ35))/SUM(INDEX($FK$15:$ID$15,SwaptionFirstMonthPosition+1):INDEX($FK$15:$ID$15,FJ35))))</f>
        <v>0.25087727723130404</v>
      </c>
      <c r="FA35" s="581">
        <f ca="1">IF(OR(EW35="",EW34=""),"",SQRT(SUM(INDEX(FK35:ID35,SwaptionFirstMonthPosition+1):INDEX(FK35:ID35,FJ35-1))/SUM(INDEX($FK$15:$ID$15,SwaptionFirstMonthPosition+1):INDEX($FK$15:$ID$15,FJ35-1))))</f>
        <v>0.23835428658134872</v>
      </c>
      <c r="FB35" s="578">
        <f t="shared" ca="1" si="68"/>
        <v>0.24013002294749658</v>
      </c>
      <c r="FC35" s="609">
        <f t="shared" ca="1" si="69"/>
        <v>495</v>
      </c>
      <c r="FD35" s="579">
        <f t="shared" ca="1" si="70"/>
        <v>-0.05</v>
      </c>
      <c r="FE35" s="579">
        <f t="shared" ca="1" si="71"/>
        <v>-1</v>
      </c>
      <c r="FF35" s="579">
        <f t="shared" ca="1" si="72"/>
        <v>-1</v>
      </c>
      <c r="FG35" s="580">
        <f t="shared" ca="1" si="73"/>
        <v>4.7835441456617903E-2</v>
      </c>
      <c r="FH35" s="606">
        <f t="shared" ca="1" si="74"/>
        <v>4.7835441456617903E-2</v>
      </c>
      <c r="FI35" s="250"/>
      <c r="FJ35" s="673">
        <v>16</v>
      </c>
      <c r="FK35" s="460">
        <f t="shared" ca="1" si="75"/>
        <v>0</v>
      </c>
      <c r="FL35" s="460">
        <f t="shared" ca="1" si="76"/>
        <v>2.6076937124374683E-3</v>
      </c>
      <c r="FM35" s="460">
        <f t="shared" ca="1" si="77"/>
        <v>3.1224239243866502E-3</v>
      </c>
      <c r="FN35" s="460">
        <f t="shared" ca="1" si="78"/>
        <v>2.7213527331058072E-3</v>
      </c>
      <c r="FO35" s="460">
        <f t="shared" ca="1" si="79"/>
        <v>2.9488579715855091E-3</v>
      </c>
      <c r="FP35" s="460">
        <f t="shared" ca="1" si="80"/>
        <v>3.4284315480357752E-3</v>
      </c>
      <c r="FQ35" s="460">
        <f t="shared" ca="1" si="81"/>
        <v>2.9367679387141531E-3</v>
      </c>
      <c r="FR35" s="460">
        <f t="shared" ca="1" si="82"/>
        <v>3.2085608736491123E-3</v>
      </c>
      <c r="FS35" s="460">
        <f t="shared" ca="1" si="83"/>
        <v>3.9091388740999621E-3</v>
      </c>
      <c r="FT35" s="460">
        <f t="shared" ca="1" si="84"/>
        <v>3.8672442280294735E-3</v>
      </c>
      <c r="FU35" s="460">
        <f t="shared" ca="1" si="85"/>
        <v>4.1430771066022871E-3</v>
      </c>
      <c r="FV35" s="460">
        <f t="shared" ca="1" si="86"/>
        <v>5.1739376972385898E-3</v>
      </c>
      <c r="FW35" s="460">
        <f t="shared" ca="1" si="87"/>
        <v>5.6253906010423288E-3</v>
      </c>
      <c r="FX35" s="460">
        <f t="shared" ca="1" si="88"/>
        <v>7.1627399023735895E-3</v>
      </c>
      <c r="FY35" s="460">
        <f t="shared" ca="1" si="89"/>
        <v>8.2969881392716462E-3</v>
      </c>
      <c r="FZ35" s="460">
        <f t="shared" ca="1" si="90"/>
        <v>9.9744903938384089E-3</v>
      </c>
      <c r="GA35" s="460" t="str">
        <f t="shared" si="91"/>
        <v/>
      </c>
      <c r="GB35" s="460" t="str">
        <f t="shared" si="92"/>
        <v/>
      </c>
      <c r="GC35" s="460" t="str">
        <f t="shared" si="93"/>
        <v/>
      </c>
      <c r="GD35" s="460" t="str">
        <f t="shared" si="94"/>
        <v/>
      </c>
      <c r="GE35" s="460" t="str">
        <f t="shared" si="95"/>
        <v/>
      </c>
      <c r="GF35" s="460" t="str">
        <f t="shared" si="96"/>
        <v/>
      </c>
      <c r="GG35" s="460" t="str">
        <f t="shared" si="97"/>
        <v/>
      </c>
      <c r="GH35" s="460" t="str">
        <f t="shared" si="98"/>
        <v/>
      </c>
      <c r="GI35" s="460" t="str">
        <f t="shared" si="99"/>
        <v/>
      </c>
      <c r="GJ35" s="460" t="str">
        <f t="shared" si="100"/>
        <v/>
      </c>
      <c r="GK35" s="460" t="str">
        <f t="shared" si="101"/>
        <v/>
      </c>
      <c r="GL35" s="460" t="str">
        <f t="shared" si="102"/>
        <v/>
      </c>
      <c r="GM35" s="460" t="str">
        <f t="shared" si="103"/>
        <v/>
      </c>
      <c r="GN35" s="460" t="str">
        <f t="shared" si="104"/>
        <v/>
      </c>
      <c r="GO35" s="460" t="str">
        <f t="shared" si="105"/>
        <v/>
      </c>
      <c r="GP35" s="460" t="str">
        <f t="shared" si="106"/>
        <v/>
      </c>
      <c r="GQ35" s="460" t="str">
        <f t="shared" si="107"/>
        <v/>
      </c>
      <c r="GR35" s="460" t="str">
        <f t="shared" si="108"/>
        <v/>
      </c>
      <c r="GS35" s="460" t="str">
        <f t="shared" si="109"/>
        <v/>
      </c>
      <c r="GT35" s="460" t="str">
        <f t="shared" si="110"/>
        <v/>
      </c>
      <c r="GU35" s="460" t="str">
        <f t="shared" si="111"/>
        <v/>
      </c>
      <c r="GV35" s="460" t="str">
        <f t="shared" si="112"/>
        <v/>
      </c>
      <c r="GW35" s="460" t="str">
        <f t="shared" si="113"/>
        <v/>
      </c>
      <c r="GX35" s="460" t="str">
        <f t="shared" si="114"/>
        <v/>
      </c>
      <c r="GY35" s="460" t="str">
        <f t="shared" si="115"/>
        <v/>
      </c>
      <c r="GZ35" s="460" t="str">
        <f t="shared" si="116"/>
        <v/>
      </c>
      <c r="HA35" s="460" t="str">
        <f t="shared" si="117"/>
        <v/>
      </c>
      <c r="HB35" s="460" t="str">
        <f t="shared" si="118"/>
        <v/>
      </c>
      <c r="HC35" s="460" t="str">
        <f t="shared" si="119"/>
        <v/>
      </c>
      <c r="HD35" s="460" t="str">
        <f t="shared" si="120"/>
        <v/>
      </c>
      <c r="HE35" s="460" t="str">
        <f t="shared" si="121"/>
        <v/>
      </c>
      <c r="HF35" s="460" t="str">
        <f t="shared" si="122"/>
        <v/>
      </c>
      <c r="HG35" s="460" t="str">
        <f t="shared" si="123"/>
        <v/>
      </c>
      <c r="HH35" s="460" t="str">
        <f t="shared" si="124"/>
        <v/>
      </c>
      <c r="HI35" s="460" t="str">
        <f t="shared" si="125"/>
        <v/>
      </c>
      <c r="HJ35" s="460" t="str">
        <f t="shared" si="126"/>
        <v/>
      </c>
      <c r="HK35" s="460" t="str">
        <f t="shared" si="127"/>
        <v/>
      </c>
      <c r="HL35" s="460" t="str">
        <f t="shared" si="128"/>
        <v/>
      </c>
      <c r="HM35" s="460" t="str">
        <f t="shared" si="129"/>
        <v/>
      </c>
      <c r="HN35" s="460" t="str">
        <f t="shared" si="130"/>
        <v/>
      </c>
      <c r="HO35" s="460" t="str">
        <f t="shared" si="131"/>
        <v/>
      </c>
      <c r="HP35" s="460" t="str">
        <f t="shared" si="132"/>
        <v/>
      </c>
      <c r="HQ35" s="460" t="str">
        <f t="shared" si="133"/>
        <v/>
      </c>
      <c r="HR35" s="460" t="str">
        <f t="shared" si="134"/>
        <v/>
      </c>
      <c r="HS35" s="460" t="str">
        <f t="shared" si="135"/>
        <v/>
      </c>
      <c r="HT35" s="460" t="str">
        <f t="shared" si="136"/>
        <v/>
      </c>
      <c r="HU35" s="460" t="str">
        <f t="shared" si="137"/>
        <v/>
      </c>
      <c r="HV35" s="460" t="str">
        <f t="shared" si="138"/>
        <v/>
      </c>
      <c r="HW35" s="460" t="str">
        <f t="shared" si="139"/>
        <v/>
      </c>
      <c r="HX35" s="460" t="str">
        <f t="shared" si="140"/>
        <v/>
      </c>
      <c r="HY35" s="460" t="str">
        <f t="shared" si="141"/>
        <v/>
      </c>
      <c r="HZ35" s="460" t="str">
        <f t="shared" si="142"/>
        <v/>
      </c>
      <c r="IA35" s="460" t="str">
        <f t="shared" si="143"/>
        <v/>
      </c>
      <c r="IB35" s="460" t="str">
        <f t="shared" si="144"/>
        <v/>
      </c>
      <c r="IC35" s="460" t="str">
        <f t="shared" si="145"/>
        <v/>
      </c>
      <c r="ID35" s="674" t="str">
        <f t="shared" si="146"/>
        <v/>
      </c>
      <c r="IE35" s="250"/>
    </row>
    <row r="36" spans="1:239" s="53" customFormat="1" ht="15.75" customHeight="1" thickBot="1">
      <c r="A36" s="51"/>
      <c r="B36" s="56" t="s">
        <v>475</v>
      </c>
      <c r="C36" s="57"/>
      <c r="D36" s="57"/>
      <c r="E36" s="57"/>
      <c r="F36" s="57"/>
      <c r="G36" s="57"/>
      <c r="H36" s="51">
        <f t="shared" ca="1" si="35"/>
        <v>0</v>
      </c>
      <c r="I36" s="379">
        <f t="shared" si="36"/>
        <v>37257</v>
      </c>
      <c r="J36" s="377"/>
      <c r="K36" s="104">
        <v>0</v>
      </c>
      <c r="L36" s="392">
        <f t="shared" si="37"/>
        <v>0</v>
      </c>
      <c r="M36" s="171"/>
      <c r="N36" s="382">
        <v>0</v>
      </c>
      <c r="O36" s="171">
        <f t="shared" si="38"/>
        <v>0</v>
      </c>
      <c r="P36" s="377"/>
      <c r="Q36" s="104">
        <v>0</v>
      </c>
      <c r="R36" s="377">
        <f t="shared" ca="1" si="148"/>
        <v>0</v>
      </c>
      <c r="S36" s="832">
        <f t="shared" si="164"/>
        <v>0.36053453844040634</v>
      </c>
      <c r="T36" s="831">
        <f t="shared" si="149"/>
        <v>0.9907221212528049</v>
      </c>
      <c r="U36" s="545">
        <f t="shared" si="150"/>
        <v>0.99984966106363571</v>
      </c>
      <c r="V36" s="389">
        <v>0</v>
      </c>
      <c r="W36" s="434">
        <f t="shared" si="39"/>
        <v>0</v>
      </c>
      <c r="X36" s="415">
        <f t="shared" si="40"/>
        <v>0</v>
      </c>
      <c r="Y36" s="322">
        <f t="shared" si="41"/>
        <v>0</v>
      </c>
      <c r="Z36" s="322">
        <f t="shared" ca="1" si="42"/>
        <v>0</v>
      </c>
      <c r="AA36" s="429">
        <f t="shared" si="1"/>
        <v>0</v>
      </c>
      <c r="AB36" s="433">
        <f t="shared" ca="1" si="2"/>
        <v>0</v>
      </c>
      <c r="AC36" s="226">
        <v>37244</v>
      </c>
      <c r="AD36" s="227">
        <v>37239</v>
      </c>
      <c r="AE36" s="227">
        <v>37238</v>
      </c>
      <c r="AF36" s="228">
        <v>37238</v>
      </c>
      <c r="AG36" s="249" t="s">
        <v>498</v>
      </c>
      <c r="AH36" s="247" t="s">
        <v>90</v>
      </c>
      <c r="AI36" s="146">
        <v>22</v>
      </c>
      <c r="AJ36" s="41">
        <v>15</v>
      </c>
      <c r="AK36" s="41">
        <v>7</v>
      </c>
      <c r="AL36" s="293">
        <v>22</v>
      </c>
      <c r="AM36" s="41">
        <v>10</v>
      </c>
      <c r="AN36" s="147">
        <v>12</v>
      </c>
      <c r="AO36" s="374"/>
      <c r="AP36" s="153">
        <f t="shared" ca="1" si="43"/>
        <v>1</v>
      </c>
      <c r="AQ36" s="374"/>
      <c r="AR36" s="153">
        <f t="shared" ca="1" si="151"/>
        <v>1</v>
      </c>
      <c r="AS36" s="272">
        <f t="shared" si="3"/>
        <v>0</v>
      </c>
      <c r="AT36" s="157">
        <f t="shared" si="44"/>
        <v>0</v>
      </c>
      <c r="AU36" s="157">
        <f t="shared" si="4"/>
        <v>0</v>
      </c>
      <c r="AV36" s="271">
        <f t="shared" ca="1" si="163"/>
        <v>9.9999999999999995E-7</v>
      </c>
      <c r="AW36" s="158">
        <f t="shared" ca="1" si="5"/>
        <v>3</v>
      </c>
      <c r="AX36" s="157">
        <f t="shared" ca="1" si="152"/>
        <v>1.4930517778818042E-2</v>
      </c>
      <c r="AY36" s="157">
        <f t="shared" ca="1" si="153"/>
        <v>1.039241599702052E-2</v>
      </c>
      <c r="AZ36" s="157">
        <f t="shared" ca="1" si="154"/>
        <v>5.8114126072427016E-3</v>
      </c>
      <c r="BA36" s="157">
        <f t="shared" ca="1" si="155"/>
        <v>7.264265759053377E-4</v>
      </c>
      <c r="BB36" s="157">
        <f t="shared" ca="1" si="156"/>
        <v>9.0382707554671293E-4</v>
      </c>
      <c r="BC36" s="157">
        <f t="shared" ca="1" si="157"/>
        <v>1.0553911403631063E-3</v>
      </c>
      <c r="BD36" s="151">
        <f t="shared" ca="1" si="45"/>
        <v>0</v>
      </c>
      <c r="BE36" s="152">
        <f t="shared" ca="1" si="46"/>
        <v>0</v>
      </c>
      <c r="BF36" s="40">
        <f t="shared" si="7"/>
        <v>2002</v>
      </c>
      <c r="BG36" s="144">
        <f t="shared" si="8"/>
        <v>1</v>
      </c>
      <c r="BH36" s="145">
        <f t="shared" ca="1" si="47"/>
        <v>494</v>
      </c>
      <c r="BI36" s="313">
        <f t="shared" ca="1" si="9"/>
        <v>1.4017796030116358</v>
      </c>
      <c r="BJ36" s="42">
        <f t="shared" ca="1" si="10"/>
        <v>1.4577810963847926</v>
      </c>
      <c r="BK36" s="42">
        <f t="shared" ca="1" si="11"/>
        <v>1.4605189471719247</v>
      </c>
      <c r="BL36" s="42">
        <f t="shared" ca="1" si="12"/>
        <v>1.483915126625599</v>
      </c>
      <c r="BM36" s="150" t="e">
        <f t="shared" ca="1" si="13"/>
        <v>#DIV/0!</v>
      </c>
      <c r="BN36" s="42" t="e">
        <f t="shared" ca="1" si="14"/>
        <v>#DIV/0!</v>
      </c>
      <c r="BO36" s="293">
        <f t="shared" si="48"/>
        <v>22</v>
      </c>
      <c r="BP36" s="41">
        <f t="shared" si="49"/>
        <v>15</v>
      </c>
      <c r="BQ36" s="41">
        <f t="shared" si="50"/>
        <v>7</v>
      </c>
      <c r="BR36" s="305" t="str">
        <f t="shared" ca="1" si="15"/>
        <v/>
      </c>
      <c r="BS36" s="305" t="str">
        <f t="shared" ca="1" si="16"/>
        <v/>
      </c>
      <c r="BT36" s="307" t="str">
        <f t="shared" ca="1" si="17"/>
        <v/>
      </c>
      <c r="BU36" s="161" t="str">
        <f t="shared" ca="1" si="18"/>
        <v/>
      </c>
      <c r="BV36" s="161" t="str">
        <f t="shared" ca="1" si="19"/>
        <v/>
      </c>
      <c r="BW36" s="308" t="str">
        <f t="shared" ca="1" si="20"/>
        <v/>
      </c>
      <c r="BX36" s="309" t="str">
        <f t="shared" ca="1" si="21"/>
        <v/>
      </c>
      <c r="BY36" s="308" t="str">
        <f t="shared" ca="1" si="51"/>
        <v/>
      </c>
      <c r="BZ36" s="309" t="str">
        <f t="shared" ca="1" si="52"/>
        <v/>
      </c>
      <c r="CA36" s="154" t="str">
        <f t="shared" ca="1" si="22"/>
        <v/>
      </c>
      <c r="CB36" s="154" t="str">
        <f t="shared" ca="1" si="23"/>
        <v/>
      </c>
      <c r="CC36" s="154" t="str">
        <f t="shared" ca="1" si="24"/>
        <v/>
      </c>
      <c r="CD36" s="154" t="str">
        <f t="shared" ca="1" si="25"/>
        <v/>
      </c>
      <c r="CE36" s="310">
        <v>1</v>
      </c>
      <c r="CF36" s="162">
        <f ca="1">IF(BD36,_xll.xCrudeAPO(BU36,BV36,CA36,CB36,S37,S38,BI36,BL36,BP36,BQ36,0,Strike1,AO36,CE36,0,BL36,IF(OptControl=4,0,1),0,1),0)</f>
        <v>0</v>
      </c>
      <c r="CG36" s="163">
        <f ca="1">IF(BD36,_xll.xCrudeAPO(BU36,BV36,CA36,CB36,S37,S38,BI36,BL36,BP36,BQ36,0,Strike1,AO36,CE36,0,BL36,IF(OptControl=4,0,1),1,1)+_xll.xCrudeAPO(BU36,BV36,CA36,CB36,S37,S38,BI36,BL36,BP36,BQ36,0,Strike1,AO36,CE36,0,BL36,IF(OptControl=4,0,1),1,2)+IF(OR(VolSkewFlag=2,ABS(BS36)&lt;0.0001),0,IF(BS36&gt;0,-1,1)*CH36*Strike1/BR36^2*BY36/10%),0)</f>
        <v>0</v>
      </c>
      <c r="CH36" s="163">
        <f ca="1">IF(BD36,(_xll.xCrudeAPO(BU36,BV36,CA36,CB36,S37,S38,BI36,BL36,BP36,BQ36,0,Strike1,AO36,CE36,0,BL36,IF(OptControl=4,0,1),3,1)+_xll.xCrudeAPO(BU36,BV36,CA36,CB36,S37,S38,BI36,BL36,BP36,BQ36,0,Strike1,AO36,CE36,0,BL36,IF(OptControl=4,0,1),3,2))/100,0)</f>
        <v>0</v>
      </c>
      <c r="CI36" s="163">
        <f ca="1">IF(BD36,_xll.xCrudeAPO(BU36,BV36,CA36,CB36,S37,S38,BI36-DaysForThetaCalculation/365.25,BL36-DaysForThetaCalculation/365.25,BP36,BQ36,0,Strike1,AO36,CE36,0,BL36,IF(OptControl=4,0,1),0,1)-_xll.xCrudeAPO(BU36,BV36,CA36,CB36,S37,S38,BI36,BL36,BP36,BQ36,0,Strike1,AO36,CE36,0,BL36,IF(OptControl=4,0,1),0,1),0)</f>
        <v>0</v>
      </c>
      <c r="CJ36" s="311">
        <f ca="1">IF(BD36,_xll.xCrudeAPO(BU36,BV36,CC36,CD36,S37,S38,BI36,BL36,BP36,BQ36,0,Strike2,AO36,CE36,0,BL36,IF(OptControl=3,1,0),0,1),0)</f>
        <v>0</v>
      </c>
      <c r="CK36" s="163">
        <f ca="1">IF(BD36,_xll.xCrudeAPO(BU36,BV36,CC36,CD36,S37,S38,BI36,BL36,BP36,BQ36,0,Strike2,AO36,CE36,0,BL36,IF(OptControl=3,1,0),1,1)+_xll.xCrudeAPO(BU36,BV36,CC36,CD36,S37,S38,BI36,BL36,BP36,BQ36,0,Strike2,AO36,CE36,0,BL36,IF(OptControl=3,1,0),1,2)+IF(OR(VolSkewFlag=2,ABS(BT36)&lt;0.0001),0,IF(BT36&gt;0,-1,1)*CL36*Strike2/BR36^2*BZ36/10%),0)</f>
        <v>0</v>
      </c>
      <c r="CL36" s="163">
        <f ca="1">IF(BD36,(_xll.xCrudeAPO(BU36,BV36,CC36,CD36,S37,S38,BI36,BL36,BP36,BQ36,0,Strike2,AO36,CE36,0,BL36,IF(OptControl=3,1,0),3,1)+_xll.xCrudeAPO(BU36,BV36,CC36,CD36,S37,S38,BI36,BL36,BP36,BQ36,0,Strike2,AO36,CE36,0,BL36,IF(OptControl=3,1,0),3,2))/100,0)</f>
        <v>0</v>
      </c>
      <c r="CM36" s="164">
        <f ca="1">IF(BD36,_xll.xCrudeAPO(BU36,BV36,CC36,CD36,S37,S38,BI36-DaysForThetaCalculation/365.25,BL36-DaysForThetaCalculation/365.25,BP36,BQ36,0,Strike2,AO36,CE36,0,BL36,IF(OptControl=3,1,0),0,1)-_xll.xCrudeAPO(BU36,BV36,CC36,CD36,S37,S38,BI36,BL36,BP36,BQ36,0,Strike2,AO36,CE36,0,BL36,IF(OptControl=3,1,0),0,1),0)</f>
        <v>0</v>
      </c>
      <c r="CN36" s="55"/>
      <c r="CO36" s="796" t="str">
        <f t="shared" ca="1" si="53"/>
        <v/>
      </c>
      <c r="CP36" s="800" t="str">
        <f t="shared" ca="1" si="54"/>
        <v/>
      </c>
      <c r="CQ36" s="797" t="str">
        <f t="shared" ca="1" si="55"/>
        <v/>
      </c>
      <c r="CR36" s="797" t="str">
        <f t="shared" ca="1" si="56"/>
        <v/>
      </c>
      <c r="CS36" s="797" t="str">
        <f t="shared" ca="1" si="57"/>
        <v/>
      </c>
      <c r="CT36" s="797" t="str">
        <f t="shared" ca="1" si="58"/>
        <v/>
      </c>
      <c r="CU36" s="798" t="str">
        <f t="shared" ca="1" si="59"/>
        <v/>
      </c>
      <c r="CV36" s="799" t="str">
        <f t="shared" ca="1" si="60"/>
        <v/>
      </c>
      <c r="CW36" s="799" t="str">
        <f t="shared" ca="1" si="61"/>
        <v/>
      </c>
      <c r="CX36" s="163">
        <f ca="1">IF(BD36,_xll.EURO(CP36,Strike1,AO36,AO36,CV36,CO36,IF(OptControl=4,0,1),0),0)</f>
        <v>0</v>
      </c>
      <c r="CY36" s="163">
        <f ca="1">IF(BD36,_xll.EURO(CP36,Strike1,AO36,AO36,CV36,CO36,IF(OptControl=4,0,1),1)+IF(OR(VolSkewFlag=2,ABS(CQ36)&lt;0.0001),0,IF(CQ36&gt;0,-1,1)*CZ36*100*Strike1/CP36^2*CS36/10%),0)</f>
        <v>0</v>
      </c>
      <c r="CZ36" s="163">
        <f ca="1">IF(BD36,_xll.EURO(CP36,Strike1,AO36,AO36,CV36,CO36,IF(OptControl=4,0,1),3)/100,0)</f>
        <v>0</v>
      </c>
      <c r="DA36" s="163">
        <f ca="1">IF(BD36,_xll.EURO(CP36,Strike1,AO36,AO36,CV36,CO36,IF(OptControl=4,0,1),0)-_xll.EURO(CP36,Strike1,AO36,AO36,CV36,CO36-1,IF(OptControl=4,0,1),0),0)</f>
        <v>0</v>
      </c>
      <c r="DB36" s="163">
        <f ca="1">IF(BD36,_xll.EURO(CP36,Strike2,AO36,AO36,CW36,CO36,IF(OptControl=3,1,0),0),0)</f>
        <v>0</v>
      </c>
      <c r="DC36" s="163">
        <f ca="1">IF(BD36,_xll.EURO(CP36,Strike2,AO36,AO36,CW36,CO36,IF(OptControl=3,1,0),1)+IF(OR(VolSkewFlag=2,ABS(CR36)&lt;0.0001),0,IF(CR36&gt;0,-1,1)*DD36*100*Strike2/CP36^2*CT36/10%),0)</f>
        <v>0</v>
      </c>
      <c r="DD36" s="163">
        <f ca="1">IF(BD36,_xll.EURO(CP36,Strike2,AO36,AO36,CW36,CO36,IF(OptControl=3,1,0),3)/100,0)</f>
        <v>0</v>
      </c>
      <c r="DE36" s="164">
        <f ca="1">IF(BD36,_xll.EURO(CP36,Strike2,AO36,AO36,CW36,CO36,IF(OptControl=3,1,0),0)-_xll.EURO(CP36,Strike2,AO36,AO36,CW36,CO36-1,IF(OptControl=3,1,0),0),0)</f>
        <v>0</v>
      </c>
      <c r="DF36" s="55"/>
      <c r="DG36" s="667">
        <f t="shared" ca="1" si="62"/>
        <v>37043</v>
      </c>
      <c r="DH36" s="475">
        <v>21.75</v>
      </c>
      <c r="DI36" s="665">
        <v>21.38</v>
      </c>
      <c r="DJ36" s="666">
        <f t="shared" ca="1" si="26"/>
        <v>37043</v>
      </c>
      <c r="DK36" s="475">
        <v>20.39</v>
      </c>
      <c r="DL36" s="665">
        <v>19.981111111111112</v>
      </c>
      <c r="DM36" s="667">
        <f t="shared" ca="1" si="27"/>
        <v>37043</v>
      </c>
      <c r="DN36" s="668">
        <f t="shared" si="28"/>
        <v>20.440000000000001</v>
      </c>
      <c r="DO36" s="667">
        <f t="shared" ca="1" si="63"/>
        <v>37043</v>
      </c>
      <c r="DP36" s="579">
        <f t="shared" si="64"/>
        <v>20.13111111111111</v>
      </c>
      <c r="DQ36" s="821">
        <v>0.15</v>
      </c>
      <c r="DR36" s="666">
        <f t="shared" ca="1" si="29"/>
        <v>37043</v>
      </c>
      <c r="DS36" s="669">
        <v>0.245426594227977</v>
      </c>
      <c r="DT36" s="606">
        <v>0.2429013508226277</v>
      </c>
      <c r="DU36" s="666">
        <f t="shared" ca="1" si="30"/>
        <v>37043</v>
      </c>
      <c r="DV36" s="669">
        <v>0.245426594227977</v>
      </c>
      <c r="DW36" s="606">
        <v>0.2429013508226277</v>
      </c>
      <c r="DX36" s="667">
        <f t="shared" ca="1" si="31"/>
        <v>37043</v>
      </c>
      <c r="DY36" s="606">
        <v>0.35000244140624998</v>
      </c>
      <c r="DZ36" s="667">
        <f t="shared" ca="1" si="65"/>
        <v>37043</v>
      </c>
      <c r="EA36" s="606">
        <f t="shared" si="66"/>
        <v>0.2429013508226277</v>
      </c>
      <c r="EB36" s="1"/>
      <c r="EC36" s="118" t="str">
        <f t="shared" ca="1" si="32"/>
        <v/>
      </c>
      <c r="ED36" s="119" t="str">
        <f t="shared" ca="1" si="33"/>
        <v/>
      </c>
      <c r="EE36" s="112" t="str">
        <f t="shared" ca="1" si="34"/>
        <v/>
      </c>
      <c r="EF36" s="120">
        <f ca="1">IF(BD36,_xll.xASN(BR36,Strike1,AO36,ED36,0,BO36,0,BI36,BL36,IF(OptControl=4,0,1),0),0)</f>
        <v>0</v>
      </c>
      <c r="EG36" s="111">
        <f ca="1">IF(BD36,_xll.xASN(BR36,Strike2,AO36,EE36,0,BO36,0,BI36,BL36,IF(OptControl=3,1,0),0),0)</f>
        <v>0</v>
      </c>
      <c r="EI36" s="483" t="str">
        <f>[1]!'CLc17 MTH'</f>
        <v>JAN2</v>
      </c>
      <c r="EJ36" s="484">
        <f t="shared" si="158"/>
        <v>37257</v>
      </c>
      <c r="EK36" s="485">
        <f>[1]!'CLc17 NET.CHNG'</f>
        <v>0</v>
      </c>
      <c r="EL36" s="486">
        <f t="shared" si="159"/>
        <v>0</v>
      </c>
      <c r="EM36" s="1"/>
      <c r="EN36" s="697">
        <v>37622</v>
      </c>
      <c r="EO36" s="698">
        <v>39448</v>
      </c>
      <c r="EP36" s="1"/>
      <c r="EQ36" s="683" t="s">
        <v>140</v>
      </c>
      <c r="ER36" s="55"/>
      <c r="ES36" s="498">
        <v>17</v>
      </c>
      <c r="ET36" s="476">
        <f t="shared" ca="1" si="165"/>
        <v>1.352498288843258</v>
      </c>
      <c r="EU36" s="842">
        <f t="shared" ca="1" si="67"/>
        <v>0</v>
      </c>
      <c r="EV36" s="815">
        <f t="shared" ca="1" si="160"/>
        <v>0.22980742855703473</v>
      </c>
      <c r="EW36" s="478">
        <f t="shared" ca="1" si="161"/>
        <v>1.0590909090909091</v>
      </c>
      <c r="EX36" s="477">
        <f t="shared" ca="1" si="162"/>
        <v>0.17800547804770506</v>
      </c>
      <c r="EY36" s="250">
        <v>0</v>
      </c>
      <c r="EZ36" s="605">
        <f ca="1">IF(OR(EW36="",EW37=""),"",SQRT(SUM(INDEX(FK36:ID36,SwaptionFirstMonthPosition+1):INDEX(FK36:ID36,FJ36))/SUM(INDEX($FK$15:$ID$15,SwaptionFirstMonthPosition+1):INDEX($FK$15:$ID$15,FJ36))))</f>
        <v>0.24583913710153033</v>
      </c>
      <c r="FA36" s="581">
        <f ca="1">IF(OR(EW36="",EW35=""),"",SQRT(SUM(INDEX(FK36:ID36,SwaptionFirstMonthPosition+1):INDEX(FK36:ID36,FJ36-1))/SUM(INDEX($FK$15:$ID$15,SwaptionFirstMonthPosition+1):INDEX($FK$15:$ID$15,FJ36-1))))</f>
        <v>0.23282757109326238</v>
      </c>
      <c r="FB36" s="578" t="str">
        <f t="shared" ca="1" si="68"/>
        <v/>
      </c>
      <c r="FC36" s="609" t="str">
        <f t="shared" ca="1" si="69"/>
        <v/>
      </c>
      <c r="FD36" s="579" t="str">
        <f t="shared" ca="1" si="70"/>
        <v/>
      </c>
      <c r="FE36" s="579" t="str">
        <f t="shared" ca="1" si="71"/>
        <v/>
      </c>
      <c r="FF36" s="579" t="str">
        <f t="shared" ca="1" si="72"/>
        <v/>
      </c>
      <c r="FG36" s="580" t="str">
        <f t="shared" ca="1" si="73"/>
        <v/>
      </c>
      <c r="FH36" s="606" t="str">
        <f t="shared" ca="1" si="74"/>
        <v/>
      </c>
      <c r="FI36" s="250"/>
      <c r="FJ36" s="673">
        <v>17</v>
      </c>
      <c r="FK36" s="460">
        <f t="shared" ca="1" si="75"/>
        <v>0</v>
      </c>
      <c r="FL36" s="460">
        <f t="shared" ca="1" si="76"/>
        <v>2.5423356064247552E-3</v>
      </c>
      <c r="FM36" s="460">
        <f t="shared" ca="1" si="77"/>
        <v>3.0308928353175208E-3</v>
      </c>
      <c r="FN36" s="460">
        <f t="shared" ca="1" si="78"/>
        <v>2.6280497592135604E-3</v>
      </c>
      <c r="FO36" s="460">
        <f t="shared" ca="1" si="79"/>
        <v>2.8306087228694939E-3</v>
      </c>
      <c r="FP36" s="460">
        <f t="shared" ca="1" si="80"/>
        <v>3.2676360435955195E-3</v>
      </c>
      <c r="FQ36" s="460">
        <f t="shared" ca="1" si="81"/>
        <v>2.7756729854399821E-3</v>
      </c>
      <c r="FR36" s="460">
        <f t="shared" ca="1" si="82"/>
        <v>3.0027082182812765E-3</v>
      </c>
      <c r="FS36" s="460">
        <f t="shared" ca="1" si="83"/>
        <v>3.6158057046834025E-3</v>
      </c>
      <c r="FT36" s="460">
        <f t="shared" ca="1" si="84"/>
        <v>3.5278413187103306E-3</v>
      </c>
      <c r="FU36" s="460">
        <f t="shared" ca="1" si="85"/>
        <v>3.7178011187416673E-3</v>
      </c>
      <c r="FV36" s="460">
        <f t="shared" ca="1" si="86"/>
        <v>4.5527784912812175E-3</v>
      </c>
      <c r="FW36" s="460">
        <f t="shared" ca="1" si="87"/>
        <v>4.8354975379655179E-3</v>
      </c>
      <c r="FX36" s="460">
        <f t="shared" ca="1" si="88"/>
        <v>5.9864112296858663E-3</v>
      </c>
      <c r="FY36" s="460">
        <f t="shared" ca="1" si="89"/>
        <v>6.7032981068363409E-3</v>
      </c>
      <c r="FZ36" s="460">
        <f t="shared" ca="1" si="90"/>
        <v>7.733665147579785E-3</v>
      </c>
      <c r="GA36" s="460">
        <f t="shared" ca="1" si="91"/>
        <v>1.0676398637243257E-2</v>
      </c>
      <c r="GB36" s="460" t="str">
        <f t="shared" si="92"/>
        <v/>
      </c>
      <c r="GC36" s="460" t="str">
        <f t="shared" si="93"/>
        <v/>
      </c>
      <c r="GD36" s="460" t="str">
        <f t="shared" si="94"/>
        <v/>
      </c>
      <c r="GE36" s="460" t="str">
        <f t="shared" si="95"/>
        <v/>
      </c>
      <c r="GF36" s="460" t="str">
        <f t="shared" si="96"/>
        <v/>
      </c>
      <c r="GG36" s="460" t="str">
        <f t="shared" si="97"/>
        <v/>
      </c>
      <c r="GH36" s="460" t="str">
        <f t="shared" si="98"/>
        <v/>
      </c>
      <c r="GI36" s="460" t="str">
        <f t="shared" si="99"/>
        <v/>
      </c>
      <c r="GJ36" s="460" t="str">
        <f t="shared" si="100"/>
        <v/>
      </c>
      <c r="GK36" s="460" t="str">
        <f t="shared" si="101"/>
        <v/>
      </c>
      <c r="GL36" s="460" t="str">
        <f t="shared" si="102"/>
        <v/>
      </c>
      <c r="GM36" s="460" t="str">
        <f t="shared" si="103"/>
        <v/>
      </c>
      <c r="GN36" s="460" t="str">
        <f t="shared" si="104"/>
        <v/>
      </c>
      <c r="GO36" s="460" t="str">
        <f t="shared" si="105"/>
        <v/>
      </c>
      <c r="GP36" s="460" t="str">
        <f t="shared" si="106"/>
        <v/>
      </c>
      <c r="GQ36" s="460" t="str">
        <f t="shared" si="107"/>
        <v/>
      </c>
      <c r="GR36" s="460" t="str">
        <f t="shared" si="108"/>
        <v/>
      </c>
      <c r="GS36" s="460" t="str">
        <f t="shared" si="109"/>
        <v/>
      </c>
      <c r="GT36" s="460" t="str">
        <f t="shared" si="110"/>
        <v/>
      </c>
      <c r="GU36" s="460" t="str">
        <f t="shared" si="111"/>
        <v/>
      </c>
      <c r="GV36" s="460" t="str">
        <f t="shared" si="112"/>
        <v/>
      </c>
      <c r="GW36" s="460" t="str">
        <f t="shared" si="113"/>
        <v/>
      </c>
      <c r="GX36" s="460" t="str">
        <f t="shared" si="114"/>
        <v/>
      </c>
      <c r="GY36" s="460" t="str">
        <f t="shared" si="115"/>
        <v/>
      </c>
      <c r="GZ36" s="460" t="str">
        <f t="shared" si="116"/>
        <v/>
      </c>
      <c r="HA36" s="460" t="str">
        <f t="shared" si="117"/>
        <v/>
      </c>
      <c r="HB36" s="460" t="str">
        <f t="shared" si="118"/>
        <v/>
      </c>
      <c r="HC36" s="460" t="str">
        <f t="shared" si="119"/>
        <v/>
      </c>
      <c r="HD36" s="460" t="str">
        <f t="shared" si="120"/>
        <v/>
      </c>
      <c r="HE36" s="460" t="str">
        <f t="shared" si="121"/>
        <v/>
      </c>
      <c r="HF36" s="460" t="str">
        <f t="shared" si="122"/>
        <v/>
      </c>
      <c r="HG36" s="460" t="str">
        <f t="shared" si="123"/>
        <v/>
      </c>
      <c r="HH36" s="460" t="str">
        <f t="shared" si="124"/>
        <v/>
      </c>
      <c r="HI36" s="460" t="str">
        <f t="shared" si="125"/>
        <v/>
      </c>
      <c r="HJ36" s="460" t="str">
        <f t="shared" si="126"/>
        <v/>
      </c>
      <c r="HK36" s="460" t="str">
        <f t="shared" si="127"/>
        <v/>
      </c>
      <c r="HL36" s="460" t="str">
        <f t="shared" si="128"/>
        <v/>
      </c>
      <c r="HM36" s="460" t="str">
        <f t="shared" si="129"/>
        <v/>
      </c>
      <c r="HN36" s="460" t="str">
        <f t="shared" si="130"/>
        <v/>
      </c>
      <c r="HO36" s="460" t="str">
        <f t="shared" si="131"/>
        <v/>
      </c>
      <c r="HP36" s="460" t="str">
        <f t="shared" si="132"/>
        <v/>
      </c>
      <c r="HQ36" s="460" t="str">
        <f t="shared" si="133"/>
        <v/>
      </c>
      <c r="HR36" s="460" t="str">
        <f t="shared" si="134"/>
        <v/>
      </c>
      <c r="HS36" s="460" t="str">
        <f t="shared" si="135"/>
        <v/>
      </c>
      <c r="HT36" s="460" t="str">
        <f t="shared" si="136"/>
        <v/>
      </c>
      <c r="HU36" s="460" t="str">
        <f t="shared" si="137"/>
        <v/>
      </c>
      <c r="HV36" s="460" t="str">
        <f t="shared" si="138"/>
        <v/>
      </c>
      <c r="HW36" s="460" t="str">
        <f t="shared" si="139"/>
        <v/>
      </c>
      <c r="HX36" s="460" t="str">
        <f t="shared" si="140"/>
        <v/>
      </c>
      <c r="HY36" s="460" t="str">
        <f t="shared" si="141"/>
        <v/>
      </c>
      <c r="HZ36" s="460" t="str">
        <f t="shared" si="142"/>
        <v/>
      </c>
      <c r="IA36" s="460" t="str">
        <f t="shared" si="143"/>
        <v/>
      </c>
      <c r="IB36" s="460" t="str">
        <f t="shared" si="144"/>
        <v/>
      </c>
      <c r="IC36" s="460" t="str">
        <f t="shared" si="145"/>
        <v/>
      </c>
      <c r="ID36" s="674" t="str">
        <f t="shared" si="146"/>
        <v/>
      </c>
      <c r="IE36" s="250"/>
    </row>
    <row r="37" spans="1:239" s="53" customFormat="1" ht="15.75" customHeight="1" thickBot="1">
      <c r="A37" s="51"/>
      <c r="B37" s="84"/>
      <c r="C37" s="85" t="s">
        <v>28</v>
      </c>
      <c r="D37" s="62" t="s">
        <v>29</v>
      </c>
      <c r="E37" s="62" t="s">
        <v>30</v>
      </c>
      <c r="F37" s="86" t="str">
        <f ca="1">CONCATENATE(DaysForThetaCalculation,"-d Theta")</f>
        <v>1-d Theta</v>
      </c>
      <c r="G37" s="788" t="s">
        <v>8</v>
      </c>
      <c r="H37" s="51">
        <f t="shared" ca="1" si="35"/>
        <v>0</v>
      </c>
      <c r="I37" s="379">
        <f t="shared" si="36"/>
        <v>37288</v>
      </c>
      <c r="J37" s="377"/>
      <c r="K37" s="104" t="s">
        <v>488</v>
      </c>
      <c r="L37" s="392">
        <f t="shared" si="37"/>
        <v>0</v>
      </c>
      <c r="M37" s="171"/>
      <c r="N37" s="382">
        <v>0</v>
      </c>
      <c r="O37" s="171">
        <f t="shared" si="38"/>
        <v>0</v>
      </c>
      <c r="P37" s="377"/>
      <c r="Q37" s="103" t="s">
        <v>269</v>
      </c>
      <c r="R37" s="377">
        <f t="shared" ca="1" si="148"/>
        <v>0</v>
      </c>
      <c r="S37" s="832">
        <f t="shared" si="164"/>
        <v>0.36040090383030476</v>
      </c>
      <c r="T37" s="831">
        <f t="shared" si="149"/>
        <v>0.99208045123628574</v>
      </c>
      <c r="U37" s="545">
        <f t="shared" si="150"/>
        <v>0.99988724579772681</v>
      </c>
      <c r="V37" s="389">
        <v>0</v>
      </c>
      <c r="W37" s="434">
        <f t="shared" si="39"/>
        <v>0</v>
      </c>
      <c r="X37" s="415">
        <f t="shared" si="40"/>
        <v>0</v>
      </c>
      <c r="Y37" s="322">
        <f t="shared" si="41"/>
        <v>0</v>
      </c>
      <c r="Z37" s="322">
        <f t="shared" ca="1" si="42"/>
        <v>0</v>
      </c>
      <c r="AA37" s="429">
        <f t="shared" si="1"/>
        <v>0</v>
      </c>
      <c r="AB37" s="433">
        <f t="shared" ca="1" si="2"/>
        <v>0</v>
      </c>
      <c r="AC37" s="226">
        <v>37278</v>
      </c>
      <c r="AD37" s="229">
        <v>37272</v>
      </c>
      <c r="AE37" s="227">
        <v>37272</v>
      </c>
      <c r="AF37" s="228">
        <v>37267</v>
      </c>
      <c r="AG37" s="249" t="s">
        <v>498</v>
      </c>
      <c r="AH37" s="247" t="s">
        <v>90</v>
      </c>
      <c r="AI37" s="146">
        <v>20</v>
      </c>
      <c r="AJ37" s="41">
        <v>14</v>
      </c>
      <c r="AK37" s="41">
        <v>6</v>
      </c>
      <c r="AL37" s="293">
        <v>20</v>
      </c>
      <c r="AM37" s="41">
        <v>8</v>
      </c>
      <c r="AN37" s="147">
        <v>12</v>
      </c>
      <c r="AO37" s="374"/>
      <c r="AP37" s="153">
        <f t="shared" ca="1" si="43"/>
        <v>1</v>
      </c>
      <c r="AQ37" s="374"/>
      <c r="AR37" s="153">
        <f t="shared" ca="1" si="151"/>
        <v>1</v>
      </c>
      <c r="AS37" s="272">
        <f t="shared" si="3"/>
        <v>0</v>
      </c>
      <c r="AT37" s="157">
        <f t="shared" si="44"/>
        <v>0</v>
      </c>
      <c r="AU37" s="157">
        <f t="shared" si="4"/>
        <v>0</v>
      </c>
      <c r="AV37" s="271">
        <f t="shared" ca="1" si="163"/>
        <v>9.9999999999999995E-7</v>
      </c>
      <c r="AW37" s="158">
        <f t="shared" ca="1" si="5"/>
        <v>3</v>
      </c>
      <c r="AX37" s="157">
        <f t="shared" ca="1" si="152"/>
        <v>1.4418213595907791E-2</v>
      </c>
      <c r="AY37" s="157">
        <f t="shared" ca="1" si="153"/>
        <v>9.9668909179405022E-3</v>
      </c>
      <c r="AZ37" s="157">
        <f t="shared" ca="1" si="154"/>
        <v>5.4746919058044448E-3</v>
      </c>
      <c r="BA37" s="157">
        <f t="shared" ca="1" si="155"/>
        <v>6.8433648822555538E-4</v>
      </c>
      <c r="BB37" s="157">
        <f t="shared" ca="1" si="156"/>
        <v>8.2224247155912469E-4</v>
      </c>
      <c r="BC37" s="157">
        <f t="shared" ca="1" si="157"/>
        <v>9.3663285823377209E-4</v>
      </c>
      <c r="BD37" s="151">
        <f t="shared" ca="1" si="45"/>
        <v>0</v>
      </c>
      <c r="BE37" s="152">
        <f t="shared" ca="1" si="46"/>
        <v>0</v>
      </c>
      <c r="BF37" s="40">
        <f t="shared" si="7"/>
        <v>2002</v>
      </c>
      <c r="BG37" s="144">
        <f t="shared" si="8"/>
        <v>2</v>
      </c>
      <c r="BH37" s="145">
        <f t="shared" ca="1" si="47"/>
        <v>527</v>
      </c>
      <c r="BI37" s="313">
        <f t="shared" ca="1" si="9"/>
        <v>1.4866529774127311</v>
      </c>
      <c r="BJ37" s="42">
        <f t="shared" ca="1" si="10"/>
        <v>1.5383983572895277</v>
      </c>
      <c r="BK37" s="42">
        <f t="shared" ca="1" si="11"/>
        <v>1.5411362080766597</v>
      </c>
      <c r="BL37" s="42">
        <f t="shared" ca="1" si="12"/>
        <v>1.5605749486652978</v>
      </c>
      <c r="BM37" s="150" t="e">
        <f t="shared" ca="1" si="13"/>
        <v>#DIV/0!</v>
      </c>
      <c r="BN37" s="42" t="e">
        <f t="shared" ca="1" si="14"/>
        <v>#DIV/0!</v>
      </c>
      <c r="BO37" s="293">
        <f t="shared" si="48"/>
        <v>20</v>
      </c>
      <c r="BP37" s="41">
        <f t="shared" si="49"/>
        <v>14</v>
      </c>
      <c r="BQ37" s="41">
        <f t="shared" si="50"/>
        <v>6</v>
      </c>
      <c r="BR37" s="305" t="str">
        <f t="shared" ca="1" si="15"/>
        <v/>
      </c>
      <c r="BS37" s="305" t="str">
        <f t="shared" ca="1" si="16"/>
        <v/>
      </c>
      <c r="BT37" s="307" t="str">
        <f t="shared" ca="1" si="17"/>
        <v/>
      </c>
      <c r="BU37" s="161" t="str">
        <f t="shared" ca="1" si="18"/>
        <v/>
      </c>
      <c r="BV37" s="161" t="str">
        <f t="shared" ca="1" si="19"/>
        <v/>
      </c>
      <c r="BW37" s="308" t="str">
        <f t="shared" ca="1" si="20"/>
        <v/>
      </c>
      <c r="BX37" s="309" t="str">
        <f t="shared" ca="1" si="21"/>
        <v/>
      </c>
      <c r="BY37" s="308" t="str">
        <f t="shared" ca="1" si="51"/>
        <v/>
      </c>
      <c r="BZ37" s="309" t="str">
        <f t="shared" ca="1" si="52"/>
        <v/>
      </c>
      <c r="CA37" s="154" t="str">
        <f t="shared" ca="1" si="22"/>
        <v/>
      </c>
      <c r="CB37" s="154" t="str">
        <f t="shared" ca="1" si="23"/>
        <v/>
      </c>
      <c r="CC37" s="154" t="str">
        <f t="shared" ca="1" si="24"/>
        <v/>
      </c>
      <c r="CD37" s="154" t="str">
        <f t="shared" ca="1" si="25"/>
        <v/>
      </c>
      <c r="CE37" s="310">
        <v>1</v>
      </c>
      <c r="CF37" s="162">
        <f ca="1">IF(BD37,_xll.xCrudeAPO(BU37,BV37,CA37,CB37,S38,S39,BI37,BL37,BP37,BQ37,0,Strike1,AO37,CE37,0,BL37,IF(OptControl=4,0,1),0,1),0)</f>
        <v>0</v>
      </c>
      <c r="CG37" s="163">
        <f ca="1">IF(BD37,_xll.xCrudeAPO(BU37,BV37,CA37,CB37,S38,S39,BI37,BL37,BP37,BQ37,0,Strike1,AO37,CE37,0,BL37,IF(OptControl=4,0,1),1,1)+_xll.xCrudeAPO(BU37,BV37,CA37,CB37,S38,S39,BI37,BL37,BP37,BQ37,0,Strike1,AO37,CE37,0,BL37,IF(OptControl=4,0,1),1,2)+IF(OR(VolSkewFlag=2,ABS(BS37)&lt;0.0001),0,IF(BS37&gt;0,-1,1)*CH37*Strike1/BR37^2*BY37/10%),0)</f>
        <v>0</v>
      </c>
      <c r="CH37" s="163">
        <f ca="1">IF(BD37,(_xll.xCrudeAPO(BU37,BV37,CA37,CB37,S38,S39,BI37,BL37,BP37,BQ37,0,Strike1,AO37,CE37,0,BL37,IF(OptControl=4,0,1),3,1)+_xll.xCrudeAPO(BU37,BV37,CA37,CB37,S38,S39,BI37,BL37,BP37,BQ37,0,Strike1,AO37,CE37,0,BL37,IF(OptControl=4,0,1),3,2))/100,0)</f>
        <v>0</v>
      </c>
      <c r="CI37" s="163">
        <f ca="1">IF(BD37,_xll.xCrudeAPO(BU37,BV37,CA37,CB37,S38,S39,BI37-DaysForThetaCalculation/365.25,BL37-DaysForThetaCalculation/365.25,BP37,BQ37,0,Strike1,AO37,CE37,0,BL37,IF(OptControl=4,0,1),0,1)-_xll.xCrudeAPO(BU37,BV37,CA37,CB37,S38,S39,BI37,BL37,BP37,BQ37,0,Strike1,AO37,CE37,0,BL37,IF(OptControl=4,0,1),0,1),0)</f>
        <v>0</v>
      </c>
      <c r="CJ37" s="311">
        <f ca="1">IF(BD37,_xll.xCrudeAPO(BU37,BV37,CC37,CD37,S38,S39,BI37,BL37,BP37,BQ37,0,Strike2,AO37,CE37,0,BL37,IF(OptControl=3,1,0),0,1),0)</f>
        <v>0</v>
      </c>
      <c r="CK37" s="163">
        <f ca="1">IF(BD37,_xll.xCrudeAPO(BU37,BV37,CC37,CD37,S38,S39,BI37,BL37,BP37,BQ37,0,Strike2,AO37,CE37,0,BL37,IF(OptControl=3,1,0),1,1)+_xll.xCrudeAPO(BU37,BV37,CC37,CD37,S38,S39,BI37,BL37,BP37,BQ37,0,Strike2,AO37,CE37,0,BL37,IF(OptControl=3,1,0),1,2)+IF(OR(VolSkewFlag=2,ABS(BT37)&lt;0.0001),0,IF(BT37&gt;0,-1,1)*CL37*Strike2/BR37^2*BZ37/10%),0)</f>
        <v>0</v>
      </c>
      <c r="CL37" s="163">
        <f ca="1">IF(BD37,(_xll.xCrudeAPO(BU37,BV37,CC37,CD37,S38,S39,BI37,BL37,BP37,BQ37,0,Strike2,AO37,CE37,0,BL37,IF(OptControl=3,1,0),3,1)+_xll.xCrudeAPO(BU37,BV37,CC37,CD37,S38,S39,BI37,BL37,BP37,BQ37,0,Strike2,AO37,CE37,0,BL37,IF(OptControl=3,1,0),3,2))/100,0)</f>
        <v>0</v>
      </c>
      <c r="CM37" s="164">
        <f ca="1">IF(BD37,_xll.xCrudeAPO(BU37,BV37,CC37,CD37,S38,S39,BI37-DaysForThetaCalculation/365.25,BL37-DaysForThetaCalculation/365.25,BP37,BQ37,0,Strike2,AO37,CE37,0,BL37,IF(OptControl=3,1,0),0,1)-_xll.xCrudeAPO(BU37,BV37,CC37,CD37,S38,S39,BI37,BL37,BP37,BQ37,0,Strike2,AO37,CE37,0,BL37,IF(OptControl=3,1,0),0,1),0)</f>
        <v>0</v>
      </c>
      <c r="CN37" s="55"/>
      <c r="CO37" s="796" t="str">
        <f t="shared" ca="1" si="53"/>
        <v/>
      </c>
      <c r="CP37" s="800" t="str">
        <f t="shared" ca="1" si="54"/>
        <v/>
      </c>
      <c r="CQ37" s="797" t="str">
        <f t="shared" ca="1" si="55"/>
        <v/>
      </c>
      <c r="CR37" s="797" t="str">
        <f t="shared" ca="1" si="56"/>
        <v/>
      </c>
      <c r="CS37" s="797" t="str">
        <f t="shared" ca="1" si="57"/>
        <v/>
      </c>
      <c r="CT37" s="797" t="str">
        <f t="shared" ca="1" si="58"/>
        <v/>
      </c>
      <c r="CU37" s="798" t="str">
        <f t="shared" ca="1" si="59"/>
        <v/>
      </c>
      <c r="CV37" s="799" t="str">
        <f t="shared" ca="1" si="60"/>
        <v/>
      </c>
      <c r="CW37" s="799" t="str">
        <f t="shared" ca="1" si="61"/>
        <v/>
      </c>
      <c r="CX37" s="163">
        <f ca="1">IF(BD37,_xll.EURO(CP37,Strike1,AO37,AO37,CV37,CO37,IF(OptControl=4,0,1),0),0)</f>
        <v>0</v>
      </c>
      <c r="CY37" s="163">
        <f ca="1">IF(BD37,_xll.EURO(CP37,Strike1,AO37,AO37,CV37,CO37,IF(OptControl=4,0,1),1)+IF(OR(VolSkewFlag=2,ABS(CQ37)&lt;0.0001),0,IF(CQ37&gt;0,-1,1)*CZ37*100*Strike1/CP37^2*CS37/10%),0)</f>
        <v>0</v>
      </c>
      <c r="CZ37" s="163">
        <f ca="1">IF(BD37,_xll.EURO(CP37,Strike1,AO37,AO37,CV37,CO37,IF(OptControl=4,0,1),3)/100,0)</f>
        <v>0</v>
      </c>
      <c r="DA37" s="163">
        <f ca="1">IF(BD37,_xll.EURO(CP37,Strike1,AO37,AO37,CV37,CO37,IF(OptControl=4,0,1),0)-_xll.EURO(CP37,Strike1,AO37,AO37,CV37,CO37-1,IF(OptControl=4,0,1),0),0)</f>
        <v>0</v>
      </c>
      <c r="DB37" s="163">
        <f ca="1">IF(BD37,_xll.EURO(CP37,Strike2,AO37,AO37,CW37,CO37,IF(OptControl=3,1,0),0),0)</f>
        <v>0</v>
      </c>
      <c r="DC37" s="163">
        <f ca="1">IF(BD37,_xll.EURO(CP37,Strike2,AO37,AO37,CW37,CO37,IF(OptControl=3,1,0),1)+IF(OR(VolSkewFlag=2,ABS(CR37)&lt;0.0001),0,IF(CR37&gt;0,-1,1)*DD37*100*Strike2/CP37^2*CT37/10%),0)</f>
        <v>0</v>
      </c>
      <c r="DD37" s="163">
        <f ca="1">IF(BD37,_xll.EURO(CP37,Strike2,AO37,AO37,CW37,CO37,IF(OptControl=3,1,0),3)/100,0)</f>
        <v>0</v>
      </c>
      <c r="DE37" s="164">
        <f ca="1">IF(BD37,_xll.EURO(CP37,Strike2,AO37,AO37,CW37,CO37,IF(OptControl=3,1,0),0)-_xll.EURO(CP37,Strike2,AO37,AO37,CW37,CO37-1,IF(OptControl=3,1,0),0),0)</f>
        <v>0</v>
      </c>
      <c r="DF37" s="55"/>
      <c r="DG37" s="667">
        <f t="shared" ca="1" si="62"/>
        <v>37073</v>
      </c>
      <c r="DH37" s="475">
        <v>21.47</v>
      </c>
      <c r="DI37" s="665">
        <v>21.11</v>
      </c>
      <c r="DJ37" s="666">
        <f t="shared" ca="1" si="26"/>
        <v>37073</v>
      </c>
      <c r="DK37" s="475">
        <v>20.121666666666666</v>
      </c>
      <c r="DL37" s="665">
        <v>19.706969696969693</v>
      </c>
      <c r="DM37" s="667">
        <f t="shared" ca="1" si="27"/>
        <v>37073</v>
      </c>
      <c r="DN37" s="668">
        <f t="shared" si="28"/>
        <v>20.171666666666667</v>
      </c>
      <c r="DO37" s="667">
        <f t="shared" ca="1" si="63"/>
        <v>37073</v>
      </c>
      <c r="DP37" s="579">
        <f t="shared" si="64"/>
        <v>19.796969696969693</v>
      </c>
      <c r="DQ37" s="821">
        <v>0.09</v>
      </c>
      <c r="DR37" s="666">
        <f t="shared" ca="1" si="29"/>
        <v>37073</v>
      </c>
      <c r="DS37" s="669">
        <v>0.243973588822364</v>
      </c>
      <c r="DT37" s="606">
        <v>0.24047592243211002</v>
      </c>
      <c r="DU37" s="666">
        <f t="shared" ca="1" si="30"/>
        <v>37073</v>
      </c>
      <c r="DV37" s="669">
        <v>0.243973588822364</v>
      </c>
      <c r="DW37" s="606">
        <v>0.24047592243211002</v>
      </c>
      <c r="DX37" s="667">
        <f t="shared" ca="1" si="31"/>
        <v>37073</v>
      </c>
      <c r="DY37" s="606">
        <v>0.350001220703125</v>
      </c>
      <c r="DZ37" s="667">
        <f t="shared" ca="1" si="65"/>
        <v>37073</v>
      </c>
      <c r="EA37" s="606">
        <f t="shared" si="66"/>
        <v>0.24047592243211002</v>
      </c>
      <c r="EB37" s="1"/>
      <c r="EC37" s="118" t="str">
        <f t="shared" ca="1" si="32"/>
        <v/>
      </c>
      <c r="ED37" s="119" t="str">
        <f t="shared" ca="1" si="33"/>
        <v/>
      </c>
      <c r="EE37" s="112" t="str">
        <f t="shared" ca="1" si="34"/>
        <v/>
      </c>
      <c r="EF37" s="120">
        <f ca="1">IF(BD37,_xll.xASN(BR37,Strike1,AO37,ED37,0,BO37,0,BI37,BL37,IF(OptControl=4,0,1),0),0)</f>
        <v>0</v>
      </c>
      <c r="EG37" s="111">
        <f ca="1">IF(BD37,_xll.xASN(BR37,Strike2,AO37,EE37,0,BO37,0,BI37,BL37,IF(OptControl=3,1,0),0),0)</f>
        <v>0</v>
      </c>
      <c r="EI37" s="483" t="str">
        <f>[1]!'CLc18 MTH'</f>
        <v>FEB2</v>
      </c>
      <c r="EJ37" s="484">
        <f t="shared" si="158"/>
        <v>37288</v>
      </c>
      <c r="EK37" s="485">
        <f>[1]!'CLc18 NET.CHNG'</f>
        <v>0</v>
      </c>
      <c r="EL37" s="486">
        <f t="shared" si="159"/>
        <v>0</v>
      </c>
      <c r="EM37" s="1"/>
      <c r="EN37" s="697">
        <v>37806</v>
      </c>
      <c r="EO37" s="698">
        <v>39807</v>
      </c>
      <c r="EP37" s="1"/>
      <c r="EQ37" s="683" t="s">
        <v>141</v>
      </c>
      <c r="ER37" s="55"/>
      <c r="ES37" s="498">
        <v>18</v>
      </c>
      <c r="ET37" s="476">
        <f t="shared" ca="1" si="165"/>
        <v>1.4428473648186173</v>
      </c>
      <c r="EU37" s="842">
        <f t="shared" ca="1" si="67"/>
        <v>0</v>
      </c>
      <c r="EV37" s="815">
        <f t="shared" ca="1" si="160"/>
        <v>0.22759076709380421</v>
      </c>
      <c r="EW37" s="478">
        <f t="shared" ca="1" si="161"/>
        <v>0.35</v>
      </c>
      <c r="EX37" s="477">
        <f t="shared" ca="1" si="162"/>
        <v>0.17538583961929957</v>
      </c>
      <c r="EY37" s="250">
        <v>0</v>
      </c>
      <c r="EZ37" s="605" t="str">
        <f ca="1">IF(OR(EW37="",EW38=""),"",SQRT(SUM(INDEX(FK37:ID37,SwaptionFirstMonthPosition+1):INDEX(FK37:ID37,FJ37))/SUM(INDEX($FK$15:$ID$15,SwaptionFirstMonthPosition+1):INDEX($FK$15:$ID$15,FJ37))))</f>
        <v/>
      </c>
      <c r="FA37" s="581">
        <f ca="1">IF(OR(EW37="",EW36=""),"",SQRT(SUM(INDEX(FK37:ID37,SwaptionFirstMonthPosition+1):INDEX(FK37:ID37,FJ37-1))/SUM(INDEX($FK$15:$ID$15,SwaptionFirstMonthPosition+1):INDEX($FK$15:$ID$15,FJ37-1))))</f>
        <v>0.22871179463942912</v>
      </c>
      <c r="FB37" s="578" t="str">
        <f t="shared" ca="1" si="68"/>
        <v/>
      </c>
      <c r="FC37" s="609" t="str">
        <f t="shared" ca="1" si="69"/>
        <v/>
      </c>
      <c r="FD37" s="579" t="str">
        <f t="shared" ca="1" si="70"/>
        <v/>
      </c>
      <c r="FE37" s="579" t="str">
        <f t="shared" ca="1" si="71"/>
        <v/>
      </c>
      <c r="FF37" s="579" t="str">
        <f t="shared" ca="1" si="72"/>
        <v/>
      </c>
      <c r="FG37" s="580" t="str">
        <f t="shared" ca="1" si="73"/>
        <v/>
      </c>
      <c r="FH37" s="606" t="str">
        <f t="shared" ca="1" si="74"/>
        <v/>
      </c>
      <c r="FI37" s="250"/>
      <c r="FJ37" s="673">
        <v>18</v>
      </c>
      <c r="FK37" s="460">
        <f t="shared" ca="1" si="75"/>
        <v>0</v>
      </c>
      <c r="FL37" s="460">
        <f t="shared" ca="1" si="76"/>
        <v>2.4878550074975366E-3</v>
      </c>
      <c r="FM37" s="460">
        <f t="shared" ca="1" si="77"/>
        <v>2.9549278497446206E-3</v>
      </c>
      <c r="FN37" s="460">
        <f t="shared" ca="1" si="78"/>
        <v>2.5510108104949197E-3</v>
      </c>
      <c r="FO37" s="460">
        <f t="shared" ca="1" si="79"/>
        <v>2.7335598513446172E-3</v>
      </c>
      <c r="FP37" s="460">
        <f t="shared" ca="1" si="80"/>
        <v>3.1366037894294129E-3</v>
      </c>
      <c r="FQ37" s="460">
        <f t="shared" ca="1" si="81"/>
        <v>2.6454922507215899E-3</v>
      </c>
      <c r="FR37" s="460">
        <f t="shared" ca="1" si="82"/>
        <v>2.8379961435738054E-3</v>
      </c>
      <c r="FS37" s="460">
        <f t="shared" ca="1" si="83"/>
        <v>3.3838253138121755E-3</v>
      </c>
      <c r="FT37" s="460">
        <f t="shared" ca="1" si="84"/>
        <v>3.2631198778650611E-3</v>
      </c>
      <c r="FU37" s="460">
        <f t="shared" ca="1" si="85"/>
        <v>3.3915138605371746E-3</v>
      </c>
      <c r="FV37" s="460">
        <f t="shared" ca="1" si="86"/>
        <v>4.085447731903182E-3</v>
      </c>
      <c r="FW37" s="460">
        <f t="shared" ca="1" si="87"/>
        <v>4.2549699037238908E-3</v>
      </c>
      <c r="FX37" s="460">
        <f t="shared" ca="1" si="88"/>
        <v>5.1458252084808989E-3</v>
      </c>
      <c r="FY37" s="460">
        <f t="shared" ca="1" si="89"/>
        <v>5.6024230405740724E-3</v>
      </c>
      <c r="FZ37" s="460">
        <f t="shared" ca="1" si="90"/>
        <v>6.248178504354069E-3</v>
      </c>
      <c r="GA37" s="460">
        <f t="shared" ca="1" si="91"/>
        <v>8.277885764822775E-3</v>
      </c>
      <c r="GB37" s="460">
        <f t="shared" ca="1" si="92"/>
        <v>1.1735334096909295E-2</v>
      </c>
      <c r="GC37" s="460" t="str">
        <f t="shared" si="93"/>
        <v/>
      </c>
      <c r="GD37" s="460" t="str">
        <f t="shared" si="94"/>
        <v/>
      </c>
      <c r="GE37" s="460" t="str">
        <f t="shared" si="95"/>
        <v/>
      </c>
      <c r="GF37" s="460" t="str">
        <f t="shared" si="96"/>
        <v/>
      </c>
      <c r="GG37" s="460" t="str">
        <f t="shared" si="97"/>
        <v/>
      </c>
      <c r="GH37" s="460" t="str">
        <f t="shared" si="98"/>
        <v/>
      </c>
      <c r="GI37" s="460" t="str">
        <f t="shared" si="99"/>
        <v/>
      </c>
      <c r="GJ37" s="460" t="str">
        <f t="shared" si="100"/>
        <v/>
      </c>
      <c r="GK37" s="460" t="str">
        <f t="shared" si="101"/>
        <v/>
      </c>
      <c r="GL37" s="460" t="str">
        <f t="shared" si="102"/>
        <v/>
      </c>
      <c r="GM37" s="460" t="str">
        <f t="shared" si="103"/>
        <v/>
      </c>
      <c r="GN37" s="460" t="str">
        <f t="shared" si="104"/>
        <v/>
      </c>
      <c r="GO37" s="460" t="str">
        <f t="shared" si="105"/>
        <v/>
      </c>
      <c r="GP37" s="460" t="str">
        <f t="shared" si="106"/>
        <v/>
      </c>
      <c r="GQ37" s="460" t="str">
        <f t="shared" si="107"/>
        <v/>
      </c>
      <c r="GR37" s="460" t="str">
        <f t="shared" si="108"/>
        <v/>
      </c>
      <c r="GS37" s="460" t="str">
        <f t="shared" si="109"/>
        <v/>
      </c>
      <c r="GT37" s="460" t="str">
        <f t="shared" si="110"/>
        <v/>
      </c>
      <c r="GU37" s="460" t="str">
        <f t="shared" si="111"/>
        <v/>
      </c>
      <c r="GV37" s="460" t="str">
        <f t="shared" si="112"/>
        <v/>
      </c>
      <c r="GW37" s="460" t="str">
        <f t="shared" si="113"/>
        <v/>
      </c>
      <c r="GX37" s="460" t="str">
        <f t="shared" si="114"/>
        <v/>
      </c>
      <c r="GY37" s="460" t="str">
        <f t="shared" si="115"/>
        <v/>
      </c>
      <c r="GZ37" s="460" t="str">
        <f t="shared" si="116"/>
        <v/>
      </c>
      <c r="HA37" s="460" t="str">
        <f t="shared" si="117"/>
        <v/>
      </c>
      <c r="HB37" s="460" t="str">
        <f t="shared" si="118"/>
        <v/>
      </c>
      <c r="HC37" s="460" t="str">
        <f t="shared" si="119"/>
        <v/>
      </c>
      <c r="HD37" s="460" t="str">
        <f t="shared" si="120"/>
        <v/>
      </c>
      <c r="HE37" s="460" t="str">
        <f t="shared" si="121"/>
        <v/>
      </c>
      <c r="HF37" s="460" t="str">
        <f t="shared" si="122"/>
        <v/>
      </c>
      <c r="HG37" s="460" t="str">
        <f t="shared" si="123"/>
        <v/>
      </c>
      <c r="HH37" s="460" t="str">
        <f t="shared" si="124"/>
        <v/>
      </c>
      <c r="HI37" s="460" t="str">
        <f t="shared" si="125"/>
        <v/>
      </c>
      <c r="HJ37" s="460" t="str">
        <f t="shared" si="126"/>
        <v/>
      </c>
      <c r="HK37" s="460" t="str">
        <f t="shared" si="127"/>
        <v/>
      </c>
      <c r="HL37" s="460" t="str">
        <f t="shared" si="128"/>
        <v/>
      </c>
      <c r="HM37" s="460" t="str">
        <f t="shared" si="129"/>
        <v/>
      </c>
      <c r="HN37" s="460" t="str">
        <f t="shared" si="130"/>
        <v/>
      </c>
      <c r="HO37" s="460" t="str">
        <f t="shared" si="131"/>
        <v/>
      </c>
      <c r="HP37" s="460" t="str">
        <f t="shared" si="132"/>
        <v/>
      </c>
      <c r="HQ37" s="460" t="str">
        <f t="shared" si="133"/>
        <v/>
      </c>
      <c r="HR37" s="460" t="str">
        <f t="shared" si="134"/>
        <v/>
      </c>
      <c r="HS37" s="460" t="str">
        <f t="shared" si="135"/>
        <v/>
      </c>
      <c r="HT37" s="460" t="str">
        <f t="shared" si="136"/>
        <v/>
      </c>
      <c r="HU37" s="460" t="str">
        <f t="shared" si="137"/>
        <v/>
      </c>
      <c r="HV37" s="460" t="str">
        <f t="shared" si="138"/>
        <v/>
      </c>
      <c r="HW37" s="460" t="str">
        <f t="shared" si="139"/>
        <v/>
      </c>
      <c r="HX37" s="460" t="str">
        <f t="shared" si="140"/>
        <v/>
      </c>
      <c r="HY37" s="460" t="str">
        <f t="shared" si="141"/>
        <v/>
      </c>
      <c r="HZ37" s="460" t="str">
        <f t="shared" si="142"/>
        <v/>
      </c>
      <c r="IA37" s="460" t="str">
        <f t="shared" si="143"/>
        <v/>
      </c>
      <c r="IB37" s="460" t="str">
        <f t="shared" si="144"/>
        <v/>
      </c>
      <c r="IC37" s="460" t="str">
        <f t="shared" si="145"/>
        <v/>
      </c>
      <c r="ID37" s="674" t="str">
        <f t="shared" si="146"/>
        <v/>
      </c>
      <c r="IE37" s="250"/>
    </row>
    <row r="38" spans="1:239" ht="18.75" customHeight="1">
      <c r="A38" s="51"/>
      <c r="B38" s="87" t="str">
        <f ca="1">CONCATENATE("Euro ",IF(OptControl=4,"Put 1","Call"),IF(OptControl=3," 1",""))</f>
        <v>Euro Call</v>
      </c>
      <c r="C38" s="94" t="e">
        <f ca="1">SUMPRODUCT($BD19:$BD258,CX19:CX258)/NominalVolume</f>
        <v>#DIV/0!</v>
      </c>
      <c r="D38" s="94" t="e">
        <f ca="1">SUMPRODUCT($BD19:$BD258,CY19:CY258)/NominalVolume</f>
        <v>#DIV/0!</v>
      </c>
      <c r="E38" s="94" t="e">
        <f ca="1">SUMPRODUCT($BD19:$BD258,CZ19:CZ258)/NominalVolume</f>
        <v>#DIV/0!</v>
      </c>
      <c r="F38" s="702" t="e">
        <f ca="1">SUMPRODUCT($BD19:$BD258,DA19:DA258)/NominalVolume</f>
        <v>#DIV/0!</v>
      </c>
      <c r="G38" s="789" t="s">
        <v>114</v>
      </c>
      <c r="H38" s="51">
        <f t="shared" ca="1" si="35"/>
        <v>0</v>
      </c>
      <c r="I38" s="379">
        <f t="shared" si="36"/>
        <v>37316</v>
      </c>
      <c r="J38" s="377"/>
      <c r="K38" s="104" t="s">
        <v>488</v>
      </c>
      <c r="L38" s="392">
        <f t="shared" si="37"/>
        <v>0</v>
      </c>
      <c r="M38" s="171"/>
      <c r="N38" s="382">
        <v>0</v>
      </c>
      <c r="O38" s="171">
        <f t="shared" si="38"/>
        <v>0</v>
      </c>
      <c r="P38" s="377"/>
      <c r="Q38" s="104" t="s">
        <v>269</v>
      </c>
      <c r="R38" s="377">
        <f t="shared" ca="1" si="148"/>
        <v>0</v>
      </c>
      <c r="S38" s="832">
        <f t="shared" si="164"/>
        <v>0.36030067787272857</v>
      </c>
      <c r="T38" s="831">
        <f t="shared" si="149"/>
        <v>0.99323846996147025</v>
      </c>
      <c r="U38" s="545">
        <f t="shared" si="150"/>
        <v>0.99991543434829511</v>
      </c>
      <c r="V38" s="389">
        <v>0</v>
      </c>
      <c r="W38" s="434">
        <f t="shared" si="39"/>
        <v>0</v>
      </c>
      <c r="X38" s="415">
        <f t="shared" si="40"/>
        <v>0</v>
      </c>
      <c r="Y38" s="322">
        <f t="shared" si="41"/>
        <v>0</v>
      </c>
      <c r="Z38" s="322">
        <f t="shared" ca="1" si="42"/>
        <v>0</v>
      </c>
      <c r="AA38" s="429">
        <f t="shared" si="1"/>
        <v>0</v>
      </c>
      <c r="AB38" s="433">
        <f t="shared" ca="1" si="2"/>
        <v>0</v>
      </c>
      <c r="AC38" s="226">
        <v>37307</v>
      </c>
      <c r="AD38" s="229">
        <v>37301</v>
      </c>
      <c r="AE38" s="227">
        <v>37300</v>
      </c>
      <c r="AF38" s="228">
        <v>37296</v>
      </c>
      <c r="AG38" s="249" t="s">
        <v>498</v>
      </c>
      <c r="AH38" s="247" t="s">
        <v>498</v>
      </c>
      <c r="AI38" s="146">
        <v>21</v>
      </c>
      <c r="AJ38" s="41">
        <v>14</v>
      </c>
      <c r="AK38" s="41">
        <v>7</v>
      </c>
      <c r="AL38" s="293">
        <v>21</v>
      </c>
      <c r="AM38" s="41">
        <v>9</v>
      </c>
      <c r="AN38" s="147">
        <v>12</v>
      </c>
      <c r="AO38" s="374"/>
      <c r="AP38" s="153">
        <f t="shared" ca="1" si="43"/>
        <v>1</v>
      </c>
      <c r="AQ38" s="374"/>
      <c r="AR38" s="153">
        <f t="shared" ca="1" si="151"/>
        <v>1</v>
      </c>
      <c r="AS38" s="272">
        <f t="shared" si="3"/>
        <v>0</v>
      </c>
      <c r="AT38" s="157">
        <f t="shared" si="44"/>
        <v>0</v>
      </c>
      <c r="AU38" s="157">
        <f t="shared" si="4"/>
        <v>0</v>
      </c>
      <c r="AV38" s="271">
        <f t="shared" ca="1" si="163"/>
        <v>9.9999999999999995E-7</v>
      </c>
      <c r="AW38" s="158">
        <f t="shared" ca="1" si="5"/>
        <v>3</v>
      </c>
      <c r="AX38" s="157">
        <f t="shared" ca="1" si="152"/>
        <v>1.397061318553078E-2</v>
      </c>
      <c r="AY38" s="157">
        <f t="shared" ca="1" si="153"/>
        <v>9.5975415064475014E-3</v>
      </c>
      <c r="AZ38" s="157">
        <f t="shared" ca="1" si="154"/>
        <v>5.1873582186040398E-3</v>
      </c>
      <c r="BA38" s="157">
        <f t="shared" ca="1" si="155"/>
        <v>6.4841977732550487E-4</v>
      </c>
      <c r="BB38" s="157">
        <f t="shared" ca="1" si="156"/>
        <v>7.5490182423855262E-4</v>
      </c>
      <c r="BC38" s="157">
        <f t="shared" ca="1" si="157"/>
        <v>8.4089641525371427E-4</v>
      </c>
      <c r="BD38" s="151">
        <f t="shared" ca="1" si="45"/>
        <v>0</v>
      </c>
      <c r="BE38" s="152">
        <f t="shared" ca="1" si="46"/>
        <v>0</v>
      </c>
      <c r="BF38" s="40">
        <f t="shared" si="7"/>
        <v>2002</v>
      </c>
      <c r="BG38" s="144">
        <f t="shared" si="8"/>
        <v>3</v>
      </c>
      <c r="BH38" s="145">
        <f t="shared" ca="1" si="47"/>
        <v>556</v>
      </c>
      <c r="BI38" s="313">
        <f t="shared" ca="1" si="9"/>
        <v>1.5633127994524298</v>
      </c>
      <c r="BJ38" s="42">
        <f t="shared" ca="1" si="10"/>
        <v>1.6180698151950719</v>
      </c>
      <c r="BK38" s="42">
        <f t="shared" ca="1" si="11"/>
        <v>1.6208076659822039</v>
      </c>
      <c r="BL38" s="42">
        <f t="shared" ca="1" si="12"/>
        <v>1.6454483230663928</v>
      </c>
      <c r="BM38" s="150" t="e">
        <f t="shared" ca="1" si="13"/>
        <v>#DIV/0!</v>
      </c>
      <c r="BN38" s="42" t="e">
        <f t="shared" ca="1" si="14"/>
        <v>#DIV/0!</v>
      </c>
      <c r="BO38" s="293">
        <f t="shared" si="48"/>
        <v>21</v>
      </c>
      <c r="BP38" s="41">
        <f t="shared" si="49"/>
        <v>14</v>
      </c>
      <c r="BQ38" s="41">
        <f t="shared" si="50"/>
        <v>7</v>
      </c>
      <c r="BR38" s="305" t="str">
        <f t="shared" ca="1" si="15"/>
        <v/>
      </c>
      <c r="BS38" s="305" t="str">
        <f t="shared" ca="1" si="16"/>
        <v/>
      </c>
      <c r="BT38" s="307" t="str">
        <f t="shared" ca="1" si="17"/>
        <v/>
      </c>
      <c r="BU38" s="161" t="str">
        <f t="shared" ca="1" si="18"/>
        <v/>
      </c>
      <c r="BV38" s="161" t="str">
        <f t="shared" ca="1" si="19"/>
        <v/>
      </c>
      <c r="BW38" s="308" t="str">
        <f t="shared" ca="1" si="20"/>
        <v/>
      </c>
      <c r="BX38" s="309" t="str">
        <f t="shared" ca="1" si="21"/>
        <v/>
      </c>
      <c r="BY38" s="308" t="str">
        <f t="shared" ca="1" si="51"/>
        <v/>
      </c>
      <c r="BZ38" s="309" t="str">
        <f t="shared" ca="1" si="52"/>
        <v/>
      </c>
      <c r="CA38" s="154" t="str">
        <f t="shared" ca="1" si="22"/>
        <v/>
      </c>
      <c r="CB38" s="154" t="str">
        <f t="shared" ca="1" si="23"/>
        <v/>
      </c>
      <c r="CC38" s="154" t="str">
        <f t="shared" ca="1" si="24"/>
        <v/>
      </c>
      <c r="CD38" s="154" t="str">
        <f t="shared" ca="1" si="25"/>
        <v/>
      </c>
      <c r="CE38" s="310">
        <v>1</v>
      </c>
      <c r="CF38" s="162">
        <f ca="1">IF(BD38,_xll.xCrudeAPO(BU38,BV38,CA38,CB38,S39,S40,BI38,BL38,BP38,BQ38,0,Strike1,AO38,CE38,0,BL38,IF(OptControl=4,0,1),0,1),0)</f>
        <v>0</v>
      </c>
      <c r="CG38" s="163">
        <f ca="1">IF(BD38,_xll.xCrudeAPO(BU38,BV38,CA38,CB38,S39,S40,BI38,BL38,BP38,BQ38,0,Strike1,AO38,CE38,0,BL38,IF(OptControl=4,0,1),1,1)+_xll.xCrudeAPO(BU38,BV38,CA38,CB38,S39,S40,BI38,BL38,BP38,BQ38,0,Strike1,AO38,CE38,0,BL38,IF(OptControl=4,0,1),1,2)+IF(OR(VolSkewFlag=2,ABS(BS38)&lt;0.0001),0,IF(BS38&gt;0,-1,1)*CH38*Strike1/BR38^2*BY38/10%),0)</f>
        <v>0</v>
      </c>
      <c r="CH38" s="163">
        <f ca="1">IF(BD38,(_xll.xCrudeAPO(BU38,BV38,CA38,CB38,S39,S40,BI38,BL38,BP38,BQ38,0,Strike1,AO38,CE38,0,BL38,IF(OptControl=4,0,1),3,1)+_xll.xCrudeAPO(BU38,BV38,CA38,CB38,S39,S40,BI38,BL38,BP38,BQ38,0,Strike1,AO38,CE38,0,BL38,IF(OptControl=4,0,1),3,2))/100,0)</f>
        <v>0</v>
      </c>
      <c r="CI38" s="163">
        <f ca="1">IF(BD38,_xll.xCrudeAPO(BU38,BV38,CA38,CB38,S39,S40,BI38-DaysForThetaCalculation/365.25,BL38-DaysForThetaCalculation/365.25,BP38,BQ38,0,Strike1,AO38,CE38,0,BL38,IF(OptControl=4,0,1),0,1)-_xll.xCrudeAPO(BU38,BV38,CA38,CB38,S39,S40,BI38,BL38,BP38,BQ38,0,Strike1,AO38,CE38,0,BL38,IF(OptControl=4,0,1),0,1),0)</f>
        <v>0</v>
      </c>
      <c r="CJ38" s="311">
        <f ca="1">IF(BD38,_xll.xCrudeAPO(BU38,BV38,CC38,CD38,S39,S40,BI38,BL38,BP38,BQ38,0,Strike2,AO38,CE38,0,BL38,IF(OptControl=3,1,0),0,1),0)</f>
        <v>0</v>
      </c>
      <c r="CK38" s="163">
        <f ca="1">IF(BD38,_xll.xCrudeAPO(BU38,BV38,CC38,CD38,S39,S40,BI38,BL38,BP38,BQ38,0,Strike2,AO38,CE38,0,BL38,IF(OptControl=3,1,0),1,1)+_xll.xCrudeAPO(BU38,BV38,CC38,CD38,S39,S40,BI38,BL38,BP38,BQ38,0,Strike2,AO38,CE38,0,BL38,IF(OptControl=3,1,0),1,2)+IF(OR(VolSkewFlag=2,ABS(BT38)&lt;0.0001),0,IF(BT38&gt;0,-1,1)*CL38*Strike2/BR38^2*BZ38/10%),0)</f>
        <v>0</v>
      </c>
      <c r="CL38" s="163">
        <f ca="1">IF(BD38,(_xll.xCrudeAPO(BU38,BV38,CC38,CD38,S39,S40,BI38,BL38,BP38,BQ38,0,Strike2,AO38,CE38,0,BL38,IF(OptControl=3,1,0),3,1)+_xll.xCrudeAPO(BU38,BV38,CC38,CD38,S39,S40,BI38,BL38,BP38,BQ38,0,Strike2,AO38,CE38,0,BL38,IF(OptControl=3,1,0),3,2))/100,0)</f>
        <v>0</v>
      </c>
      <c r="CM38" s="164">
        <f ca="1">IF(BD38,_xll.xCrudeAPO(BU38,BV38,CC38,CD38,S39,S40,BI38-DaysForThetaCalculation/365.25,BL38-DaysForThetaCalculation/365.25,BP38,BQ38,0,Strike2,AO38,CE38,0,BL38,IF(OptControl=3,1,0),0,1)-_xll.xCrudeAPO(BU38,BV38,CC38,CD38,S39,S40,BI38,BL38,BP38,BQ38,0,Strike2,AO38,CE38,0,BL38,IF(OptControl=3,1,0),0,1),0)</f>
        <v>0</v>
      </c>
      <c r="CO38" s="796" t="str">
        <f t="shared" ca="1" si="53"/>
        <v/>
      </c>
      <c r="CP38" s="800" t="str">
        <f t="shared" ca="1" si="54"/>
        <v/>
      </c>
      <c r="CQ38" s="797" t="str">
        <f t="shared" ca="1" si="55"/>
        <v/>
      </c>
      <c r="CR38" s="797" t="str">
        <f t="shared" ca="1" si="56"/>
        <v/>
      </c>
      <c r="CS38" s="797" t="str">
        <f t="shared" ca="1" si="57"/>
        <v/>
      </c>
      <c r="CT38" s="797" t="str">
        <f t="shared" ca="1" si="58"/>
        <v/>
      </c>
      <c r="CU38" s="798" t="str">
        <f t="shared" ca="1" si="59"/>
        <v/>
      </c>
      <c r="CV38" s="799" t="str">
        <f t="shared" ca="1" si="60"/>
        <v/>
      </c>
      <c r="CW38" s="799" t="str">
        <f t="shared" ca="1" si="61"/>
        <v/>
      </c>
      <c r="CX38" s="163">
        <f ca="1">IF(BD38,_xll.EURO(CP38,Strike1,AO38,AO38,CV38,CO38,IF(OptControl=4,0,1),0),0)</f>
        <v>0</v>
      </c>
      <c r="CY38" s="163">
        <f ca="1">IF(BD38,_xll.EURO(CP38,Strike1,AO38,AO38,CV38,CO38,IF(OptControl=4,0,1),1)+IF(OR(VolSkewFlag=2,ABS(CQ38)&lt;0.0001),0,IF(CQ38&gt;0,-1,1)*CZ38*100*Strike1/CP38^2*CS38/10%),0)</f>
        <v>0</v>
      </c>
      <c r="CZ38" s="163">
        <f ca="1">IF(BD38,_xll.EURO(CP38,Strike1,AO38,AO38,CV38,CO38,IF(OptControl=4,0,1),3)/100,0)</f>
        <v>0</v>
      </c>
      <c r="DA38" s="163">
        <f ca="1">IF(BD38,_xll.EURO(CP38,Strike1,AO38,AO38,CV38,CO38,IF(OptControl=4,0,1),0)-_xll.EURO(CP38,Strike1,AO38,AO38,CV38,CO38-1,IF(OptControl=4,0,1),0),0)</f>
        <v>0</v>
      </c>
      <c r="DB38" s="163">
        <f ca="1">IF(BD38,_xll.EURO(CP38,Strike2,AO38,AO38,CW38,CO38,IF(OptControl=3,1,0),0),0)</f>
        <v>0</v>
      </c>
      <c r="DC38" s="163">
        <f ca="1">IF(BD38,_xll.EURO(CP38,Strike2,AO38,AO38,CW38,CO38,IF(OptControl=3,1,0),1)+IF(OR(VolSkewFlag=2,ABS(CR38)&lt;0.0001),0,IF(CR38&gt;0,-1,1)*DD38*100*Strike2/CP38^2*CT38/10%),0)</f>
        <v>0</v>
      </c>
      <c r="DD38" s="163">
        <f ca="1">IF(BD38,_xll.EURO(CP38,Strike2,AO38,AO38,CW38,CO38,IF(OptControl=3,1,0),3)/100,0)</f>
        <v>0</v>
      </c>
      <c r="DE38" s="164">
        <f ca="1">IF(BD38,_xll.EURO(CP38,Strike2,AO38,AO38,CW38,CO38,IF(OptControl=3,1,0),0)-_xll.EURO(CP38,Strike2,AO38,AO38,CW38,CO38-1,IF(OptControl=3,1,0),0),0)</f>
        <v>0</v>
      </c>
      <c r="DF38" s="55"/>
      <c r="DG38" s="667">
        <f t="shared" ca="1" si="62"/>
        <v>37104</v>
      </c>
      <c r="DH38" s="475">
        <v>21.2</v>
      </c>
      <c r="DI38" s="665">
        <v>20.839565217391304</v>
      </c>
      <c r="DJ38" s="666">
        <f t="shared" ca="1" si="26"/>
        <v>37104</v>
      </c>
      <c r="DK38" s="475">
        <v>19.853333333333332</v>
      </c>
      <c r="DL38" s="665">
        <v>19.472826086956523</v>
      </c>
      <c r="DM38" s="667">
        <f t="shared" ca="1" si="27"/>
        <v>37104</v>
      </c>
      <c r="DN38" s="668">
        <f t="shared" si="28"/>
        <v>19.903333333333332</v>
      </c>
      <c r="DO38" s="667">
        <f t="shared" ca="1" si="63"/>
        <v>37104</v>
      </c>
      <c r="DP38" s="579">
        <f t="shared" si="64"/>
        <v>19.562826086956523</v>
      </c>
      <c r="DQ38" s="821">
        <v>0.09</v>
      </c>
      <c r="DR38" s="666">
        <f t="shared" ca="1" si="29"/>
        <v>37104</v>
      </c>
      <c r="DS38" s="669">
        <v>0.24075687482315503</v>
      </c>
      <c r="DT38" s="606">
        <v>0.23943707861458807</v>
      </c>
      <c r="DU38" s="666">
        <f t="shared" ca="1" si="30"/>
        <v>37104</v>
      </c>
      <c r="DV38" s="669">
        <v>0.24075687482315503</v>
      </c>
      <c r="DW38" s="606">
        <v>0.23943707861458807</v>
      </c>
      <c r="DX38" s="667">
        <f t="shared" ca="1" si="31"/>
        <v>37104</v>
      </c>
      <c r="DY38" s="606">
        <v>0.35000061035156249</v>
      </c>
      <c r="DZ38" s="667">
        <f t="shared" ca="1" si="65"/>
        <v>37104</v>
      </c>
      <c r="EA38" s="606">
        <f t="shared" si="66"/>
        <v>0.23943707861458807</v>
      </c>
      <c r="EB38" s="1"/>
      <c r="EC38" s="118" t="str">
        <f t="shared" ca="1" si="32"/>
        <v/>
      </c>
      <c r="ED38" s="119" t="str">
        <f t="shared" ca="1" si="33"/>
        <v/>
      </c>
      <c r="EE38" s="112" t="str">
        <f t="shared" ca="1" si="34"/>
        <v/>
      </c>
      <c r="EF38" s="120">
        <f ca="1">IF(BD38,_xll.xASN(BR38,Strike1,AO38,ED38,0,BO38,0,BI38,BL38,IF(OptControl=4,0,1),0),0)</f>
        <v>0</v>
      </c>
      <c r="EG38" s="111">
        <f ca="1">IF(BD38,_xll.xASN(BR38,Strike2,AO38,EE38,0,BO38,0,BI38,BL38,IF(OptControl=3,1,0),0),0)</f>
        <v>0</v>
      </c>
      <c r="EH38" s="53"/>
      <c r="EI38" s="483" t="str">
        <f>[1]!'CLc19 MTH'</f>
        <v>MAR2</v>
      </c>
      <c r="EJ38" s="484">
        <f t="shared" si="158"/>
        <v>37316</v>
      </c>
      <c r="EK38" s="485">
        <f>[1]!'CLc19 NET.CHNG'</f>
        <v>0</v>
      </c>
      <c r="EL38" s="486">
        <f t="shared" si="159"/>
        <v>0</v>
      </c>
      <c r="EM38" s="1"/>
      <c r="EN38" s="697">
        <v>37980</v>
      </c>
      <c r="EO38" s="698">
        <v>39814</v>
      </c>
      <c r="EP38" s="1"/>
      <c r="EQ38" s="683" t="s">
        <v>142</v>
      </c>
      <c r="ES38" s="498">
        <v>19</v>
      </c>
      <c r="ET38" s="476">
        <f t="shared" ca="1" si="165"/>
        <v>1.5222450376454484</v>
      </c>
      <c r="EU38" s="842">
        <f t="shared" ca="1" si="67"/>
        <v>0</v>
      </c>
      <c r="EV38" s="815">
        <f t="shared" ca="1" si="160"/>
        <v>0.22394345545824029</v>
      </c>
      <c r="EW38" s="478" t="str">
        <f t="shared" ca="1" si="161"/>
        <v/>
      </c>
      <c r="EX38" s="477" t="str">
        <f t="shared" ca="1" si="162"/>
        <v/>
      </c>
      <c r="EY38" s="250">
        <v>0</v>
      </c>
      <c r="EZ38" s="605" t="str">
        <f ca="1">IF(OR(EW38="",EW39=""),"",SQRT(SUM(INDEX(FK38:ID38,SwaptionFirstMonthPosition+1):INDEX(FK38:ID38,FJ38))/SUM(INDEX($FK$15:$ID$15,SwaptionFirstMonthPosition+1):INDEX($FK$15:$ID$15,FJ38))))</f>
        <v/>
      </c>
      <c r="FA38" s="581" t="str">
        <f ca="1">IF(OR(EW38="",EW37=""),"",SQRT(SUM(INDEX(FK38:ID38,SwaptionFirstMonthPosition+1):INDEX(FK38:ID38,FJ38-1))/SUM(INDEX($FK$15:$ID$15,SwaptionFirstMonthPosition+1):INDEX($FK$15:$ID$15,FJ38-1))))</f>
        <v/>
      </c>
      <c r="FB38" s="578" t="str">
        <f t="shared" ca="1" si="68"/>
        <v/>
      </c>
      <c r="FC38" s="609" t="str">
        <f t="shared" ca="1" si="69"/>
        <v/>
      </c>
      <c r="FD38" s="579" t="str">
        <f t="shared" ca="1" si="70"/>
        <v/>
      </c>
      <c r="FE38" s="579" t="str">
        <f t="shared" ca="1" si="71"/>
        <v/>
      </c>
      <c r="FF38" s="579" t="str">
        <f t="shared" ca="1" si="72"/>
        <v/>
      </c>
      <c r="FG38" s="580" t="str">
        <f t="shared" ca="1" si="73"/>
        <v/>
      </c>
      <c r="FH38" s="606" t="str">
        <f t="shared" ca="1" si="74"/>
        <v/>
      </c>
      <c r="FI38" s="250"/>
      <c r="FJ38" s="673">
        <v>19</v>
      </c>
      <c r="FK38" s="460">
        <f t="shared" ca="1" si="75"/>
        <v>0</v>
      </c>
      <c r="FL38" s="460">
        <f t="shared" ca="1" si="76"/>
        <v>2.4422722940721066E-3</v>
      </c>
      <c r="FM38" s="460">
        <f t="shared" ca="1" si="77"/>
        <v>2.8916056673254403E-3</v>
      </c>
      <c r="FN38" s="460">
        <f t="shared" ca="1" si="78"/>
        <v>2.4870733801913973E-3</v>
      </c>
      <c r="FO38" s="460">
        <f t="shared" ca="1" si="79"/>
        <v>2.6534279678181454E-3</v>
      </c>
      <c r="FP38" s="460">
        <f t="shared" ca="1" si="80"/>
        <v>3.0290637201413513E-3</v>
      </c>
      <c r="FQ38" s="460">
        <f t="shared" ca="1" si="81"/>
        <v>2.5394079719444499E-3</v>
      </c>
      <c r="FR38" s="460">
        <f t="shared" ca="1" si="82"/>
        <v>2.7048924152036427E-3</v>
      </c>
      <c r="FS38" s="460">
        <f t="shared" ca="1" si="83"/>
        <v>3.1982072492622044E-3</v>
      </c>
      <c r="FT38" s="460">
        <f t="shared" ca="1" si="84"/>
        <v>3.0537668631977289E-3</v>
      </c>
      <c r="FU38" s="460">
        <f t="shared" ca="1" si="85"/>
        <v>3.1370221318286072E-3</v>
      </c>
      <c r="FV38" s="460">
        <f t="shared" ca="1" si="86"/>
        <v>3.7268945182144329E-3</v>
      </c>
      <c r="FW38" s="460">
        <f t="shared" ca="1" si="87"/>
        <v>3.8182084139993192E-3</v>
      </c>
      <c r="FX38" s="460">
        <f t="shared" ca="1" si="88"/>
        <v>4.5280410588570286E-3</v>
      </c>
      <c r="FY38" s="460">
        <f t="shared" ca="1" si="89"/>
        <v>4.8157549831859877E-3</v>
      </c>
      <c r="FZ38" s="460">
        <f t="shared" ca="1" si="90"/>
        <v>5.2220472156404895E-3</v>
      </c>
      <c r="GA38" s="460">
        <f t="shared" ca="1" si="91"/>
        <v>6.6878649269486766E-3</v>
      </c>
      <c r="GB38" s="460">
        <f t="shared" ca="1" si="92"/>
        <v>9.0989254304697075E-3</v>
      </c>
      <c r="GC38" s="460">
        <f t="shared" ca="1" si="93"/>
        <v>1.030713422530018E-2</v>
      </c>
      <c r="GD38" s="460" t="str">
        <f t="shared" si="94"/>
        <v/>
      </c>
      <c r="GE38" s="460" t="str">
        <f t="shared" si="95"/>
        <v/>
      </c>
      <c r="GF38" s="460" t="str">
        <f t="shared" si="96"/>
        <v/>
      </c>
      <c r="GG38" s="460" t="str">
        <f t="shared" si="97"/>
        <v/>
      </c>
      <c r="GH38" s="460" t="str">
        <f t="shared" si="98"/>
        <v/>
      </c>
      <c r="GI38" s="460" t="str">
        <f t="shared" si="99"/>
        <v/>
      </c>
      <c r="GJ38" s="460" t="str">
        <f t="shared" si="100"/>
        <v/>
      </c>
      <c r="GK38" s="460" t="str">
        <f t="shared" si="101"/>
        <v/>
      </c>
      <c r="GL38" s="460" t="str">
        <f t="shared" si="102"/>
        <v/>
      </c>
      <c r="GM38" s="460" t="str">
        <f t="shared" si="103"/>
        <v/>
      </c>
      <c r="GN38" s="460" t="str">
        <f t="shared" si="104"/>
        <v/>
      </c>
      <c r="GO38" s="460" t="str">
        <f t="shared" si="105"/>
        <v/>
      </c>
      <c r="GP38" s="460" t="str">
        <f t="shared" si="106"/>
        <v/>
      </c>
      <c r="GQ38" s="460" t="str">
        <f t="shared" si="107"/>
        <v/>
      </c>
      <c r="GR38" s="460" t="str">
        <f t="shared" si="108"/>
        <v/>
      </c>
      <c r="GS38" s="460" t="str">
        <f t="shared" si="109"/>
        <v/>
      </c>
      <c r="GT38" s="460" t="str">
        <f t="shared" si="110"/>
        <v/>
      </c>
      <c r="GU38" s="460" t="str">
        <f t="shared" si="111"/>
        <v/>
      </c>
      <c r="GV38" s="460" t="str">
        <f t="shared" si="112"/>
        <v/>
      </c>
      <c r="GW38" s="460" t="str">
        <f t="shared" si="113"/>
        <v/>
      </c>
      <c r="GX38" s="460" t="str">
        <f t="shared" si="114"/>
        <v/>
      </c>
      <c r="GY38" s="460" t="str">
        <f t="shared" si="115"/>
        <v/>
      </c>
      <c r="GZ38" s="460" t="str">
        <f t="shared" si="116"/>
        <v/>
      </c>
      <c r="HA38" s="460" t="str">
        <f t="shared" si="117"/>
        <v/>
      </c>
      <c r="HB38" s="460" t="str">
        <f t="shared" si="118"/>
        <v/>
      </c>
      <c r="HC38" s="460" t="str">
        <f t="shared" si="119"/>
        <v/>
      </c>
      <c r="HD38" s="460" t="str">
        <f t="shared" si="120"/>
        <v/>
      </c>
      <c r="HE38" s="460" t="str">
        <f t="shared" si="121"/>
        <v/>
      </c>
      <c r="HF38" s="460" t="str">
        <f t="shared" si="122"/>
        <v/>
      </c>
      <c r="HG38" s="460" t="str">
        <f t="shared" si="123"/>
        <v/>
      </c>
      <c r="HH38" s="460" t="str">
        <f t="shared" si="124"/>
        <v/>
      </c>
      <c r="HI38" s="460" t="str">
        <f t="shared" si="125"/>
        <v/>
      </c>
      <c r="HJ38" s="460" t="str">
        <f t="shared" si="126"/>
        <v/>
      </c>
      <c r="HK38" s="460" t="str">
        <f t="shared" si="127"/>
        <v/>
      </c>
      <c r="HL38" s="460" t="str">
        <f t="shared" si="128"/>
        <v/>
      </c>
      <c r="HM38" s="460" t="str">
        <f t="shared" si="129"/>
        <v/>
      </c>
      <c r="HN38" s="460" t="str">
        <f t="shared" si="130"/>
        <v/>
      </c>
      <c r="HO38" s="460" t="str">
        <f t="shared" si="131"/>
        <v/>
      </c>
      <c r="HP38" s="460" t="str">
        <f t="shared" si="132"/>
        <v/>
      </c>
      <c r="HQ38" s="460" t="str">
        <f t="shared" si="133"/>
        <v/>
      </c>
      <c r="HR38" s="460" t="str">
        <f t="shared" si="134"/>
        <v/>
      </c>
      <c r="HS38" s="460" t="str">
        <f t="shared" si="135"/>
        <v/>
      </c>
      <c r="HT38" s="460" t="str">
        <f t="shared" si="136"/>
        <v/>
      </c>
      <c r="HU38" s="460" t="str">
        <f t="shared" si="137"/>
        <v/>
      </c>
      <c r="HV38" s="460" t="str">
        <f t="shared" si="138"/>
        <v/>
      </c>
      <c r="HW38" s="460" t="str">
        <f t="shared" si="139"/>
        <v/>
      </c>
      <c r="HX38" s="460" t="str">
        <f t="shared" si="140"/>
        <v/>
      </c>
      <c r="HY38" s="460" t="str">
        <f t="shared" si="141"/>
        <v/>
      </c>
      <c r="HZ38" s="460" t="str">
        <f t="shared" si="142"/>
        <v/>
      </c>
      <c r="IA38" s="460" t="str">
        <f t="shared" si="143"/>
        <v/>
      </c>
      <c r="IB38" s="460" t="str">
        <f t="shared" si="144"/>
        <v/>
      </c>
      <c r="IC38" s="460" t="str">
        <f t="shared" si="145"/>
        <v/>
      </c>
      <c r="ID38" s="674" t="str">
        <f t="shared" si="146"/>
        <v/>
      </c>
      <c r="IE38" s="250"/>
    </row>
    <row r="39" spans="1:239" ht="14.25" customHeight="1" thickBot="1">
      <c r="A39" s="51"/>
      <c r="B39" s="88" t="str">
        <f ca="1">CONCATENATE(IF(OptControl=3,"Call 2","Put"),IF(OptControl=4," 2",""))</f>
        <v>Put</v>
      </c>
      <c r="C39" s="96" t="e">
        <f ca="1">SUMPRODUCT($BD19:$BD258,DB19:DB258)/NominalVolume</f>
        <v>#DIV/0!</v>
      </c>
      <c r="D39" s="96" t="e">
        <f ca="1">SUMPRODUCT($BD19:$BD258,DC19:DC258)/NominalVolume</f>
        <v>#DIV/0!</v>
      </c>
      <c r="E39" s="96" t="e">
        <f ca="1">SUMPRODUCT($BD19:$BD258,DD19:DD258)/NominalVolume</f>
        <v>#DIV/0!</v>
      </c>
      <c r="F39" s="705" t="e">
        <f ca="1">SUMPRODUCT($BD19:$BD258,DE19:DE258)/NominalVolume</f>
        <v>#DIV/0!</v>
      </c>
      <c r="G39" s="791">
        <f ca="1">SUMPRODUCT(CHOOSE(Underlying,J19:J258,P19:P258),BD19:BD258,AP19:AP258)/E32</f>
        <v>0</v>
      </c>
      <c r="H39" s="51">
        <f t="shared" ca="1" si="35"/>
        <v>0</v>
      </c>
      <c r="I39" s="379">
        <f t="shared" si="36"/>
        <v>37347</v>
      </c>
      <c r="J39" s="377"/>
      <c r="K39" s="104" t="s">
        <v>488</v>
      </c>
      <c r="L39" s="392">
        <f t="shared" si="37"/>
        <v>0</v>
      </c>
      <c r="M39" s="171"/>
      <c r="N39" s="382">
        <v>0</v>
      </c>
      <c r="O39" s="171">
        <f t="shared" si="38"/>
        <v>0</v>
      </c>
      <c r="P39" s="377"/>
      <c r="Q39" s="104" t="s">
        <v>488</v>
      </c>
      <c r="R39" s="377">
        <f t="shared" ca="1" si="148"/>
        <v>0</v>
      </c>
      <c r="S39" s="832">
        <f t="shared" si="164"/>
        <v>0.36022550840454642</v>
      </c>
      <c r="T39" s="831">
        <f t="shared" si="149"/>
        <v>0.99422608598704254</v>
      </c>
      <c r="U39" s="545">
        <f t="shared" si="150"/>
        <v>0.9999365757612213</v>
      </c>
      <c r="V39" s="389">
        <v>0</v>
      </c>
      <c r="W39" s="434">
        <f t="shared" si="39"/>
        <v>0</v>
      </c>
      <c r="X39" s="415">
        <f t="shared" si="40"/>
        <v>0</v>
      </c>
      <c r="Y39" s="322">
        <f t="shared" si="41"/>
        <v>0</v>
      </c>
      <c r="Z39" s="322">
        <f t="shared" ca="1" si="42"/>
        <v>0</v>
      </c>
      <c r="AA39" s="429">
        <f t="shared" si="1"/>
        <v>0</v>
      </c>
      <c r="AB39" s="433">
        <f t="shared" ca="1" si="2"/>
        <v>0</v>
      </c>
      <c r="AC39" s="226">
        <v>37335</v>
      </c>
      <c r="AD39" s="229">
        <v>37330</v>
      </c>
      <c r="AE39" s="227">
        <v>37329</v>
      </c>
      <c r="AF39" s="228">
        <v>37328</v>
      </c>
      <c r="AG39" s="249" t="s">
        <v>498</v>
      </c>
      <c r="AH39" s="247" t="s">
        <v>90</v>
      </c>
      <c r="AI39" s="146">
        <v>22</v>
      </c>
      <c r="AJ39" s="41">
        <v>16</v>
      </c>
      <c r="AK39" s="41">
        <v>6</v>
      </c>
      <c r="AL39" s="293">
        <v>22</v>
      </c>
      <c r="AM39" s="41">
        <v>10</v>
      </c>
      <c r="AN39" s="147">
        <v>12</v>
      </c>
      <c r="AO39" s="374"/>
      <c r="AP39" s="153">
        <f t="shared" ca="1" si="43"/>
        <v>1</v>
      </c>
      <c r="AQ39" s="374"/>
      <c r="AR39" s="153">
        <f t="shared" ca="1" si="151"/>
        <v>1</v>
      </c>
      <c r="AS39" s="272">
        <f t="shared" si="3"/>
        <v>0</v>
      </c>
      <c r="AT39" s="157">
        <f t="shared" si="44"/>
        <v>0</v>
      </c>
      <c r="AU39" s="157">
        <f t="shared" si="4"/>
        <v>0</v>
      </c>
      <c r="AV39" s="271">
        <f t="shared" ca="1" si="163"/>
        <v>9.9999999999999995E-7</v>
      </c>
      <c r="AW39" s="158">
        <f t="shared" ca="1" si="5"/>
        <v>3</v>
      </c>
      <c r="AX39" s="157">
        <f t="shared" ca="1" si="152"/>
        <v>1.3491245779872393E-2</v>
      </c>
      <c r="AY39" s="157">
        <f t="shared" ca="1" si="153"/>
        <v>9.204563145142907E-3</v>
      </c>
      <c r="AZ39" s="157">
        <f t="shared" ca="1" si="154"/>
        <v>4.8867960289906299E-3</v>
      </c>
      <c r="BA39" s="157">
        <f t="shared" ca="1" si="155"/>
        <v>6.1084950362382874E-4</v>
      </c>
      <c r="BB39" s="157">
        <f t="shared" ca="1" si="156"/>
        <v>6.8676006565851033E-4</v>
      </c>
      <c r="BC39" s="157">
        <f t="shared" ca="1" si="157"/>
        <v>7.4627423215495585E-4</v>
      </c>
      <c r="BD39" s="151">
        <f t="shared" ca="1" si="45"/>
        <v>0</v>
      </c>
      <c r="BE39" s="152">
        <f t="shared" ca="1" si="46"/>
        <v>0</v>
      </c>
      <c r="BF39" s="40">
        <f t="shared" si="7"/>
        <v>2002</v>
      </c>
      <c r="BG39" s="144">
        <f t="shared" si="8"/>
        <v>4</v>
      </c>
      <c r="BH39" s="145">
        <f t="shared" ca="1" si="47"/>
        <v>585</v>
      </c>
      <c r="BI39" s="313">
        <f t="shared" ca="1" si="9"/>
        <v>1.6481861738535251</v>
      </c>
      <c r="BJ39" s="42">
        <f t="shared" ca="1" si="10"/>
        <v>1.705929935909402</v>
      </c>
      <c r="BK39" s="42">
        <f t="shared" ca="1" si="11"/>
        <v>1.7086677866965341</v>
      </c>
      <c r="BL39" s="42">
        <f t="shared" ca="1" si="12"/>
        <v>1.7275838466803559</v>
      </c>
      <c r="BM39" s="150" t="e">
        <f t="shared" ca="1" si="13"/>
        <v>#DIV/0!</v>
      </c>
      <c r="BN39" s="42" t="e">
        <f t="shared" ca="1" si="14"/>
        <v>#DIV/0!</v>
      </c>
      <c r="BO39" s="293">
        <f t="shared" si="48"/>
        <v>22</v>
      </c>
      <c r="BP39" s="41">
        <f t="shared" si="49"/>
        <v>16</v>
      </c>
      <c r="BQ39" s="41">
        <f t="shared" si="50"/>
        <v>6</v>
      </c>
      <c r="BR39" s="305" t="str">
        <f t="shared" ca="1" si="15"/>
        <v/>
      </c>
      <c r="BS39" s="305" t="str">
        <f t="shared" ca="1" si="16"/>
        <v/>
      </c>
      <c r="BT39" s="307" t="str">
        <f t="shared" ca="1" si="17"/>
        <v/>
      </c>
      <c r="BU39" s="161" t="str">
        <f t="shared" ca="1" si="18"/>
        <v/>
      </c>
      <c r="BV39" s="161" t="str">
        <f t="shared" ca="1" si="19"/>
        <v/>
      </c>
      <c r="BW39" s="308" t="str">
        <f t="shared" ca="1" si="20"/>
        <v/>
      </c>
      <c r="BX39" s="309" t="str">
        <f t="shared" ca="1" si="21"/>
        <v/>
      </c>
      <c r="BY39" s="308" t="str">
        <f t="shared" ca="1" si="51"/>
        <v/>
      </c>
      <c r="BZ39" s="309" t="str">
        <f t="shared" ca="1" si="52"/>
        <v/>
      </c>
      <c r="CA39" s="154" t="str">
        <f t="shared" ca="1" si="22"/>
        <v/>
      </c>
      <c r="CB39" s="154" t="str">
        <f t="shared" ca="1" si="23"/>
        <v/>
      </c>
      <c r="CC39" s="154" t="str">
        <f t="shared" ca="1" si="24"/>
        <v/>
      </c>
      <c r="CD39" s="154" t="str">
        <f t="shared" ca="1" si="25"/>
        <v/>
      </c>
      <c r="CE39" s="310">
        <v>1</v>
      </c>
      <c r="CF39" s="162">
        <f ca="1">IF(BD39,_xll.xCrudeAPO(BU39,BV39,CA39,CB39,S40,S41,BI39,BL39,BP39,BQ39,0,Strike1,AO39,CE39,0,BL39,IF(OptControl=4,0,1),0,1),0)</f>
        <v>0</v>
      </c>
      <c r="CG39" s="163">
        <f ca="1">IF(BD39,_xll.xCrudeAPO(BU39,BV39,CA39,CB39,S40,S41,BI39,BL39,BP39,BQ39,0,Strike1,AO39,CE39,0,BL39,IF(OptControl=4,0,1),1,1)+_xll.xCrudeAPO(BU39,BV39,CA39,CB39,S40,S41,BI39,BL39,BP39,BQ39,0,Strike1,AO39,CE39,0,BL39,IF(OptControl=4,0,1),1,2)+IF(OR(VolSkewFlag=2,ABS(BS39)&lt;0.0001),0,IF(BS39&gt;0,-1,1)*CH39*Strike1/BR39^2*BY39/10%),0)</f>
        <v>0</v>
      </c>
      <c r="CH39" s="163">
        <f ca="1">IF(BD39,(_xll.xCrudeAPO(BU39,BV39,CA39,CB39,S40,S41,BI39,BL39,BP39,BQ39,0,Strike1,AO39,CE39,0,BL39,IF(OptControl=4,0,1),3,1)+_xll.xCrudeAPO(BU39,BV39,CA39,CB39,S40,S41,BI39,BL39,BP39,BQ39,0,Strike1,AO39,CE39,0,BL39,IF(OptControl=4,0,1),3,2))/100,0)</f>
        <v>0</v>
      </c>
      <c r="CI39" s="163">
        <f ca="1">IF(BD39,_xll.xCrudeAPO(BU39,BV39,CA39,CB39,S40,S41,BI39-DaysForThetaCalculation/365.25,BL39-DaysForThetaCalculation/365.25,BP39,BQ39,0,Strike1,AO39,CE39,0,BL39,IF(OptControl=4,0,1),0,1)-_xll.xCrudeAPO(BU39,BV39,CA39,CB39,S40,S41,BI39,BL39,BP39,BQ39,0,Strike1,AO39,CE39,0,BL39,IF(OptControl=4,0,1),0,1),0)</f>
        <v>0</v>
      </c>
      <c r="CJ39" s="311">
        <f ca="1">IF(BD39,_xll.xCrudeAPO(BU39,BV39,CC39,CD39,S40,S41,BI39,BL39,BP39,BQ39,0,Strike2,AO39,CE39,0,BL39,IF(OptControl=3,1,0),0,1),0)</f>
        <v>0</v>
      </c>
      <c r="CK39" s="163">
        <f ca="1">IF(BD39,_xll.xCrudeAPO(BU39,BV39,CC39,CD39,S40,S41,BI39,BL39,BP39,BQ39,0,Strike2,AO39,CE39,0,BL39,IF(OptControl=3,1,0),1,1)+_xll.xCrudeAPO(BU39,BV39,CC39,CD39,S40,S41,BI39,BL39,BP39,BQ39,0,Strike2,AO39,CE39,0,BL39,IF(OptControl=3,1,0),1,2)+IF(OR(VolSkewFlag=2,ABS(BT39)&lt;0.0001),0,IF(BT39&gt;0,-1,1)*CL39*Strike2/BR39^2*BZ39/10%),0)</f>
        <v>0</v>
      </c>
      <c r="CL39" s="163">
        <f ca="1">IF(BD39,(_xll.xCrudeAPO(BU39,BV39,CC39,CD39,S40,S41,BI39,BL39,BP39,BQ39,0,Strike2,AO39,CE39,0,BL39,IF(OptControl=3,1,0),3,1)+_xll.xCrudeAPO(BU39,BV39,CC39,CD39,S40,S41,BI39,BL39,BP39,BQ39,0,Strike2,AO39,CE39,0,BL39,IF(OptControl=3,1,0),3,2))/100,0)</f>
        <v>0</v>
      </c>
      <c r="CM39" s="164">
        <f ca="1">IF(BD39,_xll.xCrudeAPO(BU39,BV39,CC39,CD39,S40,S41,BI39-DaysForThetaCalculation/365.25,BL39-DaysForThetaCalculation/365.25,BP39,BQ39,0,Strike2,AO39,CE39,0,BL39,IF(OptControl=3,1,0),0,1)-_xll.xCrudeAPO(BU39,BV39,CC39,CD39,S40,S41,BI39,BL39,BP39,BQ39,0,Strike2,AO39,CE39,0,BL39,IF(OptControl=3,1,0),0,1),0)</f>
        <v>0</v>
      </c>
      <c r="CO39" s="796" t="str">
        <f t="shared" ca="1" si="53"/>
        <v/>
      </c>
      <c r="CP39" s="800" t="str">
        <f t="shared" ca="1" si="54"/>
        <v/>
      </c>
      <c r="CQ39" s="797" t="str">
        <f t="shared" ca="1" si="55"/>
        <v/>
      </c>
      <c r="CR39" s="797" t="str">
        <f t="shared" ca="1" si="56"/>
        <v/>
      </c>
      <c r="CS39" s="797" t="str">
        <f t="shared" ca="1" si="57"/>
        <v/>
      </c>
      <c r="CT39" s="797" t="str">
        <f t="shared" ca="1" si="58"/>
        <v/>
      </c>
      <c r="CU39" s="798" t="str">
        <f t="shared" ca="1" si="59"/>
        <v/>
      </c>
      <c r="CV39" s="799" t="str">
        <f t="shared" ca="1" si="60"/>
        <v/>
      </c>
      <c r="CW39" s="799" t="str">
        <f t="shared" ca="1" si="61"/>
        <v/>
      </c>
      <c r="CX39" s="163">
        <f ca="1">IF(BD39,_xll.EURO(CP39,Strike1,AO39,AO39,CV39,CO39,IF(OptControl=4,0,1),0),0)</f>
        <v>0</v>
      </c>
      <c r="CY39" s="163">
        <f ca="1">IF(BD39,_xll.EURO(CP39,Strike1,AO39,AO39,CV39,CO39,IF(OptControl=4,0,1),1)+IF(OR(VolSkewFlag=2,ABS(CQ39)&lt;0.0001),0,IF(CQ39&gt;0,-1,1)*CZ39*100*Strike1/CP39^2*CS39/10%),0)</f>
        <v>0</v>
      </c>
      <c r="CZ39" s="163">
        <f ca="1">IF(BD39,_xll.EURO(CP39,Strike1,AO39,AO39,CV39,CO39,IF(OptControl=4,0,1),3)/100,0)</f>
        <v>0</v>
      </c>
      <c r="DA39" s="163">
        <f ca="1">IF(BD39,_xll.EURO(CP39,Strike1,AO39,AO39,CV39,CO39,IF(OptControl=4,0,1),0)-_xll.EURO(CP39,Strike1,AO39,AO39,CV39,CO39-1,IF(OptControl=4,0,1),0),0)</f>
        <v>0</v>
      </c>
      <c r="DB39" s="163">
        <f ca="1">IF(BD39,_xll.EURO(CP39,Strike2,AO39,AO39,CW39,CO39,IF(OptControl=3,1,0),0),0)</f>
        <v>0</v>
      </c>
      <c r="DC39" s="163">
        <f ca="1">IF(BD39,_xll.EURO(CP39,Strike2,AO39,AO39,CW39,CO39,IF(OptControl=3,1,0),1)+IF(OR(VolSkewFlag=2,ABS(CR39)&lt;0.0001),0,IF(CR39&gt;0,-1,1)*DD39*100*Strike2/CP39^2*CT39/10%),0)</f>
        <v>0</v>
      </c>
      <c r="DD39" s="163">
        <f ca="1">IF(BD39,_xll.EURO(CP39,Strike2,AO39,AO39,CW39,CO39,IF(OptControl=3,1,0),3)/100,0)</f>
        <v>0</v>
      </c>
      <c r="DE39" s="164">
        <f ca="1">IF(BD39,_xll.EURO(CP39,Strike2,AO39,AO39,CW39,CO39,IF(OptControl=3,1,0),0)-_xll.EURO(CP39,Strike2,AO39,AO39,CW39,CO39-1,IF(OptControl=3,1,0),0),0)</f>
        <v>0</v>
      </c>
      <c r="DF39" s="55"/>
      <c r="DG39" s="667">
        <f t="shared" ca="1" si="62"/>
        <v>37135</v>
      </c>
      <c r="DH39" s="475">
        <v>20.93</v>
      </c>
      <c r="DI39" s="665">
        <v>20.600999999999999</v>
      </c>
      <c r="DJ39" s="666">
        <f t="shared" ca="1" si="26"/>
        <v>37135</v>
      </c>
      <c r="DK39" s="475">
        <v>19.585000000000001</v>
      </c>
      <c r="DL39" s="665">
        <v>19.241000000000003</v>
      </c>
      <c r="DM39" s="667">
        <f t="shared" ca="1" si="27"/>
        <v>37135</v>
      </c>
      <c r="DN39" s="668">
        <f t="shared" si="28"/>
        <v>19.635000000000002</v>
      </c>
      <c r="DO39" s="667">
        <f t="shared" ca="1" si="63"/>
        <v>37135</v>
      </c>
      <c r="DP39" s="579">
        <f t="shared" si="64"/>
        <v>19.331000000000003</v>
      </c>
      <c r="DQ39" s="821">
        <v>0.09</v>
      </c>
      <c r="DR39" s="666">
        <f t="shared" ca="1" si="29"/>
        <v>37135</v>
      </c>
      <c r="DS39" s="669">
        <v>0.23991401765002007</v>
      </c>
      <c r="DT39" s="606">
        <v>0.23767034130195216</v>
      </c>
      <c r="DU39" s="666">
        <f t="shared" ca="1" si="30"/>
        <v>37135</v>
      </c>
      <c r="DV39" s="669">
        <v>0.23991401765002007</v>
      </c>
      <c r="DW39" s="606">
        <v>0.23767034130195216</v>
      </c>
      <c r="DX39" s="667">
        <f t="shared" ca="1" si="31"/>
        <v>37135</v>
      </c>
      <c r="DY39" s="606">
        <v>0.35000030517578123</v>
      </c>
      <c r="DZ39" s="667">
        <f t="shared" ca="1" si="65"/>
        <v>37135</v>
      </c>
      <c r="EA39" s="606">
        <f t="shared" si="66"/>
        <v>0.23767034130195216</v>
      </c>
      <c r="EB39" s="1"/>
      <c r="EC39" s="118" t="str">
        <f t="shared" ca="1" si="32"/>
        <v/>
      </c>
      <c r="ED39" s="119" t="str">
        <f t="shared" ca="1" si="33"/>
        <v/>
      </c>
      <c r="EE39" s="112" t="str">
        <f t="shared" ca="1" si="34"/>
        <v/>
      </c>
      <c r="EF39" s="120">
        <f ca="1">IF(BD39,_xll.xASN(BR39,Strike1,AO39,ED39,0,BO39,0,BI39,BL39,IF(OptControl=4,0,1),0),0)</f>
        <v>0</v>
      </c>
      <c r="EG39" s="111">
        <f ca="1">IF(BD39,_xll.xASN(BR39,Strike2,AO39,EE39,0,BO39,0,BI39,BL39,IF(OptControl=3,1,0),0),0)</f>
        <v>0</v>
      </c>
      <c r="EI39" s="483" t="str">
        <f>[1]!'CLc20 MTH'</f>
        <v>APR2</v>
      </c>
      <c r="EJ39" s="484">
        <f t="shared" si="158"/>
        <v>37347</v>
      </c>
      <c r="EK39" s="485">
        <f>[1]!'CLc20 NET.CHNG'</f>
        <v>0</v>
      </c>
      <c r="EL39" s="486">
        <f t="shared" si="159"/>
        <v>0</v>
      </c>
      <c r="EM39" s="1"/>
      <c r="EN39" s="697">
        <v>37987</v>
      </c>
      <c r="EO39" s="698">
        <v>40172</v>
      </c>
      <c r="EP39" s="1"/>
      <c r="EQ39" s="683" t="s">
        <v>143</v>
      </c>
      <c r="ES39" s="498">
        <v>20</v>
      </c>
      <c r="ET39" s="476">
        <f t="shared" ca="1" si="165"/>
        <v>1.6016427104722792</v>
      </c>
      <c r="EU39" s="842">
        <f t="shared" ca="1" si="67"/>
        <v>0</v>
      </c>
      <c r="EV39" s="815">
        <f t="shared" ca="1" si="160"/>
        <v>0.22079068025083035</v>
      </c>
      <c r="EW39" s="478" t="str">
        <f t="shared" ca="1" si="161"/>
        <v/>
      </c>
      <c r="EX39" s="477" t="str">
        <f t="shared" ca="1" si="162"/>
        <v/>
      </c>
      <c r="EY39" s="250">
        <v>0</v>
      </c>
      <c r="EZ39" s="605" t="str">
        <f ca="1">IF(OR(EW39="",EW40=""),"",SQRT(SUM(INDEX(FK39:ID39,SwaptionFirstMonthPosition+1):INDEX(FK39:ID39,FJ39))/SUM(INDEX($FK$15:$ID$15,SwaptionFirstMonthPosition+1):INDEX($FK$15:$ID$15,FJ39))))</f>
        <v/>
      </c>
      <c r="FA39" s="581" t="str">
        <f ca="1">IF(OR(EW39="",EW38=""),"",SQRT(SUM(INDEX(FK39:ID39,SwaptionFirstMonthPosition+1):INDEX(FK39:ID39,FJ39-1))/SUM(INDEX($FK$15:$ID$15,SwaptionFirstMonthPosition+1):INDEX($FK$15:$ID$15,FJ39-1))))</f>
        <v/>
      </c>
      <c r="FB39" s="578" t="str">
        <f t="shared" ca="1" si="68"/>
        <v/>
      </c>
      <c r="FC39" s="609" t="str">
        <f t="shared" ca="1" si="69"/>
        <v/>
      </c>
      <c r="FD39" s="579" t="str">
        <f t="shared" ca="1" si="70"/>
        <v/>
      </c>
      <c r="FE39" s="579" t="str">
        <f t="shared" ca="1" si="71"/>
        <v/>
      </c>
      <c r="FF39" s="579" t="str">
        <f t="shared" ca="1" si="72"/>
        <v/>
      </c>
      <c r="FG39" s="580" t="str">
        <f t="shared" ca="1" si="73"/>
        <v/>
      </c>
      <c r="FH39" s="606" t="str">
        <f t="shared" ca="1" si="74"/>
        <v/>
      </c>
      <c r="FI39" s="250"/>
      <c r="FJ39" s="673">
        <v>20</v>
      </c>
      <c r="FK39" s="460">
        <f t="shared" ca="1" si="75"/>
        <v>0</v>
      </c>
      <c r="FL39" s="460">
        <f t="shared" ca="1" si="76"/>
        <v>2.404013145095172E-3</v>
      </c>
      <c r="FM39" s="460">
        <f t="shared" ca="1" si="77"/>
        <v>2.8386253963386576E-3</v>
      </c>
      <c r="FN39" s="460">
        <f t="shared" ca="1" si="78"/>
        <v>2.4337770148388635E-3</v>
      </c>
      <c r="FO39" s="460">
        <f t="shared" ca="1" si="79"/>
        <v>2.5869235982326341E-3</v>
      </c>
      <c r="FP39" s="460">
        <f t="shared" ca="1" si="80"/>
        <v>2.9402694026885129E-3</v>
      </c>
      <c r="FQ39" s="460">
        <f t="shared" ca="1" si="81"/>
        <v>2.4523430674850823E-3</v>
      </c>
      <c r="FR39" s="460">
        <f t="shared" ca="1" si="82"/>
        <v>2.5964261889433442E-3</v>
      </c>
      <c r="FS39" s="460">
        <f t="shared" ca="1" si="83"/>
        <v>3.0482094030913434E-3</v>
      </c>
      <c r="FT39" s="460">
        <f t="shared" ca="1" si="84"/>
        <v>2.8862539917679062E-3</v>
      </c>
      <c r="FU39" s="460">
        <f t="shared" ca="1" si="85"/>
        <v>2.9357592101592559E-3</v>
      </c>
      <c r="FV39" s="460">
        <f t="shared" ca="1" si="86"/>
        <v>3.4472365637855961E-3</v>
      </c>
      <c r="FW39" s="460">
        <f t="shared" ca="1" si="87"/>
        <v>3.4831090596049055E-3</v>
      </c>
      <c r="FX39" s="460">
        <f t="shared" ca="1" si="88"/>
        <v>4.0632495319722932E-3</v>
      </c>
      <c r="FY39" s="460">
        <f t="shared" ca="1" si="89"/>
        <v>4.2375975494315004E-3</v>
      </c>
      <c r="FZ39" s="460">
        <f t="shared" ca="1" si="90"/>
        <v>4.4887898894861592E-3</v>
      </c>
      <c r="GA39" s="460">
        <f t="shared" ca="1" si="91"/>
        <v>5.5895244343635271E-3</v>
      </c>
      <c r="GB39" s="460">
        <f t="shared" ca="1" si="92"/>
        <v>7.3511988433030235E-3</v>
      </c>
      <c r="GC39" s="460">
        <f t="shared" ca="1" si="93"/>
        <v>7.9915786754250241E-3</v>
      </c>
      <c r="GD39" s="460">
        <f t="shared" ca="1" si="94"/>
        <v>1.0302833922666942E-2</v>
      </c>
      <c r="GE39" s="460" t="str">
        <f t="shared" si="95"/>
        <v/>
      </c>
      <c r="GF39" s="460" t="str">
        <f t="shared" si="96"/>
        <v/>
      </c>
      <c r="GG39" s="460" t="str">
        <f t="shared" si="97"/>
        <v/>
      </c>
      <c r="GH39" s="460" t="str">
        <f t="shared" si="98"/>
        <v/>
      </c>
      <c r="GI39" s="460" t="str">
        <f t="shared" si="99"/>
        <v/>
      </c>
      <c r="GJ39" s="460" t="str">
        <f t="shared" si="100"/>
        <v/>
      </c>
      <c r="GK39" s="460" t="str">
        <f t="shared" si="101"/>
        <v/>
      </c>
      <c r="GL39" s="460" t="str">
        <f t="shared" si="102"/>
        <v/>
      </c>
      <c r="GM39" s="460" t="str">
        <f t="shared" si="103"/>
        <v/>
      </c>
      <c r="GN39" s="460" t="str">
        <f t="shared" si="104"/>
        <v/>
      </c>
      <c r="GO39" s="460" t="str">
        <f t="shared" si="105"/>
        <v/>
      </c>
      <c r="GP39" s="460" t="str">
        <f t="shared" si="106"/>
        <v/>
      </c>
      <c r="GQ39" s="460" t="str">
        <f t="shared" si="107"/>
        <v/>
      </c>
      <c r="GR39" s="460" t="str">
        <f t="shared" si="108"/>
        <v/>
      </c>
      <c r="GS39" s="460" t="str">
        <f t="shared" si="109"/>
        <v/>
      </c>
      <c r="GT39" s="460" t="str">
        <f t="shared" si="110"/>
        <v/>
      </c>
      <c r="GU39" s="460" t="str">
        <f t="shared" si="111"/>
        <v/>
      </c>
      <c r="GV39" s="460" t="str">
        <f t="shared" si="112"/>
        <v/>
      </c>
      <c r="GW39" s="460" t="str">
        <f t="shared" si="113"/>
        <v/>
      </c>
      <c r="GX39" s="460" t="str">
        <f t="shared" si="114"/>
        <v/>
      </c>
      <c r="GY39" s="460" t="str">
        <f t="shared" si="115"/>
        <v/>
      </c>
      <c r="GZ39" s="460" t="str">
        <f t="shared" si="116"/>
        <v/>
      </c>
      <c r="HA39" s="460" t="str">
        <f t="shared" si="117"/>
        <v/>
      </c>
      <c r="HB39" s="460" t="str">
        <f t="shared" si="118"/>
        <v/>
      </c>
      <c r="HC39" s="460" t="str">
        <f t="shared" si="119"/>
        <v/>
      </c>
      <c r="HD39" s="460" t="str">
        <f t="shared" si="120"/>
        <v/>
      </c>
      <c r="HE39" s="460" t="str">
        <f t="shared" si="121"/>
        <v/>
      </c>
      <c r="HF39" s="460" t="str">
        <f t="shared" si="122"/>
        <v/>
      </c>
      <c r="HG39" s="460" t="str">
        <f t="shared" si="123"/>
        <v/>
      </c>
      <c r="HH39" s="460" t="str">
        <f t="shared" si="124"/>
        <v/>
      </c>
      <c r="HI39" s="460" t="str">
        <f t="shared" si="125"/>
        <v/>
      </c>
      <c r="HJ39" s="460" t="str">
        <f t="shared" si="126"/>
        <v/>
      </c>
      <c r="HK39" s="460" t="str">
        <f t="shared" si="127"/>
        <v/>
      </c>
      <c r="HL39" s="460" t="str">
        <f t="shared" si="128"/>
        <v/>
      </c>
      <c r="HM39" s="460" t="str">
        <f t="shared" si="129"/>
        <v/>
      </c>
      <c r="HN39" s="460" t="str">
        <f t="shared" si="130"/>
        <v/>
      </c>
      <c r="HO39" s="460" t="str">
        <f t="shared" si="131"/>
        <v/>
      </c>
      <c r="HP39" s="460" t="str">
        <f t="shared" si="132"/>
        <v/>
      </c>
      <c r="HQ39" s="460" t="str">
        <f t="shared" si="133"/>
        <v/>
      </c>
      <c r="HR39" s="460" t="str">
        <f t="shared" si="134"/>
        <v/>
      </c>
      <c r="HS39" s="460" t="str">
        <f t="shared" si="135"/>
        <v/>
      </c>
      <c r="HT39" s="460" t="str">
        <f t="shared" si="136"/>
        <v/>
      </c>
      <c r="HU39" s="460" t="str">
        <f t="shared" si="137"/>
        <v/>
      </c>
      <c r="HV39" s="460" t="str">
        <f t="shared" si="138"/>
        <v/>
      </c>
      <c r="HW39" s="460" t="str">
        <f t="shared" si="139"/>
        <v/>
      </c>
      <c r="HX39" s="460" t="str">
        <f t="shared" si="140"/>
        <v/>
      </c>
      <c r="HY39" s="460" t="str">
        <f t="shared" si="141"/>
        <v/>
      </c>
      <c r="HZ39" s="460" t="str">
        <f t="shared" si="142"/>
        <v/>
      </c>
      <c r="IA39" s="460" t="str">
        <f t="shared" si="143"/>
        <v/>
      </c>
      <c r="IB39" s="460" t="str">
        <f t="shared" si="144"/>
        <v/>
      </c>
      <c r="IC39" s="460" t="str">
        <f t="shared" si="145"/>
        <v/>
      </c>
      <c r="ID39" s="674" t="str">
        <f t="shared" si="146"/>
        <v/>
      </c>
      <c r="IE39" s="250"/>
    </row>
    <row r="40" spans="1:239" ht="15.75" customHeight="1">
      <c r="A40" s="51"/>
      <c r="B40" s="453" t="str">
        <f>IF(OptControl=3,"Call Spread",IF(OptControl=4,"Put Spread","Straddle"))</f>
        <v>Straddle</v>
      </c>
      <c r="C40" s="454" t="e">
        <f ca="1">C38+C39*IF(OptControl&gt;2,-1,1)</f>
        <v>#DIV/0!</v>
      </c>
      <c r="D40" s="454" t="e">
        <f ca="1">D38+D39*IF(OptControl&gt;2,-1,1)</f>
        <v>#DIV/0!</v>
      </c>
      <c r="E40" s="454" t="e">
        <f ca="1">E38+E39*IF(OptControl&gt;2,-1,1)</f>
        <v>#DIV/0!</v>
      </c>
      <c r="F40" s="703" t="e">
        <f ca="1">F38+F39*IF(OptControl&gt;2,-1,1)</f>
        <v>#DIV/0!</v>
      </c>
      <c r="G40" s="789" t="s">
        <v>209</v>
      </c>
      <c r="H40" s="51">
        <f t="shared" ca="1" si="35"/>
        <v>0</v>
      </c>
      <c r="I40" s="379">
        <f t="shared" si="36"/>
        <v>37377</v>
      </c>
      <c r="J40" s="377"/>
      <c r="K40" s="104" t="s">
        <v>488</v>
      </c>
      <c r="L40" s="392">
        <f t="shared" si="37"/>
        <v>0</v>
      </c>
      <c r="M40" s="171"/>
      <c r="N40" s="382">
        <v>0</v>
      </c>
      <c r="O40" s="171">
        <f t="shared" si="38"/>
        <v>0</v>
      </c>
      <c r="P40" s="377"/>
      <c r="Q40" s="103" t="s">
        <v>269</v>
      </c>
      <c r="R40" s="377">
        <f t="shared" ca="1" si="148"/>
        <v>0</v>
      </c>
      <c r="S40" s="832">
        <f t="shared" si="164"/>
        <v>0.36016913130340983</v>
      </c>
      <c r="T40" s="831">
        <f t="shared" si="149"/>
        <v>0.99506864858297572</v>
      </c>
      <c r="U40" s="545">
        <f t="shared" si="150"/>
        <v>0.99995243182091598</v>
      </c>
      <c r="V40" s="389">
        <v>0</v>
      </c>
      <c r="W40" s="434">
        <f t="shared" si="39"/>
        <v>0</v>
      </c>
      <c r="X40" s="415">
        <f t="shared" si="40"/>
        <v>0</v>
      </c>
      <c r="Y40" s="322">
        <f t="shared" si="41"/>
        <v>0</v>
      </c>
      <c r="Z40" s="322">
        <f t="shared" ca="1" si="42"/>
        <v>0</v>
      </c>
      <c r="AA40" s="429">
        <f t="shared" si="1"/>
        <v>0</v>
      </c>
      <c r="AB40" s="433">
        <f t="shared" ca="1" si="2"/>
        <v>0</v>
      </c>
      <c r="AC40" s="226">
        <v>37368</v>
      </c>
      <c r="AD40" s="229">
        <v>37363</v>
      </c>
      <c r="AE40" s="227">
        <v>37361</v>
      </c>
      <c r="AF40" s="228">
        <v>37356</v>
      </c>
      <c r="AG40" s="249" t="s">
        <v>498</v>
      </c>
      <c r="AH40" s="247" t="s">
        <v>90</v>
      </c>
      <c r="AI40" s="146">
        <v>23</v>
      </c>
      <c r="AJ40" s="41">
        <v>15</v>
      </c>
      <c r="AK40" s="41">
        <v>8</v>
      </c>
      <c r="AL40" s="293">
        <v>23</v>
      </c>
      <c r="AM40" s="41">
        <v>11</v>
      </c>
      <c r="AN40" s="147">
        <v>12</v>
      </c>
      <c r="AO40" s="374"/>
      <c r="AP40" s="153">
        <f t="shared" ca="1" si="43"/>
        <v>1</v>
      </c>
      <c r="AQ40" s="374"/>
      <c r="AR40" s="153">
        <f t="shared" ca="1" si="151"/>
        <v>1</v>
      </c>
      <c r="AS40" s="272">
        <f t="shared" si="3"/>
        <v>0</v>
      </c>
      <c r="AT40" s="157">
        <f t="shared" si="44"/>
        <v>0</v>
      </c>
      <c r="AU40" s="157">
        <f t="shared" si="4"/>
        <v>0</v>
      </c>
      <c r="AV40" s="271">
        <f t="shared" ca="1" si="163"/>
        <v>9.9999999999999995E-7</v>
      </c>
      <c r="AW40" s="158">
        <f t="shared" ca="1" si="5"/>
        <v>3</v>
      </c>
      <c r="AX40" s="157">
        <f t="shared" ca="1" si="152"/>
        <v>1.3043008659973441E-2</v>
      </c>
      <c r="AY40" s="157">
        <f t="shared" ca="1" si="153"/>
        <v>8.8395888950154565E-3</v>
      </c>
      <c r="AZ40" s="157">
        <f t="shared" ca="1" si="154"/>
        <v>4.6125212430791623E-3</v>
      </c>
      <c r="BA40" s="157">
        <f t="shared" ca="1" si="155"/>
        <v>5.7656515538489518E-4</v>
      </c>
      <c r="BB40" s="157">
        <f t="shared" ca="1" si="156"/>
        <v>6.2667869289367644E-4</v>
      </c>
      <c r="BC40" s="157">
        <f t="shared" ca="1" si="157"/>
        <v>6.6485475680801642E-4</v>
      </c>
      <c r="BD40" s="151">
        <f t="shared" ca="1" si="45"/>
        <v>0</v>
      </c>
      <c r="BE40" s="152">
        <f t="shared" ca="1" si="46"/>
        <v>0</v>
      </c>
      <c r="BF40" s="40">
        <f t="shared" si="7"/>
        <v>2002</v>
      </c>
      <c r="BG40" s="144">
        <f t="shared" si="8"/>
        <v>5</v>
      </c>
      <c r="BH40" s="145">
        <f t="shared" ca="1" si="47"/>
        <v>618</v>
      </c>
      <c r="BI40" s="313">
        <f t="shared" ca="1" si="9"/>
        <v>1.730321697467488</v>
      </c>
      <c r="BJ40" s="42">
        <f t="shared" ca="1" si="10"/>
        <v>1.7838883433026813</v>
      </c>
      <c r="BK40" s="42">
        <f t="shared" ca="1" si="11"/>
        <v>1.7866261940898134</v>
      </c>
      <c r="BL40" s="42">
        <f t="shared" ca="1" si="12"/>
        <v>1.8124572210814511</v>
      </c>
      <c r="BM40" s="150" t="e">
        <f t="shared" ca="1" si="13"/>
        <v>#DIV/0!</v>
      </c>
      <c r="BN40" s="42" t="e">
        <f t="shared" ca="1" si="14"/>
        <v>#DIV/0!</v>
      </c>
      <c r="BO40" s="293">
        <f t="shared" si="48"/>
        <v>23</v>
      </c>
      <c r="BP40" s="41">
        <f t="shared" si="49"/>
        <v>15</v>
      </c>
      <c r="BQ40" s="41">
        <f t="shared" si="50"/>
        <v>8</v>
      </c>
      <c r="BR40" s="305" t="str">
        <f t="shared" ca="1" si="15"/>
        <v/>
      </c>
      <c r="BS40" s="305" t="str">
        <f t="shared" ca="1" si="16"/>
        <v/>
      </c>
      <c r="BT40" s="307" t="str">
        <f t="shared" ca="1" si="17"/>
        <v/>
      </c>
      <c r="BU40" s="161" t="str">
        <f t="shared" ca="1" si="18"/>
        <v/>
      </c>
      <c r="BV40" s="161" t="str">
        <f t="shared" ca="1" si="19"/>
        <v/>
      </c>
      <c r="BW40" s="308" t="str">
        <f t="shared" ca="1" si="20"/>
        <v/>
      </c>
      <c r="BX40" s="309" t="str">
        <f t="shared" ca="1" si="21"/>
        <v/>
      </c>
      <c r="BY40" s="308" t="str">
        <f t="shared" ca="1" si="51"/>
        <v/>
      </c>
      <c r="BZ40" s="309" t="str">
        <f t="shared" ca="1" si="52"/>
        <v/>
      </c>
      <c r="CA40" s="154" t="str">
        <f t="shared" ca="1" si="22"/>
        <v/>
      </c>
      <c r="CB40" s="154" t="str">
        <f t="shared" ca="1" si="23"/>
        <v/>
      </c>
      <c r="CC40" s="154" t="str">
        <f t="shared" ca="1" si="24"/>
        <v/>
      </c>
      <c r="CD40" s="154" t="str">
        <f t="shared" ca="1" si="25"/>
        <v/>
      </c>
      <c r="CE40" s="310">
        <v>1</v>
      </c>
      <c r="CF40" s="162">
        <f ca="1">IF(BD40,_xll.xCrudeAPO(BU40,BV40,CA40,CB40,S41,S42,BI40,BL40,BP40,BQ40,0,Strike1,AO40,CE40,0,BL40,IF(OptControl=4,0,1),0,1),0)</f>
        <v>0</v>
      </c>
      <c r="CG40" s="163">
        <f ca="1">IF(BD40,_xll.xCrudeAPO(BU40,BV40,CA40,CB40,S41,S42,BI40,BL40,BP40,BQ40,0,Strike1,AO40,CE40,0,BL40,IF(OptControl=4,0,1),1,1)+_xll.xCrudeAPO(BU40,BV40,CA40,CB40,S41,S42,BI40,BL40,BP40,BQ40,0,Strike1,AO40,CE40,0,BL40,IF(OptControl=4,0,1),1,2)+IF(OR(VolSkewFlag=2,ABS(BS40)&lt;0.0001),0,IF(BS40&gt;0,-1,1)*CH40*Strike1/BR40^2*BY40/10%),0)</f>
        <v>0</v>
      </c>
      <c r="CH40" s="163">
        <f ca="1">IF(BD40,(_xll.xCrudeAPO(BU40,BV40,CA40,CB40,S41,S42,BI40,BL40,BP40,BQ40,0,Strike1,AO40,CE40,0,BL40,IF(OptControl=4,0,1),3,1)+_xll.xCrudeAPO(BU40,BV40,CA40,CB40,S41,S42,BI40,BL40,BP40,BQ40,0,Strike1,AO40,CE40,0,BL40,IF(OptControl=4,0,1),3,2))/100,0)</f>
        <v>0</v>
      </c>
      <c r="CI40" s="163">
        <f ca="1">IF(BD40,_xll.xCrudeAPO(BU40,BV40,CA40,CB40,S41,S42,BI40-DaysForThetaCalculation/365.25,BL40-DaysForThetaCalculation/365.25,BP40,BQ40,0,Strike1,AO40,CE40,0,BL40,IF(OptControl=4,0,1),0,1)-_xll.xCrudeAPO(BU40,BV40,CA40,CB40,S41,S42,BI40,BL40,BP40,BQ40,0,Strike1,AO40,CE40,0,BL40,IF(OptControl=4,0,1),0,1),0)</f>
        <v>0</v>
      </c>
      <c r="CJ40" s="311">
        <f ca="1">IF(BD40,_xll.xCrudeAPO(BU40,BV40,CC40,CD40,S41,S42,BI40,BL40,BP40,BQ40,0,Strike2,AO40,CE40,0,BL40,IF(OptControl=3,1,0),0,1),0)</f>
        <v>0</v>
      </c>
      <c r="CK40" s="163">
        <f ca="1">IF(BD40,_xll.xCrudeAPO(BU40,BV40,CC40,CD40,S41,S42,BI40,BL40,BP40,BQ40,0,Strike2,AO40,CE40,0,BL40,IF(OptControl=3,1,0),1,1)+_xll.xCrudeAPO(BU40,BV40,CC40,CD40,S41,S42,BI40,BL40,BP40,BQ40,0,Strike2,AO40,CE40,0,BL40,IF(OptControl=3,1,0),1,2)+IF(OR(VolSkewFlag=2,ABS(BT40)&lt;0.0001),0,IF(BT40&gt;0,-1,1)*CL40*Strike2/BR40^2*BZ40/10%),0)</f>
        <v>0</v>
      </c>
      <c r="CL40" s="163">
        <f ca="1">IF(BD40,(_xll.xCrudeAPO(BU40,BV40,CC40,CD40,S41,S42,BI40,BL40,BP40,BQ40,0,Strike2,AO40,CE40,0,BL40,IF(OptControl=3,1,0),3,1)+_xll.xCrudeAPO(BU40,BV40,CC40,CD40,S41,S42,BI40,BL40,BP40,BQ40,0,Strike2,AO40,CE40,0,BL40,IF(OptControl=3,1,0),3,2))/100,0)</f>
        <v>0</v>
      </c>
      <c r="CM40" s="164">
        <f ca="1">IF(BD40,_xll.xCrudeAPO(BU40,BV40,CC40,CD40,S41,S42,BI40-DaysForThetaCalculation/365.25,BL40-DaysForThetaCalculation/365.25,BP40,BQ40,0,Strike2,AO40,CE40,0,BL40,IF(OptControl=3,1,0),0,1)-_xll.xCrudeAPO(BU40,BV40,CC40,CD40,S41,S42,BI40,BL40,BP40,BQ40,0,Strike2,AO40,CE40,0,BL40,IF(OptControl=3,1,0),0,1),0)</f>
        <v>0</v>
      </c>
      <c r="CO40" s="796" t="str">
        <f t="shared" ca="1" si="53"/>
        <v/>
      </c>
      <c r="CP40" s="800" t="str">
        <f t="shared" ca="1" si="54"/>
        <v/>
      </c>
      <c r="CQ40" s="797" t="str">
        <f t="shared" ca="1" si="55"/>
        <v/>
      </c>
      <c r="CR40" s="797" t="str">
        <f t="shared" ca="1" si="56"/>
        <v/>
      </c>
      <c r="CS40" s="797" t="str">
        <f t="shared" ca="1" si="57"/>
        <v/>
      </c>
      <c r="CT40" s="797" t="str">
        <f t="shared" ca="1" si="58"/>
        <v/>
      </c>
      <c r="CU40" s="798" t="str">
        <f t="shared" ca="1" si="59"/>
        <v/>
      </c>
      <c r="CV40" s="799" t="str">
        <f t="shared" ca="1" si="60"/>
        <v/>
      </c>
      <c r="CW40" s="799" t="str">
        <f t="shared" ca="1" si="61"/>
        <v/>
      </c>
      <c r="CX40" s="163">
        <f ca="1">IF(BD40,_xll.EURO(CP40,Strike1,AO40,AO40,CV40,CO40,IF(OptControl=4,0,1),0),0)</f>
        <v>0</v>
      </c>
      <c r="CY40" s="163">
        <f ca="1">IF(BD40,_xll.EURO(CP40,Strike1,AO40,AO40,CV40,CO40,IF(OptControl=4,0,1),1)+IF(OR(VolSkewFlag=2,ABS(CQ40)&lt;0.0001),0,IF(CQ40&gt;0,-1,1)*CZ40*100*Strike1/CP40^2*CS40/10%),0)</f>
        <v>0</v>
      </c>
      <c r="CZ40" s="163">
        <f ca="1">IF(BD40,_xll.EURO(CP40,Strike1,AO40,AO40,CV40,CO40,IF(OptControl=4,0,1),3)/100,0)</f>
        <v>0</v>
      </c>
      <c r="DA40" s="163">
        <f ca="1">IF(BD40,_xll.EURO(CP40,Strike1,AO40,AO40,CV40,CO40,IF(OptControl=4,0,1),0)-_xll.EURO(CP40,Strike1,AO40,AO40,CV40,CO40-1,IF(OptControl=4,0,1),0),0)</f>
        <v>0</v>
      </c>
      <c r="DB40" s="163">
        <f ca="1">IF(BD40,_xll.EURO(CP40,Strike2,AO40,AO40,CW40,CO40,IF(OptControl=3,1,0),0),0)</f>
        <v>0</v>
      </c>
      <c r="DC40" s="163">
        <f ca="1">IF(BD40,_xll.EURO(CP40,Strike2,AO40,AO40,CW40,CO40,IF(OptControl=3,1,0),1)+IF(OR(VolSkewFlag=2,ABS(CR40)&lt;0.0001),0,IF(CR40&gt;0,-1,1)*DD40*100*Strike2/CP40^2*CT40/10%),0)</f>
        <v>0</v>
      </c>
      <c r="DD40" s="163">
        <f ca="1">IF(BD40,_xll.EURO(CP40,Strike2,AO40,AO40,CW40,CO40,IF(OptControl=3,1,0),3)/100,0)</f>
        <v>0</v>
      </c>
      <c r="DE40" s="164">
        <f ca="1">IF(BD40,_xll.EURO(CP40,Strike2,AO40,AO40,CW40,CO40,IF(OptControl=3,1,0),0)-_xll.EURO(CP40,Strike2,AO40,AO40,CW40,CO40-1,IF(OptControl=3,1,0),0),0)</f>
        <v>0</v>
      </c>
      <c r="DF40" s="55"/>
      <c r="DG40" s="667">
        <f t="shared" ca="1" si="62"/>
        <v>37165</v>
      </c>
      <c r="DH40" s="475">
        <v>20.67</v>
      </c>
      <c r="DI40" s="665">
        <v>20.382173913043477</v>
      </c>
      <c r="DJ40" s="666">
        <f t="shared" ca="1" si="26"/>
        <v>37165</v>
      </c>
      <c r="DK40" s="475">
        <v>19.37</v>
      </c>
      <c r="DL40" s="665">
        <v>19.042826086956524</v>
      </c>
      <c r="DM40" s="667">
        <f t="shared" ca="1" si="27"/>
        <v>37165</v>
      </c>
      <c r="DN40" s="668">
        <f t="shared" si="28"/>
        <v>19.420000000000002</v>
      </c>
      <c r="DO40" s="667">
        <f t="shared" ca="1" si="63"/>
        <v>37165</v>
      </c>
      <c r="DP40" s="579">
        <f t="shared" si="64"/>
        <v>19.132826086956523</v>
      </c>
      <c r="DQ40" s="821">
        <v>0.09</v>
      </c>
      <c r="DR40" s="666">
        <f t="shared" ca="1" si="29"/>
        <v>37165</v>
      </c>
      <c r="DS40" s="669">
        <v>0.23854281792315302</v>
      </c>
      <c r="DT40" s="606">
        <v>0.23532195881944931</v>
      </c>
      <c r="DU40" s="666">
        <f t="shared" ca="1" si="30"/>
        <v>37165</v>
      </c>
      <c r="DV40" s="669">
        <v>0.23854281792315302</v>
      </c>
      <c r="DW40" s="606">
        <v>0.23532195881944931</v>
      </c>
      <c r="DX40" s="667">
        <f t="shared" ca="1" si="31"/>
        <v>37165</v>
      </c>
      <c r="DY40" s="606">
        <v>0.35000015258789063</v>
      </c>
      <c r="DZ40" s="667">
        <f t="shared" ca="1" si="65"/>
        <v>37165</v>
      </c>
      <c r="EA40" s="606">
        <f t="shared" si="66"/>
        <v>0.23532195881944931</v>
      </c>
      <c r="EB40" s="1"/>
      <c r="EC40" s="118" t="str">
        <f t="shared" ca="1" si="32"/>
        <v/>
      </c>
      <c r="ED40" s="119" t="str">
        <f t="shared" ca="1" si="33"/>
        <v/>
      </c>
      <c r="EE40" s="112" t="str">
        <f t="shared" ca="1" si="34"/>
        <v/>
      </c>
      <c r="EF40" s="120">
        <f ca="1">IF(BD40,_xll.xASN(BR40,Strike1,AO40,ED40,0,BO40,0,BI40,BL40,IF(OptControl=4,0,1),0),0)</f>
        <v>0</v>
      </c>
      <c r="EG40" s="111">
        <f ca="1">IF(BD40,_xll.xASN(BR40,Strike2,AO40,EE40,0,BO40,0,BI40,BL40,IF(OptControl=3,1,0),0),0)</f>
        <v>0</v>
      </c>
      <c r="EI40" s="483" t="str">
        <f>[1]!'CLc21 MTH'</f>
        <v>MAY2</v>
      </c>
      <c r="EJ40" s="484">
        <f t="shared" si="158"/>
        <v>37377</v>
      </c>
      <c r="EK40" s="485">
        <f>[1]!'CLc21 NET.CHNG'</f>
        <v>0</v>
      </c>
      <c r="EL40" s="486">
        <f t="shared" si="159"/>
        <v>0</v>
      </c>
      <c r="EM40" s="1"/>
      <c r="EN40" s="697">
        <v>38172</v>
      </c>
      <c r="EO40" s="698">
        <v>40179</v>
      </c>
      <c r="EP40" s="1"/>
      <c r="EQ40" s="683" t="s">
        <v>144</v>
      </c>
      <c r="ES40" s="498">
        <v>21</v>
      </c>
      <c r="ET40" s="476">
        <f t="shared" ca="1" si="165"/>
        <v>1.6919917864476386</v>
      </c>
      <c r="EU40" s="842">
        <f t="shared" ca="1" si="67"/>
        <v>0</v>
      </c>
      <c r="EV40" s="815">
        <f t="shared" ca="1" si="160"/>
        <v>0.21922069749600565</v>
      </c>
      <c r="EW40" s="478" t="str">
        <f t="shared" ca="1" si="161"/>
        <v/>
      </c>
      <c r="EX40" s="477" t="str">
        <f t="shared" ca="1" si="162"/>
        <v/>
      </c>
      <c r="EY40" s="250">
        <v>0</v>
      </c>
      <c r="EZ40" s="605" t="str">
        <f ca="1">IF(OR(EW40="",EW41=""),"",SQRT(SUM(INDEX(FK40:ID40,SwaptionFirstMonthPosition+1):INDEX(FK40:ID40,FJ40))/SUM(INDEX($FK$15:$ID$15,SwaptionFirstMonthPosition+1):INDEX($FK$15:$ID$15,FJ40))))</f>
        <v/>
      </c>
      <c r="FA40" s="581" t="str">
        <f ca="1">IF(OR(EW40="",EW39=""),"",SQRT(SUM(INDEX(FK40:ID40,SwaptionFirstMonthPosition+1):INDEX(FK40:ID40,FJ40-1))/SUM(INDEX($FK$15:$ID$15,SwaptionFirstMonthPosition+1):INDEX($FK$15:$ID$15,FJ40-1))))</f>
        <v/>
      </c>
      <c r="FB40" s="578" t="str">
        <f t="shared" ca="1" si="68"/>
        <v/>
      </c>
      <c r="FC40" s="609" t="str">
        <f t="shared" ca="1" si="69"/>
        <v/>
      </c>
      <c r="FD40" s="579" t="str">
        <f t="shared" ca="1" si="70"/>
        <v/>
      </c>
      <c r="FE40" s="579" t="str">
        <f t="shared" ca="1" si="71"/>
        <v/>
      </c>
      <c r="FF40" s="579" t="str">
        <f t="shared" ca="1" si="72"/>
        <v/>
      </c>
      <c r="FG40" s="580" t="str">
        <f t="shared" ca="1" si="73"/>
        <v/>
      </c>
      <c r="FH40" s="606" t="str">
        <f t="shared" ca="1" si="74"/>
        <v/>
      </c>
      <c r="FI40" s="250"/>
      <c r="FJ40" s="673">
        <v>21</v>
      </c>
      <c r="FK40" s="460">
        <f t="shared" ca="1" si="75"/>
        <v>0</v>
      </c>
      <c r="FL40" s="460">
        <f t="shared" ca="1" si="76"/>
        <v>2.3718140122721137E-3</v>
      </c>
      <c r="FM40" s="460">
        <f t="shared" ca="1" si="77"/>
        <v>2.7941572212740536E-3</v>
      </c>
      <c r="FN40" s="460">
        <f t="shared" ca="1" si="78"/>
        <v>2.3891851234808591E-3</v>
      </c>
      <c r="FO40" s="460">
        <f t="shared" ca="1" si="79"/>
        <v>2.5314875076336957E-3</v>
      </c>
      <c r="FP40" s="460">
        <f t="shared" ca="1" si="80"/>
        <v>2.8665757635888403E-3</v>
      </c>
      <c r="FQ40" s="460">
        <f t="shared" ca="1" si="81"/>
        <v>2.380454804656667E-3</v>
      </c>
      <c r="FR40" s="460">
        <f t="shared" ca="1" si="82"/>
        <v>2.5074063856767356E-3</v>
      </c>
      <c r="FS40" s="460">
        <f t="shared" ca="1" si="83"/>
        <v>2.9259761604876504E-3</v>
      </c>
      <c r="FT40" s="460">
        <f t="shared" ca="1" si="84"/>
        <v>2.7508869412532434E-3</v>
      </c>
      <c r="FU40" s="460">
        <f t="shared" ca="1" si="85"/>
        <v>2.7747195901912255E-3</v>
      </c>
      <c r="FV40" s="460">
        <f t="shared" ca="1" si="86"/>
        <v>3.2260711166331784E-3</v>
      </c>
      <c r="FW40" s="460">
        <f t="shared" ca="1" si="87"/>
        <v>3.2217442289393084E-3</v>
      </c>
      <c r="FX40" s="460">
        <f t="shared" ca="1" si="88"/>
        <v>3.7066445101209215E-3</v>
      </c>
      <c r="FY40" s="460">
        <f t="shared" ca="1" si="89"/>
        <v>3.802619286266093E-3</v>
      </c>
      <c r="FZ40" s="460">
        <f t="shared" ca="1" si="90"/>
        <v>3.9498863837576616E-3</v>
      </c>
      <c r="GA40" s="460">
        <f t="shared" ca="1" si="91"/>
        <v>4.804667543575533E-3</v>
      </c>
      <c r="GB40" s="460">
        <f t="shared" ca="1" si="92"/>
        <v>6.1439197719045787E-3</v>
      </c>
      <c r="GC40" s="460">
        <f t="shared" ca="1" si="93"/>
        <v>6.4565518603131207E-3</v>
      </c>
      <c r="GD40" s="460">
        <f t="shared" ca="1" si="94"/>
        <v>7.9882444599126932E-3</v>
      </c>
      <c r="GE40" s="460">
        <f t="shared" ca="1" si="95"/>
        <v>1.1720245047904572E-2</v>
      </c>
      <c r="GF40" s="460" t="str">
        <f t="shared" si="96"/>
        <v/>
      </c>
      <c r="GG40" s="460" t="str">
        <f t="shared" si="97"/>
        <v/>
      </c>
      <c r="GH40" s="460" t="str">
        <f t="shared" si="98"/>
        <v/>
      </c>
      <c r="GI40" s="460" t="str">
        <f t="shared" si="99"/>
        <v/>
      </c>
      <c r="GJ40" s="460" t="str">
        <f t="shared" si="100"/>
        <v/>
      </c>
      <c r="GK40" s="460" t="str">
        <f t="shared" si="101"/>
        <v/>
      </c>
      <c r="GL40" s="460" t="str">
        <f t="shared" si="102"/>
        <v/>
      </c>
      <c r="GM40" s="460" t="str">
        <f t="shared" si="103"/>
        <v/>
      </c>
      <c r="GN40" s="460" t="str">
        <f t="shared" si="104"/>
        <v/>
      </c>
      <c r="GO40" s="460" t="str">
        <f t="shared" si="105"/>
        <v/>
      </c>
      <c r="GP40" s="460" t="str">
        <f t="shared" si="106"/>
        <v/>
      </c>
      <c r="GQ40" s="460" t="str">
        <f t="shared" si="107"/>
        <v/>
      </c>
      <c r="GR40" s="460" t="str">
        <f t="shared" si="108"/>
        <v/>
      </c>
      <c r="GS40" s="460" t="str">
        <f t="shared" si="109"/>
        <v/>
      </c>
      <c r="GT40" s="460" t="str">
        <f t="shared" si="110"/>
        <v/>
      </c>
      <c r="GU40" s="460" t="str">
        <f t="shared" si="111"/>
        <v/>
      </c>
      <c r="GV40" s="460" t="str">
        <f t="shared" si="112"/>
        <v/>
      </c>
      <c r="GW40" s="460" t="str">
        <f t="shared" si="113"/>
        <v/>
      </c>
      <c r="GX40" s="460" t="str">
        <f t="shared" si="114"/>
        <v/>
      </c>
      <c r="GY40" s="460" t="str">
        <f t="shared" si="115"/>
        <v/>
      </c>
      <c r="GZ40" s="460" t="str">
        <f t="shared" si="116"/>
        <v/>
      </c>
      <c r="HA40" s="460" t="str">
        <f t="shared" si="117"/>
        <v/>
      </c>
      <c r="HB40" s="460" t="str">
        <f t="shared" si="118"/>
        <v/>
      </c>
      <c r="HC40" s="460" t="str">
        <f t="shared" si="119"/>
        <v/>
      </c>
      <c r="HD40" s="460" t="str">
        <f t="shared" si="120"/>
        <v/>
      </c>
      <c r="HE40" s="460" t="str">
        <f t="shared" si="121"/>
        <v/>
      </c>
      <c r="HF40" s="460" t="str">
        <f t="shared" si="122"/>
        <v/>
      </c>
      <c r="HG40" s="460" t="str">
        <f t="shared" si="123"/>
        <v/>
      </c>
      <c r="HH40" s="460" t="str">
        <f t="shared" si="124"/>
        <v/>
      </c>
      <c r="HI40" s="460" t="str">
        <f t="shared" si="125"/>
        <v/>
      </c>
      <c r="HJ40" s="460" t="str">
        <f t="shared" si="126"/>
        <v/>
      </c>
      <c r="HK40" s="460" t="str">
        <f t="shared" si="127"/>
        <v/>
      </c>
      <c r="HL40" s="460" t="str">
        <f t="shared" si="128"/>
        <v/>
      </c>
      <c r="HM40" s="460" t="str">
        <f t="shared" si="129"/>
        <v/>
      </c>
      <c r="HN40" s="460" t="str">
        <f t="shared" si="130"/>
        <v/>
      </c>
      <c r="HO40" s="460" t="str">
        <f t="shared" si="131"/>
        <v/>
      </c>
      <c r="HP40" s="460" t="str">
        <f t="shared" si="132"/>
        <v/>
      </c>
      <c r="HQ40" s="460" t="str">
        <f t="shared" si="133"/>
        <v/>
      </c>
      <c r="HR40" s="460" t="str">
        <f t="shared" si="134"/>
        <v/>
      </c>
      <c r="HS40" s="460" t="str">
        <f t="shared" si="135"/>
        <v/>
      </c>
      <c r="HT40" s="460" t="str">
        <f t="shared" si="136"/>
        <v/>
      </c>
      <c r="HU40" s="460" t="str">
        <f t="shared" si="137"/>
        <v/>
      </c>
      <c r="HV40" s="460" t="str">
        <f t="shared" si="138"/>
        <v/>
      </c>
      <c r="HW40" s="460" t="str">
        <f t="shared" si="139"/>
        <v/>
      </c>
      <c r="HX40" s="460" t="str">
        <f t="shared" si="140"/>
        <v/>
      </c>
      <c r="HY40" s="460" t="str">
        <f t="shared" si="141"/>
        <v/>
      </c>
      <c r="HZ40" s="460" t="str">
        <f t="shared" si="142"/>
        <v/>
      </c>
      <c r="IA40" s="460" t="str">
        <f t="shared" si="143"/>
        <v/>
      </c>
      <c r="IB40" s="460" t="str">
        <f t="shared" si="144"/>
        <v/>
      </c>
      <c r="IC40" s="460" t="str">
        <f t="shared" si="145"/>
        <v/>
      </c>
      <c r="ID40" s="674" t="str">
        <f t="shared" si="146"/>
        <v/>
      </c>
      <c r="IE40" s="250"/>
    </row>
    <row r="41" spans="1:239" ht="15.75" customHeight="1" thickBot="1">
      <c r="A41" s="51"/>
      <c r="B41" s="89" t="str">
        <f>IF(OptControl&gt;2,"","Fence")</f>
        <v>Fence</v>
      </c>
      <c r="C41" s="97" t="e">
        <f ca="1">IF(OptControl&gt;2,"",C38-C39)</f>
        <v>#DIV/0!</v>
      </c>
      <c r="D41" s="97" t="e">
        <f ca="1">IF(OptControl&gt;2,"",D38-D39)</f>
        <v>#DIV/0!</v>
      </c>
      <c r="E41" s="97" t="e">
        <f ca="1">IF(OptControl&gt;2,"",E38-E39)</f>
        <v>#DIV/0!</v>
      </c>
      <c r="F41" s="704" t="e">
        <f ca="1">IF(OptControl&gt;2,"",F38-F39)</f>
        <v>#DIV/0!</v>
      </c>
      <c r="G41" s="791">
        <f ca="1">SUMPRODUCT(CHOOSE(Underlying,L19:L258,R19:R258),BD19:BD258,AP19:AP258)/E32</f>
        <v>0</v>
      </c>
      <c r="H41" s="51">
        <f t="shared" ca="1" si="35"/>
        <v>0</v>
      </c>
      <c r="I41" s="379">
        <f t="shared" si="36"/>
        <v>37408</v>
      </c>
      <c r="J41" s="377"/>
      <c r="K41" s="104" t="s">
        <v>488</v>
      </c>
      <c r="L41" s="392">
        <f t="shared" si="37"/>
        <v>0</v>
      </c>
      <c r="M41" s="171"/>
      <c r="N41" s="382">
        <v>0</v>
      </c>
      <c r="O41" s="171">
        <f t="shared" si="38"/>
        <v>0</v>
      </c>
      <c r="P41" s="377"/>
      <c r="Q41" s="104" t="s">
        <v>269</v>
      </c>
      <c r="R41" s="377">
        <f t="shared" ca="1" si="148"/>
        <v>0</v>
      </c>
      <c r="S41" s="832">
        <f t="shared" si="164"/>
        <v>0.36012684847755738</v>
      </c>
      <c r="T41" s="831">
        <f t="shared" si="149"/>
        <v>0.99578766625460968</v>
      </c>
      <c r="U41" s="545">
        <f t="shared" si="150"/>
        <v>0.99996432386568701</v>
      </c>
      <c r="V41" s="389">
        <v>0</v>
      </c>
      <c r="W41" s="434">
        <f t="shared" si="39"/>
        <v>0</v>
      </c>
      <c r="X41" s="415">
        <f t="shared" si="40"/>
        <v>0</v>
      </c>
      <c r="Y41" s="322">
        <f t="shared" si="41"/>
        <v>0</v>
      </c>
      <c r="Z41" s="322">
        <f t="shared" ca="1" si="42"/>
        <v>0</v>
      </c>
      <c r="AA41" s="429">
        <f t="shared" si="1"/>
        <v>0</v>
      </c>
      <c r="AB41" s="433">
        <f t="shared" ca="1" si="2"/>
        <v>0</v>
      </c>
      <c r="AC41" s="226">
        <v>37397</v>
      </c>
      <c r="AD41" s="229">
        <v>37392</v>
      </c>
      <c r="AE41" s="227">
        <v>37392</v>
      </c>
      <c r="AF41" s="228">
        <v>37387</v>
      </c>
      <c r="AG41" s="249" t="s">
        <v>498</v>
      </c>
      <c r="AH41" s="247" t="s">
        <v>497</v>
      </c>
      <c r="AI41" s="146">
        <v>20</v>
      </c>
      <c r="AJ41" s="41">
        <v>14</v>
      </c>
      <c r="AK41" s="41">
        <v>6</v>
      </c>
      <c r="AL41" s="293">
        <v>20</v>
      </c>
      <c r="AM41" s="41">
        <v>8</v>
      </c>
      <c r="AN41" s="147">
        <v>12</v>
      </c>
      <c r="AO41" s="374"/>
      <c r="AP41" s="153">
        <f t="shared" ca="1" si="43"/>
        <v>1</v>
      </c>
      <c r="AQ41" s="374"/>
      <c r="AR41" s="153">
        <f t="shared" ca="1" si="151"/>
        <v>1</v>
      </c>
      <c r="AS41" s="272">
        <f t="shared" si="3"/>
        <v>0</v>
      </c>
      <c r="AT41" s="157">
        <f t="shared" si="44"/>
        <v>0</v>
      </c>
      <c r="AU41" s="157">
        <f t="shared" si="4"/>
        <v>0</v>
      </c>
      <c r="AV41" s="271">
        <f t="shared" ca="1" si="163"/>
        <v>9.9999999999999995E-7</v>
      </c>
      <c r="AW41" s="158">
        <f t="shared" ca="1" si="5"/>
        <v>3</v>
      </c>
      <c r="AX41" s="157">
        <f t="shared" ca="1" si="152"/>
        <v>1.2595469733780354E-2</v>
      </c>
      <c r="AY41" s="157">
        <f t="shared" ca="1" si="153"/>
        <v>8.4776454581221745E-3</v>
      </c>
      <c r="AZ41" s="157">
        <f t="shared" ca="1" si="154"/>
        <v>4.345265845237885E-3</v>
      </c>
      <c r="BA41" s="157">
        <f t="shared" ca="1" si="155"/>
        <v>5.4315823065473562E-4</v>
      </c>
      <c r="BB41" s="157">
        <f t="shared" ca="1" si="156"/>
        <v>5.7011108790545092E-4</v>
      </c>
      <c r="BC41" s="157">
        <f t="shared" ca="1" si="157"/>
        <v>5.9004172705596548E-4</v>
      </c>
      <c r="BD41" s="151">
        <f t="shared" ca="1" si="45"/>
        <v>0</v>
      </c>
      <c r="BE41" s="152">
        <f t="shared" ca="1" si="46"/>
        <v>0</v>
      </c>
      <c r="BF41" s="40">
        <f t="shared" si="7"/>
        <v>2002</v>
      </c>
      <c r="BG41" s="144">
        <f t="shared" si="8"/>
        <v>6</v>
      </c>
      <c r="BH41" s="145">
        <f t="shared" ca="1" si="47"/>
        <v>647</v>
      </c>
      <c r="BI41" s="313">
        <f t="shared" ca="1" si="9"/>
        <v>1.8151950718685832</v>
      </c>
      <c r="BJ41" s="42">
        <f t="shared" ca="1" si="10"/>
        <v>1.8707734428473648</v>
      </c>
      <c r="BK41" s="42">
        <f t="shared" ca="1" si="11"/>
        <v>1.8735112936344969</v>
      </c>
      <c r="BL41" s="42">
        <f t="shared" ca="1" si="12"/>
        <v>1.8945927446954141</v>
      </c>
      <c r="BM41" s="150" t="e">
        <f t="shared" ca="1" si="13"/>
        <v>#DIV/0!</v>
      </c>
      <c r="BN41" s="42" t="e">
        <f t="shared" ca="1" si="14"/>
        <v>#DIV/0!</v>
      </c>
      <c r="BO41" s="293">
        <f t="shared" si="48"/>
        <v>20</v>
      </c>
      <c r="BP41" s="41">
        <f t="shared" si="49"/>
        <v>14</v>
      </c>
      <c r="BQ41" s="41">
        <f t="shared" si="50"/>
        <v>6</v>
      </c>
      <c r="BR41" s="305" t="str">
        <f t="shared" ca="1" si="15"/>
        <v/>
      </c>
      <c r="BS41" s="305" t="str">
        <f t="shared" ca="1" si="16"/>
        <v/>
      </c>
      <c r="BT41" s="307" t="str">
        <f t="shared" ca="1" si="17"/>
        <v/>
      </c>
      <c r="BU41" s="161" t="str">
        <f t="shared" ca="1" si="18"/>
        <v/>
      </c>
      <c r="BV41" s="161" t="str">
        <f t="shared" ca="1" si="19"/>
        <v/>
      </c>
      <c r="BW41" s="308" t="str">
        <f t="shared" ca="1" si="20"/>
        <v/>
      </c>
      <c r="BX41" s="309" t="str">
        <f t="shared" ca="1" si="21"/>
        <v/>
      </c>
      <c r="BY41" s="308" t="str">
        <f t="shared" ca="1" si="51"/>
        <v/>
      </c>
      <c r="BZ41" s="309" t="str">
        <f t="shared" ca="1" si="52"/>
        <v/>
      </c>
      <c r="CA41" s="154" t="str">
        <f t="shared" ca="1" si="22"/>
        <v/>
      </c>
      <c r="CB41" s="154" t="str">
        <f t="shared" ca="1" si="23"/>
        <v/>
      </c>
      <c r="CC41" s="154" t="str">
        <f t="shared" ca="1" si="24"/>
        <v/>
      </c>
      <c r="CD41" s="154" t="str">
        <f t="shared" ca="1" si="25"/>
        <v/>
      </c>
      <c r="CE41" s="310">
        <v>1</v>
      </c>
      <c r="CF41" s="162">
        <f ca="1">IF(BD41,_xll.xCrudeAPO(BU41,BV41,CA41,CB41,S42,S43,BI41,BL41,BP41,BQ41,0,Strike1,AO41,CE41,0,BL41,IF(OptControl=4,0,1),0,1),0)</f>
        <v>0</v>
      </c>
      <c r="CG41" s="163">
        <f ca="1">IF(BD41,_xll.xCrudeAPO(BU41,BV41,CA41,CB41,S42,S43,BI41,BL41,BP41,BQ41,0,Strike1,AO41,CE41,0,BL41,IF(OptControl=4,0,1),1,1)+_xll.xCrudeAPO(BU41,BV41,CA41,CB41,S42,S43,BI41,BL41,BP41,BQ41,0,Strike1,AO41,CE41,0,BL41,IF(OptControl=4,0,1),1,2)+IF(OR(VolSkewFlag=2,ABS(BS41)&lt;0.0001),0,IF(BS41&gt;0,-1,1)*CH41*Strike1/BR41^2*BY41/10%),0)</f>
        <v>0</v>
      </c>
      <c r="CH41" s="163">
        <f ca="1">IF(BD41,(_xll.xCrudeAPO(BU41,BV41,CA41,CB41,S42,S43,BI41,BL41,BP41,BQ41,0,Strike1,AO41,CE41,0,BL41,IF(OptControl=4,0,1),3,1)+_xll.xCrudeAPO(BU41,BV41,CA41,CB41,S42,S43,BI41,BL41,BP41,BQ41,0,Strike1,AO41,CE41,0,BL41,IF(OptControl=4,0,1),3,2))/100,0)</f>
        <v>0</v>
      </c>
      <c r="CI41" s="163">
        <f ca="1">IF(BD41,_xll.xCrudeAPO(BU41,BV41,CA41,CB41,S42,S43,BI41-DaysForThetaCalculation/365.25,BL41-DaysForThetaCalculation/365.25,BP41,BQ41,0,Strike1,AO41,CE41,0,BL41,IF(OptControl=4,0,1),0,1)-_xll.xCrudeAPO(BU41,BV41,CA41,CB41,S42,S43,BI41,BL41,BP41,BQ41,0,Strike1,AO41,CE41,0,BL41,IF(OptControl=4,0,1),0,1),0)</f>
        <v>0</v>
      </c>
      <c r="CJ41" s="311">
        <f ca="1">IF(BD41,_xll.xCrudeAPO(BU41,BV41,CC41,CD41,S42,S43,BI41,BL41,BP41,BQ41,0,Strike2,AO41,CE41,0,BL41,IF(OptControl=3,1,0),0,1),0)</f>
        <v>0</v>
      </c>
      <c r="CK41" s="163">
        <f ca="1">IF(BD41,_xll.xCrudeAPO(BU41,BV41,CC41,CD41,S42,S43,BI41,BL41,BP41,BQ41,0,Strike2,AO41,CE41,0,BL41,IF(OptControl=3,1,0),1,1)+_xll.xCrudeAPO(BU41,BV41,CC41,CD41,S42,S43,BI41,BL41,BP41,BQ41,0,Strike2,AO41,CE41,0,BL41,IF(OptControl=3,1,0),1,2)+IF(OR(VolSkewFlag=2,ABS(BT41)&lt;0.0001),0,IF(BT41&gt;0,-1,1)*CL41*Strike2/BR41^2*BZ41/10%),0)</f>
        <v>0</v>
      </c>
      <c r="CL41" s="163">
        <f ca="1">IF(BD41,(_xll.xCrudeAPO(BU41,BV41,CC41,CD41,S42,S43,BI41,BL41,BP41,BQ41,0,Strike2,AO41,CE41,0,BL41,IF(OptControl=3,1,0),3,1)+_xll.xCrudeAPO(BU41,BV41,CC41,CD41,S42,S43,BI41,BL41,BP41,BQ41,0,Strike2,AO41,CE41,0,BL41,IF(OptControl=3,1,0),3,2))/100,0)</f>
        <v>0</v>
      </c>
      <c r="CM41" s="164">
        <f ca="1">IF(BD41,_xll.xCrudeAPO(BU41,BV41,CC41,CD41,S42,S43,BI41-DaysForThetaCalculation/365.25,BL41-DaysForThetaCalculation/365.25,BP41,BQ41,0,Strike2,AO41,CE41,0,BL41,IF(OptControl=3,1,0),0,1)-_xll.xCrudeAPO(BU41,BV41,CC41,CD41,S42,S43,BI41,BL41,BP41,BQ41,0,Strike2,AO41,CE41,0,BL41,IF(OptControl=3,1,0),0,1),0)</f>
        <v>0</v>
      </c>
      <c r="CO41" s="796" t="str">
        <f t="shared" ca="1" si="53"/>
        <v/>
      </c>
      <c r="CP41" s="800" t="str">
        <f t="shared" ca="1" si="54"/>
        <v/>
      </c>
      <c r="CQ41" s="797" t="str">
        <f t="shared" ca="1" si="55"/>
        <v/>
      </c>
      <c r="CR41" s="797" t="str">
        <f t="shared" ca="1" si="56"/>
        <v/>
      </c>
      <c r="CS41" s="797" t="str">
        <f t="shared" ca="1" si="57"/>
        <v/>
      </c>
      <c r="CT41" s="797" t="str">
        <f t="shared" ca="1" si="58"/>
        <v/>
      </c>
      <c r="CU41" s="798" t="str">
        <f t="shared" ca="1" si="59"/>
        <v/>
      </c>
      <c r="CV41" s="799" t="str">
        <f t="shared" ca="1" si="60"/>
        <v/>
      </c>
      <c r="CW41" s="799" t="str">
        <f t="shared" ca="1" si="61"/>
        <v/>
      </c>
      <c r="CX41" s="163">
        <f ca="1">IF(BD41,_xll.EURO(CP41,Strike1,AO41,AO41,CV41,CO41,IF(OptControl=4,0,1),0),0)</f>
        <v>0</v>
      </c>
      <c r="CY41" s="163">
        <f ca="1">IF(BD41,_xll.EURO(CP41,Strike1,AO41,AO41,CV41,CO41,IF(OptControl=4,0,1),1)+IF(OR(VolSkewFlag=2,ABS(CQ41)&lt;0.0001),0,IF(CQ41&gt;0,-1,1)*CZ41*100*Strike1/CP41^2*CS41/10%),0)</f>
        <v>0</v>
      </c>
      <c r="CZ41" s="163">
        <f ca="1">IF(BD41,_xll.EURO(CP41,Strike1,AO41,AO41,CV41,CO41,IF(OptControl=4,0,1),3)/100,0)</f>
        <v>0</v>
      </c>
      <c r="DA41" s="163">
        <f ca="1">IF(BD41,_xll.EURO(CP41,Strike1,AO41,AO41,CV41,CO41,IF(OptControl=4,0,1),0)-_xll.EURO(CP41,Strike1,AO41,AO41,CV41,CO41-1,IF(OptControl=4,0,1),0),0)</f>
        <v>0</v>
      </c>
      <c r="DB41" s="163">
        <f ca="1">IF(BD41,_xll.EURO(CP41,Strike2,AO41,AO41,CW41,CO41,IF(OptControl=3,1,0),0),0)</f>
        <v>0</v>
      </c>
      <c r="DC41" s="163">
        <f ca="1">IF(BD41,_xll.EURO(CP41,Strike2,AO41,AO41,CW41,CO41,IF(OptControl=3,1,0),1)+IF(OR(VolSkewFlag=2,ABS(CR41)&lt;0.0001),0,IF(CR41&gt;0,-1,1)*DD41*100*Strike2/CP41^2*CT41/10%),0)</f>
        <v>0</v>
      </c>
      <c r="DD41" s="163">
        <f ca="1">IF(BD41,_xll.EURO(CP41,Strike2,AO41,AO41,CW41,CO41,IF(OptControl=3,1,0),3)/100,0)</f>
        <v>0</v>
      </c>
      <c r="DE41" s="164">
        <f ca="1">IF(BD41,_xll.EURO(CP41,Strike2,AO41,AO41,CW41,CO41,IF(OptControl=3,1,0),0)-_xll.EURO(CP41,Strike2,AO41,AO41,CW41,CO41-1,IF(OptControl=3,1,0),0),0)</f>
        <v>0</v>
      </c>
      <c r="DF41" s="55"/>
      <c r="DG41" s="667">
        <f t="shared" ca="1" si="62"/>
        <v>37196</v>
      </c>
      <c r="DH41" s="475">
        <v>20.440000000000001</v>
      </c>
      <c r="DI41" s="665">
        <v>20.176363636363636</v>
      </c>
      <c r="DJ41" s="666">
        <f t="shared" ca="1" si="26"/>
        <v>37196</v>
      </c>
      <c r="DK41" s="475">
        <v>19.155000000000001</v>
      </c>
      <c r="DL41" s="665">
        <v>18.876363636363635</v>
      </c>
      <c r="DM41" s="667">
        <f t="shared" ca="1" si="27"/>
        <v>37196</v>
      </c>
      <c r="DN41" s="668">
        <f t="shared" si="28"/>
        <v>19.205000000000002</v>
      </c>
      <c r="DO41" s="667">
        <f t="shared" ca="1" si="63"/>
        <v>37196</v>
      </c>
      <c r="DP41" s="579">
        <f t="shared" si="64"/>
        <v>18.966363636363635</v>
      </c>
      <c r="DQ41" s="821">
        <v>0.09</v>
      </c>
      <c r="DR41" s="666">
        <f t="shared" ca="1" si="29"/>
        <v>37196</v>
      </c>
      <c r="DS41" s="669">
        <v>0.2356345625191501</v>
      </c>
      <c r="DT41" s="606">
        <v>0.2328666367647001</v>
      </c>
      <c r="DU41" s="666">
        <f t="shared" ca="1" si="30"/>
        <v>37196</v>
      </c>
      <c r="DV41" s="669">
        <v>0.2356345625191501</v>
      </c>
      <c r="DW41" s="606">
        <v>0.2328666367647001</v>
      </c>
      <c r="DX41" s="667">
        <f t="shared" ca="1" si="31"/>
        <v>37196</v>
      </c>
      <c r="DY41" s="606">
        <v>0.35000007629394531</v>
      </c>
      <c r="DZ41" s="667">
        <f t="shared" ca="1" si="65"/>
        <v>37196</v>
      </c>
      <c r="EA41" s="606">
        <f t="shared" si="66"/>
        <v>0.2328666367647001</v>
      </c>
      <c r="EB41" s="1"/>
      <c r="EC41" s="118" t="str">
        <f t="shared" ca="1" si="32"/>
        <v/>
      </c>
      <c r="ED41" s="119" t="str">
        <f t="shared" ca="1" si="33"/>
        <v/>
      </c>
      <c r="EE41" s="112" t="str">
        <f t="shared" ca="1" si="34"/>
        <v/>
      </c>
      <c r="EF41" s="120">
        <f ca="1">IF(BD41,_xll.xASN(BR41,Strike1,AO41,ED41,0,BO41,0,BI41,BL41,IF(OptControl=4,0,1),0),0)</f>
        <v>0</v>
      </c>
      <c r="EG41" s="111">
        <f ca="1">IF(BD41,_xll.xASN(BR41,Strike2,AO41,EE41,0,BO41,0,BI41,BL41,IF(OptControl=3,1,0),0),0)</f>
        <v>0</v>
      </c>
      <c r="EI41" s="483" t="str">
        <f>[1]!'CLc22 MTH'</f>
        <v>JUN2</v>
      </c>
      <c r="EJ41" s="484">
        <f t="shared" si="158"/>
        <v>37408</v>
      </c>
      <c r="EK41" s="485">
        <f>[1]!'CLc22 NET.CHNG'</f>
        <v>0</v>
      </c>
      <c r="EL41" s="486">
        <f t="shared" si="159"/>
        <v>0</v>
      </c>
      <c r="EM41" s="1"/>
      <c r="EN41" s="697">
        <v>38346</v>
      </c>
      <c r="EO41" s="698">
        <v>40537</v>
      </c>
      <c r="EP41" s="1"/>
      <c r="EQ41" s="683" t="s">
        <v>145</v>
      </c>
      <c r="ES41" s="498">
        <v>22</v>
      </c>
      <c r="ET41" s="476">
        <f t="shared" ca="1" si="165"/>
        <v>1.7713894592744694</v>
      </c>
      <c r="EU41" s="842">
        <f t="shared" ca="1" si="67"/>
        <v>0</v>
      </c>
      <c r="EV41" s="815">
        <f t="shared" ca="1" si="160"/>
        <v>0.21627748968671137</v>
      </c>
      <c r="EW41" s="478" t="str">
        <f t="shared" ca="1" si="161"/>
        <v/>
      </c>
      <c r="EX41" s="477" t="str">
        <f t="shared" ca="1" si="162"/>
        <v/>
      </c>
      <c r="EY41" s="250">
        <v>0</v>
      </c>
      <c r="EZ41" s="605" t="str">
        <f ca="1">IF(OR(EW41="",EW42=""),"",SQRT(SUM(INDEX(FK41:ID41,SwaptionFirstMonthPosition+1):INDEX(FK41:ID41,FJ41))/SUM(INDEX($FK$15:$ID$15,SwaptionFirstMonthPosition+1):INDEX($FK$15:$ID$15,FJ41))))</f>
        <v/>
      </c>
      <c r="FA41" s="581" t="str">
        <f ca="1">IF(OR(EW41="",EW40=""),"",SQRT(SUM(INDEX(FK41:ID41,SwaptionFirstMonthPosition+1):INDEX(FK41:ID41,FJ41-1))/SUM(INDEX($FK$15:$ID$15,SwaptionFirstMonthPosition+1):INDEX($FK$15:$ID$15,FJ41-1))))</f>
        <v/>
      </c>
      <c r="FB41" s="578" t="str">
        <f t="shared" ca="1" si="68"/>
        <v/>
      </c>
      <c r="FC41" s="609" t="str">
        <f t="shared" ca="1" si="69"/>
        <v/>
      </c>
      <c r="FD41" s="579" t="str">
        <f t="shared" ca="1" si="70"/>
        <v/>
      </c>
      <c r="FE41" s="579" t="str">
        <f t="shared" ca="1" si="71"/>
        <v/>
      </c>
      <c r="FF41" s="579" t="str">
        <f t="shared" ca="1" si="72"/>
        <v/>
      </c>
      <c r="FG41" s="580" t="str">
        <f t="shared" ca="1" si="73"/>
        <v/>
      </c>
      <c r="FH41" s="606" t="str">
        <f t="shared" ca="1" si="74"/>
        <v/>
      </c>
      <c r="FI41" s="250"/>
      <c r="FJ41" s="673">
        <v>22</v>
      </c>
      <c r="FK41" s="460">
        <f t="shared" ca="1" si="75"/>
        <v>0</v>
      </c>
      <c r="FL41" s="460">
        <f t="shared" ca="1" si="76"/>
        <v>2.3446524914808838E-3</v>
      </c>
      <c r="FM41" s="460">
        <f t="shared" ca="1" si="77"/>
        <v>2.7567325342752022E-3</v>
      </c>
      <c r="FN41" s="460">
        <f t="shared" ca="1" si="78"/>
        <v>2.3517576057570586E-3</v>
      </c>
      <c r="FO41" s="460">
        <f t="shared" ca="1" si="79"/>
        <v>2.485105355437217E-3</v>
      </c>
      <c r="FP41" s="460">
        <f t="shared" ca="1" si="80"/>
        <v>2.8051469089262599E-3</v>
      </c>
      <c r="FQ41" s="460">
        <f t="shared" ca="1" si="81"/>
        <v>2.3207921162285094E-3</v>
      </c>
      <c r="FR41" s="460">
        <f t="shared" ca="1" si="82"/>
        <v>2.4339039904934926E-3</v>
      </c>
      <c r="FS41" s="460">
        <f t="shared" ca="1" si="83"/>
        <v>2.8256575674621347E-3</v>
      </c>
      <c r="FT41" s="460">
        <f t="shared" ca="1" si="84"/>
        <v>2.6405763338112056E-3</v>
      </c>
      <c r="FU41" s="460">
        <f t="shared" ca="1" si="85"/>
        <v>2.6445835702841999E-3</v>
      </c>
      <c r="FV41" s="460">
        <f t="shared" ca="1" si="86"/>
        <v>3.0491065805722446E-3</v>
      </c>
      <c r="FW41" s="460">
        <f t="shared" ca="1" si="87"/>
        <v>3.0150457648740496E-3</v>
      </c>
      <c r="FX41" s="460">
        <f t="shared" ca="1" si="88"/>
        <v>3.4285060716893636E-3</v>
      </c>
      <c r="FY41" s="460">
        <f t="shared" ca="1" si="89"/>
        <v>3.4688880883661814E-3</v>
      </c>
      <c r="FZ41" s="460">
        <f t="shared" ca="1" si="90"/>
        <v>3.5444409163989002E-3</v>
      </c>
      <c r="GA41" s="460">
        <f t="shared" ca="1" si="91"/>
        <v>4.22784121691733E-3</v>
      </c>
      <c r="GB41" s="460">
        <f t="shared" ca="1" si="92"/>
        <v>5.2812170811743255E-3</v>
      </c>
      <c r="GC41" s="460">
        <f t="shared" ca="1" si="93"/>
        <v>5.3961996510328777E-3</v>
      </c>
      <c r="GD41" s="460">
        <f t="shared" ca="1" si="94"/>
        <v>6.4538580827451127E-3</v>
      </c>
      <c r="GE41" s="460">
        <f t="shared" ca="1" si="95"/>
        <v>9.0872262210073326E-3</v>
      </c>
      <c r="GF41" s="460">
        <f t="shared" ca="1" si="96"/>
        <v>1.0297191137130584E-2</v>
      </c>
      <c r="GG41" s="460" t="str">
        <f t="shared" si="97"/>
        <v/>
      </c>
      <c r="GH41" s="460" t="str">
        <f t="shared" si="98"/>
        <v/>
      </c>
      <c r="GI41" s="460" t="str">
        <f t="shared" si="99"/>
        <v/>
      </c>
      <c r="GJ41" s="460" t="str">
        <f t="shared" si="100"/>
        <v/>
      </c>
      <c r="GK41" s="460" t="str">
        <f t="shared" si="101"/>
        <v/>
      </c>
      <c r="GL41" s="460" t="str">
        <f t="shared" si="102"/>
        <v/>
      </c>
      <c r="GM41" s="460" t="str">
        <f t="shared" si="103"/>
        <v/>
      </c>
      <c r="GN41" s="460" t="str">
        <f t="shared" si="104"/>
        <v/>
      </c>
      <c r="GO41" s="460" t="str">
        <f t="shared" si="105"/>
        <v/>
      </c>
      <c r="GP41" s="460" t="str">
        <f t="shared" si="106"/>
        <v/>
      </c>
      <c r="GQ41" s="460" t="str">
        <f t="shared" si="107"/>
        <v/>
      </c>
      <c r="GR41" s="460" t="str">
        <f t="shared" si="108"/>
        <v/>
      </c>
      <c r="GS41" s="460" t="str">
        <f t="shared" si="109"/>
        <v/>
      </c>
      <c r="GT41" s="460" t="str">
        <f t="shared" si="110"/>
        <v/>
      </c>
      <c r="GU41" s="460" t="str">
        <f t="shared" si="111"/>
        <v/>
      </c>
      <c r="GV41" s="460" t="str">
        <f t="shared" si="112"/>
        <v/>
      </c>
      <c r="GW41" s="460" t="str">
        <f t="shared" si="113"/>
        <v/>
      </c>
      <c r="GX41" s="460" t="str">
        <f t="shared" si="114"/>
        <v/>
      </c>
      <c r="GY41" s="460" t="str">
        <f t="shared" si="115"/>
        <v/>
      </c>
      <c r="GZ41" s="460" t="str">
        <f t="shared" si="116"/>
        <v/>
      </c>
      <c r="HA41" s="460" t="str">
        <f t="shared" si="117"/>
        <v/>
      </c>
      <c r="HB41" s="460" t="str">
        <f t="shared" si="118"/>
        <v/>
      </c>
      <c r="HC41" s="460" t="str">
        <f t="shared" si="119"/>
        <v/>
      </c>
      <c r="HD41" s="460" t="str">
        <f t="shared" si="120"/>
        <v/>
      </c>
      <c r="HE41" s="460" t="str">
        <f t="shared" si="121"/>
        <v/>
      </c>
      <c r="HF41" s="460" t="str">
        <f t="shared" si="122"/>
        <v/>
      </c>
      <c r="HG41" s="460" t="str">
        <f t="shared" si="123"/>
        <v/>
      </c>
      <c r="HH41" s="460" t="str">
        <f t="shared" si="124"/>
        <v/>
      </c>
      <c r="HI41" s="460" t="str">
        <f t="shared" si="125"/>
        <v/>
      </c>
      <c r="HJ41" s="460" t="str">
        <f t="shared" si="126"/>
        <v/>
      </c>
      <c r="HK41" s="460" t="str">
        <f t="shared" si="127"/>
        <v/>
      </c>
      <c r="HL41" s="460" t="str">
        <f t="shared" si="128"/>
        <v/>
      </c>
      <c r="HM41" s="460" t="str">
        <f t="shared" si="129"/>
        <v/>
      </c>
      <c r="HN41" s="460" t="str">
        <f t="shared" si="130"/>
        <v/>
      </c>
      <c r="HO41" s="460" t="str">
        <f t="shared" si="131"/>
        <v/>
      </c>
      <c r="HP41" s="460" t="str">
        <f t="shared" si="132"/>
        <v/>
      </c>
      <c r="HQ41" s="460" t="str">
        <f t="shared" si="133"/>
        <v/>
      </c>
      <c r="HR41" s="460" t="str">
        <f t="shared" si="134"/>
        <v/>
      </c>
      <c r="HS41" s="460" t="str">
        <f t="shared" si="135"/>
        <v/>
      </c>
      <c r="HT41" s="460" t="str">
        <f t="shared" si="136"/>
        <v/>
      </c>
      <c r="HU41" s="460" t="str">
        <f t="shared" si="137"/>
        <v/>
      </c>
      <c r="HV41" s="460" t="str">
        <f t="shared" si="138"/>
        <v/>
      </c>
      <c r="HW41" s="460" t="str">
        <f t="shared" si="139"/>
        <v/>
      </c>
      <c r="HX41" s="460" t="str">
        <f t="shared" si="140"/>
        <v/>
      </c>
      <c r="HY41" s="460" t="str">
        <f t="shared" si="141"/>
        <v/>
      </c>
      <c r="HZ41" s="460" t="str">
        <f t="shared" si="142"/>
        <v/>
      </c>
      <c r="IA41" s="460" t="str">
        <f t="shared" si="143"/>
        <v/>
      </c>
      <c r="IB41" s="460" t="str">
        <f t="shared" si="144"/>
        <v/>
      </c>
      <c r="IC41" s="460" t="str">
        <f t="shared" si="145"/>
        <v/>
      </c>
      <c r="ID41" s="674" t="str">
        <f t="shared" si="146"/>
        <v/>
      </c>
      <c r="IE41" s="250"/>
    </row>
    <row r="42" spans="1:239" ht="15.75" customHeight="1" thickBot="1">
      <c r="A42" s="51"/>
      <c r="B42" s="364" t="s">
        <v>161</v>
      </c>
      <c r="C42" s="363"/>
      <c r="D42" s="363"/>
      <c r="E42" s="363"/>
      <c r="F42" s="363"/>
      <c r="G42" s="363"/>
      <c r="H42" s="51">
        <f t="shared" ca="1" si="35"/>
        <v>0</v>
      </c>
      <c r="I42" s="379">
        <f t="shared" si="36"/>
        <v>37438</v>
      </c>
      <c r="J42" s="377"/>
      <c r="K42" s="104" t="s">
        <v>488</v>
      </c>
      <c r="L42" s="392">
        <f t="shared" si="37"/>
        <v>0</v>
      </c>
      <c r="M42" s="171"/>
      <c r="N42" s="382">
        <v>0</v>
      </c>
      <c r="O42" s="171">
        <f t="shared" si="38"/>
        <v>0</v>
      </c>
      <c r="P42" s="377"/>
      <c r="Q42" s="104">
        <v>0</v>
      </c>
      <c r="R42" s="377">
        <f t="shared" ca="1" si="148"/>
        <v>0</v>
      </c>
      <c r="S42" s="832">
        <f t="shared" si="164"/>
        <v>0.36009513635816803</v>
      </c>
      <c r="T42" s="831">
        <f t="shared" si="149"/>
        <v>0.99640140624197782</v>
      </c>
      <c r="U42" s="545">
        <f t="shared" si="150"/>
        <v>0.99997324289926526</v>
      </c>
      <c r="V42" s="389">
        <v>0</v>
      </c>
      <c r="W42" s="434">
        <f t="shared" si="39"/>
        <v>0</v>
      </c>
      <c r="X42" s="415">
        <f t="shared" si="40"/>
        <v>0</v>
      </c>
      <c r="Y42" s="322">
        <f t="shared" si="41"/>
        <v>0</v>
      </c>
      <c r="Z42" s="322">
        <f t="shared" ca="1" si="42"/>
        <v>0</v>
      </c>
      <c r="AA42" s="429">
        <f t="shared" si="1"/>
        <v>0</v>
      </c>
      <c r="AB42" s="433">
        <f t="shared" ca="1" si="2"/>
        <v>0</v>
      </c>
      <c r="AC42" s="226">
        <v>37427</v>
      </c>
      <c r="AD42" s="229">
        <v>37424</v>
      </c>
      <c r="AE42" s="227">
        <v>37420</v>
      </c>
      <c r="AF42" s="228">
        <v>37419</v>
      </c>
      <c r="AG42" s="249" t="s">
        <v>498</v>
      </c>
      <c r="AH42" s="247" t="s">
        <v>90</v>
      </c>
      <c r="AI42" s="146">
        <v>22</v>
      </c>
      <c r="AJ42" s="41">
        <v>15</v>
      </c>
      <c r="AK42" s="41">
        <v>7</v>
      </c>
      <c r="AL42" s="293">
        <v>23</v>
      </c>
      <c r="AM42" s="41">
        <v>11</v>
      </c>
      <c r="AN42" s="147">
        <v>12</v>
      </c>
      <c r="AO42" s="374"/>
      <c r="AP42" s="153">
        <f t="shared" ca="1" si="43"/>
        <v>1</v>
      </c>
      <c r="AQ42" s="374"/>
      <c r="AR42" s="153">
        <f t="shared" ca="1" si="151"/>
        <v>1</v>
      </c>
      <c r="AS42" s="272">
        <f t="shared" si="3"/>
        <v>0</v>
      </c>
      <c r="AT42" s="157">
        <f t="shared" si="44"/>
        <v>0</v>
      </c>
      <c r="AU42" s="157">
        <f t="shared" si="4"/>
        <v>0</v>
      </c>
      <c r="AV42" s="271">
        <f t="shared" ca="1" si="163"/>
        <v>9.9999999999999995E-7</v>
      </c>
      <c r="AW42" s="158">
        <f t="shared" ca="1" si="5"/>
        <v>3</v>
      </c>
      <c r="AX42" s="157">
        <f t="shared" ca="1" si="152"/>
        <v>1.2176994140839397E-2</v>
      </c>
      <c r="AY42" s="157">
        <f t="shared" ca="1" si="153"/>
        <v>8.1414945463260825E-3</v>
      </c>
      <c r="AZ42" s="157">
        <f t="shared" ca="1" si="154"/>
        <v>4.1013848130931436E-3</v>
      </c>
      <c r="BA42" s="157">
        <f t="shared" ca="1" si="155"/>
        <v>5.1267310163664295E-4</v>
      </c>
      <c r="BB42" s="157">
        <f t="shared" ca="1" si="156"/>
        <v>5.2023477956628051E-4</v>
      </c>
      <c r="BC42" s="157">
        <f t="shared" ca="1" si="157"/>
        <v>5.2566741828347129E-4</v>
      </c>
      <c r="BD42" s="151">
        <f t="shared" ca="1" si="45"/>
        <v>0</v>
      </c>
      <c r="BE42" s="152">
        <f t="shared" ca="1" si="46"/>
        <v>0</v>
      </c>
      <c r="BF42" s="40">
        <f t="shared" si="7"/>
        <v>2002</v>
      </c>
      <c r="BG42" s="144">
        <f t="shared" si="8"/>
        <v>7</v>
      </c>
      <c r="BH42" s="145">
        <f t="shared" ca="1" si="47"/>
        <v>679</v>
      </c>
      <c r="BI42" s="313">
        <f t="shared" ca="1" si="9"/>
        <v>1.8973305954825461</v>
      </c>
      <c r="BJ42" s="42">
        <f t="shared" ca="1" si="10"/>
        <v>1.9533320888557029</v>
      </c>
      <c r="BK42" s="42">
        <f t="shared" ca="1" si="11"/>
        <v>1.9560699396428349</v>
      </c>
      <c r="BL42" s="42">
        <f t="shared" ca="1" si="12"/>
        <v>1.9794661190965093</v>
      </c>
      <c r="BM42" s="150" t="e">
        <f t="shared" ca="1" si="13"/>
        <v>#DIV/0!</v>
      </c>
      <c r="BN42" s="42" t="e">
        <f t="shared" ca="1" si="14"/>
        <v>#DIV/0!</v>
      </c>
      <c r="BO42" s="293">
        <f t="shared" si="48"/>
        <v>22</v>
      </c>
      <c r="BP42" s="41">
        <f t="shared" si="49"/>
        <v>15</v>
      </c>
      <c r="BQ42" s="41">
        <f t="shared" si="50"/>
        <v>7</v>
      </c>
      <c r="BR42" s="305" t="str">
        <f t="shared" ca="1" si="15"/>
        <v/>
      </c>
      <c r="BS42" s="305" t="str">
        <f t="shared" ca="1" si="16"/>
        <v/>
      </c>
      <c r="BT42" s="307" t="str">
        <f t="shared" ca="1" si="17"/>
        <v/>
      </c>
      <c r="BU42" s="161" t="str">
        <f t="shared" ca="1" si="18"/>
        <v/>
      </c>
      <c r="BV42" s="161" t="str">
        <f t="shared" ca="1" si="19"/>
        <v/>
      </c>
      <c r="BW42" s="308" t="str">
        <f t="shared" ca="1" si="20"/>
        <v/>
      </c>
      <c r="BX42" s="309" t="str">
        <f t="shared" ca="1" si="21"/>
        <v/>
      </c>
      <c r="BY42" s="308" t="str">
        <f t="shared" ca="1" si="51"/>
        <v/>
      </c>
      <c r="BZ42" s="309" t="str">
        <f t="shared" ca="1" si="52"/>
        <v/>
      </c>
      <c r="CA42" s="154" t="str">
        <f t="shared" ca="1" si="22"/>
        <v/>
      </c>
      <c r="CB42" s="154" t="str">
        <f t="shared" ca="1" si="23"/>
        <v/>
      </c>
      <c r="CC42" s="154" t="str">
        <f t="shared" ca="1" si="24"/>
        <v/>
      </c>
      <c r="CD42" s="154" t="str">
        <f t="shared" ca="1" si="25"/>
        <v/>
      </c>
      <c r="CE42" s="310">
        <v>1</v>
      </c>
      <c r="CF42" s="162">
        <f ca="1">IF(BD42,_xll.xCrudeAPO(BU42,BV42,CA42,CB42,S43,S44,BI42,BL42,BP42,BQ42,0,Strike1,AO42,CE42,0,BL42,IF(OptControl=4,0,1),0,1),0)</f>
        <v>0</v>
      </c>
      <c r="CG42" s="163">
        <f ca="1">IF(BD42,_xll.xCrudeAPO(BU42,BV42,CA42,CB42,S43,S44,BI42,BL42,BP42,BQ42,0,Strike1,AO42,CE42,0,BL42,IF(OptControl=4,0,1),1,1)+_xll.xCrudeAPO(BU42,BV42,CA42,CB42,S43,S44,BI42,BL42,BP42,BQ42,0,Strike1,AO42,CE42,0,BL42,IF(OptControl=4,0,1),1,2)+IF(OR(VolSkewFlag=2,ABS(BS42)&lt;0.0001),0,IF(BS42&gt;0,-1,1)*CH42*Strike1/BR42^2*BY42/10%),0)</f>
        <v>0</v>
      </c>
      <c r="CH42" s="163">
        <f ca="1">IF(BD42,(_xll.xCrudeAPO(BU42,BV42,CA42,CB42,S43,S44,BI42,BL42,BP42,BQ42,0,Strike1,AO42,CE42,0,BL42,IF(OptControl=4,0,1),3,1)+_xll.xCrudeAPO(BU42,BV42,CA42,CB42,S43,S44,BI42,BL42,BP42,BQ42,0,Strike1,AO42,CE42,0,BL42,IF(OptControl=4,0,1),3,2))/100,0)</f>
        <v>0</v>
      </c>
      <c r="CI42" s="163">
        <f ca="1">IF(BD42,_xll.xCrudeAPO(BU42,BV42,CA42,CB42,S43,S44,BI42-DaysForThetaCalculation/365.25,BL42-DaysForThetaCalculation/365.25,BP42,BQ42,0,Strike1,AO42,CE42,0,BL42,IF(OptControl=4,0,1),0,1)-_xll.xCrudeAPO(BU42,BV42,CA42,CB42,S43,S44,BI42,BL42,BP42,BQ42,0,Strike1,AO42,CE42,0,BL42,IF(OptControl=4,0,1),0,1),0)</f>
        <v>0</v>
      </c>
      <c r="CJ42" s="311">
        <f ca="1">IF(BD42,_xll.xCrudeAPO(BU42,BV42,CC42,CD42,S43,S44,BI42,BL42,BP42,BQ42,0,Strike2,AO42,CE42,0,BL42,IF(OptControl=3,1,0),0,1),0)</f>
        <v>0</v>
      </c>
      <c r="CK42" s="163">
        <f ca="1">IF(BD42,_xll.xCrudeAPO(BU42,BV42,CC42,CD42,S43,S44,BI42,BL42,BP42,BQ42,0,Strike2,AO42,CE42,0,BL42,IF(OptControl=3,1,0),1,1)+_xll.xCrudeAPO(BU42,BV42,CC42,CD42,S43,S44,BI42,BL42,BP42,BQ42,0,Strike2,AO42,CE42,0,BL42,IF(OptControl=3,1,0),1,2)+IF(OR(VolSkewFlag=2,ABS(BT42)&lt;0.0001),0,IF(BT42&gt;0,-1,1)*CL42*Strike2/BR42^2*BZ42/10%),0)</f>
        <v>0</v>
      </c>
      <c r="CL42" s="163">
        <f ca="1">IF(BD42,(_xll.xCrudeAPO(BU42,BV42,CC42,CD42,S43,S44,BI42,BL42,BP42,BQ42,0,Strike2,AO42,CE42,0,BL42,IF(OptControl=3,1,0),3,1)+_xll.xCrudeAPO(BU42,BV42,CC42,CD42,S43,S44,BI42,BL42,BP42,BQ42,0,Strike2,AO42,CE42,0,BL42,IF(OptControl=3,1,0),3,2))/100,0)</f>
        <v>0</v>
      </c>
      <c r="CM42" s="164">
        <f ca="1">IF(BD42,_xll.xCrudeAPO(BU42,BV42,CC42,CD42,S43,S44,BI42-DaysForThetaCalculation/365.25,BL42-DaysForThetaCalculation/365.25,BP42,BQ42,0,Strike2,AO42,CE42,0,BL42,IF(OptControl=3,1,0),0,1)-_xll.xCrudeAPO(BU42,BV42,CC42,CD42,S43,S44,BI42,BL42,BP42,BQ42,0,Strike2,AO42,CE42,0,BL42,IF(OptControl=3,1,0),0,1),0)</f>
        <v>0</v>
      </c>
      <c r="CO42" s="796" t="str">
        <f t="shared" ca="1" si="53"/>
        <v/>
      </c>
      <c r="CP42" s="800" t="str">
        <f t="shared" ca="1" si="54"/>
        <v/>
      </c>
      <c r="CQ42" s="797" t="str">
        <f t="shared" ca="1" si="55"/>
        <v/>
      </c>
      <c r="CR42" s="797" t="str">
        <f t="shared" ca="1" si="56"/>
        <v/>
      </c>
      <c r="CS42" s="797" t="str">
        <f t="shared" ca="1" si="57"/>
        <v/>
      </c>
      <c r="CT42" s="797" t="str">
        <f t="shared" ca="1" si="58"/>
        <v/>
      </c>
      <c r="CU42" s="798" t="str">
        <f t="shared" ca="1" si="59"/>
        <v/>
      </c>
      <c r="CV42" s="799" t="str">
        <f t="shared" ca="1" si="60"/>
        <v/>
      </c>
      <c r="CW42" s="799" t="str">
        <f t="shared" ca="1" si="61"/>
        <v/>
      </c>
      <c r="CX42" s="163">
        <f ca="1">IF(BD42,_xll.EURO(CP42,Strike1,AO42,AO42,CV42,CO42,IF(OptControl=4,0,1),0),0)</f>
        <v>0</v>
      </c>
      <c r="CY42" s="163">
        <f ca="1">IF(BD42,_xll.EURO(CP42,Strike1,AO42,AO42,CV42,CO42,IF(OptControl=4,0,1),1)+IF(OR(VolSkewFlag=2,ABS(CQ42)&lt;0.0001),0,IF(CQ42&gt;0,-1,1)*CZ42*100*Strike1/CP42^2*CS42/10%),0)</f>
        <v>0</v>
      </c>
      <c r="CZ42" s="163">
        <f ca="1">IF(BD42,_xll.EURO(CP42,Strike1,AO42,AO42,CV42,CO42,IF(OptControl=4,0,1),3)/100,0)</f>
        <v>0</v>
      </c>
      <c r="DA42" s="163">
        <f ca="1">IF(BD42,_xll.EURO(CP42,Strike1,AO42,AO42,CV42,CO42,IF(OptControl=4,0,1),0)-_xll.EURO(CP42,Strike1,AO42,AO42,CV42,CO42-1,IF(OptControl=4,0,1),0),0)</f>
        <v>0</v>
      </c>
      <c r="DB42" s="163">
        <f ca="1">IF(BD42,_xll.EURO(CP42,Strike2,AO42,AO42,CW42,CO42,IF(OptControl=3,1,0),0),0)</f>
        <v>0</v>
      </c>
      <c r="DC42" s="163">
        <f ca="1">IF(BD42,_xll.EURO(CP42,Strike2,AO42,AO42,CW42,CO42,IF(OptControl=3,1,0),1)+IF(OR(VolSkewFlag=2,ABS(CR42)&lt;0.0001),0,IF(CR42&gt;0,-1,1)*DD42*100*Strike2/CP42^2*CT42/10%),0)</f>
        <v>0</v>
      </c>
      <c r="DD42" s="163">
        <f ca="1">IF(BD42,_xll.EURO(CP42,Strike2,AO42,AO42,CW42,CO42,IF(OptControl=3,1,0),3)/100,0)</f>
        <v>0</v>
      </c>
      <c r="DE42" s="164">
        <f ca="1">IF(BD42,_xll.EURO(CP42,Strike2,AO42,AO42,CW42,CO42,IF(OptControl=3,1,0),0)-_xll.EURO(CP42,Strike2,AO42,AO42,CW42,CO42-1,IF(OptControl=3,1,0),0),0)</f>
        <v>0</v>
      </c>
      <c r="DF42" s="55"/>
      <c r="DG42" s="667">
        <f t="shared" ca="1" si="62"/>
        <v>37226</v>
      </c>
      <c r="DH42" s="475">
        <v>20.25</v>
      </c>
      <c r="DI42" s="665">
        <v>20.017499999999998</v>
      </c>
      <c r="DJ42" s="666">
        <f t="shared" ca="1" si="26"/>
        <v>37226</v>
      </c>
      <c r="DK42" s="475">
        <v>18.940000000000001</v>
      </c>
      <c r="DL42" s="665">
        <v>18.753333333333337</v>
      </c>
      <c r="DM42" s="667">
        <f t="shared" ca="1" si="27"/>
        <v>37226</v>
      </c>
      <c r="DN42" s="668">
        <f t="shared" si="28"/>
        <v>18.990000000000002</v>
      </c>
      <c r="DO42" s="667">
        <f t="shared" ca="1" si="63"/>
        <v>37226</v>
      </c>
      <c r="DP42" s="579">
        <f t="shared" si="64"/>
        <v>18.843333333333337</v>
      </c>
      <c r="DQ42" s="821">
        <v>0.09</v>
      </c>
      <c r="DR42" s="666">
        <f t="shared" ca="1" si="29"/>
        <v>37226</v>
      </c>
      <c r="DS42" s="669">
        <v>0.23460743607727608</v>
      </c>
      <c r="DT42" s="606">
        <v>0.22897036757651743</v>
      </c>
      <c r="DU42" s="666">
        <f t="shared" ca="1" si="30"/>
        <v>37226</v>
      </c>
      <c r="DV42" s="669">
        <v>0.23460743607727608</v>
      </c>
      <c r="DW42" s="606">
        <v>0.22897036757651743</v>
      </c>
      <c r="DX42" s="667">
        <f t="shared" ca="1" si="31"/>
        <v>37226</v>
      </c>
      <c r="DY42" s="606">
        <v>0.35000003814697267</v>
      </c>
      <c r="DZ42" s="667">
        <f t="shared" ca="1" si="65"/>
        <v>37226</v>
      </c>
      <c r="EA42" s="606">
        <f t="shared" si="66"/>
        <v>0.22897036757651743</v>
      </c>
      <c r="EB42" s="109"/>
      <c r="EC42" s="118" t="str">
        <f t="shared" ca="1" si="32"/>
        <v/>
      </c>
      <c r="ED42" s="119" t="str">
        <f t="shared" ca="1" si="33"/>
        <v/>
      </c>
      <c r="EE42" s="112" t="str">
        <f t="shared" ca="1" si="34"/>
        <v/>
      </c>
      <c r="EF42" s="120">
        <f ca="1">IF(BD42,_xll.xASN(BR42,Strike1,AO42,ED42,0,BO42,0,BI42,BL42,IF(OptControl=4,0,1),0),0)</f>
        <v>0</v>
      </c>
      <c r="EG42" s="111">
        <f ca="1">IF(BD42,_xll.xASN(BR42,Strike2,AO42,EE42,0,BO42,0,BI42,BL42,IF(OptControl=3,1,0),0),0)</f>
        <v>0</v>
      </c>
      <c r="EI42" s="483" t="str">
        <f>[1]!'CLc23 MTH'</f>
        <v>JUL2</v>
      </c>
      <c r="EJ42" s="484">
        <f t="shared" si="158"/>
        <v>37438</v>
      </c>
      <c r="EK42" s="485">
        <f>[1]!'CLc23 NET.CHNG'</f>
        <v>0</v>
      </c>
      <c r="EL42" s="486">
        <f t="shared" si="159"/>
        <v>0</v>
      </c>
      <c r="EM42" s="109"/>
      <c r="EN42" s="697">
        <v>38353</v>
      </c>
      <c r="EO42" s="698">
        <v>40544</v>
      </c>
      <c r="EP42" s="109"/>
      <c r="EQ42" s="683" t="s">
        <v>146</v>
      </c>
      <c r="ES42" s="498">
        <v>23</v>
      </c>
      <c r="ET42" s="476">
        <f t="shared" ca="1" si="165"/>
        <v>1.8590006844626967</v>
      </c>
      <c r="EU42" s="842">
        <f t="shared" ca="1" si="67"/>
        <v>0</v>
      </c>
      <c r="EV42" s="815">
        <f t="shared" ca="1" si="160"/>
        <v>0.21459413963116356</v>
      </c>
      <c r="EW42" s="478" t="str">
        <f t="shared" ca="1" si="161"/>
        <v/>
      </c>
      <c r="EX42" s="477" t="str">
        <f t="shared" ca="1" si="162"/>
        <v/>
      </c>
      <c r="EY42" s="250">
        <v>0</v>
      </c>
      <c r="EZ42" s="605" t="str">
        <f ca="1">IF(OR(EW42="",EW43=""),"",SQRT(SUM(INDEX(FK42:ID42,SwaptionFirstMonthPosition+1):INDEX(FK42:ID42,FJ42))/SUM(INDEX($FK$15:$ID$15,SwaptionFirstMonthPosition+1):INDEX($FK$15:$ID$15,FJ42))))</f>
        <v/>
      </c>
      <c r="FA42" s="581" t="str">
        <f ca="1">IF(OR(EW42="",EW41=""),"",SQRT(SUM(INDEX(FK42:ID42,SwaptionFirstMonthPosition+1):INDEX(FK42:ID42,FJ42-1))/SUM(INDEX($FK$15:$ID$15,SwaptionFirstMonthPosition+1):INDEX($FK$15:$ID$15,FJ42-1))))</f>
        <v/>
      </c>
      <c r="FB42" s="578" t="str">
        <f t="shared" ca="1" si="68"/>
        <v/>
      </c>
      <c r="FC42" s="609" t="str">
        <f t="shared" ca="1" si="69"/>
        <v/>
      </c>
      <c r="FD42" s="579" t="str">
        <f t="shared" ca="1" si="70"/>
        <v/>
      </c>
      <c r="FE42" s="579" t="str">
        <f t="shared" ca="1" si="71"/>
        <v/>
      </c>
      <c r="FF42" s="579" t="str">
        <f t="shared" ca="1" si="72"/>
        <v/>
      </c>
      <c r="FG42" s="580" t="str">
        <f t="shared" ca="1" si="73"/>
        <v/>
      </c>
      <c r="FH42" s="606" t="str">
        <f t="shared" ca="1" si="74"/>
        <v/>
      </c>
      <c r="FI42" s="250"/>
      <c r="FJ42" s="673">
        <v>23</v>
      </c>
      <c r="FK42" s="460">
        <f t="shared" ca="1" si="75"/>
        <v>0</v>
      </c>
      <c r="FL42" s="460">
        <f t="shared" ca="1" si="76"/>
        <v>2.321695337318931E-3</v>
      </c>
      <c r="FM42" s="460">
        <f t="shared" ca="1" si="77"/>
        <v>2.7251630066233074E-3</v>
      </c>
      <c r="FN42" s="460">
        <f t="shared" ca="1" si="78"/>
        <v>2.3202583788622688E-3</v>
      </c>
      <c r="FO42" s="460">
        <f t="shared" ca="1" si="79"/>
        <v>2.4461752098314938E-3</v>
      </c>
      <c r="FP42" s="460">
        <f t="shared" ca="1" si="80"/>
        <v>2.7537507434421495E-3</v>
      </c>
      <c r="FQ42" s="460">
        <f t="shared" ca="1" si="81"/>
        <v>2.2710590502406152E-3</v>
      </c>
      <c r="FR42" s="460">
        <f t="shared" ca="1" si="82"/>
        <v>2.3729016748163393E-3</v>
      </c>
      <c r="FS42" s="460">
        <f t="shared" ca="1" si="83"/>
        <v>2.7428259210395432E-3</v>
      </c>
      <c r="FT42" s="460">
        <f t="shared" ca="1" si="84"/>
        <v>2.550042820188776E-3</v>
      </c>
      <c r="FU42" s="460">
        <f t="shared" ca="1" si="85"/>
        <v>2.5385357296061751E-3</v>
      </c>
      <c r="FV42" s="460">
        <f t="shared" ca="1" si="86"/>
        <v>2.906101645561624E-3</v>
      </c>
      <c r="FW42" s="460">
        <f t="shared" ca="1" si="87"/>
        <v>2.8496569201481919E-3</v>
      </c>
      <c r="FX42" s="460">
        <f t="shared" ca="1" si="88"/>
        <v>3.2085423226459082E-3</v>
      </c>
      <c r="FY42" s="460">
        <f t="shared" ca="1" si="89"/>
        <v>3.2085903680540368E-3</v>
      </c>
      <c r="FZ42" s="460">
        <f t="shared" ca="1" si="90"/>
        <v>3.2333683572322472E-3</v>
      </c>
      <c r="GA42" s="460">
        <f t="shared" ca="1" si="91"/>
        <v>3.7938644156704686E-3</v>
      </c>
      <c r="GB42" s="460">
        <f t="shared" ca="1" si="92"/>
        <v>4.6471784049100951E-3</v>
      </c>
      <c r="GC42" s="460">
        <f t="shared" ca="1" si="93"/>
        <v>4.6384885917264192E-3</v>
      </c>
      <c r="GD42" s="460">
        <f t="shared" ca="1" si="94"/>
        <v>5.3939482695080435E-3</v>
      </c>
      <c r="GE42" s="460">
        <f t="shared" ca="1" si="95"/>
        <v>7.3417468244108405E-3</v>
      </c>
      <c r="GF42" s="460">
        <f t="shared" ca="1" si="96"/>
        <v>7.9838693578157729E-3</v>
      </c>
      <c r="GG42" s="460">
        <f t="shared" ca="1" si="97"/>
        <v>1.1360416786644342E-2</v>
      </c>
      <c r="GH42" s="460" t="str">
        <f t="shared" si="98"/>
        <v/>
      </c>
      <c r="GI42" s="460" t="str">
        <f t="shared" si="99"/>
        <v/>
      </c>
      <c r="GJ42" s="460" t="str">
        <f t="shared" si="100"/>
        <v/>
      </c>
      <c r="GK42" s="460" t="str">
        <f t="shared" si="101"/>
        <v/>
      </c>
      <c r="GL42" s="460" t="str">
        <f t="shared" si="102"/>
        <v/>
      </c>
      <c r="GM42" s="460" t="str">
        <f t="shared" si="103"/>
        <v/>
      </c>
      <c r="GN42" s="460" t="str">
        <f t="shared" si="104"/>
        <v/>
      </c>
      <c r="GO42" s="460" t="str">
        <f t="shared" si="105"/>
        <v/>
      </c>
      <c r="GP42" s="460" t="str">
        <f t="shared" si="106"/>
        <v/>
      </c>
      <c r="GQ42" s="460" t="str">
        <f t="shared" si="107"/>
        <v/>
      </c>
      <c r="GR42" s="460" t="str">
        <f t="shared" si="108"/>
        <v/>
      </c>
      <c r="GS42" s="460" t="str">
        <f t="shared" si="109"/>
        <v/>
      </c>
      <c r="GT42" s="460" t="str">
        <f t="shared" si="110"/>
        <v/>
      </c>
      <c r="GU42" s="460" t="str">
        <f t="shared" si="111"/>
        <v/>
      </c>
      <c r="GV42" s="460" t="str">
        <f t="shared" si="112"/>
        <v/>
      </c>
      <c r="GW42" s="460" t="str">
        <f t="shared" si="113"/>
        <v/>
      </c>
      <c r="GX42" s="460" t="str">
        <f t="shared" si="114"/>
        <v/>
      </c>
      <c r="GY42" s="460" t="str">
        <f t="shared" si="115"/>
        <v/>
      </c>
      <c r="GZ42" s="460" t="str">
        <f t="shared" si="116"/>
        <v/>
      </c>
      <c r="HA42" s="460" t="str">
        <f t="shared" si="117"/>
        <v/>
      </c>
      <c r="HB42" s="460" t="str">
        <f t="shared" si="118"/>
        <v/>
      </c>
      <c r="HC42" s="460" t="str">
        <f t="shared" si="119"/>
        <v/>
      </c>
      <c r="HD42" s="460" t="str">
        <f t="shared" si="120"/>
        <v/>
      </c>
      <c r="HE42" s="460" t="str">
        <f t="shared" si="121"/>
        <v/>
      </c>
      <c r="HF42" s="460" t="str">
        <f t="shared" si="122"/>
        <v/>
      </c>
      <c r="HG42" s="460" t="str">
        <f t="shared" si="123"/>
        <v/>
      </c>
      <c r="HH42" s="460" t="str">
        <f t="shared" si="124"/>
        <v/>
      </c>
      <c r="HI42" s="460" t="str">
        <f t="shared" si="125"/>
        <v/>
      </c>
      <c r="HJ42" s="460" t="str">
        <f t="shared" si="126"/>
        <v/>
      </c>
      <c r="HK42" s="460" t="str">
        <f t="shared" si="127"/>
        <v/>
      </c>
      <c r="HL42" s="460" t="str">
        <f t="shared" si="128"/>
        <v/>
      </c>
      <c r="HM42" s="460" t="str">
        <f t="shared" si="129"/>
        <v/>
      </c>
      <c r="HN42" s="460" t="str">
        <f t="shared" si="130"/>
        <v/>
      </c>
      <c r="HO42" s="460" t="str">
        <f t="shared" si="131"/>
        <v/>
      </c>
      <c r="HP42" s="460" t="str">
        <f t="shared" si="132"/>
        <v/>
      </c>
      <c r="HQ42" s="460" t="str">
        <f t="shared" si="133"/>
        <v/>
      </c>
      <c r="HR42" s="460" t="str">
        <f t="shared" si="134"/>
        <v/>
      </c>
      <c r="HS42" s="460" t="str">
        <f t="shared" si="135"/>
        <v/>
      </c>
      <c r="HT42" s="460" t="str">
        <f t="shared" si="136"/>
        <v/>
      </c>
      <c r="HU42" s="460" t="str">
        <f t="shared" si="137"/>
        <v/>
      </c>
      <c r="HV42" s="460" t="str">
        <f t="shared" si="138"/>
        <v/>
      </c>
      <c r="HW42" s="460" t="str">
        <f t="shared" si="139"/>
        <v/>
      </c>
      <c r="HX42" s="460" t="str">
        <f t="shared" si="140"/>
        <v/>
      </c>
      <c r="HY42" s="460" t="str">
        <f t="shared" si="141"/>
        <v/>
      </c>
      <c r="HZ42" s="460" t="str">
        <f t="shared" si="142"/>
        <v/>
      </c>
      <c r="IA42" s="460" t="str">
        <f t="shared" si="143"/>
        <v/>
      </c>
      <c r="IB42" s="460" t="str">
        <f t="shared" si="144"/>
        <v/>
      </c>
      <c r="IC42" s="460" t="str">
        <f t="shared" si="145"/>
        <v/>
      </c>
      <c r="ID42" s="674" t="str">
        <f t="shared" si="146"/>
        <v/>
      </c>
      <c r="IE42" s="250"/>
    </row>
    <row r="43" spans="1:239" ht="17.25" customHeight="1">
      <c r="A43" s="51"/>
      <c r="B43" s="79" t="s">
        <v>278</v>
      </c>
      <c r="C43" s="566" t="s">
        <v>279</v>
      </c>
      <c r="D43" s="574" t="s">
        <v>280</v>
      </c>
      <c r="E43" s="574" t="s">
        <v>281</v>
      </c>
      <c r="F43" s="566" t="s">
        <v>28</v>
      </c>
      <c r="G43" s="567" t="s">
        <v>29</v>
      </c>
      <c r="H43" s="51">
        <f t="shared" ca="1" si="35"/>
        <v>0</v>
      </c>
      <c r="I43" s="379">
        <f t="shared" si="36"/>
        <v>37469</v>
      </c>
      <c r="J43" s="377"/>
      <c r="K43" s="104" t="s">
        <v>488</v>
      </c>
      <c r="L43" s="392">
        <f t="shared" si="37"/>
        <v>0</v>
      </c>
      <c r="M43" s="171"/>
      <c r="N43" s="382">
        <v>0</v>
      </c>
      <c r="O43" s="171">
        <f t="shared" si="38"/>
        <v>0</v>
      </c>
      <c r="P43" s="377"/>
      <c r="Q43" s="103" t="s">
        <v>269</v>
      </c>
      <c r="R43" s="377">
        <f t="shared" ca="1" si="148"/>
        <v>0</v>
      </c>
      <c r="S43" s="832">
        <f t="shared" si="164"/>
        <v>0.36007135226862602</v>
      </c>
      <c r="T43" s="831">
        <f t="shared" si="149"/>
        <v>0.99692539609397746</v>
      </c>
      <c r="U43" s="545">
        <f t="shared" si="150"/>
        <v>0.99997993217444892</v>
      </c>
      <c r="V43" s="389">
        <v>0</v>
      </c>
      <c r="W43" s="434">
        <f t="shared" si="39"/>
        <v>0</v>
      </c>
      <c r="X43" s="415">
        <f t="shared" si="40"/>
        <v>0</v>
      </c>
      <c r="Y43" s="322">
        <f t="shared" si="41"/>
        <v>0</v>
      </c>
      <c r="Z43" s="322">
        <f t="shared" ca="1" si="42"/>
        <v>0</v>
      </c>
      <c r="AA43" s="429">
        <f t="shared" si="1"/>
        <v>0</v>
      </c>
      <c r="AB43" s="433">
        <f t="shared" ca="1" si="2"/>
        <v>0</v>
      </c>
      <c r="AC43" s="226">
        <v>37459</v>
      </c>
      <c r="AD43" s="229">
        <v>37454</v>
      </c>
      <c r="AE43" s="227">
        <v>37453</v>
      </c>
      <c r="AF43" s="228">
        <v>37448</v>
      </c>
      <c r="AG43" s="249" t="s">
        <v>498</v>
      </c>
      <c r="AH43" s="247" t="s">
        <v>90</v>
      </c>
      <c r="AI43" s="146">
        <v>22</v>
      </c>
      <c r="AJ43" s="41">
        <v>14</v>
      </c>
      <c r="AK43" s="41">
        <v>8</v>
      </c>
      <c r="AL43" s="293">
        <v>22</v>
      </c>
      <c r="AM43" s="41">
        <v>11</v>
      </c>
      <c r="AN43" s="147">
        <v>11</v>
      </c>
      <c r="AO43" s="374"/>
      <c r="AP43" s="153">
        <f t="shared" ca="1" si="43"/>
        <v>1</v>
      </c>
      <c r="AQ43" s="374"/>
      <c r="AR43" s="153">
        <f t="shared" ca="1" si="151"/>
        <v>1</v>
      </c>
      <c r="AS43" s="272">
        <f t="shared" si="3"/>
        <v>0</v>
      </c>
      <c r="AT43" s="157">
        <f t="shared" si="44"/>
        <v>0</v>
      </c>
      <c r="AU43" s="157">
        <f t="shared" si="4"/>
        <v>0</v>
      </c>
      <c r="AV43" s="271">
        <f t="shared" ca="1" si="163"/>
        <v>9.9999999999999995E-7</v>
      </c>
      <c r="AW43" s="158" t="str">
        <f t="shared" ca="1" si="5"/>
        <v/>
      </c>
      <c r="AX43" s="157">
        <f t="shared" ca="1" si="152"/>
        <v>1.1772422104144352E-2</v>
      </c>
      <c r="AY43" s="157">
        <f t="shared" ca="1" si="153"/>
        <v>7.8186725046814412E-3</v>
      </c>
      <c r="AZ43" s="157">
        <f t="shared" ca="1" si="154"/>
        <v>3.8711917715014243E-3</v>
      </c>
      <c r="BA43" s="157">
        <f t="shared" ca="1" si="155"/>
        <v>4.8389897143767804E-4</v>
      </c>
      <c r="BB43" s="157">
        <f t="shared" ca="1" si="156"/>
        <v>4.7472191229380365E-4</v>
      </c>
      <c r="BC43" s="157">
        <f t="shared" ca="1" si="157"/>
        <v>4.6831642911688583E-4</v>
      </c>
      <c r="BD43" s="151">
        <f t="shared" ca="1" si="45"/>
        <v>0</v>
      </c>
      <c r="BE43" s="152">
        <f t="shared" ca="1" si="46"/>
        <v>0</v>
      </c>
      <c r="BF43" s="40">
        <f t="shared" si="7"/>
        <v>2002</v>
      </c>
      <c r="BG43" s="144">
        <f t="shared" si="8"/>
        <v>8</v>
      </c>
      <c r="BH43" s="145">
        <f t="shared" ca="1" si="47"/>
        <v>709</v>
      </c>
      <c r="BI43" s="313">
        <f t="shared" ca="1" si="9"/>
        <v>1.9822039698836413</v>
      </c>
      <c r="BJ43" s="42">
        <f t="shared" ca="1" si="10"/>
        <v>2.0344720303652544</v>
      </c>
      <c r="BK43" s="42">
        <f t="shared" ca="1" si="11"/>
        <v>2.0372098811523864</v>
      </c>
      <c r="BL43" s="42">
        <f t="shared" ca="1" si="12"/>
        <v>2.0643394934976045</v>
      </c>
      <c r="BM43" s="150" t="e">
        <f t="shared" ca="1" si="13"/>
        <v>#DIV/0!</v>
      </c>
      <c r="BN43" s="42" t="e">
        <f t="shared" ca="1" si="14"/>
        <v>#DIV/0!</v>
      </c>
      <c r="BO43" s="293">
        <f t="shared" si="48"/>
        <v>22</v>
      </c>
      <c r="BP43" s="41">
        <f t="shared" si="49"/>
        <v>14</v>
      </c>
      <c r="BQ43" s="41">
        <f t="shared" si="50"/>
        <v>8</v>
      </c>
      <c r="BR43" s="305" t="str">
        <f t="shared" ca="1" si="15"/>
        <v/>
      </c>
      <c r="BS43" s="305" t="str">
        <f t="shared" ca="1" si="16"/>
        <v/>
      </c>
      <c r="BT43" s="307" t="str">
        <f t="shared" ca="1" si="17"/>
        <v/>
      </c>
      <c r="BU43" s="161" t="str">
        <f t="shared" ca="1" si="18"/>
        <v/>
      </c>
      <c r="BV43" s="161" t="str">
        <f t="shared" ca="1" si="19"/>
        <v/>
      </c>
      <c r="BW43" s="308" t="str">
        <f t="shared" ca="1" si="20"/>
        <v/>
      </c>
      <c r="BX43" s="309" t="str">
        <f t="shared" ca="1" si="21"/>
        <v/>
      </c>
      <c r="BY43" s="308" t="str">
        <f t="shared" ca="1" si="51"/>
        <v/>
      </c>
      <c r="BZ43" s="309" t="str">
        <f t="shared" ca="1" si="52"/>
        <v/>
      </c>
      <c r="CA43" s="154" t="str">
        <f t="shared" ca="1" si="22"/>
        <v/>
      </c>
      <c r="CB43" s="154" t="str">
        <f t="shared" ca="1" si="23"/>
        <v/>
      </c>
      <c r="CC43" s="154" t="str">
        <f t="shared" ca="1" si="24"/>
        <v/>
      </c>
      <c r="CD43" s="154" t="str">
        <f t="shared" ca="1" si="25"/>
        <v/>
      </c>
      <c r="CE43" s="310">
        <v>1</v>
      </c>
      <c r="CF43" s="162">
        <f ca="1">IF(BD43,_xll.xCrudeAPO(BU43,BV43,CA43,CB43,S44,S45,BI43,BL43,BP43,BQ43,0,Strike1,AO43,CE43,0,BL43,IF(OptControl=4,0,1),0,1),0)</f>
        <v>0</v>
      </c>
      <c r="CG43" s="163">
        <f ca="1">IF(BD43,_xll.xCrudeAPO(BU43,BV43,CA43,CB43,S44,S45,BI43,BL43,BP43,BQ43,0,Strike1,AO43,CE43,0,BL43,IF(OptControl=4,0,1),1,1)+_xll.xCrudeAPO(BU43,BV43,CA43,CB43,S44,S45,BI43,BL43,BP43,BQ43,0,Strike1,AO43,CE43,0,BL43,IF(OptControl=4,0,1),1,2)+IF(OR(VolSkewFlag=2,ABS(BS43)&lt;0.0001),0,IF(BS43&gt;0,-1,1)*CH43*Strike1/BR43^2*BY43/10%),0)</f>
        <v>0</v>
      </c>
      <c r="CH43" s="163">
        <f ca="1">IF(BD43,(_xll.xCrudeAPO(BU43,BV43,CA43,CB43,S44,S45,BI43,BL43,BP43,BQ43,0,Strike1,AO43,CE43,0,BL43,IF(OptControl=4,0,1),3,1)+_xll.xCrudeAPO(BU43,BV43,CA43,CB43,S44,S45,BI43,BL43,BP43,BQ43,0,Strike1,AO43,CE43,0,BL43,IF(OptControl=4,0,1),3,2))/100,0)</f>
        <v>0</v>
      </c>
      <c r="CI43" s="163">
        <f ca="1">IF(BD43,_xll.xCrudeAPO(BU43,BV43,CA43,CB43,S44,S45,BI43-DaysForThetaCalculation/365.25,BL43-DaysForThetaCalculation/365.25,BP43,BQ43,0,Strike1,AO43,CE43,0,BL43,IF(OptControl=4,0,1),0,1)-_xll.xCrudeAPO(BU43,BV43,CA43,CB43,S44,S45,BI43,BL43,BP43,BQ43,0,Strike1,AO43,CE43,0,BL43,IF(OptControl=4,0,1),0,1),0)</f>
        <v>0</v>
      </c>
      <c r="CJ43" s="311">
        <f ca="1">IF(BD43,_xll.xCrudeAPO(BU43,BV43,CC43,CD43,S44,S45,BI43,BL43,BP43,BQ43,0,Strike2,AO43,CE43,0,BL43,IF(OptControl=3,1,0),0,1),0)</f>
        <v>0</v>
      </c>
      <c r="CK43" s="163">
        <f ca="1">IF(BD43,_xll.xCrudeAPO(BU43,BV43,CC43,CD43,S44,S45,BI43,BL43,BP43,BQ43,0,Strike2,AO43,CE43,0,BL43,IF(OptControl=3,1,0),1,1)+_xll.xCrudeAPO(BU43,BV43,CC43,CD43,S44,S45,BI43,BL43,BP43,BQ43,0,Strike2,AO43,CE43,0,BL43,IF(OptControl=3,1,0),1,2)+IF(OR(VolSkewFlag=2,ABS(BT43)&lt;0.0001),0,IF(BT43&gt;0,-1,1)*CL43*Strike2/BR43^2*BZ43/10%),0)</f>
        <v>0</v>
      </c>
      <c r="CL43" s="163">
        <f ca="1">IF(BD43,(_xll.xCrudeAPO(BU43,BV43,CC43,CD43,S44,S45,BI43,BL43,BP43,BQ43,0,Strike2,AO43,CE43,0,BL43,IF(OptControl=3,1,0),3,1)+_xll.xCrudeAPO(BU43,BV43,CC43,CD43,S44,S45,BI43,BL43,BP43,BQ43,0,Strike2,AO43,CE43,0,BL43,IF(OptControl=3,1,0),3,2))/100,0)</f>
        <v>0</v>
      </c>
      <c r="CM43" s="164">
        <f ca="1">IF(BD43,_xll.xCrudeAPO(BU43,BV43,CC43,CD43,S44,S45,BI43-DaysForThetaCalculation/365.25,BL43-DaysForThetaCalculation/365.25,BP43,BQ43,0,Strike2,AO43,CE43,0,BL43,IF(OptControl=3,1,0),0,1)-_xll.xCrudeAPO(BU43,BV43,CC43,CD43,S44,S45,BI43,BL43,BP43,BQ43,0,Strike2,AO43,CE43,0,BL43,IF(OptControl=3,1,0),0,1),0)</f>
        <v>0</v>
      </c>
      <c r="CO43" s="796" t="str">
        <f t="shared" ca="1" si="53"/>
        <v/>
      </c>
      <c r="CP43" s="800" t="str">
        <f t="shared" ca="1" si="54"/>
        <v/>
      </c>
      <c r="CQ43" s="797" t="str">
        <f t="shared" ca="1" si="55"/>
        <v/>
      </c>
      <c r="CR43" s="797" t="str">
        <f t="shared" ca="1" si="56"/>
        <v/>
      </c>
      <c r="CS43" s="797" t="str">
        <f t="shared" ca="1" si="57"/>
        <v/>
      </c>
      <c r="CT43" s="797" t="str">
        <f t="shared" ca="1" si="58"/>
        <v/>
      </c>
      <c r="CU43" s="798" t="str">
        <f t="shared" ca="1" si="59"/>
        <v/>
      </c>
      <c r="CV43" s="799" t="str">
        <f t="shared" ca="1" si="60"/>
        <v/>
      </c>
      <c r="CW43" s="799" t="str">
        <f t="shared" ca="1" si="61"/>
        <v/>
      </c>
      <c r="CX43" s="163">
        <f ca="1">IF(BD43,_xll.EURO(CP43,Strike1,AO43,AO43,CV43,CO43,IF(OptControl=4,0,1),0),0)</f>
        <v>0</v>
      </c>
      <c r="CY43" s="163">
        <f ca="1">IF(BD43,_xll.EURO(CP43,Strike1,AO43,AO43,CV43,CO43,IF(OptControl=4,0,1),1)+IF(OR(VolSkewFlag=2,ABS(CQ43)&lt;0.0001),0,IF(CQ43&gt;0,-1,1)*CZ43*100*Strike1/CP43^2*CS43/10%),0)</f>
        <v>0</v>
      </c>
      <c r="CZ43" s="163">
        <f ca="1">IF(BD43,_xll.EURO(CP43,Strike1,AO43,AO43,CV43,CO43,IF(OptControl=4,0,1),3)/100,0)</f>
        <v>0</v>
      </c>
      <c r="DA43" s="163">
        <f ca="1">IF(BD43,_xll.EURO(CP43,Strike1,AO43,AO43,CV43,CO43,IF(OptControl=4,0,1),0)-_xll.EURO(CP43,Strike1,AO43,AO43,CV43,CO43-1,IF(OptControl=4,0,1),0),0)</f>
        <v>0</v>
      </c>
      <c r="DB43" s="163">
        <f ca="1">IF(BD43,_xll.EURO(CP43,Strike2,AO43,AO43,CW43,CO43,IF(OptControl=3,1,0),0),0)</f>
        <v>0</v>
      </c>
      <c r="DC43" s="163">
        <f ca="1">IF(BD43,_xll.EURO(CP43,Strike2,AO43,AO43,CW43,CO43,IF(OptControl=3,1,0),1)+IF(OR(VolSkewFlag=2,ABS(CR43)&lt;0.0001),0,IF(CR43&gt;0,-1,1)*DD43*100*Strike2/CP43^2*CT43/10%),0)</f>
        <v>0</v>
      </c>
      <c r="DD43" s="163">
        <f ca="1">IF(BD43,_xll.EURO(CP43,Strike2,AO43,AO43,CW43,CO43,IF(OptControl=3,1,0),3)/100,0)</f>
        <v>0</v>
      </c>
      <c r="DE43" s="164">
        <f ca="1">IF(BD43,_xll.EURO(CP43,Strike2,AO43,AO43,CW43,CO43,IF(OptControl=3,1,0),0)-_xll.EURO(CP43,Strike2,AO43,AO43,CW43,CO43-1,IF(OptControl=3,1,0),0),0)</f>
        <v>0</v>
      </c>
      <c r="DF43" s="55"/>
      <c r="DG43" s="667">
        <f t="shared" ca="1" si="62"/>
        <v>37257</v>
      </c>
      <c r="DH43" s="475">
        <v>20.07</v>
      </c>
      <c r="DI43" s="665">
        <v>19.878636363636364</v>
      </c>
      <c r="DJ43" s="666">
        <f t="shared" ca="1" si="26"/>
        <v>37257</v>
      </c>
      <c r="DK43" s="475">
        <v>18.823333333333334</v>
      </c>
      <c r="DL43" s="665">
        <v>18.643030303030301</v>
      </c>
      <c r="DM43" s="667">
        <f t="shared" ca="1" si="27"/>
        <v>37257</v>
      </c>
      <c r="DN43" s="668">
        <f t="shared" si="28"/>
        <v>18.873333333333335</v>
      </c>
      <c r="DO43" s="667">
        <f t="shared" ca="1" si="63"/>
        <v>37257</v>
      </c>
      <c r="DP43" s="579">
        <f t="shared" si="64"/>
        <v>18.643030303030301</v>
      </c>
      <c r="DQ43" s="821">
        <v>0</v>
      </c>
      <c r="DR43" s="666">
        <f t="shared" ca="1" si="29"/>
        <v>37257</v>
      </c>
      <c r="DS43" s="669">
        <v>0.23035214886875705</v>
      </c>
      <c r="DT43" s="606">
        <v>0.22733925532942639</v>
      </c>
      <c r="DU43" s="666">
        <f t="shared" ca="1" si="30"/>
        <v>37257</v>
      </c>
      <c r="DV43" s="669">
        <v>0.23035214886875705</v>
      </c>
      <c r="DW43" s="606">
        <v>0.22733925532942639</v>
      </c>
      <c r="DX43" s="667">
        <f t="shared" ca="1" si="31"/>
        <v>37257</v>
      </c>
      <c r="DY43" s="606">
        <v>0.35000001907348632</v>
      </c>
      <c r="DZ43" s="667">
        <f t="shared" ca="1" si="65"/>
        <v>37257</v>
      </c>
      <c r="EA43" s="606">
        <f t="shared" si="66"/>
        <v>0.22733925532942639</v>
      </c>
      <c r="EB43" s="109"/>
      <c r="EC43" s="118" t="str">
        <f t="shared" ca="1" si="32"/>
        <v/>
      </c>
      <c r="ED43" s="119" t="str">
        <f t="shared" ca="1" si="33"/>
        <v/>
      </c>
      <c r="EE43" s="112" t="str">
        <f t="shared" ca="1" si="34"/>
        <v/>
      </c>
      <c r="EF43" s="120">
        <f ca="1">IF(BD43,_xll.xASN(BR43,Strike1,AO43,ED43,0,BO43,0,BI43,BL43,IF(OptControl=4,0,1),0),0)</f>
        <v>0</v>
      </c>
      <c r="EG43" s="111">
        <f ca="1">IF(BD43,_xll.xASN(BR43,Strike2,AO43,EE43,0,BO43,0,BI43,BL43,IF(OptControl=3,1,0),0),0)</f>
        <v>0</v>
      </c>
      <c r="EI43" s="483" t="str">
        <f>[1]!'CLc24 MTH'</f>
        <v>AUG2</v>
      </c>
      <c r="EJ43" s="484">
        <f t="shared" si="158"/>
        <v>37469</v>
      </c>
      <c r="EK43" s="485">
        <f>[1]!'CLc24 NET.CHNG'</f>
        <v>0</v>
      </c>
      <c r="EL43" s="486">
        <f t="shared" si="159"/>
        <v>0</v>
      </c>
      <c r="EM43" s="109"/>
      <c r="EN43" s="697">
        <v>38537</v>
      </c>
      <c r="EO43" s="698">
        <v>40902</v>
      </c>
      <c r="EP43" s="109"/>
      <c r="EQ43" s="683" t="s">
        <v>147</v>
      </c>
      <c r="ES43" s="498">
        <v>24</v>
      </c>
      <c r="ET43" s="476">
        <f t="shared" ca="1" si="165"/>
        <v>1.9411362080766599</v>
      </c>
      <c r="EU43" s="842">
        <f t="shared" ca="1" si="67"/>
        <v>0</v>
      </c>
      <c r="EV43" s="815">
        <f t="shared" ca="1" si="160"/>
        <v>0.21230690345270112</v>
      </c>
      <c r="EW43" s="478" t="str">
        <f t="shared" ca="1" si="161"/>
        <v/>
      </c>
      <c r="EX43" s="477" t="str">
        <f t="shared" ca="1" si="162"/>
        <v/>
      </c>
      <c r="EY43" s="250">
        <v>0</v>
      </c>
      <c r="EZ43" s="605" t="str">
        <f ca="1">IF(OR(EW43="",EW44=""),"",SQRT(SUM(INDEX(FK43:ID43,SwaptionFirstMonthPosition+1):INDEX(FK43:ID43,FJ43))/SUM(INDEX($FK$15:$ID$15,SwaptionFirstMonthPosition+1):INDEX($FK$15:$ID$15,FJ43))))</f>
        <v/>
      </c>
      <c r="FA43" s="581" t="str">
        <f ca="1">IF(OR(EW43="",EW42=""),"",SQRT(SUM(INDEX(FK43:ID43,SwaptionFirstMonthPosition+1):INDEX(FK43:ID43,FJ43-1))/SUM(INDEX($FK$15:$ID$15,SwaptionFirstMonthPosition+1):INDEX($FK$15:$ID$15,FJ43-1))))</f>
        <v/>
      </c>
      <c r="FB43" s="578" t="str">
        <f t="shared" ca="1" si="68"/>
        <v/>
      </c>
      <c r="FC43" s="609" t="str">
        <f t="shared" ca="1" si="69"/>
        <v/>
      </c>
      <c r="FD43" s="579" t="str">
        <f t="shared" ca="1" si="70"/>
        <v/>
      </c>
      <c r="FE43" s="579" t="str">
        <f t="shared" ca="1" si="71"/>
        <v/>
      </c>
      <c r="FF43" s="579" t="str">
        <f t="shared" ca="1" si="72"/>
        <v/>
      </c>
      <c r="FG43" s="580" t="str">
        <f t="shared" ca="1" si="73"/>
        <v/>
      </c>
      <c r="FH43" s="606" t="str">
        <f t="shared" ca="1" si="74"/>
        <v/>
      </c>
      <c r="FI43" s="250"/>
      <c r="FJ43" s="673">
        <v>24</v>
      </c>
      <c r="FK43" s="460">
        <f t="shared" ca="1" si="75"/>
        <v>0</v>
      </c>
      <c r="FL43" s="460">
        <f t="shared" ca="1" si="76"/>
        <v>2.3022591573886482E-3</v>
      </c>
      <c r="FM43" s="460">
        <f t="shared" ca="1" si="77"/>
        <v>2.6984801666345179E-3</v>
      </c>
      <c r="FN43" s="460">
        <f t="shared" ca="1" si="78"/>
        <v>2.2936872624625807E-3</v>
      </c>
      <c r="FO43" s="460">
        <f t="shared" ca="1" si="79"/>
        <v>2.4134113621584736E-3</v>
      </c>
      <c r="FP43" s="460">
        <f t="shared" ca="1" si="80"/>
        <v>2.7106121629511789E-3</v>
      </c>
      <c r="FQ43" s="460">
        <f t="shared" ca="1" si="81"/>
        <v>2.2294484927332966E-3</v>
      </c>
      <c r="FR43" s="460">
        <f t="shared" ca="1" si="82"/>
        <v>2.322051934871425E-3</v>
      </c>
      <c r="FS43" s="460">
        <f t="shared" ca="1" si="83"/>
        <v>2.6740809198660138E-3</v>
      </c>
      <c r="FT43" s="460">
        <f t="shared" ca="1" si="84"/>
        <v>2.4752905757283632E-3</v>
      </c>
      <c r="FU43" s="460">
        <f t="shared" ca="1" si="85"/>
        <v>2.4515007304226383E-3</v>
      </c>
      <c r="FV43" s="460">
        <f t="shared" ca="1" si="86"/>
        <v>2.7895669261579388E-3</v>
      </c>
      <c r="FW43" s="460">
        <f t="shared" ca="1" si="87"/>
        <v>2.7160062943337683E-3</v>
      </c>
      <c r="FX43" s="460">
        <f t="shared" ca="1" si="88"/>
        <v>3.0325393199125169E-3</v>
      </c>
      <c r="FY43" s="460">
        <f t="shared" ca="1" si="89"/>
        <v>3.0027358204043303E-3</v>
      </c>
      <c r="FZ43" s="460">
        <f t="shared" ca="1" si="90"/>
        <v>2.9907435187026821E-3</v>
      </c>
      <c r="GA43" s="460">
        <f t="shared" ca="1" si="91"/>
        <v>3.4609015759025133E-3</v>
      </c>
      <c r="GB43" s="460">
        <f t="shared" ca="1" si="92"/>
        <v>4.1701577422332521E-3</v>
      </c>
      <c r="GC43" s="460">
        <f t="shared" ca="1" si="93"/>
        <v>4.0816129470859983E-3</v>
      </c>
      <c r="GD43" s="460">
        <f t="shared" ca="1" si="94"/>
        <v>4.6365533394759637E-3</v>
      </c>
      <c r="GE43" s="460">
        <f t="shared" ca="1" si="95"/>
        <v>6.1360200473842708E-3</v>
      </c>
      <c r="GF43" s="460">
        <f t="shared" ca="1" si="96"/>
        <v>6.4503233526585785E-3</v>
      </c>
      <c r="GG43" s="460">
        <f t="shared" ca="1" si="97"/>
        <v>8.8082353980835377E-3</v>
      </c>
      <c r="GH43" s="460">
        <f t="shared" ca="1" si="98"/>
        <v>1.0648983878813729E-2</v>
      </c>
      <c r="GI43" s="460" t="str">
        <f t="shared" si="99"/>
        <v/>
      </c>
      <c r="GJ43" s="460" t="str">
        <f t="shared" si="100"/>
        <v/>
      </c>
      <c r="GK43" s="460" t="str">
        <f t="shared" si="101"/>
        <v/>
      </c>
      <c r="GL43" s="460" t="str">
        <f t="shared" si="102"/>
        <v/>
      </c>
      <c r="GM43" s="460" t="str">
        <f t="shared" si="103"/>
        <v/>
      </c>
      <c r="GN43" s="460" t="str">
        <f t="shared" si="104"/>
        <v/>
      </c>
      <c r="GO43" s="460" t="str">
        <f t="shared" si="105"/>
        <v/>
      </c>
      <c r="GP43" s="460" t="str">
        <f t="shared" si="106"/>
        <v/>
      </c>
      <c r="GQ43" s="460" t="str">
        <f t="shared" si="107"/>
        <v/>
      </c>
      <c r="GR43" s="460" t="str">
        <f t="shared" si="108"/>
        <v/>
      </c>
      <c r="GS43" s="460" t="str">
        <f t="shared" si="109"/>
        <v/>
      </c>
      <c r="GT43" s="460" t="str">
        <f t="shared" si="110"/>
        <v/>
      </c>
      <c r="GU43" s="460" t="str">
        <f t="shared" si="111"/>
        <v/>
      </c>
      <c r="GV43" s="460" t="str">
        <f t="shared" si="112"/>
        <v/>
      </c>
      <c r="GW43" s="460" t="str">
        <f t="shared" si="113"/>
        <v/>
      </c>
      <c r="GX43" s="460" t="str">
        <f t="shared" si="114"/>
        <v/>
      </c>
      <c r="GY43" s="460" t="str">
        <f t="shared" si="115"/>
        <v/>
      </c>
      <c r="GZ43" s="460" t="str">
        <f t="shared" si="116"/>
        <v/>
      </c>
      <c r="HA43" s="460" t="str">
        <f t="shared" si="117"/>
        <v/>
      </c>
      <c r="HB43" s="460" t="str">
        <f t="shared" si="118"/>
        <v/>
      </c>
      <c r="HC43" s="460" t="str">
        <f t="shared" si="119"/>
        <v/>
      </c>
      <c r="HD43" s="460" t="str">
        <f t="shared" si="120"/>
        <v/>
      </c>
      <c r="HE43" s="460" t="str">
        <f t="shared" si="121"/>
        <v/>
      </c>
      <c r="HF43" s="460" t="str">
        <f t="shared" si="122"/>
        <v/>
      </c>
      <c r="HG43" s="460" t="str">
        <f t="shared" si="123"/>
        <v/>
      </c>
      <c r="HH43" s="460" t="str">
        <f t="shared" si="124"/>
        <v/>
      </c>
      <c r="HI43" s="460" t="str">
        <f t="shared" si="125"/>
        <v/>
      </c>
      <c r="HJ43" s="460" t="str">
        <f t="shared" si="126"/>
        <v/>
      </c>
      <c r="HK43" s="460" t="str">
        <f t="shared" si="127"/>
        <v/>
      </c>
      <c r="HL43" s="460" t="str">
        <f t="shared" si="128"/>
        <v/>
      </c>
      <c r="HM43" s="460" t="str">
        <f t="shared" si="129"/>
        <v/>
      </c>
      <c r="HN43" s="460" t="str">
        <f t="shared" si="130"/>
        <v/>
      </c>
      <c r="HO43" s="460" t="str">
        <f t="shared" si="131"/>
        <v/>
      </c>
      <c r="HP43" s="460" t="str">
        <f t="shared" si="132"/>
        <v/>
      </c>
      <c r="HQ43" s="460" t="str">
        <f t="shared" si="133"/>
        <v/>
      </c>
      <c r="HR43" s="460" t="str">
        <f t="shared" si="134"/>
        <v/>
      </c>
      <c r="HS43" s="460" t="str">
        <f t="shared" si="135"/>
        <v/>
      </c>
      <c r="HT43" s="460" t="str">
        <f t="shared" si="136"/>
        <v/>
      </c>
      <c r="HU43" s="460" t="str">
        <f t="shared" si="137"/>
        <v/>
      </c>
      <c r="HV43" s="460" t="str">
        <f t="shared" si="138"/>
        <v/>
      </c>
      <c r="HW43" s="460" t="str">
        <f t="shared" si="139"/>
        <v/>
      </c>
      <c r="HX43" s="460" t="str">
        <f t="shared" si="140"/>
        <v/>
      </c>
      <c r="HY43" s="460" t="str">
        <f t="shared" si="141"/>
        <v/>
      </c>
      <c r="HZ43" s="460" t="str">
        <f t="shared" si="142"/>
        <v/>
      </c>
      <c r="IA43" s="460" t="str">
        <f t="shared" si="143"/>
        <v/>
      </c>
      <c r="IB43" s="460" t="str">
        <f t="shared" si="144"/>
        <v/>
      </c>
      <c r="IC43" s="460" t="str">
        <f t="shared" si="145"/>
        <v/>
      </c>
      <c r="ID43" s="674" t="str">
        <f t="shared" si="146"/>
        <v/>
      </c>
      <c r="IE43" s="250"/>
    </row>
    <row r="44" spans="1:239" ht="14.25" customHeight="1" thickBot="1">
      <c r="A44" s="51"/>
      <c r="B44" s="568">
        <f>StrikeSpec2</f>
        <v>0</v>
      </c>
      <c r="C44" s="569">
        <f>StrikeSpec1</f>
        <v>0</v>
      </c>
      <c r="D44" s="607">
        <f ca="1">AVERAGE(FH20:FH55)-AVERAGE(FG20:FG55)</f>
        <v>0</v>
      </c>
      <c r="E44" s="575">
        <v>0</v>
      </c>
      <c r="F44" s="610" t="e">
        <f ca="1">_xll.xXCOL2(INDEX(FD20:FD55,SwaptionFirstMonthPosition):INDEX(FD20:FD55,SwaptionFirstMonthPosition+SwaptionNumOfMonths-1),INDEX(AO20:AO55,SwaptionFirstMonthPosition):INDEX(AO20:AO55,SwaptionFirstMonthPosition+SwaptionNumOfMonths-1),INDEX(FB20:FB55,SwaptionFirstMonthPosition):INDEX(FB20:FB55,SwaptionFirstMonthPosition+SwaptionNumOfMonths-1),INDEX(FC20:FC55,SwaptionFirstMonthPosition):INDEX(FC20:FC55,SwaptionFirstMonthPosition+SwaptionNumOfMonths-1),E29+E44,D44,B26-DateToday+1,CollartionCap,CollartionFloor,0.05,100,0)</f>
        <v>#VALUE!</v>
      </c>
      <c r="G44" s="612" t="e">
        <f ca="1">_xll.xXCOL2(INDEX(FD20:FD55,SwaptionFirstMonthPosition):INDEX(FD20:FD55,SwaptionFirstMonthPosition+SwaptionNumOfMonths-1),INDEX(AO20:AO55,SwaptionFirstMonthPosition):INDEX(AO20:AO55,SwaptionFirstMonthPosition+SwaptionNumOfMonths-1),INDEX(FB20:FB55,SwaptionFirstMonthPosition):INDEX(FB20:FB55,SwaptionFirstMonthPosition+SwaptionNumOfMonths-1),INDEX(FC20:FC55,SwaptionFirstMonthPosition):INDEX(FC20:FC55,SwaptionFirstMonthPosition+SwaptionNumOfMonths-1),E29+E44,D44,B26-DateToday+1,CollartionCap,CollartionFloor,0.05,100,1)</f>
        <v>#VALUE!</v>
      </c>
      <c r="H44" s="51">
        <f t="shared" ca="1" si="35"/>
        <v>0</v>
      </c>
      <c r="I44" s="379">
        <f t="shared" si="36"/>
        <v>37500</v>
      </c>
      <c r="J44" s="377"/>
      <c r="K44" s="104" t="s">
        <v>488</v>
      </c>
      <c r="L44" s="392">
        <f t="shared" si="37"/>
        <v>0</v>
      </c>
      <c r="M44" s="171"/>
      <c r="N44" s="382">
        <v>0</v>
      </c>
      <c r="O44" s="171">
        <f t="shared" si="38"/>
        <v>0</v>
      </c>
      <c r="P44" s="377"/>
      <c r="Q44" s="104" t="s">
        <v>269</v>
      </c>
      <c r="R44" s="377">
        <f t="shared" ca="1" si="148"/>
        <v>0</v>
      </c>
      <c r="S44" s="832">
        <f t="shared" si="164"/>
        <v>0.36005351420146953</v>
      </c>
      <c r="T44" s="831">
        <f t="shared" si="149"/>
        <v>0.99737284436073503</v>
      </c>
      <c r="U44" s="545">
        <f t="shared" si="150"/>
        <v>0.99998494913083669</v>
      </c>
      <c r="V44" s="389">
        <v>0</v>
      </c>
      <c r="W44" s="434">
        <f t="shared" si="39"/>
        <v>0</v>
      </c>
      <c r="X44" s="415">
        <f t="shared" si="40"/>
        <v>0</v>
      </c>
      <c r="Y44" s="322">
        <f t="shared" si="41"/>
        <v>0</v>
      </c>
      <c r="Z44" s="322">
        <f t="shared" ca="1" si="42"/>
        <v>0</v>
      </c>
      <c r="AA44" s="429">
        <f t="shared" si="1"/>
        <v>0</v>
      </c>
      <c r="AB44" s="433">
        <f t="shared" ca="1" si="2"/>
        <v>0</v>
      </c>
      <c r="AC44" s="226">
        <v>37488</v>
      </c>
      <c r="AD44" s="229">
        <v>37483</v>
      </c>
      <c r="AE44" s="227">
        <v>37484</v>
      </c>
      <c r="AF44" s="228">
        <v>37479</v>
      </c>
      <c r="AG44" s="249" t="s">
        <v>498</v>
      </c>
      <c r="AH44" s="247" t="s">
        <v>90</v>
      </c>
      <c r="AI44" s="146">
        <v>21</v>
      </c>
      <c r="AJ44" s="41">
        <v>15</v>
      </c>
      <c r="AK44" s="41">
        <v>6</v>
      </c>
      <c r="AL44" s="293">
        <v>21</v>
      </c>
      <c r="AM44" s="41">
        <v>8</v>
      </c>
      <c r="AN44" s="147">
        <v>13</v>
      </c>
      <c r="AO44" s="374"/>
      <c r="AP44" s="153">
        <f t="shared" ca="1" si="43"/>
        <v>1</v>
      </c>
      <c r="AQ44" s="374"/>
      <c r="AR44" s="153">
        <f t="shared" ca="1" si="151"/>
        <v>1</v>
      </c>
      <c r="AS44" s="272">
        <f t="shared" si="3"/>
        <v>0</v>
      </c>
      <c r="AT44" s="157">
        <f t="shared" si="44"/>
        <v>0</v>
      </c>
      <c r="AU44" s="157">
        <f t="shared" si="4"/>
        <v>0</v>
      </c>
      <c r="AV44" s="271">
        <f t="shared" ca="1" si="163"/>
        <v>9.9999999999999995E-7</v>
      </c>
      <c r="AW44" s="158" t="str">
        <f t="shared" ca="1" si="5"/>
        <v/>
      </c>
      <c r="AX44" s="157">
        <f t="shared" ca="1" si="152"/>
        <v>1.1381291687851064E-2</v>
      </c>
      <c r="AY44" s="157">
        <f t="shared" ca="1" si="153"/>
        <v>7.5086508241963669E-3</v>
      </c>
      <c r="AZ44" s="157">
        <f t="shared" ca="1" si="154"/>
        <v>3.6539184725849316E-3</v>
      </c>
      <c r="BA44" s="157">
        <f t="shared" ca="1" si="155"/>
        <v>4.5673980907311645E-4</v>
      </c>
      <c r="BB44" s="157">
        <f t="shared" ca="1" si="156"/>
        <v>4.3319074937621252E-4</v>
      </c>
      <c r="BC44" s="157">
        <f t="shared" ca="1" si="157"/>
        <v>4.1722250638429438E-4</v>
      </c>
      <c r="BD44" s="151">
        <f t="shared" ca="1" si="45"/>
        <v>0</v>
      </c>
      <c r="BE44" s="152">
        <f t="shared" ca="1" si="46"/>
        <v>0</v>
      </c>
      <c r="BF44" s="40">
        <f t="shared" si="7"/>
        <v>2002</v>
      </c>
      <c r="BG44" s="144">
        <f t="shared" si="8"/>
        <v>9</v>
      </c>
      <c r="BH44" s="145">
        <f t="shared" ca="1" si="47"/>
        <v>738</v>
      </c>
      <c r="BI44" s="313">
        <f t="shared" ca="1" si="9"/>
        <v>2.0670773442847366</v>
      </c>
      <c r="BJ44" s="42">
        <f t="shared" ca="1" si="10"/>
        <v>2.1237899677324727</v>
      </c>
      <c r="BK44" s="42">
        <f t="shared" ca="1" si="11"/>
        <v>2.1265278185196048</v>
      </c>
      <c r="BL44" s="42">
        <f t="shared" ca="1" si="12"/>
        <v>2.1464750171115674</v>
      </c>
      <c r="BM44" s="150" t="e">
        <f t="shared" ca="1" si="13"/>
        <v>#DIV/0!</v>
      </c>
      <c r="BN44" s="42" t="e">
        <f t="shared" ca="1" si="14"/>
        <v>#DIV/0!</v>
      </c>
      <c r="BO44" s="293">
        <f t="shared" si="48"/>
        <v>21</v>
      </c>
      <c r="BP44" s="41">
        <f t="shared" si="49"/>
        <v>15</v>
      </c>
      <c r="BQ44" s="41">
        <f t="shared" si="50"/>
        <v>6</v>
      </c>
      <c r="BR44" s="305" t="str">
        <f t="shared" ca="1" si="15"/>
        <v/>
      </c>
      <c r="BS44" s="305" t="str">
        <f t="shared" ca="1" si="16"/>
        <v/>
      </c>
      <c r="BT44" s="307" t="str">
        <f t="shared" ca="1" si="17"/>
        <v/>
      </c>
      <c r="BU44" s="161" t="str">
        <f t="shared" ca="1" si="18"/>
        <v/>
      </c>
      <c r="BV44" s="161" t="str">
        <f t="shared" ca="1" si="19"/>
        <v/>
      </c>
      <c r="BW44" s="308" t="str">
        <f t="shared" ca="1" si="20"/>
        <v/>
      </c>
      <c r="BX44" s="309" t="str">
        <f t="shared" ca="1" si="21"/>
        <v/>
      </c>
      <c r="BY44" s="308" t="str">
        <f t="shared" ca="1" si="51"/>
        <v/>
      </c>
      <c r="BZ44" s="309" t="str">
        <f t="shared" ca="1" si="52"/>
        <v/>
      </c>
      <c r="CA44" s="154" t="str">
        <f t="shared" ca="1" si="22"/>
        <v/>
      </c>
      <c r="CB44" s="154" t="str">
        <f t="shared" ca="1" si="23"/>
        <v/>
      </c>
      <c r="CC44" s="154" t="str">
        <f t="shared" ca="1" si="24"/>
        <v/>
      </c>
      <c r="CD44" s="154" t="str">
        <f t="shared" ca="1" si="25"/>
        <v/>
      </c>
      <c r="CE44" s="310">
        <v>1</v>
      </c>
      <c r="CF44" s="162">
        <f ca="1">IF(BD44,_xll.xCrudeAPO(BU44,BV44,CA44,CB44,S45,S46,BI44,BL44,BP44,BQ44,0,Strike1,AO44,CE44,0,BL44,IF(OptControl=4,0,1),0,1),0)</f>
        <v>0</v>
      </c>
      <c r="CG44" s="163">
        <f ca="1">IF(BD44,_xll.xCrudeAPO(BU44,BV44,CA44,CB44,S45,S46,BI44,BL44,BP44,BQ44,0,Strike1,AO44,CE44,0,BL44,IF(OptControl=4,0,1),1,1)+_xll.xCrudeAPO(BU44,BV44,CA44,CB44,S45,S46,BI44,BL44,BP44,BQ44,0,Strike1,AO44,CE44,0,BL44,IF(OptControl=4,0,1),1,2)+IF(OR(VolSkewFlag=2,ABS(BS44)&lt;0.0001),0,IF(BS44&gt;0,-1,1)*CH44*Strike1/BR44^2*BY44/10%),0)</f>
        <v>0</v>
      </c>
      <c r="CH44" s="163">
        <f ca="1">IF(BD44,(_xll.xCrudeAPO(BU44,BV44,CA44,CB44,S45,S46,BI44,BL44,BP44,BQ44,0,Strike1,AO44,CE44,0,BL44,IF(OptControl=4,0,1),3,1)+_xll.xCrudeAPO(BU44,BV44,CA44,CB44,S45,S46,BI44,BL44,BP44,BQ44,0,Strike1,AO44,CE44,0,BL44,IF(OptControl=4,0,1),3,2))/100,0)</f>
        <v>0</v>
      </c>
      <c r="CI44" s="163">
        <f ca="1">IF(BD44,_xll.xCrudeAPO(BU44,BV44,CA44,CB44,S45,S46,BI44-DaysForThetaCalculation/365.25,BL44-DaysForThetaCalculation/365.25,BP44,BQ44,0,Strike1,AO44,CE44,0,BL44,IF(OptControl=4,0,1),0,1)-_xll.xCrudeAPO(BU44,BV44,CA44,CB44,S45,S46,BI44,BL44,BP44,BQ44,0,Strike1,AO44,CE44,0,BL44,IF(OptControl=4,0,1),0,1),0)</f>
        <v>0</v>
      </c>
      <c r="CJ44" s="311">
        <f ca="1">IF(BD44,_xll.xCrudeAPO(BU44,BV44,CC44,CD44,S45,S46,BI44,BL44,BP44,BQ44,0,Strike2,AO44,CE44,0,BL44,IF(OptControl=3,1,0),0,1),0)</f>
        <v>0</v>
      </c>
      <c r="CK44" s="163">
        <f ca="1">IF(BD44,_xll.xCrudeAPO(BU44,BV44,CC44,CD44,S45,S46,BI44,BL44,BP44,BQ44,0,Strike2,AO44,CE44,0,BL44,IF(OptControl=3,1,0),1,1)+_xll.xCrudeAPO(BU44,BV44,CC44,CD44,S45,S46,BI44,BL44,BP44,BQ44,0,Strike2,AO44,CE44,0,BL44,IF(OptControl=3,1,0),1,2)+IF(OR(VolSkewFlag=2,ABS(BT44)&lt;0.0001),0,IF(BT44&gt;0,-1,1)*CL44*Strike2/BR44^2*BZ44/10%),0)</f>
        <v>0</v>
      </c>
      <c r="CL44" s="163">
        <f ca="1">IF(BD44,(_xll.xCrudeAPO(BU44,BV44,CC44,CD44,S45,S46,BI44,BL44,BP44,BQ44,0,Strike2,AO44,CE44,0,BL44,IF(OptControl=3,1,0),3,1)+_xll.xCrudeAPO(BU44,BV44,CC44,CD44,S45,S46,BI44,BL44,BP44,BQ44,0,Strike2,AO44,CE44,0,BL44,IF(OptControl=3,1,0),3,2))/100,0)</f>
        <v>0</v>
      </c>
      <c r="CM44" s="164">
        <f ca="1">IF(BD44,_xll.xCrudeAPO(BU44,BV44,CC44,CD44,S45,S46,BI44-DaysForThetaCalculation/365.25,BL44-DaysForThetaCalculation/365.25,BP44,BQ44,0,Strike2,AO44,CE44,0,BL44,IF(OptControl=3,1,0),0,1)-_xll.xCrudeAPO(BU44,BV44,CC44,CD44,S45,S46,BI44,BL44,BP44,BQ44,0,Strike2,AO44,CE44,0,BL44,IF(OptControl=3,1,0),0,1),0)</f>
        <v>0</v>
      </c>
      <c r="CN44" s="53"/>
      <c r="CO44" s="796" t="str">
        <f t="shared" ca="1" si="53"/>
        <v/>
      </c>
      <c r="CP44" s="800" t="str">
        <f t="shared" ca="1" si="54"/>
        <v/>
      </c>
      <c r="CQ44" s="797" t="str">
        <f t="shared" ca="1" si="55"/>
        <v/>
      </c>
      <c r="CR44" s="797" t="str">
        <f t="shared" ca="1" si="56"/>
        <v/>
      </c>
      <c r="CS44" s="797" t="str">
        <f t="shared" ca="1" si="57"/>
        <v/>
      </c>
      <c r="CT44" s="797" t="str">
        <f t="shared" ca="1" si="58"/>
        <v/>
      </c>
      <c r="CU44" s="798" t="str">
        <f t="shared" ca="1" si="59"/>
        <v/>
      </c>
      <c r="CV44" s="799" t="str">
        <f t="shared" ca="1" si="60"/>
        <v/>
      </c>
      <c r="CW44" s="799" t="str">
        <f t="shared" ca="1" si="61"/>
        <v/>
      </c>
      <c r="CX44" s="163">
        <f ca="1">IF(BD44,_xll.EURO(CP44,Strike1,AO44,AO44,CV44,CO44,IF(OptControl=4,0,1),0),0)</f>
        <v>0</v>
      </c>
      <c r="CY44" s="163">
        <f ca="1">IF(BD44,_xll.EURO(CP44,Strike1,AO44,AO44,CV44,CO44,IF(OptControl=4,0,1),1)+IF(OR(VolSkewFlag=2,ABS(CQ44)&lt;0.0001),0,IF(CQ44&gt;0,-1,1)*CZ44*100*Strike1/CP44^2*CS44/10%),0)</f>
        <v>0</v>
      </c>
      <c r="CZ44" s="163">
        <f ca="1">IF(BD44,_xll.EURO(CP44,Strike1,AO44,AO44,CV44,CO44,IF(OptControl=4,0,1),3)/100,0)</f>
        <v>0</v>
      </c>
      <c r="DA44" s="163">
        <f ca="1">IF(BD44,_xll.EURO(CP44,Strike1,AO44,AO44,CV44,CO44,IF(OptControl=4,0,1),0)-_xll.EURO(CP44,Strike1,AO44,AO44,CV44,CO44-1,IF(OptControl=4,0,1),0),0)</f>
        <v>0</v>
      </c>
      <c r="DB44" s="163">
        <f ca="1">IF(BD44,_xll.EURO(CP44,Strike2,AO44,AO44,CW44,CO44,IF(OptControl=3,1,0),0),0)</f>
        <v>0</v>
      </c>
      <c r="DC44" s="163">
        <f ca="1">IF(BD44,_xll.EURO(CP44,Strike2,AO44,AO44,CW44,CO44,IF(OptControl=3,1,0),1)+IF(OR(VolSkewFlag=2,ABS(CR44)&lt;0.0001),0,IF(CR44&gt;0,-1,1)*DD44*100*Strike2/CP44^2*CT44/10%),0)</f>
        <v>0</v>
      </c>
      <c r="DD44" s="163">
        <f ca="1">IF(BD44,_xll.EURO(CP44,Strike2,AO44,AO44,CW44,CO44,IF(OptControl=3,1,0),3)/100,0)</f>
        <v>0</v>
      </c>
      <c r="DE44" s="164">
        <f ca="1">IF(BD44,_xll.EURO(CP44,Strike2,AO44,AO44,CW44,CO44,IF(OptControl=3,1,0),0)-_xll.EURO(CP44,Strike2,AO44,AO44,CW44,CO44-1,IF(OptControl=3,1,0),0),0)</f>
        <v>0</v>
      </c>
      <c r="DG44" s="667">
        <f t="shared" ca="1" si="62"/>
        <v>37288</v>
      </c>
      <c r="DH44" s="475">
        <v>19.920000000000002</v>
      </c>
      <c r="DI44" s="665">
        <v>19.757000000000001</v>
      </c>
      <c r="DJ44" s="666">
        <f t="shared" ca="1" si="26"/>
        <v>37288</v>
      </c>
      <c r="DK44" s="475">
        <v>18.706666666666667</v>
      </c>
      <c r="DL44" s="665">
        <v>18.544</v>
      </c>
      <c r="DM44" s="667">
        <f t="shared" ca="1" si="27"/>
        <v>37288</v>
      </c>
      <c r="DN44" s="668">
        <f t="shared" si="28"/>
        <v>18.756666666666668</v>
      </c>
      <c r="DO44" s="667">
        <f t="shared" ca="1" si="63"/>
        <v>37288</v>
      </c>
      <c r="DP44" s="579">
        <f t="shared" si="64"/>
        <v>18.544</v>
      </c>
      <c r="DQ44" s="821">
        <v>0</v>
      </c>
      <c r="DR44" s="666">
        <f t="shared" ca="1" si="29"/>
        <v>37288</v>
      </c>
      <c r="DS44" s="669">
        <v>0.22640420231950104</v>
      </c>
      <c r="DT44" s="606">
        <v>0.22859073127817883</v>
      </c>
      <c r="DU44" s="666">
        <f t="shared" ca="1" si="30"/>
        <v>37288</v>
      </c>
      <c r="DV44" s="669">
        <v>0.22640420231950104</v>
      </c>
      <c r="DW44" s="606">
        <v>0.22859073127817883</v>
      </c>
      <c r="DX44" s="667">
        <f t="shared" ca="1" si="31"/>
        <v>37288</v>
      </c>
      <c r="DY44" s="606">
        <v>0.35000000953674315</v>
      </c>
      <c r="DZ44" s="667">
        <f t="shared" ca="1" si="65"/>
        <v>37288</v>
      </c>
      <c r="EA44" s="606">
        <f t="shared" si="66"/>
        <v>0.22859073127817883</v>
      </c>
      <c r="EB44" s="109"/>
      <c r="EC44" s="118" t="str">
        <f t="shared" ca="1" si="32"/>
        <v/>
      </c>
      <c r="ED44" s="119" t="str">
        <f t="shared" ca="1" si="33"/>
        <v/>
      </c>
      <c r="EE44" s="112" t="str">
        <f t="shared" ca="1" si="34"/>
        <v/>
      </c>
      <c r="EF44" s="120">
        <f ca="1">IF(BD44,_xll.xASN(BR44,Strike1,AO44,ED44,0,BO44,0,BI44,BL44,IF(OptControl=4,0,1),0),0)</f>
        <v>0</v>
      </c>
      <c r="EG44" s="111">
        <f ca="1">IF(BD44,_xll.xASN(BR44,Strike2,AO44,EE44,0,BO44,0,BI44,BL44,IF(OptControl=3,1,0),0),0)</f>
        <v>0</v>
      </c>
      <c r="EI44" s="483" t="str">
        <f>[1]!'CLc25 MTH'</f>
        <v>SEP2</v>
      </c>
      <c r="EJ44" s="484">
        <f t="shared" si="158"/>
        <v>37500</v>
      </c>
      <c r="EK44" s="485">
        <f>[1]!'CLc25 NET.CHNG'</f>
        <v>0</v>
      </c>
      <c r="EL44" s="486">
        <f t="shared" si="159"/>
        <v>0</v>
      </c>
      <c r="EM44" s="109"/>
      <c r="EN44" s="697">
        <v>38711</v>
      </c>
      <c r="EO44" s="698">
        <v>40909</v>
      </c>
      <c r="EP44" s="109"/>
      <c r="EQ44" s="683" t="s">
        <v>148</v>
      </c>
      <c r="ES44" s="498">
        <v>25</v>
      </c>
      <c r="ET44" s="476">
        <f t="shared" ca="1" si="165"/>
        <v>2.020533880903491</v>
      </c>
      <c r="EU44" s="842">
        <f t="shared" ca="1" si="67"/>
        <v>0</v>
      </c>
      <c r="EV44" s="815">
        <f t="shared" ca="1" si="160"/>
        <v>0.20997486570007401</v>
      </c>
      <c r="EW44" s="478" t="str">
        <f t="shared" ca="1" si="161"/>
        <v/>
      </c>
      <c r="EX44" s="477" t="str">
        <f t="shared" ca="1" si="162"/>
        <v/>
      </c>
      <c r="EY44" s="250">
        <v>0</v>
      </c>
      <c r="EZ44" s="605" t="str">
        <f ca="1">IF(OR(EW44="",EW45=""),"",SQRT(SUM(INDEX(FK44:ID44,SwaptionFirstMonthPosition+1):INDEX(FK44:ID44,FJ44))/SUM(INDEX($FK$15:$ID$15,SwaptionFirstMonthPosition+1):INDEX($FK$15:$ID$15,FJ44))))</f>
        <v/>
      </c>
      <c r="FA44" s="581" t="str">
        <f ca="1">IF(OR(EW44="",EW43=""),"",SQRT(SUM(INDEX(FK44:ID44,SwaptionFirstMonthPosition+1):INDEX(FK44:ID44,FJ44-1))/SUM(INDEX($FK$15:$ID$15,SwaptionFirstMonthPosition+1):INDEX($FK$15:$ID$15,FJ44-1))))</f>
        <v/>
      </c>
      <c r="FB44" s="578" t="str">
        <f t="shared" ca="1" si="68"/>
        <v/>
      </c>
      <c r="FC44" s="609" t="str">
        <f t="shared" ca="1" si="69"/>
        <v/>
      </c>
      <c r="FD44" s="579" t="str">
        <f t="shared" ca="1" si="70"/>
        <v/>
      </c>
      <c r="FE44" s="579" t="str">
        <f t="shared" ca="1" si="71"/>
        <v/>
      </c>
      <c r="FF44" s="579" t="str">
        <f t="shared" ca="1" si="72"/>
        <v/>
      </c>
      <c r="FG44" s="580" t="str">
        <f t="shared" ca="1" si="73"/>
        <v/>
      </c>
      <c r="FH44" s="606" t="str">
        <f t="shared" ca="1" si="74"/>
        <v/>
      </c>
      <c r="FI44" s="250"/>
      <c r="FJ44" s="673">
        <v>25</v>
      </c>
      <c r="FK44" s="460">
        <f t="shared" ca="1" si="75"/>
        <v>0</v>
      </c>
      <c r="FL44" s="460">
        <f t="shared" ca="1" si="76"/>
        <v>2.2857803413502344E-3</v>
      </c>
      <c r="FM44" s="460">
        <f t="shared" ca="1" si="77"/>
        <v>2.6758897150735584E-3</v>
      </c>
      <c r="FN44" s="460">
        <f t="shared" ca="1" si="78"/>
        <v>2.2712291232393979E-3</v>
      </c>
      <c r="FO44" s="460">
        <f t="shared" ca="1" si="79"/>
        <v>2.385773477167541E-3</v>
      </c>
      <c r="FP44" s="460">
        <f t="shared" ca="1" si="80"/>
        <v>2.6743064708443214E-3</v>
      </c>
      <c r="FQ44" s="460">
        <f t="shared" ca="1" si="81"/>
        <v>2.1945233116931161E-3</v>
      </c>
      <c r="FR44" s="460">
        <f t="shared" ca="1" si="82"/>
        <v>2.2795070809361164E-3</v>
      </c>
      <c r="FS44" s="460">
        <f t="shared" ca="1" si="83"/>
        <v>2.6167771045373118E-3</v>
      </c>
      <c r="FT44" s="460">
        <f t="shared" ca="1" si="84"/>
        <v>2.4132509646002968E-3</v>
      </c>
      <c r="FU44" s="460">
        <f t="shared" ca="1" si="85"/>
        <v>2.3796371599584107E-3</v>
      </c>
      <c r="FV44" s="460">
        <f t="shared" ca="1" si="86"/>
        <v>2.6939251936784659E-3</v>
      </c>
      <c r="FW44" s="460">
        <f t="shared" ca="1" si="87"/>
        <v>2.6070944013543121E-3</v>
      </c>
      <c r="FX44" s="460">
        <f t="shared" ca="1" si="88"/>
        <v>2.8903113994047823E-3</v>
      </c>
      <c r="FY44" s="460">
        <f t="shared" ca="1" si="89"/>
        <v>2.8380222315960461E-3</v>
      </c>
      <c r="FZ44" s="460">
        <f t="shared" ca="1" si="90"/>
        <v>2.7988654403077076E-3</v>
      </c>
      <c r="GA44" s="460">
        <f t="shared" ca="1" si="91"/>
        <v>3.2012031458916357E-3</v>
      </c>
      <c r="GB44" s="460">
        <f t="shared" ca="1" si="92"/>
        <v>3.8041700811035843E-3</v>
      </c>
      <c r="GC44" s="460">
        <f t="shared" ca="1" si="93"/>
        <v>3.6626460938332423E-3</v>
      </c>
      <c r="GD44" s="460">
        <f t="shared" ca="1" si="94"/>
        <v>4.0799100323358302E-3</v>
      </c>
      <c r="GE44" s="460">
        <f t="shared" ca="1" si="95"/>
        <v>5.2744266018676126E-3</v>
      </c>
      <c r="GF44" s="460">
        <f t="shared" ca="1" si="96"/>
        <v>5.3909940441456338E-3</v>
      </c>
      <c r="GG44" s="460">
        <f t="shared" ca="1" si="97"/>
        <v>7.1163447117721735E-3</v>
      </c>
      <c r="GH44" s="460">
        <f t="shared" ca="1" si="98"/>
        <v>8.2566298857327802E-3</v>
      </c>
      <c r="GI44" s="460">
        <f t="shared" ca="1" si="99"/>
        <v>1.0292997835937066E-2</v>
      </c>
      <c r="GJ44" s="460" t="str">
        <f t="shared" si="100"/>
        <v/>
      </c>
      <c r="GK44" s="460" t="str">
        <f t="shared" si="101"/>
        <v/>
      </c>
      <c r="GL44" s="460" t="str">
        <f t="shared" si="102"/>
        <v/>
      </c>
      <c r="GM44" s="460" t="str">
        <f t="shared" si="103"/>
        <v/>
      </c>
      <c r="GN44" s="460" t="str">
        <f t="shared" si="104"/>
        <v/>
      </c>
      <c r="GO44" s="460" t="str">
        <f t="shared" si="105"/>
        <v/>
      </c>
      <c r="GP44" s="460" t="str">
        <f t="shared" si="106"/>
        <v/>
      </c>
      <c r="GQ44" s="460" t="str">
        <f t="shared" si="107"/>
        <v/>
      </c>
      <c r="GR44" s="460" t="str">
        <f t="shared" si="108"/>
        <v/>
      </c>
      <c r="GS44" s="460" t="str">
        <f t="shared" si="109"/>
        <v/>
      </c>
      <c r="GT44" s="460" t="str">
        <f t="shared" si="110"/>
        <v/>
      </c>
      <c r="GU44" s="460" t="str">
        <f t="shared" si="111"/>
        <v/>
      </c>
      <c r="GV44" s="460" t="str">
        <f t="shared" si="112"/>
        <v/>
      </c>
      <c r="GW44" s="460" t="str">
        <f t="shared" si="113"/>
        <v/>
      </c>
      <c r="GX44" s="460" t="str">
        <f t="shared" si="114"/>
        <v/>
      </c>
      <c r="GY44" s="460" t="str">
        <f t="shared" si="115"/>
        <v/>
      </c>
      <c r="GZ44" s="460" t="str">
        <f t="shared" si="116"/>
        <v/>
      </c>
      <c r="HA44" s="460" t="str">
        <f t="shared" si="117"/>
        <v/>
      </c>
      <c r="HB44" s="460" t="str">
        <f t="shared" si="118"/>
        <v/>
      </c>
      <c r="HC44" s="460" t="str">
        <f t="shared" si="119"/>
        <v/>
      </c>
      <c r="HD44" s="460" t="str">
        <f t="shared" si="120"/>
        <v/>
      </c>
      <c r="HE44" s="460" t="str">
        <f t="shared" si="121"/>
        <v/>
      </c>
      <c r="HF44" s="460" t="str">
        <f t="shared" si="122"/>
        <v/>
      </c>
      <c r="HG44" s="460" t="str">
        <f t="shared" si="123"/>
        <v/>
      </c>
      <c r="HH44" s="460" t="str">
        <f t="shared" si="124"/>
        <v/>
      </c>
      <c r="HI44" s="460" t="str">
        <f t="shared" si="125"/>
        <v/>
      </c>
      <c r="HJ44" s="460" t="str">
        <f t="shared" si="126"/>
        <v/>
      </c>
      <c r="HK44" s="460" t="str">
        <f t="shared" si="127"/>
        <v/>
      </c>
      <c r="HL44" s="460" t="str">
        <f t="shared" si="128"/>
        <v/>
      </c>
      <c r="HM44" s="460" t="str">
        <f t="shared" si="129"/>
        <v/>
      </c>
      <c r="HN44" s="460" t="str">
        <f t="shared" si="130"/>
        <v/>
      </c>
      <c r="HO44" s="460" t="str">
        <f t="shared" si="131"/>
        <v/>
      </c>
      <c r="HP44" s="460" t="str">
        <f t="shared" si="132"/>
        <v/>
      </c>
      <c r="HQ44" s="460" t="str">
        <f t="shared" si="133"/>
        <v/>
      </c>
      <c r="HR44" s="460" t="str">
        <f t="shared" si="134"/>
        <v/>
      </c>
      <c r="HS44" s="460" t="str">
        <f t="shared" si="135"/>
        <v/>
      </c>
      <c r="HT44" s="460" t="str">
        <f t="shared" si="136"/>
        <v/>
      </c>
      <c r="HU44" s="460" t="str">
        <f t="shared" si="137"/>
        <v/>
      </c>
      <c r="HV44" s="460" t="str">
        <f t="shared" si="138"/>
        <v/>
      </c>
      <c r="HW44" s="460" t="str">
        <f t="shared" si="139"/>
        <v/>
      </c>
      <c r="HX44" s="460" t="str">
        <f t="shared" si="140"/>
        <v/>
      </c>
      <c r="HY44" s="460" t="str">
        <f t="shared" si="141"/>
        <v/>
      </c>
      <c r="HZ44" s="460" t="str">
        <f t="shared" si="142"/>
        <v/>
      </c>
      <c r="IA44" s="460" t="str">
        <f t="shared" si="143"/>
        <v/>
      </c>
      <c r="IB44" s="460" t="str">
        <f t="shared" si="144"/>
        <v/>
      </c>
      <c r="IC44" s="460" t="str">
        <f t="shared" si="145"/>
        <v/>
      </c>
      <c r="ID44" s="674" t="str">
        <f t="shared" si="146"/>
        <v/>
      </c>
      <c r="IE44" s="250"/>
    </row>
    <row r="45" spans="1:239" ht="14.25" customHeight="1" thickBot="1">
      <c r="A45" s="51"/>
      <c r="B45" s="56" t="s">
        <v>32</v>
      </c>
      <c r="C45" s="101"/>
      <c r="D45" s="101"/>
      <c r="E45" s="101"/>
      <c r="F45" s="363"/>
      <c r="G45" s="363"/>
      <c r="H45" s="51">
        <f t="shared" ca="1" si="35"/>
        <v>0</v>
      </c>
      <c r="I45" s="379">
        <f t="shared" si="36"/>
        <v>37530</v>
      </c>
      <c r="J45" s="377"/>
      <c r="K45" s="104" t="s">
        <v>488</v>
      </c>
      <c r="L45" s="392">
        <f t="shared" si="37"/>
        <v>0</v>
      </c>
      <c r="M45" s="171"/>
      <c r="N45" s="382">
        <v>0</v>
      </c>
      <c r="O45" s="171">
        <f t="shared" si="38"/>
        <v>0</v>
      </c>
      <c r="P45" s="377"/>
      <c r="Q45" s="104" t="s">
        <v>269</v>
      </c>
      <c r="R45" s="377">
        <f t="shared" ca="1" si="148"/>
        <v>0</v>
      </c>
      <c r="S45" s="832">
        <f t="shared" si="164"/>
        <v>0.36004013565110216</v>
      </c>
      <c r="T45" s="831">
        <f t="shared" si="149"/>
        <v>0.99775499423916558</v>
      </c>
      <c r="U45" s="545">
        <f t="shared" si="150"/>
        <v>0.99998871184812754</v>
      </c>
      <c r="V45" s="389">
        <v>0</v>
      </c>
      <c r="W45" s="434">
        <f t="shared" si="39"/>
        <v>0</v>
      </c>
      <c r="X45" s="415">
        <f t="shared" si="40"/>
        <v>0</v>
      </c>
      <c r="Y45" s="322">
        <f t="shared" si="41"/>
        <v>0</v>
      </c>
      <c r="Z45" s="322">
        <f t="shared" ca="1" si="42"/>
        <v>0</v>
      </c>
      <c r="AA45" s="429">
        <f t="shared" si="1"/>
        <v>0</v>
      </c>
      <c r="AB45" s="433">
        <f t="shared" ca="1" si="2"/>
        <v>0</v>
      </c>
      <c r="AC45" s="226">
        <v>37519</v>
      </c>
      <c r="AD45" s="229">
        <v>37516</v>
      </c>
      <c r="AE45" s="227">
        <v>37511</v>
      </c>
      <c r="AF45" s="228">
        <v>37510</v>
      </c>
      <c r="AG45" s="249" t="s">
        <v>498</v>
      </c>
      <c r="AH45" s="247" t="s">
        <v>90</v>
      </c>
      <c r="AI45" s="146">
        <v>23</v>
      </c>
      <c r="AJ45" s="41">
        <v>16</v>
      </c>
      <c r="AK45" s="41">
        <v>7</v>
      </c>
      <c r="AL45" s="293">
        <v>23</v>
      </c>
      <c r="AM45" s="41">
        <v>11</v>
      </c>
      <c r="AN45" s="147">
        <v>12</v>
      </c>
      <c r="AO45" s="374"/>
      <c r="AP45" s="153">
        <f t="shared" ca="1" si="43"/>
        <v>1</v>
      </c>
      <c r="AQ45" s="374"/>
      <c r="AR45" s="153">
        <f t="shared" ca="1" si="151"/>
        <v>1</v>
      </c>
      <c r="AS45" s="272">
        <f t="shared" si="3"/>
        <v>0</v>
      </c>
      <c r="AT45" s="157">
        <f t="shared" si="44"/>
        <v>0</v>
      </c>
      <c r="AU45" s="157">
        <f t="shared" si="4"/>
        <v>0</v>
      </c>
      <c r="AV45" s="271">
        <f t="shared" ca="1" si="163"/>
        <v>9.9999999999999995E-7</v>
      </c>
      <c r="AW45" s="158" t="str">
        <f t="shared" ca="1" si="5"/>
        <v/>
      </c>
      <c r="AX45" s="157">
        <f t="shared" ca="1" si="152"/>
        <v>1.1003156303607799E-2</v>
      </c>
      <c r="AY45" s="157">
        <f t="shared" ca="1" si="153"/>
        <v>7.2109219520253946E-3</v>
      </c>
      <c r="AZ45" s="157">
        <f t="shared" ca="1" si="154"/>
        <v>3.4488397869060429E-3</v>
      </c>
      <c r="BA45" s="157">
        <f t="shared" ca="1" si="155"/>
        <v>4.3110497336325536E-4</v>
      </c>
      <c r="BB45" s="157">
        <f t="shared" ca="1" si="156"/>
        <v>3.9529295043154878E-4</v>
      </c>
      <c r="BC45" s="157">
        <f t="shared" ca="1" si="157"/>
        <v>3.7170299611706715E-4</v>
      </c>
      <c r="BD45" s="151">
        <f t="shared" ca="1" si="45"/>
        <v>0</v>
      </c>
      <c r="BE45" s="152">
        <f t="shared" ca="1" si="46"/>
        <v>0</v>
      </c>
      <c r="BF45" s="40">
        <f t="shared" si="7"/>
        <v>2002</v>
      </c>
      <c r="BG45" s="144">
        <f t="shared" si="8"/>
        <v>10</v>
      </c>
      <c r="BH45" s="145">
        <f t="shared" ca="1" si="47"/>
        <v>771</v>
      </c>
      <c r="BI45" s="313">
        <f t="shared" ca="1" si="9"/>
        <v>2.1492128678986995</v>
      </c>
      <c r="BJ45" s="42">
        <f t="shared" ca="1" si="10"/>
        <v>2.2063506234562391</v>
      </c>
      <c r="BK45" s="42">
        <f t="shared" ca="1" si="11"/>
        <v>2.2090884742433712</v>
      </c>
      <c r="BL45" s="42">
        <f t="shared" ca="1" si="12"/>
        <v>2.2313483915126624</v>
      </c>
      <c r="BM45" s="150" t="e">
        <f t="shared" ca="1" si="13"/>
        <v>#DIV/0!</v>
      </c>
      <c r="BN45" s="42" t="e">
        <f t="shared" ca="1" si="14"/>
        <v>#DIV/0!</v>
      </c>
      <c r="BO45" s="293">
        <f t="shared" si="48"/>
        <v>23</v>
      </c>
      <c r="BP45" s="41">
        <f t="shared" si="49"/>
        <v>16</v>
      </c>
      <c r="BQ45" s="41">
        <f t="shared" si="50"/>
        <v>7</v>
      </c>
      <c r="BR45" s="305" t="str">
        <f t="shared" ca="1" si="15"/>
        <v/>
      </c>
      <c r="BS45" s="305" t="str">
        <f t="shared" ca="1" si="16"/>
        <v/>
      </c>
      <c r="BT45" s="307" t="str">
        <f t="shared" ca="1" si="17"/>
        <v/>
      </c>
      <c r="BU45" s="161" t="str">
        <f t="shared" ca="1" si="18"/>
        <v/>
      </c>
      <c r="BV45" s="161" t="str">
        <f t="shared" ca="1" si="19"/>
        <v/>
      </c>
      <c r="BW45" s="308" t="str">
        <f t="shared" ca="1" si="20"/>
        <v/>
      </c>
      <c r="BX45" s="309" t="str">
        <f t="shared" ca="1" si="21"/>
        <v/>
      </c>
      <c r="BY45" s="308" t="str">
        <f t="shared" ca="1" si="51"/>
        <v/>
      </c>
      <c r="BZ45" s="309" t="str">
        <f t="shared" ca="1" si="52"/>
        <v/>
      </c>
      <c r="CA45" s="154" t="str">
        <f t="shared" ca="1" si="22"/>
        <v/>
      </c>
      <c r="CB45" s="154" t="str">
        <f t="shared" ca="1" si="23"/>
        <v/>
      </c>
      <c r="CC45" s="154" t="str">
        <f t="shared" ca="1" si="24"/>
        <v/>
      </c>
      <c r="CD45" s="154" t="str">
        <f t="shared" ca="1" si="25"/>
        <v/>
      </c>
      <c r="CE45" s="310">
        <v>1</v>
      </c>
      <c r="CF45" s="162">
        <f ca="1">IF(BD45,_xll.xCrudeAPO(BU45,BV45,CA45,CB45,S46,S47,BI45,BL45,BP45,BQ45,0,Strike1,AO45,CE45,0,BL45,IF(OptControl=4,0,1),0,1),0)</f>
        <v>0</v>
      </c>
      <c r="CG45" s="163">
        <f ca="1">IF(BD45,_xll.xCrudeAPO(BU45,BV45,CA45,CB45,S46,S47,BI45,BL45,BP45,BQ45,0,Strike1,AO45,CE45,0,BL45,IF(OptControl=4,0,1),1,1)+_xll.xCrudeAPO(BU45,BV45,CA45,CB45,S46,S47,BI45,BL45,BP45,BQ45,0,Strike1,AO45,CE45,0,BL45,IF(OptControl=4,0,1),1,2)+IF(OR(VolSkewFlag=2,ABS(BS45)&lt;0.0001),0,IF(BS45&gt;0,-1,1)*CH45*Strike1/BR45^2*BY45/10%),0)</f>
        <v>0</v>
      </c>
      <c r="CH45" s="163">
        <f ca="1">IF(BD45,(_xll.xCrudeAPO(BU45,BV45,CA45,CB45,S46,S47,BI45,BL45,BP45,BQ45,0,Strike1,AO45,CE45,0,BL45,IF(OptControl=4,0,1),3,1)+_xll.xCrudeAPO(BU45,BV45,CA45,CB45,S46,S47,BI45,BL45,BP45,BQ45,0,Strike1,AO45,CE45,0,BL45,IF(OptControl=4,0,1),3,2))/100,0)</f>
        <v>0</v>
      </c>
      <c r="CI45" s="163">
        <f ca="1">IF(BD45,_xll.xCrudeAPO(BU45,BV45,CA45,CB45,S46,S47,BI45-DaysForThetaCalculation/365.25,BL45-DaysForThetaCalculation/365.25,BP45,BQ45,0,Strike1,AO45,CE45,0,BL45,IF(OptControl=4,0,1),0,1)-_xll.xCrudeAPO(BU45,BV45,CA45,CB45,S46,S47,BI45,BL45,BP45,BQ45,0,Strike1,AO45,CE45,0,BL45,IF(OptControl=4,0,1),0,1),0)</f>
        <v>0</v>
      </c>
      <c r="CJ45" s="311">
        <f ca="1">IF(BD45,_xll.xCrudeAPO(BU45,BV45,CC45,CD45,S46,S47,BI45,BL45,BP45,BQ45,0,Strike2,AO45,CE45,0,BL45,IF(OptControl=3,1,0),0,1),0)</f>
        <v>0</v>
      </c>
      <c r="CK45" s="163">
        <f ca="1">IF(BD45,_xll.xCrudeAPO(BU45,BV45,CC45,CD45,S46,S47,BI45,BL45,BP45,BQ45,0,Strike2,AO45,CE45,0,BL45,IF(OptControl=3,1,0),1,1)+_xll.xCrudeAPO(BU45,BV45,CC45,CD45,S46,S47,BI45,BL45,BP45,BQ45,0,Strike2,AO45,CE45,0,BL45,IF(OptControl=3,1,0),1,2)+IF(OR(VolSkewFlag=2,ABS(BT45)&lt;0.0001),0,IF(BT45&gt;0,-1,1)*CL45*Strike2/BR45^2*BZ45/10%),0)</f>
        <v>0</v>
      </c>
      <c r="CL45" s="163">
        <f ca="1">IF(BD45,(_xll.xCrudeAPO(BU45,BV45,CC45,CD45,S46,S47,BI45,BL45,BP45,BQ45,0,Strike2,AO45,CE45,0,BL45,IF(OptControl=3,1,0),3,1)+_xll.xCrudeAPO(BU45,BV45,CC45,CD45,S46,S47,BI45,BL45,BP45,BQ45,0,Strike2,AO45,CE45,0,BL45,IF(OptControl=3,1,0),3,2))/100,0)</f>
        <v>0</v>
      </c>
      <c r="CM45" s="164">
        <f ca="1">IF(BD45,_xll.xCrudeAPO(BU45,BV45,CC45,CD45,S46,S47,BI45-DaysForThetaCalculation/365.25,BL45-DaysForThetaCalculation/365.25,BP45,BQ45,0,Strike2,AO45,CE45,0,BL45,IF(OptControl=3,1,0),0,1)-_xll.xCrudeAPO(BU45,BV45,CC45,CD45,S46,S47,BI45,BL45,BP45,BQ45,0,Strike2,AO45,CE45,0,BL45,IF(OptControl=3,1,0),0,1),0)</f>
        <v>0</v>
      </c>
      <c r="CN45" s="53"/>
      <c r="CO45" s="796" t="str">
        <f t="shared" ca="1" si="53"/>
        <v/>
      </c>
      <c r="CP45" s="800" t="str">
        <f t="shared" ca="1" si="54"/>
        <v/>
      </c>
      <c r="CQ45" s="797" t="str">
        <f t="shared" ca="1" si="55"/>
        <v/>
      </c>
      <c r="CR45" s="797" t="str">
        <f t="shared" ca="1" si="56"/>
        <v/>
      </c>
      <c r="CS45" s="797" t="str">
        <f t="shared" ca="1" si="57"/>
        <v/>
      </c>
      <c r="CT45" s="797" t="str">
        <f t="shared" ca="1" si="58"/>
        <v/>
      </c>
      <c r="CU45" s="798" t="str">
        <f t="shared" ca="1" si="59"/>
        <v/>
      </c>
      <c r="CV45" s="799" t="str">
        <f t="shared" ca="1" si="60"/>
        <v/>
      </c>
      <c r="CW45" s="799" t="str">
        <f t="shared" ca="1" si="61"/>
        <v/>
      </c>
      <c r="CX45" s="163">
        <f ca="1">IF(BD45,_xll.EURO(CP45,Strike1,AO45,AO45,CV45,CO45,IF(OptControl=4,0,1),0),0)</f>
        <v>0</v>
      </c>
      <c r="CY45" s="163">
        <f ca="1">IF(BD45,_xll.EURO(CP45,Strike1,AO45,AO45,CV45,CO45,IF(OptControl=4,0,1),1)+IF(OR(VolSkewFlag=2,ABS(CQ45)&lt;0.0001),0,IF(CQ45&gt;0,-1,1)*CZ45*100*Strike1/CP45^2*CS45/10%),0)</f>
        <v>0</v>
      </c>
      <c r="CZ45" s="163">
        <f ca="1">IF(BD45,_xll.EURO(CP45,Strike1,AO45,AO45,CV45,CO45,IF(OptControl=4,0,1),3)/100,0)</f>
        <v>0</v>
      </c>
      <c r="DA45" s="163">
        <f ca="1">IF(BD45,_xll.EURO(CP45,Strike1,AO45,AO45,CV45,CO45,IF(OptControl=4,0,1),0)-_xll.EURO(CP45,Strike1,AO45,AO45,CV45,CO45-1,IF(OptControl=4,0,1),0),0)</f>
        <v>0</v>
      </c>
      <c r="DB45" s="163">
        <f ca="1">IF(BD45,_xll.EURO(CP45,Strike2,AO45,AO45,CW45,CO45,IF(OptControl=3,1,0),0),0)</f>
        <v>0</v>
      </c>
      <c r="DC45" s="163">
        <f ca="1">IF(BD45,_xll.EURO(CP45,Strike2,AO45,AO45,CW45,CO45,IF(OptControl=3,1,0),1)+IF(OR(VolSkewFlag=2,ABS(CR45)&lt;0.0001),0,IF(CR45&gt;0,-1,1)*DD45*100*Strike2/CP45^2*CT45/10%),0)</f>
        <v>0</v>
      </c>
      <c r="DD45" s="163">
        <f ca="1">IF(BD45,_xll.EURO(CP45,Strike2,AO45,AO45,CW45,CO45,IF(OptControl=3,1,0),3)/100,0)</f>
        <v>0</v>
      </c>
      <c r="DE45" s="164">
        <f ca="1">IF(BD45,_xll.EURO(CP45,Strike2,AO45,AO45,CW45,CO45,IF(OptControl=3,1,0),0)-_xll.EURO(CP45,Strike2,AO45,AO45,CW45,CO45-1,IF(OptControl=3,1,0),0),0)</f>
        <v>0</v>
      </c>
      <c r="DG45" s="667">
        <f t="shared" ca="1" si="62"/>
        <v>37316</v>
      </c>
      <c r="DH45" s="475">
        <v>19.79</v>
      </c>
      <c r="DI45" s="665">
        <v>19.643333333333334</v>
      </c>
      <c r="DJ45" s="666">
        <f t="shared" ca="1" si="26"/>
        <v>37316</v>
      </c>
      <c r="DK45" s="475">
        <v>18.59</v>
      </c>
      <c r="DL45" s="665">
        <v>18.46952380952381</v>
      </c>
      <c r="DM45" s="667">
        <f t="shared" ca="1" si="27"/>
        <v>37316</v>
      </c>
      <c r="DN45" s="668">
        <f t="shared" si="28"/>
        <v>18.64</v>
      </c>
      <c r="DO45" s="667">
        <f t="shared" ca="1" si="63"/>
        <v>37316</v>
      </c>
      <c r="DP45" s="579">
        <f t="shared" si="64"/>
        <v>18.46952380952381</v>
      </c>
      <c r="DQ45" s="821">
        <v>0</v>
      </c>
      <c r="DR45" s="666">
        <f t="shared" ca="1" si="29"/>
        <v>37316</v>
      </c>
      <c r="DS45" s="669">
        <v>0.22934294035069502</v>
      </c>
      <c r="DT45" s="606">
        <v>0.22658110067470374</v>
      </c>
      <c r="DU45" s="666">
        <f t="shared" ca="1" si="30"/>
        <v>37316</v>
      </c>
      <c r="DV45" s="669">
        <v>0.22934294035069502</v>
      </c>
      <c r="DW45" s="606">
        <v>0.22658110067470374</v>
      </c>
      <c r="DX45" s="667">
        <f t="shared" ca="1" si="31"/>
        <v>37316</v>
      </c>
      <c r="DY45" s="606">
        <v>0.35000000476837156</v>
      </c>
      <c r="DZ45" s="667">
        <f t="shared" ca="1" si="65"/>
        <v>37316</v>
      </c>
      <c r="EA45" s="606">
        <f t="shared" si="66"/>
        <v>0.22658110067470374</v>
      </c>
      <c r="EB45" s="1"/>
      <c r="EC45" s="118" t="str">
        <f t="shared" ca="1" si="32"/>
        <v/>
      </c>
      <c r="ED45" s="119" t="str">
        <f t="shared" ca="1" si="33"/>
        <v/>
      </c>
      <c r="EE45" s="112" t="str">
        <f t="shared" ca="1" si="34"/>
        <v/>
      </c>
      <c r="EF45" s="120">
        <f ca="1">IF(BD45,_xll.xASN(BR45,Strike1,AO45,ED45,0,BO45,0,BI45,BL45,IF(OptControl=4,0,1),0),0)</f>
        <v>0</v>
      </c>
      <c r="EG45" s="111">
        <f ca="1">IF(BD45,_xll.xASN(BR45,Strike2,AO45,EE45,0,BO45,0,BI45,BL45,IF(OptControl=3,1,0),0),0)</f>
        <v>0</v>
      </c>
      <c r="EI45" s="483" t="str">
        <f>[1]!'CLc26 MTH'</f>
        <v>OCT2</v>
      </c>
      <c r="EJ45" s="484">
        <f t="shared" si="158"/>
        <v>37530</v>
      </c>
      <c r="EK45" s="485">
        <f>[1]!'CLc26 NET.CHNG'</f>
        <v>0</v>
      </c>
      <c r="EL45" s="486">
        <f t="shared" si="159"/>
        <v>0</v>
      </c>
      <c r="EM45" s="1"/>
      <c r="EN45" s="697">
        <v>38718</v>
      </c>
      <c r="EO45" s="698">
        <v>41268</v>
      </c>
      <c r="EP45" s="1"/>
      <c r="EQ45" s="683" t="s">
        <v>149</v>
      </c>
      <c r="ES45" s="498">
        <v>26</v>
      </c>
      <c r="ET45" s="476">
        <f t="shared" ca="1" si="165"/>
        <v>2.1108829568788501</v>
      </c>
      <c r="EU45" s="842">
        <f t="shared" ca="1" si="67"/>
        <v>0</v>
      </c>
      <c r="EV45" s="815">
        <f t="shared" ca="1" si="160"/>
        <v>0.20900095770102756</v>
      </c>
      <c r="EW45" s="478" t="str">
        <f t="shared" ca="1" si="161"/>
        <v/>
      </c>
      <c r="EX45" s="477" t="str">
        <f t="shared" ca="1" si="162"/>
        <v/>
      </c>
      <c r="EY45" s="250">
        <v>0</v>
      </c>
      <c r="EZ45" s="605" t="str">
        <f ca="1">IF(OR(EW45="",EW46=""),"",SQRT(SUM(INDEX(FK45:ID45,SwaptionFirstMonthPosition+1):INDEX(FK45:ID45,FJ45))/SUM(INDEX($FK$15:$ID$15,SwaptionFirstMonthPosition+1):INDEX($FK$15:$ID$15,FJ45))))</f>
        <v/>
      </c>
      <c r="FA45" s="581" t="str">
        <f ca="1">IF(OR(EW45="",EW44=""),"",SQRT(SUM(INDEX(FK45:ID45,SwaptionFirstMonthPosition+1):INDEX(FK45:ID45,FJ45-1))/SUM(INDEX($FK$15:$ID$15,SwaptionFirstMonthPosition+1):INDEX($FK$15:$ID$15,FJ45-1))))</f>
        <v/>
      </c>
      <c r="FB45" s="578" t="str">
        <f t="shared" ca="1" si="68"/>
        <v/>
      </c>
      <c r="FC45" s="609" t="str">
        <f t="shared" ca="1" si="69"/>
        <v/>
      </c>
      <c r="FD45" s="579" t="str">
        <f t="shared" ca="1" si="70"/>
        <v/>
      </c>
      <c r="FE45" s="579" t="str">
        <f t="shared" ca="1" si="71"/>
        <v/>
      </c>
      <c r="FF45" s="579" t="str">
        <f t="shared" ca="1" si="72"/>
        <v/>
      </c>
      <c r="FG45" s="580" t="str">
        <f t="shared" ca="1" si="73"/>
        <v/>
      </c>
      <c r="FH45" s="606" t="str">
        <f t="shared" ca="1" si="74"/>
        <v/>
      </c>
      <c r="FI45" s="250"/>
      <c r="FJ45" s="673">
        <v>26</v>
      </c>
      <c r="FK45" s="460">
        <f t="shared" ca="1" si="75"/>
        <v>0</v>
      </c>
      <c r="FL45" s="460">
        <f t="shared" ca="1" si="76"/>
        <v>2.2717918008541204E-3</v>
      </c>
      <c r="FM45" s="460">
        <f t="shared" ca="1" si="77"/>
        <v>2.6567365740328267E-3</v>
      </c>
      <c r="FN45" s="460">
        <f t="shared" ca="1" si="78"/>
        <v>2.252215423555116E-3</v>
      </c>
      <c r="FO45" s="460">
        <f t="shared" ca="1" si="79"/>
        <v>2.3624136958311434E-3</v>
      </c>
      <c r="FP45" s="460">
        <f t="shared" ca="1" si="80"/>
        <v>2.643680869328301E-3</v>
      </c>
      <c r="FQ45" s="460">
        <f t="shared" ca="1" si="81"/>
        <v>2.1651300665934902E-3</v>
      </c>
      <c r="FR45" s="460">
        <f t="shared" ca="1" si="82"/>
        <v>2.2437977125683082E-3</v>
      </c>
      <c r="FS45" s="460">
        <f t="shared" ca="1" si="83"/>
        <v>2.5688322683250398E-3</v>
      </c>
      <c r="FT45" s="460">
        <f t="shared" ca="1" si="84"/>
        <v>2.3615365656118785E-3</v>
      </c>
      <c r="FU45" s="460">
        <f t="shared" ca="1" si="85"/>
        <v>2.3199949646229099E-3</v>
      </c>
      <c r="FV45" s="460">
        <f t="shared" ca="1" si="86"/>
        <v>2.614955165002238E-3</v>
      </c>
      <c r="FW45" s="460">
        <f t="shared" ca="1" si="87"/>
        <v>2.5177088329548162E-3</v>
      </c>
      <c r="FX45" s="460">
        <f t="shared" ca="1" si="88"/>
        <v>2.7744098691078901E-3</v>
      </c>
      <c r="FY45" s="460">
        <f t="shared" ca="1" si="89"/>
        <v>2.7049172796819285E-3</v>
      </c>
      <c r="FZ45" s="460">
        <f t="shared" ca="1" si="90"/>
        <v>2.645335060401531E-3</v>
      </c>
      <c r="GA45" s="460">
        <f t="shared" ca="1" si="91"/>
        <v>2.9958225425919995E-3</v>
      </c>
      <c r="GB45" s="460">
        <f t="shared" ca="1" si="92"/>
        <v>3.5187135386709019E-3</v>
      </c>
      <c r="GC45" s="460">
        <f t="shared" ca="1" si="93"/>
        <v>3.3411994339498513E-3</v>
      </c>
      <c r="GD45" s="460">
        <f t="shared" ca="1" si="94"/>
        <v>3.6611179788113885E-3</v>
      </c>
      <c r="GE45" s="460">
        <f t="shared" ca="1" si="95"/>
        <v>4.6412031593732975E-3</v>
      </c>
      <c r="GF45" s="460">
        <f t="shared" ca="1" si="96"/>
        <v>4.6340139336853896E-3</v>
      </c>
      <c r="GG45" s="460">
        <f t="shared" ca="1" si="97"/>
        <v>5.9476354687612379E-3</v>
      </c>
      <c r="GH45" s="460">
        <f t="shared" ca="1" si="98"/>
        <v>6.6706918887724873E-3</v>
      </c>
      <c r="GI45" s="460">
        <f t="shared" ca="1" si="99"/>
        <v>7.9806181052692118E-3</v>
      </c>
      <c r="GJ45" s="460">
        <f t="shared" ca="1" si="100"/>
        <v>1.1711851269620542E-2</v>
      </c>
      <c r="GK45" s="460" t="str">
        <f t="shared" si="101"/>
        <v/>
      </c>
      <c r="GL45" s="460" t="str">
        <f t="shared" si="102"/>
        <v/>
      </c>
      <c r="GM45" s="460" t="str">
        <f t="shared" si="103"/>
        <v/>
      </c>
      <c r="GN45" s="460" t="str">
        <f t="shared" si="104"/>
        <v/>
      </c>
      <c r="GO45" s="460" t="str">
        <f t="shared" si="105"/>
        <v/>
      </c>
      <c r="GP45" s="460" t="str">
        <f t="shared" si="106"/>
        <v/>
      </c>
      <c r="GQ45" s="460" t="str">
        <f t="shared" si="107"/>
        <v/>
      </c>
      <c r="GR45" s="460" t="str">
        <f t="shared" si="108"/>
        <v/>
      </c>
      <c r="GS45" s="460" t="str">
        <f t="shared" si="109"/>
        <v/>
      </c>
      <c r="GT45" s="460" t="str">
        <f t="shared" si="110"/>
        <v/>
      </c>
      <c r="GU45" s="460" t="str">
        <f t="shared" si="111"/>
        <v/>
      </c>
      <c r="GV45" s="460" t="str">
        <f t="shared" si="112"/>
        <v/>
      </c>
      <c r="GW45" s="460" t="str">
        <f t="shared" si="113"/>
        <v/>
      </c>
      <c r="GX45" s="460" t="str">
        <f t="shared" si="114"/>
        <v/>
      </c>
      <c r="GY45" s="460" t="str">
        <f t="shared" si="115"/>
        <v/>
      </c>
      <c r="GZ45" s="460" t="str">
        <f t="shared" si="116"/>
        <v/>
      </c>
      <c r="HA45" s="460" t="str">
        <f t="shared" si="117"/>
        <v/>
      </c>
      <c r="HB45" s="460" t="str">
        <f t="shared" si="118"/>
        <v/>
      </c>
      <c r="HC45" s="460" t="str">
        <f t="shared" si="119"/>
        <v/>
      </c>
      <c r="HD45" s="460" t="str">
        <f t="shared" si="120"/>
        <v/>
      </c>
      <c r="HE45" s="460" t="str">
        <f t="shared" si="121"/>
        <v/>
      </c>
      <c r="HF45" s="460" t="str">
        <f t="shared" si="122"/>
        <v/>
      </c>
      <c r="HG45" s="460" t="str">
        <f t="shared" si="123"/>
        <v/>
      </c>
      <c r="HH45" s="460" t="str">
        <f t="shared" si="124"/>
        <v/>
      </c>
      <c r="HI45" s="460" t="str">
        <f t="shared" si="125"/>
        <v/>
      </c>
      <c r="HJ45" s="460" t="str">
        <f t="shared" si="126"/>
        <v/>
      </c>
      <c r="HK45" s="460" t="str">
        <f t="shared" si="127"/>
        <v/>
      </c>
      <c r="HL45" s="460" t="str">
        <f t="shared" si="128"/>
        <v/>
      </c>
      <c r="HM45" s="460" t="str">
        <f t="shared" si="129"/>
        <v/>
      </c>
      <c r="HN45" s="460" t="str">
        <f t="shared" si="130"/>
        <v/>
      </c>
      <c r="HO45" s="460" t="str">
        <f t="shared" si="131"/>
        <v/>
      </c>
      <c r="HP45" s="460" t="str">
        <f t="shared" si="132"/>
        <v/>
      </c>
      <c r="HQ45" s="460" t="str">
        <f t="shared" si="133"/>
        <v/>
      </c>
      <c r="HR45" s="460" t="str">
        <f t="shared" si="134"/>
        <v/>
      </c>
      <c r="HS45" s="460" t="str">
        <f t="shared" si="135"/>
        <v/>
      </c>
      <c r="HT45" s="460" t="str">
        <f t="shared" si="136"/>
        <v/>
      </c>
      <c r="HU45" s="460" t="str">
        <f t="shared" si="137"/>
        <v/>
      </c>
      <c r="HV45" s="460" t="str">
        <f t="shared" si="138"/>
        <v/>
      </c>
      <c r="HW45" s="460" t="str">
        <f t="shared" si="139"/>
        <v/>
      </c>
      <c r="HX45" s="460" t="str">
        <f t="shared" si="140"/>
        <v/>
      </c>
      <c r="HY45" s="460" t="str">
        <f t="shared" si="141"/>
        <v/>
      </c>
      <c r="HZ45" s="460" t="str">
        <f t="shared" si="142"/>
        <v/>
      </c>
      <c r="IA45" s="460" t="str">
        <f t="shared" si="143"/>
        <v/>
      </c>
      <c r="IB45" s="460" t="str">
        <f t="shared" si="144"/>
        <v/>
      </c>
      <c r="IC45" s="460" t="str">
        <f t="shared" si="145"/>
        <v/>
      </c>
      <c r="ID45" s="674" t="str">
        <f t="shared" si="146"/>
        <v/>
      </c>
      <c r="IE45" s="250"/>
    </row>
    <row r="46" spans="1:239" ht="14.25" customHeight="1">
      <c r="A46" s="51"/>
      <c r="B46" s="90" t="s">
        <v>34</v>
      </c>
      <c r="C46" s="91"/>
      <c r="D46" s="136"/>
      <c r="E46" s="92" t="s">
        <v>14</v>
      </c>
      <c r="F46" s="570"/>
      <c r="G46" s="571"/>
      <c r="H46" s="51">
        <f t="shared" ca="1" si="35"/>
        <v>0</v>
      </c>
      <c r="I46" s="379">
        <f t="shared" si="36"/>
        <v>37561</v>
      </c>
      <c r="J46" s="377"/>
      <c r="K46" s="104" t="s">
        <v>488</v>
      </c>
      <c r="L46" s="392">
        <f t="shared" si="37"/>
        <v>0</v>
      </c>
      <c r="M46" s="171"/>
      <c r="N46" s="382">
        <v>0</v>
      </c>
      <c r="O46" s="171">
        <f t="shared" si="38"/>
        <v>0</v>
      </c>
      <c r="P46" s="377"/>
      <c r="Q46" s="104" t="s">
        <v>269</v>
      </c>
      <c r="R46" s="377">
        <f t="shared" ca="1" si="148"/>
        <v>0</v>
      </c>
      <c r="S46" s="832">
        <f t="shared" si="164"/>
        <v>0.36003010173832661</v>
      </c>
      <c r="T46" s="831">
        <f t="shared" si="149"/>
        <v>0.99808142145518142</v>
      </c>
      <c r="U46" s="545">
        <f t="shared" si="150"/>
        <v>0.99999153388609563</v>
      </c>
      <c r="V46" s="389">
        <v>0</v>
      </c>
      <c r="W46" s="434">
        <f t="shared" si="39"/>
        <v>0</v>
      </c>
      <c r="X46" s="415">
        <f t="shared" si="40"/>
        <v>0</v>
      </c>
      <c r="Y46" s="322">
        <f t="shared" si="41"/>
        <v>0</v>
      </c>
      <c r="Z46" s="322">
        <f t="shared" ca="1" si="42"/>
        <v>0</v>
      </c>
      <c r="AA46" s="429">
        <f t="shared" si="1"/>
        <v>0</v>
      </c>
      <c r="AB46" s="433">
        <f t="shared" ca="1" si="2"/>
        <v>0</v>
      </c>
      <c r="AC46" s="226">
        <v>37551</v>
      </c>
      <c r="AD46" s="229">
        <v>37546</v>
      </c>
      <c r="AE46" s="227">
        <v>37545</v>
      </c>
      <c r="AF46" s="228">
        <v>37540</v>
      </c>
      <c r="AG46" s="249" t="s">
        <v>498</v>
      </c>
      <c r="AH46" s="247" t="s">
        <v>90</v>
      </c>
      <c r="AI46" s="146">
        <v>21</v>
      </c>
      <c r="AJ46" s="41">
        <v>14</v>
      </c>
      <c r="AK46" s="41">
        <v>7</v>
      </c>
      <c r="AL46" s="293">
        <v>21</v>
      </c>
      <c r="AM46" s="41">
        <v>10</v>
      </c>
      <c r="AN46" s="147">
        <v>11</v>
      </c>
      <c r="AO46" s="374"/>
      <c r="AP46" s="153">
        <f t="shared" ca="1" si="43"/>
        <v>1</v>
      </c>
      <c r="AQ46" s="374"/>
      <c r="AR46" s="153">
        <f t="shared" ca="1" si="151"/>
        <v>1</v>
      </c>
      <c r="AS46" s="272">
        <f t="shared" si="3"/>
        <v>0</v>
      </c>
      <c r="AT46" s="157">
        <f t="shared" si="44"/>
        <v>0</v>
      </c>
      <c r="AU46" s="157">
        <f t="shared" si="4"/>
        <v>0</v>
      </c>
      <c r="AV46" s="271">
        <f t="shared" ca="1" si="163"/>
        <v>9.9999999999999995E-7</v>
      </c>
      <c r="AW46" s="158" t="str">
        <f t="shared" ca="1" si="5"/>
        <v/>
      </c>
      <c r="AX46" s="157">
        <f t="shared" ca="1" si="152"/>
        <v>1.0637584200645639E-2</v>
      </c>
      <c r="AY46" s="157">
        <f t="shared" ca="1" si="153"/>
        <v>6.9249984605279447E-3</v>
      </c>
      <c r="AZ46" s="157">
        <f t="shared" ca="1" si="154"/>
        <v>3.2552712834152172E-3</v>
      </c>
      <c r="BA46" s="157">
        <f t="shared" ca="1" si="155"/>
        <v>4.0690891042690215E-4</v>
      </c>
      <c r="BB46" s="157">
        <f t="shared" ca="1" si="156"/>
        <v>3.6071064972159649E-4</v>
      </c>
      <c r="BC46" s="157">
        <f t="shared" ca="1" si="157"/>
        <v>3.3114972276961844E-4</v>
      </c>
      <c r="BD46" s="151">
        <f t="shared" ca="1" si="45"/>
        <v>0</v>
      </c>
      <c r="BE46" s="152">
        <f t="shared" ca="1" si="46"/>
        <v>0</v>
      </c>
      <c r="BF46" s="40">
        <f t="shared" si="7"/>
        <v>2002</v>
      </c>
      <c r="BG46" s="144">
        <f t="shared" si="8"/>
        <v>11</v>
      </c>
      <c r="BH46" s="145">
        <f t="shared" ca="1" si="47"/>
        <v>801</v>
      </c>
      <c r="BI46" s="313">
        <f t="shared" ca="1" si="9"/>
        <v>2.2340862422997945</v>
      </c>
      <c r="BJ46" s="42">
        <f t="shared" ca="1" si="10"/>
        <v>2.2870180241843485</v>
      </c>
      <c r="BK46" s="42">
        <f t="shared" ca="1" si="11"/>
        <v>2.2897558749714806</v>
      </c>
      <c r="BL46" s="42">
        <f t="shared" ca="1" si="12"/>
        <v>2.3134839151266258</v>
      </c>
      <c r="BM46" s="150" t="e">
        <f t="shared" ca="1" si="13"/>
        <v>#DIV/0!</v>
      </c>
      <c r="BN46" s="42" t="e">
        <f t="shared" ca="1" si="14"/>
        <v>#DIV/0!</v>
      </c>
      <c r="BO46" s="293">
        <f t="shared" si="48"/>
        <v>21</v>
      </c>
      <c r="BP46" s="41">
        <f t="shared" si="49"/>
        <v>14</v>
      </c>
      <c r="BQ46" s="41">
        <f t="shared" si="50"/>
        <v>7</v>
      </c>
      <c r="BR46" s="305" t="str">
        <f t="shared" ca="1" si="15"/>
        <v/>
      </c>
      <c r="BS46" s="305" t="str">
        <f t="shared" ca="1" si="16"/>
        <v/>
      </c>
      <c r="BT46" s="307" t="str">
        <f t="shared" ca="1" si="17"/>
        <v/>
      </c>
      <c r="BU46" s="161" t="str">
        <f t="shared" ca="1" si="18"/>
        <v/>
      </c>
      <c r="BV46" s="161" t="str">
        <f t="shared" ca="1" si="19"/>
        <v/>
      </c>
      <c r="BW46" s="308" t="str">
        <f t="shared" ca="1" si="20"/>
        <v/>
      </c>
      <c r="BX46" s="309" t="str">
        <f t="shared" ca="1" si="21"/>
        <v/>
      </c>
      <c r="BY46" s="308" t="str">
        <f t="shared" ca="1" si="51"/>
        <v/>
      </c>
      <c r="BZ46" s="309" t="str">
        <f t="shared" ca="1" si="52"/>
        <v/>
      </c>
      <c r="CA46" s="154" t="str">
        <f t="shared" ca="1" si="22"/>
        <v/>
      </c>
      <c r="CB46" s="154" t="str">
        <f t="shared" ca="1" si="23"/>
        <v/>
      </c>
      <c r="CC46" s="154" t="str">
        <f t="shared" ca="1" si="24"/>
        <v/>
      </c>
      <c r="CD46" s="154" t="str">
        <f t="shared" ca="1" si="25"/>
        <v/>
      </c>
      <c r="CE46" s="310">
        <v>1</v>
      </c>
      <c r="CF46" s="162">
        <f ca="1">IF(BD46,_xll.xCrudeAPO(BU46,BV46,CA46,CB46,S47,S48,BI46,BL46,BP46,BQ46,0,Strike1,AO46,CE46,0,BL46,IF(OptControl=4,0,1),0,1),0)</f>
        <v>0</v>
      </c>
      <c r="CG46" s="163">
        <f ca="1">IF(BD46,_xll.xCrudeAPO(BU46,BV46,CA46,CB46,S47,S48,BI46,BL46,BP46,BQ46,0,Strike1,AO46,CE46,0,BL46,IF(OptControl=4,0,1),1,1)+_xll.xCrudeAPO(BU46,BV46,CA46,CB46,S47,S48,BI46,BL46,BP46,BQ46,0,Strike1,AO46,CE46,0,BL46,IF(OptControl=4,0,1),1,2)+IF(OR(VolSkewFlag=2,ABS(BS46)&lt;0.0001),0,IF(BS46&gt;0,-1,1)*CH46*Strike1/BR46^2*BY46/10%),0)</f>
        <v>0</v>
      </c>
      <c r="CH46" s="163">
        <f ca="1">IF(BD46,(_xll.xCrudeAPO(BU46,BV46,CA46,CB46,S47,S48,BI46,BL46,BP46,BQ46,0,Strike1,AO46,CE46,0,BL46,IF(OptControl=4,0,1),3,1)+_xll.xCrudeAPO(BU46,BV46,CA46,CB46,S47,S48,BI46,BL46,BP46,BQ46,0,Strike1,AO46,CE46,0,BL46,IF(OptControl=4,0,1),3,2))/100,0)</f>
        <v>0</v>
      </c>
      <c r="CI46" s="163">
        <f ca="1">IF(BD46,_xll.xCrudeAPO(BU46,BV46,CA46,CB46,S47,S48,BI46-DaysForThetaCalculation/365.25,BL46-DaysForThetaCalculation/365.25,BP46,BQ46,0,Strike1,AO46,CE46,0,BL46,IF(OptControl=4,0,1),0,1)-_xll.xCrudeAPO(BU46,BV46,CA46,CB46,S47,S48,BI46,BL46,BP46,BQ46,0,Strike1,AO46,CE46,0,BL46,IF(OptControl=4,0,1),0,1),0)</f>
        <v>0</v>
      </c>
      <c r="CJ46" s="311">
        <f ca="1">IF(BD46,_xll.xCrudeAPO(BU46,BV46,CC46,CD46,S47,S48,BI46,BL46,BP46,BQ46,0,Strike2,AO46,CE46,0,BL46,IF(OptControl=3,1,0),0,1),0)</f>
        <v>0</v>
      </c>
      <c r="CK46" s="163">
        <f ca="1">IF(BD46,_xll.xCrudeAPO(BU46,BV46,CC46,CD46,S47,S48,BI46,BL46,BP46,BQ46,0,Strike2,AO46,CE46,0,BL46,IF(OptControl=3,1,0),1,1)+_xll.xCrudeAPO(BU46,BV46,CC46,CD46,S47,S48,BI46,BL46,BP46,BQ46,0,Strike2,AO46,CE46,0,BL46,IF(OptControl=3,1,0),1,2)+IF(OR(VolSkewFlag=2,ABS(BT46)&lt;0.0001),0,IF(BT46&gt;0,-1,1)*CL46*Strike2/BR46^2*BZ46/10%),0)</f>
        <v>0</v>
      </c>
      <c r="CL46" s="163">
        <f ca="1">IF(BD46,(_xll.xCrudeAPO(BU46,BV46,CC46,CD46,S47,S48,BI46,BL46,BP46,BQ46,0,Strike2,AO46,CE46,0,BL46,IF(OptControl=3,1,0),3,1)+_xll.xCrudeAPO(BU46,BV46,CC46,CD46,S47,S48,BI46,BL46,BP46,BQ46,0,Strike2,AO46,CE46,0,BL46,IF(OptControl=3,1,0),3,2))/100,0)</f>
        <v>0</v>
      </c>
      <c r="CM46" s="164">
        <f ca="1">IF(BD46,_xll.xCrudeAPO(BU46,BV46,CC46,CD46,S47,S48,BI46-DaysForThetaCalculation/365.25,BL46-DaysForThetaCalculation/365.25,BP46,BQ46,0,Strike2,AO46,CE46,0,BL46,IF(OptControl=3,1,0),0,1)-_xll.xCrudeAPO(BU46,BV46,CC46,CD46,S47,S48,BI46,BL46,BP46,BQ46,0,Strike2,AO46,CE46,0,BL46,IF(OptControl=3,1,0),0,1),0)</f>
        <v>0</v>
      </c>
      <c r="CN46" s="53"/>
      <c r="CO46" s="796" t="str">
        <f t="shared" ca="1" si="53"/>
        <v/>
      </c>
      <c r="CP46" s="800" t="str">
        <f t="shared" ca="1" si="54"/>
        <v/>
      </c>
      <c r="CQ46" s="797" t="str">
        <f t="shared" ca="1" si="55"/>
        <v/>
      </c>
      <c r="CR46" s="797" t="str">
        <f t="shared" ca="1" si="56"/>
        <v/>
      </c>
      <c r="CS46" s="797" t="str">
        <f t="shared" ca="1" si="57"/>
        <v/>
      </c>
      <c r="CT46" s="797" t="str">
        <f t="shared" ca="1" si="58"/>
        <v/>
      </c>
      <c r="CU46" s="798" t="str">
        <f t="shared" ca="1" si="59"/>
        <v/>
      </c>
      <c r="CV46" s="799" t="str">
        <f t="shared" ca="1" si="60"/>
        <v/>
      </c>
      <c r="CW46" s="799" t="str">
        <f t="shared" ca="1" si="61"/>
        <v/>
      </c>
      <c r="CX46" s="163">
        <f ca="1">IF(BD46,_xll.EURO(CP46,Strike1,AO46,AO46,CV46,CO46,IF(OptControl=4,0,1),0),0)</f>
        <v>0</v>
      </c>
      <c r="CY46" s="163">
        <f ca="1">IF(BD46,_xll.EURO(CP46,Strike1,AO46,AO46,CV46,CO46,IF(OptControl=4,0,1),1)+IF(OR(VolSkewFlag=2,ABS(CQ46)&lt;0.0001),0,IF(CQ46&gt;0,-1,1)*CZ46*100*Strike1/CP46^2*CS46/10%),0)</f>
        <v>0</v>
      </c>
      <c r="CZ46" s="163">
        <f ca="1">IF(BD46,_xll.EURO(CP46,Strike1,AO46,AO46,CV46,CO46,IF(OptControl=4,0,1),3)/100,0)</f>
        <v>0</v>
      </c>
      <c r="DA46" s="163">
        <f ca="1">IF(BD46,_xll.EURO(CP46,Strike1,AO46,AO46,CV46,CO46,IF(OptControl=4,0,1),0)-_xll.EURO(CP46,Strike1,AO46,AO46,CV46,CO46-1,IF(OptControl=4,0,1),0),0)</f>
        <v>0</v>
      </c>
      <c r="DB46" s="163">
        <f ca="1">IF(BD46,_xll.EURO(CP46,Strike2,AO46,AO46,CW46,CO46,IF(OptControl=3,1,0),0),0)</f>
        <v>0</v>
      </c>
      <c r="DC46" s="163">
        <f ca="1">IF(BD46,_xll.EURO(CP46,Strike2,AO46,AO46,CW46,CO46,IF(OptControl=3,1,0),1)+IF(OR(VolSkewFlag=2,ABS(CR46)&lt;0.0001),0,IF(CR46&gt;0,-1,1)*DD46*100*Strike2/CP46^2*CT46/10%),0)</f>
        <v>0</v>
      </c>
      <c r="DD46" s="163">
        <f ca="1">IF(BD46,_xll.EURO(CP46,Strike2,AO46,AO46,CW46,CO46,IF(OptControl=3,1,0),3)/100,0)</f>
        <v>0</v>
      </c>
      <c r="DE46" s="164">
        <f ca="1">IF(BD46,_xll.EURO(CP46,Strike2,AO46,AO46,CW46,CO46,IF(OptControl=3,1,0),0)-_xll.EURO(CP46,Strike2,AO46,AO46,CW46,CO46-1,IF(OptControl=3,1,0),0),0)</f>
        <v>0</v>
      </c>
      <c r="DG46" s="667">
        <f t="shared" ca="1" si="62"/>
        <v>37347</v>
      </c>
      <c r="DH46" s="475">
        <v>19.68</v>
      </c>
      <c r="DI46" s="665">
        <v>19.54</v>
      </c>
      <c r="DJ46" s="666">
        <f t="shared" ca="1" si="26"/>
        <v>37347</v>
      </c>
      <c r="DK46" s="475">
        <v>18.513333333333332</v>
      </c>
      <c r="DL46" s="665">
        <v>18.394848484848485</v>
      </c>
      <c r="DM46" s="667">
        <f t="shared" ca="1" si="27"/>
        <v>37347</v>
      </c>
      <c r="DN46" s="668">
        <f t="shared" si="28"/>
        <v>18.563333333333333</v>
      </c>
      <c r="DO46" s="667">
        <f t="shared" ca="1" si="63"/>
        <v>37347</v>
      </c>
      <c r="DP46" s="579">
        <f t="shared" si="64"/>
        <v>18.394848484848485</v>
      </c>
      <c r="DQ46" s="821">
        <v>0</v>
      </c>
      <c r="DR46" s="666">
        <f t="shared" ca="1" si="29"/>
        <v>37347</v>
      </c>
      <c r="DS46" s="669">
        <v>0.22683557677564103</v>
      </c>
      <c r="DT46" s="606">
        <v>0.22518522479458933</v>
      </c>
      <c r="DU46" s="666">
        <f t="shared" ca="1" si="30"/>
        <v>37347</v>
      </c>
      <c r="DV46" s="669">
        <v>0.22683557677564103</v>
      </c>
      <c r="DW46" s="606">
        <v>0.22518522479458933</v>
      </c>
      <c r="DX46" s="667">
        <f t="shared" ca="1" si="31"/>
        <v>37347</v>
      </c>
      <c r="DY46" s="606">
        <v>0.35000000238418577</v>
      </c>
      <c r="DZ46" s="667">
        <f t="shared" ca="1" si="65"/>
        <v>37347</v>
      </c>
      <c r="EA46" s="606">
        <f t="shared" si="66"/>
        <v>0.22518522479458933</v>
      </c>
      <c r="EB46" s="1"/>
      <c r="EC46" s="118" t="str">
        <f t="shared" ca="1" si="32"/>
        <v/>
      </c>
      <c r="ED46" s="119" t="str">
        <f t="shared" ca="1" si="33"/>
        <v/>
      </c>
      <c r="EE46" s="112" t="str">
        <f t="shared" ca="1" si="34"/>
        <v/>
      </c>
      <c r="EF46" s="120">
        <f ca="1">IF(BD46,_xll.xASN(BR46,Strike1,AO46,ED46,0,BO46,0,BI46,BL46,IF(OptControl=4,0,1),0),0)</f>
        <v>0</v>
      </c>
      <c r="EG46" s="111">
        <f ca="1">IF(BD46,_xll.xASN(BR46,Strike2,AO46,EE46,0,BO46,0,BI46,BL46,IF(OptControl=3,1,0),0),0)</f>
        <v>0</v>
      </c>
      <c r="EI46" s="483" t="str">
        <f>[1]!'CLc27 MTH'</f>
        <v>NOV2</v>
      </c>
      <c r="EJ46" s="484">
        <f t="shared" si="158"/>
        <v>37561</v>
      </c>
      <c r="EK46" s="485">
        <f>[1]!'CLc27 NET.CHNG'</f>
        <v>0</v>
      </c>
      <c r="EL46" s="486">
        <f t="shared" si="159"/>
        <v>0</v>
      </c>
      <c r="EM46" s="1"/>
      <c r="EN46" s="697">
        <v>38902</v>
      </c>
      <c r="EO46" s="698">
        <v>41275</v>
      </c>
      <c r="EP46" s="1"/>
      <c r="EQ46" s="683" t="s">
        <v>150</v>
      </c>
      <c r="ES46" s="498">
        <v>27</v>
      </c>
      <c r="ET46" s="476">
        <f t="shared" ca="1" si="165"/>
        <v>2.193018480492813</v>
      </c>
      <c r="EU46" s="842">
        <f t="shared" ca="1" si="67"/>
        <v>0</v>
      </c>
      <c r="EV46" s="815">
        <f t="shared" ca="1" si="160"/>
        <v>0.20705466620783011</v>
      </c>
      <c r="EW46" s="478" t="str">
        <f t="shared" ca="1" si="161"/>
        <v/>
      </c>
      <c r="EX46" s="477" t="str">
        <f t="shared" ca="1" si="162"/>
        <v/>
      </c>
      <c r="EY46" s="250">
        <v>0</v>
      </c>
      <c r="EZ46" s="605" t="str">
        <f ca="1">IF(OR(EW46="",EW47=""),"",SQRT(SUM(INDEX(FK46:ID46,SwaptionFirstMonthPosition+1):INDEX(FK46:ID46,FJ46))/SUM(INDEX($FK$15:$ID$15,SwaptionFirstMonthPosition+1):INDEX($FK$15:$ID$15,FJ46))))</f>
        <v/>
      </c>
      <c r="FA46" s="581" t="str">
        <f ca="1">IF(OR(EW46="",EW45=""),"",SQRT(SUM(INDEX(FK46:ID46,SwaptionFirstMonthPosition+1):INDEX(FK46:ID46,FJ46-1))/SUM(INDEX($FK$15:$ID$15,SwaptionFirstMonthPosition+1):INDEX($FK$15:$ID$15,FJ46-1))))</f>
        <v/>
      </c>
      <c r="FB46" s="578" t="str">
        <f t="shared" ca="1" si="68"/>
        <v/>
      </c>
      <c r="FC46" s="609" t="str">
        <f t="shared" ca="1" si="69"/>
        <v/>
      </c>
      <c r="FD46" s="579" t="str">
        <f t="shared" ca="1" si="70"/>
        <v/>
      </c>
      <c r="FE46" s="579" t="str">
        <f t="shared" ca="1" si="71"/>
        <v/>
      </c>
      <c r="FF46" s="579" t="str">
        <f t="shared" ca="1" si="72"/>
        <v/>
      </c>
      <c r="FG46" s="580" t="str">
        <f t="shared" ca="1" si="73"/>
        <v/>
      </c>
      <c r="FH46" s="606" t="str">
        <f t="shared" ca="1" si="74"/>
        <v/>
      </c>
      <c r="FI46" s="250"/>
      <c r="FJ46" s="673">
        <v>27</v>
      </c>
      <c r="FK46" s="460">
        <f t="shared" ca="1" si="75"/>
        <v>0</v>
      </c>
      <c r="FL46" s="460">
        <f t="shared" ca="1" si="76"/>
        <v>2.2599047928898233E-3</v>
      </c>
      <c r="FM46" s="460">
        <f t="shared" ca="1" si="77"/>
        <v>2.6404778520195769E-3</v>
      </c>
      <c r="FN46" s="460">
        <f t="shared" ca="1" si="78"/>
        <v>2.2360948041519817E-3</v>
      </c>
      <c r="FO46" s="460">
        <f t="shared" ca="1" si="79"/>
        <v>2.3426366402787284E-3</v>
      </c>
      <c r="FP46" s="460">
        <f t="shared" ca="1" si="80"/>
        <v>2.6177958439385289E-3</v>
      </c>
      <c r="FQ46" s="460">
        <f t="shared" ca="1" si="81"/>
        <v>2.1403354473631397E-3</v>
      </c>
      <c r="FR46" s="460">
        <f t="shared" ca="1" si="82"/>
        <v>2.2137444906371109E-3</v>
      </c>
      <c r="FS46" s="460">
        <f t="shared" ca="1" si="83"/>
        <v>2.5285905079410103E-3</v>
      </c>
      <c r="FT46" s="460">
        <f t="shared" ca="1" si="84"/>
        <v>2.3182682705586884E-3</v>
      </c>
      <c r="FU46" s="460">
        <f t="shared" ca="1" si="85"/>
        <v>2.2702789810755868E-3</v>
      </c>
      <c r="FV46" s="460">
        <f t="shared" ca="1" si="86"/>
        <v>2.5494150610868302E-3</v>
      </c>
      <c r="FW46" s="460">
        <f t="shared" ca="1" si="87"/>
        <v>2.4439044306635454E-3</v>
      </c>
      <c r="FX46" s="460">
        <f t="shared" ca="1" si="88"/>
        <v>2.6792878041015157E-3</v>
      </c>
      <c r="FY46" s="460">
        <f t="shared" ca="1" si="89"/>
        <v>2.596450056355679E-3</v>
      </c>
      <c r="FZ46" s="460">
        <f t="shared" ca="1" si="90"/>
        <v>2.521267252865909E-3</v>
      </c>
      <c r="GA46" s="460">
        <f t="shared" ca="1" si="91"/>
        <v>2.8314881782200312E-3</v>
      </c>
      <c r="GB46" s="460">
        <f t="shared" ca="1" si="92"/>
        <v>3.2929623206208085E-3</v>
      </c>
      <c r="GC46" s="460">
        <f t="shared" ca="1" si="93"/>
        <v>3.0904831889714789E-3</v>
      </c>
      <c r="GD46" s="460">
        <f t="shared" ca="1" si="94"/>
        <v>3.3398054316588232E-3</v>
      </c>
      <c r="GE46" s="460">
        <f t="shared" ca="1" si="95"/>
        <v>4.1647958399635455E-3</v>
      </c>
      <c r="GF46" s="460">
        <f t="shared" ca="1" si="96"/>
        <v>4.0776754959458523E-3</v>
      </c>
      <c r="GG46" s="460">
        <f t="shared" ca="1" si="97"/>
        <v>5.1124941725082078E-3</v>
      </c>
      <c r="GH46" s="460">
        <f t="shared" ca="1" si="98"/>
        <v>5.575171704823299E-3</v>
      </c>
      <c r="GI46" s="460">
        <f t="shared" ca="1" si="99"/>
        <v>6.4476966024843733E-3</v>
      </c>
      <c r="GJ46" s="460">
        <f t="shared" ca="1" si="100"/>
        <v>9.0807181521227517E-3</v>
      </c>
      <c r="GK46" s="460">
        <f t="shared" ca="1" si="101"/>
        <v>1.0646544078661982E-2</v>
      </c>
      <c r="GL46" s="460" t="str">
        <f t="shared" si="102"/>
        <v/>
      </c>
      <c r="GM46" s="460" t="str">
        <f t="shared" si="103"/>
        <v/>
      </c>
      <c r="GN46" s="460" t="str">
        <f t="shared" si="104"/>
        <v/>
      </c>
      <c r="GO46" s="460" t="str">
        <f t="shared" si="105"/>
        <v/>
      </c>
      <c r="GP46" s="460" t="str">
        <f t="shared" si="106"/>
        <v/>
      </c>
      <c r="GQ46" s="460" t="str">
        <f t="shared" si="107"/>
        <v/>
      </c>
      <c r="GR46" s="460" t="str">
        <f t="shared" si="108"/>
        <v/>
      </c>
      <c r="GS46" s="460" t="str">
        <f t="shared" si="109"/>
        <v/>
      </c>
      <c r="GT46" s="460" t="str">
        <f t="shared" si="110"/>
        <v/>
      </c>
      <c r="GU46" s="460" t="str">
        <f t="shared" si="111"/>
        <v/>
      </c>
      <c r="GV46" s="460" t="str">
        <f t="shared" si="112"/>
        <v/>
      </c>
      <c r="GW46" s="460" t="str">
        <f t="shared" si="113"/>
        <v/>
      </c>
      <c r="GX46" s="460" t="str">
        <f t="shared" si="114"/>
        <v/>
      </c>
      <c r="GY46" s="460" t="str">
        <f t="shared" si="115"/>
        <v/>
      </c>
      <c r="GZ46" s="460" t="str">
        <f t="shared" si="116"/>
        <v/>
      </c>
      <c r="HA46" s="460" t="str">
        <f t="shared" si="117"/>
        <v/>
      </c>
      <c r="HB46" s="460" t="str">
        <f t="shared" si="118"/>
        <v/>
      </c>
      <c r="HC46" s="460" t="str">
        <f t="shared" si="119"/>
        <v/>
      </c>
      <c r="HD46" s="460" t="str">
        <f t="shared" si="120"/>
        <v/>
      </c>
      <c r="HE46" s="460" t="str">
        <f t="shared" si="121"/>
        <v/>
      </c>
      <c r="HF46" s="460" t="str">
        <f t="shared" si="122"/>
        <v/>
      </c>
      <c r="HG46" s="460" t="str">
        <f t="shared" si="123"/>
        <v/>
      </c>
      <c r="HH46" s="460" t="str">
        <f t="shared" si="124"/>
        <v/>
      </c>
      <c r="HI46" s="460" t="str">
        <f t="shared" si="125"/>
        <v/>
      </c>
      <c r="HJ46" s="460" t="str">
        <f t="shared" si="126"/>
        <v/>
      </c>
      <c r="HK46" s="460" t="str">
        <f t="shared" si="127"/>
        <v/>
      </c>
      <c r="HL46" s="460" t="str">
        <f t="shared" si="128"/>
        <v/>
      </c>
      <c r="HM46" s="460" t="str">
        <f t="shared" si="129"/>
        <v/>
      </c>
      <c r="HN46" s="460" t="str">
        <f t="shared" si="130"/>
        <v/>
      </c>
      <c r="HO46" s="460" t="str">
        <f t="shared" si="131"/>
        <v/>
      </c>
      <c r="HP46" s="460" t="str">
        <f t="shared" si="132"/>
        <v/>
      </c>
      <c r="HQ46" s="460" t="str">
        <f t="shared" si="133"/>
        <v/>
      </c>
      <c r="HR46" s="460" t="str">
        <f t="shared" si="134"/>
        <v/>
      </c>
      <c r="HS46" s="460" t="str">
        <f t="shared" si="135"/>
        <v/>
      </c>
      <c r="HT46" s="460" t="str">
        <f t="shared" si="136"/>
        <v/>
      </c>
      <c r="HU46" s="460" t="str">
        <f t="shared" si="137"/>
        <v/>
      </c>
      <c r="HV46" s="460" t="str">
        <f t="shared" si="138"/>
        <v/>
      </c>
      <c r="HW46" s="460" t="str">
        <f t="shared" si="139"/>
        <v/>
      </c>
      <c r="HX46" s="460" t="str">
        <f t="shared" si="140"/>
        <v/>
      </c>
      <c r="HY46" s="460" t="str">
        <f t="shared" si="141"/>
        <v/>
      </c>
      <c r="HZ46" s="460" t="str">
        <f t="shared" si="142"/>
        <v/>
      </c>
      <c r="IA46" s="460" t="str">
        <f t="shared" si="143"/>
        <v/>
      </c>
      <c r="IB46" s="460" t="str">
        <f t="shared" si="144"/>
        <v/>
      </c>
      <c r="IC46" s="460" t="str">
        <f t="shared" si="145"/>
        <v/>
      </c>
      <c r="ID46" s="674" t="str">
        <f t="shared" si="146"/>
        <v/>
      </c>
      <c r="IE46" s="250"/>
    </row>
    <row r="47" spans="1:239" ht="14.25" customHeight="1" thickBot="1">
      <c r="A47" s="51"/>
      <c r="B47" s="34">
        <v>0.5</v>
      </c>
      <c r="C47" s="124"/>
      <c r="D47" s="124"/>
      <c r="E47" s="35">
        <f ca="1">UnderlyingPriceAsian</f>
        <v>-0.05</v>
      </c>
      <c r="F47" s="572"/>
      <c r="G47" s="573"/>
      <c r="H47" s="51">
        <f t="shared" ca="1" si="35"/>
        <v>0</v>
      </c>
      <c r="I47" s="379">
        <f t="shared" si="36"/>
        <v>37591</v>
      </c>
      <c r="J47" s="377"/>
      <c r="K47" s="104" t="s">
        <v>488</v>
      </c>
      <c r="L47" s="392">
        <f t="shared" si="37"/>
        <v>0</v>
      </c>
      <c r="M47" s="171"/>
      <c r="N47" s="382">
        <v>0</v>
      </c>
      <c r="O47" s="171">
        <f t="shared" si="38"/>
        <v>0</v>
      </c>
      <c r="P47" s="377"/>
      <c r="Q47" s="104" t="s">
        <v>269</v>
      </c>
      <c r="R47" s="377">
        <f t="shared" ca="1" si="148"/>
        <v>0</v>
      </c>
      <c r="S47" s="832">
        <f t="shared" si="164"/>
        <v>0.36002257630374496</v>
      </c>
      <c r="T47" s="831">
        <f t="shared" si="149"/>
        <v>0.99836028562598955</v>
      </c>
      <c r="U47" s="545">
        <f t="shared" si="150"/>
        <v>0.99999365041457167</v>
      </c>
      <c r="V47" s="389">
        <v>0</v>
      </c>
      <c r="W47" s="434">
        <f t="shared" si="39"/>
        <v>0</v>
      </c>
      <c r="X47" s="415">
        <f t="shared" si="40"/>
        <v>0</v>
      </c>
      <c r="Y47" s="322">
        <f t="shared" si="41"/>
        <v>0</v>
      </c>
      <c r="Z47" s="322">
        <f t="shared" ca="1" si="42"/>
        <v>0</v>
      </c>
      <c r="AA47" s="429">
        <f t="shared" si="1"/>
        <v>0</v>
      </c>
      <c r="AB47" s="433">
        <f t="shared" ca="1" si="2"/>
        <v>0</v>
      </c>
      <c r="AC47" s="226">
        <v>37580</v>
      </c>
      <c r="AD47" s="229">
        <v>37575</v>
      </c>
      <c r="AE47" s="227">
        <v>37575</v>
      </c>
      <c r="AF47" s="228">
        <v>37570</v>
      </c>
      <c r="AG47" s="249" t="s">
        <v>497</v>
      </c>
      <c r="AH47" s="247" t="s">
        <v>497</v>
      </c>
      <c r="AI47" s="146">
        <v>21</v>
      </c>
      <c r="AJ47" s="41">
        <v>15</v>
      </c>
      <c r="AK47" s="41">
        <v>6</v>
      </c>
      <c r="AL47" s="293">
        <v>21</v>
      </c>
      <c r="AM47" s="41">
        <v>10</v>
      </c>
      <c r="AN47" s="147">
        <v>11</v>
      </c>
      <c r="AO47" s="374"/>
      <c r="AP47" s="153">
        <f t="shared" ca="1" si="43"/>
        <v>1</v>
      </c>
      <c r="AQ47" s="374"/>
      <c r="AR47" s="153">
        <f t="shared" ca="1" si="151"/>
        <v>1</v>
      </c>
      <c r="AS47" s="272">
        <f t="shared" si="3"/>
        <v>0</v>
      </c>
      <c r="AT47" s="157">
        <f t="shared" si="44"/>
        <v>0</v>
      </c>
      <c r="AU47" s="157">
        <f t="shared" si="4"/>
        <v>0</v>
      </c>
      <c r="AV47" s="271">
        <f t="shared" ca="1" si="163"/>
        <v>9.9999999999999995E-7</v>
      </c>
      <c r="AW47" s="158" t="str">
        <f t="shared" ca="1" si="5"/>
        <v/>
      </c>
      <c r="AX47" s="157">
        <f t="shared" ca="1" si="152"/>
        <v>1.028415797281027E-2</v>
      </c>
      <c r="AY47" s="157">
        <f t="shared" ca="1" si="153"/>
        <v>6.6504122492748235E-3</v>
      </c>
      <c r="AZ47" s="157">
        <f t="shared" ca="1" si="154"/>
        <v>3.0725669452259905E-3</v>
      </c>
      <c r="BA47" s="157">
        <f t="shared" ca="1" si="155"/>
        <v>3.8407086815324881E-4</v>
      </c>
      <c r="BB47" s="157">
        <f t="shared" ca="1" si="156"/>
        <v>3.2915379007020077E-4</v>
      </c>
      <c r="BC47" s="157">
        <f t="shared" ca="1" si="157"/>
        <v>2.950208635279816E-4</v>
      </c>
      <c r="BD47" s="151">
        <f t="shared" ca="1" si="45"/>
        <v>0</v>
      </c>
      <c r="BE47" s="152">
        <f t="shared" ca="1" si="46"/>
        <v>0</v>
      </c>
      <c r="BF47" s="40">
        <f t="shared" si="7"/>
        <v>2002</v>
      </c>
      <c r="BG47" s="144">
        <f t="shared" si="8"/>
        <v>12</v>
      </c>
      <c r="BH47" s="145">
        <f t="shared" ca="1" si="47"/>
        <v>830</v>
      </c>
      <c r="BI47" s="313">
        <f t="shared" ca="1" si="9"/>
        <v>2.3162217659137578</v>
      </c>
      <c r="BJ47" s="42">
        <f t="shared" ca="1" si="10"/>
        <v>2.3748899970665884</v>
      </c>
      <c r="BK47" s="42">
        <f t="shared" ca="1" si="11"/>
        <v>2.3776278478537205</v>
      </c>
      <c r="BL47" s="42">
        <f t="shared" ca="1" si="12"/>
        <v>2.3983572895277208</v>
      </c>
      <c r="BM47" s="150" t="e">
        <f t="shared" ca="1" si="13"/>
        <v>#DIV/0!</v>
      </c>
      <c r="BN47" s="42" t="e">
        <f t="shared" ca="1" si="14"/>
        <v>#DIV/0!</v>
      </c>
      <c r="BO47" s="293">
        <f t="shared" si="48"/>
        <v>21</v>
      </c>
      <c r="BP47" s="41">
        <f t="shared" si="49"/>
        <v>15</v>
      </c>
      <c r="BQ47" s="41">
        <f t="shared" si="50"/>
        <v>6</v>
      </c>
      <c r="BR47" s="305" t="str">
        <f t="shared" ca="1" si="15"/>
        <v/>
      </c>
      <c r="BS47" s="305" t="str">
        <f t="shared" ca="1" si="16"/>
        <v/>
      </c>
      <c r="BT47" s="307" t="str">
        <f t="shared" ca="1" si="17"/>
        <v/>
      </c>
      <c r="BU47" s="161" t="str">
        <f t="shared" ca="1" si="18"/>
        <v/>
      </c>
      <c r="BV47" s="161" t="str">
        <f t="shared" ca="1" si="19"/>
        <v/>
      </c>
      <c r="BW47" s="308" t="str">
        <f t="shared" ca="1" si="20"/>
        <v/>
      </c>
      <c r="BX47" s="309" t="str">
        <f t="shared" ca="1" si="21"/>
        <v/>
      </c>
      <c r="BY47" s="308" t="str">
        <f t="shared" ca="1" si="51"/>
        <v/>
      </c>
      <c r="BZ47" s="309" t="str">
        <f t="shared" ca="1" si="52"/>
        <v/>
      </c>
      <c r="CA47" s="154" t="str">
        <f t="shared" ca="1" si="22"/>
        <v/>
      </c>
      <c r="CB47" s="154" t="str">
        <f t="shared" ca="1" si="23"/>
        <v/>
      </c>
      <c r="CC47" s="154" t="str">
        <f t="shared" ca="1" si="24"/>
        <v/>
      </c>
      <c r="CD47" s="154" t="str">
        <f t="shared" ca="1" si="25"/>
        <v/>
      </c>
      <c r="CE47" s="310">
        <v>1</v>
      </c>
      <c r="CF47" s="162">
        <f ca="1">IF(BD47,_xll.xCrudeAPO(BU47,BV47,CA47,CB47,S48,S49,BI47,BL47,BP47,BQ47,0,Strike1,AO47,CE47,0,BL47,IF(OptControl=4,0,1),0,1),0)</f>
        <v>0</v>
      </c>
      <c r="CG47" s="163">
        <f ca="1">IF(BD47,_xll.xCrudeAPO(BU47,BV47,CA47,CB47,S48,S49,BI47,BL47,BP47,BQ47,0,Strike1,AO47,CE47,0,BL47,IF(OptControl=4,0,1),1,1)+_xll.xCrudeAPO(BU47,BV47,CA47,CB47,S48,S49,BI47,BL47,BP47,BQ47,0,Strike1,AO47,CE47,0,BL47,IF(OptControl=4,0,1),1,2)+IF(OR(VolSkewFlag=2,ABS(BS47)&lt;0.0001),0,IF(BS47&gt;0,-1,1)*CH47*Strike1/BR47^2*BY47/10%),0)</f>
        <v>0</v>
      </c>
      <c r="CH47" s="163">
        <f ca="1">IF(BD47,(_xll.xCrudeAPO(BU47,BV47,CA47,CB47,S48,S49,BI47,BL47,BP47,BQ47,0,Strike1,AO47,CE47,0,BL47,IF(OptControl=4,0,1),3,1)+_xll.xCrudeAPO(BU47,BV47,CA47,CB47,S48,S49,BI47,BL47,BP47,BQ47,0,Strike1,AO47,CE47,0,BL47,IF(OptControl=4,0,1),3,2))/100,0)</f>
        <v>0</v>
      </c>
      <c r="CI47" s="163">
        <f ca="1">IF(BD47,_xll.xCrudeAPO(BU47,BV47,CA47,CB47,S48,S49,BI47-DaysForThetaCalculation/365.25,BL47-DaysForThetaCalculation/365.25,BP47,BQ47,0,Strike1,AO47,CE47,0,BL47,IF(OptControl=4,0,1),0,1)-_xll.xCrudeAPO(BU47,BV47,CA47,CB47,S48,S49,BI47,BL47,BP47,BQ47,0,Strike1,AO47,CE47,0,BL47,IF(OptControl=4,0,1),0,1),0)</f>
        <v>0</v>
      </c>
      <c r="CJ47" s="311">
        <f ca="1">IF(BD47,_xll.xCrudeAPO(BU47,BV47,CC47,CD47,S48,S49,BI47,BL47,BP47,BQ47,0,Strike2,AO47,CE47,0,BL47,IF(OptControl=3,1,0),0,1),0)</f>
        <v>0</v>
      </c>
      <c r="CK47" s="163">
        <f ca="1">IF(BD47,_xll.xCrudeAPO(BU47,BV47,CC47,CD47,S48,S49,BI47,BL47,BP47,BQ47,0,Strike2,AO47,CE47,0,BL47,IF(OptControl=3,1,0),1,1)+_xll.xCrudeAPO(BU47,BV47,CC47,CD47,S48,S49,BI47,BL47,BP47,BQ47,0,Strike2,AO47,CE47,0,BL47,IF(OptControl=3,1,0),1,2)+IF(OR(VolSkewFlag=2,ABS(BT47)&lt;0.0001),0,IF(BT47&gt;0,-1,1)*CL47*Strike2/BR47^2*BZ47/10%),0)</f>
        <v>0</v>
      </c>
      <c r="CL47" s="163">
        <f ca="1">IF(BD47,(_xll.xCrudeAPO(BU47,BV47,CC47,CD47,S48,S49,BI47,BL47,BP47,BQ47,0,Strike2,AO47,CE47,0,BL47,IF(OptControl=3,1,0),3,1)+_xll.xCrudeAPO(BU47,BV47,CC47,CD47,S48,S49,BI47,BL47,BP47,BQ47,0,Strike2,AO47,CE47,0,BL47,IF(OptControl=3,1,0),3,2))/100,0)</f>
        <v>0</v>
      </c>
      <c r="CM47" s="164">
        <f ca="1">IF(BD47,_xll.xCrudeAPO(BU47,BV47,CC47,CD47,S48,S49,BI47-DaysForThetaCalculation/365.25,BL47-DaysForThetaCalculation/365.25,BP47,BQ47,0,Strike2,AO47,CE47,0,BL47,IF(OptControl=3,1,0),0,1)-_xll.xCrudeAPO(BU47,BV47,CC47,CD47,S48,S49,BI47,BL47,BP47,BQ47,0,Strike2,AO47,CE47,0,BL47,IF(OptControl=3,1,0),0,1),0)</f>
        <v>0</v>
      </c>
      <c r="CN47" s="53"/>
      <c r="CO47" s="796" t="str">
        <f t="shared" ca="1" si="53"/>
        <v/>
      </c>
      <c r="CP47" s="800" t="str">
        <f t="shared" ca="1" si="54"/>
        <v/>
      </c>
      <c r="CQ47" s="797" t="str">
        <f t="shared" ca="1" si="55"/>
        <v/>
      </c>
      <c r="CR47" s="797" t="str">
        <f t="shared" ca="1" si="56"/>
        <v/>
      </c>
      <c r="CS47" s="797" t="str">
        <f t="shared" ca="1" si="57"/>
        <v/>
      </c>
      <c r="CT47" s="797" t="str">
        <f t="shared" ca="1" si="58"/>
        <v/>
      </c>
      <c r="CU47" s="798" t="str">
        <f t="shared" ca="1" si="59"/>
        <v/>
      </c>
      <c r="CV47" s="799" t="str">
        <f t="shared" ca="1" si="60"/>
        <v/>
      </c>
      <c r="CW47" s="799" t="str">
        <f t="shared" ca="1" si="61"/>
        <v/>
      </c>
      <c r="CX47" s="163">
        <f ca="1">IF(BD47,_xll.EURO(CP47,Strike1,AO47,AO47,CV47,CO47,IF(OptControl=4,0,1),0),0)</f>
        <v>0</v>
      </c>
      <c r="CY47" s="163">
        <f ca="1">IF(BD47,_xll.EURO(CP47,Strike1,AO47,AO47,CV47,CO47,IF(OptControl=4,0,1),1)+IF(OR(VolSkewFlag=2,ABS(CQ47)&lt;0.0001),0,IF(CQ47&gt;0,-1,1)*CZ47*100*Strike1/CP47^2*CS47/10%),0)</f>
        <v>0</v>
      </c>
      <c r="CZ47" s="163">
        <f ca="1">IF(BD47,_xll.EURO(CP47,Strike1,AO47,AO47,CV47,CO47,IF(OptControl=4,0,1),3)/100,0)</f>
        <v>0</v>
      </c>
      <c r="DA47" s="163">
        <f ca="1">IF(BD47,_xll.EURO(CP47,Strike1,AO47,AO47,CV47,CO47,IF(OptControl=4,0,1),0)-_xll.EURO(CP47,Strike1,AO47,AO47,CV47,CO47-1,IF(OptControl=4,0,1),0),0)</f>
        <v>0</v>
      </c>
      <c r="DB47" s="163">
        <f ca="1">IF(BD47,_xll.EURO(CP47,Strike2,AO47,AO47,CW47,CO47,IF(OptControl=3,1,0),0),0)</f>
        <v>0</v>
      </c>
      <c r="DC47" s="163">
        <f ca="1">IF(BD47,_xll.EURO(CP47,Strike2,AO47,AO47,CW47,CO47,IF(OptControl=3,1,0),1)+IF(OR(VolSkewFlag=2,ABS(CR47)&lt;0.0001),0,IF(CR47&gt;0,-1,1)*DD47*100*Strike2/CP47^2*CT47/10%),0)</f>
        <v>0</v>
      </c>
      <c r="DD47" s="163">
        <f ca="1">IF(BD47,_xll.EURO(CP47,Strike2,AO47,AO47,CW47,CO47,IF(OptControl=3,1,0),3)/100,0)</f>
        <v>0</v>
      </c>
      <c r="DE47" s="164">
        <f ca="1">IF(BD47,_xll.EURO(CP47,Strike2,AO47,AO47,CW47,CO47,IF(OptControl=3,1,0),0)-_xll.EURO(CP47,Strike2,AO47,AO47,CW47,CO47-1,IF(OptControl=3,1,0),0),0)</f>
        <v>0</v>
      </c>
      <c r="DG47" s="667">
        <f t="shared" ca="1" si="62"/>
        <v>37377</v>
      </c>
      <c r="DH47" s="475">
        <v>19.57</v>
      </c>
      <c r="DI47" s="665">
        <v>19.434492753623193</v>
      </c>
      <c r="DJ47" s="666">
        <f t="shared" ca="1" si="26"/>
        <v>37377</v>
      </c>
      <c r="DK47" s="475">
        <v>18.436666666666667</v>
      </c>
      <c r="DL47" s="665">
        <v>18.279492753623192</v>
      </c>
      <c r="DM47" s="667">
        <f t="shared" ca="1" si="27"/>
        <v>37377</v>
      </c>
      <c r="DN47" s="668">
        <f t="shared" si="28"/>
        <v>18.486666666666668</v>
      </c>
      <c r="DO47" s="667">
        <f t="shared" ca="1" si="63"/>
        <v>37377</v>
      </c>
      <c r="DP47" s="579">
        <f t="shared" si="64"/>
        <v>18.279492753623192</v>
      </c>
      <c r="DQ47" s="821">
        <v>0</v>
      </c>
      <c r="DR47" s="666">
        <f t="shared" ca="1" si="29"/>
        <v>37377</v>
      </c>
      <c r="DS47" s="669">
        <v>0.22607214847282908</v>
      </c>
      <c r="DT47" s="606">
        <v>0.22231591690747768</v>
      </c>
      <c r="DU47" s="666">
        <f t="shared" ca="1" si="30"/>
        <v>37377</v>
      </c>
      <c r="DV47" s="669">
        <v>0.22607214847282908</v>
      </c>
      <c r="DW47" s="606">
        <v>0.22231591690747768</v>
      </c>
      <c r="DX47" s="667">
        <f t="shared" ca="1" si="31"/>
        <v>37377</v>
      </c>
      <c r="DY47" s="606">
        <v>0.35000000119209285</v>
      </c>
      <c r="DZ47" s="667">
        <f t="shared" ca="1" si="65"/>
        <v>37377</v>
      </c>
      <c r="EA47" s="606">
        <f t="shared" si="66"/>
        <v>0.22231591690747768</v>
      </c>
      <c r="EB47" s="1"/>
      <c r="EC47" s="118" t="str">
        <f t="shared" ca="1" si="32"/>
        <v/>
      </c>
      <c r="ED47" s="119" t="str">
        <f t="shared" ca="1" si="33"/>
        <v/>
      </c>
      <c r="EE47" s="112" t="str">
        <f t="shared" ca="1" si="34"/>
        <v/>
      </c>
      <c r="EF47" s="120">
        <f ca="1">IF(BD47,_xll.xASN(BR47,Strike1,AO47,ED47,0,BO47,0,BI47,BL47,IF(OptControl=4,0,1),0),0)</f>
        <v>0</v>
      </c>
      <c r="EG47" s="111">
        <f ca="1">IF(BD47,_xll.xASN(BR47,Strike2,AO47,EE47,0,BO47,0,BI47,BL47,IF(OptControl=3,1,0),0),0)</f>
        <v>0</v>
      </c>
      <c r="EI47" s="483" t="str">
        <f>[1]!'CLc28 MTH'</f>
        <v>DEC2</v>
      </c>
      <c r="EJ47" s="484">
        <f t="shared" si="158"/>
        <v>37591</v>
      </c>
      <c r="EK47" s="485">
        <f>[1]!'CLc28 NET.CHNG'</f>
        <v>0</v>
      </c>
      <c r="EL47" s="486">
        <f t="shared" si="159"/>
        <v>0</v>
      </c>
      <c r="EM47" s="1"/>
      <c r="EN47" s="697">
        <v>39076</v>
      </c>
      <c r="EO47" s="698">
        <v>41633</v>
      </c>
      <c r="EP47" s="1"/>
      <c r="EQ47" s="683" t="s">
        <v>151</v>
      </c>
      <c r="ES47" s="498">
        <v>28</v>
      </c>
      <c r="ET47" s="476">
        <f t="shared" ca="1" si="165"/>
        <v>2.2724161533196439</v>
      </c>
      <c r="EU47" s="842">
        <f t="shared" ca="1" si="67"/>
        <v>0</v>
      </c>
      <c r="EV47" s="815">
        <f t="shared" ca="1" si="160"/>
        <v>0.20505831327811649</v>
      </c>
      <c r="EW47" s="478" t="str">
        <f t="shared" ca="1" si="161"/>
        <v/>
      </c>
      <c r="EX47" s="477" t="str">
        <f t="shared" ca="1" si="162"/>
        <v/>
      </c>
      <c r="EY47" s="250">
        <v>0</v>
      </c>
      <c r="EZ47" s="605" t="str">
        <f ca="1">IF(OR(EW47="",EW48=""),"",SQRT(SUM(INDEX(FK47:ID47,SwaptionFirstMonthPosition+1):INDEX(FK47:ID47,FJ47))/SUM(INDEX($FK$15:$ID$15,SwaptionFirstMonthPosition+1):INDEX($FK$15:$ID$15,FJ47))))</f>
        <v/>
      </c>
      <c r="FA47" s="581" t="str">
        <f ca="1">IF(OR(EW47="",EW46=""),"",SQRT(SUM(INDEX(FK47:ID47,SwaptionFirstMonthPosition+1):INDEX(FK47:ID47,FJ47-1))/SUM(INDEX($FK$15:$ID$15,SwaptionFirstMonthPosition+1):INDEX($FK$15:$ID$15,FJ47-1))))</f>
        <v/>
      </c>
      <c r="FB47" s="578" t="str">
        <f t="shared" ca="1" si="68"/>
        <v/>
      </c>
      <c r="FC47" s="609" t="str">
        <f t="shared" ca="1" si="69"/>
        <v/>
      </c>
      <c r="FD47" s="579" t="str">
        <f t="shared" ca="1" si="70"/>
        <v/>
      </c>
      <c r="FE47" s="579" t="str">
        <f t="shared" ca="1" si="71"/>
        <v/>
      </c>
      <c r="FF47" s="579" t="str">
        <f t="shared" ca="1" si="72"/>
        <v/>
      </c>
      <c r="FG47" s="580" t="str">
        <f t="shared" ca="1" si="73"/>
        <v/>
      </c>
      <c r="FH47" s="606" t="str">
        <f t="shared" ca="1" si="74"/>
        <v/>
      </c>
      <c r="FI47" s="250"/>
      <c r="FJ47" s="673">
        <v>28</v>
      </c>
      <c r="FK47" s="460">
        <f t="shared" ca="1" si="75"/>
        <v>0</v>
      </c>
      <c r="FL47" s="460">
        <f t="shared" ca="1" si="76"/>
        <v>2.2497945803898875E-3</v>
      </c>
      <c r="FM47" s="460">
        <f t="shared" ca="1" si="77"/>
        <v>2.6266617174403842E-3</v>
      </c>
      <c r="FN47" s="460">
        <f t="shared" ca="1" si="78"/>
        <v>2.2224103296838212E-3</v>
      </c>
      <c r="FO47" s="460">
        <f t="shared" ca="1" si="79"/>
        <v>2.3258688154593069E-3</v>
      </c>
      <c r="FP47" s="460">
        <f t="shared" ca="1" si="80"/>
        <v>2.5958808449179026E-3</v>
      </c>
      <c r="FQ47" s="460">
        <f t="shared" ca="1" si="81"/>
        <v>2.1193788190346603E-3</v>
      </c>
      <c r="FR47" s="460">
        <f t="shared" ca="1" si="82"/>
        <v>2.1883931491331831E-3</v>
      </c>
      <c r="FS47" s="460">
        <f t="shared" ca="1" si="83"/>
        <v>2.494722797281261E-3</v>
      </c>
      <c r="FT47" s="460">
        <f t="shared" ca="1" si="84"/>
        <v>2.2819516930226431E-3</v>
      </c>
      <c r="FU47" s="460">
        <f t="shared" ca="1" si="85"/>
        <v>2.228682716068874E-3</v>
      </c>
      <c r="FV47" s="460">
        <f t="shared" ca="1" si="86"/>
        <v>2.4947827540495208E-3</v>
      </c>
      <c r="FW47" s="460">
        <f t="shared" ca="1" si="87"/>
        <v>2.3826514682844073E-3</v>
      </c>
      <c r="FX47" s="460">
        <f t="shared" ca="1" si="88"/>
        <v>2.6007468575235393E-3</v>
      </c>
      <c r="FY47" s="460">
        <f t="shared" ca="1" si="89"/>
        <v>2.5074294347825999E-3</v>
      </c>
      <c r="FZ47" s="460">
        <f t="shared" ca="1" si="90"/>
        <v>2.4201643983586818E-3</v>
      </c>
      <c r="GA47" s="460">
        <f t="shared" ca="1" si="91"/>
        <v>2.6986896773445049E-3</v>
      </c>
      <c r="GB47" s="460">
        <f t="shared" ca="1" si="92"/>
        <v>3.1123285006376461E-3</v>
      </c>
      <c r="GC47" s="460">
        <f t="shared" ca="1" si="93"/>
        <v>2.8922060809869572E-3</v>
      </c>
      <c r="GD47" s="460">
        <f t="shared" ca="1" si="94"/>
        <v>3.089193789541431E-3</v>
      </c>
      <c r="GE47" s="460">
        <f t="shared" ca="1" si="95"/>
        <v>3.7992787581721658E-3</v>
      </c>
      <c r="GF47" s="460">
        <f t="shared" ca="1" si="96"/>
        <v>3.6591128117153455E-3</v>
      </c>
      <c r="GG47" s="460">
        <f t="shared" ca="1" si="97"/>
        <v>4.4987115940376939E-3</v>
      </c>
      <c r="GH47" s="460">
        <f t="shared" ca="1" si="98"/>
        <v>4.7923301623558189E-3</v>
      </c>
      <c r="GI47" s="460">
        <f t="shared" ca="1" si="99"/>
        <v>5.3887986821815293E-3</v>
      </c>
      <c r="GJ47" s="460">
        <f t="shared" ca="1" si="100"/>
        <v>7.3364888289670855E-3</v>
      </c>
      <c r="GK47" s="460">
        <f t="shared" ca="1" si="101"/>
        <v>8.2547382003778803E-3</v>
      </c>
      <c r="GL47" s="460">
        <f t="shared" ca="1" si="102"/>
        <v>1.0291229043129874E-2</v>
      </c>
      <c r="GM47" s="460" t="str">
        <f t="shared" si="103"/>
        <v/>
      </c>
      <c r="GN47" s="460" t="str">
        <f t="shared" si="104"/>
        <v/>
      </c>
      <c r="GO47" s="460" t="str">
        <f t="shared" si="105"/>
        <v/>
      </c>
      <c r="GP47" s="460" t="str">
        <f t="shared" si="106"/>
        <v/>
      </c>
      <c r="GQ47" s="460" t="str">
        <f t="shared" si="107"/>
        <v/>
      </c>
      <c r="GR47" s="460" t="str">
        <f t="shared" si="108"/>
        <v/>
      </c>
      <c r="GS47" s="460" t="str">
        <f t="shared" si="109"/>
        <v/>
      </c>
      <c r="GT47" s="460" t="str">
        <f t="shared" si="110"/>
        <v/>
      </c>
      <c r="GU47" s="460" t="str">
        <f t="shared" si="111"/>
        <v/>
      </c>
      <c r="GV47" s="460" t="str">
        <f t="shared" si="112"/>
        <v/>
      </c>
      <c r="GW47" s="460" t="str">
        <f t="shared" si="113"/>
        <v/>
      </c>
      <c r="GX47" s="460" t="str">
        <f t="shared" si="114"/>
        <v/>
      </c>
      <c r="GY47" s="460" t="str">
        <f t="shared" si="115"/>
        <v/>
      </c>
      <c r="GZ47" s="460" t="str">
        <f t="shared" si="116"/>
        <v/>
      </c>
      <c r="HA47" s="460" t="str">
        <f t="shared" si="117"/>
        <v/>
      </c>
      <c r="HB47" s="460" t="str">
        <f t="shared" si="118"/>
        <v/>
      </c>
      <c r="HC47" s="460" t="str">
        <f t="shared" si="119"/>
        <v/>
      </c>
      <c r="HD47" s="460" t="str">
        <f t="shared" si="120"/>
        <v/>
      </c>
      <c r="HE47" s="460" t="str">
        <f t="shared" si="121"/>
        <v/>
      </c>
      <c r="HF47" s="460" t="str">
        <f t="shared" si="122"/>
        <v/>
      </c>
      <c r="HG47" s="460" t="str">
        <f t="shared" si="123"/>
        <v/>
      </c>
      <c r="HH47" s="460" t="str">
        <f t="shared" si="124"/>
        <v/>
      </c>
      <c r="HI47" s="460" t="str">
        <f t="shared" si="125"/>
        <v/>
      </c>
      <c r="HJ47" s="460" t="str">
        <f t="shared" si="126"/>
        <v/>
      </c>
      <c r="HK47" s="460" t="str">
        <f t="shared" si="127"/>
        <v/>
      </c>
      <c r="HL47" s="460" t="str">
        <f t="shared" si="128"/>
        <v/>
      </c>
      <c r="HM47" s="460" t="str">
        <f t="shared" si="129"/>
        <v/>
      </c>
      <c r="HN47" s="460" t="str">
        <f t="shared" si="130"/>
        <v/>
      </c>
      <c r="HO47" s="460" t="str">
        <f t="shared" si="131"/>
        <v/>
      </c>
      <c r="HP47" s="460" t="str">
        <f t="shared" si="132"/>
        <v/>
      </c>
      <c r="HQ47" s="460" t="str">
        <f t="shared" si="133"/>
        <v/>
      </c>
      <c r="HR47" s="460" t="str">
        <f t="shared" si="134"/>
        <v/>
      </c>
      <c r="HS47" s="460" t="str">
        <f t="shared" si="135"/>
        <v/>
      </c>
      <c r="HT47" s="460" t="str">
        <f t="shared" si="136"/>
        <v/>
      </c>
      <c r="HU47" s="460" t="str">
        <f t="shared" si="137"/>
        <v/>
      </c>
      <c r="HV47" s="460" t="str">
        <f t="shared" si="138"/>
        <v/>
      </c>
      <c r="HW47" s="460" t="str">
        <f t="shared" si="139"/>
        <v/>
      </c>
      <c r="HX47" s="460" t="str">
        <f t="shared" si="140"/>
        <v/>
      </c>
      <c r="HY47" s="460" t="str">
        <f t="shared" si="141"/>
        <v/>
      </c>
      <c r="HZ47" s="460" t="str">
        <f t="shared" si="142"/>
        <v/>
      </c>
      <c r="IA47" s="460" t="str">
        <f t="shared" si="143"/>
        <v/>
      </c>
      <c r="IB47" s="460" t="str">
        <f t="shared" si="144"/>
        <v/>
      </c>
      <c r="IC47" s="460" t="str">
        <f t="shared" si="145"/>
        <v/>
      </c>
      <c r="ID47" s="674" t="str">
        <f t="shared" si="146"/>
        <v/>
      </c>
      <c r="IE47" s="250"/>
    </row>
    <row r="48" spans="1:239" ht="14.25" customHeight="1">
      <c r="A48" s="51"/>
      <c r="B48" s="50"/>
      <c r="C48" s="50"/>
      <c r="D48" s="50"/>
      <c r="E48" s="50"/>
      <c r="F48" s="51"/>
      <c r="G48" s="51"/>
      <c r="H48" s="51">
        <f t="shared" ca="1" si="35"/>
        <v>0</v>
      </c>
      <c r="I48" s="379">
        <f t="shared" si="36"/>
        <v>37622</v>
      </c>
      <c r="J48" s="377"/>
      <c r="K48" s="104">
        <v>0</v>
      </c>
      <c r="L48" s="392">
        <f t="shared" si="37"/>
        <v>0</v>
      </c>
      <c r="M48" s="171"/>
      <c r="N48" s="382">
        <v>0</v>
      </c>
      <c r="O48" s="171">
        <f t="shared" si="38"/>
        <v>0</v>
      </c>
      <c r="P48" s="377"/>
      <c r="Q48" s="104">
        <v>0</v>
      </c>
      <c r="R48" s="377">
        <f t="shared" ca="1" si="148"/>
        <v>0</v>
      </c>
      <c r="S48" s="832">
        <f t="shared" si="164"/>
        <v>0.36001693222780873</v>
      </c>
      <c r="T48" s="831">
        <f t="shared" si="149"/>
        <v>0.99859854270637305</v>
      </c>
      <c r="U48" s="545">
        <f t="shared" si="150"/>
        <v>0.99999523781092869</v>
      </c>
      <c r="V48" s="389">
        <v>0</v>
      </c>
      <c r="W48" s="434">
        <f t="shared" si="39"/>
        <v>0</v>
      </c>
      <c r="X48" s="415">
        <f t="shared" si="40"/>
        <v>0</v>
      </c>
      <c r="Y48" s="322">
        <f t="shared" si="41"/>
        <v>0</v>
      </c>
      <c r="Z48" s="322">
        <f t="shared" ca="1" si="42"/>
        <v>0</v>
      </c>
      <c r="AA48" s="429">
        <f t="shared" si="1"/>
        <v>0</v>
      </c>
      <c r="AB48" s="433">
        <f t="shared" ca="1" si="2"/>
        <v>0</v>
      </c>
      <c r="AC48" s="226">
        <v>37610</v>
      </c>
      <c r="AD48" s="229">
        <v>37606</v>
      </c>
      <c r="AE48" s="227">
        <v>37605</v>
      </c>
      <c r="AF48" s="228">
        <v>37601</v>
      </c>
      <c r="AG48" s="249" t="s">
        <v>90</v>
      </c>
      <c r="AH48" s="247" t="s">
        <v>90</v>
      </c>
      <c r="AI48" s="146">
        <v>22</v>
      </c>
      <c r="AJ48" s="41">
        <v>13</v>
      </c>
      <c r="AK48" s="41">
        <v>9</v>
      </c>
      <c r="AL48" s="293">
        <v>22</v>
      </c>
      <c r="AM48" s="41">
        <v>9</v>
      </c>
      <c r="AN48" s="147">
        <v>13</v>
      </c>
      <c r="AO48" s="374"/>
      <c r="AP48" s="153">
        <f t="shared" ca="1" si="43"/>
        <v>1</v>
      </c>
      <c r="AQ48" s="374"/>
      <c r="AR48" s="153">
        <f t="shared" ca="1" si="151"/>
        <v>1</v>
      </c>
      <c r="AS48" s="272">
        <f t="shared" si="3"/>
        <v>0</v>
      </c>
      <c r="AT48" s="157">
        <f t="shared" si="44"/>
        <v>0</v>
      </c>
      <c r="AU48" s="157">
        <f t="shared" si="4"/>
        <v>0</v>
      </c>
      <c r="AV48" s="271">
        <f t="shared" ca="1" si="163"/>
        <v>9.9999999999999995E-7</v>
      </c>
      <c r="AW48" s="158" t="str">
        <f t="shared" ca="1" si="5"/>
        <v/>
      </c>
      <c r="AX48" s="157">
        <f t="shared" ca="1" si="152"/>
        <v>9.9424740819722777E-3</v>
      </c>
      <c r="AY48" s="157">
        <f t="shared" ca="1" si="153"/>
        <v>6.3867137786963188E-3</v>
      </c>
      <c r="AZ48" s="157">
        <f t="shared" ca="1" si="154"/>
        <v>2.9001170135936707E-3</v>
      </c>
      <c r="BA48" s="157">
        <f t="shared" ca="1" si="155"/>
        <v>3.6251462669920884E-4</v>
      </c>
      <c r="BB48" s="157">
        <f t="shared" ca="1" si="156"/>
        <v>3.0035769002439609E-4</v>
      </c>
      <c r="BC48" s="157">
        <f t="shared" ca="1" si="157"/>
        <v>2.6283370914173461E-4</v>
      </c>
      <c r="BD48" s="151">
        <f t="shared" ca="1" si="45"/>
        <v>0</v>
      </c>
      <c r="BE48" s="152">
        <f t="shared" ca="1" si="46"/>
        <v>0</v>
      </c>
      <c r="BF48" s="40">
        <f t="shared" si="7"/>
        <v>2003</v>
      </c>
      <c r="BG48" s="144">
        <f t="shared" si="8"/>
        <v>1</v>
      </c>
      <c r="BH48" s="145">
        <f t="shared" ca="1" si="47"/>
        <v>861</v>
      </c>
      <c r="BI48" s="313">
        <f t="shared" ca="1" si="9"/>
        <v>2.4010951403148528</v>
      </c>
      <c r="BJ48" s="42">
        <f t="shared" ca="1" si="10"/>
        <v>2.4496297679049217</v>
      </c>
      <c r="BK48" s="42">
        <f t="shared" ca="1" si="11"/>
        <v>2.4523676186920538</v>
      </c>
      <c r="BL48" s="42">
        <f t="shared" ca="1" si="12"/>
        <v>2.4832306639288158</v>
      </c>
      <c r="BM48" s="150" t="e">
        <f t="shared" ca="1" si="13"/>
        <v>#DIV/0!</v>
      </c>
      <c r="BN48" s="42" t="e">
        <f t="shared" ca="1" si="14"/>
        <v>#DIV/0!</v>
      </c>
      <c r="BO48" s="293">
        <f t="shared" si="48"/>
        <v>22</v>
      </c>
      <c r="BP48" s="41">
        <f t="shared" si="49"/>
        <v>13</v>
      </c>
      <c r="BQ48" s="41">
        <f t="shared" si="50"/>
        <v>9</v>
      </c>
      <c r="BR48" s="305" t="str">
        <f t="shared" ca="1" si="15"/>
        <v/>
      </c>
      <c r="BS48" s="305" t="str">
        <f t="shared" ca="1" si="16"/>
        <v/>
      </c>
      <c r="BT48" s="307" t="str">
        <f t="shared" ca="1" si="17"/>
        <v/>
      </c>
      <c r="BU48" s="161" t="str">
        <f t="shared" ca="1" si="18"/>
        <v/>
      </c>
      <c r="BV48" s="161" t="str">
        <f t="shared" ca="1" si="19"/>
        <v/>
      </c>
      <c r="BW48" s="308" t="str">
        <f t="shared" ca="1" si="20"/>
        <v/>
      </c>
      <c r="BX48" s="309" t="str">
        <f t="shared" ca="1" si="21"/>
        <v/>
      </c>
      <c r="BY48" s="308" t="str">
        <f t="shared" ca="1" si="51"/>
        <v/>
      </c>
      <c r="BZ48" s="309" t="str">
        <f t="shared" ca="1" si="52"/>
        <v/>
      </c>
      <c r="CA48" s="154" t="str">
        <f t="shared" ca="1" si="22"/>
        <v/>
      </c>
      <c r="CB48" s="154" t="str">
        <f t="shared" ca="1" si="23"/>
        <v/>
      </c>
      <c r="CC48" s="154" t="str">
        <f t="shared" ca="1" si="24"/>
        <v/>
      </c>
      <c r="CD48" s="154" t="str">
        <f t="shared" ca="1" si="25"/>
        <v/>
      </c>
      <c r="CE48" s="310">
        <v>1</v>
      </c>
      <c r="CF48" s="162">
        <f ca="1">IF(BD48,_xll.xCrudeAPO(BU48,BV48,CA48,CB48,S49,S50,BI48,BL48,BP48,BQ48,0,Strike1,AO48,CE48,0,BL48,IF(OptControl=4,0,1),0,1),0)</f>
        <v>0</v>
      </c>
      <c r="CG48" s="163">
        <f ca="1">IF(BD48,_xll.xCrudeAPO(BU48,BV48,CA48,CB48,S49,S50,BI48,BL48,BP48,BQ48,0,Strike1,AO48,CE48,0,BL48,IF(OptControl=4,0,1),1,1)+_xll.xCrudeAPO(BU48,BV48,CA48,CB48,S49,S50,BI48,BL48,BP48,BQ48,0,Strike1,AO48,CE48,0,BL48,IF(OptControl=4,0,1),1,2)+IF(OR(VolSkewFlag=2,ABS(BS48)&lt;0.0001),0,IF(BS48&gt;0,-1,1)*CH48*Strike1/BR48^2*BY48/10%),0)</f>
        <v>0</v>
      </c>
      <c r="CH48" s="163">
        <f ca="1">IF(BD48,(_xll.xCrudeAPO(BU48,BV48,CA48,CB48,S49,S50,BI48,BL48,BP48,BQ48,0,Strike1,AO48,CE48,0,BL48,IF(OptControl=4,0,1),3,1)+_xll.xCrudeAPO(BU48,BV48,CA48,CB48,S49,S50,BI48,BL48,BP48,BQ48,0,Strike1,AO48,CE48,0,BL48,IF(OptControl=4,0,1),3,2))/100,0)</f>
        <v>0</v>
      </c>
      <c r="CI48" s="163">
        <f ca="1">IF(BD48,_xll.xCrudeAPO(BU48,BV48,CA48,CB48,S49,S50,BI48-DaysForThetaCalculation/365.25,BL48-DaysForThetaCalculation/365.25,BP48,BQ48,0,Strike1,AO48,CE48,0,BL48,IF(OptControl=4,0,1),0,1)-_xll.xCrudeAPO(BU48,BV48,CA48,CB48,S49,S50,BI48,BL48,BP48,BQ48,0,Strike1,AO48,CE48,0,BL48,IF(OptControl=4,0,1),0,1),0)</f>
        <v>0</v>
      </c>
      <c r="CJ48" s="311">
        <f ca="1">IF(BD48,_xll.xCrudeAPO(BU48,BV48,CC48,CD48,S49,S50,BI48,BL48,BP48,BQ48,0,Strike2,AO48,CE48,0,BL48,IF(OptControl=3,1,0),0,1),0)</f>
        <v>0</v>
      </c>
      <c r="CK48" s="163">
        <f ca="1">IF(BD48,_xll.xCrudeAPO(BU48,BV48,CC48,CD48,S49,S50,BI48,BL48,BP48,BQ48,0,Strike2,AO48,CE48,0,BL48,IF(OptControl=3,1,0),1,1)+_xll.xCrudeAPO(BU48,BV48,CC48,CD48,S49,S50,BI48,BL48,BP48,BQ48,0,Strike2,AO48,CE48,0,BL48,IF(OptControl=3,1,0),1,2)+IF(OR(VolSkewFlag=2,ABS(BT48)&lt;0.0001),0,IF(BT48&gt;0,-1,1)*CL48*Strike2/BR48^2*BZ48/10%),0)</f>
        <v>0</v>
      </c>
      <c r="CL48" s="163">
        <f ca="1">IF(BD48,(_xll.xCrudeAPO(BU48,BV48,CC48,CD48,S49,S50,BI48,BL48,BP48,BQ48,0,Strike2,AO48,CE48,0,BL48,IF(OptControl=3,1,0),3,1)+_xll.xCrudeAPO(BU48,BV48,CC48,CD48,S49,S50,BI48,BL48,BP48,BQ48,0,Strike2,AO48,CE48,0,BL48,IF(OptControl=3,1,0),3,2))/100,0)</f>
        <v>0</v>
      </c>
      <c r="CM48" s="164">
        <f ca="1">IF(BD48,_xll.xCrudeAPO(BU48,BV48,CC48,CD48,S49,S50,BI48-DaysForThetaCalculation/365.25,BL48-DaysForThetaCalculation/365.25,BP48,BQ48,0,Strike2,AO48,CE48,0,BL48,IF(OptControl=3,1,0),0,1)-_xll.xCrudeAPO(BU48,BV48,CC48,CD48,S49,S50,BI48,BL48,BP48,BQ48,0,Strike2,AO48,CE48,0,BL48,IF(OptControl=3,1,0),0,1),0)</f>
        <v>0</v>
      </c>
      <c r="CN48" s="53"/>
      <c r="CO48" s="796" t="str">
        <f t="shared" ca="1" si="53"/>
        <v/>
      </c>
      <c r="CP48" s="800" t="str">
        <f t="shared" ca="1" si="54"/>
        <v/>
      </c>
      <c r="CQ48" s="797" t="str">
        <f t="shared" ca="1" si="55"/>
        <v/>
      </c>
      <c r="CR48" s="797" t="str">
        <f t="shared" ca="1" si="56"/>
        <v/>
      </c>
      <c r="CS48" s="797" t="str">
        <f t="shared" ca="1" si="57"/>
        <v/>
      </c>
      <c r="CT48" s="797" t="str">
        <f t="shared" ca="1" si="58"/>
        <v/>
      </c>
      <c r="CU48" s="798" t="str">
        <f t="shared" ca="1" si="59"/>
        <v/>
      </c>
      <c r="CV48" s="799" t="str">
        <f t="shared" ca="1" si="60"/>
        <v/>
      </c>
      <c r="CW48" s="799" t="str">
        <f t="shared" ca="1" si="61"/>
        <v/>
      </c>
      <c r="CX48" s="163">
        <f ca="1">IF(BD48,_xll.EURO(CP48,Strike1,AO48,AO48,CV48,CO48,IF(OptControl=4,0,1),0),0)</f>
        <v>0</v>
      </c>
      <c r="CY48" s="163">
        <f ca="1">IF(BD48,_xll.EURO(CP48,Strike1,AO48,AO48,CV48,CO48,IF(OptControl=4,0,1),1)+IF(OR(VolSkewFlag=2,ABS(CQ48)&lt;0.0001),0,IF(CQ48&gt;0,-1,1)*CZ48*100*Strike1/CP48^2*CS48/10%),0)</f>
        <v>0</v>
      </c>
      <c r="CZ48" s="163">
        <f ca="1">IF(BD48,_xll.EURO(CP48,Strike1,AO48,AO48,CV48,CO48,IF(OptControl=4,0,1),3)/100,0)</f>
        <v>0</v>
      </c>
      <c r="DA48" s="163">
        <f ca="1">IF(BD48,_xll.EURO(CP48,Strike1,AO48,AO48,CV48,CO48,IF(OptControl=4,0,1),0)-_xll.EURO(CP48,Strike1,AO48,AO48,CV48,CO48-1,IF(OptControl=4,0,1),0),0)</f>
        <v>0</v>
      </c>
      <c r="DB48" s="163">
        <f ca="1">IF(BD48,_xll.EURO(CP48,Strike2,AO48,AO48,CW48,CO48,IF(OptControl=3,1,0),0),0)</f>
        <v>0</v>
      </c>
      <c r="DC48" s="163">
        <f ca="1">IF(BD48,_xll.EURO(CP48,Strike2,AO48,AO48,CW48,CO48,IF(OptControl=3,1,0),1)+IF(OR(VolSkewFlag=2,ABS(CR48)&lt;0.0001),0,IF(CR48&gt;0,-1,1)*DD48*100*Strike2/CP48^2*CT48/10%),0)</f>
        <v>0</v>
      </c>
      <c r="DD48" s="163">
        <f ca="1">IF(BD48,_xll.EURO(CP48,Strike2,AO48,AO48,CW48,CO48,IF(OptControl=3,1,0),3)/100,0)</f>
        <v>0</v>
      </c>
      <c r="DE48" s="164">
        <f ca="1">IF(BD48,_xll.EURO(CP48,Strike2,AO48,AO48,CW48,CO48,IF(OptControl=3,1,0),0)-_xll.EURO(CP48,Strike2,AO48,AO48,CW48,CO48-1,IF(OptControl=3,1,0),0),0)</f>
        <v>0</v>
      </c>
      <c r="DG48" s="667">
        <f t="shared" ca="1" si="62"/>
        <v>37408</v>
      </c>
      <c r="DH48" s="475">
        <v>19.46</v>
      </c>
      <c r="DI48" s="665">
        <v>19.364666666666672</v>
      </c>
      <c r="DJ48" s="666">
        <f t="shared" ca="1" si="26"/>
        <v>37408</v>
      </c>
      <c r="DK48" s="475">
        <v>18.36</v>
      </c>
      <c r="DL48" s="665">
        <v>18.209666666666671</v>
      </c>
      <c r="DM48" s="667">
        <f t="shared" ca="1" si="27"/>
        <v>37408</v>
      </c>
      <c r="DN48" s="668">
        <f t="shared" si="28"/>
        <v>18.41</v>
      </c>
      <c r="DO48" s="667">
        <f t="shared" ca="1" si="63"/>
        <v>37408</v>
      </c>
      <c r="DP48" s="579">
        <f t="shared" si="64"/>
        <v>18.209666666666671</v>
      </c>
      <c r="DQ48" s="821">
        <v>0</v>
      </c>
      <c r="DR48" s="666">
        <f t="shared" ca="1" si="29"/>
        <v>37408</v>
      </c>
      <c r="DS48" s="669">
        <v>0.22282009498595001</v>
      </c>
      <c r="DT48" s="606">
        <v>0.22041008487135988</v>
      </c>
      <c r="DU48" s="666">
        <f t="shared" ca="1" si="30"/>
        <v>37408</v>
      </c>
      <c r="DV48" s="669">
        <v>0.22282009498595001</v>
      </c>
      <c r="DW48" s="606">
        <v>0.22041008487135988</v>
      </c>
      <c r="DX48" s="667">
        <f t="shared" ca="1" si="31"/>
        <v>37408</v>
      </c>
      <c r="DY48" s="606">
        <v>0.35000000059604641</v>
      </c>
      <c r="DZ48" s="667">
        <f t="shared" ca="1" si="65"/>
        <v>37408</v>
      </c>
      <c r="EA48" s="606">
        <f t="shared" si="66"/>
        <v>0.22041008487135988</v>
      </c>
      <c r="EB48" s="1"/>
      <c r="EC48" s="118" t="str">
        <f t="shared" ca="1" si="32"/>
        <v/>
      </c>
      <c r="ED48" s="119" t="str">
        <f t="shared" ca="1" si="33"/>
        <v/>
      </c>
      <c r="EE48" s="112" t="str">
        <f t="shared" ca="1" si="34"/>
        <v/>
      </c>
      <c r="EF48" s="120">
        <f ca="1">IF(BD48,_xll.xASN(BR48,Strike1,AO48,ED48,0,BO48,0,BI48,BL48,IF(OptControl=4,0,1),0),0)</f>
        <v>0</v>
      </c>
      <c r="EG48" s="111">
        <f ca="1">IF(BD48,_xll.xASN(BR48,Strike2,AO48,EE48,0,BO48,0,BI48,BL48,IF(OptControl=3,1,0),0),0)</f>
        <v>0</v>
      </c>
      <c r="EI48" s="483" t="str">
        <f>[1]!'CLc29 MTH'</f>
        <v>JUN3</v>
      </c>
      <c r="EJ48" s="484">
        <f t="shared" si="158"/>
        <v>37773</v>
      </c>
      <c r="EK48" s="485">
        <f>[1]!'CLc29 NET.CHNG'</f>
        <v>0</v>
      </c>
      <c r="EL48" s="486">
        <f t="shared" si="159"/>
        <v>0</v>
      </c>
      <c r="EM48" s="1"/>
      <c r="EN48" s="697">
        <v>39083</v>
      </c>
      <c r="EO48" s="698">
        <v>41640</v>
      </c>
      <c r="EP48" s="1"/>
      <c r="EQ48" s="683" t="s">
        <v>152</v>
      </c>
      <c r="ES48" s="498">
        <v>29</v>
      </c>
      <c r="ET48" s="476">
        <f t="shared" ca="1" si="165"/>
        <v>2.3572895277207393</v>
      </c>
      <c r="EU48" s="842">
        <f t="shared" ca="1" si="67"/>
        <v>0</v>
      </c>
      <c r="EV48" s="815">
        <f t="shared" ca="1" si="160"/>
        <v>0.20381522139148475</v>
      </c>
      <c r="EW48" s="478" t="str">
        <f t="shared" ca="1" si="161"/>
        <v/>
      </c>
      <c r="EX48" s="477" t="str">
        <f t="shared" ca="1" si="162"/>
        <v/>
      </c>
      <c r="EY48" s="250">
        <v>0</v>
      </c>
      <c r="EZ48" s="605" t="str">
        <f ca="1">IF(OR(EW48="",EW49=""),"",SQRT(SUM(INDEX(FK48:ID48,SwaptionFirstMonthPosition+1):INDEX(FK48:ID48,FJ48))/SUM(INDEX($FK$15:$ID$15,SwaptionFirstMonthPosition+1):INDEX($FK$15:$ID$15,FJ48))))</f>
        <v/>
      </c>
      <c r="FA48" s="581" t="str">
        <f ca="1">IF(OR(EW48="",EW47=""),"",SQRT(SUM(INDEX(FK48:ID48,SwaptionFirstMonthPosition+1):INDEX(FK48:ID48,FJ48-1))/SUM(INDEX($FK$15:$ID$15,SwaptionFirstMonthPosition+1):INDEX($FK$15:$ID$15,FJ48-1))))</f>
        <v/>
      </c>
      <c r="FB48" s="578" t="str">
        <f t="shared" ca="1" si="68"/>
        <v/>
      </c>
      <c r="FC48" s="609" t="str">
        <f t="shared" ca="1" si="69"/>
        <v/>
      </c>
      <c r="FD48" s="579" t="str">
        <f t="shared" ca="1" si="70"/>
        <v/>
      </c>
      <c r="FE48" s="579" t="str">
        <f t="shared" ca="1" si="71"/>
        <v/>
      </c>
      <c r="FF48" s="579" t="str">
        <f t="shared" ca="1" si="72"/>
        <v/>
      </c>
      <c r="FG48" s="580" t="str">
        <f t="shared" ca="1" si="73"/>
        <v/>
      </c>
      <c r="FH48" s="606" t="str">
        <f t="shared" ca="1" si="74"/>
        <v/>
      </c>
      <c r="FI48" s="250"/>
      <c r="FJ48" s="673">
        <v>29</v>
      </c>
      <c r="FK48" s="460">
        <f t="shared" ca="1" si="75"/>
        <v>0</v>
      </c>
      <c r="FL48" s="460">
        <f t="shared" ca="1" si="76"/>
        <v>2.2411890206940834E-3</v>
      </c>
      <c r="FM48" s="460">
        <f t="shared" ca="1" si="77"/>
        <v>2.6149107320836912E-3</v>
      </c>
      <c r="FN48" s="460">
        <f t="shared" ca="1" si="78"/>
        <v>2.2107817071670239E-3</v>
      </c>
      <c r="FO48" s="460">
        <f t="shared" ca="1" si="79"/>
        <v>2.3116349411341467E-3</v>
      </c>
      <c r="FP48" s="460">
        <f t="shared" ca="1" si="80"/>
        <v>2.5773003811313823E-3</v>
      </c>
      <c r="FQ48" s="460">
        <f t="shared" ca="1" si="81"/>
        <v>2.1016363411974271E-3</v>
      </c>
      <c r="FR48" s="460">
        <f t="shared" ca="1" si="82"/>
        <v>2.1669659742856724E-3</v>
      </c>
      <c r="FS48" s="460">
        <f t="shared" ca="1" si="83"/>
        <v>2.4661537506460241E-3</v>
      </c>
      <c r="FT48" s="460">
        <f t="shared" ca="1" si="84"/>
        <v>2.2513874401568251E-3</v>
      </c>
      <c r="FU48" s="460">
        <f t="shared" ca="1" si="85"/>
        <v>2.1937695312191094E-3</v>
      </c>
      <c r="FV48" s="460">
        <f t="shared" ca="1" si="86"/>
        <v>2.449073109800224E-3</v>
      </c>
      <c r="FW48" s="460">
        <f t="shared" ca="1" si="87"/>
        <v>2.3315927966051403E-3</v>
      </c>
      <c r="FX48" s="460">
        <f t="shared" ca="1" si="88"/>
        <v>2.5355628644742291E-3</v>
      </c>
      <c r="FY48" s="460">
        <f t="shared" ca="1" si="89"/>
        <v>2.4339263639352529E-3</v>
      </c>
      <c r="FZ48" s="460">
        <f t="shared" ca="1" si="90"/>
        <v>2.3371878209646536E-3</v>
      </c>
      <c r="GA48" s="460">
        <f t="shared" ca="1" si="91"/>
        <v>2.5904721809650254E-3</v>
      </c>
      <c r="GB48" s="460">
        <f t="shared" ca="1" si="92"/>
        <v>2.9663584194993681E-3</v>
      </c>
      <c r="GC48" s="460">
        <f t="shared" ca="1" si="93"/>
        <v>2.7335555463860288E-3</v>
      </c>
      <c r="GD48" s="460">
        <f t="shared" ca="1" si="94"/>
        <v>2.8909994059641928E-3</v>
      </c>
      <c r="GE48" s="460">
        <f t="shared" ca="1" si="95"/>
        <v>3.5141892498368439E-3</v>
      </c>
      <c r="GF48" s="460">
        <f t="shared" ca="1" si="96"/>
        <v>3.3379762450558496E-3</v>
      </c>
      <c r="GG48" s="460">
        <f t="shared" ca="1" si="97"/>
        <v>4.0369306597158126E-3</v>
      </c>
      <c r="GH48" s="460">
        <f t="shared" ca="1" si="98"/>
        <v>4.216985005044924E-3</v>
      </c>
      <c r="GI48" s="460">
        <f t="shared" ca="1" si="99"/>
        <v>4.6321268349707864E-3</v>
      </c>
      <c r="GJ48" s="460">
        <f t="shared" ca="1" si="100"/>
        <v>6.1316255665851424E-3</v>
      </c>
      <c r="GK48" s="460">
        <f t="shared" ca="1" si="101"/>
        <v>6.6691635593780878E-3</v>
      </c>
      <c r="GL48" s="460">
        <f t="shared" ca="1" si="102"/>
        <v>7.979246681693055E-3</v>
      </c>
      <c r="GM48" s="460">
        <f t="shared" ca="1" si="103"/>
        <v>1.1000624055338576E-2</v>
      </c>
      <c r="GN48" s="460" t="str">
        <f t="shared" si="104"/>
        <v/>
      </c>
      <c r="GO48" s="460" t="str">
        <f t="shared" si="105"/>
        <v/>
      </c>
      <c r="GP48" s="460" t="str">
        <f t="shared" si="106"/>
        <v/>
      </c>
      <c r="GQ48" s="460" t="str">
        <f t="shared" si="107"/>
        <v/>
      </c>
      <c r="GR48" s="460" t="str">
        <f t="shared" si="108"/>
        <v/>
      </c>
      <c r="GS48" s="460" t="str">
        <f t="shared" si="109"/>
        <v/>
      </c>
      <c r="GT48" s="460" t="str">
        <f t="shared" si="110"/>
        <v/>
      </c>
      <c r="GU48" s="460" t="str">
        <f t="shared" si="111"/>
        <v/>
      </c>
      <c r="GV48" s="460" t="str">
        <f t="shared" si="112"/>
        <v/>
      </c>
      <c r="GW48" s="460" t="str">
        <f t="shared" si="113"/>
        <v/>
      </c>
      <c r="GX48" s="460" t="str">
        <f t="shared" si="114"/>
        <v/>
      </c>
      <c r="GY48" s="460" t="str">
        <f t="shared" si="115"/>
        <v/>
      </c>
      <c r="GZ48" s="460" t="str">
        <f t="shared" si="116"/>
        <v/>
      </c>
      <c r="HA48" s="460" t="str">
        <f t="shared" si="117"/>
        <v/>
      </c>
      <c r="HB48" s="460" t="str">
        <f t="shared" si="118"/>
        <v/>
      </c>
      <c r="HC48" s="460" t="str">
        <f t="shared" si="119"/>
        <v/>
      </c>
      <c r="HD48" s="460" t="str">
        <f t="shared" si="120"/>
        <v/>
      </c>
      <c r="HE48" s="460" t="str">
        <f t="shared" si="121"/>
        <v/>
      </c>
      <c r="HF48" s="460" t="str">
        <f t="shared" si="122"/>
        <v/>
      </c>
      <c r="HG48" s="460" t="str">
        <f t="shared" si="123"/>
        <v/>
      </c>
      <c r="HH48" s="460" t="str">
        <f t="shared" si="124"/>
        <v/>
      </c>
      <c r="HI48" s="460" t="str">
        <f t="shared" si="125"/>
        <v/>
      </c>
      <c r="HJ48" s="460" t="str">
        <f t="shared" si="126"/>
        <v/>
      </c>
      <c r="HK48" s="460" t="str">
        <f t="shared" si="127"/>
        <v/>
      </c>
      <c r="HL48" s="460" t="str">
        <f t="shared" si="128"/>
        <v/>
      </c>
      <c r="HM48" s="460" t="str">
        <f t="shared" si="129"/>
        <v/>
      </c>
      <c r="HN48" s="460" t="str">
        <f t="shared" si="130"/>
        <v/>
      </c>
      <c r="HO48" s="460" t="str">
        <f t="shared" si="131"/>
        <v/>
      </c>
      <c r="HP48" s="460" t="str">
        <f t="shared" si="132"/>
        <v/>
      </c>
      <c r="HQ48" s="460" t="str">
        <f t="shared" si="133"/>
        <v/>
      </c>
      <c r="HR48" s="460" t="str">
        <f t="shared" si="134"/>
        <v/>
      </c>
      <c r="HS48" s="460" t="str">
        <f t="shared" si="135"/>
        <v/>
      </c>
      <c r="HT48" s="460" t="str">
        <f t="shared" si="136"/>
        <v/>
      </c>
      <c r="HU48" s="460" t="str">
        <f t="shared" si="137"/>
        <v/>
      </c>
      <c r="HV48" s="460" t="str">
        <f t="shared" si="138"/>
        <v/>
      </c>
      <c r="HW48" s="460" t="str">
        <f t="shared" si="139"/>
        <v/>
      </c>
      <c r="HX48" s="460" t="str">
        <f t="shared" si="140"/>
        <v/>
      </c>
      <c r="HY48" s="460" t="str">
        <f t="shared" si="141"/>
        <v/>
      </c>
      <c r="HZ48" s="460" t="str">
        <f t="shared" si="142"/>
        <v/>
      </c>
      <c r="IA48" s="460" t="str">
        <f t="shared" si="143"/>
        <v/>
      </c>
      <c r="IB48" s="460" t="str">
        <f t="shared" si="144"/>
        <v/>
      </c>
      <c r="IC48" s="460" t="str">
        <f t="shared" si="145"/>
        <v/>
      </c>
      <c r="ID48" s="674" t="str">
        <f t="shared" si="146"/>
        <v/>
      </c>
      <c r="IE48" s="250"/>
    </row>
    <row r="49" spans="1:239" ht="14.25" customHeight="1">
      <c r="A49" s="51"/>
      <c r="B49" s="51"/>
      <c r="C49" s="51"/>
      <c r="D49" s="51"/>
      <c r="E49" s="51"/>
      <c r="F49" s="51"/>
      <c r="G49" s="51"/>
      <c r="H49" s="51">
        <f t="shared" ca="1" si="35"/>
        <v>0</v>
      </c>
      <c r="I49" s="379">
        <f t="shared" si="36"/>
        <v>37653</v>
      </c>
      <c r="J49" s="377"/>
      <c r="K49" s="104" t="s">
        <v>269</v>
      </c>
      <c r="L49" s="392">
        <f t="shared" si="37"/>
        <v>0</v>
      </c>
      <c r="M49" s="171"/>
      <c r="N49" s="382">
        <v>0</v>
      </c>
      <c r="O49" s="171">
        <f t="shared" si="38"/>
        <v>0</v>
      </c>
      <c r="P49" s="377"/>
      <c r="Q49" s="103" t="s">
        <v>269</v>
      </c>
      <c r="R49" s="377">
        <f t="shared" ca="1" si="148"/>
        <v>0</v>
      </c>
      <c r="S49" s="832">
        <f t="shared" si="164"/>
        <v>0.36001269917085654</v>
      </c>
      <c r="T49" s="831">
        <f t="shared" si="149"/>
        <v>0.9988021247985126</v>
      </c>
      <c r="U49" s="545">
        <f t="shared" si="150"/>
        <v>0.99999642835819658</v>
      </c>
      <c r="V49" s="389">
        <v>0</v>
      </c>
      <c r="W49" s="434">
        <f t="shared" si="39"/>
        <v>0</v>
      </c>
      <c r="X49" s="415">
        <f t="shared" si="40"/>
        <v>0</v>
      </c>
      <c r="Y49" s="322">
        <f t="shared" si="41"/>
        <v>0</v>
      </c>
      <c r="Z49" s="322">
        <f t="shared" ca="1" si="42"/>
        <v>0</v>
      </c>
      <c r="AA49" s="429">
        <f t="shared" si="1"/>
        <v>0</v>
      </c>
      <c r="AB49" s="433">
        <f t="shared" ca="1" si="2"/>
        <v>0</v>
      </c>
      <c r="AC49" s="226">
        <v>37641</v>
      </c>
      <c r="AD49" s="229">
        <v>37637</v>
      </c>
      <c r="AE49" s="229">
        <v>37636</v>
      </c>
      <c r="AF49" s="229">
        <v>37632</v>
      </c>
      <c r="AG49" s="249" t="s">
        <v>90</v>
      </c>
      <c r="AH49" s="247" t="s">
        <v>90</v>
      </c>
      <c r="AI49" s="146">
        <v>20</v>
      </c>
      <c r="AJ49" s="41">
        <v>14</v>
      </c>
      <c r="AK49" s="41">
        <v>6</v>
      </c>
      <c r="AL49" s="293">
        <v>20</v>
      </c>
      <c r="AM49" s="41">
        <v>10</v>
      </c>
      <c r="AN49" s="147">
        <v>10</v>
      </c>
      <c r="AO49" s="374"/>
      <c r="AP49" s="153">
        <f t="shared" ca="1" si="43"/>
        <v>1</v>
      </c>
      <c r="AQ49" s="374"/>
      <c r="AR49" s="153">
        <f t="shared" ca="1" si="151"/>
        <v>1</v>
      </c>
      <c r="AS49" s="272">
        <f t="shared" si="3"/>
        <v>0</v>
      </c>
      <c r="AT49" s="157">
        <f t="shared" si="44"/>
        <v>0</v>
      </c>
      <c r="AU49" s="157">
        <f t="shared" si="4"/>
        <v>0</v>
      </c>
      <c r="AV49" s="271">
        <f t="shared" ca="1" si="163"/>
        <v>9.9999999999999995E-7</v>
      </c>
      <c r="AW49" s="158" t="str">
        <f t="shared" ca="1" si="5"/>
        <v/>
      </c>
      <c r="AX49" s="157">
        <f t="shared" ca="1" si="152"/>
        <v>9.6121423972718081E-3</v>
      </c>
      <c r="AY49" s="157">
        <f t="shared" ca="1" si="153"/>
        <v>6.1334713341172587E-3</v>
      </c>
      <c r="AZ49" s="157">
        <f t="shared" ca="1" si="154"/>
        <v>2.7373459529022098E-3</v>
      </c>
      <c r="BA49" s="157">
        <f t="shared" ca="1" si="155"/>
        <v>3.4216824411277622E-4</v>
      </c>
      <c r="BB49" s="157">
        <f t="shared" ca="1" si="156"/>
        <v>2.7408082385303999E-4</v>
      </c>
      <c r="BC49" s="157">
        <f t="shared" ca="1" si="157"/>
        <v>2.3415821455844199E-4</v>
      </c>
      <c r="BD49" s="151">
        <f t="shared" ca="1" si="45"/>
        <v>0</v>
      </c>
      <c r="BE49" s="152">
        <f t="shared" ca="1" si="46"/>
        <v>0</v>
      </c>
      <c r="BF49" s="40">
        <f t="shared" si="7"/>
        <v>2003</v>
      </c>
      <c r="BG49" s="144">
        <f t="shared" si="8"/>
        <v>2</v>
      </c>
      <c r="BH49" s="145">
        <f t="shared" ca="1" si="47"/>
        <v>892</v>
      </c>
      <c r="BI49" s="313">
        <f t="shared" ca="1" si="9"/>
        <v>2.4859685147159478</v>
      </c>
      <c r="BJ49" s="42">
        <f t="shared" ca="1" si="10"/>
        <v>2.5377138945927444</v>
      </c>
      <c r="BK49" s="42">
        <f t="shared" ca="1" si="11"/>
        <v>2.5404517453798765</v>
      </c>
      <c r="BL49" s="42">
        <f t="shared" ca="1" si="12"/>
        <v>2.5598904859685145</v>
      </c>
      <c r="BM49" s="150" t="e">
        <f t="shared" ca="1" si="13"/>
        <v>#DIV/0!</v>
      </c>
      <c r="BN49" s="42" t="e">
        <f t="shared" ca="1" si="14"/>
        <v>#DIV/0!</v>
      </c>
      <c r="BO49" s="293">
        <f t="shared" si="48"/>
        <v>20</v>
      </c>
      <c r="BP49" s="41">
        <f t="shared" si="49"/>
        <v>14</v>
      </c>
      <c r="BQ49" s="41">
        <f t="shared" si="50"/>
        <v>6</v>
      </c>
      <c r="BR49" s="305" t="str">
        <f t="shared" ca="1" si="15"/>
        <v/>
      </c>
      <c r="BS49" s="305" t="str">
        <f t="shared" ca="1" si="16"/>
        <v/>
      </c>
      <c r="BT49" s="307" t="str">
        <f t="shared" ca="1" si="17"/>
        <v/>
      </c>
      <c r="BU49" s="161" t="str">
        <f t="shared" ca="1" si="18"/>
        <v/>
      </c>
      <c r="BV49" s="161" t="str">
        <f t="shared" ca="1" si="19"/>
        <v/>
      </c>
      <c r="BW49" s="308" t="str">
        <f t="shared" ca="1" si="20"/>
        <v/>
      </c>
      <c r="BX49" s="309" t="str">
        <f t="shared" ca="1" si="21"/>
        <v/>
      </c>
      <c r="BY49" s="308" t="str">
        <f t="shared" ca="1" si="51"/>
        <v/>
      </c>
      <c r="BZ49" s="309" t="str">
        <f t="shared" ca="1" si="52"/>
        <v/>
      </c>
      <c r="CA49" s="154" t="str">
        <f t="shared" ca="1" si="22"/>
        <v/>
      </c>
      <c r="CB49" s="154" t="str">
        <f t="shared" ca="1" si="23"/>
        <v/>
      </c>
      <c r="CC49" s="154" t="str">
        <f t="shared" ca="1" si="24"/>
        <v/>
      </c>
      <c r="CD49" s="154" t="str">
        <f t="shared" ca="1" si="25"/>
        <v/>
      </c>
      <c r="CE49" s="310">
        <v>1</v>
      </c>
      <c r="CF49" s="162">
        <f ca="1">IF(BD49,_xll.xCrudeAPO(BU49,BV49,CA49,CB49,S50,S51,BI49,BL49,BP49,BQ49,0,Strike1,AO49,CE49,0,BL49,IF(OptControl=4,0,1),0,1),0)</f>
        <v>0</v>
      </c>
      <c r="CG49" s="163">
        <f ca="1">IF(BD49,_xll.xCrudeAPO(BU49,BV49,CA49,CB49,S50,S51,BI49,BL49,BP49,BQ49,0,Strike1,AO49,CE49,0,BL49,IF(OptControl=4,0,1),1,1)+_xll.xCrudeAPO(BU49,BV49,CA49,CB49,S50,S51,BI49,BL49,BP49,BQ49,0,Strike1,AO49,CE49,0,BL49,IF(OptControl=4,0,1),1,2)+IF(OR(VolSkewFlag=2,ABS(BS49)&lt;0.0001),0,IF(BS49&gt;0,-1,1)*CH49*Strike1/BR49^2*BY49/10%),0)</f>
        <v>0</v>
      </c>
      <c r="CH49" s="163">
        <f ca="1">IF(BD49,(_xll.xCrudeAPO(BU49,BV49,CA49,CB49,S50,S51,BI49,BL49,BP49,BQ49,0,Strike1,AO49,CE49,0,BL49,IF(OptControl=4,0,1),3,1)+_xll.xCrudeAPO(BU49,BV49,CA49,CB49,S50,S51,BI49,BL49,BP49,BQ49,0,Strike1,AO49,CE49,0,BL49,IF(OptControl=4,0,1),3,2))/100,0)</f>
        <v>0</v>
      </c>
      <c r="CI49" s="163">
        <f ca="1">IF(BD49,_xll.xCrudeAPO(BU49,BV49,CA49,CB49,S50,S51,BI49-DaysForThetaCalculation/365.25,BL49-DaysForThetaCalculation/365.25,BP49,BQ49,0,Strike1,AO49,CE49,0,BL49,IF(OptControl=4,0,1),0,1)-_xll.xCrudeAPO(BU49,BV49,CA49,CB49,S50,S51,BI49,BL49,BP49,BQ49,0,Strike1,AO49,CE49,0,BL49,IF(OptControl=4,0,1),0,1),0)</f>
        <v>0</v>
      </c>
      <c r="CJ49" s="311">
        <f ca="1">IF(BD49,_xll.xCrudeAPO(BU49,BV49,CC49,CD49,S50,S51,BI49,BL49,BP49,BQ49,0,Strike2,AO49,CE49,0,BL49,IF(OptControl=3,1,0),0,1),0)</f>
        <v>0</v>
      </c>
      <c r="CK49" s="163">
        <f ca="1">IF(BD49,_xll.xCrudeAPO(BU49,BV49,CC49,CD49,S50,S51,BI49,BL49,BP49,BQ49,0,Strike2,AO49,CE49,0,BL49,IF(OptControl=3,1,0),1,1)+_xll.xCrudeAPO(BU49,BV49,CC49,CD49,S50,S51,BI49,BL49,BP49,BQ49,0,Strike2,AO49,CE49,0,BL49,IF(OptControl=3,1,0),1,2)+IF(OR(VolSkewFlag=2,ABS(BT49)&lt;0.0001),0,IF(BT49&gt;0,-1,1)*CL49*Strike2/BR49^2*BZ49/10%),0)</f>
        <v>0</v>
      </c>
      <c r="CL49" s="163">
        <f ca="1">IF(BD49,(_xll.xCrudeAPO(BU49,BV49,CC49,CD49,S50,S51,BI49,BL49,BP49,BQ49,0,Strike2,AO49,CE49,0,BL49,IF(OptControl=3,1,0),3,1)+_xll.xCrudeAPO(BU49,BV49,CC49,CD49,S50,S51,BI49,BL49,BP49,BQ49,0,Strike2,AO49,CE49,0,BL49,IF(OptControl=3,1,0),3,2))/100,0)</f>
        <v>0</v>
      </c>
      <c r="CM49" s="164">
        <f ca="1">IF(BD49,_xll.xCrudeAPO(BU49,BV49,CC49,CD49,S50,S51,BI49-DaysForThetaCalculation/365.25,BL49-DaysForThetaCalculation/365.25,BP49,BQ49,0,Strike2,AO49,CE49,0,BL49,IF(OptControl=3,1,0),0,1)-_xll.xCrudeAPO(BU49,BV49,CC49,CD49,S50,S51,BI49,BL49,BP49,BQ49,0,Strike2,AO49,CE49,0,BL49,IF(OptControl=3,1,0),0,1),0)</f>
        <v>0</v>
      </c>
      <c r="CN49" s="53"/>
      <c r="CO49" s="796" t="str">
        <f t="shared" ca="1" si="53"/>
        <v/>
      </c>
      <c r="CP49" s="800" t="str">
        <f t="shared" ca="1" si="54"/>
        <v/>
      </c>
      <c r="CQ49" s="797" t="str">
        <f t="shared" ca="1" si="55"/>
        <v/>
      </c>
      <c r="CR49" s="797" t="str">
        <f t="shared" ca="1" si="56"/>
        <v/>
      </c>
      <c r="CS49" s="797" t="str">
        <f t="shared" ca="1" si="57"/>
        <v/>
      </c>
      <c r="CT49" s="797" t="str">
        <f t="shared" ca="1" si="58"/>
        <v/>
      </c>
      <c r="CU49" s="798" t="str">
        <f t="shared" ca="1" si="59"/>
        <v/>
      </c>
      <c r="CV49" s="799" t="str">
        <f t="shared" ca="1" si="60"/>
        <v/>
      </c>
      <c r="CW49" s="799" t="str">
        <f t="shared" ca="1" si="61"/>
        <v/>
      </c>
      <c r="CX49" s="163">
        <f ca="1">IF(BD49,_xll.EURO(CP49,Strike1,AO49,AO49,CV49,CO49,IF(OptControl=4,0,1),0),0)</f>
        <v>0</v>
      </c>
      <c r="CY49" s="163">
        <f ca="1">IF(BD49,_xll.EURO(CP49,Strike1,AO49,AO49,CV49,CO49,IF(OptControl=4,0,1),1)+IF(OR(VolSkewFlag=2,ABS(CQ49)&lt;0.0001),0,IF(CQ49&gt;0,-1,1)*CZ49*100*Strike1/CP49^2*CS49/10%),0)</f>
        <v>0</v>
      </c>
      <c r="CZ49" s="163">
        <f ca="1">IF(BD49,_xll.EURO(CP49,Strike1,AO49,AO49,CV49,CO49,IF(OptControl=4,0,1),3)/100,0)</f>
        <v>0</v>
      </c>
      <c r="DA49" s="163">
        <f ca="1">IF(BD49,_xll.EURO(CP49,Strike1,AO49,AO49,CV49,CO49,IF(OptControl=4,0,1),0)-_xll.EURO(CP49,Strike1,AO49,AO49,CV49,CO49-1,IF(OptControl=4,0,1),0),0)</f>
        <v>0</v>
      </c>
      <c r="DB49" s="163">
        <f ca="1">IF(BD49,_xll.EURO(CP49,Strike2,AO49,AO49,CW49,CO49,IF(OptControl=3,1,0),0),0)</f>
        <v>0</v>
      </c>
      <c r="DC49" s="163">
        <f ca="1">IF(BD49,_xll.EURO(CP49,Strike2,AO49,AO49,CW49,CO49,IF(OptControl=3,1,0),1)+IF(OR(VolSkewFlag=2,ABS(CR49)&lt;0.0001),0,IF(CR49&gt;0,-1,1)*DD49*100*Strike2/CP49^2*CT49/10%),0)</f>
        <v>0</v>
      </c>
      <c r="DD49" s="163">
        <f ca="1">IF(BD49,_xll.EURO(CP49,Strike2,AO49,AO49,CW49,CO49,IF(OptControl=3,1,0),3)/100,0)</f>
        <v>0</v>
      </c>
      <c r="DE49" s="164">
        <f ca="1">IF(BD49,_xll.EURO(CP49,Strike2,AO49,AO49,CW49,CO49,IF(OptControl=3,1,0),0)-_xll.EURO(CP49,Strike2,AO49,AO49,CW49,CO49-1,IF(OptControl=3,1,0),0),0)</f>
        <v>0</v>
      </c>
      <c r="DG49" s="667">
        <f t="shared" ca="1" si="62"/>
        <v>37438</v>
      </c>
      <c r="DH49" s="475">
        <v>19.38666666666667</v>
      </c>
      <c r="DI49" s="665">
        <v>19.29</v>
      </c>
      <c r="DJ49" s="666">
        <f t="shared" ca="1" si="26"/>
        <v>37438</v>
      </c>
      <c r="DK49" s="475">
        <v>18.20569444444445</v>
      </c>
      <c r="DL49" s="665">
        <v>18.157000000000004</v>
      </c>
      <c r="DM49" s="667">
        <f t="shared" ca="1" si="27"/>
        <v>37438</v>
      </c>
      <c r="DN49" s="668">
        <f t="shared" si="28"/>
        <v>18.255694444444451</v>
      </c>
      <c r="DO49" s="667">
        <f t="shared" ca="1" si="63"/>
        <v>37438</v>
      </c>
      <c r="DP49" s="579">
        <f t="shared" si="64"/>
        <v>18.157000000000004</v>
      </c>
      <c r="DQ49" s="821">
        <v>0</v>
      </c>
      <c r="DR49" s="666">
        <f t="shared" ca="1" si="29"/>
        <v>37438</v>
      </c>
      <c r="DS49" s="669">
        <v>0.2213705830103421</v>
      </c>
      <c r="DT49" s="606">
        <v>0.21860786626868239</v>
      </c>
      <c r="DU49" s="666">
        <f t="shared" ca="1" si="30"/>
        <v>37438</v>
      </c>
      <c r="DV49" s="669">
        <v>0.2213705830103421</v>
      </c>
      <c r="DW49" s="606">
        <v>0.21860786626868239</v>
      </c>
      <c r="DX49" s="667">
        <f t="shared" ca="1" si="31"/>
        <v>37438</v>
      </c>
      <c r="DY49" s="606">
        <v>0.3500000002980232</v>
      </c>
      <c r="DZ49" s="667">
        <f t="shared" ca="1" si="65"/>
        <v>37438</v>
      </c>
      <c r="EA49" s="606">
        <f t="shared" si="66"/>
        <v>0.21860786626868239</v>
      </c>
      <c r="EB49" s="1"/>
      <c r="EC49" s="118" t="str">
        <f t="shared" ca="1" si="32"/>
        <v/>
      </c>
      <c r="ED49" s="119" t="str">
        <f t="shared" ca="1" si="33"/>
        <v/>
      </c>
      <c r="EE49" s="112" t="str">
        <f t="shared" ca="1" si="34"/>
        <v/>
      </c>
      <c r="EF49" s="120">
        <f ca="1">IF(BD49,_xll.xASN(BR49,Strike1,AO49,ED49,0,BO49,0,BI49,BL49,IF(OptControl=4,0,1),0),0)</f>
        <v>0</v>
      </c>
      <c r="EG49" s="111">
        <f ca="1">IF(BD49,_xll.xASN(BR49,Strike2,AO49,EE49,0,BO49,0,BI49,BL49,IF(OptControl=3,1,0),0),0)</f>
        <v>0</v>
      </c>
      <c r="EI49" s="483" t="str">
        <f>[1]!'CLc30 MTH'</f>
        <v>DEC3</v>
      </c>
      <c r="EJ49" s="484">
        <f t="shared" si="158"/>
        <v>37956</v>
      </c>
      <c r="EK49" s="485">
        <f>[1]!'CLc30 NET.CHNG'</f>
        <v>0</v>
      </c>
      <c r="EL49" s="486">
        <f t="shared" si="159"/>
        <v>0</v>
      </c>
      <c r="EM49" s="1"/>
      <c r="EN49" s="697">
        <v>39267</v>
      </c>
      <c r="EO49" s="698">
        <v>41998</v>
      </c>
      <c r="EP49" s="1"/>
      <c r="EQ49" s="683" t="s">
        <v>153</v>
      </c>
      <c r="ER49" s="53"/>
      <c r="ES49" s="498">
        <v>30</v>
      </c>
      <c r="ET49" s="476">
        <f t="shared" ca="1" si="165"/>
        <v>2.4421629021218343</v>
      </c>
      <c r="EU49" s="842">
        <f t="shared" ca="1" si="67"/>
        <v>0</v>
      </c>
      <c r="EV49" s="815">
        <f t="shared" ca="1" si="160"/>
        <v>0.20257400463047806</v>
      </c>
      <c r="EW49" s="478" t="str">
        <f t="shared" ca="1" si="161"/>
        <v/>
      </c>
      <c r="EX49" s="477" t="str">
        <f t="shared" ca="1" si="162"/>
        <v/>
      </c>
      <c r="EY49" s="250">
        <v>0</v>
      </c>
      <c r="EZ49" s="605" t="str">
        <f ca="1">IF(OR(EW49="",EW50=""),"",SQRT(SUM(INDEX(FK49:ID49,SwaptionFirstMonthPosition+1):INDEX(FK49:ID49,FJ49))/SUM(INDEX($FK$15:$ID$15,SwaptionFirstMonthPosition+1):INDEX($FK$15:$ID$15,FJ49))))</f>
        <v/>
      </c>
      <c r="FA49" s="581" t="str">
        <f ca="1">IF(OR(EW49="",EW48=""),"",SQRT(SUM(INDEX(FK49:ID49,SwaptionFirstMonthPosition+1):INDEX(FK49:ID49,FJ49-1))/SUM(INDEX($FK$15:$ID$15,SwaptionFirstMonthPosition+1):INDEX($FK$15:$ID$15,FJ49-1))))</f>
        <v/>
      </c>
      <c r="FB49" s="578" t="str">
        <f t="shared" ca="1" si="68"/>
        <v/>
      </c>
      <c r="FC49" s="609" t="str">
        <f t="shared" ca="1" si="69"/>
        <v/>
      </c>
      <c r="FD49" s="579" t="str">
        <f t="shared" ca="1" si="70"/>
        <v/>
      </c>
      <c r="FE49" s="579" t="str">
        <f t="shared" ca="1" si="71"/>
        <v/>
      </c>
      <c r="FF49" s="579" t="str">
        <f t="shared" ca="1" si="72"/>
        <v/>
      </c>
      <c r="FG49" s="580" t="str">
        <f t="shared" ca="1" si="73"/>
        <v/>
      </c>
      <c r="FH49" s="606" t="str">
        <f t="shared" ca="1" si="74"/>
        <v/>
      </c>
      <c r="FI49" s="250"/>
      <c r="FJ49" s="673">
        <v>30</v>
      </c>
      <c r="FK49" s="460">
        <f t="shared" ca="1" si="75"/>
        <v>0</v>
      </c>
      <c r="FL49" s="460">
        <f t="shared" ca="1" si="76"/>
        <v>2.2338594108735426E-3</v>
      </c>
      <c r="FM49" s="460">
        <f t="shared" ca="1" si="77"/>
        <v>2.6049085876211305E-3</v>
      </c>
      <c r="FN49" s="460">
        <f t="shared" ca="1" si="78"/>
        <v>2.2008912582769857E-3</v>
      </c>
      <c r="FO49" s="460">
        <f t="shared" ca="1" si="79"/>
        <v>2.2995394564398722E-3</v>
      </c>
      <c r="FP49" s="460">
        <f t="shared" ca="1" si="80"/>
        <v>2.5615277934947205E-3</v>
      </c>
      <c r="FQ49" s="460">
        <f t="shared" ca="1" si="81"/>
        <v>2.0865935174844267E-3</v>
      </c>
      <c r="FR49" s="460">
        <f t="shared" ca="1" si="82"/>
        <v>2.1488251183766215E-3</v>
      </c>
      <c r="FS49" s="460">
        <f t="shared" ca="1" si="83"/>
        <v>2.442006943370162E-3</v>
      </c>
      <c r="FT49" s="460">
        <f t="shared" ca="1" si="84"/>
        <v>2.2256050194237788E-3</v>
      </c>
      <c r="FU49" s="460">
        <f t="shared" ca="1" si="85"/>
        <v>2.1643863821864087E-3</v>
      </c>
      <c r="FV49" s="460">
        <f t="shared" ca="1" si="86"/>
        <v>2.4107074233897944E-3</v>
      </c>
      <c r="FW49" s="460">
        <f t="shared" ca="1" si="87"/>
        <v>2.2888731341038464E-3</v>
      </c>
      <c r="FX49" s="460">
        <f t="shared" ca="1" si="88"/>
        <v>2.4812274010031286E-3</v>
      </c>
      <c r="FY49" s="460">
        <f t="shared" ca="1" si="89"/>
        <v>2.3729234874998433E-3</v>
      </c>
      <c r="FZ49" s="460">
        <f t="shared" ca="1" si="90"/>
        <v>2.2686752320938064E-3</v>
      </c>
      <c r="GA49" s="460">
        <f t="shared" ca="1" si="91"/>
        <v>2.5016565139150113E-3</v>
      </c>
      <c r="GB49" s="460">
        <f t="shared" ca="1" si="92"/>
        <v>2.8474074025605536E-3</v>
      </c>
      <c r="GC49" s="460">
        <f t="shared" ca="1" si="93"/>
        <v>2.6053501449252864E-3</v>
      </c>
      <c r="GD49" s="460">
        <f t="shared" ca="1" si="94"/>
        <v>2.7324150629250308E-3</v>
      </c>
      <c r="GE49" s="460">
        <f t="shared" ca="1" si="95"/>
        <v>3.2887282980172561E-3</v>
      </c>
      <c r="GF49" s="460">
        <f t="shared" ca="1" si="96"/>
        <v>3.0875018610715108E-3</v>
      </c>
      <c r="GG49" s="460">
        <f t="shared" ca="1" si="97"/>
        <v>3.682635474349322E-3</v>
      </c>
      <c r="GH49" s="460">
        <f t="shared" ca="1" si="98"/>
        <v>3.7841225654451352E-3</v>
      </c>
      <c r="GI49" s="460">
        <f t="shared" ca="1" si="99"/>
        <v>4.0760149536390984E-3</v>
      </c>
      <c r="GJ49" s="460">
        <f t="shared" ca="1" si="100"/>
        <v>5.2706491750910819E-3</v>
      </c>
      <c r="GK49" s="460">
        <f t="shared" ca="1" si="101"/>
        <v>5.5738943712367118E-3</v>
      </c>
      <c r="GL49" s="460">
        <f t="shared" ca="1" si="102"/>
        <v>6.4465886027009088E-3</v>
      </c>
      <c r="GM49" s="460">
        <f t="shared" ca="1" si="103"/>
        <v>8.5292721231105331E-3</v>
      </c>
      <c r="GN49" s="460">
        <f t="shared" ca="1" si="104"/>
        <v>1.1000365367536888E-2</v>
      </c>
      <c r="GO49" s="460" t="str">
        <f t="shared" si="105"/>
        <v/>
      </c>
      <c r="GP49" s="460" t="str">
        <f t="shared" si="106"/>
        <v/>
      </c>
      <c r="GQ49" s="460" t="str">
        <f t="shared" si="107"/>
        <v/>
      </c>
      <c r="GR49" s="460" t="str">
        <f t="shared" si="108"/>
        <v/>
      </c>
      <c r="GS49" s="460" t="str">
        <f t="shared" si="109"/>
        <v/>
      </c>
      <c r="GT49" s="460" t="str">
        <f t="shared" si="110"/>
        <v/>
      </c>
      <c r="GU49" s="460" t="str">
        <f t="shared" si="111"/>
        <v/>
      </c>
      <c r="GV49" s="460" t="str">
        <f t="shared" si="112"/>
        <v/>
      </c>
      <c r="GW49" s="460" t="str">
        <f t="shared" si="113"/>
        <v/>
      </c>
      <c r="GX49" s="460" t="str">
        <f t="shared" si="114"/>
        <v/>
      </c>
      <c r="GY49" s="460" t="str">
        <f t="shared" si="115"/>
        <v/>
      </c>
      <c r="GZ49" s="460" t="str">
        <f t="shared" si="116"/>
        <v/>
      </c>
      <c r="HA49" s="460" t="str">
        <f t="shared" si="117"/>
        <v/>
      </c>
      <c r="HB49" s="460" t="str">
        <f t="shared" si="118"/>
        <v/>
      </c>
      <c r="HC49" s="460" t="str">
        <f t="shared" si="119"/>
        <v/>
      </c>
      <c r="HD49" s="460" t="str">
        <f t="shared" si="120"/>
        <v/>
      </c>
      <c r="HE49" s="460" t="str">
        <f t="shared" si="121"/>
        <v/>
      </c>
      <c r="HF49" s="460" t="str">
        <f t="shared" si="122"/>
        <v/>
      </c>
      <c r="HG49" s="460" t="str">
        <f t="shared" si="123"/>
        <v/>
      </c>
      <c r="HH49" s="460" t="str">
        <f t="shared" si="124"/>
        <v/>
      </c>
      <c r="HI49" s="460" t="str">
        <f t="shared" si="125"/>
        <v/>
      </c>
      <c r="HJ49" s="460" t="str">
        <f t="shared" si="126"/>
        <v/>
      </c>
      <c r="HK49" s="460" t="str">
        <f t="shared" si="127"/>
        <v/>
      </c>
      <c r="HL49" s="460" t="str">
        <f t="shared" si="128"/>
        <v/>
      </c>
      <c r="HM49" s="460" t="str">
        <f t="shared" si="129"/>
        <v/>
      </c>
      <c r="HN49" s="460" t="str">
        <f t="shared" si="130"/>
        <v/>
      </c>
      <c r="HO49" s="460" t="str">
        <f t="shared" si="131"/>
        <v/>
      </c>
      <c r="HP49" s="460" t="str">
        <f t="shared" si="132"/>
        <v/>
      </c>
      <c r="HQ49" s="460" t="str">
        <f t="shared" si="133"/>
        <v/>
      </c>
      <c r="HR49" s="460" t="str">
        <f t="shared" si="134"/>
        <v/>
      </c>
      <c r="HS49" s="460" t="str">
        <f t="shared" si="135"/>
        <v/>
      </c>
      <c r="HT49" s="460" t="str">
        <f t="shared" si="136"/>
        <v/>
      </c>
      <c r="HU49" s="460" t="str">
        <f t="shared" si="137"/>
        <v/>
      </c>
      <c r="HV49" s="460" t="str">
        <f t="shared" si="138"/>
        <v/>
      </c>
      <c r="HW49" s="460" t="str">
        <f t="shared" si="139"/>
        <v/>
      </c>
      <c r="HX49" s="460" t="str">
        <f t="shared" si="140"/>
        <v/>
      </c>
      <c r="HY49" s="460" t="str">
        <f t="shared" si="141"/>
        <v/>
      </c>
      <c r="HZ49" s="460" t="str">
        <f t="shared" si="142"/>
        <v/>
      </c>
      <c r="IA49" s="460" t="str">
        <f t="shared" si="143"/>
        <v/>
      </c>
      <c r="IB49" s="460" t="str">
        <f t="shared" si="144"/>
        <v/>
      </c>
      <c r="IC49" s="460" t="str">
        <f t="shared" si="145"/>
        <v/>
      </c>
      <c r="ID49" s="674" t="str">
        <f t="shared" si="146"/>
        <v/>
      </c>
      <c r="IE49" s="250"/>
    </row>
    <row r="50" spans="1:239" ht="14.25" customHeight="1">
      <c r="A50" s="51"/>
      <c r="B50" s="51"/>
      <c r="C50" s="51"/>
      <c r="D50" s="51"/>
      <c r="E50" s="51"/>
      <c r="F50" s="51"/>
      <c r="G50" s="51"/>
      <c r="H50" s="51">
        <f t="shared" ca="1" si="35"/>
        <v>0</v>
      </c>
      <c r="I50" s="379">
        <f t="shared" si="36"/>
        <v>37681</v>
      </c>
      <c r="J50" s="377"/>
      <c r="K50" s="104" t="s">
        <v>269</v>
      </c>
      <c r="L50" s="392">
        <f t="shared" si="37"/>
        <v>0</v>
      </c>
      <c r="M50" s="171"/>
      <c r="N50" s="382">
        <v>0</v>
      </c>
      <c r="O50" s="171">
        <f t="shared" si="38"/>
        <v>0</v>
      </c>
      <c r="P50" s="377"/>
      <c r="Q50" s="104" t="s">
        <v>269</v>
      </c>
      <c r="R50" s="377">
        <f t="shared" ca="1" si="148"/>
        <v>0</v>
      </c>
      <c r="S50" s="832">
        <f t="shared" si="164"/>
        <v>0.36000952437814238</v>
      </c>
      <c r="T50" s="831">
        <f t="shared" si="149"/>
        <v>0.99897609252996</v>
      </c>
      <c r="U50" s="545">
        <f t="shared" si="150"/>
        <v>0.99999732126864749</v>
      </c>
      <c r="V50" s="389">
        <v>0</v>
      </c>
      <c r="W50" s="434">
        <f t="shared" si="39"/>
        <v>0</v>
      </c>
      <c r="X50" s="415">
        <f t="shared" si="40"/>
        <v>0</v>
      </c>
      <c r="Y50" s="322">
        <f t="shared" si="41"/>
        <v>0</v>
      </c>
      <c r="Z50" s="322">
        <f t="shared" ca="1" si="42"/>
        <v>0</v>
      </c>
      <c r="AA50" s="429">
        <f t="shared" si="1"/>
        <v>0</v>
      </c>
      <c r="AB50" s="433">
        <f t="shared" ca="1" si="2"/>
        <v>0</v>
      </c>
      <c r="AC50" s="226">
        <v>37672</v>
      </c>
      <c r="AD50" s="229">
        <v>37668</v>
      </c>
      <c r="AE50" s="229">
        <v>37667</v>
      </c>
      <c r="AF50" s="229">
        <v>37663</v>
      </c>
      <c r="AG50" s="249" t="s">
        <v>90</v>
      </c>
      <c r="AH50" s="247" t="s">
        <v>90</v>
      </c>
      <c r="AI50" s="146">
        <v>21</v>
      </c>
      <c r="AJ50" s="41">
        <v>14</v>
      </c>
      <c r="AK50" s="41">
        <v>7</v>
      </c>
      <c r="AL50" s="293">
        <v>21</v>
      </c>
      <c r="AM50" s="41">
        <v>10</v>
      </c>
      <c r="AN50" s="147">
        <v>11</v>
      </c>
      <c r="AO50" s="374"/>
      <c r="AP50" s="153">
        <f t="shared" ca="1" si="43"/>
        <v>1</v>
      </c>
      <c r="AQ50" s="374"/>
      <c r="AR50" s="153">
        <f t="shared" ca="1" si="151"/>
        <v>1</v>
      </c>
      <c r="AS50" s="272">
        <f t="shared" si="3"/>
        <v>0</v>
      </c>
      <c r="AT50" s="157">
        <f t="shared" si="44"/>
        <v>0</v>
      </c>
      <c r="AU50" s="157">
        <f t="shared" si="4"/>
        <v>0</v>
      </c>
      <c r="AV50" s="271">
        <f t="shared" ca="1" si="163"/>
        <v>9.9999999999999995E-7</v>
      </c>
      <c r="AW50" s="158" t="str">
        <f t="shared" ca="1" si="5"/>
        <v/>
      </c>
      <c r="AX50" s="157">
        <f t="shared" ca="1" si="152"/>
        <v>9.2927857496715015E-3</v>
      </c>
      <c r="AY50" s="157">
        <f t="shared" ca="1" si="153"/>
        <v>5.890270318974147E-3</v>
      </c>
      <c r="AZ50" s="157">
        <f t="shared" ca="1" si="154"/>
        <v>2.5837105298675868E-3</v>
      </c>
      <c r="BA50" s="157">
        <f t="shared" ca="1" si="155"/>
        <v>3.2296381623344835E-4</v>
      </c>
      <c r="BB50" s="157">
        <f t="shared" ca="1" si="156"/>
        <v>2.5010279576281067E-4</v>
      </c>
      <c r="BC50" s="157">
        <f t="shared" ca="1" si="157"/>
        <v>2.0861125319214638E-4</v>
      </c>
      <c r="BD50" s="151">
        <f t="shared" ca="1" si="45"/>
        <v>0</v>
      </c>
      <c r="BE50" s="152">
        <f t="shared" ca="1" si="46"/>
        <v>0</v>
      </c>
      <c r="BF50" s="40">
        <f t="shared" si="7"/>
        <v>2003</v>
      </c>
      <c r="BG50" s="144">
        <f t="shared" si="8"/>
        <v>3</v>
      </c>
      <c r="BH50" s="145">
        <f t="shared" ca="1" si="47"/>
        <v>923</v>
      </c>
      <c r="BI50" s="313">
        <f t="shared" ca="1" si="9"/>
        <v>2.5626283367556466</v>
      </c>
      <c r="BJ50" s="42">
        <f t="shared" ca="1" si="10"/>
        <v>2.6173853524982889</v>
      </c>
      <c r="BK50" s="42">
        <f t="shared" ca="1" si="11"/>
        <v>2.6201232032854209</v>
      </c>
      <c r="BL50" s="42">
        <f t="shared" ca="1" si="12"/>
        <v>2.64476386036961</v>
      </c>
      <c r="BM50" s="150" t="e">
        <f t="shared" ca="1" si="13"/>
        <v>#DIV/0!</v>
      </c>
      <c r="BN50" s="42" t="e">
        <f t="shared" ca="1" si="14"/>
        <v>#DIV/0!</v>
      </c>
      <c r="BO50" s="293">
        <f t="shared" si="48"/>
        <v>21</v>
      </c>
      <c r="BP50" s="41">
        <f t="shared" si="49"/>
        <v>14</v>
      </c>
      <c r="BQ50" s="41">
        <f t="shared" si="50"/>
        <v>7</v>
      </c>
      <c r="BR50" s="305" t="str">
        <f t="shared" ca="1" si="15"/>
        <v/>
      </c>
      <c r="BS50" s="305" t="str">
        <f t="shared" ca="1" si="16"/>
        <v/>
      </c>
      <c r="BT50" s="307" t="str">
        <f t="shared" ca="1" si="17"/>
        <v/>
      </c>
      <c r="BU50" s="161" t="str">
        <f t="shared" ca="1" si="18"/>
        <v/>
      </c>
      <c r="BV50" s="161" t="str">
        <f t="shared" ca="1" si="19"/>
        <v/>
      </c>
      <c r="BW50" s="308" t="str">
        <f t="shared" ca="1" si="20"/>
        <v/>
      </c>
      <c r="BX50" s="309" t="str">
        <f t="shared" ca="1" si="21"/>
        <v/>
      </c>
      <c r="BY50" s="308" t="str">
        <f t="shared" ca="1" si="51"/>
        <v/>
      </c>
      <c r="BZ50" s="309" t="str">
        <f t="shared" ca="1" si="52"/>
        <v/>
      </c>
      <c r="CA50" s="154" t="str">
        <f t="shared" ca="1" si="22"/>
        <v/>
      </c>
      <c r="CB50" s="154" t="str">
        <f t="shared" ca="1" si="23"/>
        <v/>
      </c>
      <c r="CC50" s="154" t="str">
        <f t="shared" ca="1" si="24"/>
        <v/>
      </c>
      <c r="CD50" s="154" t="str">
        <f t="shared" ca="1" si="25"/>
        <v/>
      </c>
      <c r="CE50" s="310">
        <v>1</v>
      </c>
      <c r="CF50" s="162">
        <f ca="1">IF(BD50,_xll.xCrudeAPO(BU50,BV50,CA50,CB50,S51,S52,BI50,BL50,BP50,BQ50,0,Strike1,AO50,CE50,0,BL50,IF(OptControl=4,0,1),0,1),0)</f>
        <v>0</v>
      </c>
      <c r="CG50" s="163">
        <f ca="1">IF(BD50,_xll.xCrudeAPO(BU50,BV50,CA50,CB50,S51,S52,BI50,BL50,BP50,BQ50,0,Strike1,AO50,CE50,0,BL50,IF(OptControl=4,0,1),1,1)+_xll.xCrudeAPO(BU50,BV50,CA50,CB50,S51,S52,BI50,BL50,BP50,BQ50,0,Strike1,AO50,CE50,0,BL50,IF(OptControl=4,0,1),1,2)+IF(OR(VolSkewFlag=2,ABS(BS50)&lt;0.0001),0,IF(BS50&gt;0,-1,1)*CH50*Strike1/BR50^2*BY50/10%),0)</f>
        <v>0</v>
      </c>
      <c r="CH50" s="163">
        <f ca="1">IF(BD50,(_xll.xCrudeAPO(BU50,BV50,CA50,CB50,S51,S52,BI50,BL50,BP50,BQ50,0,Strike1,AO50,CE50,0,BL50,IF(OptControl=4,0,1),3,1)+_xll.xCrudeAPO(BU50,BV50,CA50,CB50,S51,S52,BI50,BL50,BP50,BQ50,0,Strike1,AO50,CE50,0,BL50,IF(OptControl=4,0,1),3,2))/100,0)</f>
        <v>0</v>
      </c>
      <c r="CI50" s="163">
        <f ca="1">IF(BD50,_xll.xCrudeAPO(BU50,BV50,CA50,CB50,S51,S52,BI50-DaysForThetaCalculation/365.25,BL50-DaysForThetaCalculation/365.25,BP50,BQ50,0,Strike1,AO50,CE50,0,BL50,IF(OptControl=4,0,1),0,1)-_xll.xCrudeAPO(BU50,BV50,CA50,CB50,S51,S52,BI50,BL50,BP50,BQ50,0,Strike1,AO50,CE50,0,BL50,IF(OptControl=4,0,1),0,1),0)</f>
        <v>0</v>
      </c>
      <c r="CJ50" s="311">
        <f ca="1">IF(BD50,_xll.xCrudeAPO(BU50,BV50,CC50,CD50,S51,S52,BI50,BL50,BP50,BQ50,0,Strike2,AO50,CE50,0,BL50,IF(OptControl=3,1,0),0,1),0)</f>
        <v>0</v>
      </c>
      <c r="CK50" s="163">
        <f ca="1">IF(BD50,_xll.xCrudeAPO(BU50,BV50,CC50,CD50,S51,S52,BI50,BL50,BP50,BQ50,0,Strike2,AO50,CE50,0,BL50,IF(OptControl=3,1,0),1,1)+_xll.xCrudeAPO(BU50,BV50,CC50,CD50,S51,S52,BI50,BL50,BP50,BQ50,0,Strike2,AO50,CE50,0,BL50,IF(OptControl=3,1,0),1,2)+IF(OR(VolSkewFlag=2,ABS(BT50)&lt;0.0001),0,IF(BT50&gt;0,-1,1)*CL50*Strike2/BR50^2*BZ50/10%),0)</f>
        <v>0</v>
      </c>
      <c r="CL50" s="163">
        <f ca="1">IF(BD50,(_xll.xCrudeAPO(BU50,BV50,CC50,CD50,S51,S52,BI50,BL50,BP50,BQ50,0,Strike2,AO50,CE50,0,BL50,IF(OptControl=3,1,0),3,1)+_xll.xCrudeAPO(BU50,BV50,CC50,CD50,S51,S52,BI50,BL50,BP50,BQ50,0,Strike2,AO50,CE50,0,BL50,IF(OptControl=3,1,0),3,2))/100,0)</f>
        <v>0</v>
      </c>
      <c r="CM50" s="164">
        <f ca="1">IF(BD50,_xll.xCrudeAPO(BU50,BV50,CC50,CD50,S51,S52,BI50-DaysForThetaCalculation/365.25,BL50-DaysForThetaCalculation/365.25,BP50,BQ50,0,Strike2,AO50,CE50,0,BL50,IF(OptControl=3,1,0),0,1)-_xll.xCrudeAPO(BU50,BV50,CC50,CD50,S51,S52,BI50,BL50,BP50,BQ50,0,Strike2,AO50,CE50,0,BL50,IF(OptControl=3,1,0),0,1),0)</f>
        <v>0</v>
      </c>
      <c r="CN50" s="53"/>
      <c r="CO50" s="796" t="str">
        <f t="shared" ca="1" si="53"/>
        <v/>
      </c>
      <c r="CP50" s="800" t="str">
        <f t="shared" ca="1" si="54"/>
        <v/>
      </c>
      <c r="CQ50" s="797" t="str">
        <f t="shared" ca="1" si="55"/>
        <v/>
      </c>
      <c r="CR50" s="797" t="str">
        <f t="shared" ca="1" si="56"/>
        <v/>
      </c>
      <c r="CS50" s="797" t="str">
        <f t="shared" ca="1" si="57"/>
        <v/>
      </c>
      <c r="CT50" s="797" t="str">
        <f t="shared" ca="1" si="58"/>
        <v/>
      </c>
      <c r="CU50" s="798" t="str">
        <f t="shared" ca="1" si="59"/>
        <v/>
      </c>
      <c r="CV50" s="799" t="str">
        <f t="shared" ca="1" si="60"/>
        <v/>
      </c>
      <c r="CW50" s="799" t="str">
        <f t="shared" ca="1" si="61"/>
        <v/>
      </c>
      <c r="CX50" s="163">
        <f ca="1">IF(BD50,_xll.EURO(CP50,Strike1,AO50,AO50,CV50,CO50,IF(OptControl=4,0,1),0),0)</f>
        <v>0</v>
      </c>
      <c r="CY50" s="163">
        <f ca="1">IF(BD50,_xll.EURO(CP50,Strike1,AO50,AO50,CV50,CO50,IF(OptControl=4,0,1),1)+IF(OR(VolSkewFlag=2,ABS(CQ50)&lt;0.0001),0,IF(CQ50&gt;0,-1,1)*CZ50*100*Strike1/CP50^2*CS50/10%),0)</f>
        <v>0</v>
      </c>
      <c r="CZ50" s="163">
        <f ca="1">IF(BD50,_xll.EURO(CP50,Strike1,AO50,AO50,CV50,CO50,IF(OptControl=4,0,1),3)/100,0)</f>
        <v>0</v>
      </c>
      <c r="DA50" s="163">
        <f ca="1">IF(BD50,_xll.EURO(CP50,Strike1,AO50,AO50,CV50,CO50,IF(OptControl=4,0,1),0)-_xll.EURO(CP50,Strike1,AO50,AO50,CV50,CO50-1,IF(OptControl=4,0,1),0),0)</f>
        <v>0</v>
      </c>
      <c r="DB50" s="163">
        <f ca="1">IF(BD50,_xll.EURO(CP50,Strike2,AO50,AO50,CW50,CO50,IF(OptControl=3,1,0),0),0)</f>
        <v>0</v>
      </c>
      <c r="DC50" s="163">
        <f ca="1">IF(BD50,_xll.EURO(CP50,Strike2,AO50,AO50,CW50,CO50,IF(OptControl=3,1,0),1)+IF(OR(VolSkewFlag=2,ABS(CR50)&lt;0.0001),0,IF(CR50&gt;0,-1,1)*DD50*100*Strike2/CP50^2*CT50/10%),0)</f>
        <v>0</v>
      </c>
      <c r="DD50" s="163">
        <f ca="1">IF(BD50,_xll.EURO(CP50,Strike2,AO50,AO50,CW50,CO50,IF(OptControl=3,1,0),3)/100,0)</f>
        <v>0</v>
      </c>
      <c r="DE50" s="164">
        <f ca="1">IF(BD50,_xll.EURO(CP50,Strike2,AO50,AO50,CW50,CO50,IF(OptControl=3,1,0),0)-_xll.EURO(CP50,Strike2,AO50,AO50,CW50,CO50-1,IF(OptControl=3,1,0),0),0)</f>
        <v>0</v>
      </c>
      <c r="DG50" s="667">
        <f t="shared" ca="1" si="62"/>
        <v>37469</v>
      </c>
      <c r="DH50" s="475">
        <v>19.313333333333336</v>
      </c>
      <c r="DI50" s="665">
        <v>19.213333333333335</v>
      </c>
      <c r="DJ50" s="666">
        <f t="shared" ca="1" si="26"/>
        <v>37469</v>
      </c>
      <c r="DK50" s="475">
        <v>18.212314814814814</v>
      </c>
      <c r="DL50" s="665">
        <v>18.080333333333336</v>
      </c>
      <c r="DM50" s="667">
        <f t="shared" ca="1" si="27"/>
        <v>37469</v>
      </c>
      <c r="DN50" s="668">
        <f t="shared" si="28"/>
        <v>18.262314814814815</v>
      </c>
      <c r="DO50" s="667">
        <f t="shared" ca="1" si="63"/>
        <v>37469</v>
      </c>
      <c r="DP50" s="579">
        <f t="shared" si="64"/>
        <v>18.080333333333336</v>
      </c>
      <c r="DQ50" s="821">
        <v>0</v>
      </c>
      <c r="DR50" s="666">
        <f t="shared" ca="1" si="29"/>
        <v>37469</v>
      </c>
      <c r="DS50" s="669">
        <v>0.21816892254706804</v>
      </c>
      <c r="DT50" s="606">
        <v>0.21869781228235421</v>
      </c>
      <c r="DU50" s="666">
        <f t="shared" ca="1" si="30"/>
        <v>37469</v>
      </c>
      <c r="DV50" s="669">
        <v>0.21816892254706804</v>
      </c>
      <c r="DW50" s="606">
        <v>0.21869781228235421</v>
      </c>
      <c r="DX50" s="667">
        <f t="shared" ca="1" si="31"/>
        <v>37469</v>
      </c>
      <c r="DY50" s="606">
        <v>0.35000000014901156</v>
      </c>
      <c r="DZ50" s="667">
        <f t="shared" ca="1" si="65"/>
        <v>37469</v>
      </c>
      <c r="EA50" s="606">
        <f t="shared" si="66"/>
        <v>0.21869781228235421</v>
      </c>
      <c r="EB50" s="1"/>
      <c r="EC50" s="118" t="str">
        <f t="shared" ca="1" si="32"/>
        <v/>
      </c>
      <c r="ED50" s="119" t="str">
        <f t="shared" ca="1" si="33"/>
        <v/>
      </c>
      <c r="EE50" s="112" t="str">
        <f t="shared" ca="1" si="34"/>
        <v/>
      </c>
      <c r="EF50" s="120">
        <f ca="1">IF(BD50,_xll.xASN(BR50,Strike1,AO50,ED50,0,BO50,0,BI50,BL50,IF(OptControl=4,0,1),0),0)</f>
        <v>0</v>
      </c>
      <c r="EG50" s="111">
        <f ca="1">IF(BD50,_xll.xASN(BR50,Strike2,AO50,EE50,0,BO50,0,BI50,BL50,IF(OptControl=3,1,0),0),0)</f>
        <v>0</v>
      </c>
      <c r="EI50" s="483" t="str">
        <f>[1]!'CLc31 MTH'</f>
        <v>DEC4</v>
      </c>
      <c r="EJ50" s="484">
        <f t="shared" si="158"/>
        <v>38322</v>
      </c>
      <c r="EK50" s="485">
        <f>[1]!'CLc31 NET.CHNG'</f>
        <v>0</v>
      </c>
      <c r="EL50" s="486">
        <f t="shared" si="159"/>
        <v>0</v>
      </c>
      <c r="EM50" s="1"/>
      <c r="EN50" s="697">
        <v>39441</v>
      </c>
      <c r="EO50" s="698">
        <v>42005</v>
      </c>
      <c r="EP50" s="1"/>
      <c r="EQ50" s="683" t="s">
        <v>154</v>
      </c>
      <c r="ER50" s="53"/>
      <c r="ES50" s="498">
        <v>31</v>
      </c>
      <c r="ET50" s="476">
        <f t="shared" ca="1" si="165"/>
        <v>2.5270362765229293</v>
      </c>
      <c r="EU50" s="842">
        <f t="shared" ca="1" si="67"/>
        <v>0</v>
      </c>
      <c r="EV50" s="815">
        <f t="shared" ca="1" si="160"/>
        <v>0.20136046069454594</v>
      </c>
      <c r="EW50" s="478" t="str">
        <f t="shared" ca="1" si="161"/>
        <v/>
      </c>
      <c r="EX50" s="477" t="str">
        <f t="shared" ca="1" si="162"/>
        <v/>
      </c>
      <c r="EY50" s="250">
        <v>0</v>
      </c>
      <c r="EZ50" s="605" t="str">
        <f ca="1">IF(OR(EW50="",EW51=""),"",SQRT(SUM(INDEX(FK50:ID50,SwaptionFirstMonthPosition+1):INDEX(FK50:ID50,FJ50))/SUM(INDEX($FK$15:$ID$15,SwaptionFirstMonthPosition+1):INDEX($FK$15:$ID$15,FJ50))))</f>
        <v/>
      </c>
      <c r="FA50" s="581" t="str">
        <f ca="1">IF(OR(EW50="",EW49=""),"",SQRT(SUM(INDEX(FK50:ID50,SwaptionFirstMonthPosition+1):INDEX(FK50:ID50,FJ50-1))/SUM(INDEX($FK$15:$ID$15,SwaptionFirstMonthPosition+1):INDEX($FK$15:$ID$15,FJ50-1))))</f>
        <v/>
      </c>
      <c r="FB50" s="578" t="str">
        <f t="shared" ca="1" si="68"/>
        <v/>
      </c>
      <c r="FC50" s="609" t="str">
        <f t="shared" ca="1" si="69"/>
        <v/>
      </c>
      <c r="FD50" s="579" t="str">
        <f t="shared" ca="1" si="70"/>
        <v/>
      </c>
      <c r="FE50" s="579" t="str">
        <f t="shared" ca="1" si="71"/>
        <v/>
      </c>
      <c r="FF50" s="579" t="str">
        <f t="shared" ca="1" si="72"/>
        <v/>
      </c>
      <c r="FG50" s="580" t="str">
        <f t="shared" ca="1" si="73"/>
        <v/>
      </c>
      <c r="FH50" s="606" t="str">
        <f t="shared" ca="1" si="74"/>
        <v/>
      </c>
      <c r="FI50" s="250"/>
      <c r="FJ50" s="673">
        <v>31</v>
      </c>
      <c r="FK50" s="460">
        <f t="shared" ca="1" si="75"/>
        <v>0</v>
      </c>
      <c r="FL50" s="460">
        <f t="shared" ca="1" si="76"/>
        <v>2.2276130895439198E-3</v>
      </c>
      <c r="FM50" s="460">
        <f t="shared" ca="1" si="77"/>
        <v>2.596389465231567E-3</v>
      </c>
      <c r="FN50" s="460">
        <f t="shared" ca="1" si="78"/>
        <v>2.1924727558625145E-3</v>
      </c>
      <c r="FO50" s="460">
        <f t="shared" ca="1" si="79"/>
        <v>2.2892519290052035E-3</v>
      </c>
      <c r="FP50" s="460">
        <f t="shared" ca="1" si="80"/>
        <v>2.5481247601399069E-3</v>
      </c>
      <c r="FQ50" s="460">
        <f t="shared" ca="1" si="81"/>
        <v>2.073823962426911E-3</v>
      </c>
      <c r="FR50" s="460">
        <f t="shared" ca="1" si="82"/>
        <v>2.13344453287181E-3</v>
      </c>
      <c r="FS50" s="460">
        <f t="shared" ca="1" si="83"/>
        <v>2.4215635692635693E-3</v>
      </c>
      <c r="FT50" s="460">
        <f t="shared" ca="1" si="84"/>
        <v>2.203813492653747E-3</v>
      </c>
      <c r="FU50" s="460">
        <f t="shared" ca="1" si="85"/>
        <v>2.1396002794752209E-3</v>
      </c>
      <c r="FV50" s="460">
        <f t="shared" ca="1" si="86"/>
        <v>2.3784186280137658E-3</v>
      </c>
      <c r="FW50" s="460">
        <f t="shared" ca="1" si="87"/>
        <v>2.2530170428565546E-3</v>
      </c>
      <c r="FX50" s="460">
        <f t="shared" ca="1" si="88"/>
        <v>2.4357661192072034E-3</v>
      </c>
      <c r="FY50" s="460">
        <f t="shared" ca="1" si="89"/>
        <v>2.3220732801233052E-3</v>
      </c>
      <c r="FZ50" s="460">
        <f t="shared" ca="1" si="90"/>
        <v>2.2118141384690473E-3</v>
      </c>
      <c r="GA50" s="460">
        <f t="shared" ca="1" si="91"/>
        <v>2.4283226711247496E-3</v>
      </c>
      <c r="GB50" s="460">
        <f t="shared" ca="1" si="92"/>
        <v>2.7497825796885499E-3</v>
      </c>
      <c r="GC50" s="460">
        <f t="shared" ca="1" si="93"/>
        <v>2.5008755651902944E-3</v>
      </c>
      <c r="GD50" s="460">
        <f t="shared" ca="1" si="94"/>
        <v>2.604263150825487E-3</v>
      </c>
      <c r="GE50" s="460">
        <f t="shared" ca="1" si="95"/>
        <v>3.1083267332506158E-3</v>
      </c>
      <c r="GF50" s="460">
        <f t="shared" ca="1" si="96"/>
        <v>2.8894160270845535E-3</v>
      </c>
      <c r="GG50" s="460">
        <f t="shared" ca="1" si="97"/>
        <v>3.4062986210710009E-3</v>
      </c>
      <c r="GH50" s="460">
        <f t="shared" ca="1" si="98"/>
        <v>3.4520147046011034E-3</v>
      </c>
      <c r="GI50" s="460">
        <f t="shared" ca="1" si="99"/>
        <v>3.6576227197168331E-3</v>
      </c>
      <c r="GJ50" s="460">
        <f t="shared" ca="1" si="100"/>
        <v>4.6378792331130811E-3</v>
      </c>
      <c r="GK50" s="460">
        <f t="shared" ca="1" si="101"/>
        <v>4.7912321864371403E-3</v>
      </c>
      <c r="GL50" s="460">
        <f t="shared" ca="1" si="102"/>
        <v>5.3878726479492907E-3</v>
      </c>
      <c r="GM50" s="460">
        <f t="shared" ca="1" si="103"/>
        <v>6.8909648556588002E-3</v>
      </c>
      <c r="GN50" s="460">
        <f t="shared" ca="1" si="104"/>
        <v>8.5290715509753132E-3</v>
      </c>
      <c r="GO50" s="460">
        <f t="shared" ca="1" si="105"/>
        <v>1.1000171353681748E-2</v>
      </c>
      <c r="GP50" s="460" t="str">
        <f t="shared" si="106"/>
        <v/>
      </c>
      <c r="GQ50" s="460" t="str">
        <f t="shared" si="107"/>
        <v/>
      </c>
      <c r="GR50" s="460" t="str">
        <f t="shared" si="108"/>
        <v/>
      </c>
      <c r="GS50" s="460" t="str">
        <f t="shared" si="109"/>
        <v/>
      </c>
      <c r="GT50" s="460" t="str">
        <f t="shared" si="110"/>
        <v/>
      </c>
      <c r="GU50" s="460" t="str">
        <f t="shared" si="111"/>
        <v/>
      </c>
      <c r="GV50" s="460" t="str">
        <f t="shared" si="112"/>
        <v/>
      </c>
      <c r="GW50" s="460" t="str">
        <f t="shared" si="113"/>
        <v/>
      </c>
      <c r="GX50" s="460" t="str">
        <f t="shared" si="114"/>
        <v/>
      </c>
      <c r="GY50" s="460" t="str">
        <f t="shared" si="115"/>
        <v/>
      </c>
      <c r="GZ50" s="460" t="str">
        <f t="shared" si="116"/>
        <v/>
      </c>
      <c r="HA50" s="460" t="str">
        <f t="shared" si="117"/>
        <v/>
      </c>
      <c r="HB50" s="460" t="str">
        <f t="shared" si="118"/>
        <v/>
      </c>
      <c r="HC50" s="460" t="str">
        <f t="shared" si="119"/>
        <v/>
      </c>
      <c r="HD50" s="460" t="str">
        <f t="shared" si="120"/>
        <v/>
      </c>
      <c r="HE50" s="460" t="str">
        <f t="shared" si="121"/>
        <v/>
      </c>
      <c r="HF50" s="460" t="str">
        <f t="shared" si="122"/>
        <v/>
      </c>
      <c r="HG50" s="460" t="str">
        <f t="shared" si="123"/>
        <v/>
      </c>
      <c r="HH50" s="460" t="str">
        <f t="shared" si="124"/>
        <v/>
      </c>
      <c r="HI50" s="460" t="str">
        <f t="shared" si="125"/>
        <v/>
      </c>
      <c r="HJ50" s="460" t="str">
        <f t="shared" si="126"/>
        <v/>
      </c>
      <c r="HK50" s="460" t="str">
        <f t="shared" si="127"/>
        <v/>
      </c>
      <c r="HL50" s="460" t="str">
        <f t="shared" si="128"/>
        <v/>
      </c>
      <c r="HM50" s="460" t="str">
        <f t="shared" si="129"/>
        <v/>
      </c>
      <c r="HN50" s="460" t="str">
        <f t="shared" si="130"/>
        <v/>
      </c>
      <c r="HO50" s="460" t="str">
        <f t="shared" si="131"/>
        <v/>
      </c>
      <c r="HP50" s="460" t="str">
        <f t="shared" si="132"/>
        <v/>
      </c>
      <c r="HQ50" s="460" t="str">
        <f t="shared" si="133"/>
        <v/>
      </c>
      <c r="HR50" s="460" t="str">
        <f t="shared" si="134"/>
        <v/>
      </c>
      <c r="HS50" s="460" t="str">
        <f t="shared" si="135"/>
        <v/>
      </c>
      <c r="HT50" s="460" t="str">
        <f t="shared" si="136"/>
        <v/>
      </c>
      <c r="HU50" s="460" t="str">
        <f t="shared" si="137"/>
        <v/>
      </c>
      <c r="HV50" s="460" t="str">
        <f t="shared" si="138"/>
        <v/>
      </c>
      <c r="HW50" s="460" t="str">
        <f t="shared" si="139"/>
        <v/>
      </c>
      <c r="HX50" s="460" t="str">
        <f t="shared" si="140"/>
        <v/>
      </c>
      <c r="HY50" s="460" t="str">
        <f t="shared" si="141"/>
        <v/>
      </c>
      <c r="HZ50" s="460" t="str">
        <f t="shared" si="142"/>
        <v/>
      </c>
      <c r="IA50" s="460" t="str">
        <f t="shared" si="143"/>
        <v/>
      </c>
      <c r="IB50" s="460" t="str">
        <f t="shared" si="144"/>
        <v/>
      </c>
      <c r="IC50" s="460" t="str">
        <f t="shared" si="145"/>
        <v/>
      </c>
      <c r="ID50" s="674" t="str">
        <f t="shared" si="146"/>
        <v/>
      </c>
      <c r="IE50" s="250"/>
    </row>
    <row r="51" spans="1:239" ht="14.25" customHeight="1">
      <c r="A51" s="51"/>
      <c r="B51" s="51"/>
      <c r="C51" s="51"/>
      <c r="D51" s="51"/>
      <c r="E51" s="51"/>
      <c r="F51" s="51"/>
      <c r="G51" s="51"/>
      <c r="H51" s="51">
        <f t="shared" ca="1" si="35"/>
        <v>0</v>
      </c>
      <c r="I51" s="379">
        <f t="shared" si="36"/>
        <v>37712</v>
      </c>
      <c r="J51" s="377"/>
      <c r="K51" s="104" t="s">
        <v>269</v>
      </c>
      <c r="L51" s="392">
        <f t="shared" si="37"/>
        <v>0</v>
      </c>
      <c r="M51" s="171"/>
      <c r="N51" s="382">
        <v>0</v>
      </c>
      <c r="O51" s="171">
        <f t="shared" si="38"/>
        <v>0</v>
      </c>
      <c r="P51" s="377"/>
      <c r="Q51" s="104" t="s">
        <v>269</v>
      </c>
      <c r="R51" s="377">
        <f t="shared" ca="1" si="148"/>
        <v>0</v>
      </c>
      <c r="S51" s="832">
        <f t="shared" si="164"/>
        <v>0.36000714328360678</v>
      </c>
      <c r="T51" s="831">
        <f t="shared" si="149"/>
        <v>0.9991247643278004</v>
      </c>
      <c r="U51" s="545">
        <f t="shared" si="150"/>
        <v>0.99999799095148556</v>
      </c>
      <c r="V51" s="389">
        <v>0</v>
      </c>
      <c r="W51" s="434">
        <f t="shared" ref="W51:W82" si="166">(J52*AJ51+J53*AK51)/AI51</f>
        <v>0</v>
      </c>
      <c r="X51" s="415">
        <f t="shared" ref="X51:X82" si="167">(L52*AJ51+L53*AK51)/AI51</f>
        <v>0</v>
      </c>
      <c r="Y51" s="322">
        <f t="shared" ref="Y51:Y82" si="168">IF(Q53="extra",W51-AA51,(P52*AM51+P53*AN51)/AL51)</f>
        <v>0</v>
      </c>
      <c r="Z51" s="322">
        <f t="shared" ref="Z51:Z82" ca="1" si="169">IF(Q53="extra",X51-AB51,(R52*AM51+R53*AN51)/AL51)</f>
        <v>0</v>
      </c>
      <c r="AA51" s="429">
        <f t="shared" si="1"/>
        <v>0</v>
      </c>
      <c r="AB51" s="433">
        <f t="shared" ca="1" si="2"/>
        <v>0</v>
      </c>
      <c r="AC51" s="226">
        <v>37700</v>
      </c>
      <c r="AD51" s="229">
        <v>37696</v>
      </c>
      <c r="AE51" s="229">
        <v>37695</v>
      </c>
      <c r="AF51" s="229">
        <v>37691</v>
      </c>
      <c r="AG51" s="249" t="s">
        <v>90</v>
      </c>
      <c r="AH51" s="247" t="s">
        <v>90</v>
      </c>
      <c r="AI51" s="146">
        <v>22</v>
      </c>
      <c r="AJ51" s="41">
        <v>14</v>
      </c>
      <c r="AK51" s="41">
        <v>8</v>
      </c>
      <c r="AL51" s="293">
        <v>22</v>
      </c>
      <c r="AM51" s="41">
        <v>10</v>
      </c>
      <c r="AN51" s="147">
        <v>12</v>
      </c>
      <c r="AO51" s="374"/>
      <c r="AP51" s="153">
        <f t="shared" ca="1" si="43"/>
        <v>1</v>
      </c>
      <c r="AQ51" s="374"/>
      <c r="AR51" s="153">
        <f t="shared" ca="1" si="151"/>
        <v>1</v>
      </c>
      <c r="AS51" s="272">
        <f t="shared" ref="AS51:AS82" si="170">(O52*AJ51+O53*AK51)/AI51</f>
        <v>0</v>
      </c>
      <c r="AT51" s="157">
        <f t="shared" si="44"/>
        <v>0</v>
      </c>
      <c r="AU51" s="157">
        <f t="shared" si="4"/>
        <v>0</v>
      </c>
      <c r="AV51" s="271">
        <f t="shared" ca="1" si="163"/>
        <v>9.9999999999999995E-7</v>
      </c>
      <c r="AW51" s="158" t="str">
        <f t="shared" ref="AW51:AW82" ca="1" si="171">IF($I51-DateToday+15&gt;=$T$8,"",IF($I51-DateToday+15&lt;$T$5,1,MATCH($I51-DateToday+15,$T$5:$T$8)))</f>
        <v/>
      </c>
      <c r="AX51" s="157">
        <f t="shared" ca="1" si="152"/>
        <v>8.9840395013090855E-3</v>
      </c>
      <c r="AY51" s="157">
        <f t="shared" ca="1" si="153"/>
        <v>5.6567125760572604E-3</v>
      </c>
      <c r="AZ51" s="157">
        <f t="shared" ca="1" si="154"/>
        <v>2.4386980005472211E-3</v>
      </c>
      <c r="BA51" s="157">
        <f t="shared" ca="1" si="155"/>
        <v>3.0483725006840264E-4</v>
      </c>
      <c r="BB51" s="157">
        <f t="shared" ca="1" si="156"/>
        <v>2.2822249134041487E-4</v>
      </c>
      <c r="BC51" s="157">
        <f t="shared" ca="1" si="157"/>
        <v>1.8585149805853287E-4</v>
      </c>
      <c r="BD51" s="151">
        <f t="shared" ref="BD51:BD82" ca="1" si="172">IF(OR(DateStart&gt;=I52,DateEnd&lt;I51),0,IF(VolumeOverrideFlag,V51,Volume))</f>
        <v>0</v>
      </c>
      <c r="BE51" s="152">
        <f t="shared" ref="BE51:BE82" ca="1" si="173">IF(OR(DateStart2&gt;=I52,DateEnd2&lt;I51),0,IF(VolumeOverrideFlag,V51,VolumeSwaption))</f>
        <v>0</v>
      </c>
      <c r="BF51" s="40">
        <f t="shared" ref="BF51:BF82" si="174">YEAR(I51)</f>
        <v>2003</v>
      </c>
      <c r="BG51" s="144">
        <f t="shared" ref="BG51:BG82" si="175">MONTH(I51)</f>
        <v>4</v>
      </c>
      <c r="BH51" s="145">
        <f t="shared" ref="BH51:BH82" ca="1" si="176">AD51-DateToday+1</f>
        <v>951</v>
      </c>
      <c r="BI51" s="313">
        <f t="shared" ref="BI51:BI82" ca="1" si="177">(I51-DateToday+1)/365.25</f>
        <v>2.647501711156742</v>
      </c>
      <c r="BJ51" s="42">
        <f t="shared" ca="1" si="10"/>
        <v>2.6980275029556342</v>
      </c>
      <c r="BK51" s="42">
        <f t="shared" ref="BK51:BK82" ca="1" si="178">BJ51+1/365.25</f>
        <v>2.7007653537427663</v>
      </c>
      <c r="BL51" s="42">
        <f t="shared" ref="BL51:BL82" ca="1" si="179">(I52-DateToday)/365.25</f>
        <v>2.7268993839835729</v>
      </c>
      <c r="BM51" s="150" t="e">
        <f t="shared" ca="1" si="13"/>
        <v>#DIV/0!</v>
      </c>
      <c r="BN51" s="42" t="e">
        <f t="shared" ca="1" si="14"/>
        <v>#DIV/0!</v>
      </c>
      <c r="BO51" s="293">
        <f t="shared" si="48"/>
        <v>22</v>
      </c>
      <c r="BP51" s="41">
        <f t="shared" si="49"/>
        <v>14</v>
      </c>
      <c r="BQ51" s="41">
        <f t="shared" si="50"/>
        <v>8</v>
      </c>
      <c r="BR51" s="305" t="str">
        <f t="shared" ca="1" si="15"/>
        <v/>
      </c>
      <c r="BS51" s="305" t="str">
        <f t="shared" ref="BS51:BS82" ca="1" si="180">IF(BD51,Strike1/BR51-1,"")</f>
        <v/>
      </c>
      <c r="BT51" s="307" t="str">
        <f t="shared" ref="BT51:BT82" ca="1" si="181">IF(BD51,Strike2/BR51-1,"")</f>
        <v/>
      </c>
      <c r="BU51" s="161" t="str">
        <f t="shared" ca="1" si="18"/>
        <v/>
      </c>
      <c r="BV51" s="161" t="str">
        <f t="shared" ca="1" si="19"/>
        <v/>
      </c>
      <c r="BW51" s="308" t="str">
        <f t="shared" ca="1" si="20"/>
        <v/>
      </c>
      <c r="BX51" s="309" t="str">
        <f t="shared" ca="1" si="21"/>
        <v/>
      </c>
      <c r="BY51" s="308" t="str">
        <f t="shared" ca="1" si="51"/>
        <v/>
      </c>
      <c r="BZ51" s="309" t="str">
        <f t="shared" ca="1" si="52"/>
        <v/>
      </c>
      <c r="CA51" s="154" t="str">
        <f t="shared" ca="1" si="22"/>
        <v/>
      </c>
      <c r="CB51" s="154" t="str">
        <f t="shared" ca="1" si="23"/>
        <v/>
      </c>
      <c r="CC51" s="154" t="str">
        <f t="shared" ca="1" si="24"/>
        <v/>
      </c>
      <c r="CD51" s="154" t="str">
        <f t="shared" ca="1" si="25"/>
        <v/>
      </c>
      <c r="CE51" s="310">
        <v>1</v>
      </c>
      <c r="CF51" s="162">
        <f ca="1">IF(BD51,_xll.xCrudeAPO(BU51,BV51,CA51,CB51,S52,S53,BI51,BL51,BP51,BQ51,0,Strike1,AO51,CE51,0,BL51,IF(OptControl=4,0,1),0,1),0)</f>
        <v>0</v>
      </c>
      <c r="CG51" s="163">
        <f ca="1">IF(BD51,_xll.xCrudeAPO(BU51,BV51,CA51,CB51,S52,S53,BI51,BL51,BP51,BQ51,0,Strike1,AO51,CE51,0,BL51,IF(OptControl=4,0,1),1,1)+_xll.xCrudeAPO(BU51,BV51,CA51,CB51,S52,S53,BI51,BL51,BP51,BQ51,0,Strike1,AO51,CE51,0,BL51,IF(OptControl=4,0,1),1,2)+IF(OR(VolSkewFlag=2,ABS(BS51)&lt;0.0001),0,IF(BS51&gt;0,-1,1)*CH51*Strike1/BR51^2*BY51/10%),0)</f>
        <v>0</v>
      </c>
      <c r="CH51" s="163">
        <f ca="1">IF(BD51,(_xll.xCrudeAPO(BU51,BV51,CA51,CB51,S52,S53,BI51,BL51,BP51,BQ51,0,Strike1,AO51,CE51,0,BL51,IF(OptControl=4,0,1),3,1)+_xll.xCrudeAPO(BU51,BV51,CA51,CB51,S52,S53,BI51,BL51,BP51,BQ51,0,Strike1,AO51,CE51,0,BL51,IF(OptControl=4,0,1),3,2))/100,0)</f>
        <v>0</v>
      </c>
      <c r="CI51" s="163">
        <f ca="1">IF(BD51,_xll.xCrudeAPO(BU51,BV51,CA51,CB51,S52,S53,BI51-DaysForThetaCalculation/365.25,BL51-DaysForThetaCalculation/365.25,BP51,BQ51,0,Strike1,AO51,CE51,0,BL51,IF(OptControl=4,0,1),0,1)-_xll.xCrudeAPO(BU51,BV51,CA51,CB51,S52,S53,BI51,BL51,BP51,BQ51,0,Strike1,AO51,CE51,0,BL51,IF(OptControl=4,0,1),0,1),0)</f>
        <v>0</v>
      </c>
      <c r="CJ51" s="311">
        <f ca="1">IF(BD51,_xll.xCrudeAPO(BU51,BV51,CC51,CD51,S52,S53,BI51,BL51,BP51,BQ51,0,Strike2,AO51,CE51,0,BL51,IF(OptControl=3,1,0),0,1),0)</f>
        <v>0</v>
      </c>
      <c r="CK51" s="163">
        <f ca="1">IF(BD51,_xll.xCrudeAPO(BU51,BV51,CC51,CD51,S52,S53,BI51,BL51,BP51,BQ51,0,Strike2,AO51,CE51,0,BL51,IF(OptControl=3,1,0),1,1)+_xll.xCrudeAPO(BU51,BV51,CC51,CD51,S52,S53,BI51,BL51,BP51,BQ51,0,Strike2,AO51,CE51,0,BL51,IF(OptControl=3,1,0),1,2)+IF(OR(VolSkewFlag=2,ABS(BT51)&lt;0.0001),0,IF(BT51&gt;0,-1,1)*CL51*Strike2/BR51^2*BZ51/10%),0)</f>
        <v>0</v>
      </c>
      <c r="CL51" s="163">
        <f ca="1">IF(BD51,(_xll.xCrudeAPO(BU51,BV51,CC51,CD51,S52,S53,BI51,BL51,BP51,BQ51,0,Strike2,AO51,CE51,0,BL51,IF(OptControl=3,1,0),3,1)+_xll.xCrudeAPO(BU51,BV51,CC51,CD51,S52,S53,BI51,BL51,BP51,BQ51,0,Strike2,AO51,CE51,0,BL51,IF(OptControl=3,1,0),3,2))/100,0)</f>
        <v>0</v>
      </c>
      <c r="CM51" s="164">
        <f ca="1">IF(BD51,_xll.xCrudeAPO(BU51,BV51,CC51,CD51,S52,S53,BI51-DaysForThetaCalculation/365.25,BL51-DaysForThetaCalculation/365.25,BP51,BQ51,0,Strike2,AO51,CE51,0,BL51,IF(OptControl=3,1,0),0,1)-_xll.xCrudeAPO(BU51,BV51,CC51,CD51,S52,S53,BI51,BL51,BP51,BQ51,0,Strike2,AO51,CE51,0,BL51,IF(OptControl=3,1,0),0,1),0)</f>
        <v>0</v>
      </c>
      <c r="CN51" s="53"/>
      <c r="CO51" s="796" t="str">
        <f t="shared" ca="1" si="53"/>
        <v/>
      </c>
      <c r="CP51" s="800" t="str">
        <f t="shared" ca="1" si="54"/>
        <v/>
      </c>
      <c r="CQ51" s="797" t="str">
        <f t="shared" ca="1" si="55"/>
        <v/>
      </c>
      <c r="CR51" s="797" t="str">
        <f t="shared" ca="1" si="56"/>
        <v/>
      </c>
      <c r="CS51" s="797" t="str">
        <f t="shared" ca="1" si="57"/>
        <v/>
      </c>
      <c r="CT51" s="797" t="str">
        <f t="shared" ca="1" si="58"/>
        <v/>
      </c>
      <c r="CU51" s="798" t="str">
        <f t="shared" ca="1" si="59"/>
        <v/>
      </c>
      <c r="CV51" s="799" t="str">
        <f t="shared" ca="1" si="60"/>
        <v/>
      </c>
      <c r="CW51" s="799" t="str">
        <f t="shared" ca="1" si="61"/>
        <v/>
      </c>
      <c r="CX51" s="163">
        <f ca="1">IF(BD51,_xll.EURO(CP51,Strike1,AO51,AO51,CV51,CO51,IF(OptControl=4,0,1),0),0)</f>
        <v>0</v>
      </c>
      <c r="CY51" s="163">
        <f ca="1">IF(BD51,_xll.EURO(CP51,Strike1,AO51,AO51,CV51,CO51,IF(OptControl=4,0,1),1)+IF(OR(VolSkewFlag=2,ABS(CQ51)&lt;0.0001),0,IF(CQ51&gt;0,-1,1)*CZ51*100*Strike1/CP51^2*CS51/10%),0)</f>
        <v>0</v>
      </c>
      <c r="CZ51" s="163">
        <f ca="1">IF(BD51,_xll.EURO(CP51,Strike1,AO51,AO51,CV51,CO51,IF(OptControl=4,0,1),3)/100,0)</f>
        <v>0</v>
      </c>
      <c r="DA51" s="163">
        <f ca="1">IF(BD51,_xll.EURO(CP51,Strike1,AO51,AO51,CV51,CO51,IF(OptControl=4,0,1),0)-_xll.EURO(CP51,Strike1,AO51,AO51,CV51,CO51-1,IF(OptControl=4,0,1),0),0)</f>
        <v>0</v>
      </c>
      <c r="DB51" s="163">
        <f ca="1">IF(BD51,_xll.EURO(CP51,Strike2,AO51,AO51,CW51,CO51,IF(OptControl=3,1,0),0),0)</f>
        <v>0</v>
      </c>
      <c r="DC51" s="163">
        <f ca="1">IF(BD51,_xll.EURO(CP51,Strike2,AO51,AO51,CW51,CO51,IF(OptControl=3,1,0),1)+IF(OR(VolSkewFlag=2,ABS(CR51)&lt;0.0001),0,IF(CR51&gt;0,-1,1)*DD51*100*Strike2/CP51^2*CT51/10%),0)</f>
        <v>0</v>
      </c>
      <c r="DD51" s="163">
        <f ca="1">IF(BD51,_xll.EURO(CP51,Strike2,AO51,AO51,CW51,CO51,IF(OptControl=3,1,0),3)/100,0)</f>
        <v>0</v>
      </c>
      <c r="DE51" s="164">
        <f ca="1">IF(BD51,_xll.EURO(CP51,Strike2,AO51,AO51,CW51,CO51,IF(OptControl=3,1,0),0)-_xll.EURO(CP51,Strike2,AO51,AO51,CW51,CO51-1,IF(OptControl=3,1,0),0),0)</f>
        <v>0</v>
      </c>
      <c r="DG51" s="667">
        <f t="shared" ca="1" si="62"/>
        <v>37500</v>
      </c>
      <c r="DH51" s="475">
        <v>19.239999999999998</v>
      </c>
      <c r="DI51" s="665">
        <v>19.145714285714288</v>
      </c>
      <c r="DJ51" s="666">
        <f t="shared" ref="DJ51:DJ82" ca="1" si="182">DG51</f>
        <v>37500</v>
      </c>
      <c r="DK51" s="475">
        <v>18.106294753086427</v>
      </c>
      <c r="DL51" s="665">
        <v>18.012714285714289</v>
      </c>
      <c r="DM51" s="667">
        <f t="shared" ref="DM51:DM82" ca="1" si="183">DG51</f>
        <v>37500</v>
      </c>
      <c r="DN51" s="668">
        <f t="shared" ref="DN51:DN82" si="184">DK51+BrentPhyBrentSpread</f>
        <v>18.156294753086428</v>
      </c>
      <c r="DO51" s="667">
        <f t="shared" ca="1" si="63"/>
        <v>37500</v>
      </c>
      <c r="DP51" s="579">
        <f t="shared" si="64"/>
        <v>18.012714285714289</v>
      </c>
      <c r="DQ51" s="821">
        <v>0</v>
      </c>
      <c r="DR51" s="666">
        <f t="shared" ref="DR51:DR82" ca="1" si="185">DG51</f>
        <v>37500</v>
      </c>
      <c r="DS51" s="669">
        <v>0.21954845995785605</v>
      </c>
      <c r="DT51" s="606">
        <v>0.21688147924952744</v>
      </c>
      <c r="DU51" s="666">
        <f t="shared" ref="DU51:DU82" ca="1" si="186">DG51</f>
        <v>37500</v>
      </c>
      <c r="DV51" s="669">
        <v>0.21954845995785605</v>
      </c>
      <c r="DW51" s="606">
        <v>0.21688147924952744</v>
      </c>
      <c r="DX51" s="667">
        <f t="shared" ref="DX51:DX82" ca="1" si="187">DG51</f>
        <v>37500</v>
      </c>
      <c r="DY51" s="606">
        <v>0.35000000007450577</v>
      </c>
      <c r="DZ51" s="667">
        <f t="shared" ca="1" si="65"/>
        <v>37500</v>
      </c>
      <c r="EA51" s="606">
        <f t="shared" si="66"/>
        <v>0.21688147924952744</v>
      </c>
      <c r="EB51" s="1"/>
      <c r="EC51" s="118" t="str">
        <f t="shared" ref="EC51:EC82" ca="1" si="188">IF(BD51,IF(Underlying=1,AS51,AU51),"")</f>
        <v/>
      </c>
      <c r="ED51" s="119" t="str">
        <f t="shared" ca="1" si="33"/>
        <v/>
      </c>
      <c r="EE51" s="112" t="str">
        <f t="shared" ca="1" si="34"/>
        <v/>
      </c>
      <c r="EF51" s="120">
        <f ca="1">IF(BD51,_xll.xASN(BR51,Strike1,AO51,ED51,0,BO51,0,BI51,BL51,IF(OptControl=4,0,1),0),0)</f>
        <v>0</v>
      </c>
      <c r="EG51" s="111">
        <f ca="1">IF(BD51,_xll.xASN(BR51,Strike2,AO51,EE51,0,BO51,0,BI51,BL51,IF(OptControl=3,1,0),0),0)</f>
        <v>0</v>
      </c>
      <c r="EI51" s="483" t="str">
        <f>[1]!'CLc32 MTH'</f>
        <v>DEC5</v>
      </c>
      <c r="EJ51" s="484">
        <f t="shared" si="158"/>
        <v>38687</v>
      </c>
      <c r="EK51" s="485">
        <f>[1]!'CLc32 NET.CHNG'</f>
        <v>0</v>
      </c>
      <c r="EL51" s="486">
        <f t="shared" si="159"/>
        <v>0</v>
      </c>
      <c r="EM51" s="1"/>
      <c r="EN51" s="697">
        <v>39448</v>
      </c>
      <c r="EO51" s="698">
        <v>42363</v>
      </c>
      <c r="EP51" s="1"/>
      <c r="EQ51" s="683" t="s">
        <v>155</v>
      </c>
      <c r="ER51" s="53"/>
      <c r="ES51" s="498">
        <v>32</v>
      </c>
      <c r="ET51" s="476">
        <f t="shared" ca="1" si="165"/>
        <v>2.6036960985626285</v>
      </c>
      <c r="EU51" s="842">
        <f t="shared" ca="1" si="67"/>
        <v>0</v>
      </c>
      <c r="EV51" s="815">
        <f t="shared" ca="1" si="160"/>
        <v>0.1994802195258786</v>
      </c>
      <c r="EW51" s="478" t="str">
        <f t="shared" ca="1" si="161"/>
        <v/>
      </c>
      <c r="EX51" s="477" t="str">
        <f t="shared" ca="1" si="162"/>
        <v/>
      </c>
      <c r="EY51" s="250">
        <v>0</v>
      </c>
      <c r="EZ51" s="605" t="str">
        <f ca="1">IF(OR(EW51="",EW52=""),"",SQRT(SUM(INDEX(FK51:ID51,SwaptionFirstMonthPosition+1):INDEX(FK51:ID51,FJ51))/SUM(INDEX($FK$15:$ID$15,SwaptionFirstMonthPosition+1):INDEX($FK$15:$ID$15,FJ51))))</f>
        <v/>
      </c>
      <c r="FA51" s="581" t="str">
        <f ca="1">IF(OR(EW51="",EW50=""),"",SQRT(SUM(INDEX(FK51:ID51,SwaptionFirstMonthPosition+1):INDEX(FK51:ID51,FJ51-1))/SUM(INDEX($FK$15:$ID$15,SwaptionFirstMonthPosition+1):INDEX($FK$15:$ID$15,FJ51-1))))</f>
        <v/>
      </c>
      <c r="FB51" s="578" t="str">
        <f t="shared" ca="1" si="68"/>
        <v/>
      </c>
      <c r="FC51" s="609" t="str">
        <f t="shared" ca="1" si="69"/>
        <v/>
      </c>
      <c r="FD51" s="579" t="str">
        <f t="shared" ca="1" si="70"/>
        <v/>
      </c>
      <c r="FE51" s="579" t="str">
        <f t="shared" ca="1" si="71"/>
        <v/>
      </c>
      <c r="FF51" s="579" t="str">
        <f t="shared" ca="1" si="72"/>
        <v/>
      </c>
      <c r="FG51" s="580" t="str">
        <f t="shared" ca="1" si="73"/>
        <v/>
      </c>
      <c r="FH51" s="606" t="str">
        <f t="shared" ca="1" si="74"/>
        <v/>
      </c>
      <c r="FI51" s="250"/>
      <c r="FJ51" s="673">
        <v>32</v>
      </c>
      <c r="FK51" s="460">
        <f t="shared" ca="1" si="75"/>
        <v>0</v>
      </c>
      <c r="FL51" s="460">
        <f t="shared" ca="1" si="76"/>
        <v>2.2222874182147717E-3</v>
      </c>
      <c r="FM51" s="460">
        <f t="shared" ca="1" si="77"/>
        <v>2.5891294367724159E-3</v>
      </c>
      <c r="FN51" s="460">
        <f t="shared" ca="1" si="78"/>
        <v>2.1853024682632733E-3</v>
      </c>
      <c r="FO51" s="460">
        <f t="shared" ca="1" si="79"/>
        <v>2.2804954432773484E-3</v>
      </c>
      <c r="FP51" s="460">
        <f t="shared" ca="1" si="80"/>
        <v>2.5367251282251398E-3</v>
      </c>
      <c r="FQ51" s="460">
        <f t="shared" ca="1" si="81"/>
        <v>2.0629728087478414E-3</v>
      </c>
      <c r="FR51" s="460">
        <f t="shared" ca="1" si="82"/>
        <v>2.1203882585201545E-3</v>
      </c>
      <c r="FS51" s="460">
        <f t="shared" ca="1" si="83"/>
        <v>2.4042308113700222E-3</v>
      </c>
      <c r="FT51" s="460">
        <f t="shared" ca="1" si="84"/>
        <v>2.1853641660399166E-3</v>
      </c>
      <c r="FU51" s="460">
        <f t="shared" ca="1" si="85"/>
        <v>2.1186508493829834E-3</v>
      </c>
      <c r="FV51" s="460">
        <f t="shared" ca="1" si="86"/>
        <v>2.3511814725366547E-3</v>
      </c>
      <c r="FW51" s="460">
        <f t="shared" ca="1" si="87"/>
        <v>2.2228403380562646E-3</v>
      </c>
      <c r="FX51" s="460">
        <f t="shared" ca="1" si="88"/>
        <v>2.3976088919996108E-3</v>
      </c>
      <c r="FY51" s="460">
        <f t="shared" ca="1" si="89"/>
        <v>2.2795280350982839E-3</v>
      </c>
      <c r="FZ51" s="460">
        <f t="shared" ca="1" si="90"/>
        <v>2.1644163996831197E-3</v>
      </c>
      <c r="GA51" s="460">
        <f t="shared" ca="1" si="91"/>
        <v>2.3674602432194052E-3</v>
      </c>
      <c r="GB51" s="460">
        <f t="shared" ca="1" si="92"/>
        <v>2.6691751412633996E-3</v>
      </c>
      <c r="GC51" s="460">
        <f t="shared" ca="1" si="93"/>
        <v>2.4151317640548919E-3</v>
      </c>
      <c r="GD51" s="460">
        <f t="shared" ca="1" si="94"/>
        <v>2.4998321595701366E-3</v>
      </c>
      <c r="GE51" s="460">
        <f t="shared" ca="1" si="95"/>
        <v>2.9625443374129289E-3</v>
      </c>
      <c r="GF51" s="460">
        <f t="shared" ca="1" si="96"/>
        <v>2.730918539510976E-3</v>
      </c>
      <c r="GG51" s="460">
        <f t="shared" ca="1" si="97"/>
        <v>3.1877596424647481E-3</v>
      </c>
      <c r="GH51" s="460">
        <f t="shared" ca="1" si="98"/>
        <v>3.1929831258352176E-3</v>
      </c>
      <c r="GI51" s="460">
        <f t="shared" ca="1" si="99"/>
        <v>3.3366169287543522E-3</v>
      </c>
      <c r="GJ51" s="460">
        <f t="shared" ca="1" si="100"/>
        <v>4.1618131060073863E-3</v>
      </c>
      <c r="GK51" s="460">
        <f t="shared" ca="1" si="101"/>
        <v>4.2160188470741437E-3</v>
      </c>
      <c r="GL51" s="460">
        <f t="shared" ca="1" si="102"/>
        <v>4.6313308304676976E-3</v>
      </c>
      <c r="GM51" s="460">
        <f t="shared" ca="1" si="103"/>
        <v>5.7592694914995225E-3</v>
      </c>
      <c r="GN51" s="460">
        <f t="shared" ca="1" si="104"/>
        <v>6.8908028095293217E-3</v>
      </c>
      <c r="GO51" s="460">
        <f t="shared" ca="1" si="105"/>
        <v>8.5289211234215855E-3</v>
      </c>
      <c r="GP51" s="460">
        <f t="shared" ca="1" si="106"/>
        <v>9.9355072143087562E-3</v>
      </c>
      <c r="GQ51" s="460" t="str">
        <f t="shared" si="107"/>
        <v/>
      </c>
      <c r="GR51" s="460" t="str">
        <f t="shared" si="108"/>
        <v/>
      </c>
      <c r="GS51" s="460" t="str">
        <f t="shared" si="109"/>
        <v/>
      </c>
      <c r="GT51" s="460" t="str">
        <f t="shared" si="110"/>
        <v/>
      </c>
      <c r="GU51" s="460" t="str">
        <f t="shared" si="111"/>
        <v/>
      </c>
      <c r="GV51" s="460" t="str">
        <f t="shared" si="112"/>
        <v/>
      </c>
      <c r="GW51" s="460" t="str">
        <f t="shared" si="113"/>
        <v/>
      </c>
      <c r="GX51" s="460" t="str">
        <f t="shared" si="114"/>
        <v/>
      </c>
      <c r="GY51" s="460" t="str">
        <f t="shared" si="115"/>
        <v/>
      </c>
      <c r="GZ51" s="460" t="str">
        <f t="shared" si="116"/>
        <v/>
      </c>
      <c r="HA51" s="460" t="str">
        <f t="shared" si="117"/>
        <v/>
      </c>
      <c r="HB51" s="460" t="str">
        <f t="shared" si="118"/>
        <v/>
      </c>
      <c r="HC51" s="460" t="str">
        <f t="shared" si="119"/>
        <v/>
      </c>
      <c r="HD51" s="460" t="str">
        <f t="shared" si="120"/>
        <v/>
      </c>
      <c r="HE51" s="460" t="str">
        <f t="shared" si="121"/>
        <v/>
      </c>
      <c r="HF51" s="460" t="str">
        <f t="shared" si="122"/>
        <v/>
      </c>
      <c r="HG51" s="460" t="str">
        <f t="shared" si="123"/>
        <v/>
      </c>
      <c r="HH51" s="460" t="str">
        <f t="shared" si="124"/>
        <v/>
      </c>
      <c r="HI51" s="460" t="str">
        <f t="shared" si="125"/>
        <v/>
      </c>
      <c r="HJ51" s="460" t="str">
        <f t="shared" si="126"/>
        <v/>
      </c>
      <c r="HK51" s="460" t="str">
        <f t="shared" si="127"/>
        <v/>
      </c>
      <c r="HL51" s="460" t="str">
        <f t="shared" si="128"/>
        <v/>
      </c>
      <c r="HM51" s="460" t="str">
        <f t="shared" si="129"/>
        <v/>
      </c>
      <c r="HN51" s="460" t="str">
        <f t="shared" si="130"/>
        <v/>
      </c>
      <c r="HO51" s="460" t="str">
        <f t="shared" si="131"/>
        <v/>
      </c>
      <c r="HP51" s="460" t="str">
        <f t="shared" si="132"/>
        <v/>
      </c>
      <c r="HQ51" s="460" t="str">
        <f t="shared" si="133"/>
        <v/>
      </c>
      <c r="HR51" s="460" t="str">
        <f t="shared" si="134"/>
        <v/>
      </c>
      <c r="HS51" s="460" t="str">
        <f t="shared" si="135"/>
        <v/>
      </c>
      <c r="HT51" s="460" t="str">
        <f t="shared" si="136"/>
        <v/>
      </c>
      <c r="HU51" s="460" t="str">
        <f t="shared" si="137"/>
        <v/>
      </c>
      <c r="HV51" s="460" t="str">
        <f t="shared" si="138"/>
        <v/>
      </c>
      <c r="HW51" s="460" t="str">
        <f t="shared" si="139"/>
        <v/>
      </c>
      <c r="HX51" s="460" t="str">
        <f t="shared" si="140"/>
        <v/>
      </c>
      <c r="HY51" s="460" t="str">
        <f t="shared" si="141"/>
        <v/>
      </c>
      <c r="HZ51" s="460" t="str">
        <f t="shared" si="142"/>
        <v/>
      </c>
      <c r="IA51" s="460" t="str">
        <f t="shared" si="143"/>
        <v/>
      </c>
      <c r="IB51" s="460" t="str">
        <f t="shared" si="144"/>
        <v/>
      </c>
      <c r="IC51" s="460" t="str">
        <f t="shared" si="145"/>
        <v/>
      </c>
      <c r="ID51" s="674" t="str">
        <f t="shared" si="146"/>
        <v/>
      </c>
      <c r="IE51" s="250"/>
    </row>
    <row r="52" spans="1:239" ht="14.25" customHeight="1">
      <c r="A52" s="51"/>
      <c r="B52" s="51"/>
      <c r="C52" s="51"/>
      <c r="D52" s="51"/>
      <c r="E52" s="51"/>
      <c r="F52" s="51"/>
      <c r="G52" s="51"/>
      <c r="H52" s="51">
        <f t="shared" ca="1" si="35"/>
        <v>0</v>
      </c>
      <c r="I52" s="379">
        <f t="shared" si="36"/>
        <v>37742</v>
      </c>
      <c r="J52" s="377"/>
      <c r="K52" s="104" t="s">
        <v>269</v>
      </c>
      <c r="L52" s="392">
        <f t="shared" si="37"/>
        <v>0</v>
      </c>
      <c r="M52" s="171"/>
      <c r="N52" s="382">
        <v>0</v>
      </c>
      <c r="O52" s="171">
        <f t="shared" si="38"/>
        <v>0</v>
      </c>
      <c r="P52" s="377"/>
      <c r="Q52" s="104" t="s">
        <v>269</v>
      </c>
      <c r="R52" s="377">
        <f t="shared" ca="1" si="148"/>
        <v>0</v>
      </c>
      <c r="S52" s="832">
        <f t="shared" si="164"/>
        <v>0.36000535746270507</v>
      </c>
      <c r="T52" s="831">
        <f t="shared" si="149"/>
        <v>0.99925182619906061</v>
      </c>
      <c r="U52" s="545">
        <f t="shared" si="150"/>
        <v>0.99999849321361411</v>
      </c>
      <c r="V52" s="389">
        <v>0</v>
      </c>
      <c r="W52" s="434">
        <f t="shared" si="166"/>
        <v>0</v>
      </c>
      <c r="X52" s="415">
        <f t="shared" si="167"/>
        <v>0</v>
      </c>
      <c r="Y52" s="322">
        <f t="shared" si="168"/>
        <v>0</v>
      </c>
      <c r="Z52" s="322">
        <f t="shared" ca="1" si="169"/>
        <v>0</v>
      </c>
      <c r="AA52" s="429">
        <f t="shared" si="1"/>
        <v>0</v>
      </c>
      <c r="AB52" s="433">
        <f t="shared" ca="1" si="2"/>
        <v>0</v>
      </c>
      <c r="AC52" s="226">
        <v>37731</v>
      </c>
      <c r="AD52" s="229">
        <v>37727</v>
      </c>
      <c r="AE52" s="229">
        <v>37726</v>
      </c>
      <c r="AF52" s="229">
        <v>37722</v>
      </c>
      <c r="AG52" s="249" t="s">
        <v>90</v>
      </c>
      <c r="AH52" s="247" t="s">
        <v>90</v>
      </c>
      <c r="AI52" s="146">
        <v>22</v>
      </c>
      <c r="AJ52" s="41">
        <v>14</v>
      </c>
      <c r="AK52" s="41">
        <v>8</v>
      </c>
      <c r="AL52" s="293">
        <v>22</v>
      </c>
      <c r="AM52" s="41">
        <v>10</v>
      </c>
      <c r="AN52" s="147">
        <v>12</v>
      </c>
      <c r="AO52" s="374"/>
      <c r="AP52" s="153">
        <f t="shared" ca="1" si="43"/>
        <v>1</v>
      </c>
      <c r="AQ52" s="374"/>
      <c r="AR52" s="153">
        <f t="shared" ca="1" si="151"/>
        <v>1</v>
      </c>
      <c r="AS52" s="272">
        <f t="shared" si="170"/>
        <v>0</v>
      </c>
      <c r="AT52" s="157">
        <f t="shared" si="44"/>
        <v>0</v>
      </c>
      <c r="AU52" s="157">
        <f t="shared" si="4"/>
        <v>0</v>
      </c>
      <c r="AV52" s="271">
        <f t="shared" ca="1" si="163"/>
        <v>9.9999999999999995E-7</v>
      </c>
      <c r="AW52" s="158" t="str">
        <f t="shared" ca="1" si="171"/>
        <v/>
      </c>
      <c r="AX52" s="157">
        <f t="shared" ca="1" si="152"/>
        <v>8.6855511291579254E-3</v>
      </c>
      <c r="AY52" s="157">
        <f t="shared" ca="1" si="153"/>
        <v>5.4324157356664786E-3</v>
      </c>
      <c r="AZ52" s="157">
        <f t="shared" ca="1" si="154"/>
        <v>2.3018243991047272E-3</v>
      </c>
      <c r="BA52" s="157">
        <f t="shared" ca="1" si="155"/>
        <v>2.877280498880909E-4</v>
      </c>
      <c r="BB52" s="157">
        <f t="shared" ca="1" si="156"/>
        <v>2.0825639071632744E-4</v>
      </c>
      <c r="BC52" s="157">
        <f t="shared" ca="1" si="157"/>
        <v>1.655748613848086E-4</v>
      </c>
      <c r="BD52" s="151">
        <f t="shared" ca="1" si="172"/>
        <v>0</v>
      </c>
      <c r="BE52" s="152">
        <f t="shared" ca="1" si="173"/>
        <v>0</v>
      </c>
      <c r="BF52" s="40">
        <f t="shared" si="174"/>
        <v>2003</v>
      </c>
      <c r="BG52" s="144">
        <f t="shared" si="175"/>
        <v>5</v>
      </c>
      <c r="BH52" s="145">
        <f t="shared" ca="1" si="176"/>
        <v>982</v>
      </c>
      <c r="BI52" s="313">
        <f t="shared" ca="1" si="177"/>
        <v>2.729637234770705</v>
      </c>
      <c r="BJ52" s="42">
        <f t="shared" ca="1" si="10"/>
        <v>2.7819052952523178</v>
      </c>
      <c r="BK52" s="42">
        <f t="shared" ca="1" si="178"/>
        <v>2.7846431460394498</v>
      </c>
      <c r="BL52" s="42">
        <f t="shared" ca="1" si="179"/>
        <v>2.8117727583846679</v>
      </c>
      <c r="BM52" s="150" t="e">
        <f t="shared" ca="1" si="13"/>
        <v>#DIV/0!</v>
      </c>
      <c r="BN52" s="42" t="e">
        <f t="shared" ca="1" si="14"/>
        <v>#DIV/0!</v>
      </c>
      <c r="BO52" s="293">
        <f t="shared" si="48"/>
        <v>22</v>
      </c>
      <c r="BP52" s="41">
        <f t="shared" si="49"/>
        <v>14</v>
      </c>
      <c r="BQ52" s="41">
        <f t="shared" si="50"/>
        <v>8</v>
      </c>
      <c r="BR52" s="305" t="str">
        <f t="shared" ca="1" si="15"/>
        <v/>
      </c>
      <c r="BS52" s="305" t="str">
        <f t="shared" ca="1" si="180"/>
        <v/>
      </c>
      <c r="BT52" s="307" t="str">
        <f t="shared" ca="1" si="181"/>
        <v/>
      </c>
      <c r="BU52" s="161" t="str">
        <f t="shared" ca="1" si="18"/>
        <v/>
      </c>
      <c r="BV52" s="161" t="str">
        <f t="shared" ca="1" si="19"/>
        <v/>
      </c>
      <c r="BW52" s="308" t="str">
        <f t="shared" ca="1" si="20"/>
        <v/>
      </c>
      <c r="BX52" s="309" t="str">
        <f t="shared" ca="1" si="21"/>
        <v/>
      </c>
      <c r="BY52" s="308" t="str">
        <f t="shared" ca="1" si="51"/>
        <v/>
      </c>
      <c r="BZ52" s="309" t="str">
        <f t="shared" ca="1" si="52"/>
        <v/>
      </c>
      <c r="CA52" s="154" t="str">
        <f t="shared" ca="1" si="22"/>
        <v/>
      </c>
      <c r="CB52" s="154" t="str">
        <f t="shared" ca="1" si="23"/>
        <v/>
      </c>
      <c r="CC52" s="154" t="str">
        <f t="shared" ca="1" si="24"/>
        <v/>
      </c>
      <c r="CD52" s="154" t="str">
        <f t="shared" ca="1" si="25"/>
        <v/>
      </c>
      <c r="CE52" s="310">
        <v>1</v>
      </c>
      <c r="CF52" s="162">
        <f ca="1">IF(BD52,_xll.xCrudeAPO(BU52,BV52,CA52,CB52,S53,S54,BI52,BL52,BP52,BQ52,0,Strike1,AO52,CE52,0,BL52,IF(OptControl=4,0,1),0,1),0)</f>
        <v>0</v>
      </c>
      <c r="CG52" s="163">
        <f ca="1">IF(BD52,_xll.xCrudeAPO(BU52,BV52,CA52,CB52,S53,S54,BI52,BL52,BP52,BQ52,0,Strike1,AO52,CE52,0,BL52,IF(OptControl=4,0,1),1,1)+_xll.xCrudeAPO(BU52,BV52,CA52,CB52,S53,S54,BI52,BL52,BP52,BQ52,0,Strike1,AO52,CE52,0,BL52,IF(OptControl=4,0,1),1,2)+IF(OR(VolSkewFlag=2,ABS(BS52)&lt;0.0001),0,IF(BS52&gt;0,-1,1)*CH52*Strike1/BR52^2*BY52/10%),0)</f>
        <v>0</v>
      </c>
      <c r="CH52" s="163">
        <f ca="1">IF(BD52,(_xll.xCrudeAPO(BU52,BV52,CA52,CB52,S53,S54,BI52,BL52,BP52,BQ52,0,Strike1,AO52,CE52,0,BL52,IF(OptControl=4,0,1),3,1)+_xll.xCrudeAPO(BU52,BV52,CA52,CB52,S53,S54,BI52,BL52,BP52,BQ52,0,Strike1,AO52,CE52,0,BL52,IF(OptControl=4,0,1),3,2))/100,0)</f>
        <v>0</v>
      </c>
      <c r="CI52" s="163">
        <f ca="1">IF(BD52,_xll.xCrudeAPO(BU52,BV52,CA52,CB52,S53,S54,BI52-DaysForThetaCalculation/365.25,BL52-DaysForThetaCalculation/365.25,BP52,BQ52,0,Strike1,AO52,CE52,0,BL52,IF(OptControl=4,0,1),0,1)-_xll.xCrudeAPO(BU52,BV52,CA52,CB52,S53,S54,BI52,BL52,BP52,BQ52,0,Strike1,AO52,CE52,0,BL52,IF(OptControl=4,0,1),0,1),0)</f>
        <v>0</v>
      </c>
      <c r="CJ52" s="311">
        <f ca="1">IF(BD52,_xll.xCrudeAPO(BU52,BV52,CC52,CD52,S53,S54,BI52,BL52,BP52,BQ52,0,Strike2,AO52,CE52,0,BL52,IF(OptControl=3,1,0),0,1),0)</f>
        <v>0</v>
      </c>
      <c r="CK52" s="163">
        <f ca="1">IF(BD52,_xll.xCrudeAPO(BU52,BV52,CC52,CD52,S53,S54,BI52,BL52,BP52,BQ52,0,Strike2,AO52,CE52,0,BL52,IF(OptControl=3,1,0),1,1)+_xll.xCrudeAPO(BU52,BV52,CC52,CD52,S53,S54,BI52,BL52,BP52,BQ52,0,Strike2,AO52,CE52,0,BL52,IF(OptControl=3,1,0),1,2)+IF(OR(VolSkewFlag=2,ABS(BT52)&lt;0.0001),0,IF(BT52&gt;0,-1,1)*CL52*Strike2/BR52^2*BZ52/10%),0)</f>
        <v>0</v>
      </c>
      <c r="CL52" s="163">
        <f ca="1">IF(BD52,(_xll.xCrudeAPO(BU52,BV52,CC52,CD52,S53,S54,BI52,BL52,BP52,BQ52,0,Strike2,AO52,CE52,0,BL52,IF(OptControl=3,1,0),3,1)+_xll.xCrudeAPO(BU52,BV52,CC52,CD52,S53,S54,BI52,BL52,BP52,BQ52,0,Strike2,AO52,CE52,0,BL52,IF(OptControl=3,1,0),3,2))/100,0)</f>
        <v>0</v>
      </c>
      <c r="CM52" s="164">
        <f ca="1">IF(BD52,_xll.xCrudeAPO(BU52,BV52,CC52,CD52,S53,S54,BI52-DaysForThetaCalculation/365.25,BL52-DaysForThetaCalculation/365.25,BP52,BQ52,0,Strike2,AO52,CE52,0,BL52,IF(OptControl=3,1,0),0,1)-_xll.xCrudeAPO(BU52,BV52,CC52,CD52,S53,S54,BI52,BL52,BP52,BQ52,0,Strike2,AO52,CE52,0,BL52,IF(OptControl=3,1,0),0,1),0)</f>
        <v>0</v>
      </c>
      <c r="CN52" s="53"/>
      <c r="CO52" s="796" t="str">
        <f t="shared" ca="1" si="53"/>
        <v/>
      </c>
      <c r="CP52" s="800" t="str">
        <f t="shared" ca="1" si="54"/>
        <v/>
      </c>
      <c r="CQ52" s="797" t="str">
        <f t="shared" ca="1" si="55"/>
        <v/>
      </c>
      <c r="CR52" s="797" t="str">
        <f t="shared" ca="1" si="56"/>
        <v/>
      </c>
      <c r="CS52" s="797" t="str">
        <f t="shared" ca="1" si="57"/>
        <v/>
      </c>
      <c r="CT52" s="797" t="str">
        <f t="shared" ca="1" si="58"/>
        <v/>
      </c>
      <c r="CU52" s="798" t="str">
        <f t="shared" ca="1" si="59"/>
        <v/>
      </c>
      <c r="CV52" s="799" t="str">
        <f t="shared" ca="1" si="60"/>
        <v/>
      </c>
      <c r="CW52" s="799" t="str">
        <f t="shared" ca="1" si="61"/>
        <v/>
      </c>
      <c r="CX52" s="163">
        <f ca="1">IF(BD52,_xll.EURO(CP52,Strike1,AO52,AO52,CV52,CO52,IF(OptControl=4,0,1),0),0)</f>
        <v>0</v>
      </c>
      <c r="CY52" s="163">
        <f ca="1">IF(BD52,_xll.EURO(CP52,Strike1,AO52,AO52,CV52,CO52,IF(OptControl=4,0,1),1)+IF(OR(VolSkewFlag=2,ABS(CQ52)&lt;0.0001),0,IF(CQ52&gt;0,-1,1)*CZ52*100*Strike1/CP52^2*CS52/10%),0)</f>
        <v>0</v>
      </c>
      <c r="CZ52" s="163">
        <f ca="1">IF(BD52,_xll.EURO(CP52,Strike1,AO52,AO52,CV52,CO52,IF(OptControl=4,0,1),3)/100,0)</f>
        <v>0</v>
      </c>
      <c r="DA52" s="163">
        <f ca="1">IF(BD52,_xll.EURO(CP52,Strike1,AO52,AO52,CV52,CO52,IF(OptControl=4,0,1),0)-_xll.EURO(CP52,Strike1,AO52,AO52,CV52,CO52-1,IF(OptControl=4,0,1),0),0)</f>
        <v>0</v>
      </c>
      <c r="DB52" s="163">
        <f ca="1">IF(BD52,_xll.EURO(CP52,Strike2,AO52,AO52,CW52,CO52,IF(OptControl=3,1,0),0),0)</f>
        <v>0</v>
      </c>
      <c r="DC52" s="163">
        <f ca="1">IF(BD52,_xll.EURO(CP52,Strike2,AO52,AO52,CW52,CO52,IF(OptControl=3,1,0),1)+IF(OR(VolSkewFlag=2,ABS(CR52)&lt;0.0001),0,IF(CR52&gt;0,-1,1)*DD52*100*Strike2/CP52^2*CT52/10%),0)</f>
        <v>0</v>
      </c>
      <c r="DD52" s="163">
        <f ca="1">IF(BD52,_xll.EURO(CP52,Strike2,AO52,AO52,CW52,CO52,IF(OptControl=3,1,0),3)/100,0)</f>
        <v>0</v>
      </c>
      <c r="DE52" s="164">
        <f ca="1">IF(BD52,_xll.EURO(CP52,Strike2,AO52,AO52,CW52,CO52,IF(OptControl=3,1,0),0)-_xll.EURO(CP52,Strike2,AO52,AO52,CW52,CO52-1,IF(OptControl=3,1,0),0),0)</f>
        <v>0</v>
      </c>
      <c r="DG52" s="667">
        <f t="shared" ca="1" si="62"/>
        <v>37530</v>
      </c>
      <c r="DH52" s="475">
        <v>19.166666666666668</v>
      </c>
      <c r="DI52" s="665">
        <v>19.071014492753626</v>
      </c>
      <c r="DJ52" s="666">
        <f t="shared" ca="1" si="182"/>
        <v>37530</v>
      </c>
      <c r="DK52" s="475">
        <v>18.054371913580244</v>
      </c>
      <c r="DL52" s="665">
        <v>18.004014492753626</v>
      </c>
      <c r="DM52" s="667">
        <f t="shared" ca="1" si="183"/>
        <v>37530</v>
      </c>
      <c r="DN52" s="668">
        <f t="shared" si="184"/>
        <v>18.104371913580245</v>
      </c>
      <c r="DO52" s="667">
        <f t="shared" ca="1" si="63"/>
        <v>37530</v>
      </c>
      <c r="DP52" s="579">
        <f t="shared" si="64"/>
        <v>18.004014492753626</v>
      </c>
      <c r="DQ52" s="821">
        <v>0</v>
      </c>
      <c r="DR52" s="666">
        <f t="shared" ca="1" si="185"/>
        <v>37530</v>
      </c>
      <c r="DS52" s="669">
        <v>0.21720917885022606</v>
      </c>
      <c r="DT52" s="606">
        <v>0.21531347333640236</v>
      </c>
      <c r="DU52" s="666">
        <f t="shared" ca="1" si="186"/>
        <v>37530</v>
      </c>
      <c r="DV52" s="669">
        <v>0.21720917885022606</v>
      </c>
      <c r="DW52" s="606">
        <v>0.21531347333640236</v>
      </c>
      <c r="DX52" s="667">
        <f t="shared" ca="1" si="187"/>
        <v>37530</v>
      </c>
      <c r="DY52" s="606">
        <v>0.35000000003725285</v>
      </c>
      <c r="DZ52" s="667">
        <f t="shared" ca="1" si="65"/>
        <v>37530</v>
      </c>
      <c r="EA52" s="606">
        <f t="shared" si="66"/>
        <v>0.21531347333640236</v>
      </c>
      <c r="EB52" s="1"/>
      <c r="EC52" s="118" t="str">
        <f t="shared" ca="1" si="188"/>
        <v/>
      </c>
      <c r="ED52" s="119" t="str">
        <f t="shared" ca="1" si="33"/>
        <v/>
      </c>
      <c r="EE52" s="112" t="str">
        <f t="shared" ca="1" si="34"/>
        <v/>
      </c>
      <c r="EF52" s="120">
        <f ca="1">IF(BD52,_xll.xASN(BR52,Strike1,AO52,ED52,0,BO52,0,BI52,BL52,IF(OptControl=4,0,1),0),0)</f>
        <v>0</v>
      </c>
      <c r="EG52" s="111">
        <f ca="1">IF(BD52,_xll.xASN(BR52,Strike2,AO52,EE52,0,BO52,0,BI52,BL52,IF(OptControl=3,1,0),0),0)</f>
        <v>0</v>
      </c>
      <c r="EI52" s="483" t="str">
        <f>[1]!'CLc33 MTH'</f>
        <v>DEC6</v>
      </c>
      <c r="EJ52" s="484">
        <f t="shared" si="158"/>
        <v>39052</v>
      </c>
      <c r="EK52" s="485">
        <f>[1]!'CLc33 NET.CHNG'</f>
        <v>0</v>
      </c>
      <c r="EL52" s="486">
        <f t="shared" si="159"/>
        <v>0</v>
      </c>
      <c r="EM52" s="1"/>
      <c r="EN52" s="697">
        <v>39633</v>
      </c>
      <c r="EO52" s="698">
        <v>42370</v>
      </c>
      <c r="EP52" s="1"/>
      <c r="EQ52" s="683" t="s">
        <v>156</v>
      </c>
      <c r="ES52" s="498">
        <v>33</v>
      </c>
      <c r="ET52" s="476">
        <f t="shared" ca="1" si="165"/>
        <v>2.6885694729637235</v>
      </c>
      <c r="EU52" s="842">
        <f t="shared" ref="EU52:EU83" ca="1" si="189">O52^2*ET52</f>
        <v>0</v>
      </c>
      <c r="EV52" s="815">
        <f t="shared" ca="1" si="160"/>
        <v>0.19859109359227015</v>
      </c>
      <c r="EW52" s="478" t="str">
        <f t="shared" ca="1" si="161"/>
        <v/>
      </c>
      <c r="EX52" s="477" t="str">
        <f t="shared" ca="1" si="162"/>
        <v/>
      </c>
      <c r="EY52" s="250">
        <v>0</v>
      </c>
      <c r="EZ52" s="605" t="str">
        <f ca="1">IF(OR(EW52="",EW53=""),"",SQRT(SUM(INDEX(FK52:ID52,SwaptionFirstMonthPosition+1):INDEX(FK52:ID52,FJ52))/SUM(INDEX($FK$15:$ID$15,SwaptionFirstMonthPosition+1):INDEX($FK$15:$ID$15,FJ52))))</f>
        <v/>
      </c>
      <c r="FA52" s="581" t="str">
        <f ca="1">IF(OR(EW52="",EW51=""),"",SQRT(SUM(INDEX(FK52:ID52,SwaptionFirstMonthPosition+1):INDEX(FK52:ID52,FJ52-1))/SUM(INDEX($FK$15:$ID$15,SwaptionFirstMonthPosition+1):INDEX($FK$15:$ID$15,FJ52-1))))</f>
        <v/>
      </c>
      <c r="FB52" s="578" t="str">
        <f t="shared" ref="FB52:FB83" ca="1" si="190">IF(BE52,2/3*EZ53+1/3*FA54,"")</f>
        <v/>
      </c>
      <c r="FC52" s="609" t="str">
        <f t="shared" ref="FC52:FC83" ca="1" si="191">IF(BE52,(I53+I52-1)/2-DateToday,"")</f>
        <v/>
      </c>
      <c r="FD52" s="579" t="str">
        <f t="shared" ref="FD52:FD83" ca="1" si="192">IF(BE52,CHOOSE(Underlying,X52,Z52)+SwaptionUnderlyingPrice-$D$26,"")</f>
        <v/>
      </c>
      <c r="FE52" s="579" t="str">
        <f t="shared" ref="FE52:FE83" ca="1" si="193">IF(BE52,CollartionFloor/FD52-1,"")</f>
        <v/>
      </c>
      <c r="FF52" s="579" t="str">
        <f t="shared" ref="FF52:FF83" ca="1" si="194">IF(BE52,CollartionCap/FD52-1,"")</f>
        <v/>
      </c>
      <c r="FG52" s="580" t="str">
        <f t="shared" ref="FG52:FG83" ca="1" si="195">IF(BE52,IF(VolSkewFlag=1,IF(FE52&gt;0,$BA52*MIN(FE52/10%,1)+($BB52-$BA52)*MAX(0,MIN(FE52/10%-1,1))+($BC52-$BB52)*MAX(0,FE52/10%-2),$AZ52*MIN(-FE52/10%,1)+($AY52-$AZ52)*MAX(0,MIN(-FE52/10%-1,1))+($AX52-$AY52)*MAX(0,-FE52/10%-2)),0),"")</f>
        <v/>
      </c>
      <c r="FH52" s="606" t="str">
        <f t="shared" ref="FH52:FH83" ca="1" si="196">IF(BE52,IF(VolSkewFlag=1,IF(FF52&gt;0,$BA52*MIN(FF52/10%,1)+($BB52-$BA52)*MAX(0,MIN(FF52/10%-1,1))+($BC52-$BB52)*MAX(0,FF52/10%-2),$AZ52*MIN(-FF52/10%,1)+($AY52-$AZ52)*MAX(0,MIN(-FF52/10%-1,1))+($AX52-$AY52)*MAX(0,-FF52/10%-2)),0),"")</f>
        <v/>
      </c>
      <c r="FI52" s="250"/>
      <c r="FJ52" s="673">
        <v>33</v>
      </c>
      <c r="FK52" s="460">
        <f t="shared" ref="FK52:FK83" ca="1" si="197">IF(FK$19&gt;$FJ52,"",MAX(0,IF(FK$19=$FJ52,$S52^2*FK$15,FK51*INDEX($T$20:$T$91,$FJ52-FK$19)^2/INDEX($U$20:$U$91,$FJ52-FK$19))))</f>
        <v>0</v>
      </c>
      <c r="FL52" s="460">
        <f t="shared" ref="FL52:FL83" ca="1" si="198">IF(FL$19&gt;$FJ52,"",MAX(0,IF(FL$19=$FJ52,$S52^2*FL$15,FL51*INDEX($T$20:$T$91,$FJ52-FL$19)^2/INDEX($U$20:$U$91,$FJ52-FL$19))))</f>
        <v>2.2177448553974198E-3</v>
      </c>
      <c r="FM52" s="460">
        <f t="shared" ref="FM52:FM83" ca="1" si="199">IF(FM$19&gt;$FJ52,"",MAX(0,IF(FM$19=$FJ52,$S52^2*FM$15,FM51*INDEX($T$20:$T$91,$FJ52-FM$19)^2/INDEX($U$20:$U$91,$FJ52-FM$19))))</f>
        <v>2.582939469370269E-3</v>
      </c>
      <c r="FN52" s="460">
        <f t="shared" ref="FN52:FN83" ca="1" si="200">IF(FN$19&gt;$FJ52,"",MAX(0,IF(FN$19=$FJ52,$S52^2*FN$15,FN51*INDEX($T$20:$T$91,$FJ52-FN$19)^2/INDEX($U$20:$U$91,$FJ52-FN$19))))</f>
        <v>2.1791919219358064E-3</v>
      </c>
      <c r="FO52" s="460">
        <f t="shared" ref="FO52:FO83" ca="1" si="201">IF(FO$19&gt;$FJ52,"",MAX(0,IF(FO$19=$FJ52,$S52^2*FO$15,FO51*INDEX($T$20:$T$91,$FJ52-FO$19)^2/INDEX($U$20:$U$91,$FJ52-FO$19))))</f>
        <v>2.2730372852895996E-3</v>
      </c>
      <c r="FP52" s="460">
        <f t="shared" ref="FP52:FP83" ca="1" si="202">IF(FP$19&gt;$FJ52,"",MAX(0,IF(FP$19=$FJ52,$S52^2*FP$15,FP51*INDEX($T$20:$T$91,$FJ52-FP$19)^2/INDEX($U$20:$U$91,$FJ52-FP$19))))</f>
        <v>2.5270220470136077E-3</v>
      </c>
      <c r="FQ52" s="460">
        <f t="shared" ref="FQ52:FQ83" ca="1" si="203">IF(FQ$19&gt;$FJ52,"",MAX(0,IF(FQ$19=$FJ52,$S52^2*FQ$15,FQ51*INDEX($T$20:$T$91,$FJ52-FQ$19)^2/INDEX($U$20:$U$91,$FJ52-FQ$19))))</f>
        <v>2.0537436175254273E-3</v>
      </c>
      <c r="FR52" s="460">
        <f t="shared" ref="FR52:FR83" ca="1" si="204">IF(FR$19&gt;$FJ52,"",MAX(0,IF(FR$19=$FJ52,$S52^2*FR$15,FR51*INDEX($T$20:$T$91,$FJ52-FR$19)^2/INDEX($U$20:$U$91,$FJ52-FR$19))))</f>
        <v>2.1092934600853001E-3</v>
      </c>
      <c r="FS52" s="460">
        <f t="shared" ref="FS52:FS83" ca="1" si="205">IF(FS$19&gt;$FJ52,"",MAX(0,IF(FS$19=$FJ52,$S52^2*FS$15,FS51*INDEX($T$20:$T$91,$FJ52-FS$19)^2/INDEX($U$20:$U$91,$FJ52-FS$19))))</f>
        <v>2.3895173765493393E-3</v>
      </c>
      <c r="FT52" s="460">
        <f t="shared" ref="FT52:FT83" ca="1" si="206">IF(FT$19&gt;$FJ52,"",MAX(0,IF(FT$19=$FJ52,$S52^2*FT$15,FT51*INDEX($T$20:$T$91,$FJ52-FT$19)^2/INDEX($U$20:$U$91,$FJ52-FT$19))))</f>
        <v>2.1697220460146628E-3</v>
      </c>
      <c r="FU52" s="460">
        <f t="shared" ref="FU52:FU83" ca="1" si="207">IF(FU$19&gt;$FJ52,"",MAX(0,IF(FU$19=$FJ52,$S52^2*FU$15,FU51*INDEX($T$20:$T$91,$FJ52-FU$19)^2/INDEX($U$20:$U$91,$FJ52-FU$19))))</f>
        <v>2.1009144657773691E-3</v>
      </c>
      <c r="FV52" s="460">
        <f t="shared" ref="FV52:FV83" ca="1" si="208">IF(FV$19&gt;$FJ52,"",MAX(0,IF(FV$19=$FJ52,$S52^2*FV$15,FV51*INDEX($T$20:$T$91,$FJ52-FV$19)^2/INDEX($U$20:$U$91,$FJ52-FV$19))))</f>
        <v>2.3281603912788263E-3</v>
      </c>
      <c r="FW52" s="460">
        <f t="shared" ref="FW52:FW83" ca="1" si="209">IF(FW$19&gt;$FJ52,"",MAX(0,IF(FW$19=$FJ52,$S52^2*FW$15,FW51*INDEX($T$20:$T$91,$FJ52-FW$19)^2/INDEX($U$20:$U$91,$FJ52-FW$19))))</f>
        <v>2.197384832799399E-3</v>
      </c>
      <c r="FX52" s="460">
        <f t="shared" ref="FX52:FX83" ca="1" si="210">IF(FX$19&gt;$FJ52,"",MAX(0,IF(FX$19=$FJ52,$S52^2*FX$15,FX51*INDEX($T$20:$T$91,$FJ52-FX$19)^2/INDEX($U$20:$U$91,$FJ52-FX$19))))</f>
        <v>2.3654955371584562E-3</v>
      </c>
      <c r="FY52" s="460">
        <f t="shared" ref="FY52:FY83" ca="1" si="211">IF(FY$19&gt;$FJ52,"",MAX(0,IF(FY$19=$FJ52,$S52^2*FY$15,FY51*INDEX($T$20:$T$91,$FJ52-FY$19)^2/INDEX($U$20:$U$91,$FJ52-FY$19))))</f>
        <v>2.2438183384753448E-3</v>
      </c>
      <c r="FZ52" s="460">
        <f t="shared" ref="FZ52:FZ83" ca="1" si="212">IF(FZ$19&gt;$FJ52,"",MAX(0,IF(FZ$19=$FJ52,$S52^2*FZ$15,FZ51*INDEX($T$20:$T$91,$FJ52-FZ$19)^2/INDEX($U$20:$U$91,$FJ52-FZ$19))))</f>
        <v>2.1247597588488552E-3</v>
      </c>
      <c r="GA52" s="460">
        <f t="shared" ref="GA52:GA83" ca="1" si="213">IF(GA$19&gt;$FJ52,"",MAX(0,IF(GA$19=$FJ52,$S52^2*GA$15,GA51*INDEX($T$20:$T$91,$FJ52-GA$19)^2/INDEX($U$20:$U$91,$FJ52-GA$19))))</f>
        <v>2.3167271096153977E-3</v>
      </c>
      <c r="GB52" s="460">
        <f t="shared" ref="GB52:GB83" ca="1" si="214">IF(GB$19&gt;$FJ52,"",MAX(0,IF(GB$19=$FJ52,$S52^2*GB$15,GB51*INDEX($T$20:$T$91,$FJ52-GB$19)^2/INDEX($U$20:$U$91,$FJ52-GB$19))))</f>
        <v>2.6022760913415716E-3</v>
      </c>
      <c r="GC52" s="460">
        <f t="shared" ref="GC52:GC83" ca="1" si="215">IF(GC$19&gt;$FJ52,"",MAX(0,IF(GC$19=$FJ52,$S52^2*GC$15,GC51*INDEX($T$20:$T$91,$FJ52-GC$19)^2/INDEX($U$20:$U$91,$FJ52-GC$19))))</f>
        <v>2.3443343175957869E-3</v>
      </c>
      <c r="GD52" s="460">
        <f t="shared" ref="GD52:GD83" ca="1" si="216">IF(GD$19&gt;$FJ52,"",MAX(0,IF(GD$19=$FJ52,$S52^2*GD$15,GD51*INDEX($T$20:$T$91,$FJ52-GD$19)^2/INDEX($U$20:$U$91,$FJ52-GD$19))))</f>
        <v>2.4141241321314522E-3</v>
      </c>
      <c r="GE52" s="460">
        <f t="shared" ref="GE52:GE83" ca="1" si="217">IF(GE$19&gt;$FJ52,"",MAX(0,IF(GE$19=$FJ52,$S52^2*GE$15,GE51*INDEX($T$20:$T$91,$FJ52-GE$19)^2/INDEX($U$20:$U$91,$FJ52-GE$19))))</f>
        <v>2.843746265222762E-3</v>
      </c>
      <c r="GF52" s="460">
        <f t="shared" ref="GF52:GF83" ca="1" si="218">IF(GF$19&gt;$FJ52,"",MAX(0,IF(GF$19=$FJ52,$S52^2*GF$15,GF51*INDEX($T$20:$T$91,$FJ52-GF$19)^2/INDEX($U$20:$U$91,$FJ52-GF$19))))</f>
        <v>2.6028368152608609E-3</v>
      </c>
      <c r="GG52" s="460">
        <f t="shared" ref="GG52:GG83" ca="1" si="219">IF(GG$19&gt;$FJ52,"",MAX(0,IF(GG$19=$FJ52,$S52^2*GG$15,GG51*INDEX($T$20:$T$91,$FJ52-GG$19)^2/INDEX($U$20:$U$91,$FJ52-GG$19))))</f>
        <v>3.0128966633772708E-3</v>
      </c>
      <c r="GH52" s="460">
        <f t="shared" ref="GH52:GH83" ca="1" si="220">IF(GH$19&gt;$FJ52,"",MAX(0,IF(GH$19=$FJ52,$S52^2*GH$15,GH51*INDEX($T$20:$T$91,$FJ52-GH$19)^2/INDEX($U$20:$U$91,$FJ52-GH$19))))</f>
        <v>2.988129896963689E-3</v>
      </c>
      <c r="GI52" s="460">
        <f t="shared" ref="GI52:GI83" ca="1" si="221">IF(GI$19&gt;$FJ52,"",MAX(0,IF(GI$19=$FJ52,$S52^2*GI$15,GI51*INDEX($T$20:$T$91,$FJ52-GI$19)^2/INDEX($U$20:$U$91,$FJ52-GI$19))))</f>
        <v>3.0862445448707515E-3</v>
      </c>
      <c r="GJ52" s="460">
        <f t="shared" ref="GJ52:GJ83" ca="1" si="222">IF(GJ$19&gt;$FJ52,"",MAX(0,IF(GJ$19=$FJ52,$S52^2*GJ$15,GJ51*INDEX($T$20:$T$91,$FJ52-GJ$19)^2/INDEX($U$20:$U$91,$FJ52-GJ$19))))</f>
        <v>3.7965577994033889E-3</v>
      </c>
      <c r="GK52" s="460">
        <f t="shared" ref="GK52:GK83" ca="1" si="223">IF(GK$19&gt;$FJ52,"",MAX(0,IF(GK$19=$FJ52,$S52^2*GK$15,GK51*INDEX($T$20:$T$91,$FJ52-GK$19)^2/INDEX($U$20:$U$91,$FJ52-GK$19))))</f>
        <v>3.7832555810535279E-3</v>
      </c>
      <c r="GL52" s="460">
        <f t="shared" ref="GL52:GL83" ca="1" si="224">IF(GL$19&gt;$FJ52,"",MAX(0,IF(GL$19=$FJ52,$S52^2*GL$15,GL51*INDEX($T$20:$T$91,$FJ52-GL$19)^2/INDEX($U$20:$U$91,$FJ52-GL$19))))</f>
        <v>4.075314513782128E-3</v>
      </c>
      <c r="GM52" s="460">
        <f t="shared" ref="GM52:GM83" ca="1" si="225">IF(GM$19&gt;$FJ52,"",MAX(0,IF(GM$19=$FJ52,$S52^2*GM$15,GM51*INDEX($T$20:$T$91,$FJ52-GM$19)^2/INDEX($U$20:$U$91,$FJ52-GM$19))))</f>
        <v>4.9505777325872672E-3</v>
      </c>
      <c r="GN52" s="460">
        <f t="shared" ref="GN52:GN83" ca="1" si="226">IF(GN$19&gt;$FJ52,"",MAX(0,IF(GN$19=$FJ52,$S52^2*GN$15,GN51*INDEX($T$20:$T$91,$FJ52-GN$19)^2/INDEX($U$20:$U$91,$FJ52-GN$19))))</f>
        <v>5.7591340580226058E-3</v>
      </c>
      <c r="GO52" s="460">
        <f t="shared" ref="GO52:GO83" ca="1" si="227">IF(GO$19&gt;$FJ52,"",MAX(0,IF(GO$19=$FJ52,$S52^2*GO$15,GO51*INDEX($T$20:$T$91,$FJ52-GO$19)^2/INDEX($U$20:$U$91,$FJ52-GO$19))))</f>
        <v>6.8906812761826185E-3</v>
      </c>
      <c r="GP52" s="460">
        <f t="shared" ref="GP52:GP83" ca="1" si="228">IF(GP$19&gt;$FJ52,"",MAX(0,IF(GP$19=$FJ52,$S52^2*GP$15,GP51*INDEX($T$20:$T$91,$FJ52-GP$19)^2/INDEX($U$20:$U$91,$FJ52-GP$19))))</f>
        <v>7.70343975811462E-3</v>
      </c>
      <c r="GQ52" s="460">
        <f t="shared" ref="GQ52:GQ83" ca="1" si="229">IF(GQ$19&gt;$FJ52,"",MAX(0,IF(GQ$19=$FJ52,$S52^2*GQ$15,GQ51*INDEX($T$20:$T$91,$FJ52-GQ$19)^2/INDEX($U$20:$U$91,$FJ52-GQ$19))))</f>
        <v>1.0999916713093345E-2</v>
      </c>
      <c r="GR52" s="460" t="str">
        <f t="shared" ref="GR52:GR83" si="230">IF(GR$19&gt;$FJ52,"",MAX(0,IF(GR$19=$FJ52,$S52^2*GR$15,GR51*INDEX($T$20:$T$91,$FJ52-GR$19)^2/INDEX($U$20:$U$91,$FJ52-GR$19))))</f>
        <v/>
      </c>
      <c r="GS52" s="460" t="str">
        <f t="shared" ref="GS52:GS83" si="231">IF(GS$19&gt;$FJ52,"",MAX(0,IF(GS$19=$FJ52,$S52^2*GS$15,GS51*INDEX($T$20:$T$91,$FJ52-GS$19)^2/INDEX($U$20:$U$91,$FJ52-GS$19))))</f>
        <v/>
      </c>
      <c r="GT52" s="460" t="str">
        <f t="shared" ref="GT52:GT83" si="232">IF(GT$19&gt;$FJ52,"",MAX(0,IF(GT$19=$FJ52,$S52^2*GT$15,GT51*INDEX($T$20:$T$91,$FJ52-GT$19)^2/INDEX($U$20:$U$91,$FJ52-GT$19))))</f>
        <v/>
      </c>
      <c r="GU52" s="460" t="str">
        <f t="shared" ref="GU52:GU83" si="233">IF(GU$19&gt;$FJ52,"",MAX(0,IF(GU$19=$FJ52,$S52^2*GU$15,GU51*INDEX($T$20:$T$91,$FJ52-GU$19)^2/INDEX($U$20:$U$91,$FJ52-GU$19))))</f>
        <v/>
      </c>
      <c r="GV52" s="460" t="str">
        <f t="shared" ref="GV52:GV83" si="234">IF(GV$19&gt;$FJ52,"",MAX(0,IF(GV$19=$FJ52,$S52^2*GV$15,GV51*INDEX($T$20:$T$91,$FJ52-GV$19)^2/INDEX($U$20:$U$91,$FJ52-GV$19))))</f>
        <v/>
      </c>
      <c r="GW52" s="460" t="str">
        <f t="shared" ref="GW52:GW83" si="235">IF(GW$19&gt;$FJ52,"",MAX(0,IF(GW$19=$FJ52,$S52^2*GW$15,GW51*INDEX($T$20:$T$91,$FJ52-GW$19)^2/INDEX($U$20:$U$91,$FJ52-GW$19))))</f>
        <v/>
      </c>
      <c r="GX52" s="460" t="str">
        <f t="shared" ref="GX52:GX83" si="236">IF(GX$19&gt;$FJ52,"",MAX(0,IF(GX$19=$FJ52,$S52^2*GX$15,GX51*INDEX($T$20:$T$91,$FJ52-GX$19)^2/INDEX($U$20:$U$91,$FJ52-GX$19))))</f>
        <v/>
      </c>
      <c r="GY52" s="460" t="str">
        <f t="shared" ref="GY52:GY83" si="237">IF(GY$19&gt;$FJ52,"",MAX(0,IF(GY$19=$FJ52,$S52^2*GY$15,GY51*INDEX($T$20:$T$91,$FJ52-GY$19)^2/INDEX($U$20:$U$91,$FJ52-GY$19))))</f>
        <v/>
      </c>
      <c r="GZ52" s="460" t="str">
        <f t="shared" ref="GZ52:GZ83" si="238">IF(GZ$19&gt;$FJ52,"",MAX(0,IF(GZ$19=$FJ52,$S52^2*GZ$15,GZ51*INDEX($T$20:$T$91,$FJ52-GZ$19)^2/INDEX($U$20:$U$91,$FJ52-GZ$19))))</f>
        <v/>
      </c>
      <c r="HA52" s="460" t="str">
        <f t="shared" ref="HA52:HA83" si="239">IF(HA$19&gt;$FJ52,"",MAX(0,IF(HA$19=$FJ52,$S52^2*HA$15,HA51*INDEX($T$20:$T$91,$FJ52-HA$19)^2/INDEX($U$20:$U$91,$FJ52-HA$19))))</f>
        <v/>
      </c>
      <c r="HB52" s="460" t="str">
        <f t="shared" ref="HB52:HB83" si="240">IF(HB$19&gt;$FJ52,"",MAX(0,IF(HB$19=$FJ52,$S52^2*HB$15,HB51*INDEX($T$20:$T$91,$FJ52-HB$19)^2/INDEX($U$20:$U$91,$FJ52-HB$19))))</f>
        <v/>
      </c>
      <c r="HC52" s="460" t="str">
        <f t="shared" ref="HC52:HC83" si="241">IF(HC$19&gt;$FJ52,"",MAX(0,IF(HC$19=$FJ52,$S52^2*HC$15,HC51*INDEX($T$20:$T$91,$FJ52-HC$19)^2/INDEX($U$20:$U$91,$FJ52-HC$19))))</f>
        <v/>
      </c>
      <c r="HD52" s="460" t="str">
        <f t="shared" ref="HD52:HD83" si="242">IF(HD$19&gt;$FJ52,"",MAX(0,IF(HD$19=$FJ52,$S52^2*HD$15,HD51*INDEX($T$20:$T$91,$FJ52-HD$19)^2/INDEX($U$20:$U$91,$FJ52-HD$19))))</f>
        <v/>
      </c>
      <c r="HE52" s="460" t="str">
        <f t="shared" ref="HE52:HE83" si="243">IF(HE$19&gt;$FJ52,"",MAX(0,IF(HE$19=$FJ52,$S52^2*HE$15,HE51*INDEX($T$20:$T$91,$FJ52-HE$19)^2/INDEX($U$20:$U$91,$FJ52-HE$19))))</f>
        <v/>
      </c>
      <c r="HF52" s="460" t="str">
        <f t="shared" ref="HF52:HF83" si="244">IF(HF$19&gt;$FJ52,"",MAX(0,IF(HF$19=$FJ52,$S52^2*HF$15,HF51*INDEX($T$20:$T$91,$FJ52-HF$19)^2/INDEX($U$20:$U$91,$FJ52-HF$19))))</f>
        <v/>
      </c>
      <c r="HG52" s="460" t="str">
        <f t="shared" ref="HG52:HG83" si="245">IF(HG$19&gt;$FJ52,"",MAX(0,IF(HG$19=$FJ52,$S52^2*HG$15,HG51*INDEX($T$20:$T$91,$FJ52-HG$19)^2/INDEX($U$20:$U$91,$FJ52-HG$19))))</f>
        <v/>
      </c>
      <c r="HH52" s="460" t="str">
        <f t="shared" ref="HH52:HH83" si="246">IF(HH$19&gt;$FJ52,"",MAX(0,IF(HH$19=$FJ52,$S52^2*HH$15,HH51*INDEX($T$20:$T$91,$FJ52-HH$19)^2/INDEX($U$20:$U$91,$FJ52-HH$19))))</f>
        <v/>
      </c>
      <c r="HI52" s="460" t="str">
        <f t="shared" ref="HI52:HI83" si="247">IF(HI$19&gt;$FJ52,"",MAX(0,IF(HI$19=$FJ52,$S52^2*HI$15,HI51*INDEX($T$20:$T$91,$FJ52-HI$19)^2/INDEX($U$20:$U$91,$FJ52-HI$19))))</f>
        <v/>
      </c>
      <c r="HJ52" s="460" t="str">
        <f t="shared" ref="HJ52:HJ83" si="248">IF(HJ$19&gt;$FJ52,"",MAX(0,IF(HJ$19=$FJ52,$S52^2*HJ$15,HJ51*INDEX($T$20:$T$91,$FJ52-HJ$19)^2/INDEX($U$20:$U$91,$FJ52-HJ$19))))</f>
        <v/>
      </c>
      <c r="HK52" s="460" t="str">
        <f t="shared" ref="HK52:HK83" si="249">IF(HK$19&gt;$FJ52,"",MAX(0,IF(HK$19=$FJ52,$S52^2*HK$15,HK51*INDEX($T$20:$T$91,$FJ52-HK$19)^2/INDEX($U$20:$U$91,$FJ52-HK$19))))</f>
        <v/>
      </c>
      <c r="HL52" s="460" t="str">
        <f t="shared" ref="HL52:HL83" si="250">IF(HL$19&gt;$FJ52,"",MAX(0,IF(HL$19=$FJ52,$S52^2*HL$15,HL51*INDEX($T$20:$T$91,$FJ52-HL$19)^2/INDEX($U$20:$U$91,$FJ52-HL$19))))</f>
        <v/>
      </c>
      <c r="HM52" s="460" t="str">
        <f t="shared" ref="HM52:HM83" si="251">IF(HM$19&gt;$FJ52,"",MAX(0,IF(HM$19=$FJ52,$S52^2*HM$15,HM51*INDEX($T$20:$T$91,$FJ52-HM$19)^2/INDEX($U$20:$U$91,$FJ52-HM$19))))</f>
        <v/>
      </c>
      <c r="HN52" s="460" t="str">
        <f t="shared" ref="HN52:HN83" si="252">IF(HN$19&gt;$FJ52,"",MAX(0,IF(HN$19=$FJ52,$S52^2*HN$15,HN51*INDEX($T$20:$T$91,$FJ52-HN$19)^2/INDEX($U$20:$U$91,$FJ52-HN$19))))</f>
        <v/>
      </c>
      <c r="HO52" s="460" t="str">
        <f t="shared" ref="HO52:HO83" si="253">IF(HO$19&gt;$FJ52,"",MAX(0,IF(HO$19=$FJ52,$S52^2*HO$15,HO51*INDEX($T$20:$T$91,$FJ52-HO$19)^2/INDEX($U$20:$U$91,$FJ52-HO$19))))</f>
        <v/>
      </c>
      <c r="HP52" s="460" t="str">
        <f t="shared" ref="HP52:HP83" si="254">IF(HP$19&gt;$FJ52,"",MAX(0,IF(HP$19=$FJ52,$S52^2*HP$15,HP51*INDEX($T$20:$T$91,$FJ52-HP$19)^2/INDEX($U$20:$U$91,$FJ52-HP$19))))</f>
        <v/>
      </c>
      <c r="HQ52" s="460" t="str">
        <f t="shared" ref="HQ52:HQ83" si="255">IF(HQ$19&gt;$FJ52,"",MAX(0,IF(HQ$19=$FJ52,$S52^2*HQ$15,HQ51*INDEX($T$20:$T$91,$FJ52-HQ$19)^2/INDEX($U$20:$U$91,$FJ52-HQ$19))))</f>
        <v/>
      </c>
      <c r="HR52" s="460" t="str">
        <f t="shared" ref="HR52:HR83" si="256">IF(HR$19&gt;$FJ52,"",MAX(0,IF(HR$19=$FJ52,$S52^2*HR$15,HR51*INDEX($T$20:$T$91,$FJ52-HR$19)^2/INDEX($U$20:$U$91,$FJ52-HR$19))))</f>
        <v/>
      </c>
      <c r="HS52" s="460" t="str">
        <f t="shared" ref="HS52:HS83" si="257">IF(HS$19&gt;$FJ52,"",MAX(0,IF(HS$19=$FJ52,$S52^2*HS$15,HS51*INDEX($T$20:$T$91,$FJ52-HS$19)^2/INDEX($U$20:$U$91,$FJ52-HS$19))))</f>
        <v/>
      </c>
      <c r="HT52" s="460" t="str">
        <f t="shared" ref="HT52:HT83" si="258">IF(HT$19&gt;$FJ52,"",MAX(0,IF(HT$19=$FJ52,$S52^2*HT$15,HT51*INDEX($T$20:$T$91,$FJ52-HT$19)^2/INDEX($U$20:$U$91,$FJ52-HT$19))))</f>
        <v/>
      </c>
      <c r="HU52" s="460" t="str">
        <f t="shared" ref="HU52:HU83" si="259">IF(HU$19&gt;$FJ52,"",MAX(0,IF(HU$19=$FJ52,$S52^2*HU$15,HU51*INDEX($T$20:$T$91,$FJ52-HU$19)^2/INDEX($U$20:$U$91,$FJ52-HU$19))))</f>
        <v/>
      </c>
      <c r="HV52" s="460" t="str">
        <f t="shared" ref="HV52:HV83" si="260">IF(HV$19&gt;$FJ52,"",MAX(0,IF(HV$19=$FJ52,$S52^2*HV$15,HV51*INDEX($T$20:$T$91,$FJ52-HV$19)^2/INDEX($U$20:$U$91,$FJ52-HV$19))))</f>
        <v/>
      </c>
      <c r="HW52" s="460" t="str">
        <f t="shared" ref="HW52:HW83" si="261">IF(HW$19&gt;$FJ52,"",MAX(0,IF(HW$19=$FJ52,$S52^2*HW$15,HW51*INDEX($T$20:$T$91,$FJ52-HW$19)^2/INDEX($U$20:$U$91,$FJ52-HW$19))))</f>
        <v/>
      </c>
      <c r="HX52" s="460" t="str">
        <f t="shared" ref="HX52:HX83" si="262">IF(HX$19&gt;$FJ52,"",MAX(0,IF(HX$19=$FJ52,$S52^2*HX$15,HX51*INDEX($T$20:$T$91,$FJ52-HX$19)^2/INDEX($U$20:$U$91,$FJ52-HX$19))))</f>
        <v/>
      </c>
      <c r="HY52" s="460" t="str">
        <f t="shared" ref="HY52:HY83" si="263">IF(HY$19&gt;$FJ52,"",MAX(0,IF(HY$19=$FJ52,$S52^2*HY$15,HY51*INDEX($T$20:$T$91,$FJ52-HY$19)^2/INDEX($U$20:$U$91,$FJ52-HY$19))))</f>
        <v/>
      </c>
      <c r="HZ52" s="460" t="str">
        <f t="shared" ref="HZ52:HZ83" si="264">IF(HZ$19&gt;$FJ52,"",MAX(0,IF(HZ$19=$FJ52,$S52^2*HZ$15,HZ51*INDEX($T$20:$T$91,$FJ52-HZ$19)^2/INDEX($U$20:$U$91,$FJ52-HZ$19))))</f>
        <v/>
      </c>
      <c r="IA52" s="460" t="str">
        <f t="shared" ref="IA52:IA83" si="265">IF(IA$19&gt;$FJ52,"",MAX(0,IF(IA$19=$FJ52,$S52^2*IA$15,IA51*INDEX($T$20:$T$91,$FJ52-IA$19)^2/INDEX($U$20:$U$91,$FJ52-IA$19))))</f>
        <v/>
      </c>
      <c r="IB52" s="460" t="str">
        <f t="shared" ref="IB52:IB83" si="266">IF(IB$19&gt;$FJ52,"",MAX(0,IF(IB$19=$FJ52,$S52^2*IB$15,IB51*INDEX($T$20:$T$91,$FJ52-IB$19)^2/INDEX($U$20:$U$91,$FJ52-IB$19))))</f>
        <v/>
      </c>
      <c r="IC52" s="460" t="str">
        <f t="shared" ref="IC52:IC83" si="267">IF(IC$19&gt;$FJ52,"",MAX(0,IF(IC$19=$FJ52,$S52^2*IC$15,IC51*INDEX($T$20:$T$91,$FJ52-IC$19)^2/INDEX($U$20:$U$91,$FJ52-IC$19))))</f>
        <v/>
      </c>
      <c r="ID52" s="674" t="str">
        <f t="shared" ref="ID52:ID83" si="268">IF(ID$19&gt;$FJ52,"",MAX(0,IF(ID$19=$FJ52,$S52^2*ID$15,ID51*INDEX($T$20:$T$91,$FJ52-ID$19)^2/INDEX($U$20:$U$91,$FJ52-ID$19))))</f>
        <v/>
      </c>
      <c r="IE52" s="250"/>
    </row>
    <row r="53" spans="1:239">
      <c r="A53" s="51"/>
      <c r="B53" s="51"/>
      <c r="C53" s="51"/>
      <c r="D53" s="51"/>
      <c r="E53" s="51"/>
      <c r="F53" s="51"/>
      <c r="G53" s="51"/>
      <c r="H53" s="51">
        <f t="shared" ca="1" si="35"/>
        <v>0</v>
      </c>
      <c r="I53" s="379">
        <f t="shared" si="36"/>
        <v>37773</v>
      </c>
      <c r="J53" s="377"/>
      <c r="K53" s="104" t="s">
        <v>269</v>
      </c>
      <c r="L53" s="392">
        <f t="shared" si="37"/>
        <v>0</v>
      </c>
      <c r="M53" s="171"/>
      <c r="N53" s="382">
        <v>0</v>
      </c>
      <c r="O53" s="171">
        <f t="shared" si="38"/>
        <v>0</v>
      </c>
      <c r="P53" s="377"/>
      <c r="Q53" s="104" t="s">
        <v>269</v>
      </c>
      <c r="R53" s="377">
        <f t="shared" ca="1" si="148"/>
        <v>0</v>
      </c>
      <c r="S53" s="832">
        <f t="shared" si="164"/>
        <v>0.36000401809702881</v>
      </c>
      <c r="T53" s="831">
        <f t="shared" si="149"/>
        <v>0.99936042503690481</v>
      </c>
      <c r="U53" s="545">
        <f t="shared" si="150"/>
        <v>0.99999886991021059</v>
      </c>
      <c r="V53" s="389">
        <v>0</v>
      </c>
      <c r="W53" s="434">
        <f t="shared" si="166"/>
        <v>0</v>
      </c>
      <c r="X53" s="415">
        <f t="shared" si="167"/>
        <v>0</v>
      </c>
      <c r="Y53" s="322">
        <f t="shared" si="168"/>
        <v>-1.2284999999999999</v>
      </c>
      <c r="Z53" s="322">
        <f t="shared" ca="1" si="169"/>
        <v>-1.2284999999999999</v>
      </c>
      <c r="AA53" s="429">
        <f t="shared" si="1"/>
        <v>1.2284999999999999</v>
      </c>
      <c r="AB53" s="433">
        <f t="shared" ca="1" si="2"/>
        <v>1.2284999999999999</v>
      </c>
      <c r="AC53" s="226">
        <v>37761</v>
      </c>
      <c r="AD53" s="229">
        <v>37757</v>
      </c>
      <c r="AE53" s="229">
        <v>37756</v>
      </c>
      <c r="AF53" s="229">
        <v>37752</v>
      </c>
      <c r="AG53" s="249" t="s">
        <v>498</v>
      </c>
      <c r="AH53" s="247" t="s">
        <v>497</v>
      </c>
      <c r="AI53" s="146">
        <v>21</v>
      </c>
      <c r="AJ53" s="41">
        <v>15</v>
      </c>
      <c r="AK53" s="41">
        <v>6</v>
      </c>
      <c r="AL53" s="293">
        <v>21</v>
      </c>
      <c r="AM53" s="41">
        <v>10</v>
      </c>
      <c r="AN53" s="147">
        <v>11</v>
      </c>
      <c r="AO53" s="374"/>
      <c r="AP53" s="153">
        <f t="shared" ca="1" si="43"/>
        <v>1</v>
      </c>
      <c r="AQ53" s="374"/>
      <c r="AR53" s="153">
        <f t="shared" ca="1" si="151"/>
        <v>1</v>
      </c>
      <c r="AS53" s="272">
        <f t="shared" si="170"/>
        <v>0</v>
      </c>
      <c r="AT53" s="157">
        <f t="shared" si="44"/>
        <v>0</v>
      </c>
      <c r="AU53" s="157">
        <f t="shared" si="4"/>
        <v>0</v>
      </c>
      <c r="AV53" s="271">
        <f t="shared" ca="1" si="163"/>
        <v>9.9999999999999995E-7</v>
      </c>
      <c r="AW53" s="158" t="str">
        <f t="shared" ca="1" si="171"/>
        <v/>
      </c>
      <c r="AX53" s="157">
        <f t="shared" ca="1" si="152"/>
        <v>8.3969798225201654E-3</v>
      </c>
      <c r="AY53" s="157">
        <f t="shared" ca="1" si="153"/>
        <v>5.2170125896136817E-3</v>
      </c>
      <c r="AZ53" s="157">
        <f t="shared" ca="1" si="154"/>
        <v>2.1726329226189256E-3</v>
      </c>
      <c r="BA53" s="157">
        <f t="shared" ca="1" si="155"/>
        <v>2.715791153273657E-4</v>
      </c>
      <c r="BB53" s="157">
        <f t="shared" ca="1" si="156"/>
        <v>1.9003702930181496E-4</v>
      </c>
      <c r="BC53" s="157">
        <f t="shared" ca="1" si="157"/>
        <v>1.4751043176399026E-4</v>
      </c>
      <c r="BD53" s="151">
        <f t="shared" ca="1" si="172"/>
        <v>0</v>
      </c>
      <c r="BE53" s="152">
        <f t="shared" ca="1" si="173"/>
        <v>0</v>
      </c>
      <c r="BF53" s="40">
        <f t="shared" si="174"/>
        <v>2003</v>
      </c>
      <c r="BG53" s="144">
        <f t="shared" si="175"/>
        <v>6</v>
      </c>
      <c r="BH53" s="145">
        <f t="shared" ca="1" si="176"/>
        <v>1012</v>
      </c>
      <c r="BI53" s="313">
        <f t="shared" ca="1" si="177"/>
        <v>2.8145106091718</v>
      </c>
      <c r="BJ53" s="42">
        <f t="shared" ca="1" si="10"/>
        <v>2.8712232326195366</v>
      </c>
      <c r="BK53" s="42">
        <f t="shared" ca="1" si="178"/>
        <v>2.8739610834066687</v>
      </c>
      <c r="BL53" s="42">
        <f t="shared" ca="1" si="179"/>
        <v>2.8939082819986313</v>
      </c>
      <c r="BM53" s="150" t="e">
        <f t="shared" ca="1" si="13"/>
        <v>#DIV/0!</v>
      </c>
      <c r="BN53" s="42" t="e">
        <f t="shared" ca="1" si="14"/>
        <v>#DIV/0!</v>
      </c>
      <c r="BO53" s="293">
        <f t="shared" si="48"/>
        <v>21</v>
      </c>
      <c r="BP53" s="41">
        <f t="shared" si="49"/>
        <v>15</v>
      </c>
      <c r="BQ53" s="41">
        <f t="shared" si="50"/>
        <v>6</v>
      </c>
      <c r="BR53" s="305" t="str">
        <f t="shared" ca="1" si="15"/>
        <v/>
      </c>
      <c r="BS53" s="305" t="str">
        <f t="shared" ca="1" si="180"/>
        <v/>
      </c>
      <c r="BT53" s="307" t="str">
        <f t="shared" ca="1" si="181"/>
        <v/>
      </c>
      <c r="BU53" s="161" t="str">
        <f t="shared" ca="1" si="18"/>
        <v/>
      </c>
      <c r="BV53" s="161" t="str">
        <f t="shared" ca="1" si="19"/>
        <v/>
      </c>
      <c r="BW53" s="308" t="str">
        <f t="shared" ca="1" si="20"/>
        <v/>
      </c>
      <c r="BX53" s="309" t="str">
        <f t="shared" ca="1" si="21"/>
        <v/>
      </c>
      <c r="BY53" s="308" t="str">
        <f t="shared" ca="1" si="51"/>
        <v/>
      </c>
      <c r="BZ53" s="309" t="str">
        <f t="shared" ca="1" si="52"/>
        <v/>
      </c>
      <c r="CA53" s="154" t="str">
        <f t="shared" ca="1" si="22"/>
        <v/>
      </c>
      <c r="CB53" s="154" t="str">
        <f t="shared" ca="1" si="23"/>
        <v/>
      </c>
      <c r="CC53" s="154" t="str">
        <f t="shared" ca="1" si="24"/>
        <v/>
      </c>
      <c r="CD53" s="154" t="str">
        <f t="shared" ca="1" si="25"/>
        <v/>
      </c>
      <c r="CE53" s="310">
        <v>1</v>
      </c>
      <c r="CF53" s="162">
        <f ca="1">IF(BD53,_xll.xCrudeAPO(BU53,BV53,CA53,CB53,S54,S55,BI53,BL53,BP53,BQ53,0,Strike1,AO53,CE53,0,BL53,IF(OptControl=4,0,1),0,1),0)</f>
        <v>0</v>
      </c>
      <c r="CG53" s="163">
        <f ca="1">IF(BD53,_xll.xCrudeAPO(BU53,BV53,CA53,CB53,S54,S55,BI53,BL53,BP53,BQ53,0,Strike1,AO53,CE53,0,BL53,IF(OptControl=4,0,1),1,1)+_xll.xCrudeAPO(BU53,BV53,CA53,CB53,S54,S55,BI53,BL53,BP53,BQ53,0,Strike1,AO53,CE53,0,BL53,IF(OptControl=4,0,1),1,2)+IF(OR(VolSkewFlag=2,ABS(BS53)&lt;0.0001),0,IF(BS53&gt;0,-1,1)*CH53*Strike1/BR53^2*BY53/10%),0)</f>
        <v>0</v>
      </c>
      <c r="CH53" s="163">
        <f ca="1">IF(BD53,(_xll.xCrudeAPO(BU53,BV53,CA53,CB53,S54,S55,BI53,BL53,BP53,BQ53,0,Strike1,AO53,CE53,0,BL53,IF(OptControl=4,0,1),3,1)+_xll.xCrudeAPO(BU53,BV53,CA53,CB53,S54,S55,BI53,BL53,BP53,BQ53,0,Strike1,AO53,CE53,0,BL53,IF(OptControl=4,0,1),3,2))/100,0)</f>
        <v>0</v>
      </c>
      <c r="CI53" s="163">
        <f ca="1">IF(BD53,_xll.xCrudeAPO(BU53,BV53,CA53,CB53,S54,S55,BI53-DaysForThetaCalculation/365.25,BL53-DaysForThetaCalculation/365.25,BP53,BQ53,0,Strike1,AO53,CE53,0,BL53,IF(OptControl=4,0,1),0,1)-_xll.xCrudeAPO(BU53,BV53,CA53,CB53,S54,S55,BI53,BL53,BP53,BQ53,0,Strike1,AO53,CE53,0,BL53,IF(OptControl=4,0,1),0,1),0)</f>
        <v>0</v>
      </c>
      <c r="CJ53" s="311">
        <f ca="1">IF(BD53,_xll.xCrudeAPO(BU53,BV53,CC53,CD53,S54,S55,BI53,BL53,BP53,BQ53,0,Strike2,AO53,CE53,0,BL53,IF(OptControl=3,1,0),0,1),0)</f>
        <v>0</v>
      </c>
      <c r="CK53" s="163">
        <f ca="1">IF(BD53,_xll.xCrudeAPO(BU53,BV53,CC53,CD53,S54,S55,BI53,BL53,BP53,BQ53,0,Strike2,AO53,CE53,0,BL53,IF(OptControl=3,1,0),1,1)+_xll.xCrudeAPO(BU53,BV53,CC53,CD53,S54,S55,BI53,BL53,BP53,BQ53,0,Strike2,AO53,CE53,0,BL53,IF(OptControl=3,1,0),1,2)+IF(OR(VolSkewFlag=2,ABS(BT53)&lt;0.0001),0,IF(BT53&gt;0,-1,1)*CL53*Strike2/BR53^2*BZ53/10%),0)</f>
        <v>0</v>
      </c>
      <c r="CL53" s="163">
        <f ca="1">IF(BD53,(_xll.xCrudeAPO(BU53,BV53,CC53,CD53,S54,S55,BI53,BL53,BP53,BQ53,0,Strike2,AO53,CE53,0,BL53,IF(OptControl=3,1,0),3,1)+_xll.xCrudeAPO(BU53,BV53,CC53,CD53,S54,S55,BI53,BL53,BP53,BQ53,0,Strike2,AO53,CE53,0,BL53,IF(OptControl=3,1,0),3,2))/100,0)</f>
        <v>0</v>
      </c>
      <c r="CM53" s="164">
        <f ca="1">IF(BD53,_xll.xCrudeAPO(BU53,BV53,CC53,CD53,S54,S55,BI53-DaysForThetaCalculation/365.25,BL53-DaysForThetaCalculation/365.25,BP53,BQ53,0,Strike2,AO53,CE53,0,BL53,IF(OptControl=3,1,0),0,1)-_xll.xCrudeAPO(BU53,BV53,CC53,CD53,S54,S55,BI53,BL53,BP53,BQ53,0,Strike2,AO53,CE53,0,BL53,IF(OptControl=3,1,0),0,1),0)</f>
        <v>0</v>
      </c>
      <c r="CN53" s="53"/>
      <c r="CO53" s="796" t="str">
        <f t="shared" ca="1" si="53"/>
        <v/>
      </c>
      <c r="CP53" s="800" t="str">
        <f t="shared" ca="1" si="54"/>
        <v/>
      </c>
      <c r="CQ53" s="797" t="str">
        <f t="shared" ca="1" si="55"/>
        <v/>
      </c>
      <c r="CR53" s="797" t="str">
        <f t="shared" ca="1" si="56"/>
        <v/>
      </c>
      <c r="CS53" s="797" t="str">
        <f t="shared" ca="1" si="57"/>
        <v/>
      </c>
      <c r="CT53" s="797" t="str">
        <f t="shared" ca="1" si="58"/>
        <v/>
      </c>
      <c r="CU53" s="798" t="str">
        <f t="shared" ca="1" si="59"/>
        <v/>
      </c>
      <c r="CV53" s="799" t="str">
        <f t="shared" ca="1" si="60"/>
        <v/>
      </c>
      <c r="CW53" s="799" t="str">
        <f t="shared" ca="1" si="61"/>
        <v/>
      </c>
      <c r="CX53" s="163">
        <f ca="1">IF(BD53,_xll.EURO(CP53,Strike1,AO53,AO53,CV53,CO53,IF(OptControl=4,0,1),0),0)</f>
        <v>0</v>
      </c>
      <c r="CY53" s="163">
        <f ca="1">IF(BD53,_xll.EURO(CP53,Strike1,AO53,AO53,CV53,CO53,IF(OptControl=4,0,1),1)+IF(OR(VolSkewFlag=2,ABS(CQ53)&lt;0.0001),0,IF(CQ53&gt;0,-1,1)*CZ53*100*Strike1/CP53^2*CS53/10%),0)</f>
        <v>0</v>
      </c>
      <c r="CZ53" s="163">
        <f ca="1">IF(BD53,_xll.EURO(CP53,Strike1,AO53,AO53,CV53,CO53,IF(OptControl=4,0,1),3)/100,0)</f>
        <v>0</v>
      </c>
      <c r="DA53" s="163">
        <f ca="1">IF(BD53,_xll.EURO(CP53,Strike1,AO53,AO53,CV53,CO53,IF(OptControl=4,0,1),0)-_xll.EURO(CP53,Strike1,AO53,AO53,CV53,CO53-1,IF(OptControl=4,0,1),0),0)</f>
        <v>0</v>
      </c>
      <c r="DB53" s="163">
        <f ca="1">IF(BD53,_xll.EURO(CP53,Strike2,AO53,AO53,CW53,CO53,IF(OptControl=3,1,0),0),0)</f>
        <v>0</v>
      </c>
      <c r="DC53" s="163">
        <f ca="1">IF(BD53,_xll.EURO(CP53,Strike2,AO53,AO53,CW53,CO53,IF(OptControl=3,1,0),1)+IF(OR(VolSkewFlag=2,ABS(CR53)&lt;0.0001),0,IF(CR53&gt;0,-1,1)*DD53*100*Strike2/CP53^2*CT53/10%),0)</f>
        <v>0</v>
      </c>
      <c r="DD53" s="163">
        <f ca="1">IF(BD53,_xll.EURO(CP53,Strike2,AO53,AO53,CW53,CO53,IF(OptControl=3,1,0),3)/100,0)</f>
        <v>0</v>
      </c>
      <c r="DE53" s="164">
        <f ca="1">IF(BD53,_xll.EURO(CP53,Strike2,AO53,AO53,CW53,CO53,IF(OptControl=3,1,0),0)-_xll.EURO(CP53,Strike2,AO53,AO53,CW53,CO53-1,IF(OptControl=3,1,0),0),0)</f>
        <v>0</v>
      </c>
      <c r="DG53" s="667">
        <f t="shared" ca="1" si="62"/>
        <v>37561</v>
      </c>
      <c r="DH53" s="475">
        <v>19.093333333333337</v>
      </c>
      <c r="DI53" s="665">
        <v>19.003333333333337</v>
      </c>
      <c r="DJ53" s="666">
        <f t="shared" ca="1" si="182"/>
        <v>37561</v>
      </c>
      <c r="DK53" s="475">
        <v>17.987078822412162</v>
      </c>
      <c r="DL53" s="665">
        <v>17.936333333333337</v>
      </c>
      <c r="DM53" s="667">
        <f t="shared" ca="1" si="183"/>
        <v>37561</v>
      </c>
      <c r="DN53" s="668">
        <f t="shared" si="184"/>
        <v>18.037078822412163</v>
      </c>
      <c r="DO53" s="667">
        <f t="shared" ca="1" si="63"/>
        <v>37561</v>
      </c>
      <c r="DP53" s="579">
        <f t="shared" si="64"/>
        <v>17.936333333333337</v>
      </c>
      <c r="DQ53" s="821">
        <v>0</v>
      </c>
      <c r="DR53" s="666">
        <f t="shared" ca="1" si="185"/>
        <v>37561</v>
      </c>
      <c r="DS53" s="669">
        <v>0.21606223024778096</v>
      </c>
      <c r="DT53" s="606">
        <v>0.21343090259831238</v>
      </c>
      <c r="DU53" s="666">
        <f t="shared" ca="1" si="186"/>
        <v>37561</v>
      </c>
      <c r="DV53" s="669">
        <v>0.21606223024778096</v>
      </c>
      <c r="DW53" s="606">
        <v>0.21343090259831238</v>
      </c>
      <c r="DX53" s="667">
        <f t="shared" ca="1" si="187"/>
        <v>37561</v>
      </c>
      <c r="DY53" s="606">
        <v>0.35000000001862641</v>
      </c>
      <c r="DZ53" s="667">
        <f t="shared" ca="1" si="65"/>
        <v>37561</v>
      </c>
      <c r="EA53" s="606">
        <f t="shared" si="66"/>
        <v>0.21343090259831238</v>
      </c>
      <c r="EB53" s="1"/>
      <c r="EC53" s="118" t="str">
        <f t="shared" ca="1" si="188"/>
        <v/>
      </c>
      <c r="ED53" s="119" t="str">
        <f t="shared" ca="1" si="33"/>
        <v/>
      </c>
      <c r="EE53" s="112" t="str">
        <f t="shared" ca="1" si="34"/>
        <v/>
      </c>
      <c r="EF53" s="120">
        <f ca="1">IF(BD53,_xll.xASN(BR53,Strike1,AO53,ED53,0,BO53,0,BI53,BL53,IF(OptControl=4,0,1),0),0)</f>
        <v>0</v>
      </c>
      <c r="EG53" s="111">
        <f ca="1">IF(BD53,_xll.xASN(BR53,Strike2,AO53,EE53,0,BO53,0,BI53,BL53,IF(OptControl=3,1,0),0),0)</f>
        <v>0</v>
      </c>
      <c r="EI53" s="483" t="str">
        <f>[1]!'CLc34 MTH'</f>
        <v>+NA+</v>
      </c>
      <c r="EJ53" s="484" t="e">
        <f t="shared" si="158"/>
        <v>#VALUE!</v>
      </c>
      <c r="EK53" s="485" t="str">
        <f>[1]!'CLc34 NET.CHNG'</f>
        <v>+NA+</v>
      </c>
      <c r="EL53" s="486">
        <f t="shared" si="159"/>
        <v>0</v>
      </c>
      <c r="EM53" s="1"/>
      <c r="EN53" s="697">
        <v>39807</v>
      </c>
      <c r="EO53" s="698">
        <v>42729</v>
      </c>
      <c r="EP53" s="1"/>
      <c r="EQ53" s="683" t="s">
        <v>240</v>
      </c>
      <c r="ES53" s="498">
        <v>34</v>
      </c>
      <c r="ET53" s="476">
        <f t="shared" ca="1" si="165"/>
        <v>2.7707049965776864</v>
      </c>
      <c r="EU53" s="842">
        <f t="shared" ca="1" si="189"/>
        <v>0</v>
      </c>
      <c r="EV53" s="815">
        <f t="shared" ref="EV53:EV84" ca="1" si="269">SQRT(SUM(FK53:ID53)/ET53)</f>
        <v>0.19743693102978532</v>
      </c>
      <c r="EW53" s="478" t="str">
        <f t="shared" ref="EW53:EW84" ca="1" si="270">IF(OR(DateStart2&gt;I52,DateEnd2&lt;I51),"",IF(DateStart2&lt;I52,AK51/AI51*AP51*BE51*SwaptionNumOfMonths/$D$33,0)+IF(DateEnd2&gt;I51,AJ52/AI52*AP52*BE52*SwaptionNumOfMonths/$D$33,0))</f>
        <v/>
      </c>
      <c r="EX53" s="477" t="str">
        <f t="shared" ref="EX53:EX84" ca="1" si="271">IF(EW53="","",SQRT(SUM(FK358:ID358)/SwaptionYearsToExp))</f>
        <v/>
      </c>
      <c r="EY53" s="250">
        <v>0</v>
      </c>
      <c r="EZ53" s="605" t="str">
        <f ca="1">IF(OR(EW53="",EW54=""),"",SQRT(SUM(INDEX(FK53:ID53,SwaptionFirstMonthPosition+1):INDEX(FK53:ID53,FJ53))/SUM(INDEX($FK$15:$ID$15,SwaptionFirstMonthPosition+1):INDEX($FK$15:$ID$15,FJ53))))</f>
        <v/>
      </c>
      <c r="FA53" s="581" t="str">
        <f ca="1">IF(OR(EW53="",EW52=""),"",SQRT(SUM(INDEX(FK53:ID53,SwaptionFirstMonthPosition+1):INDEX(FK53:ID53,FJ53-1))/SUM(INDEX($FK$15:$ID$15,SwaptionFirstMonthPosition+1):INDEX($FK$15:$ID$15,FJ53-1))))</f>
        <v/>
      </c>
      <c r="FB53" s="578" t="str">
        <f t="shared" ca="1" si="190"/>
        <v/>
      </c>
      <c r="FC53" s="609" t="str">
        <f t="shared" ca="1" si="191"/>
        <v/>
      </c>
      <c r="FD53" s="579" t="str">
        <f t="shared" ca="1" si="192"/>
        <v/>
      </c>
      <c r="FE53" s="579" t="str">
        <f t="shared" ca="1" si="193"/>
        <v/>
      </c>
      <c r="FF53" s="579" t="str">
        <f t="shared" ca="1" si="194"/>
        <v/>
      </c>
      <c r="FG53" s="580" t="str">
        <f t="shared" ca="1" si="195"/>
        <v/>
      </c>
      <c r="FH53" s="606" t="str">
        <f t="shared" ca="1" si="196"/>
        <v/>
      </c>
      <c r="FI53" s="250"/>
      <c r="FJ53" s="673">
        <v>34</v>
      </c>
      <c r="FK53" s="460">
        <f t="shared" ca="1" si="197"/>
        <v>0</v>
      </c>
      <c r="FL53" s="460">
        <f t="shared" ca="1" si="198"/>
        <v>2.2138689032245736E-3</v>
      </c>
      <c r="FM53" s="460">
        <f t="shared" ca="1" si="199"/>
        <v>2.5776597001123135E-3</v>
      </c>
      <c r="FN53" s="460">
        <f t="shared" ca="1" si="200"/>
        <v>2.1739820136290906E-3</v>
      </c>
      <c r="FO53" s="460">
        <f t="shared" ca="1" si="201"/>
        <v>2.2666814147236087E-3</v>
      </c>
      <c r="FP53" s="460">
        <f t="shared" ca="1" si="202"/>
        <v>2.5187576456438482E-3</v>
      </c>
      <c r="FQ53" s="460">
        <f t="shared" ca="1" si="203"/>
        <v>2.0458879610781486E-3</v>
      </c>
      <c r="FR53" s="460">
        <f t="shared" ca="1" si="204"/>
        <v>2.0998570425984743E-3</v>
      </c>
      <c r="FS53" s="460">
        <f t="shared" ca="1" si="205"/>
        <v>2.377014376901577E-3</v>
      </c>
      <c r="FT53" s="460">
        <f t="shared" ca="1" si="206"/>
        <v>2.1564437601895E-3</v>
      </c>
      <c r="FU53" s="460">
        <f t="shared" ca="1" si="207"/>
        <v>2.0858768090118917E-3</v>
      </c>
      <c r="FV53" s="460">
        <f t="shared" ca="1" si="208"/>
        <v>2.3086700888502103E-3</v>
      </c>
      <c r="FW53" s="460">
        <f t="shared" ca="1" si="209"/>
        <v>2.1758696178398249E-3</v>
      </c>
      <c r="FX53" s="460">
        <f t="shared" ca="1" si="210"/>
        <v>2.3384063742301446E-3</v>
      </c>
      <c r="FY53" s="460">
        <f t="shared" ca="1" si="211"/>
        <v>2.2137648402826291E-3</v>
      </c>
      <c r="FZ53" s="460">
        <f t="shared" ca="1" si="212"/>
        <v>2.0914745676966218E-3</v>
      </c>
      <c r="GA53" s="460">
        <f t="shared" ca="1" si="213"/>
        <v>2.2742798176292197E-3</v>
      </c>
      <c r="GB53" s="460">
        <f t="shared" ca="1" si="214"/>
        <v>2.5465110067980547E-3</v>
      </c>
      <c r="GC53" s="460">
        <f t="shared" ca="1" si="215"/>
        <v>2.28557693741426E-3</v>
      </c>
      <c r="GD53" s="460">
        <f t="shared" ca="1" si="216"/>
        <v>2.3433562235088382E-3</v>
      </c>
      <c r="GE53" s="460">
        <f t="shared" ca="1" si="217"/>
        <v>2.7462469663217192E-3</v>
      </c>
      <c r="GF53" s="460">
        <f t="shared" ca="1" si="218"/>
        <v>2.4984630200829611E-3</v>
      </c>
      <c r="GG53" s="460">
        <f t="shared" ca="1" si="219"/>
        <v>2.8715899952911983E-3</v>
      </c>
      <c r="GH53" s="460">
        <f t="shared" ca="1" si="220"/>
        <v>2.824217508864245E-3</v>
      </c>
      <c r="GI53" s="460">
        <f t="shared" ca="1" si="221"/>
        <v>2.8882393769171827E-3</v>
      </c>
      <c r="GJ53" s="460">
        <f t="shared" ca="1" si="222"/>
        <v>3.5116724658198991E-3</v>
      </c>
      <c r="GK53" s="460">
        <f t="shared" ca="1" si="223"/>
        <v>3.4512238097987478E-3</v>
      </c>
      <c r="GL53" s="460">
        <f t="shared" ca="1" si="224"/>
        <v>3.6569941781722632E-3</v>
      </c>
      <c r="GM53" s="460">
        <f t="shared" ca="1" si="225"/>
        <v>4.3562340985219819E-3</v>
      </c>
      <c r="GN53" s="460">
        <f t="shared" ca="1" si="226"/>
        <v>4.9504613160945054E-3</v>
      </c>
      <c r="GO53" s="460">
        <f t="shared" ca="1" si="227"/>
        <v>5.7590324839599701E-3</v>
      </c>
      <c r="GP53" s="460">
        <f t="shared" ca="1" si="228"/>
        <v>6.2237588242750738E-3</v>
      </c>
      <c r="GQ53" s="460">
        <f t="shared" ca="1" si="229"/>
        <v>8.5287236892704708E-3</v>
      </c>
      <c r="GR53" s="460">
        <f t="shared" ca="1" si="230"/>
        <v>1.0645001482218124E-2</v>
      </c>
      <c r="GS53" s="460" t="str">
        <f t="shared" si="231"/>
        <v/>
      </c>
      <c r="GT53" s="460" t="str">
        <f t="shared" si="232"/>
        <v/>
      </c>
      <c r="GU53" s="460" t="str">
        <f t="shared" si="233"/>
        <v/>
      </c>
      <c r="GV53" s="460" t="str">
        <f t="shared" si="234"/>
        <v/>
      </c>
      <c r="GW53" s="460" t="str">
        <f t="shared" si="235"/>
        <v/>
      </c>
      <c r="GX53" s="460" t="str">
        <f t="shared" si="236"/>
        <v/>
      </c>
      <c r="GY53" s="460" t="str">
        <f t="shared" si="237"/>
        <v/>
      </c>
      <c r="GZ53" s="460" t="str">
        <f t="shared" si="238"/>
        <v/>
      </c>
      <c r="HA53" s="460" t="str">
        <f t="shared" si="239"/>
        <v/>
      </c>
      <c r="HB53" s="460" t="str">
        <f t="shared" si="240"/>
        <v/>
      </c>
      <c r="HC53" s="460" t="str">
        <f t="shared" si="241"/>
        <v/>
      </c>
      <c r="HD53" s="460" t="str">
        <f t="shared" si="242"/>
        <v/>
      </c>
      <c r="HE53" s="460" t="str">
        <f t="shared" si="243"/>
        <v/>
      </c>
      <c r="HF53" s="460" t="str">
        <f t="shared" si="244"/>
        <v/>
      </c>
      <c r="HG53" s="460" t="str">
        <f t="shared" si="245"/>
        <v/>
      </c>
      <c r="HH53" s="460" t="str">
        <f t="shared" si="246"/>
        <v/>
      </c>
      <c r="HI53" s="460" t="str">
        <f t="shared" si="247"/>
        <v/>
      </c>
      <c r="HJ53" s="460" t="str">
        <f t="shared" si="248"/>
        <v/>
      </c>
      <c r="HK53" s="460" t="str">
        <f t="shared" si="249"/>
        <v/>
      </c>
      <c r="HL53" s="460" t="str">
        <f t="shared" si="250"/>
        <v/>
      </c>
      <c r="HM53" s="460" t="str">
        <f t="shared" si="251"/>
        <v/>
      </c>
      <c r="HN53" s="460" t="str">
        <f t="shared" si="252"/>
        <v/>
      </c>
      <c r="HO53" s="460" t="str">
        <f t="shared" si="253"/>
        <v/>
      </c>
      <c r="HP53" s="460" t="str">
        <f t="shared" si="254"/>
        <v/>
      </c>
      <c r="HQ53" s="460" t="str">
        <f t="shared" si="255"/>
        <v/>
      </c>
      <c r="HR53" s="460" t="str">
        <f t="shared" si="256"/>
        <v/>
      </c>
      <c r="HS53" s="460" t="str">
        <f t="shared" si="257"/>
        <v/>
      </c>
      <c r="HT53" s="460" t="str">
        <f t="shared" si="258"/>
        <v/>
      </c>
      <c r="HU53" s="460" t="str">
        <f t="shared" si="259"/>
        <v/>
      </c>
      <c r="HV53" s="460" t="str">
        <f t="shared" si="260"/>
        <v/>
      </c>
      <c r="HW53" s="460" t="str">
        <f t="shared" si="261"/>
        <v/>
      </c>
      <c r="HX53" s="460" t="str">
        <f t="shared" si="262"/>
        <v/>
      </c>
      <c r="HY53" s="460" t="str">
        <f t="shared" si="263"/>
        <v/>
      </c>
      <c r="HZ53" s="460" t="str">
        <f t="shared" si="264"/>
        <v/>
      </c>
      <c r="IA53" s="460" t="str">
        <f t="shared" si="265"/>
        <v/>
      </c>
      <c r="IB53" s="460" t="str">
        <f t="shared" si="266"/>
        <v/>
      </c>
      <c r="IC53" s="460" t="str">
        <f t="shared" si="267"/>
        <v/>
      </c>
      <c r="ID53" s="674" t="str">
        <f t="shared" si="268"/>
        <v/>
      </c>
      <c r="IE53" s="250"/>
    </row>
    <row r="54" spans="1:239">
      <c r="A54" s="51"/>
      <c r="B54" s="51"/>
      <c r="C54" s="51"/>
      <c r="D54" s="51"/>
      <c r="E54" s="51"/>
      <c r="F54" s="51"/>
      <c r="G54" s="51"/>
      <c r="H54" s="51">
        <f t="shared" ca="1" si="35"/>
        <v>0</v>
      </c>
      <c r="I54" s="379">
        <f t="shared" si="36"/>
        <v>37803</v>
      </c>
      <c r="J54" s="377"/>
      <c r="K54" s="104" t="s">
        <v>488</v>
      </c>
      <c r="L54" s="392">
        <f t="shared" si="37"/>
        <v>0</v>
      </c>
      <c r="M54" s="171"/>
      <c r="N54" s="382">
        <v>0</v>
      </c>
      <c r="O54" s="171">
        <f t="shared" si="38"/>
        <v>0</v>
      </c>
      <c r="P54" s="377"/>
      <c r="Q54" s="104">
        <v>0</v>
      </c>
      <c r="R54" s="377">
        <f t="shared" ca="1" si="148"/>
        <v>0</v>
      </c>
      <c r="S54" s="832">
        <f t="shared" si="164"/>
        <v>0.36000301357277159</v>
      </c>
      <c r="T54" s="831">
        <f t="shared" si="149"/>
        <v>0.99945324798457358</v>
      </c>
      <c r="U54" s="545">
        <f t="shared" si="150"/>
        <v>0.99999915243265791</v>
      </c>
      <c r="V54" s="389">
        <v>0</v>
      </c>
      <c r="W54" s="434">
        <f t="shared" si="166"/>
        <v>0</v>
      </c>
      <c r="X54" s="415">
        <f t="shared" si="167"/>
        <v>0</v>
      </c>
      <c r="Y54" s="322">
        <f t="shared" si="168"/>
        <v>-1.2051000000000001</v>
      </c>
      <c r="Z54" s="322">
        <f t="shared" ca="1" si="169"/>
        <v>-1.2051000000000001</v>
      </c>
      <c r="AA54" s="429">
        <f t="shared" si="1"/>
        <v>1.2051000000000001</v>
      </c>
      <c r="AB54" s="433">
        <f t="shared" ca="1" si="2"/>
        <v>1.2051000000000001</v>
      </c>
      <c r="AC54" s="226">
        <v>37792</v>
      </c>
      <c r="AD54" s="229">
        <v>37788</v>
      </c>
      <c r="AE54" s="229">
        <v>37787</v>
      </c>
      <c r="AF54" s="229">
        <v>37783</v>
      </c>
      <c r="AG54" s="249" t="s">
        <v>90</v>
      </c>
      <c r="AH54" s="247" t="s">
        <v>499</v>
      </c>
      <c r="AI54" s="146">
        <v>22</v>
      </c>
      <c r="AJ54" s="41">
        <v>13</v>
      </c>
      <c r="AK54" s="41">
        <v>9</v>
      </c>
      <c r="AL54" s="293">
        <v>23</v>
      </c>
      <c r="AM54" s="41">
        <v>10</v>
      </c>
      <c r="AN54" s="147">
        <v>13</v>
      </c>
      <c r="AO54" s="374"/>
      <c r="AP54" s="153">
        <f t="shared" ca="1" si="43"/>
        <v>1</v>
      </c>
      <c r="AQ54" s="374"/>
      <c r="AR54" s="153">
        <f t="shared" ca="1" si="151"/>
        <v>1</v>
      </c>
      <c r="AS54" s="272">
        <f t="shared" si="170"/>
        <v>0</v>
      </c>
      <c r="AT54" s="157">
        <f t="shared" si="44"/>
        <v>0</v>
      </c>
      <c r="AU54" s="157">
        <f t="shared" si="4"/>
        <v>0</v>
      </c>
      <c r="AV54" s="271">
        <f t="shared" ca="1" si="163"/>
        <v>9.9999999999999995E-7</v>
      </c>
      <c r="AW54" s="158" t="str">
        <f t="shared" ca="1" si="171"/>
        <v/>
      </c>
      <c r="AX54" s="157">
        <f t="shared" ca="1" si="152"/>
        <v>8.1179960938928628E-3</v>
      </c>
      <c r="AY54" s="157">
        <f t="shared" ca="1" si="153"/>
        <v>5.0101504900468552E-3</v>
      </c>
      <c r="AZ54" s="157">
        <f t="shared" ca="1" si="154"/>
        <v>2.0506924065465566E-3</v>
      </c>
      <c r="BA54" s="157">
        <f t="shared" ca="1" si="155"/>
        <v>2.5633655081831958E-4</v>
      </c>
      <c r="BB54" s="157">
        <f t="shared" ca="1" si="156"/>
        <v>1.7341159318875834E-4</v>
      </c>
      <c r="BC54" s="157">
        <f t="shared" ca="1" si="157"/>
        <v>1.3141685457086685E-4</v>
      </c>
      <c r="BD54" s="151">
        <f t="shared" ca="1" si="172"/>
        <v>0</v>
      </c>
      <c r="BE54" s="152">
        <f t="shared" ca="1" si="173"/>
        <v>0</v>
      </c>
      <c r="BF54" s="40">
        <f t="shared" si="174"/>
        <v>2003</v>
      </c>
      <c r="BG54" s="144">
        <f t="shared" si="175"/>
        <v>7</v>
      </c>
      <c r="BH54" s="145">
        <f t="shared" ca="1" si="176"/>
        <v>1043</v>
      </c>
      <c r="BI54" s="313">
        <f t="shared" ca="1" si="177"/>
        <v>2.8966461327857633</v>
      </c>
      <c r="BJ54" s="42">
        <f t="shared" ca="1" si="10"/>
        <v>2.9451807603758322</v>
      </c>
      <c r="BK54" s="42">
        <f t="shared" ca="1" si="178"/>
        <v>2.9479186111629643</v>
      </c>
      <c r="BL54" s="42">
        <f t="shared" ca="1" si="179"/>
        <v>2.9787816563997263</v>
      </c>
      <c r="BM54" s="150" t="e">
        <f t="shared" ca="1" si="13"/>
        <v>#DIV/0!</v>
      </c>
      <c r="BN54" s="42" t="e">
        <f t="shared" ca="1" si="14"/>
        <v>#DIV/0!</v>
      </c>
      <c r="BO54" s="293">
        <f t="shared" si="48"/>
        <v>22</v>
      </c>
      <c r="BP54" s="41">
        <f t="shared" si="49"/>
        <v>13</v>
      </c>
      <c r="BQ54" s="41">
        <f t="shared" si="50"/>
        <v>9</v>
      </c>
      <c r="BR54" s="305" t="str">
        <f t="shared" ca="1" si="15"/>
        <v/>
      </c>
      <c r="BS54" s="305" t="str">
        <f t="shared" ca="1" si="180"/>
        <v/>
      </c>
      <c r="BT54" s="307" t="str">
        <f t="shared" ca="1" si="181"/>
        <v/>
      </c>
      <c r="BU54" s="161" t="str">
        <f t="shared" ca="1" si="18"/>
        <v/>
      </c>
      <c r="BV54" s="161" t="str">
        <f t="shared" ca="1" si="19"/>
        <v/>
      </c>
      <c r="BW54" s="308" t="str">
        <f t="shared" ca="1" si="20"/>
        <v/>
      </c>
      <c r="BX54" s="309" t="str">
        <f t="shared" ca="1" si="21"/>
        <v/>
      </c>
      <c r="BY54" s="308" t="str">
        <f t="shared" ca="1" si="51"/>
        <v/>
      </c>
      <c r="BZ54" s="309" t="str">
        <f t="shared" ca="1" si="52"/>
        <v/>
      </c>
      <c r="CA54" s="154" t="str">
        <f t="shared" ca="1" si="22"/>
        <v/>
      </c>
      <c r="CB54" s="154" t="str">
        <f t="shared" ca="1" si="23"/>
        <v/>
      </c>
      <c r="CC54" s="154" t="str">
        <f t="shared" ca="1" si="24"/>
        <v/>
      </c>
      <c r="CD54" s="154" t="str">
        <f t="shared" ca="1" si="25"/>
        <v/>
      </c>
      <c r="CE54" s="310">
        <v>1</v>
      </c>
      <c r="CF54" s="162">
        <f ca="1">IF(BD54,_xll.xCrudeAPO(BU54,BV54,CA54,CB54,S55,S56,BI54,BL54,BP54,BQ54,0,Strike1,AO54,CE54,0,BL54,IF(OptControl=4,0,1),0,1),0)</f>
        <v>0</v>
      </c>
      <c r="CG54" s="163">
        <f ca="1">IF(BD54,_xll.xCrudeAPO(BU54,BV54,CA54,CB54,S55,S56,BI54,BL54,BP54,BQ54,0,Strike1,AO54,CE54,0,BL54,IF(OptControl=4,0,1),1,1)+_xll.xCrudeAPO(BU54,BV54,CA54,CB54,S55,S56,BI54,BL54,BP54,BQ54,0,Strike1,AO54,CE54,0,BL54,IF(OptControl=4,0,1),1,2)+IF(OR(VolSkewFlag=2,ABS(BS54)&lt;0.0001),0,IF(BS54&gt;0,-1,1)*CH54*Strike1/BR54^2*BY54/10%),0)</f>
        <v>0</v>
      </c>
      <c r="CH54" s="163">
        <f ca="1">IF(BD54,(_xll.xCrudeAPO(BU54,BV54,CA54,CB54,S55,S56,BI54,BL54,BP54,BQ54,0,Strike1,AO54,CE54,0,BL54,IF(OptControl=4,0,1),3,1)+_xll.xCrudeAPO(BU54,BV54,CA54,CB54,S55,S56,BI54,BL54,BP54,BQ54,0,Strike1,AO54,CE54,0,BL54,IF(OptControl=4,0,1),3,2))/100,0)</f>
        <v>0</v>
      </c>
      <c r="CI54" s="163">
        <f ca="1">IF(BD54,_xll.xCrudeAPO(BU54,BV54,CA54,CB54,S55,S56,BI54-DaysForThetaCalculation/365.25,BL54-DaysForThetaCalculation/365.25,BP54,BQ54,0,Strike1,AO54,CE54,0,BL54,IF(OptControl=4,0,1),0,1)-_xll.xCrudeAPO(BU54,BV54,CA54,CB54,S55,S56,BI54,BL54,BP54,BQ54,0,Strike1,AO54,CE54,0,BL54,IF(OptControl=4,0,1),0,1),0)</f>
        <v>0</v>
      </c>
      <c r="CJ54" s="311">
        <f ca="1">IF(BD54,_xll.xCrudeAPO(BU54,BV54,CC54,CD54,S55,S56,BI54,BL54,BP54,BQ54,0,Strike2,AO54,CE54,0,BL54,IF(OptControl=3,1,0),0,1),0)</f>
        <v>0</v>
      </c>
      <c r="CK54" s="163">
        <f ca="1">IF(BD54,_xll.xCrudeAPO(BU54,BV54,CC54,CD54,S55,S56,BI54,BL54,BP54,BQ54,0,Strike2,AO54,CE54,0,BL54,IF(OptControl=3,1,0),1,1)+_xll.xCrudeAPO(BU54,BV54,CC54,CD54,S55,S56,BI54,BL54,BP54,BQ54,0,Strike2,AO54,CE54,0,BL54,IF(OptControl=3,1,0),1,2)+IF(OR(VolSkewFlag=2,ABS(BT54)&lt;0.0001),0,IF(BT54&gt;0,-1,1)*CL54*Strike2/BR54^2*BZ54/10%),0)</f>
        <v>0</v>
      </c>
      <c r="CL54" s="163">
        <f ca="1">IF(BD54,(_xll.xCrudeAPO(BU54,BV54,CC54,CD54,S55,S56,BI54,BL54,BP54,BQ54,0,Strike2,AO54,CE54,0,BL54,IF(OptControl=3,1,0),3,1)+_xll.xCrudeAPO(BU54,BV54,CC54,CD54,S55,S56,BI54,BL54,BP54,BQ54,0,Strike2,AO54,CE54,0,BL54,IF(OptControl=3,1,0),3,2))/100,0)</f>
        <v>0</v>
      </c>
      <c r="CM54" s="164">
        <f ca="1">IF(BD54,_xll.xCrudeAPO(BU54,BV54,CC54,CD54,S55,S56,BI54-DaysForThetaCalculation/365.25,BL54-DaysForThetaCalculation/365.25,BP54,BQ54,0,Strike2,AO54,CE54,0,BL54,IF(OptControl=3,1,0),0,1)-_xll.xCrudeAPO(BU54,BV54,CC54,CD54,S55,S56,BI54,BL54,BP54,BQ54,0,Strike2,AO54,CE54,0,BL54,IF(OptControl=3,1,0),0,1),0)</f>
        <v>0</v>
      </c>
      <c r="CN54" s="53"/>
      <c r="CO54" s="796" t="str">
        <f t="shared" ca="1" si="53"/>
        <v/>
      </c>
      <c r="CP54" s="800" t="str">
        <f t="shared" ca="1" si="54"/>
        <v/>
      </c>
      <c r="CQ54" s="797" t="str">
        <f t="shared" ca="1" si="55"/>
        <v/>
      </c>
      <c r="CR54" s="797" t="str">
        <f t="shared" ca="1" si="56"/>
        <v/>
      </c>
      <c r="CS54" s="797" t="str">
        <f t="shared" ca="1" si="57"/>
        <v/>
      </c>
      <c r="CT54" s="797" t="str">
        <f t="shared" ca="1" si="58"/>
        <v/>
      </c>
      <c r="CU54" s="798" t="str">
        <f t="shared" ca="1" si="59"/>
        <v/>
      </c>
      <c r="CV54" s="799" t="str">
        <f t="shared" ca="1" si="60"/>
        <v/>
      </c>
      <c r="CW54" s="799" t="str">
        <f t="shared" ca="1" si="61"/>
        <v/>
      </c>
      <c r="CX54" s="163">
        <f ca="1">IF(BD54,_xll.EURO(CP54,Strike1,AO54,AO54,CV54,CO54,IF(OptControl=4,0,1),0),0)</f>
        <v>0</v>
      </c>
      <c r="CY54" s="163">
        <f ca="1">IF(BD54,_xll.EURO(CP54,Strike1,AO54,AO54,CV54,CO54,IF(OptControl=4,0,1),1)+IF(OR(VolSkewFlag=2,ABS(CQ54)&lt;0.0001),0,IF(CQ54&gt;0,-1,1)*CZ54*100*Strike1/CP54^2*CS54/10%),0)</f>
        <v>0</v>
      </c>
      <c r="CZ54" s="163">
        <f ca="1">IF(BD54,_xll.EURO(CP54,Strike1,AO54,AO54,CV54,CO54,IF(OptControl=4,0,1),3)/100,0)</f>
        <v>0</v>
      </c>
      <c r="DA54" s="163">
        <f ca="1">IF(BD54,_xll.EURO(CP54,Strike1,AO54,AO54,CV54,CO54,IF(OptControl=4,0,1),0)-_xll.EURO(CP54,Strike1,AO54,AO54,CV54,CO54-1,IF(OptControl=4,0,1),0),0)</f>
        <v>0</v>
      </c>
      <c r="DB54" s="163">
        <f ca="1">IF(BD54,_xll.EURO(CP54,Strike2,AO54,AO54,CW54,CO54,IF(OptControl=3,1,0),0),0)</f>
        <v>0</v>
      </c>
      <c r="DC54" s="163">
        <f ca="1">IF(BD54,_xll.EURO(CP54,Strike2,AO54,AO54,CW54,CO54,IF(OptControl=3,1,0),1)+IF(OR(VolSkewFlag=2,ABS(CR54)&lt;0.0001),0,IF(CR54&gt;0,-1,1)*DD54*100*Strike2/CP54^2*CT54/10%),0)</f>
        <v>0</v>
      </c>
      <c r="DD54" s="163">
        <f ca="1">IF(BD54,_xll.EURO(CP54,Strike2,AO54,AO54,CW54,CO54,IF(OptControl=3,1,0),3)/100,0)</f>
        <v>0</v>
      </c>
      <c r="DE54" s="164">
        <f ca="1">IF(BD54,_xll.EURO(CP54,Strike2,AO54,AO54,CW54,CO54,IF(OptControl=3,1,0),0)-_xll.EURO(CP54,Strike2,AO54,AO54,CW54,CO54-1,IF(OptControl=3,1,0),0),0)</f>
        <v>0</v>
      </c>
      <c r="DG54" s="667">
        <f t="shared" ca="1" si="62"/>
        <v>37591</v>
      </c>
      <c r="DH54" s="475">
        <v>19.02</v>
      </c>
      <c r="DI54" s="665">
        <v>18.955714285714286</v>
      </c>
      <c r="DJ54" s="666">
        <f t="shared" ca="1" si="182"/>
        <v>37591</v>
      </c>
      <c r="DK54" s="475">
        <v>18.0195388572333</v>
      </c>
      <c r="DL54" s="665">
        <v>17.888714285714286</v>
      </c>
      <c r="DM54" s="667">
        <f t="shared" ca="1" si="183"/>
        <v>37591</v>
      </c>
      <c r="DN54" s="668">
        <f t="shared" si="184"/>
        <v>18.069538857233301</v>
      </c>
      <c r="DO54" s="667">
        <f t="shared" ca="1" si="63"/>
        <v>37591</v>
      </c>
      <c r="DP54" s="579">
        <f t="shared" si="64"/>
        <v>17.888714285714286</v>
      </c>
      <c r="DQ54" s="821">
        <v>0</v>
      </c>
      <c r="DR54" s="666">
        <f t="shared" ca="1" si="185"/>
        <v>37591</v>
      </c>
      <c r="DS54" s="669">
        <v>0.21360202896753699</v>
      </c>
      <c r="DT54" s="606">
        <v>0.21266044077306881</v>
      </c>
      <c r="DU54" s="666">
        <f t="shared" ca="1" si="186"/>
        <v>37591</v>
      </c>
      <c r="DV54" s="669">
        <v>0.21360202896753699</v>
      </c>
      <c r="DW54" s="606">
        <v>0.21266044077306881</v>
      </c>
      <c r="DX54" s="667">
        <f t="shared" ca="1" si="187"/>
        <v>37591</v>
      </c>
      <c r="DY54" s="606">
        <v>0.35000000000931319</v>
      </c>
      <c r="DZ54" s="667">
        <f t="shared" ca="1" si="65"/>
        <v>37591</v>
      </c>
      <c r="EA54" s="606">
        <f t="shared" si="66"/>
        <v>0.21266044077306881</v>
      </c>
      <c r="EB54" s="1"/>
      <c r="EC54" s="118" t="str">
        <f t="shared" ca="1" si="188"/>
        <v/>
      </c>
      <c r="ED54" s="119" t="str">
        <f t="shared" ca="1" si="33"/>
        <v/>
      </c>
      <c r="EE54" s="112" t="str">
        <f t="shared" ca="1" si="34"/>
        <v/>
      </c>
      <c r="EF54" s="120">
        <f ca="1">IF(BD54,_xll.xASN(BR54,Strike1,AO54,ED54,0,BO54,0,BI54,BL54,IF(OptControl=4,0,1),0),0)</f>
        <v>0</v>
      </c>
      <c r="EG54" s="111">
        <f ca="1">IF(BD54,_xll.xASN(BR54,Strike2,AO54,EE54,0,BO54,0,BI54,BL54,IF(OptControl=3,1,0),0),0)</f>
        <v>0</v>
      </c>
      <c r="EI54" s="483" t="str">
        <f>[1]!'CLc35 MTH'</f>
        <v>+NA+</v>
      </c>
      <c r="EJ54" s="484" t="e">
        <f t="shared" si="158"/>
        <v>#VALUE!</v>
      </c>
      <c r="EK54" s="485" t="str">
        <f>[1]!'CLc35 NET.CHNG'</f>
        <v>+NA+</v>
      </c>
      <c r="EL54" s="486">
        <f t="shared" si="159"/>
        <v>0</v>
      </c>
      <c r="EM54" s="1"/>
      <c r="EN54" s="697">
        <v>39814</v>
      </c>
      <c r="EO54" s="698">
        <v>42736</v>
      </c>
      <c r="EP54" s="1"/>
      <c r="EQ54" s="683" t="s">
        <v>241</v>
      </c>
      <c r="ES54" s="498">
        <v>35</v>
      </c>
      <c r="ET54" s="476">
        <f t="shared" ca="1" si="165"/>
        <v>2.8555783709787819</v>
      </c>
      <c r="EU54" s="842">
        <f t="shared" ca="1" si="189"/>
        <v>0</v>
      </c>
      <c r="EV54" s="815">
        <f t="shared" ca="1" si="269"/>
        <v>0.19658088351072062</v>
      </c>
      <c r="EW54" s="478" t="str">
        <f t="shared" ca="1" si="270"/>
        <v/>
      </c>
      <c r="EX54" s="477" t="str">
        <f t="shared" ca="1" si="271"/>
        <v/>
      </c>
      <c r="EY54" s="250">
        <v>0</v>
      </c>
      <c r="EZ54" s="605" t="str">
        <f ca="1">IF(OR(EW54="",EW55=""),"",SQRT(SUM(INDEX(FK54:ID54,SwaptionFirstMonthPosition+1):INDEX(FK54:ID54,FJ54))/SUM(INDEX($FK$15:$ID$15,SwaptionFirstMonthPosition+1):INDEX($FK$15:$ID$15,FJ54))))</f>
        <v/>
      </c>
      <c r="FA54" s="581" t="str">
        <f ca="1">IF(OR(EW54="",EW53=""),"",SQRT(SUM(INDEX(FK54:ID54,SwaptionFirstMonthPosition+1):INDEX(FK54:ID54,FJ54-1))/SUM(INDEX($FK$15:$ID$15,SwaptionFirstMonthPosition+1):INDEX($FK$15:$ID$15,FJ54-1))))</f>
        <v/>
      </c>
      <c r="FB54" s="578" t="str">
        <f t="shared" ca="1" si="190"/>
        <v/>
      </c>
      <c r="FC54" s="609" t="str">
        <f t="shared" ca="1" si="191"/>
        <v/>
      </c>
      <c r="FD54" s="579" t="str">
        <f t="shared" ca="1" si="192"/>
        <v/>
      </c>
      <c r="FE54" s="579" t="str">
        <f t="shared" ca="1" si="193"/>
        <v/>
      </c>
      <c r="FF54" s="579" t="str">
        <f t="shared" ca="1" si="194"/>
        <v/>
      </c>
      <c r="FG54" s="580" t="str">
        <f t="shared" ca="1" si="195"/>
        <v/>
      </c>
      <c r="FH54" s="606" t="str">
        <f t="shared" ca="1" si="196"/>
        <v/>
      </c>
      <c r="FI54" s="250"/>
      <c r="FJ54" s="673">
        <v>35</v>
      </c>
      <c r="FK54" s="460">
        <f t="shared" ca="1" si="197"/>
        <v>0</v>
      </c>
      <c r="FL54" s="460">
        <f t="shared" ca="1" si="198"/>
        <v>2.2105607558874051E-3</v>
      </c>
      <c r="FM54" s="460">
        <f t="shared" ca="1" si="199"/>
        <v>2.5731547248482776E-3</v>
      </c>
      <c r="FN54" s="460">
        <f t="shared" ca="1" si="200"/>
        <v>2.1695381915654995E-3</v>
      </c>
      <c r="FO54" s="460">
        <f t="shared" ca="1" si="201"/>
        <v>2.2612623407024654E-3</v>
      </c>
      <c r="FP54" s="460">
        <f t="shared" ca="1" si="202"/>
        <v>2.5117146914052984E-3</v>
      </c>
      <c r="FQ54" s="460">
        <f t="shared" ca="1" si="203"/>
        <v>2.0391970660430655E-3</v>
      </c>
      <c r="FR54" s="460">
        <f t="shared" ca="1" si="204"/>
        <v>2.0918250003443746E-3</v>
      </c>
      <c r="FS54" s="460">
        <f t="shared" ca="1" si="205"/>
        <v>2.3663802472951049E-3</v>
      </c>
      <c r="FT54" s="460">
        <f t="shared" ca="1" si="206"/>
        <v>2.1451603036058932E-3</v>
      </c>
      <c r="FU54" s="460">
        <f t="shared" ca="1" si="207"/>
        <v>2.0731116400737725E-3</v>
      </c>
      <c r="FV54" s="460">
        <f t="shared" ca="1" si="208"/>
        <v>2.2921453854668158E-3</v>
      </c>
      <c r="FW54" s="460">
        <f t="shared" ca="1" si="209"/>
        <v>2.1576542246668313E-3</v>
      </c>
      <c r="FX54" s="460">
        <f t="shared" ca="1" si="210"/>
        <v>2.3155103775647336E-3</v>
      </c>
      <c r="FY54" s="460">
        <f t="shared" ca="1" si="211"/>
        <v>2.1884132657387931E-3</v>
      </c>
      <c r="FZ54" s="460">
        <f t="shared" ca="1" si="212"/>
        <v>2.0634615480761959E-3</v>
      </c>
      <c r="GA54" s="460">
        <f t="shared" ca="1" si="213"/>
        <v>2.2386523363818961E-3</v>
      </c>
      <c r="GB54" s="460">
        <f t="shared" ca="1" si="214"/>
        <v>2.4998535926369549E-3</v>
      </c>
      <c r="GC54" s="460">
        <f t="shared" ca="1" si="215"/>
        <v>2.2365985098101735E-3</v>
      </c>
      <c r="GD54" s="460">
        <f t="shared" ca="1" si="216"/>
        <v>2.2846233578539673E-3</v>
      </c>
      <c r="GE54" s="460">
        <f t="shared" ca="1" si="217"/>
        <v>2.6657431712678184E-3</v>
      </c>
      <c r="GF54" s="460">
        <f t="shared" ca="1" si="218"/>
        <v>2.4128019342936533E-3</v>
      </c>
      <c r="GG54" s="460">
        <f t="shared" ca="1" si="219"/>
        <v>2.7564391935789552E-3</v>
      </c>
      <c r="GH54" s="460">
        <f t="shared" ca="1" si="220"/>
        <v>2.6917600067604022E-3</v>
      </c>
      <c r="GI54" s="460">
        <f t="shared" ca="1" si="221"/>
        <v>2.7298064339067742E-3</v>
      </c>
      <c r="GJ54" s="460">
        <f t="shared" ca="1" si="222"/>
        <v>3.2863729841089602E-3</v>
      </c>
      <c r="GK54" s="460">
        <f t="shared" ca="1" si="223"/>
        <v>3.1922515780365172E-3</v>
      </c>
      <c r="GL54" s="460">
        <f t="shared" ca="1" si="224"/>
        <v>3.3360435502189632E-3</v>
      </c>
      <c r="GM54" s="460">
        <f t="shared" ca="1" si="225"/>
        <v>3.9090781050578971E-3</v>
      </c>
      <c r="GN54" s="460">
        <f t="shared" ca="1" si="226"/>
        <v>4.356131658458863E-3</v>
      </c>
      <c r="GO54" s="460">
        <f t="shared" ca="1" si="227"/>
        <v>4.9503740046232449E-3</v>
      </c>
      <c r="GP54" s="460">
        <f t="shared" ca="1" si="228"/>
        <v>5.2016379520007771E-3</v>
      </c>
      <c r="GQ54" s="460">
        <f t="shared" ca="1" si="229"/>
        <v>6.890521765291536E-3</v>
      </c>
      <c r="GR54" s="460">
        <f t="shared" ca="1" si="230"/>
        <v>8.2535421568825616E-3</v>
      </c>
      <c r="GS54" s="460">
        <f t="shared" ca="1" si="231"/>
        <v>1.099977347905765E-2</v>
      </c>
      <c r="GT54" s="460" t="str">
        <f t="shared" si="232"/>
        <v/>
      </c>
      <c r="GU54" s="460" t="str">
        <f t="shared" si="233"/>
        <v/>
      </c>
      <c r="GV54" s="460" t="str">
        <f t="shared" si="234"/>
        <v/>
      </c>
      <c r="GW54" s="460" t="str">
        <f t="shared" si="235"/>
        <v/>
      </c>
      <c r="GX54" s="460" t="str">
        <f t="shared" si="236"/>
        <v/>
      </c>
      <c r="GY54" s="460" t="str">
        <f t="shared" si="237"/>
        <v/>
      </c>
      <c r="GZ54" s="460" t="str">
        <f t="shared" si="238"/>
        <v/>
      </c>
      <c r="HA54" s="460" t="str">
        <f t="shared" si="239"/>
        <v/>
      </c>
      <c r="HB54" s="460" t="str">
        <f t="shared" si="240"/>
        <v/>
      </c>
      <c r="HC54" s="460" t="str">
        <f t="shared" si="241"/>
        <v/>
      </c>
      <c r="HD54" s="460" t="str">
        <f t="shared" si="242"/>
        <v/>
      </c>
      <c r="HE54" s="460" t="str">
        <f t="shared" si="243"/>
        <v/>
      </c>
      <c r="HF54" s="460" t="str">
        <f t="shared" si="244"/>
        <v/>
      </c>
      <c r="HG54" s="460" t="str">
        <f t="shared" si="245"/>
        <v/>
      </c>
      <c r="HH54" s="460" t="str">
        <f t="shared" si="246"/>
        <v/>
      </c>
      <c r="HI54" s="460" t="str">
        <f t="shared" si="247"/>
        <v/>
      </c>
      <c r="HJ54" s="460" t="str">
        <f t="shared" si="248"/>
        <v/>
      </c>
      <c r="HK54" s="460" t="str">
        <f t="shared" si="249"/>
        <v/>
      </c>
      <c r="HL54" s="460" t="str">
        <f t="shared" si="250"/>
        <v/>
      </c>
      <c r="HM54" s="460" t="str">
        <f t="shared" si="251"/>
        <v/>
      </c>
      <c r="HN54" s="460" t="str">
        <f t="shared" si="252"/>
        <v/>
      </c>
      <c r="HO54" s="460" t="str">
        <f t="shared" si="253"/>
        <v/>
      </c>
      <c r="HP54" s="460" t="str">
        <f t="shared" si="254"/>
        <v/>
      </c>
      <c r="HQ54" s="460" t="str">
        <f t="shared" si="255"/>
        <v/>
      </c>
      <c r="HR54" s="460" t="str">
        <f t="shared" si="256"/>
        <v/>
      </c>
      <c r="HS54" s="460" t="str">
        <f t="shared" si="257"/>
        <v/>
      </c>
      <c r="HT54" s="460" t="str">
        <f t="shared" si="258"/>
        <v/>
      </c>
      <c r="HU54" s="460" t="str">
        <f t="shared" si="259"/>
        <v/>
      </c>
      <c r="HV54" s="460" t="str">
        <f t="shared" si="260"/>
        <v/>
      </c>
      <c r="HW54" s="460" t="str">
        <f t="shared" si="261"/>
        <v/>
      </c>
      <c r="HX54" s="460" t="str">
        <f t="shared" si="262"/>
        <v/>
      </c>
      <c r="HY54" s="460" t="str">
        <f t="shared" si="263"/>
        <v/>
      </c>
      <c r="HZ54" s="460" t="str">
        <f t="shared" si="264"/>
        <v/>
      </c>
      <c r="IA54" s="460" t="str">
        <f t="shared" si="265"/>
        <v/>
      </c>
      <c r="IB54" s="460" t="str">
        <f t="shared" si="266"/>
        <v/>
      </c>
      <c r="IC54" s="460" t="str">
        <f t="shared" si="267"/>
        <v/>
      </c>
      <c r="ID54" s="674" t="str">
        <f t="shared" si="268"/>
        <v/>
      </c>
      <c r="IE54" s="250"/>
    </row>
    <row r="55" spans="1:239">
      <c r="A55" s="51"/>
      <c r="B55" s="51"/>
      <c r="C55" s="51"/>
      <c r="D55" s="51"/>
      <c r="E55" s="51"/>
      <c r="F55" s="51"/>
      <c r="G55" s="51"/>
      <c r="H55" s="51">
        <f t="shared" ca="1" si="35"/>
        <v>0</v>
      </c>
      <c r="I55" s="379">
        <f t="shared" si="36"/>
        <v>37834</v>
      </c>
      <c r="J55" s="377"/>
      <c r="K55" s="104" t="s">
        <v>269</v>
      </c>
      <c r="L55" s="392">
        <f t="shared" si="37"/>
        <v>0</v>
      </c>
      <c r="M55" s="171"/>
      <c r="N55" s="382">
        <v>0</v>
      </c>
      <c r="O55" s="171">
        <f t="shared" si="38"/>
        <v>0</v>
      </c>
      <c r="P55" s="377"/>
      <c r="Q55" s="104" t="s">
        <v>268</v>
      </c>
      <c r="R55" s="377">
        <f t="shared" ca="1" si="148"/>
        <v>-2.3453181818181816</v>
      </c>
      <c r="S55" s="832">
        <f t="shared" si="164"/>
        <v>0.3600022601795787</v>
      </c>
      <c r="T55" s="831">
        <f t="shared" si="149"/>
        <v>0.99953258998497996</v>
      </c>
      <c r="U55" s="545">
        <f t="shared" si="150"/>
        <v>0.99999936432449343</v>
      </c>
      <c r="V55" s="389">
        <v>0</v>
      </c>
      <c r="W55" s="434">
        <f t="shared" si="166"/>
        <v>0</v>
      </c>
      <c r="X55" s="415">
        <f t="shared" si="167"/>
        <v>0</v>
      </c>
      <c r="Y55" s="322">
        <f t="shared" si="168"/>
        <v>-1.2051000000000001</v>
      </c>
      <c r="Z55" s="322">
        <f t="shared" ca="1" si="169"/>
        <v>-1.2051000000000001</v>
      </c>
      <c r="AA55" s="429">
        <f t="shared" si="1"/>
        <v>1.2051000000000001</v>
      </c>
      <c r="AB55" s="433">
        <f t="shared" ca="1" si="2"/>
        <v>1.2051000000000001</v>
      </c>
      <c r="AC55" s="226">
        <v>37822</v>
      </c>
      <c r="AD55" s="229">
        <v>37818</v>
      </c>
      <c r="AE55" s="229">
        <v>37817</v>
      </c>
      <c r="AF55" s="229">
        <v>37813</v>
      </c>
      <c r="AG55" s="249" t="s">
        <v>90</v>
      </c>
      <c r="AH55" s="247" t="s">
        <v>499</v>
      </c>
      <c r="AI55" s="146">
        <v>21</v>
      </c>
      <c r="AJ55" s="41">
        <v>14</v>
      </c>
      <c r="AK55" s="41">
        <v>7</v>
      </c>
      <c r="AL55" s="293">
        <v>21</v>
      </c>
      <c r="AM55" s="41">
        <v>10</v>
      </c>
      <c r="AN55" s="147">
        <v>11</v>
      </c>
      <c r="AO55" s="374"/>
      <c r="AP55" s="153">
        <f t="shared" ca="1" si="43"/>
        <v>1</v>
      </c>
      <c r="AQ55" s="374"/>
      <c r="AR55" s="153">
        <f t="shared" ca="1" si="151"/>
        <v>1</v>
      </c>
      <c r="AS55" s="272">
        <f t="shared" si="170"/>
        <v>0</v>
      </c>
      <c r="AT55" s="157">
        <f t="shared" si="44"/>
        <v>0</v>
      </c>
      <c r="AU55" s="157">
        <f t="shared" si="4"/>
        <v>0</v>
      </c>
      <c r="AV55" s="271">
        <f t="shared" ca="1" si="163"/>
        <v>9.9999999999999995E-7</v>
      </c>
      <c r="AW55" s="158" t="str">
        <f t="shared" ca="1" si="171"/>
        <v/>
      </c>
      <c r="AX55" s="157">
        <f t="shared" ca="1" si="152"/>
        <v>7.8482814027628339E-3</v>
      </c>
      <c r="AY55" s="157">
        <f t="shared" ca="1" si="153"/>
        <v>4.8114907721116904E-3</v>
      </c>
      <c r="AZ55" s="157">
        <f t="shared" ca="1" si="154"/>
        <v>1.9355958857506983E-3</v>
      </c>
      <c r="BA55" s="157">
        <f t="shared" ca="1" si="155"/>
        <v>2.4194948571883729E-4</v>
      </c>
      <c r="BB55" s="157">
        <f t="shared" ca="1" si="156"/>
        <v>1.5824063743126622E-4</v>
      </c>
      <c r="BC55" s="157">
        <f t="shared" ca="1" si="157"/>
        <v>1.1707910727922062E-4</v>
      </c>
      <c r="BD55" s="151">
        <f t="shared" ca="1" si="172"/>
        <v>0</v>
      </c>
      <c r="BE55" s="152">
        <f t="shared" ca="1" si="173"/>
        <v>0</v>
      </c>
      <c r="BF55" s="40">
        <f t="shared" si="174"/>
        <v>2003</v>
      </c>
      <c r="BG55" s="144">
        <f t="shared" si="175"/>
        <v>8</v>
      </c>
      <c r="BH55" s="145">
        <f t="shared" ca="1" si="176"/>
        <v>1073</v>
      </c>
      <c r="BI55" s="313">
        <f t="shared" ca="1" si="177"/>
        <v>2.9815195071868583</v>
      </c>
      <c r="BJ55" s="42">
        <f t="shared" ca="1" si="10"/>
        <v>3.0362765229295001</v>
      </c>
      <c r="BK55" s="42">
        <f t="shared" ca="1" si="178"/>
        <v>3.0390143737166322</v>
      </c>
      <c r="BL55" s="42">
        <f t="shared" ca="1" si="179"/>
        <v>3.0636550308008212</v>
      </c>
      <c r="BM55" s="150" t="e">
        <f t="shared" ca="1" si="13"/>
        <v>#DIV/0!</v>
      </c>
      <c r="BN55" s="42" t="e">
        <f t="shared" ca="1" si="14"/>
        <v>#DIV/0!</v>
      </c>
      <c r="BO55" s="293">
        <f t="shared" si="48"/>
        <v>21</v>
      </c>
      <c r="BP55" s="41">
        <f t="shared" si="49"/>
        <v>14</v>
      </c>
      <c r="BQ55" s="41">
        <f t="shared" si="50"/>
        <v>7</v>
      </c>
      <c r="BR55" s="305" t="str">
        <f t="shared" ca="1" si="15"/>
        <v/>
      </c>
      <c r="BS55" s="305" t="str">
        <f t="shared" ca="1" si="180"/>
        <v/>
      </c>
      <c r="BT55" s="307" t="str">
        <f t="shared" ca="1" si="181"/>
        <v/>
      </c>
      <c r="BU55" s="161" t="str">
        <f t="shared" ca="1" si="18"/>
        <v/>
      </c>
      <c r="BV55" s="161" t="str">
        <f t="shared" ca="1" si="19"/>
        <v/>
      </c>
      <c r="BW55" s="308" t="str">
        <f t="shared" ca="1" si="20"/>
        <v/>
      </c>
      <c r="BX55" s="309" t="str">
        <f t="shared" ca="1" si="21"/>
        <v/>
      </c>
      <c r="BY55" s="308" t="str">
        <f t="shared" ca="1" si="51"/>
        <v/>
      </c>
      <c r="BZ55" s="309" t="str">
        <f t="shared" ca="1" si="52"/>
        <v/>
      </c>
      <c r="CA55" s="154" t="str">
        <f t="shared" ca="1" si="22"/>
        <v/>
      </c>
      <c r="CB55" s="154" t="str">
        <f t="shared" ca="1" si="23"/>
        <v/>
      </c>
      <c r="CC55" s="154" t="str">
        <f t="shared" ca="1" si="24"/>
        <v/>
      </c>
      <c r="CD55" s="154" t="str">
        <f t="shared" ca="1" si="25"/>
        <v/>
      </c>
      <c r="CE55" s="310">
        <v>1</v>
      </c>
      <c r="CF55" s="162">
        <f ca="1">IF(BD55,_xll.xCrudeAPO(BU55,BV55,CA55,CB55,S56,S57,BI55,BL55,BP55,BQ55,0,Strike1,AO55,CE55,0,BL55,IF(OptControl=4,0,1),0,1),0)</f>
        <v>0</v>
      </c>
      <c r="CG55" s="163">
        <f ca="1">IF(BD55,_xll.xCrudeAPO(BU55,BV55,CA55,CB55,S56,S57,BI55,BL55,BP55,BQ55,0,Strike1,AO55,CE55,0,BL55,IF(OptControl=4,0,1),1,1)+_xll.xCrudeAPO(BU55,BV55,CA55,CB55,S56,S57,BI55,BL55,BP55,BQ55,0,Strike1,AO55,CE55,0,BL55,IF(OptControl=4,0,1),1,2)+IF(OR(VolSkewFlag=2,ABS(BS55)&lt;0.0001),0,IF(BS55&gt;0,-1,1)*CH55*Strike1/BR55^2*BY55/10%),0)</f>
        <v>0</v>
      </c>
      <c r="CH55" s="163">
        <f ca="1">IF(BD55,(_xll.xCrudeAPO(BU55,BV55,CA55,CB55,S56,S57,BI55,BL55,BP55,BQ55,0,Strike1,AO55,CE55,0,BL55,IF(OptControl=4,0,1),3,1)+_xll.xCrudeAPO(BU55,BV55,CA55,CB55,S56,S57,BI55,BL55,BP55,BQ55,0,Strike1,AO55,CE55,0,BL55,IF(OptControl=4,0,1),3,2))/100,0)</f>
        <v>0</v>
      </c>
      <c r="CI55" s="163">
        <f ca="1">IF(BD55,_xll.xCrudeAPO(BU55,BV55,CA55,CB55,S56,S57,BI55-DaysForThetaCalculation/365.25,BL55-DaysForThetaCalculation/365.25,BP55,BQ55,0,Strike1,AO55,CE55,0,BL55,IF(OptControl=4,0,1),0,1)-_xll.xCrudeAPO(BU55,BV55,CA55,CB55,S56,S57,BI55,BL55,BP55,BQ55,0,Strike1,AO55,CE55,0,BL55,IF(OptControl=4,0,1),0,1),0)</f>
        <v>0</v>
      </c>
      <c r="CJ55" s="311">
        <f ca="1">IF(BD55,_xll.xCrudeAPO(BU55,BV55,CC55,CD55,S56,S57,BI55,BL55,BP55,BQ55,0,Strike2,AO55,CE55,0,BL55,IF(OptControl=3,1,0),0,1),0)</f>
        <v>0</v>
      </c>
      <c r="CK55" s="163">
        <f ca="1">IF(BD55,_xll.xCrudeAPO(BU55,BV55,CC55,CD55,S56,S57,BI55,BL55,BP55,BQ55,0,Strike2,AO55,CE55,0,BL55,IF(OptControl=3,1,0),1,1)+_xll.xCrudeAPO(BU55,BV55,CC55,CD55,S56,S57,BI55,BL55,BP55,BQ55,0,Strike2,AO55,CE55,0,BL55,IF(OptControl=3,1,0),1,2)+IF(OR(VolSkewFlag=2,ABS(BT55)&lt;0.0001),0,IF(BT55&gt;0,-1,1)*CL55*Strike2/BR55^2*BZ55/10%),0)</f>
        <v>0</v>
      </c>
      <c r="CL55" s="163">
        <f ca="1">IF(BD55,(_xll.xCrudeAPO(BU55,BV55,CC55,CD55,S56,S57,BI55,BL55,BP55,BQ55,0,Strike2,AO55,CE55,0,BL55,IF(OptControl=3,1,0),3,1)+_xll.xCrudeAPO(BU55,BV55,CC55,CD55,S56,S57,BI55,BL55,BP55,BQ55,0,Strike2,AO55,CE55,0,BL55,IF(OptControl=3,1,0),3,2))/100,0)</f>
        <v>0</v>
      </c>
      <c r="CM55" s="164">
        <f ca="1">IF(BD55,_xll.xCrudeAPO(BU55,BV55,CC55,CD55,S56,S57,BI55-DaysForThetaCalculation/365.25,BL55-DaysForThetaCalculation/365.25,BP55,BQ55,0,Strike2,AO55,CE55,0,BL55,IF(OptControl=3,1,0),0,1)-_xll.xCrudeAPO(BU55,BV55,CC55,CD55,S56,S57,BI55,BL55,BP55,BQ55,0,Strike2,AO55,CE55,0,BL55,IF(OptControl=3,1,0),0,1),0)</f>
        <v>0</v>
      </c>
      <c r="CN55" s="53"/>
      <c r="CO55" s="796" t="str">
        <f t="shared" ca="1" si="53"/>
        <v/>
      </c>
      <c r="CP55" s="800" t="str">
        <f t="shared" ca="1" si="54"/>
        <v/>
      </c>
      <c r="CQ55" s="797" t="str">
        <f t="shared" ca="1" si="55"/>
        <v/>
      </c>
      <c r="CR55" s="797" t="str">
        <f t="shared" ca="1" si="56"/>
        <v/>
      </c>
      <c r="CS55" s="797" t="str">
        <f t="shared" ca="1" si="57"/>
        <v/>
      </c>
      <c r="CT55" s="797" t="str">
        <f t="shared" ca="1" si="58"/>
        <v/>
      </c>
      <c r="CU55" s="798" t="str">
        <f t="shared" ca="1" si="59"/>
        <v/>
      </c>
      <c r="CV55" s="799" t="str">
        <f t="shared" ca="1" si="60"/>
        <v/>
      </c>
      <c r="CW55" s="799" t="str">
        <f t="shared" ca="1" si="61"/>
        <v/>
      </c>
      <c r="CX55" s="163">
        <f ca="1">IF(BD55,_xll.EURO(CP55,Strike1,AO55,AO55,CV55,CO55,IF(OptControl=4,0,1),0),0)</f>
        <v>0</v>
      </c>
      <c r="CY55" s="163">
        <f ca="1">IF(BD55,_xll.EURO(CP55,Strike1,AO55,AO55,CV55,CO55,IF(OptControl=4,0,1),1)+IF(OR(VolSkewFlag=2,ABS(CQ55)&lt;0.0001),0,IF(CQ55&gt;0,-1,1)*CZ55*100*Strike1/CP55^2*CS55/10%),0)</f>
        <v>0</v>
      </c>
      <c r="CZ55" s="163">
        <f ca="1">IF(BD55,_xll.EURO(CP55,Strike1,AO55,AO55,CV55,CO55,IF(OptControl=4,0,1),3)/100,0)</f>
        <v>0</v>
      </c>
      <c r="DA55" s="163">
        <f ca="1">IF(BD55,_xll.EURO(CP55,Strike1,AO55,AO55,CV55,CO55,IF(OptControl=4,0,1),0)-_xll.EURO(CP55,Strike1,AO55,AO55,CV55,CO55-1,IF(OptControl=4,0,1),0),0)</f>
        <v>0</v>
      </c>
      <c r="DB55" s="163">
        <f ca="1">IF(BD55,_xll.EURO(CP55,Strike2,AO55,AO55,CW55,CO55,IF(OptControl=3,1,0),0),0)</f>
        <v>0</v>
      </c>
      <c r="DC55" s="163">
        <f ca="1">IF(BD55,_xll.EURO(CP55,Strike2,AO55,AO55,CW55,CO55,IF(OptControl=3,1,0),1)+IF(OR(VolSkewFlag=2,ABS(CR55)&lt;0.0001),0,IF(CR55&gt;0,-1,1)*DD55*100*Strike2/CP55^2*CT55/10%),0)</f>
        <v>0</v>
      </c>
      <c r="DD55" s="163">
        <f ca="1">IF(BD55,_xll.EURO(CP55,Strike2,AO55,AO55,CW55,CO55,IF(OptControl=3,1,0),3)/100,0)</f>
        <v>0</v>
      </c>
      <c r="DE55" s="164">
        <f ca="1">IF(BD55,_xll.EURO(CP55,Strike2,AO55,AO55,CW55,CO55,IF(OptControl=3,1,0),0)-_xll.EURO(CP55,Strike2,AO55,AO55,CW55,CO55-1,IF(OptControl=3,1,0),0),0)</f>
        <v>0</v>
      </c>
      <c r="DG55" s="667">
        <f t="shared" ca="1" si="62"/>
        <v>37622</v>
      </c>
      <c r="DH55" s="475">
        <v>18.97</v>
      </c>
      <c r="DI55" s="665">
        <v>18.899545454545457</v>
      </c>
      <c r="DJ55" s="666">
        <f t="shared" ca="1" si="182"/>
        <v>37622</v>
      </c>
      <c r="DK55" s="475">
        <v>17.860691947969734</v>
      </c>
      <c r="DL55" s="665">
        <v>17.826045454545458</v>
      </c>
      <c r="DM55" s="667">
        <f t="shared" ca="1" si="183"/>
        <v>37622</v>
      </c>
      <c r="DN55" s="668">
        <f t="shared" si="184"/>
        <v>17.910691947969735</v>
      </c>
      <c r="DO55" s="667">
        <f t="shared" ca="1" si="63"/>
        <v>37622</v>
      </c>
      <c r="DP55" s="579">
        <f t="shared" si="64"/>
        <v>17.826045454545458</v>
      </c>
      <c r="DQ55" s="821">
        <v>0</v>
      </c>
      <c r="DR55" s="666">
        <f t="shared" ca="1" si="185"/>
        <v>37622</v>
      </c>
      <c r="DS55" s="669">
        <v>0.21308864985986309</v>
      </c>
      <c r="DT55" s="606">
        <v>0.21182939918336965</v>
      </c>
      <c r="DU55" s="666">
        <f t="shared" ca="1" si="186"/>
        <v>37622</v>
      </c>
      <c r="DV55" s="669">
        <v>0.21308864985986309</v>
      </c>
      <c r="DW55" s="606">
        <v>0.21182939918336965</v>
      </c>
      <c r="DX55" s="667">
        <f t="shared" ca="1" si="187"/>
        <v>37622</v>
      </c>
      <c r="DY55" s="606">
        <v>0.35000000000465659</v>
      </c>
      <c r="DZ55" s="667">
        <f t="shared" ca="1" si="65"/>
        <v>37622</v>
      </c>
      <c r="EA55" s="606">
        <f t="shared" si="66"/>
        <v>0.21182939918336965</v>
      </c>
      <c r="EB55" s="1"/>
      <c r="EC55" s="118" t="str">
        <f t="shared" ca="1" si="188"/>
        <v/>
      </c>
      <c r="ED55" s="119" t="str">
        <f t="shared" ca="1" si="33"/>
        <v/>
      </c>
      <c r="EE55" s="112" t="str">
        <f t="shared" ca="1" si="34"/>
        <v/>
      </c>
      <c r="EF55" s="120">
        <f ca="1">IF(BD55,_xll.xASN(BR55,Strike1,AO55,ED55,0,BO55,0,BI55,BL55,IF(OptControl=4,0,1),0),0)</f>
        <v>0</v>
      </c>
      <c r="EG55" s="111">
        <f ca="1">IF(BD55,_xll.xASN(BR55,Strike2,AO55,EE55,0,BO55,0,BI55,BL55,IF(OptControl=3,1,0),0),0)</f>
        <v>0</v>
      </c>
      <c r="EL55" s="55"/>
      <c r="EM55" s="1"/>
      <c r="EN55" s="697">
        <v>39998</v>
      </c>
      <c r="EO55" s="698">
        <v>43094</v>
      </c>
      <c r="EP55" s="1"/>
      <c r="EQ55" s="683" t="s">
        <v>242</v>
      </c>
      <c r="ES55" s="498">
        <v>36</v>
      </c>
      <c r="ET55" s="476">
        <f t="shared" ca="1" si="165"/>
        <v>2.9377138945927448</v>
      </c>
      <c r="EU55" s="842">
        <f t="shared" ca="1" si="189"/>
        <v>0</v>
      </c>
      <c r="EV55" s="815">
        <f t="shared" ca="1" si="269"/>
        <v>0.19549410276480761</v>
      </c>
      <c r="EW55" s="478" t="str">
        <f t="shared" ca="1" si="270"/>
        <v/>
      </c>
      <c r="EX55" s="477" t="str">
        <f t="shared" ca="1" si="271"/>
        <v/>
      </c>
      <c r="EY55" s="250">
        <v>0</v>
      </c>
      <c r="EZ55" s="605" t="str">
        <f ca="1">IF(OR(EW55="",EW56=""),"",SQRT(SUM(INDEX(FK55:ID55,SwaptionFirstMonthPosition+1):INDEX(FK55:ID55,FJ55))/SUM(INDEX($FK$15:$ID$15,SwaptionFirstMonthPosition+1):INDEX($FK$15:$ID$15,FJ55))))</f>
        <v/>
      </c>
      <c r="FA55" s="581" t="str">
        <f ca="1">IF(OR(EW55="",EW54=""),"",SQRT(SUM(INDEX(FK55:ID55,SwaptionFirstMonthPosition+1):INDEX(FK55:ID55,FJ55-1))/SUM(INDEX($FK$15:$ID$15,SwaptionFirstMonthPosition+1):INDEX($FK$15:$ID$15,FJ55-1))))</f>
        <v/>
      </c>
      <c r="FB55" s="578" t="str">
        <f t="shared" ca="1" si="190"/>
        <v/>
      </c>
      <c r="FC55" s="609" t="str">
        <f t="shared" ca="1" si="191"/>
        <v/>
      </c>
      <c r="FD55" s="579" t="str">
        <f t="shared" ca="1" si="192"/>
        <v/>
      </c>
      <c r="FE55" s="579" t="str">
        <f t="shared" ca="1" si="193"/>
        <v/>
      </c>
      <c r="FF55" s="579" t="str">
        <f t="shared" ca="1" si="194"/>
        <v/>
      </c>
      <c r="FG55" s="580" t="str">
        <f t="shared" ca="1" si="195"/>
        <v/>
      </c>
      <c r="FH55" s="606" t="str">
        <f t="shared" ca="1" si="196"/>
        <v/>
      </c>
      <c r="FI55" s="250"/>
      <c r="FJ55" s="673">
        <v>36</v>
      </c>
      <c r="FK55" s="460">
        <f t="shared" ca="1" si="197"/>
        <v>0</v>
      </c>
      <c r="FL55" s="460">
        <f t="shared" ca="1" si="198"/>
        <v>2.2077365164436028E-3</v>
      </c>
      <c r="FM55" s="460">
        <f t="shared" ca="1" si="199"/>
        <v>2.5693097027068442E-3</v>
      </c>
      <c r="FN55" s="460">
        <f t="shared" ca="1" si="200"/>
        <v>2.1657464901679263E-3</v>
      </c>
      <c r="FO55" s="460">
        <f t="shared" ca="1" si="201"/>
        <v>2.2566401095072742E-3</v>
      </c>
      <c r="FP55" s="460">
        <f t="shared" ca="1" si="202"/>
        <v>2.5057098034910533E-3</v>
      </c>
      <c r="FQ55" s="460">
        <f t="shared" ca="1" si="203"/>
        <v>2.0334950598796834E-3</v>
      </c>
      <c r="FR55" s="460">
        <f t="shared" ca="1" si="204"/>
        <v>2.0849838722985887E-3</v>
      </c>
      <c r="FS55" s="460">
        <f t="shared" ca="1" si="205"/>
        <v>2.3573287424783671E-3</v>
      </c>
      <c r="FT55" s="460">
        <f t="shared" ca="1" si="206"/>
        <v>2.1355634274082243E-3</v>
      </c>
      <c r="FU55" s="460">
        <f t="shared" ca="1" si="207"/>
        <v>2.0622642135766926E-3</v>
      </c>
      <c r="FV55" s="460">
        <f t="shared" ca="1" si="208"/>
        <v>2.2781178921125579E-3</v>
      </c>
      <c r="FW55" s="460">
        <f t="shared" ca="1" si="209"/>
        <v>2.1422104433146396E-3</v>
      </c>
      <c r="FX55" s="460">
        <f t="shared" ca="1" si="210"/>
        <v>2.2961259753111821E-3</v>
      </c>
      <c r="FY55" s="460">
        <f t="shared" ca="1" si="211"/>
        <v>2.1669858939239207E-3</v>
      </c>
      <c r="FZ55" s="460">
        <f t="shared" ca="1" si="212"/>
        <v>2.0398312155754258E-3</v>
      </c>
      <c r="GA55" s="460">
        <f t="shared" ca="1" si="213"/>
        <v>2.2086680311500886E-3</v>
      </c>
      <c r="GB55" s="460">
        <f t="shared" ca="1" si="214"/>
        <v>2.4606924101376218E-3</v>
      </c>
      <c r="GC55" s="460">
        <f t="shared" ca="1" si="215"/>
        <v>2.1956193415655699E-3</v>
      </c>
      <c r="GD55" s="460">
        <f t="shared" ca="1" si="216"/>
        <v>2.2356653648398055E-3</v>
      </c>
      <c r="GE55" s="460">
        <f t="shared" ca="1" si="217"/>
        <v>2.5989301387558316E-3</v>
      </c>
      <c r="GF55" s="460">
        <f t="shared" ca="1" si="218"/>
        <v>2.3420727847284222E-3</v>
      </c>
      <c r="GG55" s="460">
        <f t="shared" ca="1" si="219"/>
        <v>2.6619332623979775E-3</v>
      </c>
      <c r="GH55" s="460">
        <f t="shared" ca="1" si="220"/>
        <v>2.5838203902748733E-3</v>
      </c>
      <c r="GI55" s="460">
        <f t="shared" ca="1" si="221"/>
        <v>2.601776868079283E-3</v>
      </c>
      <c r="GJ55" s="460">
        <f t="shared" ca="1" si="222"/>
        <v>3.1061006189222395E-3</v>
      </c>
      <c r="GK55" s="460">
        <f t="shared" ca="1" si="223"/>
        <v>2.9874452833086197E-3</v>
      </c>
      <c r="GL55" s="460">
        <f t="shared" ca="1" si="224"/>
        <v>3.0857141913975257E-3</v>
      </c>
      <c r="GM55" s="460">
        <f t="shared" ca="1" si="225"/>
        <v>3.5660037080502767E-3</v>
      </c>
      <c r="GN55" s="460">
        <f t="shared" ca="1" si="226"/>
        <v>3.9089861801983134E-3</v>
      </c>
      <c r="GO55" s="460">
        <f t="shared" ca="1" si="227"/>
        <v>4.3560548292019882E-3</v>
      </c>
      <c r="GP55" s="460">
        <f t="shared" ca="1" si="228"/>
        <v>4.4712464065388173E-3</v>
      </c>
      <c r="GQ55" s="460">
        <f t="shared" ca="1" si="229"/>
        <v>5.7588991693621134E-3</v>
      </c>
      <c r="GR55" s="460">
        <f t="shared" ca="1" si="230"/>
        <v>6.6681972525733432E-3</v>
      </c>
      <c r="GS55" s="460">
        <f t="shared" ca="1" si="231"/>
        <v>8.5286126335647593E-3</v>
      </c>
      <c r="GT55" s="460">
        <f t="shared" ca="1" si="232"/>
        <v>1.0644897522333052E-2</v>
      </c>
      <c r="GU55" s="460" t="str">
        <f t="shared" si="233"/>
        <v/>
      </c>
      <c r="GV55" s="460" t="str">
        <f t="shared" si="234"/>
        <v/>
      </c>
      <c r="GW55" s="460" t="str">
        <f t="shared" si="235"/>
        <v/>
      </c>
      <c r="GX55" s="460" t="str">
        <f t="shared" si="236"/>
        <v/>
      </c>
      <c r="GY55" s="460" t="str">
        <f t="shared" si="237"/>
        <v/>
      </c>
      <c r="GZ55" s="460" t="str">
        <f t="shared" si="238"/>
        <v/>
      </c>
      <c r="HA55" s="460" t="str">
        <f t="shared" si="239"/>
        <v/>
      </c>
      <c r="HB55" s="460" t="str">
        <f t="shared" si="240"/>
        <v/>
      </c>
      <c r="HC55" s="460" t="str">
        <f t="shared" si="241"/>
        <v/>
      </c>
      <c r="HD55" s="460" t="str">
        <f t="shared" si="242"/>
        <v/>
      </c>
      <c r="HE55" s="460" t="str">
        <f t="shared" si="243"/>
        <v/>
      </c>
      <c r="HF55" s="460" t="str">
        <f t="shared" si="244"/>
        <v/>
      </c>
      <c r="HG55" s="460" t="str">
        <f t="shared" si="245"/>
        <v/>
      </c>
      <c r="HH55" s="460" t="str">
        <f t="shared" si="246"/>
        <v/>
      </c>
      <c r="HI55" s="460" t="str">
        <f t="shared" si="247"/>
        <v/>
      </c>
      <c r="HJ55" s="460" t="str">
        <f t="shared" si="248"/>
        <v/>
      </c>
      <c r="HK55" s="460" t="str">
        <f t="shared" si="249"/>
        <v/>
      </c>
      <c r="HL55" s="460" t="str">
        <f t="shared" si="250"/>
        <v/>
      </c>
      <c r="HM55" s="460" t="str">
        <f t="shared" si="251"/>
        <v/>
      </c>
      <c r="HN55" s="460" t="str">
        <f t="shared" si="252"/>
        <v/>
      </c>
      <c r="HO55" s="460" t="str">
        <f t="shared" si="253"/>
        <v/>
      </c>
      <c r="HP55" s="460" t="str">
        <f t="shared" si="254"/>
        <v/>
      </c>
      <c r="HQ55" s="460" t="str">
        <f t="shared" si="255"/>
        <v/>
      </c>
      <c r="HR55" s="460" t="str">
        <f t="shared" si="256"/>
        <v/>
      </c>
      <c r="HS55" s="460" t="str">
        <f t="shared" si="257"/>
        <v/>
      </c>
      <c r="HT55" s="460" t="str">
        <f t="shared" si="258"/>
        <v/>
      </c>
      <c r="HU55" s="460" t="str">
        <f t="shared" si="259"/>
        <v/>
      </c>
      <c r="HV55" s="460" t="str">
        <f t="shared" si="260"/>
        <v/>
      </c>
      <c r="HW55" s="460" t="str">
        <f t="shared" si="261"/>
        <v/>
      </c>
      <c r="HX55" s="460" t="str">
        <f t="shared" si="262"/>
        <v/>
      </c>
      <c r="HY55" s="460" t="str">
        <f t="shared" si="263"/>
        <v/>
      </c>
      <c r="HZ55" s="460" t="str">
        <f t="shared" si="264"/>
        <v/>
      </c>
      <c r="IA55" s="460" t="str">
        <f t="shared" si="265"/>
        <v/>
      </c>
      <c r="IB55" s="460" t="str">
        <f t="shared" si="266"/>
        <v/>
      </c>
      <c r="IC55" s="460" t="str">
        <f t="shared" si="267"/>
        <v/>
      </c>
      <c r="ID55" s="674" t="str">
        <f t="shared" si="268"/>
        <v/>
      </c>
      <c r="IE55" s="250"/>
    </row>
    <row r="56" spans="1:239">
      <c r="A56" s="51"/>
      <c r="B56" s="51"/>
      <c r="C56" s="51"/>
      <c r="D56" s="51"/>
      <c r="E56" s="51"/>
      <c r="F56" s="51"/>
      <c r="G56" s="51"/>
      <c r="H56" s="51">
        <f t="shared" ca="1" si="35"/>
        <v>0</v>
      </c>
      <c r="I56" s="379">
        <f t="shared" si="36"/>
        <v>37865</v>
      </c>
      <c r="J56" s="377"/>
      <c r="K56" s="104" t="s">
        <v>269</v>
      </c>
      <c r="L56" s="392">
        <f t="shared" si="37"/>
        <v>0</v>
      </c>
      <c r="M56" s="171"/>
      <c r="N56" s="382">
        <v>0</v>
      </c>
      <c r="O56" s="171">
        <f t="shared" si="38"/>
        <v>0</v>
      </c>
      <c r="P56" s="377"/>
      <c r="Q56" s="104" t="s">
        <v>268</v>
      </c>
      <c r="R56" s="377">
        <f t="shared" ca="1" si="148"/>
        <v>-0.32800909090909103</v>
      </c>
      <c r="S56" s="832">
        <f t="shared" si="164"/>
        <v>0.36000169513468405</v>
      </c>
      <c r="T56" s="831">
        <f t="shared" si="149"/>
        <v>0.99960041130794108</v>
      </c>
      <c r="U56" s="545">
        <f t="shared" si="150"/>
        <v>0.99999952324337005</v>
      </c>
      <c r="V56" s="389">
        <v>0</v>
      </c>
      <c r="W56" s="434">
        <f t="shared" si="166"/>
        <v>0</v>
      </c>
      <c r="X56" s="415">
        <f t="shared" si="167"/>
        <v>0</v>
      </c>
      <c r="Y56" s="322">
        <f t="shared" si="168"/>
        <v>-1.2051000000000001</v>
      </c>
      <c r="Z56" s="322">
        <f t="shared" ca="1" si="169"/>
        <v>-1.2051000000000001</v>
      </c>
      <c r="AA56" s="429">
        <f t="shared" si="1"/>
        <v>1.2051000000000001</v>
      </c>
      <c r="AB56" s="433">
        <f t="shared" ca="1" si="2"/>
        <v>1.2051000000000001</v>
      </c>
      <c r="AC56" s="226">
        <v>37853</v>
      </c>
      <c r="AD56" s="229">
        <v>37849</v>
      </c>
      <c r="AE56" s="229">
        <v>37848</v>
      </c>
      <c r="AF56" s="229">
        <v>37844</v>
      </c>
      <c r="AG56" s="249" t="s">
        <v>90</v>
      </c>
      <c r="AH56" s="247" t="s">
        <v>499</v>
      </c>
      <c r="AI56" s="146">
        <v>22</v>
      </c>
      <c r="AJ56" s="41">
        <v>15</v>
      </c>
      <c r="AK56" s="41">
        <v>7</v>
      </c>
      <c r="AL56" s="293">
        <v>22</v>
      </c>
      <c r="AM56" s="41">
        <v>10</v>
      </c>
      <c r="AN56" s="147">
        <v>12</v>
      </c>
      <c r="AO56" s="374"/>
      <c r="AP56" s="153">
        <f t="shared" ca="1" si="43"/>
        <v>1</v>
      </c>
      <c r="AQ56" s="374"/>
      <c r="AR56" s="153">
        <f t="shared" ca="1" si="151"/>
        <v>1</v>
      </c>
      <c r="AS56" s="272">
        <f t="shared" si="170"/>
        <v>0</v>
      </c>
      <c r="AT56" s="157">
        <f t="shared" si="44"/>
        <v>0</v>
      </c>
      <c r="AU56" s="157">
        <f t="shared" si="4"/>
        <v>0</v>
      </c>
      <c r="AV56" s="271">
        <f t="shared" ca="1" si="163"/>
        <v>9.9999999999999995E-7</v>
      </c>
      <c r="AW56" s="158" t="str">
        <f t="shared" ca="1" si="171"/>
        <v/>
      </c>
      <c r="AX56" s="157">
        <f t="shared" ca="1" si="152"/>
        <v>7.5875277919006424E-3</v>
      </c>
      <c r="AY56" s="157">
        <f t="shared" ca="1" si="153"/>
        <v>4.6207081995054897E-3</v>
      </c>
      <c r="AZ56" s="157">
        <f t="shared" ca="1" si="154"/>
        <v>1.8269592362924532E-3</v>
      </c>
      <c r="BA56" s="157">
        <f t="shared" ca="1" si="155"/>
        <v>2.2836990453655665E-4</v>
      </c>
      <c r="BB56" s="157">
        <f t="shared" ca="1" si="156"/>
        <v>1.4439691645873603E-4</v>
      </c>
      <c r="BC56" s="157">
        <f t="shared" ca="1" si="157"/>
        <v>1.0430562659607286E-4</v>
      </c>
      <c r="BD56" s="151">
        <f t="shared" ca="1" si="172"/>
        <v>0</v>
      </c>
      <c r="BE56" s="152">
        <f t="shared" ca="1" si="173"/>
        <v>0</v>
      </c>
      <c r="BF56" s="40">
        <f t="shared" si="174"/>
        <v>2003</v>
      </c>
      <c r="BG56" s="144">
        <f t="shared" si="175"/>
        <v>9</v>
      </c>
      <c r="BH56" s="145">
        <f t="shared" ca="1" si="176"/>
        <v>1104</v>
      </c>
      <c r="BI56" s="313">
        <f t="shared" ca="1" si="177"/>
        <v>3.0663928815879533</v>
      </c>
      <c r="BJ56" s="42">
        <f t="shared" ca="1" si="10"/>
        <v>3.1205276585153383</v>
      </c>
      <c r="BK56" s="42">
        <f t="shared" ca="1" si="178"/>
        <v>3.1232655093024704</v>
      </c>
      <c r="BL56" s="42">
        <f t="shared" ca="1" si="179"/>
        <v>3.1457905544147846</v>
      </c>
      <c r="BM56" s="150" t="e">
        <f t="shared" ca="1" si="13"/>
        <v>#DIV/0!</v>
      </c>
      <c r="BN56" s="42" t="e">
        <f t="shared" ca="1" si="14"/>
        <v>#DIV/0!</v>
      </c>
      <c r="BO56" s="293">
        <f t="shared" si="48"/>
        <v>22</v>
      </c>
      <c r="BP56" s="41">
        <f t="shared" si="49"/>
        <v>15</v>
      </c>
      <c r="BQ56" s="41">
        <f t="shared" si="50"/>
        <v>7</v>
      </c>
      <c r="BR56" s="305" t="str">
        <f t="shared" ca="1" si="15"/>
        <v/>
      </c>
      <c r="BS56" s="305" t="str">
        <f t="shared" ca="1" si="180"/>
        <v/>
      </c>
      <c r="BT56" s="307" t="str">
        <f t="shared" ca="1" si="181"/>
        <v/>
      </c>
      <c r="BU56" s="161" t="str">
        <f t="shared" ca="1" si="18"/>
        <v/>
      </c>
      <c r="BV56" s="161" t="str">
        <f t="shared" ca="1" si="19"/>
        <v/>
      </c>
      <c r="BW56" s="308" t="str">
        <f t="shared" ca="1" si="20"/>
        <v/>
      </c>
      <c r="BX56" s="309" t="str">
        <f t="shared" ca="1" si="21"/>
        <v/>
      </c>
      <c r="BY56" s="308" t="str">
        <f t="shared" ca="1" si="51"/>
        <v/>
      </c>
      <c r="BZ56" s="309" t="str">
        <f t="shared" ca="1" si="52"/>
        <v/>
      </c>
      <c r="CA56" s="154" t="str">
        <f t="shared" ca="1" si="22"/>
        <v/>
      </c>
      <c r="CB56" s="154" t="str">
        <f t="shared" ca="1" si="23"/>
        <v/>
      </c>
      <c r="CC56" s="154" t="str">
        <f t="shared" ca="1" si="24"/>
        <v/>
      </c>
      <c r="CD56" s="154" t="str">
        <f t="shared" ca="1" si="25"/>
        <v/>
      </c>
      <c r="CE56" s="310">
        <v>1</v>
      </c>
      <c r="CF56" s="162">
        <f ca="1">IF(BD56,_xll.xCrudeAPO(BU56,BV56,CA56,CB56,S57,S58,BI56,BL56,BP56,BQ56,0,Strike1,AO56,CE56,0,BL56,IF(OptControl=4,0,1),0,1),0)</f>
        <v>0</v>
      </c>
      <c r="CG56" s="163">
        <f ca="1">IF(BD56,_xll.xCrudeAPO(BU56,BV56,CA56,CB56,S57,S58,BI56,BL56,BP56,BQ56,0,Strike1,AO56,CE56,0,BL56,IF(OptControl=4,0,1),1,1)+_xll.xCrudeAPO(BU56,BV56,CA56,CB56,S57,S58,BI56,BL56,BP56,BQ56,0,Strike1,AO56,CE56,0,BL56,IF(OptControl=4,0,1),1,2)+IF(OR(VolSkewFlag=2,ABS(BS56)&lt;0.0001),0,IF(BS56&gt;0,-1,1)*CH56*Strike1/BR56^2*BY56/10%),0)</f>
        <v>0</v>
      </c>
      <c r="CH56" s="163">
        <f ca="1">IF(BD56,(_xll.xCrudeAPO(BU56,BV56,CA56,CB56,S57,S58,BI56,BL56,BP56,BQ56,0,Strike1,AO56,CE56,0,BL56,IF(OptControl=4,0,1),3,1)+_xll.xCrudeAPO(BU56,BV56,CA56,CB56,S57,S58,BI56,BL56,BP56,BQ56,0,Strike1,AO56,CE56,0,BL56,IF(OptControl=4,0,1),3,2))/100,0)</f>
        <v>0</v>
      </c>
      <c r="CI56" s="163">
        <f ca="1">IF(BD56,_xll.xCrudeAPO(BU56,BV56,CA56,CB56,S57,S58,BI56-DaysForThetaCalculation/365.25,BL56-DaysForThetaCalculation/365.25,BP56,BQ56,0,Strike1,AO56,CE56,0,BL56,IF(OptControl=4,0,1),0,1)-_xll.xCrudeAPO(BU56,BV56,CA56,CB56,S57,S58,BI56,BL56,BP56,BQ56,0,Strike1,AO56,CE56,0,BL56,IF(OptControl=4,0,1),0,1),0)</f>
        <v>0</v>
      </c>
      <c r="CJ56" s="311">
        <f ca="1">IF(BD56,_xll.xCrudeAPO(BU56,BV56,CC56,CD56,S57,S58,BI56,BL56,BP56,BQ56,0,Strike2,AO56,CE56,0,BL56,IF(OptControl=3,1,0),0,1),0)</f>
        <v>0</v>
      </c>
      <c r="CK56" s="163">
        <f ca="1">IF(BD56,_xll.xCrudeAPO(BU56,BV56,CC56,CD56,S57,S58,BI56,BL56,BP56,BQ56,0,Strike2,AO56,CE56,0,BL56,IF(OptControl=3,1,0),1,1)+_xll.xCrudeAPO(BU56,BV56,CC56,CD56,S57,S58,BI56,BL56,BP56,BQ56,0,Strike2,AO56,CE56,0,BL56,IF(OptControl=3,1,0),1,2)+IF(OR(VolSkewFlag=2,ABS(BT56)&lt;0.0001),0,IF(BT56&gt;0,-1,1)*CL56*Strike2/BR56^2*BZ56/10%),0)</f>
        <v>0</v>
      </c>
      <c r="CL56" s="163">
        <f ca="1">IF(BD56,(_xll.xCrudeAPO(BU56,BV56,CC56,CD56,S57,S58,BI56,BL56,BP56,BQ56,0,Strike2,AO56,CE56,0,BL56,IF(OptControl=3,1,0),3,1)+_xll.xCrudeAPO(BU56,BV56,CC56,CD56,S57,S58,BI56,BL56,BP56,BQ56,0,Strike2,AO56,CE56,0,BL56,IF(OptControl=3,1,0),3,2))/100,0)</f>
        <v>0</v>
      </c>
      <c r="CM56" s="164">
        <f ca="1">IF(BD56,_xll.xCrudeAPO(BU56,BV56,CC56,CD56,S57,S58,BI56-DaysForThetaCalculation/365.25,BL56-DaysForThetaCalculation/365.25,BP56,BQ56,0,Strike2,AO56,CE56,0,BL56,IF(OptControl=3,1,0),0,1)-_xll.xCrudeAPO(BU56,BV56,CC56,CD56,S57,S58,BI56,BL56,BP56,BQ56,0,Strike2,AO56,CE56,0,BL56,IF(OptControl=3,1,0),0,1),0)</f>
        <v>0</v>
      </c>
      <c r="CN56" s="53"/>
      <c r="CO56" s="796" t="str">
        <f t="shared" ca="1" si="53"/>
        <v/>
      </c>
      <c r="CP56" s="800" t="str">
        <f t="shared" ca="1" si="54"/>
        <v/>
      </c>
      <c r="CQ56" s="797" t="str">
        <f t="shared" ca="1" si="55"/>
        <v/>
      </c>
      <c r="CR56" s="797" t="str">
        <f t="shared" ca="1" si="56"/>
        <v/>
      </c>
      <c r="CS56" s="797" t="str">
        <f t="shared" ca="1" si="57"/>
        <v/>
      </c>
      <c r="CT56" s="797" t="str">
        <f t="shared" ca="1" si="58"/>
        <v/>
      </c>
      <c r="CU56" s="798" t="str">
        <f t="shared" ca="1" si="59"/>
        <v/>
      </c>
      <c r="CV56" s="799" t="str">
        <f t="shared" ca="1" si="60"/>
        <v/>
      </c>
      <c r="CW56" s="799" t="str">
        <f t="shared" ca="1" si="61"/>
        <v/>
      </c>
      <c r="CX56" s="163">
        <f ca="1">IF(BD56,_xll.EURO(CP56,Strike1,AO56,AO56,CV56,CO56,IF(OptControl=4,0,1),0),0)</f>
        <v>0</v>
      </c>
      <c r="CY56" s="163">
        <f ca="1">IF(BD56,_xll.EURO(CP56,Strike1,AO56,AO56,CV56,CO56,IF(OptControl=4,0,1),1)+IF(OR(VolSkewFlag=2,ABS(CQ56)&lt;0.0001),0,IF(CQ56&gt;0,-1,1)*CZ56*100*Strike1/CP56^2*CS56/10%),0)</f>
        <v>0</v>
      </c>
      <c r="CZ56" s="163">
        <f ca="1">IF(BD56,_xll.EURO(CP56,Strike1,AO56,AO56,CV56,CO56,IF(OptControl=4,0,1),3)/100,0)</f>
        <v>0</v>
      </c>
      <c r="DA56" s="163">
        <f ca="1">IF(BD56,_xll.EURO(CP56,Strike1,AO56,AO56,CV56,CO56,IF(OptControl=4,0,1),0)-_xll.EURO(CP56,Strike1,AO56,AO56,CV56,CO56-1,IF(OptControl=4,0,1),0),0)</f>
        <v>0</v>
      </c>
      <c r="DB56" s="163">
        <f ca="1">IF(BD56,_xll.EURO(CP56,Strike2,AO56,AO56,CW56,CO56,IF(OptControl=3,1,0),0),0)</f>
        <v>0</v>
      </c>
      <c r="DC56" s="163">
        <f ca="1">IF(BD56,_xll.EURO(CP56,Strike2,AO56,AO56,CW56,CO56,IF(OptControl=3,1,0),1)+IF(OR(VolSkewFlag=2,ABS(CR56)&lt;0.0001),0,IF(CR56&gt;0,-1,1)*DD56*100*Strike2/CP56^2*CT56/10%),0)</f>
        <v>0</v>
      </c>
      <c r="DD56" s="163">
        <f ca="1">IF(BD56,_xll.EURO(CP56,Strike2,AO56,AO56,CW56,CO56,IF(OptControl=3,1,0),3)/100,0)</f>
        <v>0</v>
      </c>
      <c r="DE56" s="164">
        <f ca="1">IF(BD56,_xll.EURO(CP56,Strike2,AO56,AO56,CW56,CO56,IF(OptControl=3,1,0),0)-_xll.EURO(CP56,Strike2,AO56,AO56,CW56,CO56-1,IF(OptControl=3,1,0),0),0)</f>
        <v>0</v>
      </c>
      <c r="DG56" s="667">
        <f t="shared" ca="1" si="62"/>
        <v>37653</v>
      </c>
      <c r="DH56" s="475">
        <v>18.920000000000002</v>
      </c>
      <c r="DI56" s="665">
        <v>18.855</v>
      </c>
      <c r="DJ56" s="666">
        <f t="shared" ca="1" si="182"/>
        <v>37653</v>
      </c>
      <c r="DK56" s="475">
        <v>17.914189138209334</v>
      </c>
      <c r="DL56" s="665">
        <v>17.781500000000005</v>
      </c>
      <c r="DM56" s="667">
        <f t="shared" ca="1" si="183"/>
        <v>37653</v>
      </c>
      <c r="DN56" s="668">
        <f t="shared" si="184"/>
        <v>17.964189138209335</v>
      </c>
      <c r="DO56" s="667">
        <f t="shared" ca="1" si="63"/>
        <v>37653</v>
      </c>
      <c r="DP56" s="579">
        <f t="shared" si="64"/>
        <v>17.781500000000005</v>
      </c>
      <c r="DQ56" s="821">
        <v>0</v>
      </c>
      <c r="DR56" s="666">
        <f t="shared" ca="1" si="185"/>
        <v>37653</v>
      </c>
      <c r="DS56" s="669">
        <v>0.21158991805608302</v>
      </c>
      <c r="DT56" s="606">
        <v>0.21180526187256268</v>
      </c>
      <c r="DU56" s="666">
        <f t="shared" ca="1" si="186"/>
        <v>37653</v>
      </c>
      <c r="DV56" s="669">
        <v>0.21158991805608302</v>
      </c>
      <c r="DW56" s="606">
        <v>0.21180526187256268</v>
      </c>
      <c r="DX56" s="667">
        <f t="shared" ca="1" si="187"/>
        <v>37653</v>
      </c>
      <c r="DY56" s="606">
        <v>0.35000000000232828</v>
      </c>
      <c r="DZ56" s="667">
        <f t="shared" ca="1" si="65"/>
        <v>37653</v>
      </c>
      <c r="EA56" s="606">
        <f t="shared" si="66"/>
        <v>0.21180526187256268</v>
      </c>
      <c r="EB56" s="1"/>
      <c r="EC56" s="118" t="str">
        <f t="shared" ca="1" si="188"/>
        <v/>
      </c>
      <c r="ED56" s="119" t="str">
        <f t="shared" ca="1" si="33"/>
        <v/>
      </c>
      <c r="EE56" s="112" t="str">
        <f t="shared" ca="1" si="34"/>
        <v/>
      </c>
      <c r="EF56" s="120">
        <f ca="1">IF(BD56,_xll.xASN(BR56,Strike1,AO56,ED56,0,BO56,0,BI56,BL56,IF(OptControl=4,0,1),0),0)</f>
        <v>0</v>
      </c>
      <c r="EG56" s="111">
        <f ca="1">IF(BD56,_xll.xASN(BR56,Strike2,AO56,EE56,0,BO56,0,BI56,BL56,IF(OptControl=3,1,0),0),0)</f>
        <v>0</v>
      </c>
      <c r="EH56" s="681" t="e">
        <f ca="1">AVERAGE(ED44:ED55)</f>
        <v>#DIV/0!</v>
      </c>
      <c r="EL56" s="55"/>
      <c r="EM56" s="1"/>
      <c r="EN56" s="697">
        <v>40172</v>
      </c>
      <c r="EO56" s="698">
        <v>43101</v>
      </c>
      <c r="EP56" s="1"/>
      <c r="EQ56" s="683" t="s">
        <v>243</v>
      </c>
      <c r="ES56" s="498">
        <v>37</v>
      </c>
      <c r="ET56" s="476">
        <f t="shared" ca="1" si="165"/>
        <v>3.0225872689938398</v>
      </c>
      <c r="EU56" s="842">
        <f t="shared" ca="1" si="189"/>
        <v>0</v>
      </c>
      <c r="EV56" s="815">
        <f t="shared" ca="1" si="269"/>
        <v>0.19470404996065724</v>
      </c>
      <c r="EW56" s="478" t="str">
        <f t="shared" ca="1" si="270"/>
        <v/>
      </c>
      <c r="EX56" s="477" t="str">
        <f t="shared" ca="1" si="271"/>
        <v/>
      </c>
      <c r="EY56" s="250">
        <v>0</v>
      </c>
      <c r="EZ56" s="605" t="str">
        <f ca="1">IF(OR(EW56="",EW57=""),"",SQRT(SUM(INDEX(FK56:ID56,SwaptionFirstMonthPosition+1):INDEX(FK56:ID56,FJ56))/SUM(INDEX($FK$15:$ID$15,SwaptionFirstMonthPosition+1):INDEX($FK$15:$ID$15,FJ56))))</f>
        <v/>
      </c>
      <c r="FA56" s="581" t="str">
        <f ca="1">IF(OR(EW56="",EW55=""),"",SQRT(SUM(INDEX(FK56:ID56,SwaptionFirstMonthPosition+1):INDEX(FK56:ID56,FJ56-1))/SUM(INDEX($FK$15:$ID$15,SwaptionFirstMonthPosition+1):INDEX($FK$15:$ID$15,FJ56-1))))</f>
        <v/>
      </c>
      <c r="FB56" s="578" t="str">
        <f t="shared" ca="1" si="190"/>
        <v/>
      </c>
      <c r="FC56" s="609" t="str">
        <f t="shared" ca="1" si="191"/>
        <v/>
      </c>
      <c r="FD56" s="579" t="str">
        <f t="shared" ca="1" si="192"/>
        <v/>
      </c>
      <c r="FE56" s="579" t="str">
        <f t="shared" ca="1" si="193"/>
        <v/>
      </c>
      <c r="FF56" s="579" t="str">
        <f t="shared" ca="1" si="194"/>
        <v/>
      </c>
      <c r="FG56" s="580" t="str">
        <f t="shared" ca="1" si="195"/>
        <v/>
      </c>
      <c r="FH56" s="606" t="str">
        <f t="shared" ca="1" si="196"/>
        <v/>
      </c>
      <c r="FI56" s="250"/>
      <c r="FJ56" s="673">
        <v>37</v>
      </c>
      <c r="FK56" s="460">
        <f t="shared" ca="1" si="197"/>
        <v>0</v>
      </c>
      <c r="FL56" s="460">
        <f t="shared" ca="1" si="198"/>
        <v>2.205324876800978E-3</v>
      </c>
      <c r="FM56" s="460">
        <f t="shared" ca="1" si="199"/>
        <v>2.5660271212232084E-3</v>
      </c>
      <c r="FN56" s="460">
        <f t="shared" ca="1" si="200"/>
        <v>2.1625102513490894E-3</v>
      </c>
      <c r="FO56" s="460">
        <f t="shared" ca="1" si="201"/>
        <v>2.2526961801077809E-3</v>
      </c>
      <c r="FP56" s="460">
        <f t="shared" ca="1" si="202"/>
        <v>2.5005878988755125E-3</v>
      </c>
      <c r="FQ56" s="460">
        <f t="shared" ca="1" si="203"/>
        <v>2.0286334766948843E-3</v>
      </c>
      <c r="FR56" s="460">
        <f t="shared" ca="1" si="204"/>
        <v>2.0791538369928459E-3</v>
      </c>
      <c r="FS56" s="460">
        <f t="shared" ca="1" si="205"/>
        <v>2.3496193080033748E-3</v>
      </c>
      <c r="FT56" s="460">
        <f t="shared" ca="1" si="206"/>
        <v>2.1273948067177285E-3</v>
      </c>
      <c r="FU56" s="460">
        <f t="shared" ca="1" si="207"/>
        <v>2.0530381924204603E-3</v>
      </c>
      <c r="FV56" s="460">
        <f t="shared" ca="1" si="208"/>
        <v>2.2661977832729324E-3</v>
      </c>
      <c r="FW56" s="460">
        <f t="shared" ca="1" si="209"/>
        <v>2.1291005232600278E-3</v>
      </c>
      <c r="FX56" s="460">
        <f t="shared" ca="1" si="210"/>
        <v>2.2796910585787433E-3</v>
      </c>
      <c r="FY56" s="460">
        <f t="shared" ca="1" si="211"/>
        <v>2.148844871256697E-3</v>
      </c>
      <c r="FZ56" s="460">
        <f t="shared" ca="1" si="212"/>
        <v>2.019858652540828E-3</v>
      </c>
      <c r="GA56" s="460">
        <f t="shared" ca="1" si="213"/>
        <v>2.1833748242044313E-3</v>
      </c>
      <c r="GB56" s="460">
        <f t="shared" ca="1" si="214"/>
        <v>2.4277341204076474E-3</v>
      </c>
      <c r="GC56" s="460">
        <f t="shared" ca="1" si="215"/>
        <v>2.161224107385709E-3</v>
      </c>
      <c r="GD56" s="460">
        <f t="shared" ca="1" si="216"/>
        <v>2.1947032937651096E-3</v>
      </c>
      <c r="GE56" s="460">
        <f t="shared" ca="1" si="217"/>
        <v>2.5432367558005679E-3</v>
      </c>
      <c r="GF56" s="460">
        <f t="shared" ca="1" si="218"/>
        <v>2.2833720866273829E-3</v>
      </c>
      <c r="GG56" s="460">
        <f t="shared" ca="1" si="219"/>
        <v>2.5839010488238746E-3</v>
      </c>
      <c r="GH56" s="460">
        <f t="shared" ca="1" si="220"/>
        <v>2.4952327832795333E-3</v>
      </c>
      <c r="GI56" s="460">
        <f t="shared" ca="1" si="221"/>
        <v>2.4974455767992E-3</v>
      </c>
      <c r="GJ56" s="460">
        <f t="shared" ca="1" si="222"/>
        <v>2.9604226291872729E-3</v>
      </c>
      <c r="GK56" s="460">
        <f t="shared" ca="1" si="223"/>
        <v>2.8235704493527356E-3</v>
      </c>
      <c r="GL56" s="460">
        <f t="shared" ca="1" si="224"/>
        <v>2.8877430494995771E-3</v>
      </c>
      <c r="GM56" s="460">
        <f t="shared" ca="1" si="225"/>
        <v>3.2984186455793435E-3</v>
      </c>
      <c r="GN56" s="460">
        <f t="shared" ca="1" si="226"/>
        <v>3.5659198508385948E-3</v>
      </c>
      <c r="GO56" s="460">
        <f t="shared" ca="1" si="227"/>
        <v>3.9089172372629519E-3</v>
      </c>
      <c r="GP56" s="460">
        <f t="shared" ca="1" si="228"/>
        <v>3.9344490908294061E-3</v>
      </c>
      <c r="GQ56" s="460">
        <f t="shared" ca="1" si="229"/>
        <v>4.9502594094856921E-3</v>
      </c>
      <c r="GR56" s="460">
        <f t="shared" ca="1" si="230"/>
        <v>5.5730867599055609E-3</v>
      </c>
      <c r="GS56" s="460">
        <f t="shared" ca="1" si="231"/>
        <v>6.8904320412266889E-3</v>
      </c>
      <c r="GT56" s="460">
        <f t="shared" ca="1" si="232"/>
        <v>8.2534615521691196E-3</v>
      </c>
      <c r="GU56" s="460">
        <f t="shared" ca="1" si="233"/>
        <v>1.0999692910322295E-2</v>
      </c>
      <c r="GV56" s="460" t="str">
        <f t="shared" si="234"/>
        <v/>
      </c>
      <c r="GW56" s="460" t="str">
        <f t="shared" si="235"/>
        <v/>
      </c>
      <c r="GX56" s="460" t="str">
        <f t="shared" si="236"/>
        <v/>
      </c>
      <c r="GY56" s="460" t="str">
        <f t="shared" si="237"/>
        <v/>
      </c>
      <c r="GZ56" s="460" t="str">
        <f t="shared" si="238"/>
        <v/>
      </c>
      <c r="HA56" s="460" t="str">
        <f t="shared" si="239"/>
        <v/>
      </c>
      <c r="HB56" s="460" t="str">
        <f t="shared" si="240"/>
        <v/>
      </c>
      <c r="HC56" s="460" t="str">
        <f t="shared" si="241"/>
        <v/>
      </c>
      <c r="HD56" s="460" t="str">
        <f t="shared" si="242"/>
        <v/>
      </c>
      <c r="HE56" s="460" t="str">
        <f t="shared" si="243"/>
        <v/>
      </c>
      <c r="HF56" s="460" t="str">
        <f t="shared" si="244"/>
        <v/>
      </c>
      <c r="HG56" s="460" t="str">
        <f t="shared" si="245"/>
        <v/>
      </c>
      <c r="HH56" s="460" t="str">
        <f t="shared" si="246"/>
        <v/>
      </c>
      <c r="HI56" s="460" t="str">
        <f t="shared" si="247"/>
        <v/>
      </c>
      <c r="HJ56" s="460" t="str">
        <f t="shared" si="248"/>
        <v/>
      </c>
      <c r="HK56" s="460" t="str">
        <f t="shared" si="249"/>
        <v/>
      </c>
      <c r="HL56" s="460" t="str">
        <f t="shared" si="250"/>
        <v/>
      </c>
      <c r="HM56" s="460" t="str">
        <f t="shared" si="251"/>
        <v/>
      </c>
      <c r="HN56" s="460" t="str">
        <f t="shared" si="252"/>
        <v/>
      </c>
      <c r="HO56" s="460" t="str">
        <f t="shared" si="253"/>
        <v/>
      </c>
      <c r="HP56" s="460" t="str">
        <f t="shared" si="254"/>
        <v/>
      </c>
      <c r="HQ56" s="460" t="str">
        <f t="shared" si="255"/>
        <v/>
      </c>
      <c r="HR56" s="460" t="str">
        <f t="shared" si="256"/>
        <v/>
      </c>
      <c r="HS56" s="460" t="str">
        <f t="shared" si="257"/>
        <v/>
      </c>
      <c r="HT56" s="460" t="str">
        <f t="shared" si="258"/>
        <v/>
      </c>
      <c r="HU56" s="460" t="str">
        <f t="shared" si="259"/>
        <v/>
      </c>
      <c r="HV56" s="460" t="str">
        <f t="shared" si="260"/>
        <v/>
      </c>
      <c r="HW56" s="460" t="str">
        <f t="shared" si="261"/>
        <v/>
      </c>
      <c r="HX56" s="460" t="str">
        <f t="shared" si="262"/>
        <v/>
      </c>
      <c r="HY56" s="460" t="str">
        <f t="shared" si="263"/>
        <v/>
      </c>
      <c r="HZ56" s="460" t="str">
        <f t="shared" si="264"/>
        <v/>
      </c>
      <c r="IA56" s="460" t="str">
        <f t="shared" si="265"/>
        <v/>
      </c>
      <c r="IB56" s="460" t="str">
        <f t="shared" si="266"/>
        <v/>
      </c>
      <c r="IC56" s="460" t="str">
        <f t="shared" si="267"/>
        <v/>
      </c>
      <c r="ID56" s="674" t="str">
        <f t="shared" si="268"/>
        <v/>
      </c>
      <c r="IE56" s="250"/>
    </row>
    <row r="57" spans="1:239">
      <c r="A57" s="51"/>
      <c r="B57" s="51"/>
      <c r="C57" s="51"/>
      <c r="D57" s="51"/>
      <c r="E57" s="51"/>
      <c r="F57" s="51"/>
      <c r="G57" s="51"/>
      <c r="H57" s="51">
        <f t="shared" ca="1" si="35"/>
        <v>0</v>
      </c>
      <c r="I57" s="379">
        <f t="shared" si="36"/>
        <v>37895</v>
      </c>
      <c r="J57" s="377"/>
      <c r="K57" s="104" t="s">
        <v>269</v>
      </c>
      <c r="L57" s="392">
        <f t="shared" si="37"/>
        <v>0</v>
      </c>
      <c r="M57" s="171"/>
      <c r="N57" s="382">
        <v>0</v>
      </c>
      <c r="O57" s="171">
        <f t="shared" si="38"/>
        <v>0</v>
      </c>
      <c r="P57" s="377"/>
      <c r="Q57" s="104" t="s">
        <v>268</v>
      </c>
      <c r="R57" s="377">
        <f t="shared" ca="1" si="148"/>
        <v>-2.0024553719008265</v>
      </c>
      <c r="S57" s="832">
        <f t="shared" si="164"/>
        <v>0.36000127135101301</v>
      </c>
      <c r="T57" s="831">
        <f t="shared" si="149"/>
        <v>0.99965838656686035</v>
      </c>
      <c r="U57" s="545">
        <f t="shared" si="150"/>
        <v>0.99999964243252748</v>
      </c>
      <c r="V57" s="389">
        <v>0</v>
      </c>
      <c r="W57" s="434">
        <f t="shared" si="166"/>
        <v>0</v>
      </c>
      <c r="X57" s="415">
        <f t="shared" si="167"/>
        <v>0</v>
      </c>
      <c r="Y57" s="322">
        <f t="shared" si="168"/>
        <v>-1.1348999999999998</v>
      </c>
      <c r="Z57" s="322">
        <f t="shared" ca="1" si="169"/>
        <v>-1.1348999999999998</v>
      </c>
      <c r="AA57" s="429">
        <f t="shared" si="1"/>
        <v>1.1348999999999998</v>
      </c>
      <c r="AB57" s="433">
        <f t="shared" ca="1" si="2"/>
        <v>1.1348999999999998</v>
      </c>
      <c r="AC57" s="226">
        <v>37884</v>
      </c>
      <c r="AD57" s="229">
        <v>37880</v>
      </c>
      <c r="AE57" s="229">
        <v>37879</v>
      </c>
      <c r="AF57" s="229">
        <v>37875</v>
      </c>
      <c r="AG57" s="249" t="s">
        <v>90</v>
      </c>
      <c r="AH57" s="247" t="s">
        <v>499</v>
      </c>
      <c r="AI57" s="146">
        <v>23</v>
      </c>
      <c r="AJ57" s="41">
        <v>14</v>
      </c>
      <c r="AK57" s="41">
        <v>9</v>
      </c>
      <c r="AL57" s="293">
        <v>23</v>
      </c>
      <c r="AM57" s="41">
        <v>10</v>
      </c>
      <c r="AN57" s="147">
        <v>13</v>
      </c>
      <c r="AO57" s="374"/>
      <c r="AP57" s="153">
        <f t="shared" ca="1" si="43"/>
        <v>1</v>
      </c>
      <c r="AQ57" s="374"/>
      <c r="AR57" s="153">
        <f t="shared" ca="1" si="151"/>
        <v>1</v>
      </c>
      <c r="AS57" s="272">
        <f t="shared" si="170"/>
        <v>0</v>
      </c>
      <c r="AT57" s="157">
        <f t="shared" si="44"/>
        <v>0</v>
      </c>
      <c r="AU57" s="157">
        <f t="shared" si="4"/>
        <v>0</v>
      </c>
      <c r="AV57" s="271">
        <f t="shared" ca="1" si="163"/>
        <v>9.9999999999999995E-7</v>
      </c>
      <c r="AW57" s="158" t="str">
        <f t="shared" ca="1" si="171"/>
        <v/>
      </c>
      <c r="AX57" s="157">
        <f t="shared" ca="1" si="152"/>
        <v>7.335437535738466E-3</v>
      </c>
      <c r="AY57" s="157">
        <f t="shared" ca="1" si="153"/>
        <v>4.4374904320156599E-3</v>
      </c>
      <c r="AZ57" s="157">
        <f t="shared" ca="1" si="154"/>
        <v>1.7244198934530102E-3</v>
      </c>
      <c r="BA57" s="157">
        <f t="shared" ca="1" si="155"/>
        <v>2.1555248668162627E-4</v>
      </c>
      <c r="BB57" s="157">
        <f t="shared" ca="1" si="156"/>
        <v>1.3176431681051492E-4</v>
      </c>
      <c r="BC57" s="157">
        <f t="shared" ca="1" si="157"/>
        <v>9.2925749029266152E-5</v>
      </c>
      <c r="BD57" s="151">
        <f t="shared" ca="1" si="172"/>
        <v>0</v>
      </c>
      <c r="BE57" s="152">
        <f t="shared" ca="1" si="173"/>
        <v>0</v>
      </c>
      <c r="BF57" s="40">
        <f t="shared" si="174"/>
        <v>2003</v>
      </c>
      <c r="BG57" s="144">
        <f t="shared" si="175"/>
        <v>10</v>
      </c>
      <c r="BH57" s="145">
        <f t="shared" ca="1" si="176"/>
        <v>1135</v>
      </c>
      <c r="BI57" s="313">
        <f t="shared" ca="1" si="177"/>
        <v>3.1485284052019167</v>
      </c>
      <c r="BJ57" s="42">
        <f t="shared" ca="1" si="10"/>
        <v>3.1985239413147637</v>
      </c>
      <c r="BK57" s="42">
        <f t="shared" ca="1" si="178"/>
        <v>3.2012617921018958</v>
      </c>
      <c r="BL57" s="42">
        <f t="shared" ca="1" si="179"/>
        <v>3.2306639288158796</v>
      </c>
      <c r="BM57" s="150" t="e">
        <f t="shared" ca="1" si="13"/>
        <v>#DIV/0!</v>
      </c>
      <c r="BN57" s="42" t="e">
        <f t="shared" ca="1" si="14"/>
        <v>#DIV/0!</v>
      </c>
      <c r="BO57" s="293">
        <f t="shared" si="48"/>
        <v>23</v>
      </c>
      <c r="BP57" s="41">
        <f t="shared" si="49"/>
        <v>14</v>
      </c>
      <c r="BQ57" s="41">
        <f t="shared" si="50"/>
        <v>9</v>
      </c>
      <c r="BR57" s="305" t="str">
        <f t="shared" ca="1" si="15"/>
        <v/>
      </c>
      <c r="BS57" s="305" t="str">
        <f t="shared" ca="1" si="180"/>
        <v/>
      </c>
      <c r="BT57" s="307" t="str">
        <f t="shared" ca="1" si="181"/>
        <v/>
      </c>
      <c r="BU57" s="161" t="str">
        <f t="shared" ca="1" si="18"/>
        <v/>
      </c>
      <c r="BV57" s="161" t="str">
        <f t="shared" ca="1" si="19"/>
        <v/>
      </c>
      <c r="BW57" s="308" t="str">
        <f t="shared" ca="1" si="20"/>
        <v/>
      </c>
      <c r="BX57" s="309" t="str">
        <f t="shared" ca="1" si="21"/>
        <v/>
      </c>
      <c r="BY57" s="308" t="str">
        <f t="shared" ca="1" si="51"/>
        <v/>
      </c>
      <c r="BZ57" s="309" t="str">
        <f t="shared" ca="1" si="52"/>
        <v/>
      </c>
      <c r="CA57" s="154" t="str">
        <f t="shared" ca="1" si="22"/>
        <v/>
      </c>
      <c r="CB57" s="154" t="str">
        <f t="shared" ca="1" si="23"/>
        <v/>
      </c>
      <c r="CC57" s="154" t="str">
        <f t="shared" ca="1" si="24"/>
        <v/>
      </c>
      <c r="CD57" s="154" t="str">
        <f t="shared" ca="1" si="25"/>
        <v/>
      </c>
      <c r="CE57" s="310">
        <v>1</v>
      </c>
      <c r="CF57" s="162">
        <f ca="1">IF(BD57,_xll.xCrudeAPO(BU57,BV57,CA57,CB57,S58,S59,BI57,BL57,BP57,BQ57,0,Strike1,AO57,CE57,0,BL57,IF(OptControl=4,0,1),0,1),0)</f>
        <v>0</v>
      </c>
      <c r="CG57" s="163">
        <f ca="1">IF(BD57,_xll.xCrudeAPO(BU57,BV57,CA57,CB57,S58,S59,BI57,BL57,BP57,BQ57,0,Strike1,AO57,CE57,0,BL57,IF(OptControl=4,0,1),1,1)+_xll.xCrudeAPO(BU57,BV57,CA57,CB57,S58,S59,BI57,BL57,BP57,BQ57,0,Strike1,AO57,CE57,0,BL57,IF(OptControl=4,0,1),1,2)+IF(OR(VolSkewFlag=2,ABS(BS57)&lt;0.0001),0,IF(BS57&gt;0,-1,1)*CH57*Strike1/BR57^2*BY57/10%),0)</f>
        <v>0</v>
      </c>
      <c r="CH57" s="163">
        <f ca="1">IF(BD57,(_xll.xCrudeAPO(BU57,BV57,CA57,CB57,S58,S59,BI57,BL57,BP57,BQ57,0,Strike1,AO57,CE57,0,BL57,IF(OptControl=4,0,1),3,1)+_xll.xCrudeAPO(BU57,BV57,CA57,CB57,S58,S59,BI57,BL57,BP57,BQ57,0,Strike1,AO57,CE57,0,BL57,IF(OptControl=4,0,1),3,2))/100,0)</f>
        <v>0</v>
      </c>
      <c r="CI57" s="163">
        <f ca="1">IF(BD57,_xll.xCrudeAPO(BU57,BV57,CA57,CB57,S58,S59,BI57-DaysForThetaCalculation/365.25,BL57-DaysForThetaCalculation/365.25,BP57,BQ57,0,Strike1,AO57,CE57,0,BL57,IF(OptControl=4,0,1),0,1)-_xll.xCrudeAPO(BU57,BV57,CA57,CB57,S58,S59,BI57,BL57,BP57,BQ57,0,Strike1,AO57,CE57,0,BL57,IF(OptControl=4,0,1),0,1),0)</f>
        <v>0</v>
      </c>
      <c r="CJ57" s="311">
        <f ca="1">IF(BD57,_xll.xCrudeAPO(BU57,BV57,CC57,CD57,S58,S59,BI57,BL57,BP57,BQ57,0,Strike2,AO57,CE57,0,BL57,IF(OptControl=3,1,0),0,1),0)</f>
        <v>0</v>
      </c>
      <c r="CK57" s="163">
        <f ca="1">IF(BD57,_xll.xCrudeAPO(BU57,BV57,CC57,CD57,S58,S59,BI57,BL57,BP57,BQ57,0,Strike2,AO57,CE57,0,BL57,IF(OptControl=3,1,0),1,1)+_xll.xCrudeAPO(BU57,BV57,CC57,CD57,S58,S59,BI57,BL57,BP57,BQ57,0,Strike2,AO57,CE57,0,BL57,IF(OptControl=3,1,0),1,2)+IF(OR(VolSkewFlag=2,ABS(BT57)&lt;0.0001),0,IF(BT57&gt;0,-1,1)*CL57*Strike2/BR57^2*BZ57/10%),0)</f>
        <v>0</v>
      </c>
      <c r="CL57" s="163">
        <f ca="1">IF(BD57,(_xll.xCrudeAPO(BU57,BV57,CC57,CD57,S58,S59,BI57,BL57,BP57,BQ57,0,Strike2,AO57,CE57,0,BL57,IF(OptControl=3,1,0),3,1)+_xll.xCrudeAPO(BU57,BV57,CC57,CD57,S58,S59,BI57,BL57,BP57,BQ57,0,Strike2,AO57,CE57,0,BL57,IF(OptControl=3,1,0),3,2))/100,0)</f>
        <v>0</v>
      </c>
      <c r="CM57" s="164">
        <f ca="1">IF(BD57,_xll.xCrudeAPO(BU57,BV57,CC57,CD57,S58,S59,BI57-DaysForThetaCalculation/365.25,BL57-DaysForThetaCalculation/365.25,BP57,BQ57,0,Strike2,AO57,CE57,0,BL57,IF(OptControl=3,1,0),0,1)-_xll.xCrudeAPO(BU57,BV57,CC57,CD57,S58,S59,BI57,BL57,BP57,BQ57,0,Strike2,AO57,CE57,0,BL57,IF(OptControl=3,1,0),0,1),0)</f>
        <v>0</v>
      </c>
      <c r="CN57" s="53"/>
      <c r="CO57" s="796" t="str">
        <f t="shared" ca="1" si="53"/>
        <v/>
      </c>
      <c r="CP57" s="800" t="str">
        <f t="shared" ca="1" si="54"/>
        <v/>
      </c>
      <c r="CQ57" s="797" t="str">
        <f t="shared" ca="1" si="55"/>
        <v/>
      </c>
      <c r="CR57" s="797" t="str">
        <f t="shared" ca="1" si="56"/>
        <v/>
      </c>
      <c r="CS57" s="797" t="str">
        <f t="shared" ca="1" si="57"/>
        <v/>
      </c>
      <c r="CT57" s="797" t="str">
        <f t="shared" ca="1" si="58"/>
        <v/>
      </c>
      <c r="CU57" s="798" t="str">
        <f t="shared" ca="1" si="59"/>
        <v/>
      </c>
      <c r="CV57" s="799" t="str">
        <f t="shared" ca="1" si="60"/>
        <v/>
      </c>
      <c r="CW57" s="799" t="str">
        <f t="shared" ca="1" si="61"/>
        <v/>
      </c>
      <c r="CX57" s="163">
        <f ca="1">IF(BD57,_xll.EURO(CP57,Strike1,AO57,AO57,CV57,CO57,IF(OptControl=4,0,1),0),0)</f>
        <v>0</v>
      </c>
      <c r="CY57" s="163">
        <f ca="1">IF(BD57,_xll.EURO(CP57,Strike1,AO57,AO57,CV57,CO57,IF(OptControl=4,0,1),1)+IF(OR(VolSkewFlag=2,ABS(CQ57)&lt;0.0001),0,IF(CQ57&gt;0,-1,1)*CZ57*100*Strike1/CP57^2*CS57/10%),0)</f>
        <v>0</v>
      </c>
      <c r="CZ57" s="163">
        <f ca="1">IF(BD57,_xll.EURO(CP57,Strike1,AO57,AO57,CV57,CO57,IF(OptControl=4,0,1),3)/100,0)</f>
        <v>0</v>
      </c>
      <c r="DA57" s="163">
        <f ca="1">IF(BD57,_xll.EURO(CP57,Strike1,AO57,AO57,CV57,CO57,IF(OptControl=4,0,1),0)-_xll.EURO(CP57,Strike1,AO57,AO57,CV57,CO57-1,IF(OptControl=4,0,1),0),0)</f>
        <v>0</v>
      </c>
      <c r="DB57" s="163">
        <f ca="1">IF(BD57,_xll.EURO(CP57,Strike2,AO57,AO57,CW57,CO57,IF(OptControl=3,1,0),0),0)</f>
        <v>0</v>
      </c>
      <c r="DC57" s="163">
        <f ca="1">IF(BD57,_xll.EURO(CP57,Strike2,AO57,AO57,CW57,CO57,IF(OptControl=3,1,0),1)+IF(OR(VolSkewFlag=2,ABS(CR57)&lt;0.0001),0,IF(CR57&gt;0,-1,1)*DD57*100*Strike2/CP57^2*CT57/10%),0)</f>
        <v>0</v>
      </c>
      <c r="DD57" s="163">
        <f ca="1">IF(BD57,_xll.EURO(CP57,Strike2,AO57,AO57,CW57,CO57,IF(OptControl=3,1,0),3)/100,0)</f>
        <v>0</v>
      </c>
      <c r="DE57" s="164">
        <f ca="1">IF(BD57,_xll.EURO(CP57,Strike2,AO57,AO57,CW57,CO57,IF(OptControl=3,1,0),0)-_xll.EURO(CP57,Strike2,AO57,AO57,CW57,CO57-1,IF(OptControl=3,1,0),0),0)</f>
        <v>0</v>
      </c>
      <c r="DG57" s="667">
        <f t="shared" ca="1" si="62"/>
        <v>37681</v>
      </c>
      <c r="DH57" s="475">
        <v>18.87</v>
      </c>
      <c r="DI57" s="665">
        <v>18.803333333333335</v>
      </c>
      <c r="DJ57" s="666">
        <f t="shared" ca="1" si="182"/>
        <v>37681</v>
      </c>
      <c r="DK57" s="475">
        <v>17.76502290431662</v>
      </c>
      <c r="DL57" s="665">
        <v>17.729833333333335</v>
      </c>
      <c r="DM57" s="667">
        <f t="shared" ca="1" si="183"/>
        <v>37681</v>
      </c>
      <c r="DN57" s="668">
        <f t="shared" si="184"/>
        <v>17.815022904316621</v>
      </c>
      <c r="DO57" s="667">
        <f t="shared" ca="1" si="63"/>
        <v>37681</v>
      </c>
      <c r="DP57" s="579">
        <f t="shared" si="64"/>
        <v>17.729833333333335</v>
      </c>
      <c r="DQ57" s="821">
        <v>0</v>
      </c>
      <c r="DR57" s="666">
        <f t="shared" ca="1" si="185"/>
        <v>37681</v>
      </c>
      <c r="DS57" s="669">
        <v>0.21217531636722808</v>
      </c>
      <c r="DT57" s="606">
        <v>0.21060492387108973</v>
      </c>
      <c r="DU57" s="666">
        <f t="shared" ca="1" si="186"/>
        <v>37681</v>
      </c>
      <c r="DV57" s="669">
        <v>0.21217531636722808</v>
      </c>
      <c r="DW57" s="606">
        <v>0.21060492387108973</v>
      </c>
      <c r="DX57" s="667">
        <f t="shared" ca="1" si="187"/>
        <v>37681</v>
      </c>
      <c r="DY57" s="606">
        <v>0.35000000000116416</v>
      </c>
      <c r="DZ57" s="667">
        <f t="shared" ca="1" si="65"/>
        <v>37681</v>
      </c>
      <c r="EA57" s="606">
        <f t="shared" si="66"/>
        <v>0.21060492387108973</v>
      </c>
      <c r="EB57" s="1"/>
      <c r="EC57" s="118" t="str">
        <f t="shared" ca="1" si="188"/>
        <v/>
      </c>
      <c r="ED57" s="119" t="str">
        <f t="shared" ca="1" si="33"/>
        <v/>
      </c>
      <c r="EE57" s="112" t="str">
        <f t="shared" ca="1" si="34"/>
        <v/>
      </c>
      <c r="EF57" s="120">
        <f ca="1">IF(BD57,_xll.xASN(BR57,Strike1,AO57,ED57,0,BO57,0,BI57,BL57,IF(OptControl=4,0,1),0),0)</f>
        <v>0</v>
      </c>
      <c r="EG57" s="111">
        <f ca="1">IF(BD57,_xll.xASN(BR57,Strike2,AO57,EE57,0,BO57,0,BI57,BL57,IF(OptControl=3,1,0),0),0)</f>
        <v>0</v>
      </c>
      <c r="EL57" s="55"/>
      <c r="EM57" s="1"/>
      <c r="EN57" s="697">
        <v>40179</v>
      </c>
      <c r="EO57" s="698">
        <v>43459</v>
      </c>
      <c r="EP57" s="1"/>
      <c r="EQ57" s="683" t="s">
        <v>244</v>
      </c>
      <c r="ES57" s="498">
        <v>38</v>
      </c>
      <c r="ET57" s="476">
        <f t="shared" ca="1" si="165"/>
        <v>3.1074606433949348</v>
      </c>
      <c r="EU57" s="842">
        <f t="shared" ca="1" si="189"/>
        <v>0</v>
      </c>
      <c r="EV57" s="815">
        <f t="shared" ca="1" si="269"/>
        <v>0.1939062616130599</v>
      </c>
      <c r="EW57" s="478" t="str">
        <f t="shared" ca="1" si="270"/>
        <v/>
      </c>
      <c r="EX57" s="477" t="str">
        <f t="shared" ca="1" si="271"/>
        <v/>
      </c>
      <c r="EY57" s="250">
        <v>0</v>
      </c>
      <c r="EZ57" s="605" t="str">
        <f ca="1">IF(OR(EW57="",EW58=""),"",SQRT(SUM(INDEX(FK57:ID57,SwaptionFirstMonthPosition+1):INDEX(FK57:ID57,FJ57))/SUM(INDEX($FK$15:$ID$15,SwaptionFirstMonthPosition+1):INDEX($FK$15:$ID$15,FJ57))))</f>
        <v/>
      </c>
      <c r="FA57" s="581" t="str">
        <f ca="1">IF(OR(EW57="",EW56=""),"",SQRT(SUM(INDEX(FK57:ID57,SwaptionFirstMonthPosition+1):INDEX(FK57:ID57,FJ57-1))/SUM(INDEX($FK$15:$ID$15,SwaptionFirstMonthPosition+1):INDEX($FK$15:$ID$15,FJ57-1))))</f>
        <v/>
      </c>
      <c r="FB57" s="578" t="str">
        <f t="shared" ca="1" si="190"/>
        <v/>
      </c>
      <c r="FC57" s="609" t="str">
        <f t="shared" ca="1" si="191"/>
        <v/>
      </c>
      <c r="FD57" s="579" t="str">
        <f t="shared" ca="1" si="192"/>
        <v/>
      </c>
      <c r="FE57" s="579" t="str">
        <f t="shared" ca="1" si="193"/>
        <v/>
      </c>
      <c r="FF57" s="579" t="str">
        <f t="shared" ca="1" si="194"/>
        <v/>
      </c>
      <c r="FG57" s="580" t="str">
        <f t="shared" ca="1" si="195"/>
        <v/>
      </c>
      <c r="FH57" s="606" t="str">
        <f t="shared" ca="1" si="196"/>
        <v/>
      </c>
      <c r="FI57" s="250"/>
      <c r="FJ57" s="673">
        <v>38</v>
      </c>
      <c r="FK57" s="460">
        <f t="shared" ca="1" si="197"/>
        <v>0</v>
      </c>
      <c r="FL57" s="460">
        <f t="shared" ca="1" si="198"/>
        <v>2.2032651772971126E-3</v>
      </c>
      <c r="FM57" s="460">
        <f t="shared" ca="1" si="199"/>
        <v>2.5632240998103265E-3</v>
      </c>
      <c r="FN57" s="460">
        <f t="shared" ca="1" si="200"/>
        <v>2.1597474018172588E-3</v>
      </c>
      <c r="FO57" s="460">
        <f t="shared" ca="1" si="201"/>
        <v>2.2493300138190643E-3</v>
      </c>
      <c r="FP57" s="460">
        <f t="shared" ca="1" si="202"/>
        <v>2.4962176219807419E-3</v>
      </c>
      <c r="FQ57" s="460">
        <f t="shared" ca="1" si="203"/>
        <v>2.0244867606014853E-3</v>
      </c>
      <c r="FR57" s="460">
        <f t="shared" ca="1" si="204"/>
        <v>2.0741830949773067E-3</v>
      </c>
      <c r="FS57" s="460">
        <f t="shared" ca="1" si="205"/>
        <v>2.3430492986605145E-3</v>
      </c>
      <c r="FT57" s="460">
        <f t="shared" ca="1" si="206"/>
        <v>2.1204373507764814E-3</v>
      </c>
      <c r="FU57" s="460">
        <f t="shared" ca="1" si="207"/>
        <v>2.0451852342541288E-3</v>
      </c>
      <c r="FV57" s="460">
        <f t="shared" ca="1" si="208"/>
        <v>2.2560594176090965E-3</v>
      </c>
      <c r="FW57" s="460">
        <f t="shared" ca="1" si="209"/>
        <v>2.1179601384469188E-3</v>
      </c>
      <c r="FX57" s="460">
        <f t="shared" ca="1" si="210"/>
        <v>2.2657397833338437E-3</v>
      </c>
      <c r="FY57" s="460">
        <f t="shared" ca="1" si="211"/>
        <v>2.133464144367248E-3</v>
      </c>
      <c r="FZ57" s="460">
        <f t="shared" ca="1" si="212"/>
        <v>2.0029493123817277E-3</v>
      </c>
      <c r="GA57" s="460">
        <f t="shared" ca="1" si="213"/>
        <v>2.1619967851923775E-3</v>
      </c>
      <c r="GB57" s="460">
        <f t="shared" ca="1" si="214"/>
        <v>2.3999322141680167E-3</v>
      </c>
      <c r="GC57" s="460">
        <f t="shared" ca="1" si="215"/>
        <v>2.1322768687917397E-3</v>
      </c>
      <c r="GD57" s="460">
        <f t="shared" ca="1" si="216"/>
        <v>2.1603224098316783E-3</v>
      </c>
      <c r="GE57" s="460">
        <f t="shared" ca="1" si="217"/>
        <v>2.4966393327741812E-3</v>
      </c>
      <c r="GF57" s="460">
        <f t="shared" ca="1" si="218"/>
        <v>2.234440907541985E-3</v>
      </c>
      <c r="GG57" s="460">
        <f t="shared" ca="1" si="219"/>
        <v>2.5191392718291613E-3</v>
      </c>
      <c r="GH57" s="460">
        <f t="shared" ca="1" si="220"/>
        <v>2.4220872464577087E-3</v>
      </c>
      <c r="GI57" s="460">
        <f t="shared" ca="1" si="221"/>
        <v>2.4118193745745935E-3</v>
      </c>
      <c r="GJ57" s="460">
        <f t="shared" ca="1" si="222"/>
        <v>2.8417096375286531E-3</v>
      </c>
      <c r="GK57" s="460">
        <f t="shared" ca="1" si="223"/>
        <v>2.6911432947296864E-3</v>
      </c>
      <c r="GL57" s="460">
        <f t="shared" ca="1" si="224"/>
        <v>2.7293373322842657E-3</v>
      </c>
      <c r="GM57" s="460">
        <f t="shared" ca="1" si="225"/>
        <v>3.0868009567009426E-3</v>
      </c>
      <c r="GN57" s="460">
        <f t="shared" ca="1" si="226"/>
        <v>3.2983410808280918E-3</v>
      </c>
      <c r="GO57" s="460">
        <f t="shared" ca="1" si="227"/>
        <v>3.5658569585769063E-3</v>
      </c>
      <c r="GP57" s="460">
        <f t="shared" ca="1" si="228"/>
        <v>3.530588221061043E-3</v>
      </c>
      <c r="GQ57" s="460">
        <f t="shared" ca="1" si="229"/>
        <v>4.3559539918305345E-3</v>
      </c>
      <c r="GR57" s="460">
        <f t="shared" ca="1" si="230"/>
        <v>4.7905379764026064E-3</v>
      </c>
      <c r="GS57" s="460">
        <f t="shared" ca="1" si="231"/>
        <v>5.7588241805789529E-3</v>
      </c>
      <c r="GT57" s="460">
        <f t="shared" ca="1" si="232"/>
        <v>6.6681321304574688E-3</v>
      </c>
      <c r="GU57" s="460">
        <f t="shared" ca="1" si="233"/>
        <v>8.5285501650479746E-3</v>
      </c>
      <c r="GV57" s="460">
        <f t="shared" ca="1" si="234"/>
        <v>1.0999667013291472E-2</v>
      </c>
      <c r="GW57" s="460" t="str">
        <f t="shared" si="235"/>
        <v/>
      </c>
      <c r="GX57" s="460" t="str">
        <f t="shared" si="236"/>
        <v/>
      </c>
      <c r="GY57" s="460" t="str">
        <f t="shared" si="237"/>
        <v/>
      </c>
      <c r="GZ57" s="460" t="str">
        <f t="shared" si="238"/>
        <v/>
      </c>
      <c r="HA57" s="460" t="str">
        <f t="shared" si="239"/>
        <v/>
      </c>
      <c r="HB57" s="460" t="str">
        <f t="shared" si="240"/>
        <v/>
      </c>
      <c r="HC57" s="460" t="str">
        <f t="shared" si="241"/>
        <v/>
      </c>
      <c r="HD57" s="460" t="str">
        <f t="shared" si="242"/>
        <v/>
      </c>
      <c r="HE57" s="460" t="str">
        <f t="shared" si="243"/>
        <v/>
      </c>
      <c r="HF57" s="460" t="str">
        <f t="shared" si="244"/>
        <v/>
      </c>
      <c r="HG57" s="460" t="str">
        <f t="shared" si="245"/>
        <v/>
      </c>
      <c r="HH57" s="460" t="str">
        <f t="shared" si="246"/>
        <v/>
      </c>
      <c r="HI57" s="460" t="str">
        <f t="shared" si="247"/>
        <v/>
      </c>
      <c r="HJ57" s="460" t="str">
        <f t="shared" si="248"/>
        <v/>
      </c>
      <c r="HK57" s="460" t="str">
        <f t="shared" si="249"/>
        <v/>
      </c>
      <c r="HL57" s="460" t="str">
        <f t="shared" si="250"/>
        <v/>
      </c>
      <c r="HM57" s="460" t="str">
        <f t="shared" si="251"/>
        <v/>
      </c>
      <c r="HN57" s="460" t="str">
        <f t="shared" si="252"/>
        <v/>
      </c>
      <c r="HO57" s="460" t="str">
        <f t="shared" si="253"/>
        <v/>
      </c>
      <c r="HP57" s="460" t="str">
        <f t="shared" si="254"/>
        <v/>
      </c>
      <c r="HQ57" s="460" t="str">
        <f t="shared" si="255"/>
        <v/>
      </c>
      <c r="HR57" s="460" t="str">
        <f t="shared" si="256"/>
        <v/>
      </c>
      <c r="HS57" s="460" t="str">
        <f t="shared" si="257"/>
        <v/>
      </c>
      <c r="HT57" s="460" t="str">
        <f t="shared" si="258"/>
        <v/>
      </c>
      <c r="HU57" s="460" t="str">
        <f t="shared" si="259"/>
        <v/>
      </c>
      <c r="HV57" s="460" t="str">
        <f t="shared" si="260"/>
        <v/>
      </c>
      <c r="HW57" s="460" t="str">
        <f t="shared" si="261"/>
        <v/>
      </c>
      <c r="HX57" s="460" t="str">
        <f t="shared" si="262"/>
        <v/>
      </c>
      <c r="HY57" s="460" t="str">
        <f t="shared" si="263"/>
        <v/>
      </c>
      <c r="HZ57" s="460" t="str">
        <f t="shared" si="264"/>
        <v/>
      </c>
      <c r="IA57" s="460" t="str">
        <f t="shared" si="265"/>
        <v/>
      </c>
      <c r="IB57" s="460" t="str">
        <f t="shared" si="266"/>
        <v/>
      </c>
      <c r="IC57" s="460" t="str">
        <f t="shared" si="267"/>
        <v/>
      </c>
      <c r="ID57" s="674" t="str">
        <f t="shared" si="268"/>
        <v/>
      </c>
      <c r="IE57" s="250"/>
    </row>
    <row r="58" spans="1:239">
      <c r="A58" s="51"/>
      <c r="B58" s="51"/>
      <c r="C58" s="51"/>
      <c r="D58" s="51"/>
      <c r="E58" s="51"/>
      <c r="F58" s="51"/>
      <c r="G58" s="51"/>
      <c r="H58" s="51">
        <f t="shared" ca="1" si="35"/>
        <v>0</v>
      </c>
      <c r="I58" s="379">
        <f t="shared" si="36"/>
        <v>37926</v>
      </c>
      <c r="J58" s="377"/>
      <c r="K58" s="104" t="s">
        <v>269</v>
      </c>
      <c r="L58" s="392">
        <f t="shared" si="37"/>
        <v>0</v>
      </c>
      <c r="M58" s="171"/>
      <c r="N58" s="382">
        <v>0</v>
      </c>
      <c r="O58" s="171">
        <f t="shared" si="38"/>
        <v>0</v>
      </c>
      <c r="P58" s="377"/>
      <c r="Q58" s="104" t="s">
        <v>268</v>
      </c>
      <c r="R58" s="377">
        <f t="shared" ca="1" si="148"/>
        <v>-0.54063719008264466</v>
      </c>
      <c r="S58" s="832">
        <f t="shared" si="164"/>
        <v>0.36000095351325978</v>
      </c>
      <c r="T58" s="831">
        <f t="shared" si="149"/>
        <v>0.99970794650238159</v>
      </c>
      <c r="U58" s="545">
        <f t="shared" si="150"/>
        <v>0.99999973182439561</v>
      </c>
      <c r="V58" s="389">
        <v>0</v>
      </c>
      <c r="W58" s="434">
        <f t="shared" si="166"/>
        <v>0</v>
      </c>
      <c r="X58" s="415">
        <f t="shared" si="167"/>
        <v>0</v>
      </c>
      <c r="Y58" s="322">
        <f t="shared" si="168"/>
        <v>-1.1348999999999998</v>
      </c>
      <c r="Z58" s="322">
        <f t="shared" ca="1" si="169"/>
        <v>-1.1348999999999998</v>
      </c>
      <c r="AA58" s="429">
        <f t="shared" si="1"/>
        <v>1.1348999999999998</v>
      </c>
      <c r="AB58" s="433">
        <f t="shared" ca="1" si="2"/>
        <v>1.1348999999999998</v>
      </c>
      <c r="AC58" s="226">
        <v>37914</v>
      </c>
      <c r="AD58" s="229">
        <v>37910</v>
      </c>
      <c r="AE58" s="229">
        <v>37909</v>
      </c>
      <c r="AF58" s="229">
        <v>37905</v>
      </c>
      <c r="AG58" s="249" t="s">
        <v>90</v>
      </c>
      <c r="AH58" s="247" t="s">
        <v>499</v>
      </c>
      <c r="AI58" s="146">
        <v>20</v>
      </c>
      <c r="AJ58" s="41">
        <v>14</v>
      </c>
      <c r="AK58" s="41">
        <v>6</v>
      </c>
      <c r="AL58" s="293">
        <v>20</v>
      </c>
      <c r="AM58" s="41">
        <v>10</v>
      </c>
      <c r="AN58" s="147">
        <v>10</v>
      </c>
      <c r="AO58" s="374"/>
      <c r="AP58" s="153">
        <f t="shared" ca="1" si="43"/>
        <v>1</v>
      </c>
      <c r="AQ58" s="374"/>
      <c r="AR58" s="153">
        <f t="shared" ca="1" si="151"/>
        <v>1</v>
      </c>
      <c r="AS58" s="272">
        <f t="shared" si="170"/>
        <v>0</v>
      </c>
      <c r="AT58" s="157">
        <f t="shared" si="44"/>
        <v>0</v>
      </c>
      <c r="AU58" s="157">
        <f t="shared" si="4"/>
        <v>0</v>
      </c>
      <c r="AV58" s="271">
        <f t="shared" ca="1" si="163"/>
        <v>9.9999999999999995E-7</v>
      </c>
      <c r="AW58" s="158" t="str">
        <f t="shared" ca="1" si="171"/>
        <v/>
      </c>
      <c r="AX58" s="157">
        <f t="shared" ca="1" si="152"/>
        <v>7.0917228004303617E-3</v>
      </c>
      <c r="AY58" s="157">
        <f t="shared" ca="1" si="153"/>
        <v>4.2615375141710748E-3</v>
      </c>
      <c r="AZ58" s="157">
        <f t="shared" ca="1" si="154"/>
        <v>1.6276356417075984E-3</v>
      </c>
      <c r="BA58" s="157">
        <f t="shared" ca="1" si="155"/>
        <v>2.034544552134498E-4</v>
      </c>
      <c r="BB58" s="157">
        <f t="shared" ca="1" si="156"/>
        <v>1.2023688324053094E-4</v>
      </c>
      <c r="BC58" s="157">
        <f t="shared" ca="1" si="157"/>
        <v>8.2787430692404055E-5</v>
      </c>
      <c r="BD58" s="151">
        <f t="shared" ca="1" si="172"/>
        <v>0</v>
      </c>
      <c r="BE58" s="152">
        <f t="shared" ca="1" si="173"/>
        <v>0</v>
      </c>
      <c r="BF58" s="40">
        <f t="shared" si="174"/>
        <v>2003</v>
      </c>
      <c r="BG58" s="144">
        <f t="shared" si="175"/>
        <v>11</v>
      </c>
      <c r="BH58" s="145">
        <f t="shared" ca="1" si="176"/>
        <v>1165</v>
      </c>
      <c r="BI58" s="313">
        <f t="shared" ca="1" si="177"/>
        <v>3.2334017796030117</v>
      </c>
      <c r="BJ58" s="42">
        <f t="shared" ca="1" si="10"/>
        <v>3.2889801505817933</v>
      </c>
      <c r="BK58" s="42">
        <f t="shared" ca="1" si="178"/>
        <v>3.2917180013689253</v>
      </c>
      <c r="BL58" s="42">
        <f t="shared" ca="1" si="179"/>
        <v>3.3127994524298425</v>
      </c>
      <c r="BM58" s="150" t="e">
        <f t="shared" ca="1" si="13"/>
        <v>#DIV/0!</v>
      </c>
      <c r="BN58" s="42" t="e">
        <f t="shared" ca="1" si="14"/>
        <v>#DIV/0!</v>
      </c>
      <c r="BO58" s="293">
        <f t="shared" si="48"/>
        <v>20</v>
      </c>
      <c r="BP58" s="41">
        <f t="shared" si="49"/>
        <v>14</v>
      </c>
      <c r="BQ58" s="41">
        <f t="shared" si="50"/>
        <v>6</v>
      </c>
      <c r="BR58" s="305" t="str">
        <f t="shared" ca="1" si="15"/>
        <v/>
      </c>
      <c r="BS58" s="305" t="str">
        <f t="shared" ca="1" si="180"/>
        <v/>
      </c>
      <c r="BT58" s="307" t="str">
        <f t="shared" ca="1" si="181"/>
        <v/>
      </c>
      <c r="BU58" s="161" t="str">
        <f t="shared" ca="1" si="18"/>
        <v/>
      </c>
      <c r="BV58" s="161" t="str">
        <f t="shared" ca="1" si="19"/>
        <v/>
      </c>
      <c r="BW58" s="308" t="str">
        <f t="shared" ca="1" si="20"/>
        <v/>
      </c>
      <c r="BX58" s="309" t="str">
        <f t="shared" ca="1" si="21"/>
        <v/>
      </c>
      <c r="BY58" s="308" t="str">
        <f t="shared" ca="1" si="51"/>
        <v/>
      </c>
      <c r="BZ58" s="309" t="str">
        <f t="shared" ca="1" si="52"/>
        <v/>
      </c>
      <c r="CA58" s="154" t="str">
        <f t="shared" ca="1" si="22"/>
        <v/>
      </c>
      <c r="CB58" s="154" t="str">
        <f t="shared" ca="1" si="23"/>
        <v/>
      </c>
      <c r="CC58" s="154" t="str">
        <f t="shared" ca="1" si="24"/>
        <v/>
      </c>
      <c r="CD58" s="154" t="str">
        <f t="shared" ca="1" si="25"/>
        <v/>
      </c>
      <c r="CE58" s="310">
        <v>1</v>
      </c>
      <c r="CF58" s="162">
        <f ca="1">IF(BD58,_xll.xCrudeAPO(BU58,BV58,CA58,CB58,S59,S60,BI58,BL58,BP58,BQ58,0,Strike1,AO58,CE58,0,BL58,IF(OptControl=4,0,1),0,1),0)</f>
        <v>0</v>
      </c>
      <c r="CG58" s="163">
        <f ca="1">IF(BD58,_xll.xCrudeAPO(BU58,BV58,CA58,CB58,S59,S60,BI58,BL58,BP58,BQ58,0,Strike1,AO58,CE58,0,BL58,IF(OptControl=4,0,1),1,1)+_xll.xCrudeAPO(BU58,BV58,CA58,CB58,S59,S60,BI58,BL58,BP58,BQ58,0,Strike1,AO58,CE58,0,BL58,IF(OptControl=4,0,1),1,2)+IF(OR(VolSkewFlag=2,ABS(BS58)&lt;0.0001),0,IF(BS58&gt;0,-1,1)*CH58*Strike1/BR58^2*BY58/10%),0)</f>
        <v>0</v>
      </c>
      <c r="CH58" s="163">
        <f ca="1">IF(BD58,(_xll.xCrudeAPO(BU58,BV58,CA58,CB58,S59,S60,BI58,BL58,BP58,BQ58,0,Strike1,AO58,CE58,0,BL58,IF(OptControl=4,0,1),3,1)+_xll.xCrudeAPO(BU58,BV58,CA58,CB58,S59,S60,BI58,BL58,BP58,BQ58,0,Strike1,AO58,CE58,0,BL58,IF(OptControl=4,0,1),3,2))/100,0)</f>
        <v>0</v>
      </c>
      <c r="CI58" s="163">
        <f ca="1">IF(BD58,_xll.xCrudeAPO(BU58,BV58,CA58,CB58,S59,S60,BI58-DaysForThetaCalculation/365.25,BL58-DaysForThetaCalculation/365.25,BP58,BQ58,0,Strike1,AO58,CE58,0,BL58,IF(OptControl=4,0,1),0,1)-_xll.xCrudeAPO(BU58,BV58,CA58,CB58,S59,S60,BI58,BL58,BP58,BQ58,0,Strike1,AO58,CE58,0,BL58,IF(OptControl=4,0,1),0,1),0)</f>
        <v>0</v>
      </c>
      <c r="CJ58" s="311">
        <f ca="1">IF(BD58,_xll.xCrudeAPO(BU58,BV58,CC58,CD58,S59,S60,BI58,BL58,BP58,BQ58,0,Strike2,AO58,CE58,0,BL58,IF(OptControl=3,1,0),0,1),0)</f>
        <v>0</v>
      </c>
      <c r="CK58" s="163">
        <f ca="1">IF(BD58,_xll.xCrudeAPO(BU58,BV58,CC58,CD58,S59,S60,BI58,BL58,BP58,BQ58,0,Strike2,AO58,CE58,0,BL58,IF(OptControl=3,1,0),1,1)+_xll.xCrudeAPO(BU58,BV58,CC58,CD58,S59,S60,BI58,BL58,BP58,BQ58,0,Strike2,AO58,CE58,0,BL58,IF(OptControl=3,1,0),1,2)+IF(OR(VolSkewFlag=2,ABS(BT58)&lt;0.0001),0,IF(BT58&gt;0,-1,1)*CL58*Strike2/BR58^2*BZ58/10%),0)</f>
        <v>0</v>
      </c>
      <c r="CL58" s="163">
        <f ca="1">IF(BD58,(_xll.xCrudeAPO(BU58,BV58,CC58,CD58,S59,S60,BI58,BL58,BP58,BQ58,0,Strike2,AO58,CE58,0,BL58,IF(OptControl=3,1,0),3,1)+_xll.xCrudeAPO(BU58,BV58,CC58,CD58,S59,S60,BI58,BL58,BP58,BQ58,0,Strike2,AO58,CE58,0,BL58,IF(OptControl=3,1,0),3,2))/100,0)</f>
        <v>0</v>
      </c>
      <c r="CM58" s="164">
        <f ca="1">IF(BD58,_xll.xCrudeAPO(BU58,BV58,CC58,CD58,S59,S60,BI58-DaysForThetaCalculation/365.25,BL58-DaysForThetaCalculation/365.25,BP58,BQ58,0,Strike2,AO58,CE58,0,BL58,IF(OptControl=3,1,0),0,1)-_xll.xCrudeAPO(BU58,BV58,CC58,CD58,S59,S60,BI58,BL58,BP58,BQ58,0,Strike2,AO58,CE58,0,BL58,IF(OptControl=3,1,0),0,1),0)</f>
        <v>0</v>
      </c>
      <c r="CN58" s="53"/>
      <c r="CO58" s="796" t="str">
        <f t="shared" ca="1" si="53"/>
        <v/>
      </c>
      <c r="CP58" s="800" t="str">
        <f t="shared" ca="1" si="54"/>
        <v/>
      </c>
      <c r="CQ58" s="797" t="str">
        <f t="shared" ca="1" si="55"/>
        <v/>
      </c>
      <c r="CR58" s="797" t="str">
        <f t="shared" ca="1" si="56"/>
        <v/>
      </c>
      <c r="CS58" s="797" t="str">
        <f t="shared" ca="1" si="57"/>
        <v/>
      </c>
      <c r="CT58" s="797" t="str">
        <f t="shared" ca="1" si="58"/>
        <v/>
      </c>
      <c r="CU58" s="798" t="str">
        <f t="shared" ca="1" si="59"/>
        <v/>
      </c>
      <c r="CV58" s="799" t="str">
        <f t="shared" ca="1" si="60"/>
        <v/>
      </c>
      <c r="CW58" s="799" t="str">
        <f t="shared" ca="1" si="61"/>
        <v/>
      </c>
      <c r="CX58" s="163">
        <f ca="1">IF(BD58,_xll.EURO(CP58,Strike1,AO58,AO58,CV58,CO58,IF(OptControl=4,0,1),0),0)</f>
        <v>0</v>
      </c>
      <c r="CY58" s="163">
        <f ca="1">IF(BD58,_xll.EURO(CP58,Strike1,AO58,AO58,CV58,CO58,IF(OptControl=4,0,1),1)+IF(OR(VolSkewFlag=2,ABS(CQ58)&lt;0.0001),0,IF(CQ58&gt;0,-1,1)*CZ58*100*Strike1/CP58^2*CS58/10%),0)</f>
        <v>0</v>
      </c>
      <c r="CZ58" s="163">
        <f ca="1">IF(BD58,_xll.EURO(CP58,Strike1,AO58,AO58,CV58,CO58,IF(OptControl=4,0,1),3)/100,0)</f>
        <v>0</v>
      </c>
      <c r="DA58" s="163">
        <f ca="1">IF(BD58,_xll.EURO(CP58,Strike1,AO58,AO58,CV58,CO58,IF(OptControl=4,0,1),0)-_xll.EURO(CP58,Strike1,AO58,AO58,CV58,CO58-1,IF(OptControl=4,0,1),0),0)</f>
        <v>0</v>
      </c>
      <c r="DB58" s="163">
        <f ca="1">IF(BD58,_xll.EURO(CP58,Strike2,AO58,AO58,CW58,CO58,IF(OptControl=3,1,0),0),0)</f>
        <v>0</v>
      </c>
      <c r="DC58" s="163">
        <f ca="1">IF(BD58,_xll.EURO(CP58,Strike2,AO58,AO58,CW58,CO58,IF(OptControl=3,1,0),1)+IF(OR(VolSkewFlag=2,ABS(CR58)&lt;0.0001),0,IF(CR58&gt;0,-1,1)*DD58*100*Strike2/CP58^2*CT58/10%),0)</f>
        <v>0</v>
      </c>
      <c r="DD58" s="163">
        <f ca="1">IF(BD58,_xll.EURO(CP58,Strike2,AO58,AO58,CW58,CO58,IF(OptControl=3,1,0),3)/100,0)</f>
        <v>0</v>
      </c>
      <c r="DE58" s="164">
        <f ca="1">IF(BD58,_xll.EURO(CP58,Strike2,AO58,AO58,CW58,CO58,IF(OptControl=3,1,0),0)-_xll.EURO(CP58,Strike2,AO58,AO58,CW58,CO58-1,IF(OptControl=3,1,0),0),0)</f>
        <v>0</v>
      </c>
      <c r="DG58" s="667">
        <f t="shared" ca="1" si="62"/>
        <v>37712</v>
      </c>
      <c r="DH58" s="475">
        <v>18.82</v>
      </c>
      <c r="DI58" s="665">
        <v>18.75181818181818</v>
      </c>
      <c r="DJ58" s="666">
        <f t="shared" ca="1" si="182"/>
        <v>37712</v>
      </c>
      <c r="DK58" s="475">
        <v>17.79797709568339</v>
      </c>
      <c r="DL58" s="665">
        <v>17.565318181818181</v>
      </c>
      <c r="DM58" s="667">
        <f t="shared" ca="1" si="183"/>
        <v>37712</v>
      </c>
      <c r="DN58" s="668">
        <f t="shared" si="184"/>
        <v>17.84797709568339</v>
      </c>
      <c r="DO58" s="667">
        <f t="shared" ca="1" si="63"/>
        <v>37712</v>
      </c>
      <c r="DP58" s="579">
        <f t="shared" si="64"/>
        <v>17.565318181818181</v>
      </c>
      <c r="DQ58" s="821">
        <v>0</v>
      </c>
      <c r="DR58" s="666">
        <f t="shared" ca="1" si="185"/>
        <v>37712</v>
      </c>
      <c r="DS58" s="669">
        <v>0.21094180138501004</v>
      </c>
      <c r="DT58" s="606">
        <v>0.2094856013783476</v>
      </c>
      <c r="DU58" s="666">
        <f t="shared" ca="1" si="186"/>
        <v>37712</v>
      </c>
      <c r="DV58" s="669">
        <v>0.21094180138501004</v>
      </c>
      <c r="DW58" s="606">
        <v>0.2094856013783476</v>
      </c>
      <c r="DX58" s="667">
        <f t="shared" ca="1" si="187"/>
        <v>37712</v>
      </c>
      <c r="DY58" s="606">
        <v>0.35000000000058207</v>
      </c>
      <c r="DZ58" s="667">
        <f t="shared" ca="1" si="65"/>
        <v>37712</v>
      </c>
      <c r="EA58" s="606">
        <f t="shared" si="66"/>
        <v>0.2094856013783476</v>
      </c>
      <c r="EB58" s="1"/>
      <c r="EC58" s="118" t="str">
        <f t="shared" ca="1" si="188"/>
        <v/>
      </c>
      <c r="ED58" s="119" t="str">
        <f t="shared" ca="1" si="33"/>
        <v/>
      </c>
      <c r="EE58" s="112" t="str">
        <f t="shared" ca="1" si="34"/>
        <v/>
      </c>
      <c r="EF58" s="120">
        <f ca="1">IF(BD58,_xll.xASN(BR58,Strike1,AO58,ED58,0,BO58,0,BI58,BL58,IF(OptControl=4,0,1),0),0)</f>
        <v>0</v>
      </c>
      <c r="EG58" s="111">
        <f ca="1">IF(BD58,_xll.xASN(BR58,Strike2,AO58,EE58,0,BO58,0,BI58,BL58,IF(OptControl=3,1,0),0),0)</f>
        <v>0</v>
      </c>
      <c r="EL58" s="55"/>
      <c r="EM58" s="1"/>
      <c r="EN58" s="697">
        <v>40363</v>
      </c>
      <c r="EO58" s="698">
        <v>43466</v>
      </c>
      <c r="EP58" s="1"/>
      <c r="EQ58" s="683" t="s">
        <v>245</v>
      </c>
      <c r="ES58" s="498">
        <v>39</v>
      </c>
      <c r="ET58" s="476">
        <f t="shared" ca="1" si="165"/>
        <v>3.1895961670088981</v>
      </c>
      <c r="EU58" s="842">
        <f t="shared" ca="1" si="189"/>
        <v>0</v>
      </c>
      <c r="EV58" s="815">
        <f t="shared" ca="1" si="269"/>
        <v>0.19291151054766498</v>
      </c>
      <c r="EW58" s="478" t="str">
        <f t="shared" ca="1" si="270"/>
        <v/>
      </c>
      <c r="EX58" s="477" t="str">
        <f t="shared" ca="1" si="271"/>
        <v/>
      </c>
      <c r="EY58" s="250">
        <v>0</v>
      </c>
      <c r="EZ58" s="605" t="str">
        <f ca="1">IF(OR(EW58="",EW59=""),"",SQRT(SUM(INDEX(FK58:ID58,SwaptionFirstMonthPosition+1):INDEX(FK58:ID58,FJ58))/SUM(INDEX($FK$15:$ID$15,SwaptionFirstMonthPosition+1):INDEX($FK$15:$ID$15,FJ58))))</f>
        <v/>
      </c>
      <c r="FA58" s="581" t="str">
        <f ca="1">IF(OR(EW58="",EW57=""),"",SQRT(SUM(INDEX(FK58:ID58,SwaptionFirstMonthPosition+1):INDEX(FK58:ID58,FJ58-1))/SUM(INDEX($FK$15:$ID$15,SwaptionFirstMonthPosition+1):INDEX($FK$15:$ID$15,FJ58-1))))</f>
        <v/>
      </c>
      <c r="FB58" s="578" t="str">
        <f t="shared" ca="1" si="190"/>
        <v/>
      </c>
      <c r="FC58" s="609" t="str">
        <f t="shared" ca="1" si="191"/>
        <v/>
      </c>
      <c r="FD58" s="579" t="str">
        <f t="shared" ca="1" si="192"/>
        <v/>
      </c>
      <c r="FE58" s="579" t="str">
        <f t="shared" ca="1" si="193"/>
        <v/>
      </c>
      <c r="FF58" s="579" t="str">
        <f t="shared" ca="1" si="194"/>
        <v/>
      </c>
      <c r="FG58" s="580" t="str">
        <f t="shared" ca="1" si="195"/>
        <v/>
      </c>
      <c r="FH58" s="606" t="str">
        <f t="shared" ca="1" si="196"/>
        <v/>
      </c>
      <c r="FI58" s="250"/>
      <c r="FJ58" s="673">
        <v>39</v>
      </c>
      <c r="FK58" s="460">
        <f t="shared" ca="1" si="197"/>
        <v>0</v>
      </c>
      <c r="FL58" s="460">
        <f t="shared" ca="1" si="198"/>
        <v>2.201505778976503E-3</v>
      </c>
      <c r="FM58" s="460">
        <f t="shared" ca="1" si="199"/>
        <v>2.5608301344303441E-3</v>
      </c>
      <c r="FN58" s="460">
        <f t="shared" ca="1" si="200"/>
        <v>2.1573881834895804E-3</v>
      </c>
      <c r="FO58" s="460">
        <f t="shared" ca="1" si="201"/>
        <v>2.24645624229741E-3</v>
      </c>
      <c r="FP58" s="460">
        <f t="shared" ca="1" si="202"/>
        <v>2.4924875656675062E-3</v>
      </c>
      <c r="FQ58" s="460">
        <f t="shared" ca="1" si="203"/>
        <v>2.0209485655563906E-3</v>
      </c>
      <c r="FR58" s="460">
        <f t="shared" ca="1" si="204"/>
        <v>2.0699432712144592E-3</v>
      </c>
      <c r="FS58" s="460">
        <f t="shared" ca="1" si="205"/>
        <v>2.3374476479379415E-3</v>
      </c>
      <c r="FT58" s="460">
        <f t="shared" ca="1" si="206"/>
        <v>2.1145081803963699E-3</v>
      </c>
      <c r="FU58" s="460">
        <f t="shared" ca="1" si="207"/>
        <v>2.0384966374247674E-3</v>
      </c>
      <c r="FV58" s="460">
        <f t="shared" ca="1" si="208"/>
        <v>2.2474298946452034E-3</v>
      </c>
      <c r="FW58" s="460">
        <f t="shared" ca="1" si="209"/>
        <v>2.1084849485480069E-3</v>
      </c>
      <c r="FX58" s="460">
        <f t="shared" ca="1" si="210"/>
        <v>2.2538844421712474E-3</v>
      </c>
      <c r="FY58" s="460">
        <f t="shared" ca="1" si="211"/>
        <v>2.1204077499969742E-3</v>
      </c>
      <c r="FZ58" s="460">
        <f t="shared" ca="1" si="212"/>
        <v>1.9886128580572527E-3</v>
      </c>
      <c r="GA58" s="460">
        <f t="shared" ca="1" si="213"/>
        <v>2.1438975290797224E-3</v>
      </c>
      <c r="GB58" s="460">
        <f t="shared" ca="1" si="214"/>
        <v>2.3764338006423118E-3</v>
      </c>
      <c r="GC58" s="460">
        <f t="shared" ca="1" si="215"/>
        <v>2.1078584775499807E-3</v>
      </c>
      <c r="GD58" s="460">
        <f t="shared" ca="1" si="216"/>
        <v>2.1313872484925141E-3</v>
      </c>
      <c r="GE58" s="460">
        <f t="shared" ca="1" si="217"/>
        <v>2.4575285029104811E-3</v>
      </c>
      <c r="GF58" s="460">
        <f t="shared" ca="1" si="218"/>
        <v>2.1935012710890579E-3</v>
      </c>
      <c r="GG58" s="460">
        <f t="shared" ca="1" si="219"/>
        <v>2.4651557552692318E-3</v>
      </c>
      <c r="GH58" s="460">
        <f t="shared" ca="1" si="220"/>
        <v>2.3613811005361259E-3</v>
      </c>
      <c r="GI58" s="460">
        <f t="shared" ca="1" si="221"/>
        <v>2.34111902787641E-3</v>
      </c>
      <c r="GJ58" s="460">
        <f t="shared" ca="1" si="222"/>
        <v>2.7442801654524313E-3</v>
      </c>
      <c r="GK58" s="460">
        <f t="shared" ca="1" si="223"/>
        <v>2.583228408405803E-3</v>
      </c>
      <c r="GL58" s="460">
        <f t="shared" ca="1" si="224"/>
        <v>2.6013297676053954E-3</v>
      </c>
      <c r="GM58" s="460">
        <f t="shared" ca="1" si="225"/>
        <v>2.9174760164047985E-3</v>
      </c>
      <c r="GN58" s="460">
        <f t="shared" ca="1" si="226"/>
        <v>3.0867283682959835E-3</v>
      </c>
      <c r="GO58" s="460">
        <f t="shared" ca="1" si="227"/>
        <v>3.2982829078631705E-3</v>
      </c>
      <c r="GP58" s="460">
        <f t="shared" ca="1" si="228"/>
        <v>3.2207314229951512E-3</v>
      </c>
      <c r="GQ58" s="460">
        <f t="shared" ca="1" si="229"/>
        <v>3.9088267505829419E-3</v>
      </c>
      <c r="GR58" s="460">
        <f t="shared" ca="1" si="230"/>
        <v>4.2154079807091814E-3</v>
      </c>
      <c r="GS58" s="460">
        <f t="shared" ca="1" si="231"/>
        <v>4.950194950303733E-3</v>
      </c>
      <c r="GT58" s="460">
        <f t="shared" ca="1" si="232"/>
        <v>5.5730323327211201E-3</v>
      </c>
      <c r="GU58" s="460">
        <f t="shared" ca="1" si="233"/>
        <v>6.8903815716968696E-3</v>
      </c>
      <c r="GV58" s="460">
        <f t="shared" ca="1" si="234"/>
        <v>8.5285300859304653E-3</v>
      </c>
      <c r="GW58" s="460">
        <f t="shared" ca="1" si="235"/>
        <v>1.0644820248908152E-2</v>
      </c>
      <c r="GX58" s="460" t="str">
        <f t="shared" si="236"/>
        <v/>
      </c>
      <c r="GY58" s="460" t="str">
        <f t="shared" si="237"/>
        <v/>
      </c>
      <c r="GZ58" s="460" t="str">
        <f t="shared" si="238"/>
        <v/>
      </c>
      <c r="HA58" s="460" t="str">
        <f t="shared" si="239"/>
        <v/>
      </c>
      <c r="HB58" s="460" t="str">
        <f t="shared" si="240"/>
        <v/>
      </c>
      <c r="HC58" s="460" t="str">
        <f t="shared" si="241"/>
        <v/>
      </c>
      <c r="HD58" s="460" t="str">
        <f t="shared" si="242"/>
        <v/>
      </c>
      <c r="HE58" s="460" t="str">
        <f t="shared" si="243"/>
        <v/>
      </c>
      <c r="HF58" s="460" t="str">
        <f t="shared" si="244"/>
        <v/>
      </c>
      <c r="HG58" s="460" t="str">
        <f t="shared" si="245"/>
        <v/>
      </c>
      <c r="HH58" s="460" t="str">
        <f t="shared" si="246"/>
        <v/>
      </c>
      <c r="HI58" s="460" t="str">
        <f t="shared" si="247"/>
        <v/>
      </c>
      <c r="HJ58" s="460" t="str">
        <f t="shared" si="248"/>
        <v/>
      </c>
      <c r="HK58" s="460" t="str">
        <f t="shared" si="249"/>
        <v/>
      </c>
      <c r="HL58" s="460" t="str">
        <f t="shared" si="250"/>
        <v/>
      </c>
      <c r="HM58" s="460" t="str">
        <f t="shared" si="251"/>
        <v/>
      </c>
      <c r="HN58" s="460" t="str">
        <f t="shared" si="252"/>
        <v/>
      </c>
      <c r="HO58" s="460" t="str">
        <f t="shared" si="253"/>
        <v/>
      </c>
      <c r="HP58" s="460" t="str">
        <f t="shared" si="254"/>
        <v/>
      </c>
      <c r="HQ58" s="460" t="str">
        <f t="shared" si="255"/>
        <v/>
      </c>
      <c r="HR58" s="460" t="str">
        <f t="shared" si="256"/>
        <v/>
      </c>
      <c r="HS58" s="460" t="str">
        <f t="shared" si="257"/>
        <v/>
      </c>
      <c r="HT58" s="460" t="str">
        <f t="shared" si="258"/>
        <v/>
      </c>
      <c r="HU58" s="460" t="str">
        <f t="shared" si="259"/>
        <v/>
      </c>
      <c r="HV58" s="460" t="str">
        <f t="shared" si="260"/>
        <v/>
      </c>
      <c r="HW58" s="460" t="str">
        <f t="shared" si="261"/>
        <v/>
      </c>
      <c r="HX58" s="460" t="str">
        <f t="shared" si="262"/>
        <v/>
      </c>
      <c r="HY58" s="460" t="str">
        <f t="shared" si="263"/>
        <v/>
      </c>
      <c r="HZ58" s="460" t="str">
        <f t="shared" si="264"/>
        <v/>
      </c>
      <c r="IA58" s="460" t="str">
        <f t="shared" si="265"/>
        <v/>
      </c>
      <c r="IB58" s="460" t="str">
        <f t="shared" si="266"/>
        <v/>
      </c>
      <c r="IC58" s="460" t="str">
        <f t="shared" si="267"/>
        <v/>
      </c>
      <c r="ID58" s="674" t="str">
        <f t="shared" si="268"/>
        <v/>
      </c>
      <c r="IE58" s="250"/>
    </row>
    <row r="59" spans="1:239">
      <c r="A59" s="51"/>
      <c r="B59" s="51"/>
      <c r="C59" s="51"/>
      <c r="D59" s="51"/>
      <c r="E59" s="51"/>
      <c r="F59" s="51"/>
      <c r="G59" s="51"/>
      <c r="H59" s="51">
        <f t="shared" ca="1" si="35"/>
        <v>0</v>
      </c>
      <c r="I59" s="379">
        <f t="shared" si="36"/>
        <v>37956</v>
      </c>
      <c r="J59" s="377"/>
      <c r="K59" s="104" t="s">
        <v>269</v>
      </c>
      <c r="L59" s="392">
        <f t="shared" si="37"/>
        <v>0</v>
      </c>
      <c r="M59" s="171"/>
      <c r="N59" s="382">
        <v>0</v>
      </c>
      <c r="O59" s="171">
        <f t="shared" si="38"/>
        <v>0</v>
      </c>
      <c r="P59" s="377"/>
      <c r="Q59" s="104" t="s">
        <v>268</v>
      </c>
      <c r="R59" s="377">
        <f t="shared" ca="1" si="148"/>
        <v>-1.5920252383979654</v>
      </c>
      <c r="S59" s="832">
        <f t="shared" si="164"/>
        <v>0.3600007151349448</v>
      </c>
      <c r="T59" s="831">
        <f t="shared" si="149"/>
        <v>0.99975031361409616</v>
      </c>
      <c r="U59" s="545">
        <f t="shared" si="150"/>
        <v>0.99999979886829671</v>
      </c>
      <c r="V59" s="389">
        <v>0</v>
      </c>
      <c r="W59" s="434">
        <f t="shared" si="166"/>
        <v>0</v>
      </c>
      <c r="X59" s="415">
        <f t="shared" si="167"/>
        <v>0</v>
      </c>
      <c r="Y59" s="322">
        <f t="shared" si="168"/>
        <v>-1.1348999999999998</v>
      </c>
      <c r="Z59" s="322">
        <f t="shared" ca="1" si="169"/>
        <v>-1.1348999999999998</v>
      </c>
      <c r="AA59" s="429">
        <f t="shared" si="1"/>
        <v>1.1348999999999998</v>
      </c>
      <c r="AB59" s="433">
        <f t="shared" ca="1" si="2"/>
        <v>1.1348999999999998</v>
      </c>
      <c r="AC59" s="226">
        <v>37945</v>
      </c>
      <c r="AD59" s="229">
        <v>37941</v>
      </c>
      <c r="AE59" s="229">
        <v>37940</v>
      </c>
      <c r="AF59" s="229">
        <v>37936</v>
      </c>
      <c r="AG59" s="249" t="s">
        <v>497</v>
      </c>
      <c r="AH59" s="247" t="s">
        <v>499</v>
      </c>
      <c r="AI59" s="146">
        <v>22</v>
      </c>
      <c r="AJ59" s="41">
        <v>15</v>
      </c>
      <c r="AK59" s="41">
        <v>7</v>
      </c>
      <c r="AL59" s="293">
        <v>22</v>
      </c>
      <c r="AM59" s="41">
        <v>10</v>
      </c>
      <c r="AN59" s="147">
        <v>12</v>
      </c>
      <c r="AO59" s="374"/>
      <c r="AP59" s="153">
        <f t="shared" ca="1" si="43"/>
        <v>1</v>
      </c>
      <c r="AQ59" s="374"/>
      <c r="AR59" s="153">
        <f t="shared" ca="1" si="151"/>
        <v>1</v>
      </c>
      <c r="AS59" s="272">
        <f t="shared" si="170"/>
        <v>0</v>
      </c>
      <c r="AT59" s="157">
        <f t="shared" si="44"/>
        <v>0</v>
      </c>
      <c r="AU59" s="157">
        <f t="shared" si="4"/>
        <v>0</v>
      </c>
      <c r="AV59" s="271">
        <f t="shared" ca="1" si="163"/>
        <v>9.9999999999999995E-7</v>
      </c>
      <c r="AW59" s="158" t="str">
        <f t="shared" ca="1" si="171"/>
        <v/>
      </c>
      <c r="AX59" s="157">
        <f t="shared" ca="1" si="152"/>
        <v>6.8561053152067838E-3</v>
      </c>
      <c r="AY59" s="157">
        <f t="shared" ca="1" si="153"/>
        <v>4.0925613841691537E-3</v>
      </c>
      <c r="AZ59" s="157">
        <f t="shared" ca="1" si="154"/>
        <v>1.5362834726129861E-3</v>
      </c>
      <c r="BA59" s="157">
        <f t="shared" ca="1" si="155"/>
        <v>1.9203543407662327E-4</v>
      </c>
      <c r="BB59" s="157">
        <f t="shared" ca="1" si="156"/>
        <v>1.0971793002339913E-4</v>
      </c>
      <c r="BC59" s="157">
        <f t="shared" ca="1" si="157"/>
        <v>7.3755215881994926E-5</v>
      </c>
      <c r="BD59" s="151">
        <f t="shared" ca="1" si="172"/>
        <v>0</v>
      </c>
      <c r="BE59" s="152">
        <f t="shared" ca="1" si="173"/>
        <v>0</v>
      </c>
      <c r="BF59" s="40">
        <f t="shared" si="174"/>
        <v>2003</v>
      </c>
      <c r="BG59" s="144">
        <f t="shared" si="175"/>
        <v>12</v>
      </c>
      <c r="BH59" s="145">
        <f t="shared" ca="1" si="176"/>
        <v>1196</v>
      </c>
      <c r="BI59" s="313">
        <f t="shared" ca="1" si="177"/>
        <v>3.3155373032169746</v>
      </c>
      <c r="BJ59" s="42">
        <f t="shared" ca="1" si="10"/>
        <v>3.3715387965901313</v>
      </c>
      <c r="BK59" s="42">
        <f t="shared" ca="1" si="178"/>
        <v>3.3742766473772634</v>
      </c>
      <c r="BL59" s="42">
        <f t="shared" ca="1" si="179"/>
        <v>3.3976728268309375</v>
      </c>
      <c r="BM59" s="150" t="e">
        <f t="shared" ca="1" si="13"/>
        <v>#DIV/0!</v>
      </c>
      <c r="BN59" s="42" t="e">
        <f t="shared" ca="1" si="14"/>
        <v>#DIV/0!</v>
      </c>
      <c r="BO59" s="293">
        <f t="shared" si="48"/>
        <v>22</v>
      </c>
      <c r="BP59" s="41">
        <f t="shared" si="49"/>
        <v>15</v>
      </c>
      <c r="BQ59" s="41">
        <f t="shared" si="50"/>
        <v>7</v>
      </c>
      <c r="BR59" s="305" t="str">
        <f t="shared" ca="1" si="15"/>
        <v/>
      </c>
      <c r="BS59" s="305" t="str">
        <f t="shared" ca="1" si="180"/>
        <v/>
      </c>
      <c r="BT59" s="307" t="str">
        <f t="shared" ca="1" si="181"/>
        <v/>
      </c>
      <c r="BU59" s="161" t="str">
        <f t="shared" ca="1" si="18"/>
        <v/>
      </c>
      <c r="BV59" s="161" t="str">
        <f t="shared" ca="1" si="19"/>
        <v/>
      </c>
      <c r="BW59" s="308" t="str">
        <f t="shared" ca="1" si="20"/>
        <v/>
      </c>
      <c r="BX59" s="309" t="str">
        <f t="shared" ca="1" si="21"/>
        <v/>
      </c>
      <c r="BY59" s="308" t="str">
        <f t="shared" ca="1" si="51"/>
        <v/>
      </c>
      <c r="BZ59" s="309" t="str">
        <f t="shared" ca="1" si="52"/>
        <v/>
      </c>
      <c r="CA59" s="154" t="str">
        <f t="shared" ca="1" si="22"/>
        <v/>
      </c>
      <c r="CB59" s="154" t="str">
        <f t="shared" ca="1" si="23"/>
        <v/>
      </c>
      <c r="CC59" s="154" t="str">
        <f t="shared" ca="1" si="24"/>
        <v/>
      </c>
      <c r="CD59" s="154" t="str">
        <f t="shared" ca="1" si="25"/>
        <v/>
      </c>
      <c r="CE59" s="310">
        <v>1</v>
      </c>
      <c r="CF59" s="162">
        <f ca="1">IF(BD59,_xll.xCrudeAPO(BU59,BV59,CA59,CB59,S60,S61,BI59,BL59,BP59,BQ59,0,Strike1,AO59,CE59,0,BL59,IF(OptControl=4,0,1),0,1),0)</f>
        <v>0</v>
      </c>
      <c r="CG59" s="163">
        <f ca="1">IF(BD59,_xll.xCrudeAPO(BU59,BV59,CA59,CB59,S60,S61,BI59,BL59,BP59,BQ59,0,Strike1,AO59,CE59,0,BL59,IF(OptControl=4,0,1),1,1)+_xll.xCrudeAPO(BU59,BV59,CA59,CB59,S60,S61,BI59,BL59,BP59,BQ59,0,Strike1,AO59,CE59,0,BL59,IF(OptControl=4,0,1),1,2)+IF(OR(VolSkewFlag=2,ABS(BS59)&lt;0.0001),0,IF(BS59&gt;0,-1,1)*CH59*Strike1/BR59^2*BY59/10%),0)</f>
        <v>0</v>
      </c>
      <c r="CH59" s="163">
        <f ca="1">IF(BD59,(_xll.xCrudeAPO(BU59,BV59,CA59,CB59,S60,S61,BI59,BL59,BP59,BQ59,0,Strike1,AO59,CE59,0,BL59,IF(OptControl=4,0,1),3,1)+_xll.xCrudeAPO(BU59,BV59,CA59,CB59,S60,S61,BI59,BL59,BP59,BQ59,0,Strike1,AO59,CE59,0,BL59,IF(OptControl=4,0,1),3,2))/100,0)</f>
        <v>0</v>
      </c>
      <c r="CI59" s="163">
        <f ca="1">IF(BD59,_xll.xCrudeAPO(BU59,BV59,CA59,CB59,S60,S61,BI59-DaysForThetaCalculation/365.25,BL59-DaysForThetaCalculation/365.25,BP59,BQ59,0,Strike1,AO59,CE59,0,BL59,IF(OptControl=4,0,1),0,1)-_xll.xCrudeAPO(BU59,BV59,CA59,CB59,S60,S61,BI59,BL59,BP59,BQ59,0,Strike1,AO59,CE59,0,BL59,IF(OptControl=4,0,1),0,1),0)</f>
        <v>0</v>
      </c>
      <c r="CJ59" s="311">
        <f ca="1">IF(BD59,_xll.xCrudeAPO(BU59,BV59,CC59,CD59,S60,S61,BI59,BL59,BP59,BQ59,0,Strike2,AO59,CE59,0,BL59,IF(OptControl=3,1,0),0,1),0)</f>
        <v>0</v>
      </c>
      <c r="CK59" s="163">
        <f ca="1">IF(BD59,_xll.xCrudeAPO(BU59,BV59,CC59,CD59,S60,S61,BI59,BL59,BP59,BQ59,0,Strike2,AO59,CE59,0,BL59,IF(OptControl=3,1,0),1,1)+_xll.xCrudeAPO(BU59,BV59,CC59,CD59,S60,S61,BI59,BL59,BP59,BQ59,0,Strike2,AO59,CE59,0,BL59,IF(OptControl=3,1,0),1,2)+IF(OR(VolSkewFlag=2,ABS(BT59)&lt;0.0001),0,IF(BT59&gt;0,-1,1)*CL59*Strike2/BR59^2*BZ59/10%),0)</f>
        <v>0</v>
      </c>
      <c r="CL59" s="163">
        <f ca="1">IF(BD59,(_xll.xCrudeAPO(BU59,BV59,CC59,CD59,S60,S61,BI59,BL59,BP59,BQ59,0,Strike2,AO59,CE59,0,BL59,IF(OptControl=3,1,0),3,1)+_xll.xCrudeAPO(BU59,BV59,CC59,CD59,S60,S61,BI59,BL59,BP59,BQ59,0,Strike2,AO59,CE59,0,BL59,IF(OptControl=3,1,0),3,2))/100,0)</f>
        <v>0</v>
      </c>
      <c r="CM59" s="164">
        <f ca="1">IF(BD59,_xll.xCrudeAPO(BU59,BV59,CC59,CD59,S60,S61,BI59-DaysForThetaCalculation/365.25,BL59-DaysForThetaCalculation/365.25,BP59,BQ59,0,Strike2,AO59,CE59,0,BL59,IF(OptControl=3,1,0),0,1)-_xll.xCrudeAPO(BU59,BV59,CC59,CD59,S60,S61,BI59,BL59,BP59,BQ59,0,Strike2,AO59,CE59,0,BL59,IF(OptControl=3,1,0),0,1),0)</f>
        <v>0</v>
      </c>
      <c r="CN59" s="53"/>
      <c r="CO59" s="796" t="str">
        <f t="shared" ca="1" si="53"/>
        <v/>
      </c>
      <c r="CP59" s="800" t="str">
        <f t="shared" ca="1" si="54"/>
        <v/>
      </c>
      <c r="CQ59" s="797" t="str">
        <f t="shared" ca="1" si="55"/>
        <v/>
      </c>
      <c r="CR59" s="797" t="str">
        <f t="shared" ca="1" si="56"/>
        <v/>
      </c>
      <c r="CS59" s="797" t="str">
        <f t="shared" ca="1" si="57"/>
        <v/>
      </c>
      <c r="CT59" s="797" t="str">
        <f t="shared" ca="1" si="58"/>
        <v/>
      </c>
      <c r="CU59" s="798" t="str">
        <f t="shared" ca="1" si="59"/>
        <v/>
      </c>
      <c r="CV59" s="799" t="str">
        <f t="shared" ca="1" si="60"/>
        <v/>
      </c>
      <c r="CW59" s="799" t="str">
        <f t="shared" ca="1" si="61"/>
        <v/>
      </c>
      <c r="CX59" s="163">
        <f ca="1">IF(BD59,_xll.EURO(CP59,Strike1,AO59,AO59,CV59,CO59,IF(OptControl=4,0,1),0),0)</f>
        <v>0</v>
      </c>
      <c r="CY59" s="163">
        <f ca="1">IF(BD59,_xll.EURO(CP59,Strike1,AO59,AO59,CV59,CO59,IF(OptControl=4,0,1),1)+IF(OR(VolSkewFlag=2,ABS(CQ59)&lt;0.0001),0,IF(CQ59&gt;0,-1,1)*CZ59*100*Strike1/CP59^2*CS59/10%),0)</f>
        <v>0</v>
      </c>
      <c r="CZ59" s="163">
        <f ca="1">IF(BD59,_xll.EURO(CP59,Strike1,AO59,AO59,CV59,CO59,IF(OptControl=4,0,1),3)/100,0)</f>
        <v>0</v>
      </c>
      <c r="DA59" s="163">
        <f ca="1">IF(BD59,_xll.EURO(CP59,Strike1,AO59,AO59,CV59,CO59,IF(OptControl=4,0,1),0)-_xll.EURO(CP59,Strike1,AO59,AO59,CV59,CO59-1,IF(OptControl=4,0,1),0),0)</f>
        <v>0</v>
      </c>
      <c r="DB59" s="163">
        <f ca="1">IF(BD59,_xll.EURO(CP59,Strike2,AO59,AO59,CW59,CO59,IF(OptControl=3,1,0),0),0)</f>
        <v>0</v>
      </c>
      <c r="DC59" s="163">
        <f ca="1">IF(BD59,_xll.EURO(CP59,Strike2,AO59,AO59,CW59,CO59,IF(OptControl=3,1,0),1)+IF(OR(VolSkewFlag=2,ABS(CR59)&lt;0.0001),0,IF(CR59&gt;0,-1,1)*DD59*100*Strike2/CP59^2*CT59/10%),0)</f>
        <v>0</v>
      </c>
      <c r="DD59" s="163">
        <f ca="1">IF(BD59,_xll.EURO(CP59,Strike2,AO59,AO59,CW59,CO59,IF(OptControl=3,1,0),3)/100,0)</f>
        <v>0</v>
      </c>
      <c r="DE59" s="164">
        <f ca="1">IF(BD59,_xll.EURO(CP59,Strike2,AO59,AO59,CW59,CO59,IF(OptControl=3,1,0),0)-_xll.EURO(CP59,Strike2,AO59,AO59,CW59,CO59-1,IF(OptControl=3,1,0),0),0)</f>
        <v>0</v>
      </c>
      <c r="DG59" s="667">
        <f t="shared" ca="1" si="62"/>
        <v>37742</v>
      </c>
      <c r="DH59" s="475">
        <v>18.77</v>
      </c>
      <c r="DI59" s="665">
        <v>18.701818181818183</v>
      </c>
      <c r="DJ59" s="666">
        <f t="shared" ca="1" si="182"/>
        <v>37742</v>
      </c>
      <c r="DK59" s="475">
        <v>17.667884458469651</v>
      </c>
      <c r="DL59" s="665">
        <v>17.515318181818184</v>
      </c>
      <c r="DM59" s="667">
        <f t="shared" ca="1" si="183"/>
        <v>37742</v>
      </c>
      <c r="DN59" s="668">
        <f t="shared" si="184"/>
        <v>17.717884458469651</v>
      </c>
      <c r="DO59" s="667">
        <f t="shared" ca="1" si="63"/>
        <v>37742</v>
      </c>
      <c r="DP59" s="579">
        <f t="shared" si="64"/>
        <v>17.515318181818184</v>
      </c>
      <c r="DQ59" s="821">
        <v>0</v>
      </c>
      <c r="DR59" s="666">
        <f t="shared" ca="1" si="185"/>
        <v>37742</v>
      </c>
      <c r="DS59" s="669">
        <v>0.20993116884324908</v>
      </c>
      <c r="DT59" s="606">
        <v>0.20840508591917917</v>
      </c>
      <c r="DU59" s="666">
        <f t="shared" ca="1" si="186"/>
        <v>37742</v>
      </c>
      <c r="DV59" s="669">
        <v>0.20993116884324908</v>
      </c>
      <c r="DW59" s="606">
        <v>0.20840508591917917</v>
      </c>
      <c r="DX59" s="667">
        <f t="shared" ca="1" si="187"/>
        <v>37742</v>
      </c>
      <c r="DY59" s="606">
        <v>0.35000000000029102</v>
      </c>
      <c r="DZ59" s="667">
        <f t="shared" ca="1" si="65"/>
        <v>37742</v>
      </c>
      <c r="EA59" s="606">
        <f t="shared" si="66"/>
        <v>0.20840508591917917</v>
      </c>
      <c r="EB59" s="1"/>
      <c r="EC59" s="118" t="str">
        <f t="shared" ca="1" si="188"/>
        <v/>
      </c>
      <c r="ED59" s="119" t="str">
        <f t="shared" ca="1" si="33"/>
        <v/>
      </c>
      <c r="EE59" s="112" t="str">
        <f t="shared" ca="1" si="34"/>
        <v/>
      </c>
      <c r="EF59" s="120">
        <f ca="1">IF(BD59,_xll.xASN(BR59,Strike1,AO59,ED59,0,BO59,0,BI59,BL59,IF(OptControl=4,0,1),0),0)</f>
        <v>0</v>
      </c>
      <c r="EG59" s="111">
        <f ca="1">IF(BD59,_xll.xASN(BR59,Strike2,AO59,EE59,0,BO59,0,BI59,BL59,IF(OptControl=3,1,0),0),0)</f>
        <v>0</v>
      </c>
      <c r="EL59" s="55"/>
      <c r="EM59" s="1"/>
      <c r="EN59" s="697">
        <v>40537</v>
      </c>
      <c r="EO59" s="698">
        <v>43824</v>
      </c>
      <c r="EP59" s="1"/>
      <c r="EQ59" s="683" t="s">
        <v>246</v>
      </c>
      <c r="ES59" s="498">
        <v>40</v>
      </c>
      <c r="ET59" s="476">
        <f t="shared" ca="1" si="165"/>
        <v>3.2744695414099931</v>
      </c>
      <c r="EU59" s="842">
        <f t="shared" ca="1" si="189"/>
        <v>0</v>
      </c>
      <c r="EV59" s="815">
        <f t="shared" ca="1" si="269"/>
        <v>0.19220606784243588</v>
      </c>
      <c r="EW59" s="478" t="str">
        <f t="shared" ca="1" si="270"/>
        <v/>
      </c>
      <c r="EX59" s="477" t="str">
        <f t="shared" ca="1" si="271"/>
        <v/>
      </c>
      <c r="EY59" s="250">
        <v>0</v>
      </c>
      <c r="EZ59" s="605" t="str">
        <f ca="1">IF(OR(EW59="",EW60=""),"",SQRT(SUM(INDEX(FK59:ID59,SwaptionFirstMonthPosition+1):INDEX(FK59:ID59,FJ59))/SUM(INDEX($FK$15:$ID$15,SwaptionFirstMonthPosition+1):INDEX($FK$15:$ID$15,FJ59))))</f>
        <v/>
      </c>
      <c r="FA59" s="581" t="str">
        <f ca="1">IF(OR(EW59="",EW58=""),"",SQRT(SUM(INDEX(FK59:ID59,SwaptionFirstMonthPosition+1):INDEX(FK59:ID59,FJ59-1))/SUM(INDEX($FK$15:$ID$15,SwaptionFirstMonthPosition+1):INDEX($FK$15:$ID$15,FJ59-1))))</f>
        <v/>
      </c>
      <c r="FB59" s="578" t="str">
        <f t="shared" ca="1" si="190"/>
        <v/>
      </c>
      <c r="FC59" s="609" t="str">
        <f t="shared" ca="1" si="191"/>
        <v/>
      </c>
      <c r="FD59" s="579" t="str">
        <f t="shared" ca="1" si="192"/>
        <v/>
      </c>
      <c r="FE59" s="579" t="str">
        <f t="shared" ca="1" si="193"/>
        <v/>
      </c>
      <c r="FF59" s="579" t="str">
        <f t="shared" ca="1" si="194"/>
        <v/>
      </c>
      <c r="FG59" s="580" t="str">
        <f t="shared" ca="1" si="195"/>
        <v/>
      </c>
      <c r="FH59" s="606" t="str">
        <f t="shared" ca="1" si="196"/>
        <v/>
      </c>
      <c r="FI59" s="250"/>
      <c r="FJ59" s="673">
        <v>40</v>
      </c>
      <c r="FK59" s="460">
        <f t="shared" ca="1" si="197"/>
        <v>0</v>
      </c>
      <c r="FL59" s="460">
        <f t="shared" ca="1" si="198"/>
        <v>2.2000026946465872E-3</v>
      </c>
      <c r="FM59" s="460">
        <f t="shared" ca="1" si="199"/>
        <v>2.558785205710774E-3</v>
      </c>
      <c r="FN59" s="460">
        <f t="shared" ca="1" si="200"/>
        <v>2.1553732552502436E-3</v>
      </c>
      <c r="FO59" s="460">
        <f t="shared" ca="1" si="201"/>
        <v>2.2440023068350055E-3</v>
      </c>
      <c r="FP59" s="460">
        <f t="shared" ca="1" si="202"/>
        <v>2.4893031330852316E-3</v>
      </c>
      <c r="FQ59" s="460">
        <f t="shared" ca="1" si="203"/>
        <v>2.0179286958586133E-3</v>
      </c>
      <c r="FR59" s="460">
        <f t="shared" ca="1" si="204"/>
        <v>2.0663256318362382E-3</v>
      </c>
      <c r="FS59" s="460">
        <f t="shared" ca="1" si="205"/>
        <v>2.3326696868668398E-3</v>
      </c>
      <c r="FT59" s="460">
        <f t="shared" ca="1" si="206"/>
        <v>2.109452914899662E-3</v>
      </c>
      <c r="FU59" s="460">
        <f t="shared" ca="1" si="207"/>
        <v>2.0327965898010308E-3</v>
      </c>
      <c r="FV59" s="460">
        <f t="shared" ca="1" si="208"/>
        <v>2.2400798746001886E-3</v>
      </c>
      <c r="FW59" s="460">
        <f t="shared" ca="1" si="209"/>
        <v>2.1004199041876944E-3</v>
      </c>
      <c r="FX59" s="460">
        <f t="shared" ca="1" si="210"/>
        <v>2.2438011631179242E-3</v>
      </c>
      <c r="FY59" s="460">
        <f t="shared" ca="1" si="211"/>
        <v>2.1093128495741913E-3</v>
      </c>
      <c r="FZ59" s="460">
        <f t="shared" ca="1" si="212"/>
        <v>1.9764429259807549E-3</v>
      </c>
      <c r="GA59" s="460">
        <f t="shared" ca="1" si="213"/>
        <v>2.1285522136431289E-3</v>
      </c>
      <c r="GB59" s="460">
        <f t="shared" ca="1" si="214"/>
        <v>2.3565393751338259E-3</v>
      </c>
      <c r="GC59" s="460">
        <f t="shared" ca="1" si="215"/>
        <v>2.0872198403973463E-3</v>
      </c>
      <c r="GD59" s="460">
        <f t="shared" ca="1" si="216"/>
        <v>2.1069790449974035E-3</v>
      </c>
      <c r="GE59" s="460">
        <f t="shared" ca="1" si="217"/>
        <v>2.424612590265364E-3</v>
      </c>
      <c r="GF59" s="460">
        <f t="shared" ca="1" si="218"/>
        <v>2.15913921731013E-3</v>
      </c>
      <c r="GG59" s="460">
        <f t="shared" ca="1" si="219"/>
        <v>2.4199889396779506E-3</v>
      </c>
      <c r="GH59" s="460">
        <f t="shared" ca="1" si="220"/>
        <v>2.310778239006943E-3</v>
      </c>
      <c r="GI59" s="460">
        <f t="shared" ca="1" si="221"/>
        <v>2.2824422343241091E-3</v>
      </c>
      <c r="GJ59" s="460">
        <f t="shared" ca="1" si="222"/>
        <v>2.66383402542229E-3</v>
      </c>
      <c r="GK59" s="460">
        <f t="shared" ca="1" si="223"/>
        <v>2.4946610978123971E-3</v>
      </c>
      <c r="GL59" s="460">
        <f t="shared" ca="1" si="224"/>
        <v>2.4970164050609951E-3</v>
      </c>
      <c r="GM59" s="460">
        <f t="shared" ca="1" si="225"/>
        <v>2.7806446341306144E-3</v>
      </c>
      <c r="GN59" s="460">
        <f t="shared" ca="1" si="226"/>
        <v>2.9174074098009036E-3</v>
      </c>
      <c r="GO59" s="460">
        <f t="shared" ca="1" si="227"/>
        <v>3.0866739275523824E-3</v>
      </c>
      <c r="GP59" s="460">
        <f t="shared" ca="1" si="228"/>
        <v>2.9790548321720145E-3</v>
      </c>
      <c r="GQ59" s="460">
        <f t="shared" ca="1" si="229"/>
        <v>3.5657744133251175E-3</v>
      </c>
      <c r="GR59" s="460">
        <f t="shared" ca="1" si="230"/>
        <v>3.7827074185171759E-3</v>
      </c>
      <c r="GS59" s="460">
        <f t="shared" ca="1" si="231"/>
        <v>4.3558972713220239E-3</v>
      </c>
      <c r="GT59" s="460">
        <f t="shared" ca="1" si="232"/>
        <v>4.7904911916484402E-3</v>
      </c>
      <c r="GU59" s="460">
        <f t="shared" ca="1" si="233"/>
        <v>5.7587819996029318E-3</v>
      </c>
      <c r="GV59" s="460">
        <f t="shared" ca="1" si="234"/>
        <v>6.8903653493872646E-3</v>
      </c>
      <c r="GW59" s="460">
        <f t="shared" ca="1" si="235"/>
        <v>8.2534016386528013E-3</v>
      </c>
      <c r="GX59" s="460">
        <f t="shared" ca="1" si="236"/>
        <v>1.0999633023484778E-2</v>
      </c>
      <c r="GY59" s="460" t="str">
        <f t="shared" si="237"/>
        <v/>
      </c>
      <c r="GZ59" s="460" t="str">
        <f t="shared" si="238"/>
        <v/>
      </c>
      <c r="HA59" s="460" t="str">
        <f t="shared" si="239"/>
        <v/>
      </c>
      <c r="HB59" s="460" t="str">
        <f t="shared" si="240"/>
        <v/>
      </c>
      <c r="HC59" s="460" t="str">
        <f t="shared" si="241"/>
        <v/>
      </c>
      <c r="HD59" s="460" t="str">
        <f t="shared" si="242"/>
        <v/>
      </c>
      <c r="HE59" s="460" t="str">
        <f t="shared" si="243"/>
        <v/>
      </c>
      <c r="HF59" s="460" t="str">
        <f t="shared" si="244"/>
        <v/>
      </c>
      <c r="HG59" s="460" t="str">
        <f t="shared" si="245"/>
        <v/>
      </c>
      <c r="HH59" s="460" t="str">
        <f t="shared" si="246"/>
        <v/>
      </c>
      <c r="HI59" s="460" t="str">
        <f t="shared" si="247"/>
        <v/>
      </c>
      <c r="HJ59" s="460" t="str">
        <f t="shared" si="248"/>
        <v/>
      </c>
      <c r="HK59" s="460" t="str">
        <f t="shared" si="249"/>
        <v/>
      </c>
      <c r="HL59" s="460" t="str">
        <f t="shared" si="250"/>
        <v/>
      </c>
      <c r="HM59" s="460" t="str">
        <f t="shared" si="251"/>
        <v/>
      </c>
      <c r="HN59" s="460" t="str">
        <f t="shared" si="252"/>
        <v/>
      </c>
      <c r="HO59" s="460" t="str">
        <f t="shared" si="253"/>
        <v/>
      </c>
      <c r="HP59" s="460" t="str">
        <f t="shared" si="254"/>
        <v/>
      </c>
      <c r="HQ59" s="460" t="str">
        <f t="shared" si="255"/>
        <v/>
      </c>
      <c r="HR59" s="460" t="str">
        <f t="shared" si="256"/>
        <v/>
      </c>
      <c r="HS59" s="460" t="str">
        <f t="shared" si="257"/>
        <v/>
      </c>
      <c r="HT59" s="460" t="str">
        <f t="shared" si="258"/>
        <v/>
      </c>
      <c r="HU59" s="460" t="str">
        <f t="shared" si="259"/>
        <v/>
      </c>
      <c r="HV59" s="460" t="str">
        <f t="shared" si="260"/>
        <v/>
      </c>
      <c r="HW59" s="460" t="str">
        <f t="shared" si="261"/>
        <v/>
      </c>
      <c r="HX59" s="460" t="str">
        <f t="shared" si="262"/>
        <v/>
      </c>
      <c r="HY59" s="460" t="str">
        <f t="shared" si="263"/>
        <v/>
      </c>
      <c r="HZ59" s="460" t="str">
        <f t="shared" si="264"/>
        <v/>
      </c>
      <c r="IA59" s="460" t="str">
        <f t="shared" si="265"/>
        <v/>
      </c>
      <c r="IB59" s="460" t="str">
        <f t="shared" si="266"/>
        <v/>
      </c>
      <c r="IC59" s="460" t="str">
        <f t="shared" si="267"/>
        <v/>
      </c>
      <c r="ID59" s="674" t="str">
        <f t="shared" si="268"/>
        <v/>
      </c>
      <c r="IE59" s="250"/>
    </row>
    <row r="60" spans="1:239">
      <c r="A60" s="51"/>
      <c r="B60" s="51"/>
      <c r="C60" s="51"/>
      <c r="D60" s="51"/>
      <c r="E60" s="51"/>
      <c r="F60" s="51"/>
      <c r="G60" s="51"/>
      <c r="H60" s="51">
        <f t="shared" ca="1" si="35"/>
        <v>0</v>
      </c>
      <c r="I60" s="379">
        <f t="shared" si="36"/>
        <v>37987</v>
      </c>
      <c r="J60" s="377"/>
      <c r="K60" s="104">
        <v>0</v>
      </c>
      <c r="L60" s="392">
        <f t="shared" si="37"/>
        <v>0</v>
      </c>
      <c r="M60" s="171"/>
      <c r="N60" s="382">
        <v>0</v>
      </c>
      <c r="O60" s="171">
        <f t="shared" si="38"/>
        <v>0</v>
      </c>
      <c r="P60" s="377"/>
      <c r="Q60" s="104" t="s">
        <v>268</v>
      </c>
      <c r="R60" s="377">
        <f t="shared" ca="1" si="148"/>
        <v>-0.6777747616020342</v>
      </c>
      <c r="S60" s="832">
        <f t="shared" si="164"/>
        <v>0.3600005363512086</v>
      </c>
      <c r="T60" s="831">
        <f t="shared" si="149"/>
        <v>0.99978653255632011</v>
      </c>
      <c r="U60" s="545">
        <f t="shared" si="150"/>
        <v>0.99999984915122253</v>
      </c>
      <c r="V60" s="389">
        <v>0</v>
      </c>
      <c r="W60" s="434">
        <f t="shared" si="166"/>
        <v>0</v>
      </c>
      <c r="X60" s="415">
        <f t="shared" si="167"/>
        <v>0</v>
      </c>
      <c r="Y60" s="322">
        <f t="shared" si="168"/>
        <v>-1.1114999999999999</v>
      </c>
      <c r="Z60" s="322">
        <f t="shared" ca="1" si="169"/>
        <v>-1.1114999999999999</v>
      </c>
      <c r="AA60" s="429">
        <f t="shared" si="1"/>
        <v>1.1114999999999999</v>
      </c>
      <c r="AB60" s="433">
        <f t="shared" ca="1" si="2"/>
        <v>1.1114999999999999</v>
      </c>
      <c r="AC60" s="226">
        <v>37975</v>
      </c>
      <c r="AD60" s="229">
        <v>37971</v>
      </c>
      <c r="AE60" s="229">
        <v>37970</v>
      </c>
      <c r="AF60" s="229">
        <v>37966</v>
      </c>
      <c r="AG60" s="249" t="s">
        <v>90</v>
      </c>
      <c r="AH60" s="247" t="s">
        <v>499</v>
      </c>
      <c r="AI60" s="146">
        <v>21</v>
      </c>
      <c r="AJ60" s="41">
        <v>13</v>
      </c>
      <c r="AK60" s="41">
        <v>8</v>
      </c>
      <c r="AL60" s="293">
        <v>21</v>
      </c>
      <c r="AM60" s="41">
        <v>9</v>
      </c>
      <c r="AN60" s="147">
        <v>12</v>
      </c>
      <c r="AO60" s="374"/>
      <c r="AP60" s="153">
        <f t="shared" ca="1" si="43"/>
        <v>1</v>
      </c>
      <c r="AQ60" s="374"/>
      <c r="AR60" s="153">
        <f t="shared" ca="1" si="151"/>
        <v>1</v>
      </c>
      <c r="AS60" s="272">
        <f t="shared" si="170"/>
        <v>0</v>
      </c>
      <c r="AT60" s="157">
        <f t="shared" si="44"/>
        <v>0</v>
      </c>
      <c r="AU60" s="157">
        <f t="shared" si="4"/>
        <v>0</v>
      </c>
      <c r="AV60" s="271">
        <f t="shared" ca="1" si="163"/>
        <v>9.9999999999999995E-7</v>
      </c>
      <c r="AW60" s="158" t="str">
        <f t="shared" ca="1" si="171"/>
        <v/>
      </c>
      <c r="AX60" s="157">
        <f t="shared" ca="1" si="152"/>
        <v>6.6283160546481224E-3</v>
      </c>
      <c r="AY60" s="157">
        <f t="shared" ca="1" si="153"/>
        <v>3.9302854022746888E-3</v>
      </c>
      <c r="AZ60" s="157">
        <f t="shared" ca="1" si="154"/>
        <v>1.4500585067968273E-3</v>
      </c>
      <c r="BA60" s="157">
        <f t="shared" ca="1" si="155"/>
        <v>1.8125731334960342E-4</v>
      </c>
      <c r="BB60" s="157">
        <f t="shared" ca="1" si="156"/>
        <v>1.00119230008131E-4</v>
      </c>
      <c r="BC60" s="157">
        <f t="shared" ca="1" si="157"/>
        <v>6.5708427285433247E-5</v>
      </c>
      <c r="BD60" s="151">
        <f t="shared" ca="1" si="172"/>
        <v>0</v>
      </c>
      <c r="BE60" s="152">
        <f t="shared" ca="1" si="173"/>
        <v>0</v>
      </c>
      <c r="BF60" s="40">
        <f t="shared" si="174"/>
        <v>2004</v>
      </c>
      <c r="BG60" s="144">
        <f t="shared" si="175"/>
        <v>1</v>
      </c>
      <c r="BH60" s="145">
        <f t="shared" ca="1" si="176"/>
        <v>1226</v>
      </c>
      <c r="BI60" s="313">
        <f t="shared" ca="1" si="177"/>
        <v>3.40041067761807</v>
      </c>
      <c r="BJ60" s="42">
        <f t="shared" ca="1" si="10"/>
        <v>3.4512564779505235</v>
      </c>
      <c r="BK60" s="42">
        <f t="shared" ca="1" si="178"/>
        <v>3.4539943287376556</v>
      </c>
      <c r="BL60" s="42">
        <f t="shared" ca="1" si="179"/>
        <v>3.482546201232033</v>
      </c>
      <c r="BM60" s="150" t="e">
        <f t="shared" ca="1" si="13"/>
        <v>#DIV/0!</v>
      </c>
      <c r="BN60" s="42" t="e">
        <f t="shared" ca="1" si="14"/>
        <v>#DIV/0!</v>
      </c>
      <c r="BO60" s="293">
        <f t="shared" si="48"/>
        <v>21</v>
      </c>
      <c r="BP60" s="41">
        <f t="shared" si="49"/>
        <v>13</v>
      </c>
      <c r="BQ60" s="41">
        <f t="shared" si="50"/>
        <v>8</v>
      </c>
      <c r="BR60" s="305" t="str">
        <f t="shared" ca="1" si="15"/>
        <v/>
      </c>
      <c r="BS60" s="305" t="str">
        <f t="shared" ca="1" si="180"/>
        <v/>
      </c>
      <c r="BT60" s="307" t="str">
        <f t="shared" ca="1" si="181"/>
        <v/>
      </c>
      <c r="BU60" s="161" t="str">
        <f t="shared" ca="1" si="18"/>
        <v/>
      </c>
      <c r="BV60" s="161" t="str">
        <f t="shared" ca="1" si="19"/>
        <v/>
      </c>
      <c r="BW60" s="308" t="str">
        <f t="shared" ca="1" si="20"/>
        <v/>
      </c>
      <c r="BX60" s="309" t="str">
        <f t="shared" ca="1" si="21"/>
        <v/>
      </c>
      <c r="BY60" s="308" t="str">
        <f t="shared" ca="1" si="51"/>
        <v/>
      </c>
      <c r="BZ60" s="309" t="str">
        <f t="shared" ca="1" si="52"/>
        <v/>
      </c>
      <c r="CA60" s="154" t="str">
        <f t="shared" ca="1" si="22"/>
        <v/>
      </c>
      <c r="CB60" s="154" t="str">
        <f t="shared" ca="1" si="23"/>
        <v/>
      </c>
      <c r="CC60" s="154" t="str">
        <f t="shared" ca="1" si="24"/>
        <v/>
      </c>
      <c r="CD60" s="154" t="str">
        <f t="shared" ca="1" si="25"/>
        <v/>
      </c>
      <c r="CE60" s="310">
        <v>1</v>
      </c>
      <c r="CF60" s="162">
        <f ca="1">IF(BD60,_xll.xCrudeAPO(BU60,BV60,CA60,CB60,S61,S62,BI60,BL60,BP60,BQ60,0,Strike1,AO60,CE60,0,BL60,IF(OptControl=4,0,1),0,1),0)</f>
        <v>0</v>
      </c>
      <c r="CG60" s="163">
        <f ca="1">IF(BD60,_xll.xCrudeAPO(BU60,BV60,CA60,CB60,S61,S62,BI60,BL60,BP60,BQ60,0,Strike1,AO60,CE60,0,BL60,IF(OptControl=4,0,1),1,1)+_xll.xCrudeAPO(BU60,BV60,CA60,CB60,S61,S62,BI60,BL60,BP60,BQ60,0,Strike1,AO60,CE60,0,BL60,IF(OptControl=4,0,1),1,2)+IF(OR(VolSkewFlag=2,ABS(BS60)&lt;0.0001),0,IF(BS60&gt;0,-1,1)*CH60*Strike1/BR60^2*BY60/10%),0)</f>
        <v>0</v>
      </c>
      <c r="CH60" s="163">
        <f ca="1">IF(BD60,(_xll.xCrudeAPO(BU60,BV60,CA60,CB60,S61,S62,BI60,BL60,BP60,BQ60,0,Strike1,AO60,CE60,0,BL60,IF(OptControl=4,0,1),3,1)+_xll.xCrudeAPO(BU60,BV60,CA60,CB60,S61,S62,BI60,BL60,BP60,BQ60,0,Strike1,AO60,CE60,0,BL60,IF(OptControl=4,0,1),3,2))/100,0)</f>
        <v>0</v>
      </c>
      <c r="CI60" s="163">
        <f ca="1">IF(BD60,_xll.xCrudeAPO(BU60,BV60,CA60,CB60,S61,S62,BI60-DaysForThetaCalculation/365.25,BL60-DaysForThetaCalculation/365.25,BP60,BQ60,0,Strike1,AO60,CE60,0,BL60,IF(OptControl=4,0,1),0,1)-_xll.xCrudeAPO(BU60,BV60,CA60,CB60,S61,S62,BI60,BL60,BP60,BQ60,0,Strike1,AO60,CE60,0,BL60,IF(OptControl=4,0,1),0,1),0)</f>
        <v>0</v>
      </c>
      <c r="CJ60" s="311">
        <f ca="1">IF(BD60,_xll.xCrudeAPO(BU60,BV60,CC60,CD60,S61,S62,BI60,BL60,BP60,BQ60,0,Strike2,AO60,CE60,0,BL60,IF(OptControl=3,1,0),0,1),0)</f>
        <v>0</v>
      </c>
      <c r="CK60" s="163">
        <f ca="1">IF(BD60,_xll.xCrudeAPO(BU60,BV60,CC60,CD60,S61,S62,BI60,BL60,BP60,BQ60,0,Strike2,AO60,CE60,0,BL60,IF(OptControl=3,1,0),1,1)+_xll.xCrudeAPO(BU60,BV60,CC60,CD60,S61,S62,BI60,BL60,BP60,BQ60,0,Strike2,AO60,CE60,0,BL60,IF(OptControl=3,1,0),1,2)+IF(OR(VolSkewFlag=2,ABS(BT60)&lt;0.0001),0,IF(BT60&gt;0,-1,1)*CL60*Strike2/BR60^2*BZ60/10%),0)</f>
        <v>0</v>
      </c>
      <c r="CL60" s="163">
        <f ca="1">IF(BD60,(_xll.xCrudeAPO(BU60,BV60,CC60,CD60,S61,S62,BI60,BL60,BP60,BQ60,0,Strike2,AO60,CE60,0,BL60,IF(OptControl=3,1,0),3,1)+_xll.xCrudeAPO(BU60,BV60,CC60,CD60,S61,S62,BI60,BL60,BP60,BQ60,0,Strike2,AO60,CE60,0,BL60,IF(OptControl=3,1,0),3,2))/100,0)</f>
        <v>0</v>
      </c>
      <c r="CM60" s="164">
        <f ca="1">IF(BD60,_xll.xCrudeAPO(BU60,BV60,CC60,CD60,S61,S62,BI60-DaysForThetaCalculation/365.25,BL60-DaysForThetaCalculation/365.25,BP60,BQ60,0,Strike2,AO60,CE60,0,BL60,IF(OptControl=3,1,0),0,1)-_xll.xCrudeAPO(BU60,BV60,CC60,CD60,S61,S62,BI60,BL60,BP60,BQ60,0,Strike2,AO60,CE60,0,BL60,IF(OptControl=3,1,0),0,1),0)</f>
        <v>0</v>
      </c>
      <c r="CN60" s="53"/>
      <c r="CO60" s="796" t="str">
        <f t="shared" ca="1" si="53"/>
        <v/>
      </c>
      <c r="CP60" s="800" t="str">
        <f t="shared" ca="1" si="54"/>
        <v/>
      </c>
      <c r="CQ60" s="797" t="str">
        <f t="shared" ca="1" si="55"/>
        <v/>
      </c>
      <c r="CR60" s="797" t="str">
        <f t="shared" ca="1" si="56"/>
        <v/>
      </c>
      <c r="CS60" s="797" t="str">
        <f t="shared" ca="1" si="57"/>
        <v/>
      </c>
      <c r="CT60" s="797" t="str">
        <f t="shared" ca="1" si="58"/>
        <v/>
      </c>
      <c r="CU60" s="798" t="str">
        <f t="shared" ca="1" si="59"/>
        <v/>
      </c>
      <c r="CV60" s="799" t="str">
        <f t="shared" ca="1" si="60"/>
        <v/>
      </c>
      <c r="CW60" s="799" t="str">
        <f t="shared" ca="1" si="61"/>
        <v/>
      </c>
      <c r="CX60" s="163">
        <f ca="1">IF(BD60,_xll.EURO(CP60,Strike1,AO60,AO60,CV60,CO60,IF(OptControl=4,0,1),0),0)</f>
        <v>0</v>
      </c>
      <c r="CY60" s="163">
        <f ca="1">IF(BD60,_xll.EURO(CP60,Strike1,AO60,AO60,CV60,CO60,IF(OptControl=4,0,1),1)+IF(OR(VolSkewFlag=2,ABS(CQ60)&lt;0.0001),0,IF(CQ60&gt;0,-1,1)*CZ60*100*Strike1/CP60^2*CS60/10%),0)</f>
        <v>0</v>
      </c>
      <c r="CZ60" s="163">
        <f ca="1">IF(BD60,_xll.EURO(CP60,Strike1,AO60,AO60,CV60,CO60,IF(OptControl=4,0,1),3)/100,0)</f>
        <v>0</v>
      </c>
      <c r="DA60" s="163">
        <f ca="1">IF(BD60,_xll.EURO(CP60,Strike1,AO60,AO60,CV60,CO60,IF(OptControl=4,0,1),0)-_xll.EURO(CP60,Strike1,AO60,AO60,CV60,CO60-1,IF(OptControl=4,0,1),0),0)</f>
        <v>0</v>
      </c>
      <c r="DB60" s="163">
        <f ca="1">IF(BD60,_xll.EURO(CP60,Strike2,AO60,AO60,CW60,CO60,IF(OptControl=3,1,0),0),0)</f>
        <v>0</v>
      </c>
      <c r="DC60" s="163">
        <f ca="1">IF(BD60,_xll.EURO(CP60,Strike2,AO60,AO60,CW60,CO60,IF(OptControl=3,1,0),1)+IF(OR(VolSkewFlag=2,ABS(CR60)&lt;0.0001),0,IF(CR60&gt;0,-1,1)*DD60*100*Strike2/CP60^2*CT60/10%),0)</f>
        <v>0</v>
      </c>
      <c r="DD60" s="163">
        <f ca="1">IF(BD60,_xll.EURO(CP60,Strike2,AO60,AO60,CW60,CO60,IF(OptControl=3,1,0),3)/100,0)</f>
        <v>0</v>
      </c>
      <c r="DE60" s="164">
        <f ca="1">IF(BD60,_xll.EURO(CP60,Strike2,AO60,AO60,CW60,CO60,IF(OptControl=3,1,0),0)-_xll.EURO(CP60,Strike2,AO60,AO60,CW60,CO60-1,IF(OptControl=3,1,0),0),0)</f>
        <v>0</v>
      </c>
      <c r="DG60" s="667">
        <f t="shared" ca="1" si="62"/>
        <v>37773</v>
      </c>
      <c r="DH60" s="475">
        <v>18.72</v>
      </c>
      <c r="DI60" s="665">
        <v>18.655714285714286</v>
      </c>
      <c r="DJ60" s="666">
        <f t="shared" ca="1" si="182"/>
        <v>37773</v>
      </c>
      <c r="DK60" s="475">
        <v>17.479846284608627</v>
      </c>
      <c r="DL60" s="665">
        <v>17.469214285714287</v>
      </c>
      <c r="DM60" s="667">
        <f t="shared" ca="1" si="183"/>
        <v>37773</v>
      </c>
      <c r="DN60" s="668">
        <f t="shared" si="184"/>
        <v>17.529846284608627</v>
      </c>
      <c r="DO60" s="667">
        <f t="shared" ca="1" si="63"/>
        <v>37773</v>
      </c>
      <c r="DP60" s="579">
        <f t="shared" si="64"/>
        <v>17.469214285714287</v>
      </c>
      <c r="DQ60" s="821">
        <v>0</v>
      </c>
      <c r="DR60" s="666">
        <f t="shared" ca="1" si="185"/>
        <v>37773</v>
      </c>
      <c r="DS60" s="669">
        <v>0.20870585831477007</v>
      </c>
      <c r="DT60" s="606">
        <v>0.2077115790981959</v>
      </c>
      <c r="DU60" s="666">
        <f t="shared" ca="1" si="186"/>
        <v>37773</v>
      </c>
      <c r="DV60" s="669">
        <v>0.20870585831477007</v>
      </c>
      <c r="DW60" s="606">
        <v>0.2077115790981959</v>
      </c>
      <c r="DX60" s="667">
        <f t="shared" ca="1" si="187"/>
        <v>37773</v>
      </c>
      <c r="DY60" s="606">
        <v>0.35000000000014553</v>
      </c>
      <c r="DZ60" s="667">
        <f t="shared" ca="1" si="65"/>
        <v>37773</v>
      </c>
      <c r="EA60" s="606">
        <f t="shared" si="66"/>
        <v>0.2077115790981959</v>
      </c>
      <c r="EB60" s="1"/>
      <c r="EC60" s="118" t="str">
        <f t="shared" ca="1" si="188"/>
        <v/>
      </c>
      <c r="ED60" s="119" t="str">
        <f t="shared" ca="1" si="33"/>
        <v/>
      </c>
      <c r="EE60" s="112" t="str">
        <f t="shared" ca="1" si="34"/>
        <v/>
      </c>
      <c r="EF60" s="120">
        <f ca="1">IF(BD60,_xll.xASN(BR60,Strike1,AO60,ED60,0,BO60,0,BI60,BL60,IF(OptControl=4,0,1),0),0)</f>
        <v>0</v>
      </c>
      <c r="EG60" s="111">
        <f ca="1">IF(BD60,_xll.xASN(BR60,Strike2,AO60,EE60,0,BO60,0,BI60,BL60,IF(OptControl=3,1,0),0),0)</f>
        <v>0</v>
      </c>
      <c r="EL60" s="55"/>
      <c r="EM60" s="1"/>
      <c r="EN60" s="697">
        <v>40544</v>
      </c>
      <c r="EO60" s="698">
        <v>43831</v>
      </c>
      <c r="EP60" s="1"/>
      <c r="EQ60" s="683" t="s">
        <v>247</v>
      </c>
      <c r="ES60" s="498">
        <v>41</v>
      </c>
      <c r="ET60" s="476">
        <f t="shared" ca="1" si="165"/>
        <v>3.3566050650239561</v>
      </c>
      <c r="EU60" s="842">
        <f t="shared" ca="1" si="189"/>
        <v>0</v>
      </c>
      <c r="EV60" s="815">
        <f t="shared" ca="1" si="269"/>
        <v>0.19130019022251907</v>
      </c>
      <c r="EW60" s="478" t="str">
        <f t="shared" ca="1" si="270"/>
        <v/>
      </c>
      <c r="EX60" s="477" t="str">
        <f t="shared" ca="1" si="271"/>
        <v/>
      </c>
      <c r="EY60" s="250">
        <v>0</v>
      </c>
      <c r="EZ60" s="605" t="str">
        <f ca="1">IF(OR(EW60="",EW61=""),"",SQRT(SUM(INDEX(FK60:ID60,SwaptionFirstMonthPosition+1):INDEX(FK60:ID60,FJ60))/SUM(INDEX($FK$15:$ID$15,SwaptionFirstMonthPosition+1):INDEX($FK$15:$ID$15,FJ60))))</f>
        <v/>
      </c>
      <c r="FA60" s="581" t="str">
        <f ca="1">IF(OR(EW60="",EW59=""),"",SQRT(SUM(INDEX(FK60:ID60,SwaptionFirstMonthPosition+1):INDEX(FK60:ID60,FJ60-1))/SUM(INDEX($FK$15:$ID$15,SwaptionFirstMonthPosition+1):INDEX($FK$15:$ID$15,FJ60-1))))</f>
        <v/>
      </c>
      <c r="FB60" s="578" t="str">
        <f t="shared" ca="1" si="190"/>
        <v/>
      </c>
      <c r="FC60" s="609" t="str">
        <f t="shared" ca="1" si="191"/>
        <v/>
      </c>
      <c r="FD60" s="579" t="str">
        <f t="shared" ca="1" si="192"/>
        <v/>
      </c>
      <c r="FE60" s="579" t="str">
        <f t="shared" ca="1" si="193"/>
        <v/>
      </c>
      <c r="FF60" s="579" t="str">
        <f t="shared" ca="1" si="194"/>
        <v/>
      </c>
      <c r="FG60" s="580" t="str">
        <f t="shared" ca="1" si="195"/>
        <v/>
      </c>
      <c r="FH60" s="606" t="str">
        <f t="shared" ca="1" si="196"/>
        <v/>
      </c>
      <c r="FI60" s="250"/>
      <c r="FJ60" s="673">
        <v>41</v>
      </c>
      <c r="FK60" s="460">
        <f t="shared" ca="1" si="197"/>
        <v>0</v>
      </c>
      <c r="FL60" s="460">
        <f t="shared" ca="1" si="198"/>
        <v>2.1987184349755193E-3</v>
      </c>
      <c r="FM60" s="460">
        <f t="shared" ca="1" si="199"/>
        <v>2.5570381878364384E-3</v>
      </c>
      <c r="FN60" s="460">
        <f t="shared" ca="1" si="200"/>
        <v>2.1536521006091003E-3</v>
      </c>
      <c r="FO60" s="460">
        <f t="shared" ca="1" si="201"/>
        <v>2.241906483908106E-3</v>
      </c>
      <c r="FP60" s="460">
        <f t="shared" ca="1" si="202"/>
        <v>2.4865839217692322E-3</v>
      </c>
      <c r="FQ60" s="460">
        <f t="shared" ca="1" si="203"/>
        <v>2.0153505654894543E-3</v>
      </c>
      <c r="FR60" s="460">
        <f t="shared" ca="1" si="204"/>
        <v>2.0632379559459789E-3</v>
      </c>
      <c r="FS60" s="460">
        <f t="shared" ca="1" si="205"/>
        <v>2.3285928805925112E-3</v>
      </c>
      <c r="FT60" s="460">
        <f t="shared" ca="1" si="206"/>
        <v>2.1051409963342969E-3</v>
      </c>
      <c r="FU60" s="460">
        <f t="shared" ca="1" si="207"/>
        <v>2.0279366764852451E-3</v>
      </c>
      <c r="FV60" s="460">
        <f t="shared" ca="1" si="208"/>
        <v>2.2338161595997432E-3</v>
      </c>
      <c r="FW60" s="460">
        <f t="shared" ca="1" si="209"/>
        <v>2.093550667271557E-3</v>
      </c>
      <c r="FX60" s="460">
        <f t="shared" ca="1" si="210"/>
        <v>2.2352185284973979E-3</v>
      </c>
      <c r="FY60" s="460">
        <f t="shared" ca="1" si="211"/>
        <v>2.0998763453439536E-3</v>
      </c>
      <c r="FZ60" s="460">
        <f t="shared" ca="1" si="212"/>
        <v>1.9661013124608545E-3</v>
      </c>
      <c r="GA60" s="460">
        <f t="shared" ca="1" si="213"/>
        <v>2.1155258793536971E-3</v>
      </c>
      <c r="GB60" s="460">
        <f t="shared" ca="1" si="214"/>
        <v>2.3396720390976189E-3</v>
      </c>
      <c r="GC60" s="460">
        <f t="shared" ca="1" si="215"/>
        <v>2.06974658293762E-3</v>
      </c>
      <c r="GD60" s="460">
        <f t="shared" ca="1" si="216"/>
        <v>2.0863490186170514E-3</v>
      </c>
      <c r="GE60" s="460">
        <f t="shared" ca="1" si="217"/>
        <v>2.3968464311397235E-3</v>
      </c>
      <c r="GF60" s="460">
        <f t="shared" ca="1" si="218"/>
        <v>2.1302199035436939E-3</v>
      </c>
      <c r="GG60" s="460">
        <f t="shared" ca="1" si="219"/>
        <v>2.3820788681472699E-3</v>
      </c>
      <c r="GH60" s="460">
        <f t="shared" ca="1" si="220"/>
        <v>2.2684399427875335E-3</v>
      </c>
      <c r="GI60" s="460">
        <f t="shared" ca="1" si="221"/>
        <v>2.2335309813689471E-3</v>
      </c>
      <c r="GJ60" s="460">
        <f t="shared" ca="1" si="222"/>
        <v>2.5970688429150686E-3</v>
      </c>
      <c r="GK60" s="460">
        <f t="shared" ca="1" si="223"/>
        <v>2.4215323194431973E-3</v>
      </c>
      <c r="GL60" s="460">
        <f t="shared" ca="1" si="224"/>
        <v>2.4114049172095009E-3</v>
      </c>
      <c r="GM60" s="460">
        <f t="shared" ca="1" si="225"/>
        <v>2.669140742759619E-3</v>
      </c>
      <c r="GN60" s="460">
        <f t="shared" ca="1" si="226"/>
        <v>2.7805792452177615E-3</v>
      </c>
      <c r="GO60" s="460">
        <f t="shared" ca="1" si="227"/>
        <v>2.9173559553773761E-3</v>
      </c>
      <c r="GP60" s="460">
        <f t="shared" ca="1" si="228"/>
        <v>2.7879266685378479E-3</v>
      </c>
      <c r="GQ60" s="460">
        <f t="shared" ca="1" si="229"/>
        <v>3.2982065566252322E-3</v>
      </c>
      <c r="GR60" s="460">
        <f t="shared" ca="1" si="230"/>
        <v>3.4507237559280621E-3</v>
      </c>
      <c r="GS60" s="460">
        <f t="shared" ca="1" si="231"/>
        <v>3.9087758522857166E-3</v>
      </c>
      <c r="GT60" s="460">
        <f t="shared" ca="1" si="232"/>
        <v>4.215366812717807E-3</v>
      </c>
      <c r="GU60" s="460">
        <f t="shared" ca="1" si="233"/>
        <v>4.9501586921982671E-3</v>
      </c>
      <c r="GV60" s="460">
        <f t="shared" ca="1" si="234"/>
        <v>5.7587684414648847E-3</v>
      </c>
      <c r="GW60" s="460">
        <f t="shared" ca="1" si="235"/>
        <v>6.6680837251622254E-3</v>
      </c>
      <c r="GX60" s="460">
        <f t="shared" ca="1" si="236"/>
        <v>8.5285037321246055E-3</v>
      </c>
      <c r="GY60" s="460">
        <f t="shared" ca="1" si="237"/>
        <v>1.0644795578904121E-2</v>
      </c>
      <c r="GZ60" s="460" t="str">
        <f t="shared" si="238"/>
        <v/>
      </c>
      <c r="HA60" s="460" t="str">
        <f t="shared" si="239"/>
        <v/>
      </c>
      <c r="HB60" s="460" t="str">
        <f t="shared" si="240"/>
        <v/>
      </c>
      <c r="HC60" s="460" t="str">
        <f t="shared" si="241"/>
        <v/>
      </c>
      <c r="HD60" s="460" t="str">
        <f t="shared" si="242"/>
        <v/>
      </c>
      <c r="HE60" s="460" t="str">
        <f t="shared" si="243"/>
        <v/>
      </c>
      <c r="HF60" s="460" t="str">
        <f t="shared" si="244"/>
        <v/>
      </c>
      <c r="HG60" s="460" t="str">
        <f t="shared" si="245"/>
        <v/>
      </c>
      <c r="HH60" s="460" t="str">
        <f t="shared" si="246"/>
        <v/>
      </c>
      <c r="HI60" s="460" t="str">
        <f t="shared" si="247"/>
        <v/>
      </c>
      <c r="HJ60" s="460" t="str">
        <f t="shared" si="248"/>
        <v/>
      </c>
      <c r="HK60" s="460" t="str">
        <f t="shared" si="249"/>
        <v/>
      </c>
      <c r="HL60" s="460" t="str">
        <f t="shared" si="250"/>
        <v/>
      </c>
      <c r="HM60" s="460" t="str">
        <f t="shared" si="251"/>
        <v/>
      </c>
      <c r="HN60" s="460" t="str">
        <f t="shared" si="252"/>
        <v/>
      </c>
      <c r="HO60" s="460" t="str">
        <f t="shared" si="253"/>
        <v/>
      </c>
      <c r="HP60" s="460" t="str">
        <f t="shared" si="254"/>
        <v/>
      </c>
      <c r="HQ60" s="460" t="str">
        <f t="shared" si="255"/>
        <v/>
      </c>
      <c r="HR60" s="460" t="str">
        <f t="shared" si="256"/>
        <v/>
      </c>
      <c r="HS60" s="460" t="str">
        <f t="shared" si="257"/>
        <v/>
      </c>
      <c r="HT60" s="460" t="str">
        <f t="shared" si="258"/>
        <v/>
      </c>
      <c r="HU60" s="460" t="str">
        <f t="shared" si="259"/>
        <v/>
      </c>
      <c r="HV60" s="460" t="str">
        <f t="shared" si="260"/>
        <v/>
      </c>
      <c r="HW60" s="460" t="str">
        <f t="shared" si="261"/>
        <v/>
      </c>
      <c r="HX60" s="460" t="str">
        <f t="shared" si="262"/>
        <v/>
      </c>
      <c r="HY60" s="460" t="str">
        <f t="shared" si="263"/>
        <v/>
      </c>
      <c r="HZ60" s="460" t="str">
        <f t="shared" si="264"/>
        <v/>
      </c>
      <c r="IA60" s="460" t="str">
        <f t="shared" si="265"/>
        <v/>
      </c>
      <c r="IB60" s="460" t="str">
        <f t="shared" si="266"/>
        <v/>
      </c>
      <c r="IC60" s="460" t="str">
        <f t="shared" si="267"/>
        <v/>
      </c>
      <c r="ID60" s="674" t="str">
        <f t="shared" si="268"/>
        <v/>
      </c>
      <c r="IE60" s="250"/>
    </row>
    <row r="61" spans="1:239">
      <c r="A61" s="51"/>
      <c r="B61" s="51"/>
      <c r="C61" s="51"/>
      <c r="D61" s="51"/>
      <c r="E61" s="51"/>
      <c r="F61" s="51"/>
      <c r="G61" s="51"/>
      <c r="H61" s="51">
        <f t="shared" ca="1" si="35"/>
        <v>0</v>
      </c>
      <c r="I61" s="379">
        <f t="shared" si="36"/>
        <v>38018</v>
      </c>
      <c r="J61" s="377"/>
      <c r="K61" s="104" t="s">
        <v>269</v>
      </c>
      <c r="L61" s="392">
        <f t="shared" si="37"/>
        <v>0</v>
      </c>
      <c r="M61" s="171"/>
      <c r="N61" s="382">
        <v>0</v>
      </c>
      <c r="O61" s="171">
        <f t="shared" si="38"/>
        <v>0</v>
      </c>
      <c r="P61" s="377"/>
      <c r="Q61" s="104" t="s">
        <v>268</v>
      </c>
      <c r="R61" s="377">
        <f t="shared" ca="1" si="148"/>
        <v>-1.5158376986649713</v>
      </c>
      <c r="S61" s="832">
        <f t="shared" si="164"/>
        <v>0.36000040226340646</v>
      </c>
      <c r="T61" s="831">
        <f t="shared" si="149"/>
        <v>0.99981749607496273</v>
      </c>
      <c r="U61" s="545">
        <f t="shared" si="150"/>
        <v>0.9999998868634169</v>
      </c>
      <c r="V61" s="389">
        <v>0</v>
      </c>
      <c r="W61" s="434">
        <f t="shared" si="166"/>
        <v>0</v>
      </c>
      <c r="X61" s="415">
        <f t="shared" si="167"/>
        <v>0</v>
      </c>
      <c r="Y61" s="322">
        <f t="shared" si="168"/>
        <v>-1.1114999999999999</v>
      </c>
      <c r="Z61" s="322">
        <f t="shared" ca="1" si="169"/>
        <v>-1.1114999999999999</v>
      </c>
      <c r="AA61" s="429">
        <f t="shared" si="1"/>
        <v>1.1114999999999999</v>
      </c>
      <c r="AB61" s="433">
        <f t="shared" ca="1" si="2"/>
        <v>1.1114999999999999</v>
      </c>
      <c r="AC61" s="229">
        <v>38006</v>
      </c>
      <c r="AD61" s="229">
        <v>38002</v>
      </c>
      <c r="AE61" s="229">
        <v>38001</v>
      </c>
      <c r="AF61" s="229">
        <v>37997</v>
      </c>
      <c r="AG61" s="249" t="s">
        <v>90</v>
      </c>
      <c r="AH61" s="247" t="s">
        <v>499</v>
      </c>
      <c r="AI61" s="146">
        <v>20</v>
      </c>
      <c r="AJ61" s="41">
        <v>15</v>
      </c>
      <c r="AK61" s="41">
        <v>5</v>
      </c>
      <c r="AL61" s="293">
        <v>20</v>
      </c>
      <c r="AM61" s="41">
        <v>10</v>
      </c>
      <c r="AN61" s="147">
        <v>10</v>
      </c>
      <c r="AO61" s="374"/>
      <c r="AP61" s="153">
        <f t="shared" ca="1" si="43"/>
        <v>1</v>
      </c>
      <c r="AQ61" s="374"/>
      <c r="AR61" s="153">
        <f t="shared" ca="1" si="151"/>
        <v>1</v>
      </c>
      <c r="AS61" s="272">
        <f t="shared" si="170"/>
        <v>0</v>
      </c>
      <c r="AT61" s="157">
        <f t="shared" si="44"/>
        <v>0</v>
      </c>
      <c r="AU61" s="157">
        <f t="shared" si="4"/>
        <v>0</v>
      </c>
      <c r="AV61" s="271">
        <f t="shared" ca="1" si="163"/>
        <v>9.9999999999999995E-7</v>
      </c>
      <c r="AW61" s="158" t="str">
        <f t="shared" ca="1" si="171"/>
        <v/>
      </c>
      <c r="AX61" s="157">
        <f t="shared" ca="1" si="152"/>
        <v>6.4080949315144754E-3</v>
      </c>
      <c r="AY61" s="157">
        <f t="shared" ca="1" si="153"/>
        <v>3.774443897918344E-3</v>
      </c>
      <c r="AZ61" s="157">
        <f t="shared" ca="1" si="154"/>
        <v>1.368672976451098E-3</v>
      </c>
      <c r="BA61" s="157">
        <f t="shared" ca="1" si="155"/>
        <v>1.7108412205638725E-4</v>
      </c>
      <c r="BB61" s="157">
        <f t="shared" ca="1" si="156"/>
        <v>9.1360274617679053E-5</v>
      </c>
      <c r="BC61" s="157">
        <f t="shared" ca="1" si="157"/>
        <v>5.8539553639610153E-5</v>
      </c>
      <c r="BD61" s="151">
        <f t="shared" ca="1" si="172"/>
        <v>0</v>
      </c>
      <c r="BE61" s="152">
        <f t="shared" ca="1" si="173"/>
        <v>0</v>
      </c>
      <c r="BF61" s="40">
        <f t="shared" si="174"/>
        <v>2004</v>
      </c>
      <c r="BG61" s="144">
        <f t="shared" si="175"/>
        <v>2</v>
      </c>
      <c r="BH61" s="145">
        <f t="shared" ca="1" si="176"/>
        <v>1257</v>
      </c>
      <c r="BI61" s="313">
        <f t="shared" ca="1" si="177"/>
        <v>3.485284052019165</v>
      </c>
      <c r="BJ61" s="42">
        <f t="shared" ca="1" si="10"/>
        <v>3.5427789185489393</v>
      </c>
      <c r="BK61" s="42">
        <f t="shared" ca="1" si="178"/>
        <v>3.5455167693360714</v>
      </c>
      <c r="BL61" s="42">
        <f t="shared" ca="1" si="179"/>
        <v>3.5619438740588638</v>
      </c>
      <c r="BM61" s="150" t="e">
        <f t="shared" ca="1" si="13"/>
        <v>#DIV/0!</v>
      </c>
      <c r="BN61" s="42" t="e">
        <f t="shared" ca="1" si="14"/>
        <v>#DIV/0!</v>
      </c>
      <c r="BO61" s="293">
        <f t="shared" si="48"/>
        <v>20</v>
      </c>
      <c r="BP61" s="41">
        <f t="shared" si="49"/>
        <v>15</v>
      </c>
      <c r="BQ61" s="41">
        <f t="shared" si="50"/>
        <v>5</v>
      </c>
      <c r="BR61" s="305" t="str">
        <f t="shared" ca="1" si="15"/>
        <v/>
      </c>
      <c r="BS61" s="305" t="str">
        <f t="shared" ca="1" si="180"/>
        <v/>
      </c>
      <c r="BT61" s="307" t="str">
        <f t="shared" ca="1" si="181"/>
        <v/>
      </c>
      <c r="BU61" s="161" t="str">
        <f t="shared" ca="1" si="18"/>
        <v/>
      </c>
      <c r="BV61" s="161" t="str">
        <f t="shared" ca="1" si="19"/>
        <v/>
      </c>
      <c r="BW61" s="308" t="str">
        <f t="shared" ca="1" si="20"/>
        <v/>
      </c>
      <c r="BX61" s="309" t="str">
        <f t="shared" ca="1" si="21"/>
        <v/>
      </c>
      <c r="BY61" s="308" t="str">
        <f t="shared" ca="1" si="51"/>
        <v/>
      </c>
      <c r="BZ61" s="309" t="str">
        <f t="shared" ca="1" si="52"/>
        <v/>
      </c>
      <c r="CA61" s="154" t="str">
        <f t="shared" ca="1" si="22"/>
        <v/>
      </c>
      <c r="CB61" s="154" t="str">
        <f t="shared" ca="1" si="23"/>
        <v/>
      </c>
      <c r="CC61" s="154" t="str">
        <f t="shared" ca="1" si="24"/>
        <v/>
      </c>
      <c r="CD61" s="154" t="str">
        <f t="shared" ca="1" si="25"/>
        <v/>
      </c>
      <c r="CE61" s="310">
        <v>1</v>
      </c>
      <c r="CF61" s="162">
        <f ca="1">IF(BD61,_xll.xCrudeAPO(BU61,BV61,CA61,CB61,S62,S63,BI61,BL61,BP61,BQ61,0,Strike1,AO61,CE61,0,BL61,IF(OptControl=4,0,1),0,1),0)</f>
        <v>0</v>
      </c>
      <c r="CG61" s="163">
        <f ca="1">IF(BD61,_xll.xCrudeAPO(BU61,BV61,CA61,CB61,S62,S63,BI61,BL61,BP61,BQ61,0,Strike1,AO61,CE61,0,BL61,IF(OptControl=4,0,1),1,1)+_xll.xCrudeAPO(BU61,BV61,CA61,CB61,S62,S63,BI61,BL61,BP61,BQ61,0,Strike1,AO61,CE61,0,BL61,IF(OptControl=4,0,1),1,2)+IF(OR(VolSkewFlag=2,ABS(BS61)&lt;0.0001),0,IF(BS61&gt;0,-1,1)*CH61*Strike1/BR61^2*BY61/10%),0)</f>
        <v>0</v>
      </c>
      <c r="CH61" s="163">
        <f ca="1">IF(BD61,(_xll.xCrudeAPO(BU61,BV61,CA61,CB61,S62,S63,BI61,BL61,BP61,BQ61,0,Strike1,AO61,CE61,0,BL61,IF(OptControl=4,0,1),3,1)+_xll.xCrudeAPO(BU61,BV61,CA61,CB61,S62,S63,BI61,BL61,BP61,BQ61,0,Strike1,AO61,CE61,0,BL61,IF(OptControl=4,0,1),3,2))/100,0)</f>
        <v>0</v>
      </c>
      <c r="CI61" s="163">
        <f ca="1">IF(BD61,_xll.xCrudeAPO(BU61,BV61,CA61,CB61,S62,S63,BI61-DaysForThetaCalculation/365.25,BL61-DaysForThetaCalculation/365.25,BP61,BQ61,0,Strike1,AO61,CE61,0,BL61,IF(OptControl=4,0,1),0,1)-_xll.xCrudeAPO(BU61,BV61,CA61,CB61,S62,S63,BI61,BL61,BP61,BQ61,0,Strike1,AO61,CE61,0,BL61,IF(OptControl=4,0,1),0,1),0)</f>
        <v>0</v>
      </c>
      <c r="CJ61" s="311">
        <f ca="1">IF(BD61,_xll.xCrudeAPO(BU61,BV61,CC61,CD61,S62,S63,BI61,BL61,BP61,BQ61,0,Strike2,AO61,CE61,0,BL61,IF(OptControl=3,1,0),0,1),0)</f>
        <v>0</v>
      </c>
      <c r="CK61" s="163">
        <f ca="1">IF(BD61,_xll.xCrudeAPO(BU61,BV61,CC61,CD61,S62,S63,BI61,BL61,BP61,BQ61,0,Strike2,AO61,CE61,0,BL61,IF(OptControl=3,1,0),1,1)+_xll.xCrudeAPO(BU61,BV61,CC61,CD61,S62,S63,BI61,BL61,BP61,BQ61,0,Strike2,AO61,CE61,0,BL61,IF(OptControl=3,1,0),1,2)+IF(OR(VolSkewFlag=2,ABS(BT61)&lt;0.0001),0,IF(BT61&gt;0,-1,1)*CL61*Strike2/BR61^2*BZ61/10%),0)</f>
        <v>0</v>
      </c>
      <c r="CL61" s="163">
        <f ca="1">IF(BD61,(_xll.xCrudeAPO(BU61,BV61,CC61,CD61,S62,S63,BI61,BL61,BP61,BQ61,0,Strike2,AO61,CE61,0,BL61,IF(OptControl=3,1,0),3,1)+_xll.xCrudeAPO(BU61,BV61,CC61,CD61,S62,S63,BI61,BL61,BP61,BQ61,0,Strike2,AO61,CE61,0,BL61,IF(OptControl=3,1,0),3,2))/100,0)</f>
        <v>0</v>
      </c>
      <c r="CM61" s="164">
        <f ca="1">IF(BD61,_xll.xCrudeAPO(BU61,BV61,CC61,CD61,S62,S63,BI61-DaysForThetaCalculation/365.25,BL61-DaysForThetaCalculation/365.25,BP61,BQ61,0,Strike2,AO61,CE61,0,BL61,IF(OptControl=3,1,0),0,1)-_xll.xCrudeAPO(BU61,BV61,CC61,CD61,S62,S63,BI61,BL61,BP61,BQ61,0,Strike2,AO61,CE61,0,BL61,IF(OptControl=3,1,0),0,1),0)</f>
        <v>0</v>
      </c>
      <c r="CN61" s="53"/>
      <c r="CO61" s="796" t="str">
        <f t="shared" ca="1" si="53"/>
        <v/>
      </c>
      <c r="CP61" s="800" t="str">
        <f t="shared" ca="1" si="54"/>
        <v/>
      </c>
      <c r="CQ61" s="797" t="str">
        <f t="shared" ca="1" si="55"/>
        <v/>
      </c>
      <c r="CR61" s="797" t="str">
        <f t="shared" ca="1" si="56"/>
        <v/>
      </c>
      <c r="CS61" s="797" t="str">
        <f t="shared" ca="1" si="57"/>
        <v/>
      </c>
      <c r="CT61" s="797" t="str">
        <f t="shared" ca="1" si="58"/>
        <v/>
      </c>
      <c r="CU61" s="798" t="str">
        <f t="shared" ca="1" si="59"/>
        <v/>
      </c>
      <c r="CV61" s="799" t="str">
        <f t="shared" ca="1" si="60"/>
        <v/>
      </c>
      <c r="CW61" s="799" t="str">
        <f t="shared" ca="1" si="61"/>
        <v/>
      </c>
      <c r="CX61" s="163">
        <f ca="1">IF(BD61,_xll.EURO(CP61,Strike1,AO61,AO61,CV61,CO61,IF(OptControl=4,0,1),0),0)</f>
        <v>0</v>
      </c>
      <c r="CY61" s="163">
        <f ca="1">IF(BD61,_xll.EURO(CP61,Strike1,AO61,AO61,CV61,CO61,IF(OptControl=4,0,1),1)+IF(OR(VolSkewFlag=2,ABS(CQ61)&lt;0.0001),0,IF(CQ61&gt;0,-1,1)*CZ61*100*Strike1/CP61^2*CS61/10%),0)</f>
        <v>0</v>
      </c>
      <c r="CZ61" s="163">
        <f ca="1">IF(BD61,_xll.EURO(CP61,Strike1,AO61,AO61,CV61,CO61,IF(OptControl=4,0,1),3)/100,0)</f>
        <v>0</v>
      </c>
      <c r="DA61" s="163">
        <f ca="1">IF(BD61,_xll.EURO(CP61,Strike1,AO61,AO61,CV61,CO61,IF(OptControl=4,0,1),0)-_xll.EURO(CP61,Strike1,AO61,AO61,CV61,CO61-1,IF(OptControl=4,0,1),0),0)</f>
        <v>0</v>
      </c>
      <c r="DB61" s="163">
        <f ca="1">IF(BD61,_xll.EURO(CP61,Strike2,AO61,AO61,CW61,CO61,IF(OptControl=3,1,0),0),0)</f>
        <v>0</v>
      </c>
      <c r="DC61" s="163">
        <f ca="1">IF(BD61,_xll.EURO(CP61,Strike2,AO61,AO61,CW61,CO61,IF(OptControl=3,1,0),1)+IF(OR(VolSkewFlag=2,ABS(CR61)&lt;0.0001),0,IF(CR61&gt;0,-1,1)*DD61*100*Strike2/CP61^2*CT61/10%),0)</f>
        <v>0</v>
      </c>
      <c r="DD61" s="163">
        <f ca="1">IF(BD61,_xll.EURO(CP61,Strike2,AO61,AO61,CW61,CO61,IF(OptControl=3,1,0),3)/100,0)</f>
        <v>0</v>
      </c>
      <c r="DE61" s="164">
        <f ca="1">IF(BD61,_xll.EURO(CP61,Strike2,AO61,AO61,CW61,CO61,IF(OptControl=3,1,0),0)-_xll.EURO(CP61,Strike2,AO61,AO61,CW61,CO61-1,IF(OptControl=3,1,0),0),0)</f>
        <v>0</v>
      </c>
      <c r="DG61" s="667">
        <f t="shared" ca="1" si="62"/>
        <v>37803</v>
      </c>
      <c r="DH61" s="475">
        <v>18.670000000000002</v>
      </c>
      <c r="DI61" s="665">
        <v>18.599545454545456</v>
      </c>
      <c r="DJ61" s="666">
        <f t="shared" ca="1" si="182"/>
        <v>37803</v>
      </c>
      <c r="DK61" s="475">
        <v>17.544878096159483</v>
      </c>
      <c r="DL61" s="665">
        <v>17.435645454545458</v>
      </c>
      <c r="DM61" s="667">
        <f t="shared" ca="1" si="183"/>
        <v>37803</v>
      </c>
      <c r="DN61" s="668">
        <f t="shared" si="184"/>
        <v>17.594878096159484</v>
      </c>
      <c r="DO61" s="667">
        <f t="shared" ca="1" si="63"/>
        <v>37803</v>
      </c>
      <c r="DP61" s="579">
        <f t="shared" si="64"/>
        <v>17.435645454545458</v>
      </c>
      <c r="DQ61" s="821">
        <v>0</v>
      </c>
      <c r="DR61" s="666">
        <f t="shared" ca="1" si="185"/>
        <v>37803</v>
      </c>
      <c r="DS61" s="669">
        <v>0.20787873422689504</v>
      </c>
      <c r="DT61" s="606">
        <v>0.20697256772714381</v>
      </c>
      <c r="DU61" s="666">
        <f t="shared" ca="1" si="186"/>
        <v>37803</v>
      </c>
      <c r="DV61" s="669">
        <v>0.20787873422689504</v>
      </c>
      <c r="DW61" s="606">
        <v>0.20697256772714381</v>
      </c>
      <c r="DX61" s="667">
        <f t="shared" ca="1" si="187"/>
        <v>37803</v>
      </c>
      <c r="DY61" s="606">
        <v>0.35000000000007275</v>
      </c>
      <c r="DZ61" s="667">
        <f t="shared" ca="1" si="65"/>
        <v>37803</v>
      </c>
      <c r="EA61" s="606">
        <f t="shared" si="66"/>
        <v>0.20697256772714381</v>
      </c>
      <c r="EB61" s="1"/>
      <c r="EC61" s="118" t="str">
        <f t="shared" ca="1" si="188"/>
        <v/>
      </c>
      <c r="ED61" s="119" t="str">
        <f t="shared" ca="1" si="33"/>
        <v/>
      </c>
      <c r="EE61" s="112" t="str">
        <f t="shared" ca="1" si="34"/>
        <v/>
      </c>
      <c r="EF61" s="120">
        <f ca="1">IF(BD61,_xll.xASN(BR61,Strike1,AO61,ED61,0,BO61,0,BI61,BL61,IF(OptControl=4,0,1),0),0)</f>
        <v>0</v>
      </c>
      <c r="EG61" s="111">
        <f ca="1">IF(BD61,_xll.xASN(BR61,Strike2,AO61,EE61,0,BO61,0,BI61,BL61,IF(OptControl=3,1,0),0),0)</f>
        <v>0</v>
      </c>
      <c r="EL61" s="55"/>
      <c r="EM61" s="1"/>
      <c r="EN61" s="697">
        <v>40728</v>
      </c>
      <c r="EO61" s="698">
        <v>44190</v>
      </c>
      <c r="EP61" s="1"/>
      <c r="EQ61" s="683" t="s">
        <v>248</v>
      </c>
      <c r="ES61" s="498">
        <v>42</v>
      </c>
      <c r="ET61" s="476">
        <f t="shared" ca="1" si="165"/>
        <v>3.4414784394250515</v>
      </c>
      <c r="EU61" s="842">
        <f t="shared" ca="1" si="189"/>
        <v>0</v>
      </c>
      <c r="EV61" s="815">
        <f t="shared" ca="1" si="269"/>
        <v>0.19066604562474715</v>
      </c>
      <c r="EW61" s="478" t="str">
        <f t="shared" ca="1" si="270"/>
        <v/>
      </c>
      <c r="EX61" s="477" t="str">
        <f t="shared" ca="1" si="271"/>
        <v/>
      </c>
      <c r="EY61" s="250">
        <v>0</v>
      </c>
      <c r="EZ61" s="605" t="str">
        <f ca="1">IF(OR(EW61="",EW62=""),"",SQRT(SUM(INDEX(FK61:ID61,SwaptionFirstMonthPosition+1):INDEX(FK61:ID61,FJ61))/SUM(INDEX($FK$15:$ID$15,SwaptionFirstMonthPosition+1):INDEX($FK$15:$ID$15,FJ61))))</f>
        <v/>
      </c>
      <c r="FA61" s="581" t="str">
        <f ca="1">IF(OR(EW61="",EW60=""),"",SQRT(SUM(INDEX(FK61:ID61,SwaptionFirstMonthPosition+1):INDEX(FK61:ID61,FJ61-1))/SUM(INDEX($FK$15:$ID$15,SwaptionFirstMonthPosition+1):INDEX($FK$15:$ID$15,FJ61-1))))</f>
        <v/>
      </c>
      <c r="FB61" s="578" t="str">
        <f t="shared" ca="1" si="190"/>
        <v/>
      </c>
      <c r="FC61" s="609" t="str">
        <f t="shared" ca="1" si="191"/>
        <v/>
      </c>
      <c r="FD61" s="579" t="str">
        <f t="shared" ca="1" si="192"/>
        <v/>
      </c>
      <c r="FE61" s="579" t="str">
        <f t="shared" ca="1" si="193"/>
        <v/>
      </c>
      <c r="FF61" s="579" t="str">
        <f t="shared" ca="1" si="194"/>
        <v/>
      </c>
      <c r="FG61" s="580" t="str">
        <f t="shared" ca="1" si="195"/>
        <v/>
      </c>
      <c r="FH61" s="606" t="str">
        <f t="shared" ca="1" si="196"/>
        <v/>
      </c>
      <c r="FI61" s="250"/>
      <c r="FJ61" s="673">
        <v>42</v>
      </c>
      <c r="FK61" s="460">
        <f t="shared" ca="1" si="197"/>
        <v>0</v>
      </c>
      <c r="FL61" s="460">
        <f t="shared" ca="1" si="198"/>
        <v>2.1976210339428267E-3</v>
      </c>
      <c r="FM61" s="460">
        <f t="shared" ca="1" si="199"/>
        <v>2.5555455073819964E-3</v>
      </c>
      <c r="FN61" s="460">
        <f t="shared" ca="1" si="200"/>
        <v>2.1521816885141471E-3</v>
      </c>
      <c r="FO61" s="460">
        <f t="shared" ca="1" si="201"/>
        <v>2.2401162289068487E-3</v>
      </c>
      <c r="FP61" s="460">
        <f t="shared" ca="1" si="202"/>
        <v>2.4842615357462631E-3</v>
      </c>
      <c r="FQ61" s="460">
        <f t="shared" ca="1" si="203"/>
        <v>2.0131490802663215E-3</v>
      </c>
      <c r="FR61" s="460">
        <f t="shared" ca="1" si="204"/>
        <v>2.0606019379122678E-3</v>
      </c>
      <c r="FS61" s="460">
        <f t="shared" ca="1" si="205"/>
        <v>2.3251133031315053E-3</v>
      </c>
      <c r="FT61" s="460">
        <f t="shared" ca="1" si="206"/>
        <v>2.1014618418999931E-3</v>
      </c>
      <c r="FU61" s="460">
        <f t="shared" ca="1" si="207"/>
        <v>2.0237913847164848E-3</v>
      </c>
      <c r="FV61" s="460">
        <f t="shared" ca="1" si="208"/>
        <v>2.2284756582660022E-3</v>
      </c>
      <c r="FW61" s="460">
        <f t="shared" ca="1" si="209"/>
        <v>2.0876966774797325E-3</v>
      </c>
      <c r="FX61" s="460">
        <f t="shared" ca="1" si="210"/>
        <v>2.2279084446417954E-3</v>
      </c>
      <c r="FY61" s="460">
        <f t="shared" ca="1" si="211"/>
        <v>2.0918442292560337E-3</v>
      </c>
      <c r="FZ61" s="460">
        <f t="shared" ca="1" si="212"/>
        <v>1.9573054985274883E-3</v>
      </c>
      <c r="GA61" s="460">
        <f t="shared" ca="1" si="213"/>
        <v>2.1044565230125484E-3</v>
      </c>
      <c r="GB61" s="460">
        <f t="shared" ca="1" si="214"/>
        <v>2.3253536916718076E-3</v>
      </c>
      <c r="GC61" s="460">
        <f t="shared" ca="1" si="215"/>
        <v>2.0549320156562148E-3</v>
      </c>
      <c r="GD61" s="460">
        <f t="shared" ca="1" si="216"/>
        <v>2.0688830512821479E-3</v>
      </c>
      <c r="GE61" s="460">
        <f t="shared" ca="1" si="217"/>
        <v>2.3733782313863998E-3</v>
      </c>
      <c r="GF61" s="460">
        <f t="shared" ca="1" si="218"/>
        <v>2.1058250682401592E-3</v>
      </c>
      <c r="GG61" s="460">
        <f t="shared" ca="1" si="219"/>
        <v>2.3501735210292789E-3</v>
      </c>
      <c r="GH61" s="460">
        <f t="shared" ca="1" si="220"/>
        <v>2.2329039454595575E-3</v>
      </c>
      <c r="GI61" s="460">
        <f t="shared" ca="1" si="221"/>
        <v>2.1926080166689392E-3</v>
      </c>
      <c r="GJ61" s="460">
        <f t="shared" ca="1" si="222"/>
        <v>2.5414153463193907E-3</v>
      </c>
      <c r="GK61" s="460">
        <f t="shared" ca="1" si="223"/>
        <v>2.3608400819720094E-3</v>
      </c>
      <c r="GL61" s="460">
        <f t="shared" ca="1" si="224"/>
        <v>2.3407167199615258E-3</v>
      </c>
      <c r="GM61" s="460">
        <f t="shared" ca="1" si="225"/>
        <v>2.5776278837293192E-3</v>
      </c>
      <c r="GN61" s="460">
        <f t="shared" ca="1" si="226"/>
        <v>2.6690779759431485E-3</v>
      </c>
      <c r="GO61" s="460">
        <f t="shared" ca="1" si="227"/>
        <v>2.7805302040376867E-3</v>
      </c>
      <c r="GP61" s="460">
        <f t="shared" ca="1" si="228"/>
        <v>2.6349963295487326E-3</v>
      </c>
      <c r="GQ61" s="460">
        <f t="shared" ca="1" si="229"/>
        <v>3.0866024748049787E-3</v>
      </c>
      <c r="GR61" s="460">
        <f t="shared" ca="1" si="230"/>
        <v>3.1917890471066866E-3</v>
      </c>
      <c r="GS61" s="460">
        <f t="shared" ca="1" si="231"/>
        <v>3.5657279820408704E-3</v>
      </c>
      <c r="GT61" s="460">
        <f t="shared" ca="1" si="232"/>
        <v>3.7826704763120346E-3</v>
      </c>
      <c r="GU61" s="460">
        <f t="shared" ca="1" si="233"/>
        <v>4.3558653661982362E-3</v>
      </c>
      <c r="GV61" s="460">
        <f t="shared" ca="1" si="234"/>
        <v>4.9501470378354329E-3</v>
      </c>
      <c r="GW61" s="460">
        <f t="shared" ca="1" si="235"/>
        <v>5.5729918769727646E-3</v>
      </c>
      <c r="GX61" s="460">
        <f t="shared" ca="1" si="236"/>
        <v>6.8903440576348887E-3</v>
      </c>
      <c r="GY61" s="460">
        <f t="shared" ca="1" si="237"/>
        <v>8.2533825109036285E-3</v>
      </c>
      <c r="GZ61" s="460">
        <f t="shared" ca="1" si="238"/>
        <v>1.0999613904241649E-2</v>
      </c>
      <c r="HA61" s="460" t="str">
        <f t="shared" si="239"/>
        <v/>
      </c>
      <c r="HB61" s="460" t="str">
        <f t="shared" si="240"/>
        <v/>
      </c>
      <c r="HC61" s="460" t="str">
        <f t="shared" si="241"/>
        <v/>
      </c>
      <c r="HD61" s="460" t="str">
        <f t="shared" si="242"/>
        <v/>
      </c>
      <c r="HE61" s="460" t="str">
        <f t="shared" si="243"/>
        <v/>
      </c>
      <c r="HF61" s="460" t="str">
        <f t="shared" si="244"/>
        <v/>
      </c>
      <c r="HG61" s="460" t="str">
        <f t="shared" si="245"/>
        <v/>
      </c>
      <c r="HH61" s="460" t="str">
        <f t="shared" si="246"/>
        <v/>
      </c>
      <c r="HI61" s="460" t="str">
        <f t="shared" si="247"/>
        <v/>
      </c>
      <c r="HJ61" s="460" t="str">
        <f t="shared" si="248"/>
        <v/>
      </c>
      <c r="HK61" s="460" t="str">
        <f t="shared" si="249"/>
        <v/>
      </c>
      <c r="HL61" s="460" t="str">
        <f t="shared" si="250"/>
        <v/>
      </c>
      <c r="HM61" s="460" t="str">
        <f t="shared" si="251"/>
        <v/>
      </c>
      <c r="HN61" s="460" t="str">
        <f t="shared" si="252"/>
        <v/>
      </c>
      <c r="HO61" s="460" t="str">
        <f t="shared" si="253"/>
        <v/>
      </c>
      <c r="HP61" s="460" t="str">
        <f t="shared" si="254"/>
        <v/>
      </c>
      <c r="HQ61" s="460" t="str">
        <f t="shared" si="255"/>
        <v/>
      </c>
      <c r="HR61" s="460" t="str">
        <f t="shared" si="256"/>
        <v/>
      </c>
      <c r="HS61" s="460" t="str">
        <f t="shared" si="257"/>
        <v/>
      </c>
      <c r="HT61" s="460" t="str">
        <f t="shared" si="258"/>
        <v/>
      </c>
      <c r="HU61" s="460" t="str">
        <f t="shared" si="259"/>
        <v/>
      </c>
      <c r="HV61" s="460" t="str">
        <f t="shared" si="260"/>
        <v/>
      </c>
      <c r="HW61" s="460" t="str">
        <f t="shared" si="261"/>
        <v/>
      </c>
      <c r="HX61" s="460" t="str">
        <f t="shared" si="262"/>
        <v/>
      </c>
      <c r="HY61" s="460" t="str">
        <f t="shared" si="263"/>
        <v/>
      </c>
      <c r="HZ61" s="460" t="str">
        <f t="shared" si="264"/>
        <v/>
      </c>
      <c r="IA61" s="460" t="str">
        <f t="shared" si="265"/>
        <v/>
      </c>
      <c r="IB61" s="460" t="str">
        <f t="shared" si="266"/>
        <v/>
      </c>
      <c r="IC61" s="460" t="str">
        <f t="shared" si="267"/>
        <v/>
      </c>
      <c r="ID61" s="674" t="str">
        <f t="shared" si="268"/>
        <v/>
      </c>
      <c r="IE61" s="250"/>
    </row>
    <row r="62" spans="1:239">
      <c r="A62" s="51"/>
      <c r="B62" s="51"/>
      <c r="C62" s="51"/>
      <c r="D62" s="51"/>
      <c r="E62" s="51"/>
      <c r="F62" s="51"/>
      <c r="G62" s="51"/>
      <c r="H62" s="51">
        <f t="shared" ca="1" si="35"/>
        <v>0</v>
      </c>
      <c r="I62" s="379">
        <f t="shared" si="36"/>
        <v>38047</v>
      </c>
      <c r="J62" s="377"/>
      <c r="K62" s="104" t="s">
        <v>269</v>
      </c>
      <c r="L62" s="392">
        <f t="shared" si="37"/>
        <v>0</v>
      </c>
      <c r="M62" s="171"/>
      <c r="N62" s="382">
        <v>0</v>
      </c>
      <c r="O62" s="171">
        <f t="shared" si="38"/>
        <v>0</v>
      </c>
      <c r="P62" s="377"/>
      <c r="Q62" s="104" t="s">
        <v>268</v>
      </c>
      <c r="R62" s="377">
        <f t="shared" ca="1" si="148"/>
        <v>-0.80824672600127156</v>
      </c>
      <c r="S62" s="832">
        <f t="shared" si="164"/>
        <v>0.36000030169755481</v>
      </c>
      <c r="T62" s="831">
        <f t="shared" si="149"/>
        <v>0.99984396714526047</v>
      </c>
      <c r="U62" s="545">
        <f t="shared" si="150"/>
        <v>0.9999999151475627</v>
      </c>
      <c r="V62" s="389">
        <v>0</v>
      </c>
      <c r="W62" s="434">
        <f t="shared" si="166"/>
        <v>0</v>
      </c>
      <c r="X62" s="415">
        <f t="shared" si="167"/>
        <v>0</v>
      </c>
      <c r="Y62" s="322">
        <f t="shared" si="168"/>
        <v>-1.1114999999999999</v>
      </c>
      <c r="Z62" s="322">
        <f t="shared" ca="1" si="169"/>
        <v>-1.1114999999999999</v>
      </c>
      <c r="AA62" s="429">
        <f t="shared" si="1"/>
        <v>1.1114999999999999</v>
      </c>
      <c r="AB62" s="433">
        <f t="shared" ca="1" si="2"/>
        <v>1.1114999999999999</v>
      </c>
      <c r="AC62" s="229">
        <v>38037</v>
      </c>
      <c r="AD62" s="229">
        <v>38033</v>
      </c>
      <c r="AE62" s="229">
        <v>38032</v>
      </c>
      <c r="AF62" s="229">
        <v>38028</v>
      </c>
      <c r="AG62" s="249" t="s">
        <v>90</v>
      </c>
      <c r="AH62" s="247" t="s">
        <v>499</v>
      </c>
      <c r="AI62" s="146">
        <v>23</v>
      </c>
      <c r="AJ62" s="41">
        <v>15</v>
      </c>
      <c r="AK62" s="41">
        <v>8</v>
      </c>
      <c r="AL62" s="293">
        <v>23</v>
      </c>
      <c r="AM62" s="41">
        <v>10</v>
      </c>
      <c r="AN62" s="147">
        <v>13</v>
      </c>
      <c r="AO62" s="374"/>
      <c r="AP62" s="153">
        <f t="shared" ca="1" si="43"/>
        <v>1</v>
      </c>
      <c r="AQ62" s="374"/>
      <c r="AR62" s="153">
        <f t="shared" ca="1" si="151"/>
        <v>1</v>
      </c>
      <c r="AS62" s="272">
        <f t="shared" si="170"/>
        <v>0</v>
      </c>
      <c r="AT62" s="157">
        <f t="shared" si="44"/>
        <v>0</v>
      </c>
      <c r="AU62" s="157">
        <f t="shared" si="4"/>
        <v>0</v>
      </c>
      <c r="AV62" s="271">
        <f t="shared" ca="1" si="163"/>
        <v>9.9999999999999995E-7</v>
      </c>
      <c r="AW62" s="158" t="str">
        <f t="shared" ca="1" si="171"/>
        <v/>
      </c>
      <c r="AX62" s="157">
        <f t="shared" ca="1" si="152"/>
        <v>6.1951904997809377E-3</v>
      </c>
      <c r="AY62" s="157">
        <f t="shared" ca="1" si="153"/>
        <v>3.624781734753352E-3</v>
      </c>
      <c r="AZ62" s="157">
        <f t="shared" ca="1" si="154"/>
        <v>1.2918552649337875E-3</v>
      </c>
      <c r="BA62" s="157">
        <f t="shared" ca="1" si="155"/>
        <v>1.6148190811672344E-4</v>
      </c>
      <c r="BB62" s="157">
        <f t="shared" ca="1" si="156"/>
        <v>8.3367598587602692E-5</v>
      </c>
      <c r="BC62" s="157">
        <f t="shared" ca="1" si="157"/>
        <v>5.2152813298036297E-5</v>
      </c>
      <c r="BD62" s="151">
        <f t="shared" ca="1" si="172"/>
        <v>0</v>
      </c>
      <c r="BE62" s="152">
        <f t="shared" ca="1" si="173"/>
        <v>0</v>
      </c>
      <c r="BF62" s="40">
        <f t="shared" si="174"/>
        <v>2004</v>
      </c>
      <c r="BG62" s="144">
        <f t="shared" si="175"/>
        <v>3</v>
      </c>
      <c r="BH62" s="145">
        <f t="shared" ca="1" si="176"/>
        <v>1288</v>
      </c>
      <c r="BI62" s="313">
        <f t="shared" ca="1" si="177"/>
        <v>3.5646817248459959</v>
      </c>
      <c r="BJ62" s="42">
        <f t="shared" ca="1" si="10"/>
        <v>3.6182483706811892</v>
      </c>
      <c r="BK62" s="42">
        <f t="shared" ca="1" si="178"/>
        <v>3.6209862214683213</v>
      </c>
      <c r="BL62" s="42">
        <f t="shared" ca="1" si="179"/>
        <v>3.6468172484599588</v>
      </c>
      <c r="BM62" s="150" t="e">
        <f t="shared" ca="1" si="13"/>
        <v>#DIV/0!</v>
      </c>
      <c r="BN62" s="42" t="e">
        <f t="shared" ca="1" si="14"/>
        <v>#DIV/0!</v>
      </c>
      <c r="BO62" s="293">
        <f t="shared" si="48"/>
        <v>23</v>
      </c>
      <c r="BP62" s="41">
        <f t="shared" si="49"/>
        <v>15</v>
      </c>
      <c r="BQ62" s="41">
        <f t="shared" si="50"/>
        <v>8</v>
      </c>
      <c r="BR62" s="305" t="str">
        <f t="shared" ca="1" si="15"/>
        <v/>
      </c>
      <c r="BS62" s="305" t="str">
        <f t="shared" ca="1" si="180"/>
        <v/>
      </c>
      <c r="BT62" s="307" t="str">
        <f t="shared" ca="1" si="181"/>
        <v/>
      </c>
      <c r="BU62" s="161" t="str">
        <f t="shared" ca="1" si="18"/>
        <v/>
      </c>
      <c r="BV62" s="161" t="str">
        <f t="shared" ca="1" si="19"/>
        <v/>
      </c>
      <c r="BW62" s="308" t="str">
        <f t="shared" ca="1" si="20"/>
        <v/>
      </c>
      <c r="BX62" s="309" t="str">
        <f t="shared" ca="1" si="21"/>
        <v/>
      </c>
      <c r="BY62" s="308" t="str">
        <f t="shared" ca="1" si="51"/>
        <v/>
      </c>
      <c r="BZ62" s="309" t="str">
        <f t="shared" ca="1" si="52"/>
        <v/>
      </c>
      <c r="CA62" s="154" t="str">
        <f t="shared" ca="1" si="22"/>
        <v/>
      </c>
      <c r="CB62" s="154" t="str">
        <f t="shared" ca="1" si="23"/>
        <v/>
      </c>
      <c r="CC62" s="154" t="str">
        <f t="shared" ca="1" si="24"/>
        <v/>
      </c>
      <c r="CD62" s="154" t="str">
        <f t="shared" ca="1" si="25"/>
        <v/>
      </c>
      <c r="CE62" s="310">
        <v>1</v>
      </c>
      <c r="CF62" s="162">
        <f ca="1">IF(BD62,_xll.xCrudeAPO(BU62,BV62,CA62,CB62,S63,S64,BI62,BL62,BP62,BQ62,0,Strike1,AO62,CE62,0,BL62,IF(OptControl=4,0,1),0,1),0)</f>
        <v>0</v>
      </c>
      <c r="CG62" s="163">
        <f ca="1">IF(BD62,_xll.xCrudeAPO(BU62,BV62,CA62,CB62,S63,S64,BI62,BL62,BP62,BQ62,0,Strike1,AO62,CE62,0,BL62,IF(OptControl=4,0,1),1,1)+_xll.xCrudeAPO(BU62,BV62,CA62,CB62,S63,S64,BI62,BL62,BP62,BQ62,0,Strike1,AO62,CE62,0,BL62,IF(OptControl=4,0,1),1,2)+IF(OR(VolSkewFlag=2,ABS(BS62)&lt;0.0001),0,IF(BS62&gt;0,-1,1)*CH62*Strike1/BR62^2*BY62/10%),0)</f>
        <v>0</v>
      </c>
      <c r="CH62" s="163">
        <f ca="1">IF(BD62,(_xll.xCrudeAPO(BU62,BV62,CA62,CB62,S63,S64,BI62,BL62,BP62,BQ62,0,Strike1,AO62,CE62,0,BL62,IF(OptControl=4,0,1),3,1)+_xll.xCrudeAPO(BU62,BV62,CA62,CB62,S63,S64,BI62,BL62,BP62,BQ62,0,Strike1,AO62,CE62,0,BL62,IF(OptControl=4,0,1),3,2))/100,0)</f>
        <v>0</v>
      </c>
      <c r="CI62" s="163">
        <f ca="1">IF(BD62,_xll.xCrudeAPO(BU62,BV62,CA62,CB62,S63,S64,BI62-DaysForThetaCalculation/365.25,BL62-DaysForThetaCalculation/365.25,BP62,BQ62,0,Strike1,AO62,CE62,0,BL62,IF(OptControl=4,0,1),0,1)-_xll.xCrudeAPO(BU62,BV62,CA62,CB62,S63,S64,BI62,BL62,BP62,BQ62,0,Strike1,AO62,CE62,0,BL62,IF(OptControl=4,0,1),0,1),0)</f>
        <v>0</v>
      </c>
      <c r="CJ62" s="311">
        <f ca="1">IF(BD62,_xll.xCrudeAPO(BU62,BV62,CC62,CD62,S63,S64,BI62,BL62,BP62,BQ62,0,Strike2,AO62,CE62,0,BL62,IF(OptControl=3,1,0),0,1),0)</f>
        <v>0</v>
      </c>
      <c r="CK62" s="163">
        <f ca="1">IF(BD62,_xll.xCrudeAPO(BU62,BV62,CC62,CD62,S63,S64,BI62,BL62,BP62,BQ62,0,Strike2,AO62,CE62,0,BL62,IF(OptControl=3,1,0),1,1)+_xll.xCrudeAPO(BU62,BV62,CC62,CD62,S63,S64,BI62,BL62,BP62,BQ62,0,Strike2,AO62,CE62,0,BL62,IF(OptControl=3,1,0),1,2)+IF(OR(VolSkewFlag=2,ABS(BT62)&lt;0.0001),0,IF(BT62&gt;0,-1,1)*CL62*Strike2/BR62^2*BZ62/10%),0)</f>
        <v>0</v>
      </c>
      <c r="CL62" s="163">
        <f ca="1">IF(BD62,(_xll.xCrudeAPO(BU62,BV62,CC62,CD62,S63,S64,BI62,BL62,BP62,BQ62,0,Strike2,AO62,CE62,0,BL62,IF(OptControl=3,1,0),3,1)+_xll.xCrudeAPO(BU62,BV62,CC62,CD62,S63,S64,BI62,BL62,BP62,BQ62,0,Strike2,AO62,CE62,0,BL62,IF(OptControl=3,1,0),3,2))/100,0)</f>
        <v>0</v>
      </c>
      <c r="CM62" s="164">
        <f ca="1">IF(BD62,_xll.xCrudeAPO(BU62,BV62,CC62,CD62,S63,S64,BI62-DaysForThetaCalculation/365.25,BL62-DaysForThetaCalculation/365.25,BP62,BQ62,0,Strike2,AO62,CE62,0,BL62,IF(OptControl=3,1,0),0,1)-_xll.xCrudeAPO(BU62,BV62,CC62,CD62,S63,S64,BI62,BL62,BP62,BQ62,0,Strike2,AO62,CE62,0,BL62,IF(OptControl=3,1,0),0,1),0)</f>
        <v>0</v>
      </c>
      <c r="CN62" s="53"/>
      <c r="CO62" s="796" t="str">
        <f t="shared" ca="1" si="53"/>
        <v/>
      </c>
      <c r="CP62" s="800" t="str">
        <f t="shared" ca="1" si="54"/>
        <v/>
      </c>
      <c r="CQ62" s="797" t="str">
        <f t="shared" ca="1" si="55"/>
        <v/>
      </c>
      <c r="CR62" s="797" t="str">
        <f t="shared" ca="1" si="56"/>
        <v/>
      </c>
      <c r="CS62" s="797" t="str">
        <f t="shared" ca="1" si="57"/>
        <v/>
      </c>
      <c r="CT62" s="797" t="str">
        <f t="shared" ca="1" si="58"/>
        <v/>
      </c>
      <c r="CU62" s="798" t="str">
        <f t="shared" ca="1" si="59"/>
        <v/>
      </c>
      <c r="CV62" s="799" t="str">
        <f t="shared" ca="1" si="60"/>
        <v/>
      </c>
      <c r="CW62" s="799" t="str">
        <f t="shared" ca="1" si="61"/>
        <v/>
      </c>
      <c r="CX62" s="163">
        <f ca="1">IF(BD62,_xll.EURO(CP62,Strike1,AO62,AO62,CV62,CO62,IF(OptControl=4,0,1),0),0)</f>
        <v>0</v>
      </c>
      <c r="CY62" s="163">
        <f ca="1">IF(BD62,_xll.EURO(CP62,Strike1,AO62,AO62,CV62,CO62,IF(OptControl=4,0,1),1)+IF(OR(VolSkewFlag=2,ABS(CQ62)&lt;0.0001),0,IF(CQ62&gt;0,-1,1)*CZ62*100*Strike1/CP62^2*CS62/10%),0)</f>
        <v>0</v>
      </c>
      <c r="CZ62" s="163">
        <f ca="1">IF(BD62,_xll.EURO(CP62,Strike1,AO62,AO62,CV62,CO62,IF(OptControl=4,0,1),3)/100,0)</f>
        <v>0</v>
      </c>
      <c r="DA62" s="163">
        <f ca="1">IF(BD62,_xll.EURO(CP62,Strike1,AO62,AO62,CV62,CO62,IF(OptControl=4,0,1),0)-_xll.EURO(CP62,Strike1,AO62,AO62,CV62,CO62-1,IF(OptControl=4,0,1),0),0)</f>
        <v>0</v>
      </c>
      <c r="DB62" s="163">
        <f ca="1">IF(BD62,_xll.EURO(CP62,Strike2,AO62,AO62,CW62,CO62,IF(OptControl=3,1,0),0),0)</f>
        <v>0</v>
      </c>
      <c r="DC62" s="163">
        <f ca="1">IF(BD62,_xll.EURO(CP62,Strike2,AO62,AO62,CW62,CO62,IF(OptControl=3,1,0),1)+IF(OR(VolSkewFlag=2,ABS(CR62)&lt;0.0001),0,IF(CR62&gt;0,-1,1)*DD62*100*Strike2/CP62^2*CT62/10%),0)</f>
        <v>0</v>
      </c>
      <c r="DD62" s="163">
        <f ca="1">IF(BD62,_xll.EURO(CP62,Strike2,AO62,AO62,CW62,CO62,IF(OptControl=3,1,0),3)/100,0)</f>
        <v>0</v>
      </c>
      <c r="DE62" s="164">
        <f ca="1">IF(BD62,_xll.EURO(CP62,Strike2,AO62,AO62,CW62,CO62,IF(OptControl=3,1,0),0)-_xll.EURO(CP62,Strike2,AO62,AO62,CW62,CO62-1,IF(OptControl=3,1,0),0),0)</f>
        <v>0</v>
      </c>
      <c r="DG62" s="667">
        <f t="shared" ca="1" si="62"/>
        <v>37834</v>
      </c>
      <c r="DH62" s="475">
        <v>18.62</v>
      </c>
      <c r="DI62" s="665">
        <v>18.553333333333335</v>
      </c>
      <c r="DJ62" s="666">
        <f t="shared" ca="1" si="182"/>
        <v>37834</v>
      </c>
      <c r="DK62" s="475">
        <v>17.400429003491386</v>
      </c>
      <c r="DL62" s="665">
        <v>17.389433333333336</v>
      </c>
      <c r="DM62" s="667">
        <f t="shared" ca="1" si="183"/>
        <v>37834</v>
      </c>
      <c r="DN62" s="668">
        <f t="shared" si="184"/>
        <v>17.450429003491386</v>
      </c>
      <c r="DO62" s="667">
        <f t="shared" ca="1" si="63"/>
        <v>37834</v>
      </c>
      <c r="DP62" s="579">
        <f t="shared" si="64"/>
        <v>17.389433333333336</v>
      </c>
      <c r="DQ62" s="821">
        <v>0</v>
      </c>
      <c r="DR62" s="666">
        <f t="shared" ca="1" si="185"/>
        <v>37834</v>
      </c>
      <c r="DS62" s="669">
        <v>0.20729369127644806</v>
      </c>
      <c r="DT62" s="606">
        <v>0.20612687022793472</v>
      </c>
      <c r="DU62" s="666">
        <f t="shared" ca="1" si="186"/>
        <v>37834</v>
      </c>
      <c r="DV62" s="669">
        <v>0.20729369127644806</v>
      </c>
      <c r="DW62" s="606">
        <v>0.20612687022793472</v>
      </c>
      <c r="DX62" s="667">
        <f t="shared" ca="1" si="187"/>
        <v>37834</v>
      </c>
      <c r="DY62" s="606">
        <v>0.35000000000003639</v>
      </c>
      <c r="DZ62" s="667">
        <f t="shared" ca="1" si="65"/>
        <v>37834</v>
      </c>
      <c r="EA62" s="606">
        <f t="shared" si="66"/>
        <v>0.20612687022793472</v>
      </c>
      <c r="EB62" s="1"/>
      <c r="EC62" s="118" t="str">
        <f t="shared" ca="1" si="188"/>
        <v/>
      </c>
      <c r="ED62" s="119" t="str">
        <f t="shared" ca="1" si="33"/>
        <v/>
      </c>
      <c r="EE62" s="112" t="str">
        <f t="shared" ca="1" si="34"/>
        <v/>
      </c>
      <c r="EF62" s="120">
        <f ca="1">IF(BD62,_xll.xASN(BR62,Strike1,AO62,ED62,0,BO62,0,BI62,BL62,IF(OptControl=4,0,1),0),0)</f>
        <v>0</v>
      </c>
      <c r="EG62" s="111">
        <f ca="1">IF(BD62,_xll.xASN(BR62,Strike2,AO62,EE62,0,BO62,0,BI62,BL62,IF(OptControl=3,1,0),0),0)</f>
        <v>0</v>
      </c>
      <c r="EL62" s="55"/>
      <c r="EM62" s="1"/>
      <c r="EN62" s="697">
        <v>40902</v>
      </c>
      <c r="EO62" s="698">
        <v>44197</v>
      </c>
      <c r="EP62" s="1"/>
      <c r="EQ62" s="683" t="s">
        <v>249</v>
      </c>
      <c r="ES62" s="498">
        <v>43</v>
      </c>
      <c r="ET62" s="476">
        <f t="shared" ca="1" si="165"/>
        <v>3.5263518138261465</v>
      </c>
      <c r="EU62" s="842">
        <f t="shared" ca="1" si="189"/>
        <v>0</v>
      </c>
      <c r="EV62" s="815">
        <f t="shared" ca="1" si="269"/>
        <v>0.19002474182122084</v>
      </c>
      <c r="EW62" s="478" t="str">
        <f t="shared" ca="1" si="270"/>
        <v/>
      </c>
      <c r="EX62" s="477" t="str">
        <f t="shared" ca="1" si="271"/>
        <v/>
      </c>
      <c r="EY62" s="250">
        <v>0</v>
      </c>
      <c r="EZ62" s="605" t="str">
        <f ca="1">IF(OR(EW62="",EW63=""),"",SQRT(SUM(INDEX(FK62:ID62,SwaptionFirstMonthPosition+1):INDEX(FK62:ID62,FJ62))/SUM(INDEX($FK$15:$ID$15,SwaptionFirstMonthPosition+1):INDEX($FK$15:$ID$15,FJ62))))</f>
        <v/>
      </c>
      <c r="FA62" s="581" t="str">
        <f ca="1">IF(OR(EW62="",EW61=""),"",SQRT(SUM(INDEX(FK62:ID62,SwaptionFirstMonthPosition+1):INDEX(FK62:ID62,FJ62-1))/SUM(INDEX($FK$15:$ID$15,SwaptionFirstMonthPosition+1):INDEX($FK$15:$ID$15,FJ62-1))))</f>
        <v/>
      </c>
      <c r="FB62" s="578" t="str">
        <f t="shared" ca="1" si="190"/>
        <v/>
      </c>
      <c r="FC62" s="609" t="str">
        <f t="shared" ca="1" si="191"/>
        <v/>
      </c>
      <c r="FD62" s="579" t="str">
        <f t="shared" ca="1" si="192"/>
        <v/>
      </c>
      <c r="FE62" s="579" t="str">
        <f t="shared" ca="1" si="193"/>
        <v/>
      </c>
      <c r="FF62" s="579" t="str">
        <f t="shared" ca="1" si="194"/>
        <v/>
      </c>
      <c r="FG62" s="580" t="str">
        <f t="shared" ca="1" si="195"/>
        <v/>
      </c>
      <c r="FH62" s="606" t="str">
        <f t="shared" ca="1" si="196"/>
        <v/>
      </c>
      <c r="FI62" s="250"/>
      <c r="FJ62" s="673">
        <v>43</v>
      </c>
      <c r="FK62" s="460">
        <f t="shared" ca="1" si="197"/>
        <v>0</v>
      </c>
      <c r="FL62" s="460">
        <f t="shared" ca="1" si="198"/>
        <v>2.1966832243631835E-3</v>
      </c>
      <c r="FM62" s="460">
        <f t="shared" ca="1" si="199"/>
        <v>2.5542700106042904E-3</v>
      </c>
      <c r="FN62" s="460">
        <f t="shared" ca="1" si="200"/>
        <v>2.1509253445314352E-3</v>
      </c>
      <c r="FO62" s="460">
        <f t="shared" ca="1" si="201"/>
        <v>2.2385867831824654E-3</v>
      </c>
      <c r="FP62" s="460">
        <f t="shared" ca="1" si="202"/>
        <v>2.4822777502178646E-3</v>
      </c>
      <c r="FQ62" s="460">
        <f t="shared" ca="1" si="203"/>
        <v>2.0112688665139392E-3</v>
      </c>
      <c r="FR62" s="460">
        <f t="shared" ca="1" si="204"/>
        <v>2.058351021970023E-3</v>
      </c>
      <c r="FS62" s="460">
        <f t="shared" ca="1" si="205"/>
        <v>2.322142709953044E-3</v>
      </c>
      <c r="FT62" s="460">
        <f t="shared" ca="1" si="206"/>
        <v>2.0983216625577038E-3</v>
      </c>
      <c r="FU62" s="460">
        <f t="shared" ca="1" si="207"/>
        <v>2.0202544049796639E-3</v>
      </c>
      <c r="FV62" s="460">
        <f t="shared" ca="1" si="208"/>
        <v>2.2239204461086365E-3</v>
      </c>
      <c r="FW62" s="460">
        <f t="shared" ca="1" si="209"/>
        <v>2.0827055116478385E-3</v>
      </c>
      <c r="FX62" s="460">
        <f t="shared" ca="1" si="210"/>
        <v>2.2216787634136595E-3</v>
      </c>
      <c r="FY62" s="460">
        <f t="shared" ca="1" si="211"/>
        <v>2.0850030383237988E-3</v>
      </c>
      <c r="FZ62" s="460">
        <f t="shared" ca="1" si="212"/>
        <v>1.9498187219758329E-3</v>
      </c>
      <c r="GA62" s="460">
        <f t="shared" ca="1" si="213"/>
        <v>2.0950417446946859E-3</v>
      </c>
      <c r="GB62" s="460">
        <f t="shared" ca="1" si="214"/>
        <v>2.3131864244766722E-3</v>
      </c>
      <c r="GC62" s="460">
        <f t="shared" ca="1" si="215"/>
        <v>2.0423562229618096E-3</v>
      </c>
      <c r="GD62" s="460">
        <f t="shared" ca="1" si="216"/>
        <v>2.0540746648771437E-3</v>
      </c>
      <c r="GE62" s="460">
        <f t="shared" ca="1" si="217"/>
        <v>2.3535093857173068E-3</v>
      </c>
      <c r="GF62" s="460">
        <f t="shared" ca="1" si="218"/>
        <v>2.0852063407718682E-3</v>
      </c>
      <c r="GG62" s="460">
        <f t="shared" ca="1" si="219"/>
        <v>2.3232598226430872E-3</v>
      </c>
      <c r="GH62" s="460">
        <f t="shared" ca="1" si="220"/>
        <v>2.2029966336515193E-3</v>
      </c>
      <c r="GI62" s="460">
        <f t="shared" ca="1" si="221"/>
        <v>2.158259956069239E-3</v>
      </c>
      <c r="GJ62" s="460">
        <f t="shared" ca="1" si="222"/>
        <v>2.4948512953288184E-3</v>
      </c>
      <c r="GK62" s="460">
        <f t="shared" ca="1" si="223"/>
        <v>2.3102488141188661E-3</v>
      </c>
      <c r="GL62" s="460">
        <f t="shared" ca="1" si="224"/>
        <v>2.2820500096805943E-3</v>
      </c>
      <c r="GM62" s="460">
        <f t="shared" ca="1" si="225"/>
        <v>2.5020670075875428E-3</v>
      </c>
      <c r="GN62" s="460">
        <f t="shared" ca="1" si="226"/>
        <v>2.5775672689053366E-3</v>
      </c>
      <c r="GO62" s="460">
        <f t="shared" ca="1" si="227"/>
        <v>2.6690309013151273E-3</v>
      </c>
      <c r="GP62" s="460">
        <f t="shared" ca="1" si="228"/>
        <v>2.5114134147168018E-3</v>
      </c>
      <c r="GQ62" s="460">
        <f t="shared" ca="1" si="229"/>
        <v>2.9172884221351034E-3</v>
      </c>
      <c r="GR62" s="460">
        <f t="shared" ca="1" si="230"/>
        <v>2.987012427122029E-3</v>
      </c>
      <c r="GS62" s="460">
        <f t="shared" ca="1" si="231"/>
        <v>3.2981636094422681E-3</v>
      </c>
      <c r="GT62" s="460">
        <f t="shared" ca="1" si="232"/>
        <v>3.4506900559003379E-3</v>
      </c>
      <c r="GU62" s="460">
        <f t="shared" ca="1" si="233"/>
        <v>3.9087472221391237E-3</v>
      </c>
      <c r="GV62" s="460">
        <f t="shared" ca="1" si="234"/>
        <v>4.3558551110046981E-3</v>
      </c>
      <c r="GW62" s="460">
        <f t="shared" ca="1" si="235"/>
        <v>4.7904564165216186E-3</v>
      </c>
      <c r="GX62" s="460">
        <f t="shared" ca="1" si="236"/>
        <v>5.7587506464329193E-3</v>
      </c>
      <c r="GY62" s="460">
        <f t="shared" ca="1" si="237"/>
        <v>6.6680682714816055E-3</v>
      </c>
      <c r="GZ62" s="460">
        <f t="shared" ca="1" si="238"/>
        <v>8.5284889081267447E-3</v>
      </c>
      <c r="HA62" s="460">
        <f t="shared" ca="1" si="239"/>
        <v>1.0999607758774094E-2</v>
      </c>
      <c r="HB62" s="460" t="str">
        <f t="shared" si="240"/>
        <v/>
      </c>
      <c r="HC62" s="460" t="str">
        <f t="shared" si="241"/>
        <v/>
      </c>
      <c r="HD62" s="460" t="str">
        <f t="shared" si="242"/>
        <v/>
      </c>
      <c r="HE62" s="460" t="str">
        <f t="shared" si="243"/>
        <v/>
      </c>
      <c r="HF62" s="460" t="str">
        <f t="shared" si="244"/>
        <v/>
      </c>
      <c r="HG62" s="460" t="str">
        <f t="shared" si="245"/>
        <v/>
      </c>
      <c r="HH62" s="460" t="str">
        <f t="shared" si="246"/>
        <v/>
      </c>
      <c r="HI62" s="460" t="str">
        <f t="shared" si="247"/>
        <v/>
      </c>
      <c r="HJ62" s="460" t="str">
        <f t="shared" si="248"/>
        <v/>
      </c>
      <c r="HK62" s="460" t="str">
        <f t="shared" si="249"/>
        <v/>
      </c>
      <c r="HL62" s="460" t="str">
        <f t="shared" si="250"/>
        <v/>
      </c>
      <c r="HM62" s="460" t="str">
        <f t="shared" si="251"/>
        <v/>
      </c>
      <c r="HN62" s="460" t="str">
        <f t="shared" si="252"/>
        <v/>
      </c>
      <c r="HO62" s="460" t="str">
        <f t="shared" si="253"/>
        <v/>
      </c>
      <c r="HP62" s="460" t="str">
        <f t="shared" si="254"/>
        <v/>
      </c>
      <c r="HQ62" s="460" t="str">
        <f t="shared" si="255"/>
        <v/>
      </c>
      <c r="HR62" s="460" t="str">
        <f t="shared" si="256"/>
        <v/>
      </c>
      <c r="HS62" s="460" t="str">
        <f t="shared" si="257"/>
        <v/>
      </c>
      <c r="HT62" s="460" t="str">
        <f t="shared" si="258"/>
        <v/>
      </c>
      <c r="HU62" s="460" t="str">
        <f t="shared" si="259"/>
        <v/>
      </c>
      <c r="HV62" s="460" t="str">
        <f t="shared" si="260"/>
        <v/>
      </c>
      <c r="HW62" s="460" t="str">
        <f t="shared" si="261"/>
        <v/>
      </c>
      <c r="HX62" s="460" t="str">
        <f t="shared" si="262"/>
        <v/>
      </c>
      <c r="HY62" s="460" t="str">
        <f t="shared" si="263"/>
        <v/>
      </c>
      <c r="HZ62" s="460" t="str">
        <f t="shared" si="264"/>
        <v/>
      </c>
      <c r="IA62" s="460" t="str">
        <f t="shared" si="265"/>
        <v/>
      </c>
      <c r="IB62" s="460" t="str">
        <f t="shared" si="266"/>
        <v/>
      </c>
      <c r="IC62" s="460" t="str">
        <f t="shared" si="267"/>
        <v/>
      </c>
      <c r="ID62" s="674" t="str">
        <f t="shared" si="268"/>
        <v/>
      </c>
      <c r="IE62" s="250"/>
    </row>
    <row r="63" spans="1:239">
      <c r="A63" s="51"/>
      <c r="B63" s="51"/>
      <c r="C63" s="51"/>
      <c r="D63" s="51"/>
      <c r="E63" s="51"/>
      <c r="F63" s="51"/>
      <c r="G63" s="51"/>
      <c r="H63" s="51">
        <f t="shared" ca="1" si="35"/>
        <v>0</v>
      </c>
      <c r="I63" s="379">
        <f t="shared" si="36"/>
        <v>38078</v>
      </c>
      <c r="J63" s="377"/>
      <c r="K63" s="104" t="s">
        <v>269</v>
      </c>
      <c r="L63" s="392">
        <f t="shared" si="37"/>
        <v>0</v>
      </c>
      <c r="M63" s="171"/>
      <c r="N63" s="382">
        <v>0</v>
      </c>
      <c r="O63" s="171">
        <f t="shared" si="38"/>
        <v>0</v>
      </c>
      <c r="P63" s="377"/>
      <c r="Q63" s="104" t="s">
        <v>268</v>
      </c>
      <c r="R63" s="377">
        <f t="shared" ca="1" si="148"/>
        <v>-1.4147532739987281</v>
      </c>
      <c r="S63" s="832">
        <f t="shared" si="164"/>
        <v>0.36000022627316608</v>
      </c>
      <c r="T63" s="831">
        <f t="shared" si="149"/>
        <v>0.99986659787108034</v>
      </c>
      <c r="U63" s="545">
        <f t="shared" si="150"/>
        <v>0.99999993636067197</v>
      </c>
      <c r="V63" s="389">
        <v>0</v>
      </c>
      <c r="W63" s="434">
        <f t="shared" si="166"/>
        <v>0</v>
      </c>
      <c r="X63" s="415">
        <f t="shared" si="167"/>
        <v>0</v>
      </c>
      <c r="Y63" s="322">
        <f t="shared" si="168"/>
        <v>-1.2284999999999999</v>
      </c>
      <c r="Z63" s="322">
        <f t="shared" ca="1" si="169"/>
        <v>-1.2284999999999999</v>
      </c>
      <c r="AA63" s="429">
        <f t="shared" si="1"/>
        <v>1.2284999999999999</v>
      </c>
      <c r="AB63" s="433">
        <f t="shared" ca="1" si="2"/>
        <v>1.2284999999999999</v>
      </c>
      <c r="AC63" s="229">
        <v>38066</v>
      </c>
      <c r="AD63" s="229">
        <v>38062</v>
      </c>
      <c r="AE63" s="229">
        <v>38061</v>
      </c>
      <c r="AF63" s="229">
        <v>38057</v>
      </c>
      <c r="AG63" s="249" t="s">
        <v>90</v>
      </c>
      <c r="AH63" s="247" t="s">
        <v>499</v>
      </c>
      <c r="AI63" s="146">
        <v>22</v>
      </c>
      <c r="AJ63" s="41">
        <v>14</v>
      </c>
      <c r="AK63" s="41">
        <v>8</v>
      </c>
      <c r="AL63" s="293">
        <v>22</v>
      </c>
      <c r="AM63" s="41">
        <v>10</v>
      </c>
      <c r="AN63" s="147">
        <v>12</v>
      </c>
      <c r="AO63" s="374"/>
      <c r="AP63" s="153">
        <f t="shared" ca="1" si="43"/>
        <v>1</v>
      </c>
      <c r="AQ63" s="374"/>
      <c r="AR63" s="153">
        <f t="shared" ca="1" si="151"/>
        <v>1</v>
      </c>
      <c r="AS63" s="272">
        <f t="shared" si="170"/>
        <v>0</v>
      </c>
      <c r="AT63" s="157">
        <f t="shared" si="44"/>
        <v>0</v>
      </c>
      <c r="AU63" s="157">
        <f t="shared" si="4"/>
        <v>0</v>
      </c>
      <c r="AV63" s="271">
        <f t="shared" ca="1" si="163"/>
        <v>9.9999999999999995E-7</v>
      </c>
      <c r="AW63" s="158" t="str">
        <f t="shared" ca="1" si="171"/>
        <v/>
      </c>
      <c r="AX63" s="157">
        <f t="shared" ca="1" si="152"/>
        <v>5.9893596675393273E-3</v>
      </c>
      <c r="AY63" s="157">
        <f t="shared" ca="1" si="153"/>
        <v>3.4810538929583444E-3</v>
      </c>
      <c r="AZ63" s="157">
        <f t="shared" ca="1" si="154"/>
        <v>1.2193490002736056E-3</v>
      </c>
      <c r="BA63" s="157">
        <f t="shared" ca="1" si="155"/>
        <v>1.524186250342007E-4</v>
      </c>
      <c r="BB63" s="157">
        <f t="shared" ca="1" si="156"/>
        <v>7.6074163780137486E-5</v>
      </c>
      <c r="BC63" s="157">
        <f t="shared" ca="1" si="157"/>
        <v>4.6462874514632961E-5</v>
      </c>
      <c r="BD63" s="151">
        <f t="shared" ca="1" si="172"/>
        <v>0</v>
      </c>
      <c r="BE63" s="152">
        <f t="shared" ca="1" si="173"/>
        <v>0</v>
      </c>
      <c r="BF63" s="40">
        <f t="shared" si="174"/>
        <v>2004</v>
      </c>
      <c r="BG63" s="144">
        <f t="shared" si="175"/>
        <v>4</v>
      </c>
      <c r="BH63" s="145">
        <f t="shared" ca="1" si="176"/>
        <v>1317</v>
      </c>
      <c r="BI63" s="313">
        <f t="shared" ca="1" si="177"/>
        <v>3.6495550992470909</v>
      </c>
      <c r="BJ63" s="42">
        <f t="shared" ca="1" si="10"/>
        <v>3.7000808910459835</v>
      </c>
      <c r="BK63" s="42">
        <f t="shared" ca="1" si="178"/>
        <v>3.7028187418331155</v>
      </c>
      <c r="BL63" s="42">
        <f t="shared" ca="1" si="179"/>
        <v>3.7289527720739222</v>
      </c>
      <c r="BM63" s="150" t="e">
        <f t="shared" ca="1" si="13"/>
        <v>#DIV/0!</v>
      </c>
      <c r="BN63" s="42" t="e">
        <f t="shared" ca="1" si="14"/>
        <v>#DIV/0!</v>
      </c>
      <c r="BO63" s="293">
        <f t="shared" si="48"/>
        <v>22</v>
      </c>
      <c r="BP63" s="41">
        <f t="shared" si="49"/>
        <v>14</v>
      </c>
      <c r="BQ63" s="41">
        <f t="shared" si="50"/>
        <v>8</v>
      </c>
      <c r="BR63" s="305" t="str">
        <f t="shared" ca="1" si="15"/>
        <v/>
      </c>
      <c r="BS63" s="305" t="str">
        <f t="shared" ca="1" si="180"/>
        <v/>
      </c>
      <c r="BT63" s="307" t="str">
        <f t="shared" ca="1" si="181"/>
        <v/>
      </c>
      <c r="BU63" s="161" t="str">
        <f t="shared" ca="1" si="18"/>
        <v/>
      </c>
      <c r="BV63" s="161" t="str">
        <f t="shared" ca="1" si="19"/>
        <v/>
      </c>
      <c r="BW63" s="308" t="str">
        <f t="shared" ca="1" si="20"/>
        <v/>
      </c>
      <c r="BX63" s="309" t="str">
        <f t="shared" ca="1" si="21"/>
        <v/>
      </c>
      <c r="BY63" s="308" t="str">
        <f t="shared" ca="1" si="51"/>
        <v/>
      </c>
      <c r="BZ63" s="309" t="str">
        <f t="shared" ca="1" si="52"/>
        <v/>
      </c>
      <c r="CA63" s="154" t="str">
        <f t="shared" ca="1" si="22"/>
        <v/>
      </c>
      <c r="CB63" s="154" t="str">
        <f t="shared" ca="1" si="23"/>
        <v/>
      </c>
      <c r="CC63" s="154" t="str">
        <f t="shared" ca="1" si="24"/>
        <v/>
      </c>
      <c r="CD63" s="154" t="str">
        <f t="shared" ca="1" si="25"/>
        <v/>
      </c>
      <c r="CE63" s="310">
        <v>1</v>
      </c>
      <c r="CF63" s="162">
        <f ca="1">IF(BD63,_xll.xCrudeAPO(BU63,BV63,CA63,CB63,S64,S65,BI63,BL63,BP63,BQ63,0,Strike1,AO63,CE63,0,BL63,IF(OptControl=4,0,1),0,1),0)</f>
        <v>0</v>
      </c>
      <c r="CG63" s="163">
        <f ca="1">IF(BD63,_xll.xCrudeAPO(BU63,BV63,CA63,CB63,S64,S65,BI63,BL63,BP63,BQ63,0,Strike1,AO63,CE63,0,BL63,IF(OptControl=4,0,1),1,1)+_xll.xCrudeAPO(BU63,BV63,CA63,CB63,S64,S65,BI63,BL63,BP63,BQ63,0,Strike1,AO63,CE63,0,BL63,IF(OptControl=4,0,1),1,2)+IF(OR(VolSkewFlag=2,ABS(BS63)&lt;0.0001),0,IF(BS63&gt;0,-1,1)*CH63*Strike1/BR63^2*BY63/10%),0)</f>
        <v>0</v>
      </c>
      <c r="CH63" s="163">
        <f ca="1">IF(BD63,(_xll.xCrudeAPO(BU63,BV63,CA63,CB63,S64,S65,BI63,BL63,BP63,BQ63,0,Strike1,AO63,CE63,0,BL63,IF(OptControl=4,0,1),3,1)+_xll.xCrudeAPO(BU63,BV63,CA63,CB63,S64,S65,BI63,BL63,BP63,BQ63,0,Strike1,AO63,CE63,0,BL63,IF(OptControl=4,0,1),3,2))/100,0)</f>
        <v>0</v>
      </c>
      <c r="CI63" s="163">
        <f ca="1">IF(BD63,_xll.xCrudeAPO(BU63,BV63,CA63,CB63,S64,S65,BI63-DaysForThetaCalculation/365.25,BL63-DaysForThetaCalculation/365.25,BP63,BQ63,0,Strike1,AO63,CE63,0,BL63,IF(OptControl=4,0,1),0,1)-_xll.xCrudeAPO(BU63,BV63,CA63,CB63,S64,S65,BI63,BL63,BP63,BQ63,0,Strike1,AO63,CE63,0,BL63,IF(OptControl=4,0,1),0,1),0)</f>
        <v>0</v>
      </c>
      <c r="CJ63" s="311">
        <f ca="1">IF(BD63,_xll.xCrudeAPO(BU63,BV63,CC63,CD63,S64,S65,BI63,BL63,BP63,BQ63,0,Strike2,AO63,CE63,0,BL63,IF(OptControl=3,1,0),0,1),0)</f>
        <v>0</v>
      </c>
      <c r="CK63" s="163">
        <f ca="1">IF(BD63,_xll.xCrudeAPO(BU63,BV63,CC63,CD63,S64,S65,BI63,BL63,BP63,BQ63,0,Strike2,AO63,CE63,0,BL63,IF(OptControl=3,1,0),1,1)+_xll.xCrudeAPO(BU63,BV63,CC63,CD63,S64,S65,BI63,BL63,BP63,BQ63,0,Strike2,AO63,CE63,0,BL63,IF(OptControl=3,1,0),1,2)+IF(OR(VolSkewFlag=2,ABS(BT63)&lt;0.0001),0,IF(BT63&gt;0,-1,1)*CL63*Strike2/BR63^2*BZ63/10%),0)</f>
        <v>0</v>
      </c>
      <c r="CL63" s="163">
        <f ca="1">IF(BD63,(_xll.xCrudeAPO(BU63,BV63,CC63,CD63,S64,S65,BI63,BL63,BP63,BQ63,0,Strike2,AO63,CE63,0,BL63,IF(OptControl=3,1,0),3,1)+_xll.xCrudeAPO(BU63,BV63,CC63,CD63,S64,S65,BI63,BL63,BP63,BQ63,0,Strike2,AO63,CE63,0,BL63,IF(OptControl=3,1,0),3,2))/100,0)</f>
        <v>0</v>
      </c>
      <c r="CM63" s="164">
        <f ca="1">IF(BD63,_xll.xCrudeAPO(BU63,BV63,CC63,CD63,S64,S65,BI63-DaysForThetaCalculation/365.25,BL63-DaysForThetaCalculation/365.25,BP63,BQ63,0,Strike2,AO63,CE63,0,BL63,IF(OptControl=3,1,0),0,1)-_xll.xCrudeAPO(BU63,BV63,CC63,CD63,S64,S65,BI63,BL63,BP63,BQ63,0,Strike2,AO63,CE63,0,BL63,IF(OptControl=3,1,0),0,1),0)</f>
        <v>0</v>
      </c>
      <c r="CN63" s="53"/>
      <c r="CO63" s="796" t="str">
        <f t="shared" ca="1" si="53"/>
        <v/>
      </c>
      <c r="CP63" s="800" t="str">
        <f t="shared" ca="1" si="54"/>
        <v/>
      </c>
      <c r="CQ63" s="797" t="str">
        <f t="shared" ca="1" si="55"/>
        <v/>
      </c>
      <c r="CR63" s="797" t="str">
        <f t="shared" ca="1" si="56"/>
        <v/>
      </c>
      <c r="CS63" s="797" t="str">
        <f t="shared" ca="1" si="57"/>
        <v/>
      </c>
      <c r="CT63" s="797" t="str">
        <f t="shared" ca="1" si="58"/>
        <v/>
      </c>
      <c r="CU63" s="798" t="str">
        <f t="shared" ca="1" si="59"/>
        <v/>
      </c>
      <c r="CV63" s="799" t="str">
        <f t="shared" ca="1" si="60"/>
        <v/>
      </c>
      <c r="CW63" s="799" t="str">
        <f t="shared" ca="1" si="61"/>
        <v/>
      </c>
      <c r="CX63" s="163">
        <f ca="1">IF(BD63,_xll.EURO(CP63,Strike1,AO63,AO63,CV63,CO63,IF(OptControl=4,0,1),0),0)</f>
        <v>0</v>
      </c>
      <c r="CY63" s="163">
        <f ca="1">IF(BD63,_xll.EURO(CP63,Strike1,AO63,AO63,CV63,CO63,IF(OptControl=4,0,1),1)+IF(OR(VolSkewFlag=2,ABS(CQ63)&lt;0.0001),0,IF(CQ63&gt;0,-1,1)*CZ63*100*Strike1/CP63^2*CS63/10%),0)</f>
        <v>0</v>
      </c>
      <c r="CZ63" s="163">
        <f ca="1">IF(BD63,_xll.EURO(CP63,Strike1,AO63,AO63,CV63,CO63,IF(OptControl=4,0,1),3)/100,0)</f>
        <v>0</v>
      </c>
      <c r="DA63" s="163">
        <f ca="1">IF(BD63,_xll.EURO(CP63,Strike1,AO63,AO63,CV63,CO63,IF(OptControl=4,0,1),0)-_xll.EURO(CP63,Strike1,AO63,AO63,CV63,CO63-1,IF(OptControl=4,0,1),0),0)</f>
        <v>0</v>
      </c>
      <c r="DB63" s="163">
        <f ca="1">IF(BD63,_xll.EURO(CP63,Strike2,AO63,AO63,CW63,CO63,IF(OptControl=3,1,0),0),0)</f>
        <v>0</v>
      </c>
      <c r="DC63" s="163">
        <f ca="1">IF(BD63,_xll.EURO(CP63,Strike2,AO63,AO63,CW63,CO63,IF(OptControl=3,1,0),1)+IF(OR(VolSkewFlag=2,ABS(CR63)&lt;0.0001),0,IF(CR63&gt;0,-1,1)*DD63*100*Strike2/CP63^2*CT63/10%),0)</f>
        <v>0</v>
      </c>
      <c r="DD63" s="163">
        <f ca="1">IF(BD63,_xll.EURO(CP63,Strike2,AO63,AO63,CW63,CO63,IF(OptControl=3,1,0),3)/100,0)</f>
        <v>0</v>
      </c>
      <c r="DE63" s="164">
        <f ca="1">IF(BD63,_xll.EURO(CP63,Strike2,AO63,AO63,CW63,CO63,IF(OptControl=3,1,0),0)-_xll.EURO(CP63,Strike2,AO63,AO63,CW63,CO63-1,IF(OptControl=3,1,0),0),0)</f>
        <v>0</v>
      </c>
      <c r="DG63" s="667">
        <f t="shared" ca="1" si="62"/>
        <v>37865</v>
      </c>
      <c r="DH63" s="475">
        <v>18.57</v>
      </c>
      <c r="DI63" s="665">
        <v>18.504090909090909</v>
      </c>
      <c r="DJ63" s="666">
        <f t="shared" ca="1" si="182"/>
        <v>37865</v>
      </c>
      <c r="DK63" s="475">
        <v>17.462735032279362</v>
      </c>
      <c r="DL63" s="665">
        <v>17.340190909090907</v>
      </c>
      <c r="DM63" s="667">
        <f t="shared" ca="1" si="183"/>
        <v>37865</v>
      </c>
      <c r="DN63" s="668">
        <f t="shared" si="184"/>
        <v>17.512735032279362</v>
      </c>
      <c r="DO63" s="667">
        <f t="shared" ca="1" si="63"/>
        <v>37865</v>
      </c>
      <c r="DP63" s="579">
        <f t="shared" si="64"/>
        <v>17.340190909090907</v>
      </c>
      <c r="DQ63" s="821">
        <v>0</v>
      </c>
      <c r="DR63" s="666">
        <f t="shared" ca="1" si="185"/>
        <v>37865</v>
      </c>
      <c r="DS63" s="669">
        <v>0.20650872260037104</v>
      </c>
      <c r="DT63" s="606">
        <v>0.20526015520526436</v>
      </c>
      <c r="DU63" s="666">
        <f t="shared" ca="1" si="186"/>
        <v>37865</v>
      </c>
      <c r="DV63" s="669">
        <v>0.20650872260037104</v>
      </c>
      <c r="DW63" s="606">
        <v>0.20526015520526436</v>
      </c>
      <c r="DX63" s="667">
        <f t="shared" ca="1" si="187"/>
        <v>37865</v>
      </c>
      <c r="DY63" s="606">
        <v>0.35000000000001819</v>
      </c>
      <c r="DZ63" s="667">
        <f t="shared" ca="1" si="65"/>
        <v>37865</v>
      </c>
      <c r="EA63" s="606">
        <f t="shared" si="66"/>
        <v>0.20526015520526436</v>
      </c>
      <c r="EB63" s="1"/>
      <c r="EC63" s="118" t="str">
        <f t="shared" ca="1" si="188"/>
        <v/>
      </c>
      <c r="ED63" s="119" t="str">
        <f t="shared" ca="1" si="33"/>
        <v/>
      </c>
      <c r="EE63" s="112" t="str">
        <f t="shared" ca="1" si="34"/>
        <v/>
      </c>
      <c r="EF63" s="120">
        <f ca="1">IF(BD63,_xll.xASN(BR63,Strike1,AO63,ED63,0,BO63,0,BI63,BL63,IF(OptControl=4,0,1),0),0)</f>
        <v>0</v>
      </c>
      <c r="EG63" s="111">
        <f ca="1">IF(BD63,_xll.xASN(BR63,Strike2,AO63,EE63,0,BO63,0,BI63,BL63,IF(OptControl=3,1,0),0),0)</f>
        <v>0</v>
      </c>
      <c r="EL63" s="55"/>
      <c r="EM63" s="1"/>
      <c r="EN63" s="697">
        <v>40909</v>
      </c>
      <c r="EO63" s="698">
        <v>44555</v>
      </c>
      <c r="EP63" s="1"/>
      <c r="EQ63" s="683" t="s">
        <v>250</v>
      </c>
      <c r="ES63" s="498">
        <v>44</v>
      </c>
      <c r="ET63" s="476">
        <f t="shared" ca="1" si="165"/>
        <v>3.6057494866529773</v>
      </c>
      <c r="EU63" s="842">
        <f t="shared" ca="1" si="189"/>
        <v>0</v>
      </c>
      <c r="EV63" s="815">
        <f t="shared" ca="1" si="269"/>
        <v>0.18901243790466032</v>
      </c>
      <c r="EW63" s="478" t="str">
        <f t="shared" ca="1" si="270"/>
        <v/>
      </c>
      <c r="EX63" s="477" t="str">
        <f t="shared" ca="1" si="271"/>
        <v/>
      </c>
      <c r="EY63" s="250">
        <v>0</v>
      </c>
      <c r="EZ63" s="605" t="str">
        <f ca="1">IF(OR(EW63="",EW64=""),"",SQRT(SUM(INDEX(FK63:ID63,SwaptionFirstMonthPosition+1):INDEX(FK63:ID63,FJ63))/SUM(INDEX($FK$15:$ID$15,SwaptionFirstMonthPosition+1):INDEX($FK$15:$ID$15,FJ63))))</f>
        <v/>
      </c>
      <c r="FA63" s="581" t="str">
        <f ca="1">IF(OR(EW63="",EW62=""),"",SQRT(SUM(INDEX(FK63:ID63,SwaptionFirstMonthPosition+1):INDEX(FK63:ID63,FJ63-1))/SUM(INDEX($FK$15:$ID$15,SwaptionFirstMonthPosition+1):INDEX($FK$15:$ID$15,FJ63-1))))</f>
        <v/>
      </c>
      <c r="FB63" s="578" t="str">
        <f t="shared" ca="1" si="190"/>
        <v/>
      </c>
      <c r="FC63" s="609" t="str">
        <f t="shared" ca="1" si="191"/>
        <v/>
      </c>
      <c r="FD63" s="579" t="str">
        <f t="shared" ca="1" si="192"/>
        <v/>
      </c>
      <c r="FE63" s="579" t="str">
        <f t="shared" ca="1" si="193"/>
        <v/>
      </c>
      <c r="FF63" s="579" t="str">
        <f t="shared" ca="1" si="194"/>
        <v/>
      </c>
      <c r="FG63" s="580" t="str">
        <f t="shared" ca="1" si="195"/>
        <v/>
      </c>
      <c r="FH63" s="606" t="str">
        <f t="shared" ca="1" si="196"/>
        <v/>
      </c>
      <c r="FI63" s="250"/>
      <c r="FJ63" s="673">
        <v>44</v>
      </c>
      <c r="FK63" s="460">
        <f t="shared" ca="1" si="197"/>
        <v>0</v>
      </c>
      <c r="FL63" s="460">
        <f t="shared" ca="1" si="198"/>
        <v>2.1958817393431481E-3</v>
      </c>
      <c r="FM63" s="460">
        <f t="shared" ca="1" si="199"/>
        <v>2.5531800051629776E-3</v>
      </c>
      <c r="FN63" s="460">
        <f t="shared" ca="1" si="200"/>
        <v>2.1498517974793043E-3</v>
      </c>
      <c r="FO63" s="460">
        <f t="shared" ca="1" si="201"/>
        <v>2.2372799999076892E-3</v>
      </c>
      <c r="FP63" s="460">
        <f t="shared" ca="1" si="202"/>
        <v>2.4805829680262931E-3</v>
      </c>
      <c r="FQ63" s="460">
        <f t="shared" ca="1" si="203"/>
        <v>2.009662785184056E-3</v>
      </c>
      <c r="FR63" s="460">
        <f t="shared" ca="1" si="204"/>
        <v>2.0564285911194346E-3</v>
      </c>
      <c r="FS63" s="460">
        <f t="shared" ca="1" si="205"/>
        <v>2.3196060977380244E-3</v>
      </c>
      <c r="FT63" s="460">
        <f t="shared" ca="1" si="206"/>
        <v>2.0956408211515597E-3</v>
      </c>
      <c r="FU63" s="460">
        <f t="shared" ca="1" si="207"/>
        <v>2.0172355725544457E-3</v>
      </c>
      <c r="FV63" s="460">
        <f t="shared" ca="1" si="208"/>
        <v>2.2200337008573268E-3</v>
      </c>
      <c r="FW63" s="460">
        <f t="shared" ca="1" si="209"/>
        <v>2.0784482672701939E-3</v>
      </c>
      <c r="FX63" s="460">
        <f t="shared" ca="1" si="210"/>
        <v>2.2163672795889205E-3</v>
      </c>
      <c r="FY63" s="460">
        <f t="shared" ca="1" si="211"/>
        <v>2.0791729494259851E-3</v>
      </c>
      <c r="FZ63" s="460">
        <f t="shared" ca="1" si="212"/>
        <v>1.9434420128625416E-3</v>
      </c>
      <c r="GA63" s="460">
        <f t="shared" ca="1" si="213"/>
        <v>2.0870281211593103E-3</v>
      </c>
      <c r="GB63" s="460">
        <f t="shared" ca="1" si="214"/>
        <v>2.3028378441395689E-3</v>
      </c>
      <c r="GC63" s="460">
        <f t="shared" ca="1" si="215"/>
        <v>2.0316697222537996E-3</v>
      </c>
      <c r="GD63" s="460">
        <f t="shared" ca="1" si="216"/>
        <v>2.041504119006274E-3</v>
      </c>
      <c r="GE63" s="460">
        <f t="shared" ca="1" si="217"/>
        <v>2.336663737351679E-3</v>
      </c>
      <c r="GF63" s="460">
        <f t="shared" ca="1" si="218"/>
        <v>2.0677499394174117E-3</v>
      </c>
      <c r="GG63" s="460">
        <f t="shared" ca="1" si="219"/>
        <v>2.3005121301383435E-3</v>
      </c>
      <c r="GH63" s="460">
        <f t="shared" ca="1" si="220"/>
        <v>2.1777683743705082E-3</v>
      </c>
      <c r="GI63" s="460">
        <f t="shared" ca="1" si="221"/>
        <v>2.1293524190476765E-3</v>
      </c>
      <c r="GJ63" s="460">
        <f t="shared" ca="1" si="222"/>
        <v>2.45576847576977E-3</v>
      </c>
      <c r="GK63" s="460">
        <f t="shared" ca="1" si="223"/>
        <v>2.2679202180720471E-3</v>
      </c>
      <c r="GL63" s="460">
        <f t="shared" ca="1" si="224"/>
        <v>2.2331471618445044E-3</v>
      </c>
      <c r="GM63" s="460">
        <f t="shared" ca="1" si="225"/>
        <v>2.4393562835662149E-3</v>
      </c>
      <c r="GN63" s="460">
        <f t="shared" ca="1" si="226"/>
        <v>2.502008169633385E-3</v>
      </c>
      <c r="GO63" s="460">
        <f t="shared" ca="1" si="227"/>
        <v>2.5775218082550759E-3</v>
      </c>
      <c r="GP63" s="460">
        <f t="shared" ca="1" si="228"/>
        <v>2.4107056992665691E-3</v>
      </c>
      <c r="GQ63" s="460">
        <f t="shared" ca="1" si="229"/>
        <v>2.7804658381451498E-3</v>
      </c>
      <c r="GR63" s="460">
        <f t="shared" ca="1" si="230"/>
        <v>2.8231613372782468E-3</v>
      </c>
      <c r="GS63" s="460">
        <f t="shared" ca="1" si="231"/>
        <v>3.0865622829980236E-3</v>
      </c>
      <c r="GT63" s="460">
        <f t="shared" ca="1" si="232"/>
        <v>3.1917578758548027E-3</v>
      </c>
      <c r="GU63" s="460">
        <f t="shared" ca="1" si="233"/>
        <v>3.5657018645763E-3</v>
      </c>
      <c r="GV63" s="460">
        <f t="shared" ca="1" si="234"/>
        <v>3.9087380196142782E-3</v>
      </c>
      <c r="GW63" s="460">
        <f t="shared" ca="1" si="235"/>
        <v>4.2153362125330563E-3</v>
      </c>
      <c r="GX63" s="460">
        <f t="shared" ca="1" si="236"/>
        <v>4.9501317415050344E-3</v>
      </c>
      <c r="GY63" s="460">
        <f t="shared" ca="1" si="237"/>
        <v>5.5729789612326344E-3</v>
      </c>
      <c r="GZ63" s="460">
        <f t="shared" ca="1" si="238"/>
        <v>6.890332081038667E-3</v>
      </c>
      <c r="HA63" s="460">
        <f t="shared" ca="1" si="239"/>
        <v>8.5284841432729658E-3</v>
      </c>
      <c r="HB63" s="460">
        <f t="shared" ca="1" si="240"/>
        <v>1.0289951333566567E-2</v>
      </c>
      <c r="HC63" s="460" t="str">
        <f t="shared" si="241"/>
        <v/>
      </c>
      <c r="HD63" s="460" t="str">
        <f t="shared" si="242"/>
        <v/>
      </c>
      <c r="HE63" s="460" t="str">
        <f t="shared" si="243"/>
        <v/>
      </c>
      <c r="HF63" s="460" t="str">
        <f t="shared" si="244"/>
        <v/>
      </c>
      <c r="HG63" s="460" t="str">
        <f t="shared" si="245"/>
        <v/>
      </c>
      <c r="HH63" s="460" t="str">
        <f t="shared" si="246"/>
        <v/>
      </c>
      <c r="HI63" s="460" t="str">
        <f t="shared" si="247"/>
        <v/>
      </c>
      <c r="HJ63" s="460" t="str">
        <f t="shared" si="248"/>
        <v/>
      </c>
      <c r="HK63" s="460" t="str">
        <f t="shared" si="249"/>
        <v/>
      </c>
      <c r="HL63" s="460" t="str">
        <f t="shared" si="250"/>
        <v/>
      </c>
      <c r="HM63" s="460" t="str">
        <f t="shared" si="251"/>
        <v/>
      </c>
      <c r="HN63" s="460" t="str">
        <f t="shared" si="252"/>
        <v/>
      </c>
      <c r="HO63" s="460" t="str">
        <f t="shared" si="253"/>
        <v/>
      </c>
      <c r="HP63" s="460" t="str">
        <f t="shared" si="254"/>
        <v/>
      </c>
      <c r="HQ63" s="460" t="str">
        <f t="shared" si="255"/>
        <v/>
      </c>
      <c r="HR63" s="460" t="str">
        <f t="shared" si="256"/>
        <v/>
      </c>
      <c r="HS63" s="460" t="str">
        <f t="shared" si="257"/>
        <v/>
      </c>
      <c r="HT63" s="460" t="str">
        <f t="shared" si="258"/>
        <v/>
      </c>
      <c r="HU63" s="460" t="str">
        <f t="shared" si="259"/>
        <v/>
      </c>
      <c r="HV63" s="460" t="str">
        <f t="shared" si="260"/>
        <v/>
      </c>
      <c r="HW63" s="460" t="str">
        <f t="shared" si="261"/>
        <v/>
      </c>
      <c r="HX63" s="460" t="str">
        <f t="shared" si="262"/>
        <v/>
      </c>
      <c r="HY63" s="460" t="str">
        <f t="shared" si="263"/>
        <v/>
      </c>
      <c r="HZ63" s="460" t="str">
        <f t="shared" si="264"/>
        <v/>
      </c>
      <c r="IA63" s="460" t="str">
        <f t="shared" si="265"/>
        <v/>
      </c>
      <c r="IB63" s="460" t="str">
        <f t="shared" si="266"/>
        <v/>
      </c>
      <c r="IC63" s="460" t="str">
        <f t="shared" si="267"/>
        <v/>
      </c>
      <c r="ID63" s="674" t="str">
        <f t="shared" si="268"/>
        <v/>
      </c>
      <c r="IE63" s="250"/>
    </row>
    <row r="64" spans="1:239">
      <c r="A64" s="53"/>
      <c r="F64" s="53"/>
      <c r="G64" s="53"/>
      <c r="H64" s="51">
        <f t="shared" ca="1" si="35"/>
        <v>0</v>
      </c>
      <c r="I64" s="379">
        <f t="shared" si="36"/>
        <v>38108</v>
      </c>
      <c r="J64" s="377"/>
      <c r="K64" s="104" t="s">
        <v>269</v>
      </c>
      <c r="L64" s="392">
        <f t="shared" si="37"/>
        <v>0</v>
      </c>
      <c r="M64" s="171"/>
      <c r="N64" s="382">
        <v>0</v>
      </c>
      <c r="O64" s="171">
        <f t="shared" si="38"/>
        <v>0</v>
      </c>
      <c r="P64" s="377"/>
      <c r="Q64" s="104" t="s">
        <v>268</v>
      </c>
      <c r="R64" s="377">
        <f t="shared" ca="1" si="148"/>
        <v>-0.87822825077020916</v>
      </c>
      <c r="S64" s="832">
        <f t="shared" si="164"/>
        <v>0.36000016970487458</v>
      </c>
      <c r="T64" s="831">
        <f t="shared" si="149"/>
        <v>0.99988594562266853</v>
      </c>
      <c r="U64" s="545">
        <f t="shared" si="150"/>
        <v>0.99999995227050398</v>
      </c>
      <c r="V64" s="389">
        <v>0</v>
      </c>
      <c r="W64" s="434">
        <f t="shared" si="166"/>
        <v>0</v>
      </c>
      <c r="X64" s="415">
        <f t="shared" si="167"/>
        <v>0</v>
      </c>
      <c r="Y64" s="322">
        <f t="shared" si="168"/>
        <v>-1.2284999999999999</v>
      </c>
      <c r="Z64" s="322">
        <f t="shared" ca="1" si="169"/>
        <v>-1.2284999999999999</v>
      </c>
      <c r="AA64" s="429">
        <f t="shared" si="1"/>
        <v>1.2284999999999999</v>
      </c>
      <c r="AB64" s="433">
        <f t="shared" ca="1" si="2"/>
        <v>1.2284999999999999</v>
      </c>
      <c r="AC64" s="229">
        <v>38097</v>
      </c>
      <c r="AD64" s="229">
        <v>38093</v>
      </c>
      <c r="AE64" s="229">
        <v>38092</v>
      </c>
      <c r="AF64" s="229">
        <v>38088</v>
      </c>
      <c r="AG64" s="249" t="s">
        <v>90</v>
      </c>
      <c r="AH64" s="247" t="s">
        <v>499</v>
      </c>
      <c r="AI64" s="146">
        <v>21</v>
      </c>
      <c r="AJ64" s="41">
        <v>14</v>
      </c>
      <c r="AK64" s="41">
        <v>7</v>
      </c>
      <c r="AL64" s="293">
        <v>21</v>
      </c>
      <c r="AM64" s="41">
        <v>10</v>
      </c>
      <c r="AN64" s="147">
        <v>11</v>
      </c>
      <c r="AO64" s="374"/>
      <c r="AP64" s="153">
        <f t="shared" ca="1" si="43"/>
        <v>1</v>
      </c>
      <c r="AQ64" s="374"/>
      <c r="AR64" s="153">
        <f t="shared" ca="1" si="151"/>
        <v>1</v>
      </c>
      <c r="AS64" s="272">
        <f t="shared" si="170"/>
        <v>0</v>
      </c>
      <c r="AT64" s="157">
        <f t="shared" si="44"/>
        <v>0</v>
      </c>
      <c r="AU64" s="157">
        <f t="shared" si="4"/>
        <v>0</v>
      </c>
      <c r="AV64" s="271">
        <f t="shared" ca="1" si="163"/>
        <v>9.9999999999999995E-7</v>
      </c>
      <c r="AW64" s="158" t="str">
        <f t="shared" ca="1" si="171"/>
        <v/>
      </c>
      <c r="AX64" s="157">
        <f t="shared" ca="1" si="152"/>
        <v>5.7903674194385553E-3</v>
      </c>
      <c r="AY64" s="157">
        <f t="shared" ca="1" si="153"/>
        <v>3.3430250681024784E-3</v>
      </c>
      <c r="AZ64" s="157">
        <f t="shared" ca="1" si="154"/>
        <v>1.1509121995523595E-3</v>
      </c>
      <c r="BA64" s="157">
        <f t="shared" ca="1" si="155"/>
        <v>1.4386402494404493E-4</v>
      </c>
      <c r="BB64" s="157">
        <f t="shared" ca="1" si="156"/>
        <v>6.9418796905441733E-5</v>
      </c>
      <c r="BC64" s="157">
        <f t="shared" ca="1" si="157"/>
        <v>4.1393715346201926E-5</v>
      </c>
      <c r="BD64" s="151">
        <f t="shared" ca="1" si="172"/>
        <v>0</v>
      </c>
      <c r="BE64" s="152">
        <f t="shared" ca="1" si="173"/>
        <v>0</v>
      </c>
      <c r="BF64" s="40">
        <f t="shared" si="174"/>
        <v>2004</v>
      </c>
      <c r="BG64" s="144">
        <f t="shared" si="175"/>
        <v>5</v>
      </c>
      <c r="BH64" s="145">
        <f t="shared" ca="1" si="176"/>
        <v>1348</v>
      </c>
      <c r="BI64" s="313">
        <f t="shared" ca="1" si="177"/>
        <v>3.7316906228610542</v>
      </c>
      <c r="BJ64" s="42">
        <f t="shared" ca="1" si="10"/>
        <v>3.786447638603696</v>
      </c>
      <c r="BK64" s="42">
        <f t="shared" ca="1" si="178"/>
        <v>3.7891854893908281</v>
      </c>
      <c r="BL64" s="42">
        <f t="shared" ca="1" si="179"/>
        <v>3.8138261464750172</v>
      </c>
      <c r="BM64" s="150" t="e">
        <f t="shared" ca="1" si="13"/>
        <v>#DIV/0!</v>
      </c>
      <c r="BN64" s="42" t="e">
        <f t="shared" ca="1" si="14"/>
        <v>#DIV/0!</v>
      </c>
      <c r="BO64" s="293">
        <f t="shared" si="48"/>
        <v>21</v>
      </c>
      <c r="BP64" s="41">
        <f t="shared" si="49"/>
        <v>14</v>
      </c>
      <c r="BQ64" s="41">
        <f t="shared" si="50"/>
        <v>7</v>
      </c>
      <c r="BR64" s="305" t="str">
        <f t="shared" ca="1" si="15"/>
        <v/>
      </c>
      <c r="BS64" s="305" t="str">
        <f t="shared" ca="1" si="180"/>
        <v/>
      </c>
      <c r="BT64" s="307" t="str">
        <f t="shared" ca="1" si="181"/>
        <v/>
      </c>
      <c r="BU64" s="161" t="str">
        <f t="shared" ca="1" si="18"/>
        <v/>
      </c>
      <c r="BV64" s="161" t="str">
        <f t="shared" ca="1" si="19"/>
        <v/>
      </c>
      <c r="BW64" s="308" t="str">
        <f t="shared" ca="1" si="20"/>
        <v/>
      </c>
      <c r="BX64" s="309" t="str">
        <f t="shared" ca="1" si="21"/>
        <v/>
      </c>
      <c r="BY64" s="308" t="str">
        <f t="shared" ca="1" si="51"/>
        <v/>
      </c>
      <c r="BZ64" s="309" t="str">
        <f t="shared" ca="1" si="52"/>
        <v/>
      </c>
      <c r="CA64" s="154" t="str">
        <f t="shared" ca="1" si="22"/>
        <v/>
      </c>
      <c r="CB64" s="154" t="str">
        <f t="shared" ca="1" si="23"/>
        <v/>
      </c>
      <c r="CC64" s="154" t="str">
        <f t="shared" ca="1" si="24"/>
        <v/>
      </c>
      <c r="CD64" s="154" t="str">
        <f t="shared" ca="1" si="25"/>
        <v/>
      </c>
      <c r="CE64" s="310">
        <v>1</v>
      </c>
      <c r="CF64" s="162">
        <f ca="1">IF(BD64,_xll.xCrudeAPO(BU64,BV64,CA64,CB64,S65,S66,BI64,BL64,BP64,BQ64,0,Strike1,AO64,CE64,0,BL64,IF(OptControl=4,0,1),0,1),0)</f>
        <v>0</v>
      </c>
      <c r="CG64" s="163">
        <f ca="1">IF(BD64,_xll.xCrudeAPO(BU64,BV64,CA64,CB64,S65,S66,BI64,BL64,BP64,BQ64,0,Strike1,AO64,CE64,0,BL64,IF(OptControl=4,0,1),1,1)+_xll.xCrudeAPO(BU64,BV64,CA64,CB64,S65,S66,BI64,BL64,BP64,BQ64,0,Strike1,AO64,CE64,0,BL64,IF(OptControl=4,0,1),1,2)+IF(OR(VolSkewFlag=2,ABS(BS64)&lt;0.0001),0,IF(BS64&gt;0,-1,1)*CH64*Strike1/BR64^2*BY64/10%),0)</f>
        <v>0</v>
      </c>
      <c r="CH64" s="163">
        <f ca="1">IF(BD64,(_xll.xCrudeAPO(BU64,BV64,CA64,CB64,S65,S66,BI64,BL64,BP64,BQ64,0,Strike1,AO64,CE64,0,BL64,IF(OptControl=4,0,1),3,1)+_xll.xCrudeAPO(BU64,BV64,CA64,CB64,S65,S66,BI64,BL64,BP64,BQ64,0,Strike1,AO64,CE64,0,BL64,IF(OptControl=4,0,1),3,2))/100,0)</f>
        <v>0</v>
      </c>
      <c r="CI64" s="163">
        <f ca="1">IF(BD64,_xll.xCrudeAPO(BU64,BV64,CA64,CB64,S65,S66,BI64-DaysForThetaCalculation/365.25,BL64-DaysForThetaCalculation/365.25,BP64,BQ64,0,Strike1,AO64,CE64,0,BL64,IF(OptControl=4,0,1),0,1)-_xll.xCrudeAPO(BU64,BV64,CA64,CB64,S65,S66,BI64,BL64,BP64,BQ64,0,Strike1,AO64,CE64,0,BL64,IF(OptControl=4,0,1),0,1),0)</f>
        <v>0</v>
      </c>
      <c r="CJ64" s="311">
        <f ca="1">IF(BD64,_xll.xCrudeAPO(BU64,BV64,CC64,CD64,S65,S66,BI64,BL64,BP64,BQ64,0,Strike2,AO64,CE64,0,BL64,IF(OptControl=3,1,0),0,1),0)</f>
        <v>0</v>
      </c>
      <c r="CK64" s="163">
        <f ca="1">IF(BD64,_xll.xCrudeAPO(BU64,BV64,CC64,CD64,S65,S66,BI64,BL64,BP64,BQ64,0,Strike2,AO64,CE64,0,BL64,IF(OptControl=3,1,0),1,1)+_xll.xCrudeAPO(BU64,BV64,CC64,CD64,S65,S66,BI64,BL64,BP64,BQ64,0,Strike2,AO64,CE64,0,BL64,IF(OptControl=3,1,0),1,2)+IF(OR(VolSkewFlag=2,ABS(BT64)&lt;0.0001),0,IF(BT64&gt;0,-1,1)*CL64*Strike2/BR64^2*BZ64/10%),0)</f>
        <v>0</v>
      </c>
      <c r="CL64" s="163">
        <f ca="1">IF(BD64,(_xll.xCrudeAPO(BU64,BV64,CC64,CD64,S65,S66,BI64,BL64,BP64,BQ64,0,Strike2,AO64,CE64,0,BL64,IF(OptControl=3,1,0),3,1)+_xll.xCrudeAPO(BU64,BV64,CC64,CD64,S65,S66,BI64,BL64,BP64,BQ64,0,Strike2,AO64,CE64,0,BL64,IF(OptControl=3,1,0),3,2))/100,0)</f>
        <v>0</v>
      </c>
      <c r="CM64" s="164">
        <f ca="1">IF(BD64,_xll.xCrudeAPO(BU64,BV64,CC64,CD64,S65,S66,BI64-DaysForThetaCalculation/365.25,BL64-DaysForThetaCalculation/365.25,BP64,BQ64,0,Strike2,AO64,CE64,0,BL64,IF(OptControl=3,1,0),0,1)-_xll.xCrudeAPO(BU64,BV64,CC64,CD64,S65,S66,BI64,BL64,BP64,BQ64,0,Strike2,AO64,CE64,0,BL64,IF(OptControl=3,1,0),0,1),0)</f>
        <v>0</v>
      </c>
      <c r="CN64" s="53"/>
      <c r="CO64" s="796" t="str">
        <f t="shared" ca="1" si="53"/>
        <v/>
      </c>
      <c r="CP64" s="800" t="str">
        <f t="shared" ca="1" si="54"/>
        <v/>
      </c>
      <c r="CQ64" s="797" t="str">
        <f t="shared" ca="1" si="55"/>
        <v/>
      </c>
      <c r="CR64" s="797" t="str">
        <f t="shared" ca="1" si="56"/>
        <v/>
      </c>
      <c r="CS64" s="797" t="str">
        <f t="shared" ca="1" si="57"/>
        <v/>
      </c>
      <c r="CT64" s="797" t="str">
        <f t="shared" ca="1" si="58"/>
        <v/>
      </c>
      <c r="CU64" s="798" t="str">
        <f t="shared" ca="1" si="59"/>
        <v/>
      </c>
      <c r="CV64" s="799" t="str">
        <f t="shared" ca="1" si="60"/>
        <v/>
      </c>
      <c r="CW64" s="799" t="str">
        <f t="shared" ca="1" si="61"/>
        <v/>
      </c>
      <c r="CX64" s="163">
        <f ca="1">IF(BD64,_xll.EURO(CP64,Strike1,AO64,AO64,CV64,CO64,IF(OptControl=4,0,1),0),0)</f>
        <v>0</v>
      </c>
      <c r="CY64" s="163">
        <f ca="1">IF(BD64,_xll.EURO(CP64,Strike1,AO64,AO64,CV64,CO64,IF(OptControl=4,0,1),1)+IF(OR(VolSkewFlag=2,ABS(CQ64)&lt;0.0001),0,IF(CQ64&gt;0,-1,1)*CZ64*100*Strike1/CP64^2*CS64/10%),0)</f>
        <v>0</v>
      </c>
      <c r="CZ64" s="163">
        <f ca="1">IF(BD64,_xll.EURO(CP64,Strike1,AO64,AO64,CV64,CO64,IF(OptControl=4,0,1),3)/100,0)</f>
        <v>0</v>
      </c>
      <c r="DA64" s="163">
        <f ca="1">IF(BD64,_xll.EURO(CP64,Strike1,AO64,AO64,CV64,CO64,IF(OptControl=4,0,1),0)-_xll.EURO(CP64,Strike1,AO64,AO64,CV64,CO64-1,IF(OptControl=4,0,1),0),0)</f>
        <v>0</v>
      </c>
      <c r="DB64" s="163">
        <f ca="1">IF(BD64,_xll.EURO(CP64,Strike2,AO64,AO64,CW64,CO64,IF(OptControl=3,1,0),0),0)</f>
        <v>0</v>
      </c>
      <c r="DC64" s="163">
        <f ca="1">IF(BD64,_xll.EURO(CP64,Strike2,AO64,AO64,CW64,CO64,IF(OptControl=3,1,0),1)+IF(OR(VolSkewFlag=2,ABS(CR64)&lt;0.0001),0,IF(CR64&gt;0,-1,1)*DD64*100*Strike2/CP64^2*CT64/10%),0)</f>
        <v>0</v>
      </c>
      <c r="DD64" s="163">
        <f ca="1">IF(BD64,_xll.EURO(CP64,Strike2,AO64,AO64,CW64,CO64,IF(OptControl=3,1,0),3)/100,0)</f>
        <v>0</v>
      </c>
      <c r="DE64" s="164">
        <f ca="1">IF(BD64,_xll.EURO(CP64,Strike2,AO64,AO64,CW64,CO64,IF(OptControl=3,1,0),0)-_xll.EURO(CP64,Strike2,AO64,AO64,CW64,CO64-1,IF(OptControl=3,1,0),0),0)</f>
        <v>0</v>
      </c>
      <c r="DG64" s="667">
        <f t="shared" ca="1" si="62"/>
        <v>37895</v>
      </c>
      <c r="DH64" s="475">
        <v>18.52</v>
      </c>
      <c r="DI64" s="665">
        <v>18.450434782608699</v>
      </c>
      <c r="DJ64" s="666">
        <f t="shared" ca="1" si="182"/>
        <v>37895</v>
      </c>
      <c r="DK64" s="475">
        <v>17.322795425200585</v>
      </c>
      <c r="DL64" s="665">
        <v>17.354334782608699</v>
      </c>
      <c r="DM64" s="667">
        <f t="shared" ca="1" si="183"/>
        <v>37895</v>
      </c>
      <c r="DN64" s="668">
        <f t="shared" si="184"/>
        <v>17.372795425200586</v>
      </c>
      <c r="DO64" s="667">
        <f t="shared" ca="1" si="63"/>
        <v>37895</v>
      </c>
      <c r="DP64" s="579">
        <f t="shared" si="64"/>
        <v>17.354334782608699</v>
      </c>
      <c r="DQ64" s="821">
        <v>0</v>
      </c>
      <c r="DR64" s="666">
        <f t="shared" ca="1" si="185"/>
        <v>37895</v>
      </c>
      <c r="DS64" s="669">
        <v>0.20536316548306199</v>
      </c>
      <c r="DT64" s="606">
        <v>0.20449377638789509</v>
      </c>
      <c r="DU64" s="666">
        <f t="shared" ca="1" si="186"/>
        <v>37895</v>
      </c>
      <c r="DV64" s="669">
        <v>0.20536316548306199</v>
      </c>
      <c r="DW64" s="606">
        <v>0.20449377638789509</v>
      </c>
      <c r="DX64" s="667">
        <f t="shared" ca="1" si="187"/>
        <v>37895</v>
      </c>
      <c r="DY64" s="606">
        <v>0.35000000000000908</v>
      </c>
      <c r="DZ64" s="667">
        <f t="shared" ca="1" si="65"/>
        <v>37895</v>
      </c>
      <c r="EA64" s="606">
        <f t="shared" si="66"/>
        <v>0.20449377638789509</v>
      </c>
      <c r="EB64" s="1"/>
      <c r="EC64" s="118" t="str">
        <f t="shared" ca="1" si="188"/>
        <v/>
      </c>
      <c r="ED64" s="119" t="str">
        <f t="shared" ca="1" si="33"/>
        <v/>
      </c>
      <c r="EE64" s="112" t="str">
        <f t="shared" ca="1" si="34"/>
        <v/>
      </c>
      <c r="EF64" s="120">
        <f ca="1">IF(BD64,_xll.xASN(BR64,Strike1,AO64,ED64,0,BO64,0,BI64,BL64,IF(OptControl=4,0,1),0),0)</f>
        <v>0</v>
      </c>
      <c r="EG64" s="111">
        <f ca="1">IF(BD64,_xll.xASN(BR64,Strike2,AO64,EE64,0,BO64,0,BI64,BL64,IF(OptControl=3,1,0),0),0)</f>
        <v>0</v>
      </c>
      <c r="EL64" s="55"/>
      <c r="EM64" s="1"/>
      <c r="EN64" s="697">
        <v>41094</v>
      </c>
      <c r="EO64" s="698">
        <v>44562</v>
      </c>
      <c r="EP64" s="1"/>
      <c r="EQ64" s="683" t="s">
        <v>251</v>
      </c>
      <c r="ES64" s="498">
        <v>45</v>
      </c>
      <c r="ET64" s="476">
        <f t="shared" ca="1" si="165"/>
        <v>3.6906228610540723</v>
      </c>
      <c r="EU64" s="842">
        <f t="shared" ca="1" si="189"/>
        <v>0</v>
      </c>
      <c r="EV64" s="815">
        <f t="shared" ca="1" si="269"/>
        <v>0.18850920347461189</v>
      </c>
      <c r="EW64" s="478" t="str">
        <f t="shared" ca="1" si="270"/>
        <v/>
      </c>
      <c r="EX64" s="477" t="str">
        <f t="shared" ca="1" si="271"/>
        <v/>
      </c>
      <c r="EY64" s="250">
        <v>0</v>
      </c>
      <c r="EZ64" s="605" t="str">
        <f ca="1">IF(OR(EW64="",EW65=""),"",SQRT(SUM(INDEX(FK64:ID64,SwaptionFirstMonthPosition+1):INDEX(FK64:ID64,FJ64))/SUM(INDEX($FK$15:$ID$15,SwaptionFirstMonthPosition+1):INDEX($FK$15:$ID$15,FJ64))))</f>
        <v/>
      </c>
      <c r="FA64" s="581" t="str">
        <f ca="1">IF(OR(EW64="",EW63=""),"",SQRT(SUM(INDEX(FK64:ID64,SwaptionFirstMonthPosition+1):INDEX(FK64:ID64,FJ64-1))/SUM(INDEX($FK$15:$ID$15,SwaptionFirstMonthPosition+1):INDEX($FK$15:$ID$15,FJ64-1))))</f>
        <v/>
      </c>
      <c r="FB64" s="578" t="str">
        <f t="shared" ca="1" si="190"/>
        <v/>
      </c>
      <c r="FC64" s="609" t="str">
        <f t="shared" ca="1" si="191"/>
        <v/>
      </c>
      <c r="FD64" s="579" t="str">
        <f t="shared" ca="1" si="192"/>
        <v/>
      </c>
      <c r="FE64" s="579" t="str">
        <f t="shared" ca="1" si="193"/>
        <v/>
      </c>
      <c r="FF64" s="579" t="str">
        <f t="shared" ca="1" si="194"/>
        <v/>
      </c>
      <c r="FG64" s="580" t="str">
        <f t="shared" ca="1" si="195"/>
        <v/>
      </c>
      <c r="FH64" s="606" t="str">
        <f t="shared" ca="1" si="196"/>
        <v/>
      </c>
      <c r="FI64" s="250"/>
      <c r="FJ64" s="673">
        <v>45</v>
      </c>
      <c r="FK64" s="460">
        <f t="shared" ca="1" si="197"/>
        <v>0</v>
      </c>
      <c r="FL64" s="460">
        <f t="shared" ca="1" si="198"/>
        <v>2.1951967196795095E-3</v>
      </c>
      <c r="FM64" s="460">
        <f t="shared" ca="1" si="199"/>
        <v>2.5522484482116176E-3</v>
      </c>
      <c r="FN64" s="460">
        <f t="shared" ca="1" si="200"/>
        <v>2.1489343728736286E-3</v>
      </c>
      <c r="FO64" s="460">
        <f t="shared" ca="1" si="201"/>
        <v>2.2361633524355679E-3</v>
      </c>
      <c r="FP64" s="460">
        <f t="shared" ca="1" si="202"/>
        <v>2.4791349185878421E-3</v>
      </c>
      <c r="FQ64" s="460">
        <f t="shared" ca="1" si="203"/>
        <v>2.0082906822035994E-3</v>
      </c>
      <c r="FR64" s="460">
        <f t="shared" ca="1" si="204"/>
        <v>2.0547864478826826E-3</v>
      </c>
      <c r="FS64" s="460">
        <f t="shared" ca="1" si="205"/>
        <v>2.3174396634049544E-3</v>
      </c>
      <c r="FT64" s="460">
        <f t="shared" ca="1" si="206"/>
        <v>2.0933516301890743E-3</v>
      </c>
      <c r="FU64" s="460">
        <f t="shared" ca="1" si="207"/>
        <v>2.0146583277280928E-3</v>
      </c>
      <c r="FV64" s="460">
        <f t="shared" ca="1" si="208"/>
        <v>2.2167163415659891E-3</v>
      </c>
      <c r="FW64" s="460">
        <f t="shared" ca="1" si="209"/>
        <v>2.0748157637123258E-3</v>
      </c>
      <c r="FX64" s="460">
        <f t="shared" ca="1" si="210"/>
        <v>2.2118368180872559E-3</v>
      </c>
      <c r="FY64" s="460">
        <f t="shared" ca="1" si="211"/>
        <v>2.0742021617173507E-3</v>
      </c>
      <c r="FZ64" s="460">
        <f t="shared" ca="1" si="212"/>
        <v>1.9380077571351047E-3</v>
      </c>
      <c r="GA64" s="460">
        <f t="shared" ca="1" si="213"/>
        <v>2.0802026808812491E-3</v>
      </c>
      <c r="GB64" s="460">
        <f t="shared" ca="1" si="214"/>
        <v>2.2940293917100736E-3</v>
      </c>
      <c r="GC64" s="460">
        <f t="shared" ca="1" si="215"/>
        <v>2.0225805727080767E-3</v>
      </c>
      <c r="GD64" s="460">
        <f t="shared" ca="1" si="216"/>
        <v>2.0308220768787124E-3</v>
      </c>
      <c r="GE64" s="460">
        <f t="shared" ca="1" si="217"/>
        <v>2.3223638001597983E-3</v>
      </c>
      <c r="GF64" s="460">
        <f t="shared" ca="1" si="218"/>
        <v>2.0529496634555389E-3</v>
      </c>
      <c r="GG64" s="460">
        <f t="shared" ca="1" si="219"/>
        <v>2.2812532864070201E-3</v>
      </c>
      <c r="GH64" s="460">
        <f t="shared" ca="1" si="220"/>
        <v>2.1564452296908153E-3</v>
      </c>
      <c r="GI64" s="460">
        <f t="shared" ca="1" si="221"/>
        <v>2.1049675179961752E-3</v>
      </c>
      <c r="GJ64" s="460">
        <f t="shared" ca="1" si="222"/>
        <v>2.4228761367676636E-3</v>
      </c>
      <c r="GK64" s="460">
        <f t="shared" ca="1" si="223"/>
        <v>2.2323923624346449E-3</v>
      </c>
      <c r="GL64" s="460">
        <f t="shared" ca="1" si="224"/>
        <v>2.1922312295219208E-3</v>
      </c>
      <c r="GM64" s="460">
        <f t="shared" ca="1" si="225"/>
        <v>2.3870824645669786E-3</v>
      </c>
      <c r="GN64" s="460">
        <f t="shared" ca="1" si="226"/>
        <v>2.4392989203010618E-3</v>
      </c>
      <c r="GO64" s="460">
        <f t="shared" ca="1" si="227"/>
        <v>2.5019640416217826E-3</v>
      </c>
      <c r="GP64" s="460">
        <f t="shared" ca="1" si="228"/>
        <v>2.3280534182210846E-3</v>
      </c>
      <c r="GQ64" s="460">
        <f t="shared" ca="1" si="229"/>
        <v>2.6689691164958427E-3</v>
      </c>
      <c r="GR64" s="460">
        <f t="shared" ca="1" si="230"/>
        <v>2.690753370257887E-3</v>
      </c>
      <c r="GS64" s="460">
        <f t="shared" ca="1" si="231"/>
        <v>2.9172504350298474E-3</v>
      </c>
      <c r="GT64" s="460">
        <f t="shared" ca="1" si="232"/>
        <v>2.9869832557340168E-3</v>
      </c>
      <c r="GU64" s="460">
        <f t="shared" ca="1" si="233"/>
        <v>3.2981394517747034E-3</v>
      </c>
      <c r="GV64" s="460">
        <f t="shared" ca="1" si="234"/>
        <v>3.5656934696972928E-3</v>
      </c>
      <c r="GW64" s="460">
        <f t="shared" ca="1" si="235"/>
        <v>3.7826430171559117E-3</v>
      </c>
      <c r="GX64" s="460">
        <f t="shared" ca="1" si="236"/>
        <v>4.3558416510815004E-3</v>
      </c>
      <c r="GY64" s="460">
        <f t="shared" ca="1" si="237"/>
        <v>4.7904453143539603E-3</v>
      </c>
      <c r="GZ64" s="460">
        <f t="shared" ca="1" si="238"/>
        <v>5.7587406367395491E-3</v>
      </c>
      <c r="HA64" s="460">
        <f t="shared" ca="1" si="239"/>
        <v>6.8903282314206156E-3</v>
      </c>
      <c r="HB64" s="460">
        <f t="shared" ca="1" si="240"/>
        <v>7.9782560167539641E-3</v>
      </c>
      <c r="HC64" s="460">
        <f t="shared" ca="1" si="241"/>
        <v>1.0999599692850612E-2</v>
      </c>
      <c r="HD64" s="460" t="str">
        <f t="shared" si="242"/>
        <v/>
      </c>
      <c r="HE64" s="460" t="str">
        <f t="shared" si="243"/>
        <v/>
      </c>
      <c r="HF64" s="460" t="str">
        <f t="shared" si="244"/>
        <v/>
      </c>
      <c r="HG64" s="460" t="str">
        <f t="shared" si="245"/>
        <v/>
      </c>
      <c r="HH64" s="460" t="str">
        <f t="shared" si="246"/>
        <v/>
      </c>
      <c r="HI64" s="460" t="str">
        <f t="shared" si="247"/>
        <v/>
      </c>
      <c r="HJ64" s="460" t="str">
        <f t="shared" si="248"/>
        <v/>
      </c>
      <c r="HK64" s="460" t="str">
        <f t="shared" si="249"/>
        <v/>
      </c>
      <c r="HL64" s="460" t="str">
        <f t="shared" si="250"/>
        <v/>
      </c>
      <c r="HM64" s="460" t="str">
        <f t="shared" si="251"/>
        <v/>
      </c>
      <c r="HN64" s="460" t="str">
        <f t="shared" si="252"/>
        <v/>
      </c>
      <c r="HO64" s="460" t="str">
        <f t="shared" si="253"/>
        <v/>
      </c>
      <c r="HP64" s="460" t="str">
        <f t="shared" si="254"/>
        <v/>
      </c>
      <c r="HQ64" s="460" t="str">
        <f t="shared" si="255"/>
        <v/>
      </c>
      <c r="HR64" s="460" t="str">
        <f t="shared" si="256"/>
        <v/>
      </c>
      <c r="HS64" s="460" t="str">
        <f t="shared" si="257"/>
        <v/>
      </c>
      <c r="HT64" s="460" t="str">
        <f t="shared" si="258"/>
        <v/>
      </c>
      <c r="HU64" s="460" t="str">
        <f t="shared" si="259"/>
        <v/>
      </c>
      <c r="HV64" s="460" t="str">
        <f t="shared" si="260"/>
        <v/>
      </c>
      <c r="HW64" s="460" t="str">
        <f t="shared" si="261"/>
        <v/>
      </c>
      <c r="HX64" s="460" t="str">
        <f t="shared" si="262"/>
        <v/>
      </c>
      <c r="HY64" s="460" t="str">
        <f t="shared" si="263"/>
        <v/>
      </c>
      <c r="HZ64" s="460" t="str">
        <f t="shared" si="264"/>
        <v/>
      </c>
      <c r="IA64" s="460" t="str">
        <f t="shared" si="265"/>
        <v/>
      </c>
      <c r="IB64" s="460" t="str">
        <f t="shared" si="266"/>
        <v/>
      </c>
      <c r="IC64" s="460" t="str">
        <f t="shared" si="267"/>
        <v/>
      </c>
      <c r="ID64" s="674" t="str">
        <f t="shared" si="268"/>
        <v/>
      </c>
      <c r="IE64" s="250"/>
    </row>
    <row r="65" spans="1:239">
      <c r="A65" s="53"/>
      <c r="F65" s="53"/>
      <c r="G65" s="53"/>
      <c r="H65" s="51">
        <f t="shared" ca="1" si="35"/>
        <v>0</v>
      </c>
      <c r="I65" s="379">
        <f t="shared" si="36"/>
        <v>38139</v>
      </c>
      <c r="J65" s="377"/>
      <c r="K65" s="104" t="s">
        <v>269</v>
      </c>
      <c r="L65" s="392">
        <f t="shared" si="37"/>
        <v>0</v>
      </c>
      <c r="M65" s="171"/>
      <c r="N65" s="382">
        <v>0</v>
      </c>
      <c r="O65" s="171">
        <f t="shared" si="38"/>
        <v>0</v>
      </c>
      <c r="P65" s="377"/>
      <c r="Q65" s="104" t="s">
        <v>268</v>
      </c>
      <c r="R65" s="377">
        <f t="shared" ca="1" si="148"/>
        <v>-1.5203931243581588</v>
      </c>
      <c r="S65" s="832">
        <f t="shared" si="164"/>
        <v>0.36000012727865593</v>
      </c>
      <c r="T65" s="831">
        <f t="shared" si="149"/>
        <v>0.99990248681869798</v>
      </c>
      <c r="U65" s="545">
        <f t="shared" si="150"/>
        <v>0.99999996420287796</v>
      </c>
      <c r="V65" s="389">
        <v>0</v>
      </c>
      <c r="W65" s="434">
        <f t="shared" si="166"/>
        <v>0</v>
      </c>
      <c r="X65" s="415">
        <f t="shared" si="167"/>
        <v>0</v>
      </c>
      <c r="Y65" s="322">
        <f t="shared" si="168"/>
        <v>-1.2284999999999999</v>
      </c>
      <c r="Z65" s="322">
        <f t="shared" ca="1" si="169"/>
        <v>-1.2284999999999999</v>
      </c>
      <c r="AA65" s="429">
        <f t="shared" si="1"/>
        <v>1.2284999999999999</v>
      </c>
      <c r="AB65" s="433">
        <f t="shared" ca="1" si="2"/>
        <v>1.2284999999999999</v>
      </c>
      <c r="AC65" s="229">
        <v>38127</v>
      </c>
      <c r="AD65" s="229">
        <v>38123</v>
      </c>
      <c r="AE65" s="229">
        <v>38122</v>
      </c>
      <c r="AF65" s="229">
        <v>38118</v>
      </c>
      <c r="AG65" s="249" t="s">
        <v>90</v>
      </c>
      <c r="AH65" s="247" t="s">
        <v>499</v>
      </c>
      <c r="AI65" s="146">
        <v>22</v>
      </c>
      <c r="AJ65" s="41">
        <v>14</v>
      </c>
      <c r="AK65" s="41">
        <v>8</v>
      </c>
      <c r="AL65" s="293">
        <v>22</v>
      </c>
      <c r="AM65" s="41">
        <v>10</v>
      </c>
      <c r="AN65" s="147">
        <v>12</v>
      </c>
      <c r="AO65" s="374"/>
      <c r="AP65" s="153">
        <f t="shared" ca="1" si="43"/>
        <v>1</v>
      </c>
      <c r="AQ65" s="374"/>
      <c r="AR65" s="153">
        <f t="shared" ca="1" si="151"/>
        <v>1</v>
      </c>
      <c r="AS65" s="272">
        <f t="shared" si="170"/>
        <v>0</v>
      </c>
      <c r="AT65" s="157">
        <f t="shared" si="44"/>
        <v>0</v>
      </c>
      <c r="AU65" s="157">
        <f t="shared" si="4"/>
        <v>0</v>
      </c>
      <c r="AV65" s="271">
        <f t="shared" ca="1" si="163"/>
        <v>9.9999999999999995E-7</v>
      </c>
      <c r="AW65" s="158" t="str">
        <f t="shared" ca="1" si="171"/>
        <v/>
      </c>
      <c r="AX65" s="157">
        <f t="shared" ca="1" si="152"/>
        <v>5.5979865483467171E-3</v>
      </c>
      <c r="AY65" s="157">
        <f t="shared" ca="1" si="153"/>
        <v>3.2104692859161415E-3</v>
      </c>
      <c r="AZ65" s="157">
        <f t="shared" ca="1" si="154"/>
        <v>1.0863164613094593E-3</v>
      </c>
      <c r="BA65" s="157">
        <f t="shared" ca="1" si="155"/>
        <v>1.3578955766368241E-4</v>
      </c>
      <c r="BB65" s="157">
        <f t="shared" ca="1" si="156"/>
        <v>6.3345676433937628E-5</v>
      </c>
      <c r="BC65" s="157">
        <f t="shared" ca="1" si="157"/>
        <v>3.6877607940997375E-5</v>
      </c>
      <c r="BD65" s="151">
        <f t="shared" ca="1" si="172"/>
        <v>0</v>
      </c>
      <c r="BE65" s="152">
        <f t="shared" ca="1" si="173"/>
        <v>0</v>
      </c>
      <c r="BF65" s="40">
        <f t="shared" si="174"/>
        <v>2004</v>
      </c>
      <c r="BG65" s="144">
        <f t="shared" si="175"/>
        <v>6</v>
      </c>
      <c r="BH65" s="145">
        <f t="shared" ca="1" si="176"/>
        <v>1378</v>
      </c>
      <c r="BI65" s="313">
        <f t="shared" ca="1" si="177"/>
        <v>3.8165639972621492</v>
      </c>
      <c r="BJ65" s="42">
        <f t="shared" ca="1" si="10"/>
        <v>3.8670897890610414</v>
      </c>
      <c r="BK65" s="42">
        <f t="shared" ca="1" si="178"/>
        <v>3.8698276398481735</v>
      </c>
      <c r="BL65" s="42">
        <f t="shared" ca="1" si="179"/>
        <v>3.8959616700889801</v>
      </c>
      <c r="BM65" s="150" t="e">
        <f t="shared" ca="1" si="13"/>
        <v>#DIV/0!</v>
      </c>
      <c r="BN65" s="42" t="e">
        <f t="shared" ca="1" si="14"/>
        <v>#DIV/0!</v>
      </c>
      <c r="BO65" s="293">
        <f t="shared" si="48"/>
        <v>22</v>
      </c>
      <c r="BP65" s="41">
        <f t="shared" si="49"/>
        <v>14</v>
      </c>
      <c r="BQ65" s="41">
        <f t="shared" si="50"/>
        <v>8</v>
      </c>
      <c r="BR65" s="305" t="str">
        <f t="shared" ca="1" si="15"/>
        <v/>
      </c>
      <c r="BS65" s="305" t="str">
        <f t="shared" ca="1" si="180"/>
        <v/>
      </c>
      <c r="BT65" s="307" t="str">
        <f t="shared" ca="1" si="181"/>
        <v/>
      </c>
      <c r="BU65" s="161" t="str">
        <f t="shared" ca="1" si="18"/>
        <v/>
      </c>
      <c r="BV65" s="161" t="str">
        <f t="shared" ca="1" si="19"/>
        <v/>
      </c>
      <c r="BW65" s="308" t="str">
        <f t="shared" ca="1" si="20"/>
        <v/>
      </c>
      <c r="BX65" s="309" t="str">
        <f t="shared" ca="1" si="21"/>
        <v/>
      </c>
      <c r="BY65" s="308" t="str">
        <f t="shared" ca="1" si="51"/>
        <v/>
      </c>
      <c r="BZ65" s="309" t="str">
        <f t="shared" ca="1" si="52"/>
        <v/>
      </c>
      <c r="CA65" s="154" t="str">
        <f t="shared" ca="1" si="22"/>
        <v/>
      </c>
      <c r="CB65" s="154" t="str">
        <f t="shared" ca="1" si="23"/>
        <v/>
      </c>
      <c r="CC65" s="154" t="str">
        <f t="shared" ca="1" si="24"/>
        <v/>
      </c>
      <c r="CD65" s="154" t="str">
        <f t="shared" ca="1" si="25"/>
        <v/>
      </c>
      <c r="CE65" s="310">
        <v>1</v>
      </c>
      <c r="CF65" s="162">
        <f ca="1">IF(BD65,_xll.xCrudeAPO(BU65,BV65,CA65,CB65,S66,S67,BI65,BL65,BP65,BQ65,0,Strike1,AO65,CE65,0,BL65,IF(OptControl=4,0,1),0,1),0)</f>
        <v>0</v>
      </c>
      <c r="CG65" s="163">
        <f ca="1">IF(BD65,_xll.xCrudeAPO(BU65,BV65,CA65,CB65,S66,S67,BI65,BL65,BP65,BQ65,0,Strike1,AO65,CE65,0,BL65,IF(OptControl=4,0,1),1,1)+_xll.xCrudeAPO(BU65,BV65,CA65,CB65,S66,S67,BI65,BL65,BP65,BQ65,0,Strike1,AO65,CE65,0,BL65,IF(OptControl=4,0,1),1,2)+IF(OR(VolSkewFlag=2,ABS(BS65)&lt;0.0001),0,IF(BS65&gt;0,-1,1)*CH65*Strike1/BR65^2*BY65/10%),0)</f>
        <v>0</v>
      </c>
      <c r="CH65" s="163">
        <f ca="1">IF(BD65,(_xll.xCrudeAPO(BU65,BV65,CA65,CB65,S66,S67,BI65,BL65,BP65,BQ65,0,Strike1,AO65,CE65,0,BL65,IF(OptControl=4,0,1),3,1)+_xll.xCrudeAPO(BU65,BV65,CA65,CB65,S66,S67,BI65,BL65,BP65,BQ65,0,Strike1,AO65,CE65,0,BL65,IF(OptControl=4,0,1),3,2))/100,0)</f>
        <v>0</v>
      </c>
      <c r="CI65" s="163">
        <f ca="1">IF(BD65,_xll.xCrudeAPO(BU65,BV65,CA65,CB65,S66,S67,BI65-DaysForThetaCalculation/365.25,BL65-DaysForThetaCalculation/365.25,BP65,BQ65,0,Strike1,AO65,CE65,0,BL65,IF(OptControl=4,0,1),0,1)-_xll.xCrudeAPO(BU65,BV65,CA65,CB65,S66,S67,BI65,BL65,BP65,BQ65,0,Strike1,AO65,CE65,0,BL65,IF(OptControl=4,0,1),0,1),0)</f>
        <v>0</v>
      </c>
      <c r="CJ65" s="311">
        <f ca="1">IF(BD65,_xll.xCrudeAPO(BU65,BV65,CC65,CD65,S66,S67,BI65,BL65,BP65,BQ65,0,Strike2,AO65,CE65,0,BL65,IF(OptControl=3,1,0),0,1),0)</f>
        <v>0</v>
      </c>
      <c r="CK65" s="163">
        <f ca="1">IF(BD65,_xll.xCrudeAPO(BU65,BV65,CC65,CD65,S66,S67,BI65,BL65,BP65,BQ65,0,Strike2,AO65,CE65,0,BL65,IF(OptControl=3,1,0),1,1)+_xll.xCrudeAPO(BU65,BV65,CC65,CD65,S66,S67,BI65,BL65,BP65,BQ65,0,Strike2,AO65,CE65,0,BL65,IF(OptControl=3,1,0),1,2)+IF(OR(VolSkewFlag=2,ABS(BT65)&lt;0.0001),0,IF(BT65&gt;0,-1,1)*CL65*Strike2/BR65^2*BZ65/10%),0)</f>
        <v>0</v>
      </c>
      <c r="CL65" s="163">
        <f ca="1">IF(BD65,(_xll.xCrudeAPO(BU65,BV65,CC65,CD65,S66,S67,BI65,BL65,BP65,BQ65,0,Strike2,AO65,CE65,0,BL65,IF(OptControl=3,1,0),3,1)+_xll.xCrudeAPO(BU65,BV65,CC65,CD65,S66,S67,BI65,BL65,BP65,BQ65,0,Strike2,AO65,CE65,0,BL65,IF(OptControl=3,1,0),3,2))/100,0)</f>
        <v>0</v>
      </c>
      <c r="CM65" s="164">
        <f ca="1">IF(BD65,_xll.xCrudeAPO(BU65,BV65,CC65,CD65,S66,S67,BI65-DaysForThetaCalculation/365.25,BL65-DaysForThetaCalculation/365.25,BP65,BQ65,0,Strike2,AO65,CE65,0,BL65,IF(OptControl=3,1,0),0,1)-_xll.xCrudeAPO(BU65,BV65,CC65,CD65,S66,S67,BI65,BL65,BP65,BQ65,0,Strike2,AO65,CE65,0,BL65,IF(OptControl=3,1,0),0,1),0)</f>
        <v>0</v>
      </c>
      <c r="CN65" s="53"/>
      <c r="CO65" s="796" t="str">
        <f t="shared" ca="1" si="53"/>
        <v/>
      </c>
      <c r="CP65" s="800" t="str">
        <f t="shared" ca="1" si="54"/>
        <v/>
      </c>
      <c r="CQ65" s="797" t="str">
        <f t="shared" ca="1" si="55"/>
        <v/>
      </c>
      <c r="CR65" s="797" t="str">
        <f t="shared" ca="1" si="56"/>
        <v/>
      </c>
      <c r="CS65" s="797" t="str">
        <f t="shared" ca="1" si="57"/>
        <v/>
      </c>
      <c r="CT65" s="797" t="str">
        <f t="shared" ca="1" si="58"/>
        <v/>
      </c>
      <c r="CU65" s="798" t="str">
        <f t="shared" ca="1" si="59"/>
        <v/>
      </c>
      <c r="CV65" s="799" t="str">
        <f t="shared" ca="1" si="60"/>
        <v/>
      </c>
      <c r="CW65" s="799" t="str">
        <f t="shared" ca="1" si="61"/>
        <v/>
      </c>
      <c r="CX65" s="163">
        <f ca="1">IF(BD65,_xll.EURO(CP65,Strike1,AO65,AO65,CV65,CO65,IF(OptControl=4,0,1),0),0)</f>
        <v>0</v>
      </c>
      <c r="CY65" s="163">
        <f ca="1">IF(BD65,_xll.EURO(CP65,Strike1,AO65,AO65,CV65,CO65,IF(OptControl=4,0,1),1)+IF(OR(VolSkewFlag=2,ABS(CQ65)&lt;0.0001),0,IF(CQ65&gt;0,-1,1)*CZ65*100*Strike1/CP65^2*CS65/10%),0)</f>
        <v>0</v>
      </c>
      <c r="CZ65" s="163">
        <f ca="1">IF(BD65,_xll.EURO(CP65,Strike1,AO65,AO65,CV65,CO65,IF(OptControl=4,0,1),3)/100,0)</f>
        <v>0</v>
      </c>
      <c r="DA65" s="163">
        <f ca="1">IF(BD65,_xll.EURO(CP65,Strike1,AO65,AO65,CV65,CO65,IF(OptControl=4,0,1),0)-_xll.EURO(CP65,Strike1,AO65,AO65,CV65,CO65-1,IF(OptControl=4,0,1),0),0)</f>
        <v>0</v>
      </c>
      <c r="DB65" s="163">
        <f ca="1">IF(BD65,_xll.EURO(CP65,Strike2,AO65,AO65,CW65,CO65,IF(OptControl=3,1,0),0),0)</f>
        <v>0</v>
      </c>
      <c r="DC65" s="163">
        <f ca="1">IF(BD65,_xll.EURO(CP65,Strike2,AO65,AO65,CW65,CO65,IF(OptControl=3,1,0),1)+IF(OR(VolSkewFlag=2,ABS(CR65)&lt;0.0001),0,IF(CR65&gt;0,-1,1)*DD65*100*Strike2/CP65^2*CT65/10%),0)</f>
        <v>0</v>
      </c>
      <c r="DD65" s="163">
        <f ca="1">IF(BD65,_xll.EURO(CP65,Strike2,AO65,AO65,CW65,CO65,IF(OptControl=3,1,0),3)/100,0)</f>
        <v>0</v>
      </c>
      <c r="DE65" s="164">
        <f ca="1">IF(BD65,_xll.EURO(CP65,Strike2,AO65,AO65,CW65,CO65,IF(OptControl=3,1,0),0)-_xll.EURO(CP65,Strike2,AO65,AO65,CW65,CO65-1,IF(OptControl=3,1,0),0),0)</f>
        <v>0</v>
      </c>
      <c r="DG65" s="667">
        <f t="shared" ca="1" si="62"/>
        <v>37926</v>
      </c>
      <c r="DH65" s="475">
        <v>18.47</v>
      </c>
      <c r="DI65" s="665">
        <v>18.418500000000002</v>
      </c>
      <c r="DJ65" s="666">
        <f t="shared" ca="1" si="182"/>
        <v>37926</v>
      </c>
      <c r="DK65" s="475">
        <v>17.35468714566618</v>
      </c>
      <c r="DL65" s="665">
        <v>17.322400000000002</v>
      </c>
      <c r="DM65" s="667">
        <f t="shared" ca="1" si="183"/>
        <v>37926</v>
      </c>
      <c r="DN65" s="668">
        <f t="shared" si="184"/>
        <v>17.40468714566618</v>
      </c>
      <c r="DO65" s="667">
        <f t="shared" ca="1" si="63"/>
        <v>37926</v>
      </c>
      <c r="DP65" s="579">
        <f t="shared" si="64"/>
        <v>17.322400000000002</v>
      </c>
      <c r="DQ65" s="821">
        <v>0</v>
      </c>
      <c r="DR65" s="666">
        <f t="shared" ca="1" si="185"/>
        <v>37926</v>
      </c>
      <c r="DS65" s="669">
        <v>0.20503941889569802</v>
      </c>
      <c r="DT65" s="606">
        <v>0.20296739100815606</v>
      </c>
      <c r="DU65" s="666">
        <f t="shared" ca="1" si="186"/>
        <v>37926</v>
      </c>
      <c r="DV65" s="669">
        <v>0.20503941889569802</v>
      </c>
      <c r="DW65" s="606">
        <v>0.20296739100815606</v>
      </c>
      <c r="DX65" s="667">
        <f t="shared" ca="1" si="187"/>
        <v>37926</v>
      </c>
      <c r="DY65" s="606">
        <v>0.35000000000000453</v>
      </c>
      <c r="DZ65" s="667">
        <f t="shared" ca="1" si="65"/>
        <v>37926</v>
      </c>
      <c r="EA65" s="606">
        <f t="shared" si="66"/>
        <v>0.20296739100815606</v>
      </c>
      <c r="EB65" s="1"/>
      <c r="EC65" s="118" t="str">
        <f t="shared" ca="1" si="188"/>
        <v/>
      </c>
      <c r="ED65" s="119" t="str">
        <f t="shared" ca="1" si="33"/>
        <v/>
      </c>
      <c r="EE65" s="112" t="str">
        <f t="shared" ca="1" si="34"/>
        <v/>
      </c>
      <c r="EF65" s="120">
        <f ca="1">IF(BD65,_xll.xASN(BR65,Strike1,AO65,ED65,0,BO65,0,BI65,BL65,IF(OptControl=4,0,1),0),0)</f>
        <v>0</v>
      </c>
      <c r="EG65" s="111">
        <f ca="1">IF(BD65,_xll.xASN(BR65,Strike2,AO65,EE65,0,BO65,0,BI65,BL65,IF(OptControl=3,1,0),0),0)</f>
        <v>0</v>
      </c>
      <c r="EL65" s="55"/>
      <c r="EM65" s="1"/>
      <c r="EN65" s="697">
        <v>41268</v>
      </c>
      <c r="EO65" s="698">
        <v>44920</v>
      </c>
      <c r="EP65" s="1"/>
      <c r="EQ65" s="683" t="s">
        <v>252</v>
      </c>
      <c r="ES65" s="498">
        <v>46</v>
      </c>
      <c r="ET65" s="476">
        <f t="shared" ca="1" si="165"/>
        <v>3.7727583846680357</v>
      </c>
      <c r="EU65" s="842">
        <f t="shared" ca="1" si="189"/>
        <v>0</v>
      </c>
      <c r="EV65" s="815">
        <f t="shared" ca="1" si="269"/>
        <v>0.18779664227026069</v>
      </c>
      <c r="EW65" s="478" t="str">
        <f t="shared" ca="1" si="270"/>
        <v/>
      </c>
      <c r="EX65" s="477" t="str">
        <f t="shared" ca="1" si="271"/>
        <v/>
      </c>
      <c r="EY65" s="250">
        <v>0</v>
      </c>
      <c r="EZ65" s="605" t="str">
        <f ca="1">IF(OR(EW65="",EW66=""),"",SQRT(SUM(INDEX(FK65:ID65,SwaptionFirstMonthPosition+1):INDEX(FK65:ID65,FJ65))/SUM(INDEX($FK$15:$ID$15,SwaptionFirstMonthPosition+1):INDEX($FK$15:$ID$15,FJ65))))</f>
        <v/>
      </c>
      <c r="FA65" s="581" t="str">
        <f ca="1">IF(OR(EW65="",EW64=""),"",SQRT(SUM(INDEX(FK65:ID65,SwaptionFirstMonthPosition+1):INDEX(FK65:ID65,FJ65-1))/SUM(INDEX($FK$15:$ID$15,SwaptionFirstMonthPosition+1):INDEX($FK$15:$ID$15,FJ65-1))))</f>
        <v/>
      </c>
      <c r="FB65" s="578" t="str">
        <f t="shared" ca="1" si="190"/>
        <v/>
      </c>
      <c r="FC65" s="609" t="str">
        <f t="shared" ca="1" si="191"/>
        <v/>
      </c>
      <c r="FD65" s="579" t="str">
        <f t="shared" ca="1" si="192"/>
        <v/>
      </c>
      <c r="FE65" s="579" t="str">
        <f t="shared" ca="1" si="193"/>
        <v/>
      </c>
      <c r="FF65" s="579" t="str">
        <f t="shared" ca="1" si="194"/>
        <v/>
      </c>
      <c r="FG65" s="580" t="str">
        <f t="shared" ca="1" si="195"/>
        <v/>
      </c>
      <c r="FH65" s="606" t="str">
        <f t="shared" ca="1" si="196"/>
        <v/>
      </c>
      <c r="FI65" s="250"/>
      <c r="FJ65" s="673">
        <v>46</v>
      </c>
      <c r="FK65" s="460">
        <f t="shared" ca="1" si="197"/>
        <v>0</v>
      </c>
      <c r="FL65" s="460">
        <f t="shared" ca="1" si="198"/>
        <v>2.1946112105774886E-3</v>
      </c>
      <c r="FM65" s="460">
        <f t="shared" ca="1" si="199"/>
        <v>2.5514522576234855E-3</v>
      </c>
      <c r="FN65" s="460">
        <f t="shared" ca="1" si="200"/>
        <v>2.1481503095686447E-3</v>
      </c>
      <c r="FO65" s="460">
        <f t="shared" ca="1" si="201"/>
        <v>2.2352090953634105E-3</v>
      </c>
      <c r="FP65" s="460">
        <f t="shared" ca="1" si="202"/>
        <v>2.4778975590530488E-3</v>
      </c>
      <c r="FQ65" s="460">
        <f t="shared" ca="1" si="203"/>
        <v>2.0071183351254747E-3</v>
      </c>
      <c r="FR65" s="460">
        <f t="shared" ca="1" si="204"/>
        <v>2.0533835365932232E-3</v>
      </c>
      <c r="FS65" s="460">
        <f t="shared" ca="1" si="205"/>
        <v>2.3155890920375484E-3</v>
      </c>
      <c r="FT65" s="460">
        <f t="shared" ca="1" si="206"/>
        <v>2.0913965099437653E-3</v>
      </c>
      <c r="FU65" s="460">
        <f t="shared" ca="1" si="207"/>
        <v>2.0124575986767293E-3</v>
      </c>
      <c r="FV65" s="460">
        <f t="shared" ca="1" si="208"/>
        <v>2.2138842376706776E-3</v>
      </c>
      <c r="FW65" s="460">
        <f t="shared" ca="1" si="209"/>
        <v>2.0717154011597634E-3</v>
      </c>
      <c r="FX65" s="460">
        <f t="shared" ca="1" si="210"/>
        <v>2.2079711913898553E-3</v>
      </c>
      <c r="FY65" s="460">
        <f t="shared" ca="1" si="211"/>
        <v>2.0699622989803082E-3</v>
      </c>
      <c r="FZ65" s="460">
        <f t="shared" ca="1" si="212"/>
        <v>1.9333744604480422E-3</v>
      </c>
      <c r="GA65" s="460">
        <f t="shared" ca="1" si="213"/>
        <v>2.0743860147507485E-3</v>
      </c>
      <c r="GB65" s="460">
        <f t="shared" ca="1" si="214"/>
        <v>2.2865269721449085E-3</v>
      </c>
      <c r="GC65" s="460">
        <f t="shared" ca="1" si="215"/>
        <v>2.0148441162290156E-3</v>
      </c>
      <c r="GD65" s="460">
        <f t="shared" ca="1" si="216"/>
        <v>2.0217367194727705E-3</v>
      </c>
      <c r="GE65" s="460">
        <f t="shared" ca="1" si="217"/>
        <v>2.3102121773842799E-3</v>
      </c>
      <c r="GF65" s="460">
        <f t="shared" ca="1" si="218"/>
        <v>2.0403860023791788E-3</v>
      </c>
      <c r="GG65" s="460">
        <f t="shared" ca="1" si="219"/>
        <v>2.2649248235043604E-3</v>
      </c>
      <c r="GH65" s="460">
        <f t="shared" ca="1" si="220"/>
        <v>2.1383924486818862E-3</v>
      </c>
      <c r="GI65" s="460">
        <f t="shared" ca="1" si="221"/>
        <v>2.0843571870443082E-3</v>
      </c>
      <c r="GJ65" s="460">
        <f t="shared" ca="1" si="222"/>
        <v>2.3951298631463406E-3</v>
      </c>
      <c r="GK65" s="460">
        <f t="shared" ca="1" si="223"/>
        <v>2.2024919027229871E-3</v>
      </c>
      <c r="GL65" s="460">
        <f t="shared" ca="1" si="224"/>
        <v>2.1578890714399803E-3</v>
      </c>
      <c r="GM65" s="460">
        <f t="shared" ca="1" si="225"/>
        <v>2.3433461151505896E-3</v>
      </c>
      <c r="GN65" s="460">
        <f t="shared" ca="1" si="226"/>
        <v>2.3870263305592982E-3</v>
      </c>
      <c r="GO65" s="460">
        <f t="shared" ca="1" si="227"/>
        <v>2.4392558982948339E-3</v>
      </c>
      <c r="GP65" s="460">
        <f t="shared" ca="1" si="228"/>
        <v>2.2598085962682994E-3</v>
      </c>
      <c r="GQ65" s="460">
        <f t="shared" ca="1" si="229"/>
        <v>2.5774621417600022E-3</v>
      </c>
      <c r="GR65" s="460">
        <f t="shared" ca="1" si="230"/>
        <v>2.5828541199111482E-3</v>
      </c>
      <c r="GS65" s="460">
        <f t="shared" ca="1" si="231"/>
        <v>2.7804296326580089E-3</v>
      </c>
      <c r="GT65" s="460">
        <f t="shared" ca="1" si="232"/>
        <v>2.8231337660723009E-3</v>
      </c>
      <c r="GU65" s="460">
        <f t="shared" ca="1" si="233"/>
        <v>3.0865396752215819E-3</v>
      </c>
      <c r="GV65" s="460">
        <f t="shared" ca="1" si="234"/>
        <v>3.2981316868289233E-3</v>
      </c>
      <c r="GW65" s="460">
        <f t="shared" ca="1" si="235"/>
        <v>3.450665006656009E-3</v>
      </c>
      <c r="GX65" s="460">
        <f t="shared" ca="1" si="236"/>
        <v>3.9087259413168587E-3</v>
      </c>
      <c r="GY65" s="460">
        <f t="shared" ca="1" si="237"/>
        <v>4.2153264432406761E-3</v>
      </c>
      <c r="GZ65" s="460">
        <f t="shared" ca="1" si="238"/>
        <v>4.9501231373295937E-3</v>
      </c>
      <c r="HA65" s="460">
        <f t="shared" ca="1" si="239"/>
        <v>5.758737419339916E-3</v>
      </c>
      <c r="HB65" s="460">
        <f t="shared" ca="1" si="240"/>
        <v>6.4457882252266681E-3</v>
      </c>
      <c r="HC65" s="460">
        <f t="shared" ca="1" si="241"/>
        <v>8.5284778894044629E-3</v>
      </c>
      <c r="HD65" s="460">
        <f t="shared" ca="1" si="242"/>
        <v>1.06447713873223E-2</v>
      </c>
      <c r="HE65" s="460" t="str">
        <f t="shared" si="243"/>
        <v/>
      </c>
      <c r="HF65" s="460" t="str">
        <f t="shared" si="244"/>
        <v/>
      </c>
      <c r="HG65" s="460" t="str">
        <f t="shared" si="245"/>
        <v/>
      </c>
      <c r="HH65" s="460" t="str">
        <f t="shared" si="246"/>
        <v/>
      </c>
      <c r="HI65" s="460" t="str">
        <f t="shared" si="247"/>
        <v/>
      </c>
      <c r="HJ65" s="460" t="str">
        <f t="shared" si="248"/>
        <v/>
      </c>
      <c r="HK65" s="460" t="str">
        <f t="shared" si="249"/>
        <v/>
      </c>
      <c r="HL65" s="460" t="str">
        <f t="shared" si="250"/>
        <v/>
      </c>
      <c r="HM65" s="460" t="str">
        <f t="shared" si="251"/>
        <v/>
      </c>
      <c r="HN65" s="460" t="str">
        <f t="shared" si="252"/>
        <v/>
      </c>
      <c r="HO65" s="460" t="str">
        <f t="shared" si="253"/>
        <v/>
      </c>
      <c r="HP65" s="460" t="str">
        <f t="shared" si="254"/>
        <v/>
      </c>
      <c r="HQ65" s="460" t="str">
        <f t="shared" si="255"/>
        <v/>
      </c>
      <c r="HR65" s="460" t="str">
        <f t="shared" si="256"/>
        <v/>
      </c>
      <c r="HS65" s="460" t="str">
        <f t="shared" si="257"/>
        <v/>
      </c>
      <c r="HT65" s="460" t="str">
        <f t="shared" si="258"/>
        <v/>
      </c>
      <c r="HU65" s="460" t="str">
        <f t="shared" si="259"/>
        <v/>
      </c>
      <c r="HV65" s="460" t="str">
        <f t="shared" si="260"/>
        <v/>
      </c>
      <c r="HW65" s="460" t="str">
        <f t="shared" si="261"/>
        <v/>
      </c>
      <c r="HX65" s="460" t="str">
        <f t="shared" si="262"/>
        <v/>
      </c>
      <c r="HY65" s="460" t="str">
        <f t="shared" si="263"/>
        <v/>
      </c>
      <c r="HZ65" s="460" t="str">
        <f t="shared" si="264"/>
        <v/>
      </c>
      <c r="IA65" s="460" t="str">
        <f t="shared" si="265"/>
        <v/>
      </c>
      <c r="IB65" s="460" t="str">
        <f t="shared" si="266"/>
        <v/>
      </c>
      <c r="IC65" s="460" t="str">
        <f t="shared" si="267"/>
        <v/>
      </c>
      <c r="ID65" s="674" t="str">
        <f t="shared" si="268"/>
        <v/>
      </c>
      <c r="IE65" s="250"/>
    </row>
    <row r="66" spans="1:239">
      <c r="A66" s="53"/>
      <c r="F66" s="53"/>
      <c r="G66" s="53"/>
      <c r="H66" s="51">
        <f t="shared" ca="1" si="35"/>
        <v>0</v>
      </c>
      <c r="I66" s="379">
        <f t="shared" si="36"/>
        <v>38169</v>
      </c>
      <c r="J66" s="377"/>
      <c r="K66" s="104" t="s">
        <v>269</v>
      </c>
      <c r="L66" s="392">
        <f t="shared" si="37"/>
        <v>0</v>
      </c>
      <c r="M66" s="171"/>
      <c r="N66" s="382">
        <v>0</v>
      </c>
      <c r="O66" s="171">
        <f t="shared" si="38"/>
        <v>0</v>
      </c>
      <c r="P66" s="377"/>
      <c r="Q66" s="104" t="s">
        <v>268</v>
      </c>
      <c r="R66" s="377">
        <f t="shared" ca="1" si="148"/>
        <v>-0.96314261421985536</v>
      </c>
      <c r="S66" s="832">
        <f t="shared" si="164"/>
        <v>0.36000009545899192</v>
      </c>
      <c r="T66" s="831">
        <f t="shared" si="149"/>
        <v>0.99991662869822351</v>
      </c>
      <c r="U66" s="545">
        <f t="shared" si="150"/>
        <v>0.99999997315215849</v>
      </c>
      <c r="V66" s="389">
        <v>0</v>
      </c>
      <c r="W66" s="434">
        <f t="shared" si="166"/>
        <v>0</v>
      </c>
      <c r="X66" s="415">
        <f t="shared" si="167"/>
        <v>0</v>
      </c>
      <c r="Y66" s="322">
        <f t="shared" si="168"/>
        <v>-1.2051000000000001</v>
      </c>
      <c r="Z66" s="322">
        <f t="shared" ca="1" si="169"/>
        <v>-1.2051000000000001</v>
      </c>
      <c r="AA66" s="429">
        <f t="shared" si="1"/>
        <v>1.2051000000000001</v>
      </c>
      <c r="AB66" s="433">
        <f t="shared" ca="1" si="2"/>
        <v>1.2051000000000001</v>
      </c>
      <c r="AC66" s="229">
        <v>38158</v>
      </c>
      <c r="AD66" s="229">
        <v>38154</v>
      </c>
      <c r="AE66" s="229">
        <v>38153</v>
      </c>
      <c r="AF66" s="229">
        <v>38149</v>
      </c>
      <c r="AG66" s="249" t="s">
        <v>90</v>
      </c>
      <c r="AH66" s="247" t="s">
        <v>499</v>
      </c>
      <c r="AI66" s="146">
        <v>22</v>
      </c>
      <c r="AJ66" s="41">
        <v>14</v>
      </c>
      <c r="AK66" s="41">
        <v>8</v>
      </c>
      <c r="AL66" s="293">
        <v>22</v>
      </c>
      <c r="AM66" s="41">
        <v>10</v>
      </c>
      <c r="AN66" s="147">
        <v>12</v>
      </c>
      <c r="AO66" s="374"/>
      <c r="AP66" s="153">
        <f t="shared" ca="1" si="43"/>
        <v>1</v>
      </c>
      <c r="AQ66" s="374"/>
      <c r="AR66" s="153">
        <f t="shared" ca="1" si="151"/>
        <v>1</v>
      </c>
      <c r="AS66" s="272">
        <f t="shared" si="170"/>
        <v>0</v>
      </c>
      <c r="AT66" s="157">
        <f t="shared" si="44"/>
        <v>0</v>
      </c>
      <c r="AU66" s="157">
        <f t="shared" si="4"/>
        <v>0</v>
      </c>
      <c r="AV66" s="271">
        <f t="shared" ca="1" si="163"/>
        <v>9.9999999999999995E-7</v>
      </c>
      <c r="AW66" s="158" t="str">
        <f t="shared" ca="1" si="171"/>
        <v/>
      </c>
      <c r="AX66" s="157">
        <f t="shared" ca="1" si="152"/>
        <v>5.4119973959285183E-3</v>
      </c>
      <c r="AY66" s="157">
        <f t="shared" ca="1" si="153"/>
        <v>3.0831695323365557E-3</v>
      </c>
      <c r="AZ66" s="157">
        <f t="shared" ca="1" si="154"/>
        <v>1.0253462032732753E-3</v>
      </c>
      <c r="BA66" s="157">
        <f t="shared" ca="1" si="155"/>
        <v>1.2816827540915941E-4</v>
      </c>
      <c r="BB66" s="157">
        <f t="shared" ca="1" si="156"/>
        <v>5.7803864396252135E-5</v>
      </c>
      <c r="BC66" s="157">
        <f t="shared" ca="1" si="157"/>
        <v>3.2854213642716549E-5</v>
      </c>
      <c r="BD66" s="151">
        <f t="shared" ca="1" si="172"/>
        <v>0</v>
      </c>
      <c r="BE66" s="152">
        <f t="shared" ca="1" si="173"/>
        <v>0</v>
      </c>
      <c r="BF66" s="40">
        <f t="shared" si="174"/>
        <v>2004</v>
      </c>
      <c r="BG66" s="144">
        <f t="shared" si="175"/>
        <v>7</v>
      </c>
      <c r="BH66" s="145">
        <f t="shared" ca="1" si="176"/>
        <v>1409</v>
      </c>
      <c r="BI66" s="313">
        <f t="shared" ca="1" si="177"/>
        <v>3.8986995208761122</v>
      </c>
      <c r="BJ66" s="42">
        <f t="shared" ca="1" si="10"/>
        <v>3.950967581357725</v>
      </c>
      <c r="BK66" s="42">
        <f t="shared" ca="1" si="178"/>
        <v>3.953705432144857</v>
      </c>
      <c r="BL66" s="42">
        <f t="shared" ca="1" si="179"/>
        <v>3.9808350444900751</v>
      </c>
      <c r="BM66" s="150" t="e">
        <f t="shared" ca="1" si="13"/>
        <v>#DIV/0!</v>
      </c>
      <c r="BN66" s="42" t="e">
        <f t="shared" ca="1" si="14"/>
        <v>#DIV/0!</v>
      </c>
      <c r="BO66" s="293">
        <f t="shared" si="48"/>
        <v>22</v>
      </c>
      <c r="BP66" s="41">
        <f t="shared" si="49"/>
        <v>14</v>
      </c>
      <c r="BQ66" s="41">
        <f t="shared" si="50"/>
        <v>8</v>
      </c>
      <c r="BR66" s="305" t="str">
        <f t="shared" ca="1" si="15"/>
        <v/>
      </c>
      <c r="BS66" s="305" t="str">
        <f t="shared" ca="1" si="180"/>
        <v/>
      </c>
      <c r="BT66" s="307" t="str">
        <f t="shared" ca="1" si="181"/>
        <v/>
      </c>
      <c r="BU66" s="161" t="str">
        <f t="shared" ca="1" si="18"/>
        <v/>
      </c>
      <c r="BV66" s="161" t="str">
        <f t="shared" ca="1" si="19"/>
        <v/>
      </c>
      <c r="BW66" s="308" t="str">
        <f t="shared" ca="1" si="20"/>
        <v/>
      </c>
      <c r="BX66" s="309" t="str">
        <f t="shared" ca="1" si="21"/>
        <v/>
      </c>
      <c r="BY66" s="308" t="str">
        <f t="shared" ca="1" si="51"/>
        <v/>
      </c>
      <c r="BZ66" s="309" t="str">
        <f t="shared" ca="1" si="52"/>
        <v/>
      </c>
      <c r="CA66" s="154" t="str">
        <f t="shared" ca="1" si="22"/>
        <v/>
      </c>
      <c r="CB66" s="154" t="str">
        <f t="shared" ca="1" si="23"/>
        <v/>
      </c>
      <c r="CC66" s="154" t="str">
        <f t="shared" ca="1" si="24"/>
        <v/>
      </c>
      <c r="CD66" s="154" t="str">
        <f t="shared" ca="1" si="25"/>
        <v/>
      </c>
      <c r="CE66" s="310">
        <v>1</v>
      </c>
      <c r="CF66" s="162">
        <f ca="1">IF(BD66,_xll.xCrudeAPO(BU66,BV66,CA66,CB66,S67,S68,BI66,BL66,BP66,BQ66,0,Strike1,AO66,CE66,0,BL66,IF(OptControl=4,0,1),0,1),0)</f>
        <v>0</v>
      </c>
      <c r="CG66" s="163">
        <f ca="1">IF(BD66,_xll.xCrudeAPO(BU66,BV66,CA66,CB66,S67,S68,BI66,BL66,BP66,BQ66,0,Strike1,AO66,CE66,0,BL66,IF(OptControl=4,0,1),1,1)+_xll.xCrudeAPO(BU66,BV66,CA66,CB66,S67,S68,BI66,BL66,BP66,BQ66,0,Strike1,AO66,CE66,0,BL66,IF(OptControl=4,0,1),1,2)+IF(OR(VolSkewFlag=2,ABS(BS66)&lt;0.0001),0,IF(BS66&gt;0,-1,1)*CH66*Strike1/BR66^2*BY66/10%),0)</f>
        <v>0</v>
      </c>
      <c r="CH66" s="163">
        <f ca="1">IF(BD66,(_xll.xCrudeAPO(BU66,BV66,CA66,CB66,S67,S68,BI66,BL66,BP66,BQ66,0,Strike1,AO66,CE66,0,BL66,IF(OptControl=4,0,1),3,1)+_xll.xCrudeAPO(BU66,BV66,CA66,CB66,S67,S68,BI66,BL66,BP66,BQ66,0,Strike1,AO66,CE66,0,BL66,IF(OptControl=4,0,1),3,2))/100,0)</f>
        <v>0</v>
      </c>
      <c r="CI66" s="163">
        <f ca="1">IF(BD66,_xll.xCrudeAPO(BU66,BV66,CA66,CB66,S67,S68,BI66-DaysForThetaCalculation/365.25,BL66-DaysForThetaCalculation/365.25,BP66,BQ66,0,Strike1,AO66,CE66,0,BL66,IF(OptControl=4,0,1),0,1)-_xll.xCrudeAPO(BU66,BV66,CA66,CB66,S67,S68,BI66,BL66,BP66,BQ66,0,Strike1,AO66,CE66,0,BL66,IF(OptControl=4,0,1),0,1),0)</f>
        <v>0</v>
      </c>
      <c r="CJ66" s="311">
        <f ca="1">IF(BD66,_xll.xCrudeAPO(BU66,BV66,CC66,CD66,S67,S68,BI66,BL66,BP66,BQ66,0,Strike2,AO66,CE66,0,BL66,IF(OptControl=3,1,0),0,1),0)</f>
        <v>0</v>
      </c>
      <c r="CK66" s="163">
        <f ca="1">IF(BD66,_xll.xCrudeAPO(BU66,BV66,CC66,CD66,S67,S68,BI66,BL66,BP66,BQ66,0,Strike2,AO66,CE66,0,BL66,IF(OptControl=3,1,0),1,1)+_xll.xCrudeAPO(BU66,BV66,CC66,CD66,S67,S68,BI66,BL66,BP66,BQ66,0,Strike2,AO66,CE66,0,BL66,IF(OptControl=3,1,0),1,2)+IF(OR(VolSkewFlag=2,ABS(BT66)&lt;0.0001),0,IF(BT66&gt;0,-1,1)*CL66*Strike2/BR66^2*BZ66/10%),0)</f>
        <v>0</v>
      </c>
      <c r="CL66" s="163">
        <f ca="1">IF(BD66,(_xll.xCrudeAPO(BU66,BV66,CC66,CD66,S67,S68,BI66,BL66,BP66,BQ66,0,Strike2,AO66,CE66,0,BL66,IF(OptControl=3,1,0),3,1)+_xll.xCrudeAPO(BU66,BV66,CC66,CD66,S67,S68,BI66,BL66,BP66,BQ66,0,Strike2,AO66,CE66,0,BL66,IF(OptControl=3,1,0),3,2))/100,0)</f>
        <v>0</v>
      </c>
      <c r="CM66" s="164">
        <f ca="1">IF(BD66,_xll.xCrudeAPO(BU66,BV66,CC66,CD66,S67,S68,BI66-DaysForThetaCalculation/365.25,BL66-DaysForThetaCalculation/365.25,BP66,BQ66,0,Strike2,AO66,CE66,0,BL66,IF(OptControl=3,1,0),0,1)-_xll.xCrudeAPO(BU66,BV66,CC66,CD66,S67,S68,BI66,BL66,BP66,BQ66,0,Strike2,AO66,CE66,0,BL66,IF(OptControl=3,1,0),0,1),0)</f>
        <v>0</v>
      </c>
      <c r="CN66" s="53"/>
      <c r="CO66" s="796" t="str">
        <f t="shared" ca="1" si="53"/>
        <v/>
      </c>
      <c r="CP66" s="800" t="str">
        <f t="shared" ca="1" si="54"/>
        <v/>
      </c>
      <c r="CQ66" s="797" t="str">
        <f t="shared" ca="1" si="55"/>
        <v/>
      </c>
      <c r="CR66" s="797" t="str">
        <f t="shared" ca="1" si="56"/>
        <v/>
      </c>
      <c r="CS66" s="797" t="str">
        <f t="shared" ca="1" si="57"/>
        <v/>
      </c>
      <c r="CT66" s="797" t="str">
        <f t="shared" ca="1" si="58"/>
        <v/>
      </c>
      <c r="CU66" s="798" t="str">
        <f t="shared" ca="1" si="59"/>
        <v/>
      </c>
      <c r="CV66" s="799" t="str">
        <f t="shared" ca="1" si="60"/>
        <v/>
      </c>
      <c r="CW66" s="799" t="str">
        <f t="shared" ca="1" si="61"/>
        <v/>
      </c>
      <c r="CX66" s="163">
        <f ca="1">IF(BD66,_xll.EURO(CP66,Strike1,AO66,AO66,CV66,CO66,IF(OptControl=4,0,1),0),0)</f>
        <v>0</v>
      </c>
      <c r="CY66" s="163">
        <f ca="1">IF(BD66,_xll.EURO(CP66,Strike1,AO66,AO66,CV66,CO66,IF(OptControl=4,0,1),1)+IF(OR(VolSkewFlag=2,ABS(CQ66)&lt;0.0001),0,IF(CQ66&gt;0,-1,1)*CZ66*100*Strike1/CP66^2*CS66/10%),0)</f>
        <v>0</v>
      </c>
      <c r="CZ66" s="163">
        <f ca="1">IF(BD66,_xll.EURO(CP66,Strike1,AO66,AO66,CV66,CO66,IF(OptControl=4,0,1),3)/100,0)</f>
        <v>0</v>
      </c>
      <c r="DA66" s="163">
        <f ca="1">IF(BD66,_xll.EURO(CP66,Strike1,AO66,AO66,CV66,CO66,IF(OptControl=4,0,1),0)-_xll.EURO(CP66,Strike1,AO66,AO66,CV66,CO66-1,IF(OptControl=4,0,1),0),0)</f>
        <v>0</v>
      </c>
      <c r="DB66" s="163">
        <f ca="1">IF(BD66,_xll.EURO(CP66,Strike2,AO66,AO66,CW66,CO66,IF(OptControl=3,1,0),0),0)</f>
        <v>0</v>
      </c>
      <c r="DC66" s="163">
        <f ca="1">IF(BD66,_xll.EURO(CP66,Strike2,AO66,AO66,CW66,CO66,IF(OptControl=3,1,0),1)+IF(OR(VolSkewFlag=2,ABS(CR66)&lt;0.0001),0,IF(CR66&gt;0,-1,1)*DD66*100*Strike2/CP66^2*CT66/10%),0)</f>
        <v>0</v>
      </c>
      <c r="DD66" s="163">
        <f ca="1">IF(BD66,_xll.EURO(CP66,Strike2,AO66,AO66,CW66,CO66,IF(OptControl=3,1,0),3)/100,0)</f>
        <v>0</v>
      </c>
      <c r="DE66" s="164">
        <f ca="1">IF(BD66,_xll.EURO(CP66,Strike2,AO66,AO66,CW66,CO66,IF(OptControl=3,1,0),0)-_xll.EURO(CP66,Strike2,AO66,AO66,CW66,CO66-1,IF(OptControl=3,1,0),0),0)</f>
        <v>0</v>
      </c>
      <c r="DG66" s="667">
        <f t="shared" ca="1" si="62"/>
        <v>37956</v>
      </c>
      <c r="DH66" s="475">
        <v>18.420000000000002</v>
      </c>
      <c r="DI66" s="665">
        <v>18.413409090909092</v>
      </c>
      <c r="DJ66" s="666">
        <f t="shared" ca="1" si="182"/>
        <v>37956</v>
      </c>
      <c r="DK66" s="475">
        <v>17.354063734102947</v>
      </c>
      <c r="DL66" s="665">
        <v>17.317309090909092</v>
      </c>
      <c r="DM66" s="667">
        <f t="shared" ca="1" si="183"/>
        <v>37956</v>
      </c>
      <c r="DN66" s="668">
        <f t="shared" si="184"/>
        <v>17.404063734102948</v>
      </c>
      <c r="DO66" s="667">
        <f t="shared" ca="1" si="63"/>
        <v>37956</v>
      </c>
      <c r="DP66" s="579">
        <f t="shared" si="64"/>
        <v>17.317309090909092</v>
      </c>
      <c r="DQ66" s="821">
        <v>0</v>
      </c>
      <c r="DR66" s="666">
        <f t="shared" ca="1" si="185"/>
        <v>37956</v>
      </c>
      <c r="DS66" s="669">
        <v>0.20364499915353507</v>
      </c>
      <c r="DT66" s="606">
        <v>0.20171801562192251</v>
      </c>
      <c r="DU66" s="666">
        <f t="shared" ca="1" si="186"/>
        <v>37956</v>
      </c>
      <c r="DV66" s="669">
        <v>0.20364499915353507</v>
      </c>
      <c r="DW66" s="606">
        <v>0.20171801562192251</v>
      </c>
      <c r="DX66" s="667">
        <f t="shared" ca="1" si="187"/>
        <v>37956</v>
      </c>
      <c r="DY66" s="606">
        <v>0.35000000000000225</v>
      </c>
      <c r="DZ66" s="667">
        <f t="shared" ca="1" si="65"/>
        <v>37956</v>
      </c>
      <c r="EA66" s="606">
        <f t="shared" si="66"/>
        <v>0.20171801562192251</v>
      </c>
      <c r="EB66" s="1"/>
      <c r="EC66" s="118" t="str">
        <f t="shared" ca="1" si="188"/>
        <v/>
      </c>
      <c r="ED66" s="119" t="str">
        <f t="shared" ca="1" si="33"/>
        <v/>
      </c>
      <c r="EE66" s="112" t="str">
        <f t="shared" ca="1" si="34"/>
        <v/>
      </c>
      <c r="EF66" s="120">
        <f ca="1">IF(BD66,_xll.xASN(BR66,Strike1,AO66,ED66,0,BO66,0,BI66,BL66,IF(OptControl=4,0,1),0),0)</f>
        <v>0</v>
      </c>
      <c r="EG66" s="111">
        <f ca="1">IF(BD66,_xll.xASN(BR66,Strike2,AO66,EE66,0,BO66,0,BI66,BL66,IF(OptControl=3,1,0),0),0)</f>
        <v>0</v>
      </c>
      <c r="EL66" s="55"/>
      <c r="EM66" s="1"/>
      <c r="EN66" s="697">
        <v>41275</v>
      </c>
      <c r="EO66" s="698">
        <v>44927</v>
      </c>
      <c r="EP66" s="1"/>
      <c r="EQ66" s="683" t="s">
        <v>253</v>
      </c>
      <c r="ES66" s="498">
        <v>47</v>
      </c>
      <c r="ET66" s="476">
        <f t="shared" ca="1" si="165"/>
        <v>3.8576317590691307</v>
      </c>
      <c r="EU66" s="842">
        <f t="shared" ca="1" si="189"/>
        <v>0</v>
      </c>
      <c r="EV66" s="815">
        <f t="shared" ca="1" si="269"/>
        <v>0.18731597437214864</v>
      </c>
      <c r="EW66" s="478" t="str">
        <f t="shared" ca="1" si="270"/>
        <v/>
      </c>
      <c r="EX66" s="477" t="str">
        <f t="shared" ca="1" si="271"/>
        <v/>
      </c>
      <c r="EY66" s="250">
        <v>0</v>
      </c>
      <c r="EZ66" s="605" t="str">
        <f ca="1">IF(OR(EW66="",EW67=""),"",SQRT(SUM(INDEX(FK66:ID66,SwaptionFirstMonthPosition+1):INDEX(FK66:ID66,FJ66))/SUM(INDEX($FK$15:$ID$15,SwaptionFirstMonthPosition+1):INDEX($FK$15:$ID$15,FJ66))))</f>
        <v/>
      </c>
      <c r="FA66" s="581" t="str">
        <f ca="1">IF(OR(EW66="",EW65=""),"",SQRT(SUM(INDEX(FK66:ID66,SwaptionFirstMonthPosition+1):INDEX(FK66:ID66,FJ66-1))/SUM(INDEX($FK$15:$ID$15,SwaptionFirstMonthPosition+1):INDEX($FK$15:$ID$15,FJ66-1))))</f>
        <v/>
      </c>
      <c r="FB66" s="578" t="str">
        <f t="shared" ca="1" si="190"/>
        <v/>
      </c>
      <c r="FC66" s="609" t="str">
        <f t="shared" ca="1" si="191"/>
        <v/>
      </c>
      <c r="FD66" s="579" t="str">
        <f t="shared" ca="1" si="192"/>
        <v/>
      </c>
      <c r="FE66" s="579" t="str">
        <f t="shared" ca="1" si="193"/>
        <v/>
      </c>
      <c r="FF66" s="579" t="str">
        <f t="shared" ca="1" si="194"/>
        <v/>
      </c>
      <c r="FG66" s="580" t="str">
        <f t="shared" ca="1" si="195"/>
        <v/>
      </c>
      <c r="FH66" s="606" t="str">
        <f t="shared" ca="1" si="196"/>
        <v/>
      </c>
      <c r="FI66" s="250"/>
      <c r="FJ66" s="673">
        <v>47</v>
      </c>
      <c r="FK66" s="460">
        <f t="shared" ca="1" si="197"/>
        <v>0</v>
      </c>
      <c r="FL66" s="460">
        <f t="shared" ca="1" si="198"/>
        <v>2.1941107338194566E-3</v>
      </c>
      <c r="FM66" s="460">
        <f t="shared" ca="1" si="199"/>
        <v>2.5507717270328474E-3</v>
      </c>
      <c r="FN66" s="460">
        <f t="shared" ca="1" si="200"/>
        <v>2.1474801800365575E-3</v>
      </c>
      <c r="FO66" s="460">
        <f t="shared" ca="1" si="201"/>
        <v>2.2343935537383315E-3</v>
      </c>
      <c r="FP66" s="460">
        <f t="shared" ca="1" si="202"/>
        <v>2.4768401446797956E-3</v>
      </c>
      <c r="FQ66" s="460">
        <f t="shared" ca="1" si="203"/>
        <v>2.0061165635031214E-3</v>
      </c>
      <c r="FR66" s="460">
        <f t="shared" ca="1" si="204"/>
        <v>2.0521848663953646E-3</v>
      </c>
      <c r="FS66" s="460">
        <f t="shared" ca="1" si="205"/>
        <v>2.3140081170012787E-3</v>
      </c>
      <c r="FT66" s="460">
        <f t="shared" ca="1" si="206"/>
        <v>2.0897264433783606E-3</v>
      </c>
      <c r="FU66" s="460">
        <f t="shared" ca="1" si="207"/>
        <v>2.0105780307449706E-3</v>
      </c>
      <c r="FV66" s="460">
        <f t="shared" ca="1" si="208"/>
        <v>2.2114658825128121E-3</v>
      </c>
      <c r="FW66" s="460">
        <f t="shared" ca="1" si="209"/>
        <v>2.0690685522384185E-3</v>
      </c>
      <c r="FX66" s="460">
        <f t="shared" ca="1" si="210"/>
        <v>2.2046718569050075E-3</v>
      </c>
      <c r="FY66" s="460">
        <f t="shared" ca="1" si="211"/>
        <v>2.0663446263472652E-3</v>
      </c>
      <c r="FZ66" s="460">
        <f t="shared" ca="1" si="212"/>
        <v>1.929422462671308E-3</v>
      </c>
      <c r="GA66" s="460">
        <f t="shared" ca="1" si="213"/>
        <v>2.0694266714176542E-3</v>
      </c>
      <c r="GB66" s="460">
        <f t="shared" ca="1" si="214"/>
        <v>2.2801333816945221E-3</v>
      </c>
      <c r="GC66" s="460">
        <f t="shared" ca="1" si="215"/>
        <v>2.0082547473338395E-3</v>
      </c>
      <c r="GD66" s="460">
        <f t="shared" ca="1" si="216"/>
        <v>2.014003490768127E-3</v>
      </c>
      <c r="GE66" s="460">
        <f t="shared" ca="1" si="217"/>
        <v>2.29987690303698E-3</v>
      </c>
      <c r="GF66" s="460">
        <f t="shared" ca="1" si="218"/>
        <v>2.0297098107266679E-3</v>
      </c>
      <c r="GG66" s="460">
        <f t="shared" ca="1" si="219"/>
        <v>2.2510639148067518E-3</v>
      </c>
      <c r="GH66" s="460">
        <f t="shared" ca="1" si="220"/>
        <v>2.1230865368054267E-3</v>
      </c>
      <c r="GI66" s="460">
        <f t="shared" ca="1" si="221"/>
        <v>2.0669078944195686E-3</v>
      </c>
      <c r="GJ66" s="460">
        <f t="shared" ca="1" si="222"/>
        <v>2.3716784707946241E-3</v>
      </c>
      <c r="GK66" s="460">
        <f t="shared" ca="1" si="223"/>
        <v>2.1772694235155984E-3</v>
      </c>
      <c r="GL66" s="460">
        <f t="shared" ca="1" si="224"/>
        <v>2.1289865020133179E-3</v>
      </c>
      <c r="GM66" s="460">
        <f t="shared" ca="1" si="225"/>
        <v>2.3066366833883424E-3</v>
      </c>
      <c r="GN66" s="460">
        <f t="shared" ca="1" si="226"/>
        <v>2.3432910096354773E-3</v>
      </c>
      <c r="GO66" s="460">
        <f t="shared" ca="1" si="227"/>
        <v>2.3869842304866892E-3</v>
      </c>
      <c r="GP66" s="460">
        <f t="shared" ca="1" si="228"/>
        <v>2.2031697321643982E-3</v>
      </c>
      <c r="GQ66" s="460">
        <f t="shared" ca="1" si="229"/>
        <v>2.501906124197113E-3</v>
      </c>
      <c r="GR66" s="460">
        <f t="shared" ca="1" si="230"/>
        <v>2.4942996419907064E-3</v>
      </c>
      <c r="GS66" s="460">
        <f t="shared" ca="1" si="231"/>
        <v>2.6689343628492775E-3</v>
      </c>
      <c r="GT66" s="460">
        <f t="shared" ca="1" si="232"/>
        <v>2.6907270921581049E-3</v>
      </c>
      <c r="GU66" s="460">
        <f t="shared" ca="1" si="233"/>
        <v>2.9172290673918047E-3</v>
      </c>
      <c r="GV66" s="460">
        <f t="shared" ca="1" si="234"/>
        <v>3.0865324084538856E-3</v>
      </c>
      <c r="GW66" s="460">
        <f t="shared" ca="1" si="235"/>
        <v>3.1917347062505857E-3</v>
      </c>
      <c r="GX66" s="460">
        <f t="shared" ca="1" si="236"/>
        <v>3.5656824514335929E-3</v>
      </c>
      <c r="GY66" s="460">
        <f t="shared" ca="1" si="237"/>
        <v>3.7826342506557462E-3</v>
      </c>
      <c r="GZ66" s="460">
        <f t="shared" ca="1" si="238"/>
        <v>4.3558340798838602E-3</v>
      </c>
      <c r="HA66" s="460">
        <f t="shared" ca="1" si="239"/>
        <v>4.9501203717033275E-3</v>
      </c>
      <c r="HB66" s="460">
        <f t="shared" ca="1" si="240"/>
        <v>5.3872037155623708E-3</v>
      </c>
      <c r="HC66" s="460">
        <f t="shared" ca="1" si="241"/>
        <v>6.8903231787986047E-3</v>
      </c>
      <c r="HD66" s="460">
        <f t="shared" ca="1" si="242"/>
        <v>8.2533637540964343E-3</v>
      </c>
      <c r="HE66" s="460">
        <f t="shared" ca="1" si="243"/>
        <v>1.0999595155769953E-2</v>
      </c>
      <c r="HF66" s="460" t="str">
        <f t="shared" si="244"/>
        <v/>
      </c>
      <c r="HG66" s="460" t="str">
        <f t="shared" si="245"/>
        <v/>
      </c>
      <c r="HH66" s="460" t="str">
        <f t="shared" si="246"/>
        <v/>
      </c>
      <c r="HI66" s="460" t="str">
        <f t="shared" si="247"/>
        <v/>
      </c>
      <c r="HJ66" s="460" t="str">
        <f t="shared" si="248"/>
        <v/>
      </c>
      <c r="HK66" s="460" t="str">
        <f t="shared" si="249"/>
        <v/>
      </c>
      <c r="HL66" s="460" t="str">
        <f t="shared" si="250"/>
        <v/>
      </c>
      <c r="HM66" s="460" t="str">
        <f t="shared" si="251"/>
        <v/>
      </c>
      <c r="HN66" s="460" t="str">
        <f t="shared" si="252"/>
        <v/>
      </c>
      <c r="HO66" s="460" t="str">
        <f t="shared" si="253"/>
        <v/>
      </c>
      <c r="HP66" s="460" t="str">
        <f t="shared" si="254"/>
        <v/>
      </c>
      <c r="HQ66" s="460" t="str">
        <f t="shared" si="255"/>
        <v/>
      </c>
      <c r="HR66" s="460" t="str">
        <f t="shared" si="256"/>
        <v/>
      </c>
      <c r="HS66" s="460" t="str">
        <f t="shared" si="257"/>
        <v/>
      </c>
      <c r="HT66" s="460" t="str">
        <f t="shared" si="258"/>
        <v/>
      </c>
      <c r="HU66" s="460" t="str">
        <f t="shared" si="259"/>
        <v/>
      </c>
      <c r="HV66" s="460" t="str">
        <f t="shared" si="260"/>
        <v/>
      </c>
      <c r="HW66" s="460" t="str">
        <f t="shared" si="261"/>
        <v/>
      </c>
      <c r="HX66" s="460" t="str">
        <f t="shared" si="262"/>
        <v/>
      </c>
      <c r="HY66" s="460" t="str">
        <f t="shared" si="263"/>
        <v/>
      </c>
      <c r="HZ66" s="460" t="str">
        <f t="shared" si="264"/>
        <v/>
      </c>
      <c r="IA66" s="460" t="str">
        <f t="shared" si="265"/>
        <v/>
      </c>
      <c r="IB66" s="460" t="str">
        <f t="shared" si="266"/>
        <v/>
      </c>
      <c r="IC66" s="460" t="str">
        <f t="shared" si="267"/>
        <v/>
      </c>
      <c r="ID66" s="674" t="str">
        <f t="shared" si="268"/>
        <v/>
      </c>
      <c r="IE66" s="250"/>
    </row>
    <row r="67" spans="1:239">
      <c r="A67" s="53"/>
      <c r="E67" s="93"/>
      <c r="F67" s="53"/>
      <c r="G67" s="53"/>
      <c r="H67" s="51">
        <f t="shared" ca="1" si="35"/>
        <v>0</v>
      </c>
      <c r="I67" s="379">
        <f t="shared" si="36"/>
        <v>38200</v>
      </c>
      <c r="J67" s="377"/>
      <c r="K67" s="104" t="s">
        <v>269</v>
      </c>
      <c r="L67" s="392">
        <f t="shared" si="37"/>
        <v>0</v>
      </c>
      <c r="M67" s="171"/>
      <c r="N67" s="382">
        <v>0</v>
      </c>
      <c r="O67" s="171">
        <f t="shared" si="38"/>
        <v>0</v>
      </c>
      <c r="P67" s="377"/>
      <c r="Q67" s="104" t="s">
        <v>268</v>
      </c>
      <c r="R67" s="377">
        <f t="shared" ca="1" si="148"/>
        <v>-1.4496311548167871</v>
      </c>
      <c r="S67" s="832">
        <f t="shared" si="164"/>
        <v>0.36000007159424396</v>
      </c>
      <c r="T67" s="831">
        <f t="shared" si="149"/>
        <v>0.99992871937700667</v>
      </c>
      <c r="U67" s="545">
        <f t="shared" si="150"/>
        <v>0.99999997986411882</v>
      </c>
      <c r="V67" s="389">
        <v>0</v>
      </c>
      <c r="W67" s="434">
        <f t="shared" si="166"/>
        <v>0</v>
      </c>
      <c r="X67" s="415">
        <f t="shared" si="167"/>
        <v>0</v>
      </c>
      <c r="Y67" s="322">
        <f t="shared" si="168"/>
        <v>-1.2051000000000001</v>
      </c>
      <c r="Z67" s="322">
        <f t="shared" ca="1" si="169"/>
        <v>-1.2051000000000001</v>
      </c>
      <c r="AA67" s="429">
        <f t="shared" si="1"/>
        <v>1.2051000000000001</v>
      </c>
      <c r="AB67" s="433">
        <f t="shared" ca="1" si="2"/>
        <v>1.2051000000000001</v>
      </c>
      <c r="AC67" s="229">
        <v>38188</v>
      </c>
      <c r="AD67" s="229">
        <v>38184</v>
      </c>
      <c r="AE67" s="229">
        <v>38183</v>
      </c>
      <c r="AF67" s="229">
        <v>38179</v>
      </c>
      <c r="AG67" s="249" t="s">
        <v>90</v>
      </c>
      <c r="AH67" s="247" t="s">
        <v>499</v>
      </c>
      <c r="AI67" s="146">
        <v>22</v>
      </c>
      <c r="AJ67" s="41">
        <v>15</v>
      </c>
      <c r="AK67" s="41">
        <v>7</v>
      </c>
      <c r="AL67" s="293">
        <v>22</v>
      </c>
      <c r="AM67" s="41">
        <v>10</v>
      </c>
      <c r="AN67" s="147">
        <v>12</v>
      </c>
      <c r="AO67" s="374"/>
      <c r="AP67" s="153">
        <f t="shared" ca="1" si="43"/>
        <v>1</v>
      </c>
      <c r="AQ67" s="374"/>
      <c r="AR67" s="153">
        <f t="shared" ca="1" si="151"/>
        <v>1</v>
      </c>
      <c r="AS67" s="272">
        <f t="shared" si="170"/>
        <v>0</v>
      </c>
      <c r="AT67" s="157">
        <f t="shared" si="44"/>
        <v>0</v>
      </c>
      <c r="AU67" s="157">
        <f t="shared" si="4"/>
        <v>0</v>
      </c>
      <c r="AV67" s="271">
        <f t="shared" ca="1" si="163"/>
        <v>9.9999999999999995E-7</v>
      </c>
      <c r="AW67" s="158" t="str">
        <f t="shared" ca="1" si="171"/>
        <v/>
      </c>
      <c r="AX67" s="157">
        <f t="shared" ca="1" si="152"/>
        <v>5.2321876018418352E-3</v>
      </c>
      <c r="AY67" s="157">
        <f t="shared" ca="1" si="153"/>
        <v>2.9609173982226076E-3</v>
      </c>
      <c r="AZ67" s="157">
        <f t="shared" ca="1" si="154"/>
        <v>9.6779794287534665E-4</v>
      </c>
      <c r="BA67" s="157">
        <f t="shared" ca="1" si="155"/>
        <v>1.2097474285941833E-4</v>
      </c>
      <c r="BB67" s="157">
        <f t="shared" ca="1" si="156"/>
        <v>5.2746879143754811E-5</v>
      </c>
      <c r="BC67" s="157">
        <f t="shared" ca="1" si="157"/>
        <v>2.9269776819805012E-5</v>
      </c>
      <c r="BD67" s="151">
        <f t="shared" ca="1" si="172"/>
        <v>0</v>
      </c>
      <c r="BE67" s="152">
        <f t="shared" ca="1" si="173"/>
        <v>0</v>
      </c>
      <c r="BF67" s="40">
        <f t="shared" si="174"/>
        <v>2004</v>
      </c>
      <c r="BG67" s="144">
        <f t="shared" si="175"/>
        <v>8</v>
      </c>
      <c r="BH67" s="145">
        <f t="shared" ca="1" si="176"/>
        <v>1439</v>
      </c>
      <c r="BI67" s="313">
        <f t="shared" ca="1" si="177"/>
        <v>3.9835728952772076</v>
      </c>
      <c r="BJ67" s="42">
        <f t="shared" ca="1" si="10"/>
        <v>4.0395743886503643</v>
      </c>
      <c r="BK67" s="42">
        <f t="shared" ca="1" si="178"/>
        <v>4.0423122394374964</v>
      </c>
      <c r="BL67" s="42">
        <f t="shared" ca="1" si="179"/>
        <v>4.0657084188911705</v>
      </c>
      <c r="BM67" s="150" t="e">
        <f t="shared" ca="1" si="13"/>
        <v>#DIV/0!</v>
      </c>
      <c r="BN67" s="42" t="e">
        <f t="shared" ca="1" si="14"/>
        <v>#DIV/0!</v>
      </c>
      <c r="BO67" s="293">
        <f t="shared" si="48"/>
        <v>22</v>
      </c>
      <c r="BP67" s="41">
        <f t="shared" si="49"/>
        <v>15</v>
      </c>
      <c r="BQ67" s="41">
        <f t="shared" si="50"/>
        <v>7</v>
      </c>
      <c r="BR67" s="305" t="str">
        <f t="shared" ca="1" si="15"/>
        <v/>
      </c>
      <c r="BS67" s="305" t="str">
        <f t="shared" ca="1" si="180"/>
        <v/>
      </c>
      <c r="BT67" s="307" t="str">
        <f t="shared" ca="1" si="181"/>
        <v/>
      </c>
      <c r="BU67" s="161" t="str">
        <f t="shared" ca="1" si="18"/>
        <v/>
      </c>
      <c r="BV67" s="161" t="str">
        <f t="shared" ca="1" si="19"/>
        <v/>
      </c>
      <c r="BW67" s="308" t="str">
        <f t="shared" ca="1" si="20"/>
        <v/>
      </c>
      <c r="BX67" s="309" t="str">
        <f t="shared" ca="1" si="21"/>
        <v/>
      </c>
      <c r="BY67" s="308" t="str">
        <f t="shared" ca="1" si="51"/>
        <v/>
      </c>
      <c r="BZ67" s="309" t="str">
        <f t="shared" ca="1" si="52"/>
        <v/>
      </c>
      <c r="CA67" s="154" t="str">
        <f t="shared" ca="1" si="22"/>
        <v/>
      </c>
      <c r="CB67" s="154" t="str">
        <f t="shared" ca="1" si="23"/>
        <v/>
      </c>
      <c r="CC67" s="154" t="str">
        <f t="shared" ca="1" si="24"/>
        <v/>
      </c>
      <c r="CD67" s="154" t="str">
        <f t="shared" ca="1" si="25"/>
        <v/>
      </c>
      <c r="CE67" s="310">
        <v>1</v>
      </c>
      <c r="CF67" s="162">
        <f ca="1">IF(BD67,_xll.xCrudeAPO(BU67,BV67,CA67,CB67,S68,S69,BI67,BL67,BP67,BQ67,0,Strike1,AO67,CE67,0,BL67,IF(OptControl=4,0,1),0,1),0)</f>
        <v>0</v>
      </c>
      <c r="CG67" s="163">
        <f ca="1">IF(BD67,_xll.xCrudeAPO(BU67,BV67,CA67,CB67,S68,S69,BI67,BL67,BP67,BQ67,0,Strike1,AO67,CE67,0,BL67,IF(OptControl=4,0,1),1,1)+_xll.xCrudeAPO(BU67,BV67,CA67,CB67,S68,S69,BI67,BL67,BP67,BQ67,0,Strike1,AO67,CE67,0,BL67,IF(OptControl=4,0,1),1,2)+IF(OR(VolSkewFlag=2,ABS(BS67)&lt;0.0001),0,IF(BS67&gt;0,-1,1)*CH67*Strike1/BR67^2*BY67/10%),0)</f>
        <v>0</v>
      </c>
      <c r="CH67" s="163">
        <f ca="1">IF(BD67,(_xll.xCrudeAPO(BU67,BV67,CA67,CB67,S68,S69,BI67,BL67,BP67,BQ67,0,Strike1,AO67,CE67,0,BL67,IF(OptControl=4,0,1),3,1)+_xll.xCrudeAPO(BU67,BV67,CA67,CB67,S68,S69,BI67,BL67,BP67,BQ67,0,Strike1,AO67,CE67,0,BL67,IF(OptControl=4,0,1),3,2))/100,0)</f>
        <v>0</v>
      </c>
      <c r="CI67" s="163">
        <f ca="1">IF(BD67,_xll.xCrudeAPO(BU67,BV67,CA67,CB67,S68,S69,BI67-DaysForThetaCalculation/365.25,BL67-DaysForThetaCalculation/365.25,BP67,BQ67,0,Strike1,AO67,CE67,0,BL67,IF(OptControl=4,0,1),0,1)-_xll.xCrudeAPO(BU67,BV67,CA67,CB67,S68,S69,BI67,BL67,BP67,BQ67,0,Strike1,AO67,CE67,0,BL67,IF(OptControl=4,0,1),0,1),0)</f>
        <v>0</v>
      </c>
      <c r="CJ67" s="311">
        <f ca="1">IF(BD67,_xll.xCrudeAPO(BU67,BV67,CC67,CD67,S68,S69,BI67,BL67,BP67,BQ67,0,Strike2,AO67,CE67,0,BL67,IF(OptControl=3,1,0),0,1),0)</f>
        <v>0</v>
      </c>
      <c r="CK67" s="163">
        <f ca="1">IF(BD67,_xll.xCrudeAPO(BU67,BV67,CC67,CD67,S68,S69,BI67,BL67,BP67,BQ67,0,Strike2,AO67,CE67,0,BL67,IF(OptControl=3,1,0),1,1)+_xll.xCrudeAPO(BU67,BV67,CC67,CD67,S68,S69,BI67,BL67,BP67,BQ67,0,Strike2,AO67,CE67,0,BL67,IF(OptControl=3,1,0),1,2)+IF(OR(VolSkewFlag=2,ABS(BT67)&lt;0.0001),0,IF(BT67&gt;0,-1,1)*CL67*Strike2/BR67^2*BZ67/10%),0)</f>
        <v>0</v>
      </c>
      <c r="CL67" s="163">
        <f ca="1">IF(BD67,(_xll.xCrudeAPO(BU67,BV67,CC67,CD67,S68,S69,BI67,BL67,BP67,BQ67,0,Strike2,AO67,CE67,0,BL67,IF(OptControl=3,1,0),3,1)+_xll.xCrudeAPO(BU67,BV67,CC67,CD67,S68,S69,BI67,BL67,BP67,BQ67,0,Strike2,AO67,CE67,0,BL67,IF(OptControl=3,1,0),3,2))/100,0)</f>
        <v>0</v>
      </c>
      <c r="CM67" s="164">
        <f ca="1">IF(BD67,_xll.xCrudeAPO(BU67,BV67,CC67,CD67,S68,S69,BI67-DaysForThetaCalculation/365.25,BL67-DaysForThetaCalculation/365.25,BP67,BQ67,0,Strike2,AO67,CE67,0,BL67,IF(OptControl=3,1,0),0,1)-_xll.xCrudeAPO(BU67,BV67,CC67,CD67,S68,S69,BI67,BL67,BP67,BQ67,0,Strike2,AO67,CE67,0,BL67,IF(OptControl=3,1,0),0,1),0)</f>
        <v>0</v>
      </c>
      <c r="CN67" s="53"/>
      <c r="CO67" s="796" t="str">
        <f t="shared" ca="1" si="53"/>
        <v/>
      </c>
      <c r="CP67" s="800" t="str">
        <f t="shared" ca="1" si="54"/>
        <v/>
      </c>
      <c r="CQ67" s="797" t="str">
        <f t="shared" ca="1" si="55"/>
        <v/>
      </c>
      <c r="CR67" s="797" t="str">
        <f t="shared" ca="1" si="56"/>
        <v/>
      </c>
      <c r="CS67" s="797" t="str">
        <f t="shared" ca="1" si="57"/>
        <v/>
      </c>
      <c r="CT67" s="797" t="str">
        <f t="shared" ca="1" si="58"/>
        <v/>
      </c>
      <c r="CU67" s="798" t="str">
        <f t="shared" ca="1" si="59"/>
        <v/>
      </c>
      <c r="CV67" s="799" t="str">
        <f t="shared" ca="1" si="60"/>
        <v/>
      </c>
      <c r="CW67" s="799" t="str">
        <f t="shared" ca="1" si="61"/>
        <v/>
      </c>
      <c r="CX67" s="163">
        <f ca="1">IF(BD67,_xll.EURO(CP67,Strike1,AO67,AO67,CV67,CO67,IF(OptControl=4,0,1),0),0)</f>
        <v>0</v>
      </c>
      <c r="CY67" s="163">
        <f ca="1">IF(BD67,_xll.EURO(CP67,Strike1,AO67,AO67,CV67,CO67,IF(OptControl=4,0,1),1)+IF(OR(VolSkewFlag=2,ABS(CQ67)&lt;0.0001),0,IF(CQ67&gt;0,-1,1)*CZ67*100*Strike1/CP67^2*CS67/10%),0)</f>
        <v>0</v>
      </c>
      <c r="CZ67" s="163">
        <f ca="1">IF(BD67,_xll.EURO(CP67,Strike1,AO67,AO67,CV67,CO67,IF(OptControl=4,0,1),3)/100,0)</f>
        <v>0</v>
      </c>
      <c r="DA67" s="163">
        <f ca="1">IF(BD67,_xll.EURO(CP67,Strike1,AO67,AO67,CV67,CO67,IF(OptControl=4,0,1),0)-_xll.EURO(CP67,Strike1,AO67,AO67,CV67,CO67-1,IF(OptControl=4,0,1),0),0)</f>
        <v>0</v>
      </c>
      <c r="DB67" s="163">
        <f ca="1">IF(BD67,_xll.EURO(CP67,Strike2,AO67,AO67,CW67,CO67,IF(OptControl=3,1,0),0),0)</f>
        <v>0</v>
      </c>
      <c r="DC67" s="163">
        <f ca="1">IF(BD67,_xll.EURO(CP67,Strike2,AO67,AO67,CW67,CO67,IF(OptControl=3,1,0),1)+IF(OR(VolSkewFlag=2,ABS(CR67)&lt;0.0001),0,IF(CR67&gt;0,-1,1)*DD67*100*Strike2/CP67^2*CT67/10%),0)</f>
        <v>0</v>
      </c>
      <c r="DD67" s="163">
        <f ca="1">IF(BD67,_xll.EURO(CP67,Strike2,AO67,AO67,CW67,CO67,IF(OptControl=3,1,0),3)/100,0)</f>
        <v>0</v>
      </c>
      <c r="DE67" s="164">
        <f ca="1">IF(BD67,_xll.EURO(CP67,Strike2,AO67,AO67,CW67,CO67,IF(OptControl=3,1,0),0)-_xll.EURO(CP67,Strike2,AO67,AO67,CW67,CO67-1,IF(OptControl=3,1,0),0),0)</f>
        <v>0</v>
      </c>
      <c r="DG67" s="667">
        <f t="shared" ca="1" si="62"/>
        <v>37987</v>
      </c>
      <c r="DH67" s="475">
        <v>18.414999999999999</v>
      </c>
      <c r="DI67" s="665">
        <v>18.408095238095239</v>
      </c>
      <c r="DJ67" s="666">
        <f t="shared" ca="1" si="182"/>
        <v>37987</v>
      </c>
      <c r="DK67" s="475">
        <v>17.290736265897056</v>
      </c>
      <c r="DL67" s="665">
        <v>17.28709523809524</v>
      </c>
      <c r="DM67" s="667">
        <f t="shared" ca="1" si="183"/>
        <v>37987</v>
      </c>
      <c r="DN67" s="668">
        <f t="shared" si="184"/>
        <v>17.340736265897057</v>
      </c>
      <c r="DO67" s="667">
        <f t="shared" ca="1" si="63"/>
        <v>37987</v>
      </c>
      <c r="DP67" s="579">
        <f t="shared" si="64"/>
        <v>17.28709523809524</v>
      </c>
      <c r="DQ67" s="821">
        <v>0</v>
      </c>
      <c r="DR67" s="666">
        <f t="shared" ca="1" si="185"/>
        <v>37987</v>
      </c>
      <c r="DS67" s="669">
        <v>0.20138630533560506</v>
      </c>
      <c r="DT67" s="606">
        <v>0.2026191064197494</v>
      </c>
      <c r="DU67" s="666">
        <f t="shared" ca="1" si="186"/>
        <v>37987</v>
      </c>
      <c r="DV67" s="669">
        <v>0.20138630533560506</v>
      </c>
      <c r="DW67" s="606">
        <v>0.2026191064197494</v>
      </c>
      <c r="DX67" s="667">
        <f t="shared" ca="1" si="187"/>
        <v>37987</v>
      </c>
      <c r="DY67" s="606">
        <v>0.35000000000000109</v>
      </c>
      <c r="DZ67" s="667">
        <f t="shared" ca="1" si="65"/>
        <v>37987</v>
      </c>
      <c r="EA67" s="606">
        <f t="shared" si="66"/>
        <v>0.2026191064197494</v>
      </c>
      <c r="EB67" s="1"/>
      <c r="EC67" s="118" t="str">
        <f t="shared" ca="1" si="188"/>
        <v/>
      </c>
      <c r="ED67" s="119" t="str">
        <f t="shared" ca="1" si="33"/>
        <v/>
      </c>
      <c r="EE67" s="112" t="str">
        <f t="shared" ca="1" si="34"/>
        <v/>
      </c>
      <c r="EF67" s="120">
        <f ca="1">IF(BD67,_xll.xASN(BR67,Strike1,AO67,ED67,0,BO67,0,BI67,BL67,IF(OptControl=4,0,1),0),0)</f>
        <v>0</v>
      </c>
      <c r="EG67" s="111">
        <f ca="1">IF(BD67,_xll.xASN(BR67,Strike2,AO67,EE67,0,BO67,0,BI67,BL67,IF(OptControl=3,1,0),0),0)</f>
        <v>0</v>
      </c>
      <c r="EL67" s="55"/>
      <c r="EM67" s="1"/>
      <c r="EN67" s="697">
        <v>41459</v>
      </c>
      <c r="EO67" s="698">
        <v>45285</v>
      </c>
      <c r="EP67" s="1"/>
      <c r="EQ67" s="683" t="s">
        <v>254</v>
      </c>
      <c r="ES67" s="498">
        <v>48</v>
      </c>
      <c r="ET67" s="476">
        <f t="shared" ca="1" si="165"/>
        <v>3.9397672826830936</v>
      </c>
      <c r="EU67" s="842">
        <f t="shared" ca="1" si="189"/>
        <v>0</v>
      </c>
      <c r="EV67" s="815">
        <f t="shared" ca="1" si="269"/>
        <v>0.18664050777201421</v>
      </c>
      <c r="EW67" s="478" t="str">
        <f t="shared" ca="1" si="270"/>
        <v/>
      </c>
      <c r="EX67" s="477" t="str">
        <f t="shared" ca="1" si="271"/>
        <v/>
      </c>
      <c r="EY67" s="250">
        <v>0</v>
      </c>
      <c r="EZ67" s="605" t="str">
        <f ca="1">IF(OR(EW67="",EW68=""),"",SQRT(SUM(INDEX(FK67:ID67,SwaptionFirstMonthPosition+1):INDEX(FK67:ID67,FJ67))/SUM(INDEX($FK$15:$ID$15,SwaptionFirstMonthPosition+1):INDEX($FK$15:$ID$15,FJ67))))</f>
        <v/>
      </c>
      <c r="FA67" s="581" t="str">
        <f ca="1">IF(OR(EW67="",EW66=""),"",SQRT(SUM(INDEX(FK67:ID67,SwaptionFirstMonthPosition+1):INDEX(FK67:ID67,FJ67-1))/SUM(INDEX($FK$15:$ID$15,SwaptionFirstMonthPosition+1):INDEX($FK$15:$ID$15,FJ67-1))))</f>
        <v/>
      </c>
      <c r="FB67" s="578" t="str">
        <f t="shared" ca="1" si="190"/>
        <v/>
      </c>
      <c r="FC67" s="609" t="str">
        <f t="shared" ca="1" si="191"/>
        <v/>
      </c>
      <c r="FD67" s="579" t="str">
        <f t="shared" ca="1" si="192"/>
        <v/>
      </c>
      <c r="FE67" s="579" t="str">
        <f t="shared" ca="1" si="193"/>
        <v/>
      </c>
      <c r="FF67" s="579" t="str">
        <f t="shared" ca="1" si="194"/>
        <v/>
      </c>
      <c r="FG67" s="580" t="str">
        <f t="shared" ca="1" si="195"/>
        <v/>
      </c>
      <c r="FH67" s="606" t="str">
        <f t="shared" ca="1" si="196"/>
        <v/>
      </c>
      <c r="FI67" s="250"/>
      <c r="FJ67" s="673">
        <v>48</v>
      </c>
      <c r="FK67" s="460">
        <f t="shared" ca="1" si="197"/>
        <v>0</v>
      </c>
      <c r="FL67" s="460">
        <f t="shared" ca="1" si="198"/>
        <v>2.1936829237748294E-3</v>
      </c>
      <c r="FM67" s="460">
        <f t="shared" ca="1" si="199"/>
        <v>2.550190028571511E-3</v>
      </c>
      <c r="FN67" s="460">
        <f t="shared" ca="1" si="200"/>
        <v>2.1469073980254745E-3</v>
      </c>
      <c r="FO67" s="460">
        <f t="shared" ca="1" si="201"/>
        <v>2.2336965200624305E-3</v>
      </c>
      <c r="FP67" s="460">
        <f t="shared" ca="1" si="202"/>
        <v>2.4759364412004019E-3</v>
      </c>
      <c r="FQ67" s="460">
        <f t="shared" ca="1" si="203"/>
        <v>2.0052604762605636E-3</v>
      </c>
      <c r="FR67" s="460">
        <f t="shared" ca="1" si="204"/>
        <v>2.0511606016437554E-3</v>
      </c>
      <c r="FS67" s="460">
        <f t="shared" ca="1" si="205"/>
        <v>2.3126573062452645E-3</v>
      </c>
      <c r="FT67" s="460">
        <f t="shared" ca="1" si="206"/>
        <v>2.0882996767076353E-3</v>
      </c>
      <c r="FU67" s="460">
        <f t="shared" ca="1" si="207"/>
        <v>2.0089725010760061E-3</v>
      </c>
      <c r="FV67" s="460">
        <f t="shared" ca="1" si="208"/>
        <v>2.209400447515482E-3</v>
      </c>
      <c r="FW67" s="460">
        <f t="shared" ca="1" si="209"/>
        <v>2.0668083877184583E-3</v>
      </c>
      <c r="FX67" s="460">
        <f t="shared" ca="1" si="210"/>
        <v>2.2018551411905314E-3</v>
      </c>
      <c r="FY67" s="460">
        <f t="shared" ca="1" si="211"/>
        <v>2.0632569220738251E-3</v>
      </c>
      <c r="FZ67" s="460">
        <f t="shared" ca="1" si="212"/>
        <v>1.9260504114778044E-3</v>
      </c>
      <c r="GA67" s="460">
        <f t="shared" ca="1" si="213"/>
        <v>2.0651965702283268E-3</v>
      </c>
      <c r="GB67" s="460">
        <f t="shared" ca="1" si="214"/>
        <v>2.2746821473511245E-3</v>
      </c>
      <c r="GC67" s="460">
        <f t="shared" ca="1" si="215"/>
        <v>2.0026392621325202E-3</v>
      </c>
      <c r="GD67" s="460">
        <f t="shared" ca="1" si="216"/>
        <v>2.0074168710639277E-3</v>
      </c>
      <c r="GE67" s="460">
        <f t="shared" ca="1" si="217"/>
        <v>2.2910797763327916E-3</v>
      </c>
      <c r="GF67" s="460">
        <f t="shared" ca="1" si="218"/>
        <v>2.0206294293034265E-3</v>
      </c>
      <c r="GG67" s="460">
        <f t="shared" ca="1" si="219"/>
        <v>2.239285364204804E-3</v>
      </c>
      <c r="GH67" s="460">
        <f t="shared" ca="1" si="220"/>
        <v>2.1100936514176234E-3</v>
      </c>
      <c r="GI67" s="460">
        <f t="shared" ca="1" si="221"/>
        <v>2.0521136455396473E-3</v>
      </c>
      <c r="GJ67" s="460">
        <f t="shared" ca="1" si="222"/>
        <v>2.3518238547499651E-3</v>
      </c>
      <c r="GK67" s="460">
        <f t="shared" ca="1" si="223"/>
        <v>2.1559511642045208E-3</v>
      </c>
      <c r="GL67" s="460">
        <f t="shared" ca="1" si="224"/>
        <v>2.1046057913675928E-3</v>
      </c>
      <c r="GM67" s="460">
        <f t="shared" ca="1" si="225"/>
        <v>2.2757418020127999E-3</v>
      </c>
      <c r="GN67" s="460">
        <f t="shared" ca="1" si="226"/>
        <v>2.3065824411226381E-3</v>
      </c>
      <c r="GO67" s="460">
        <f t="shared" ca="1" si="227"/>
        <v>2.3432496809243581E-3</v>
      </c>
      <c r="GP67" s="460">
        <f t="shared" ca="1" si="228"/>
        <v>2.1559572373846736E-3</v>
      </c>
      <c r="GQ67" s="460">
        <f t="shared" ca="1" si="229"/>
        <v>2.4391994324874165E-3</v>
      </c>
      <c r="GR67" s="460">
        <f t="shared" ca="1" si="230"/>
        <v>2.4211814593784603E-3</v>
      </c>
      <c r="GS67" s="460">
        <f t="shared" ca="1" si="231"/>
        <v>2.5774285796600297E-3</v>
      </c>
      <c r="GT67" s="460">
        <f t="shared" ca="1" si="232"/>
        <v>2.5828288955635601E-3</v>
      </c>
      <c r="GU67" s="460">
        <f t="shared" ca="1" si="233"/>
        <v>2.7804092671750592E-3</v>
      </c>
      <c r="GV67" s="460">
        <f t="shared" ca="1" si="234"/>
        <v>2.9172221992390572E-3</v>
      </c>
      <c r="GW67" s="460">
        <f t="shared" ca="1" si="235"/>
        <v>2.9869615726294298E-3</v>
      </c>
      <c r="GX67" s="460">
        <f t="shared" ca="1" si="236"/>
        <v>3.2981214953514588E-3</v>
      </c>
      <c r="GY67" s="460">
        <f t="shared" ca="1" si="237"/>
        <v>3.4506570095346272E-3</v>
      </c>
      <c r="GZ67" s="460">
        <f t="shared" ca="1" si="238"/>
        <v>3.9087191472827795E-3</v>
      </c>
      <c r="HA67" s="460">
        <f t="shared" ca="1" si="239"/>
        <v>4.3558316462859866E-3</v>
      </c>
      <c r="HB67" s="460">
        <f t="shared" ca="1" si="240"/>
        <v>4.630755826678731E-3</v>
      </c>
      <c r="HC67" s="460">
        <f t="shared" ca="1" si="241"/>
        <v>5.7587331965043027E-3</v>
      </c>
      <c r="HD67" s="460">
        <f t="shared" ca="1" si="242"/>
        <v>6.6680531174922236E-3</v>
      </c>
      <c r="HE67" s="460">
        <f t="shared" ca="1" si="243"/>
        <v>8.5284743716044376E-3</v>
      </c>
      <c r="HF67" s="460">
        <f t="shared" ca="1" si="244"/>
        <v>1.0644768094280131E-2</v>
      </c>
      <c r="HG67" s="460" t="str">
        <f t="shared" si="245"/>
        <v/>
      </c>
      <c r="HH67" s="460" t="str">
        <f t="shared" si="246"/>
        <v/>
      </c>
      <c r="HI67" s="460" t="str">
        <f t="shared" si="247"/>
        <v/>
      </c>
      <c r="HJ67" s="460" t="str">
        <f t="shared" si="248"/>
        <v/>
      </c>
      <c r="HK67" s="460" t="str">
        <f t="shared" si="249"/>
        <v/>
      </c>
      <c r="HL67" s="460" t="str">
        <f t="shared" si="250"/>
        <v/>
      </c>
      <c r="HM67" s="460" t="str">
        <f t="shared" si="251"/>
        <v/>
      </c>
      <c r="HN67" s="460" t="str">
        <f t="shared" si="252"/>
        <v/>
      </c>
      <c r="HO67" s="460" t="str">
        <f t="shared" si="253"/>
        <v/>
      </c>
      <c r="HP67" s="460" t="str">
        <f t="shared" si="254"/>
        <v/>
      </c>
      <c r="HQ67" s="460" t="str">
        <f t="shared" si="255"/>
        <v/>
      </c>
      <c r="HR67" s="460" t="str">
        <f t="shared" si="256"/>
        <v/>
      </c>
      <c r="HS67" s="460" t="str">
        <f t="shared" si="257"/>
        <v/>
      </c>
      <c r="HT67" s="460" t="str">
        <f t="shared" si="258"/>
        <v/>
      </c>
      <c r="HU67" s="460" t="str">
        <f t="shared" si="259"/>
        <v/>
      </c>
      <c r="HV67" s="460" t="str">
        <f t="shared" si="260"/>
        <v/>
      </c>
      <c r="HW67" s="460" t="str">
        <f t="shared" si="261"/>
        <v/>
      </c>
      <c r="HX67" s="460" t="str">
        <f t="shared" si="262"/>
        <v/>
      </c>
      <c r="HY67" s="460" t="str">
        <f t="shared" si="263"/>
        <v/>
      </c>
      <c r="HZ67" s="460" t="str">
        <f t="shared" si="264"/>
        <v/>
      </c>
      <c r="IA67" s="460" t="str">
        <f t="shared" si="265"/>
        <v/>
      </c>
      <c r="IB67" s="460" t="str">
        <f t="shared" si="266"/>
        <v/>
      </c>
      <c r="IC67" s="460" t="str">
        <f t="shared" si="267"/>
        <v/>
      </c>
      <c r="ID67" s="674" t="str">
        <f t="shared" si="268"/>
        <v/>
      </c>
      <c r="IE67" s="250"/>
    </row>
    <row r="68" spans="1:239">
      <c r="A68" s="53"/>
      <c r="F68" s="53"/>
      <c r="G68" s="53"/>
      <c r="H68" s="51">
        <f t="shared" ca="1" si="35"/>
        <v>0</v>
      </c>
      <c r="I68" s="379">
        <f t="shared" si="36"/>
        <v>38231</v>
      </c>
      <c r="J68" s="377"/>
      <c r="K68" s="104" t="s">
        <v>269</v>
      </c>
      <c r="L68" s="392">
        <f t="shared" si="37"/>
        <v>0</v>
      </c>
      <c r="M68" s="171"/>
      <c r="N68" s="382">
        <v>0</v>
      </c>
      <c r="O68" s="171">
        <f t="shared" si="38"/>
        <v>0</v>
      </c>
      <c r="P68" s="377"/>
      <c r="Q68" s="104" t="s">
        <v>268</v>
      </c>
      <c r="R68" s="377">
        <f t="shared" ca="1" si="148"/>
        <v>-1.0013240376526775</v>
      </c>
      <c r="S68" s="832">
        <f t="shared" si="164"/>
        <v>0.360000053695683</v>
      </c>
      <c r="T68" s="831">
        <f t="shared" si="149"/>
        <v>0.99993905643920533</v>
      </c>
      <c r="U68" s="545">
        <f t="shared" si="150"/>
        <v>0.99999998489808917</v>
      </c>
      <c r="V68" s="389">
        <v>0</v>
      </c>
      <c r="W68" s="434">
        <f t="shared" si="166"/>
        <v>0</v>
      </c>
      <c r="X68" s="415">
        <f t="shared" si="167"/>
        <v>0</v>
      </c>
      <c r="Y68" s="322">
        <f t="shared" si="168"/>
        <v>-1.2051000000000001</v>
      </c>
      <c r="Z68" s="322">
        <f t="shared" ca="1" si="169"/>
        <v>-1.2051000000000001</v>
      </c>
      <c r="AA68" s="429">
        <f t="shared" si="1"/>
        <v>1.2051000000000001</v>
      </c>
      <c r="AB68" s="433">
        <f t="shared" ca="1" si="2"/>
        <v>1.2051000000000001</v>
      </c>
      <c r="AC68" s="229">
        <v>38219</v>
      </c>
      <c r="AD68" s="229">
        <v>38215</v>
      </c>
      <c r="AE68" s="229">
        <v>38214</v>
      </c>
      <c r="AF68" s="229">
        <v>38210</v>
      </c>
      <c r="AG68" s="249" t="s">
        <v>90</v>
      </c>
      <c r="AH68" s="247" t="s">
        <v>499</v>
      </c>
      <c r="AI68" s="146">
        <v>22</v>
      </c>
      <c r="AJ68" s="41">
        <v>14</v>
      </c>
      <c r="AK68" s="41">
        <v>8</v>
      </c>
      <c r="AL68" s="293">
        <v>22</v>
      </c>
      <c r="AM68" s="41">
        <v>10</v>
      </c>
      <c r="AN68" s="147">
        <v>12</v>
      </c>
      <c r="AO68" s="374"/>
      <c r="AP68" s="153">
        <f t="shared" ca="1" si="43"/>
        <v>1</v>
      </c>
      <c r="AQ68" s="374"/>
      <c r="AR68" s="153">
        <f t="shared" ca="1" si="151"/>
        <v>1</v>
      </c>
      <c r="AS68" s="272">
        <f t="shared" si="170"/>
        <v>0</v>
      </c>
      <c r="AT68" s="157">
        <f t="shared" si="44"/>
        <v>0</v>
      </c>
      <c r="AU68" s="157">
        <f t="shared" si="4"/>
        <v>0</v>
      </c>
      <c r="AV68" s="271">
        <f t="shared" ca="1" si="163"/>
        <v>9.9999999999999995E-7</v>
      </c>
      <c r="AW68" s="158" t="str">
        <f t="shared" ca="1" si="171"/>
        <v/>
      </c>
      <c r="AX68" s="157">
        <f t="shared" ca="1" si="152"/>
        <v>5.0583518612670438E-3</v>
      </c>
      <c r="AY68" s="157">
        <f t="shared" ca="1" si="153"/>
        <v>2.8435127381572531E-3</v>
      </c>
      <c r="AZ68" s="157">
        <f t="shared" ca="1" si="154"/>
        <v>9.1347961814622466E-4</v>
      </c>
      <c r="BA68" s="157">
        <f t="shared" ca="1" si="155"/>
        <v>1.1418495226827808E-4</v>
      </c>
      <c r="BB68" s="157">
        <f t="shared" ca="1" si="156"/>
        <v>4.8132305486244786E-5</v>
      </c>
      <c r="BC68" s="157">
        <f t="shared" ca="1" si="157"/>
        <v>2.6076406649018094E-5</v>
      </c>
      <c r="BD68" s="151">
        <f t="shared" ca="1" si="172"/>
        <v>0</v>
      </c>
      <c r="BE68" s="152">
        <f t="shared" ca="1" si="173"/>
        <v>0</v>
      </c>
      <c r="BF68" s="40">
        <f t="shared" si="174"/>
        <v>2004</v>
      </c>
      <c r="BG68" s="144">
        <f t="shared" si="175"/>
        <v>9</v>
      </c>
      <c r="BH68" s="145">
        <f t="shared" ca="1" si="176"/>
        <v>1470</v>
      </c>
      <c r="BI68" s="313">
        <f t="shared" ca="1" si="177"/>
        <v>4.0684462696783026</v>
      </c>
      <c r="BJ68" s="42">
        <f t="shared" ca="1" si="10"/>
        <v>4.1189720614771952</v>
      </c>
      <c r="BK68" s="42">
        <f t="shared" ca="1" si="178"/>
        <v>4.1217099122643273</v>
      </c>
      <c r="BL68" s="42">
        <f t="shared" ca="1" si="179"/>
        <v>4.1478439425051334</v>
      </c>
      <c r="BM68" s="150" t="e">
        <f t="shared" ca="1" si="13"/>
        <v>#DIV/0!</v>
      </c>
      <c r="BN68" s="42" t="e">
        <f t="shared" ca="1" si="14"/>
        <v>#DIV/0!</v>
      </c>
      <c r="BO68" s="293">
        <f t="shared" si="48"/>
        <v>22</v>
      </c>
      <c r="BP68" s="41">
        <f t="shared" si="49"/>
        <v>14</v>
      </c>
      <c r="BQ68" s="41">
        <f t="shared" si="50"/>
        <v>8</v>
      </c>
      <c r="BR68" s="305" t="str">
        <f t="shared" ca="1" si="15"/>
        <v/>
      </c>
      <c r="BS68" s="305" t="str">
        <f t="shared" ca="1" si="180"/>
        <v/>
      </c>
      <c r="BT68" s="307" t="str">
        <f t="shared" ca="1" si="181"/>
        <v/>
      </c>
      <c r="BU68" s="161" t="str">
        <f t="shared" ca="1" si="18"/>
        <v/>
      </c>
      <c r="BV68" s="161" t="str">
        <f t="shared" ca="1" si="19"/>
        <v/>
      </c>
      <c r="BW68" s="308" t="str">
        <f t="shared" ca="1" si="20"/>
        <v/>
      </c>
      <c r="BX68" s="309" t="str">
        <f t="shared" ca="1" si="21"/>
        <v/>
      </c>
      <c r="BY68" s="308" t="str">
        <f t="shared" ca="1" si="51"/>
        <v/>
      </c>
      <c r="BZ68" s="309" t="str">
        <f t="shared" ca="1" si="52"/>
        <v/>
      </c>
      <c r="CA68" s="154" t="str">
        <f t="shared" ca="1" si="22"/>
        <v/>
      </c>
      <c r="CB68" s="154" t="str">
        <f t="shared" ca="1" si="23"/>
        <v/>
      </c>
      <c r="CC68" s="154" t="str">
        <f t="shared" ca="1" si="24"/>
        <v/>
      </c>
      <c r="CD68" s="154" t="str">
        <f t="shared" ca="1" si="25"/>
        <v/>
      </c>
      <c r="CE68" s="310">
        <v>1</v>
      </c>
      <c r="CF68" s="162">
        <f ca="1">IF(BD68,_xll.xCrudeAPO(BU68,BV68,CA68,CB68,S69,S70,BI68,BL68,BP68,BQ68,0,Strike1,AO68,CE68,0,BL68,IF(OptControl=4,0,1),0,1),0)</f>
        <v>0</v>
      </c>
      <c r="CG68" s="163">
        <f ca="1">IF(BD68,_xll.xCrudeAPO(BU68,BV68,CA68,CB68,S69,S70,BI68,BL68,BP68,BQ68,0,Strike1,AO68,CE68,0,BL68,IF(OptControl=4,0,1),1,1)+_xll.xCrudeAPO(BU68,BV68,CA68,CB68,S69,S70,BI68,BL68,BP68,BQ68,0,Strike1,AO68,CE68,0,BL68,IF(OptControl=4,0,1),1,2)+IF(OR(VolSkewFlag=2,ABS(BS68)&lt;0.0001),0,IF(BS68&gt;0,-1,1)*CH68*Strike1/BR68^2*BY68/10%),0)</f>
        <v>0</v>
      </c>
      <c r="CH68" s="163">
        <f ca="1">IF(BD68,(_xll.xCrudeAPO(BU68,BV68,CA68,CB68,S69,S70,BI68,BL68,BP68,BQ68,0,Strike1,AO68,CE68,0,BL68,IF(OptControl=4,0,1),3,1)+_xll.xCrudeAPO(BU68,BV68,CA68,CB68,S69,S70,BI68,BL68,BP68,BQ68,0,Strike1,AO68,CE68,0,BL68,IF(OptControl=4,0,1),3,2))/100,0)</f>
        <v>0</v>
      </c>
      <c r="CI68" s="163">
        <f ca="1">IF(BD68,_xll.xCrudeAPO(BU68,BV68,CA68,CB68,S69,S70,BI68-DaysForThetaCalculation/365.25,BL68-DaysForThetaCalculation/365.25,BP68,BQ68,0,Strike1,AO68,CE68,0,BL68,IF(OptControl=4,0,1),0,1)-_xll.xCrudeAPO(BU68,BV68,CA68,CB68,S69,S70,BI68,BL68,BP68,BQ68,0,Strike1,AO68,CE68,0,BL68,IF(OptControl=4,0,1),0,1),0)</f>
        <v>0</v>
      </c>
      <c r="CJ68" s="311">
        <f ca="1">IF(BD68,_xll.xCrudeAPO(BU68,BV68,CC68,CD68,S69,S70,BI68,BL68,BP68,BQ68,0,Strike2,AO68,CE68,0,BL68,IF(OptControl=3,1,0),0,1),0)</f>
        <v>0</v>
      </c>
      <c r="CK68" s="163">
        <f ca="1">IF(BD68,_xll.xCrudeAPO(BU68,BV68,CC68,CD68,S69,S70,BI68,BL68,BP68,BQ68,0,Strike2,AO68,CE68,0,BL68,IF(OptControl=3,1,0),1,1)+_xll.xCrudeAPO(BU68,BV68,CC68,CD68,S69,S70,BI68,BL68,BP68,BQ68,0,Strike2,AO68,CE68,0,BL68,IF(OptControl=3,1,0),1,2)+IF(OR(VolSkewFlag=2,ABS(BT68)&lt;0.0001),0,IF(BT68&gt;0,-1,1)*CL68*Strike2/BR68^2*BZ68/10%),0)</f>
        <v>0</v>
      </c>
      <c r="CL68" s="163">
        <f ca="1">IF(BD68,(_xll.xCrudeAPO(BU68,BV68,CC68,CD68,S69,S70,BI68,BL68,BP68,BQ68,0,Strike2,AO68,CE68,0,BL68,IF(OptControl=3,1,0),3,1)+_xll.xCrudeAPO(BU68,BV68,CC68,CD68,S69,S70,BI68,BL68,BP68,BQ68,0,Strike2,AO68,CE68,0,BL68,IF(OptControl=3,1,0),3,2))/100,0)</f>
        <v>0</v>
      </c>
      <c r="CM68" s="164">
        <f ca="1">IF(BD68,_xll.xCrudeAPO(BU68,BV68,CC68,CD68,S69,S70,BI68-DaysForThetaCalculation/365.25,BL68-DaysForThetaCalculation/365.25,BP68,BQ68,0,Strike2,AO68,CE68,0,BL68,IF(OptControl=3,1,0),0,1)-_xll.xCrudeAPO(BU68,BV68,CC68,CD68,S69,S70,BI68,BL68,BP68,BQ68,0,Strike2,AO68,CE68,0,BL68,IF(OptControl=3,1,0),0,1),0)</f>
        <v>0</v>
      </c>
      <c r="CN68" s="53"/>
      <c r="CO68" s="796" t="str">
        <f t="shared" ca="1" si="53"/>
        <v/>
      </c>
      <c r="CP68" s="800" t="str">
        <f t="shared" ca="1" si="54"/>
        <v/>
      </c>
      <c r="CQ68" s="797" t="str">
        <f t="shared" ca="1" si="55"/>
        <v/>
      </c>
      <c r="CR68" s="797" t="str">
        <f t="shared" ca="1" si="56"/>
        <v/>
      </c>
      <c r="CS68" s="797" t="str">
        <f t="shared" ca="1" si="57"/>
        <v/>
      </c>
      <c r="CT68" s="797" t="str">
        <f t="shared" ca="1" si="58"/>
        <v/>
      </c>
      <c r="CU68" s="798" t="str">
        <f t="shared" ca="1" si="59"/>
        <v/>
      </c>
      <c r="CV68" s="799" t="str">
        <f t="shared" ca="1" si="60"/>
        <v/>
      </c>
      <c r="CW68" s="799" t="str">
        <f t="shared" ca="1" si="61"/>
        <v/>
      </c>
      <c r="CX68" s="163">
        <f ca="1">IF(BD68,_xll.EURO(CP68,Strike1,AO68,AO68,CV68,CO68,IF(OptControl=4,0,1),0),0)</f>
        <v>0</v>
      </c>
      <c r="CY68" s="163">
        <f ca="1">IF(BD68,_xll.EURO(CP68,Strike1,AO68,AO68,CV68,CO68,IF(OptControl=4,0,1),1)+IF(OR(VolSkewFlag=2,ABS(CQ68)&lt;0.0001),0,IF(CQ68&gt;0,-1,1)*CZ68*100*Strike1/CP68^2*CS68/10%),0)</f>
        <v>0</v>
      </c>
      <c r="CZ68" s="163">
        <f ca="1">IF(BD68,_xll.EURO(CP68,Strike1,AO68,AO68,CV68,CO68,IF(OptControl=4,0,1),3)/100,0)</f>
        <v>0</v>
      </c>
      <c r="DA68" s="163">
        <f ca="1">IF(BD68,_xll.EURO(CP68,Strike1,AO68,AO68,CV68,CO68,IF(OptControl=4,0,1),0)-_xll.EURO(CP68,Strike1,AO68,AO68,CV68,CO68-1,IF(OptControl=4,0,1),0),0)</f>
        <v>0</v>
      </c>
      <c r="DB68" s="163">
        <f ca="1">IF(BD68,_xll.EURO(CP68,Strike2,AO68,AO68,CW68,CO68,IF(OptControl=3,1,0),0),0)</f>
        <v>0</v>
      </c>
      <c r="DC68" s="163">
        <f ca="1">IF(BD68,_xll.EURO(CP68,Strike2,AO68,AO68,CW68,CO68,IF(OptControl=3,1,0),1)+IF(OR(VolSkewFlag=2,ABS(CR68)&lt;0.0001),0,IF(CR68&gt;0,-1,1)*DD68*100*Strike2/CP68^2*CT68/10%),0)</f>
        <v>0</v>
      </c>
      <c r="DD68" s="163">
        <f ca="1">IF(BD68,_xll.EURO(CP68,Strike2,AO68,AO68,CW68,CO68,IF(OptControl=3,1,0),3)/100,0)</f>
        <v>0</v>
      </c>
      <c r="DE68" s="164">
        <f ca="1">IF(BD68,_xll.EURO(CP68,Strike2,AO68,AO68,CW68,CO68,IF(OptControl=3,1,0),0)-_xll.EURO(CP68,Strike2,AO68,AO68,CW68,CO68-1,IF(OptControl=3,1,0),0),0)</f>
        <v>0</v>
      </c>
      <c r="DG68" s="667">
        <f t="shared" ca="1" si="62"/>
        <v>38018</v>
      </c>
      <c r="DH68" s="475">
        <v>18.41</v>
      </c>
      <c r="DI68" s="665">
        <v>18.403749999999999</v>
      </c>
      <c r="DJ68" s="666">
        <f t="shared" ca="1" si="182"/>
        <v>38018</v>
      </c>
      <c r="DK68" s="475">
        <v>17.339453111752459</v>
      </c>
      <c r="DL68" s="665">
        <v>17.282750000000004</v>
      </c>
      <c r="DM68" s="667">
        <f t="shared" ca="1" si="183"/>
        <v>38018</v>
      </c>
      <c r="DN68" s="668">
        <f t="shared" si="184"/>
        <v>17.389453111752459</v>
      </c>
      <c r="DO68" s="667">
        <f t="shared" ca="1" si="63"/>
        <v>38018</v>
      </c>
      <c r="DP68" s="579">
        <f t="shared" si="64"/>
        <v>17.282750000000004</v>
      </c>
      <c r="DQ68" s="821">
        <v>0</v>
      </c>
      <c r="DR68" s="666">
        <f t="shared" ca="1" si="185"/>
        <v>38018</v>
      </c>
      <c r="DS68" s="669">
        <v>0.20242882337831705</v>
      </c>
      <c r="DT68" s="606">
        <v>0.20276141131146952</v>
      </c>
      <c r="DU68" s="666">
        <f t="shared" ca="1" si="186"/>
        <v>38018</v>
      </c>
      <c r="DV68" s="669">
        <v>0.20242882337831705</v>
      </c>
      <c r="DW68" s="606">
        <v>0.20276141131146952</v>
      </c>
      <c r="DX68" s="667">
        <f t="shared" ca="1" si="187"/>
        <v>38018</v>
      </c>
      <c r="DY68" s="606">
        <v>0.35000000000000053</v>
      </c>
      <c r="DZ68" s="667">
        <f t="shared" ca="1" si="65"/>
        <v>38018</v>
      </c>
      <c r="EA68" s="606">
        <f t="shared" si="66"/>
        <v>0.20276141131146952</v>
      </c>
      <c r="EB68" s="1"/>
      <c r="EC68" s="118" t="str">
        <f t="shared" ca="1" si="188"/>
        <v/>
      </c>
      <c r="ED68" s="119" t="str">
        <f t="shared" ca="1" si="33"/>
        <v/>
      </c>
      <c r="EE68" s="112" t="str">
        <f t="shared" ca="1" si="34"/>
        <v/>
      </c>
      <c r="EF68" s="120">
        <f ca="1">IF(BD68,_xll.xASN(BR68,Strike1,AO68,ED68,0,BO68,0,BI68,BL68,IF(OptControl=4,0,1),0),0)</f>
        <v>0</v>
      </c>
      <c r="EG68" s="111">
        <f ca="1">IF(BD68,_xll.xASN(BR68,Strike2,AO68,EE68,0,BO68,0,BI68,BL68,IF(OptControl=3,1,0),0),0)</f>
        <v>0</v>
      </c>
      <c r="EL68" s="55"/>
      <c r="EM68" s="1"/>
      <c r="EN68" s="697">
        <v>41633</v>
      </c>
      <c r="EO68" s="698">
        <v>45292</v>
      </c>
      <c r="EP68" s="1"/>
      <c r="EQ68" s="683" t="s">
        <v>255</v>
      </c>
      <c r="ES68" s="498">
        <v>49</v>
      </c>
      <c r="ET68" s="476">
        <f t="shared" ca="1" si="165"/>
        <v>4.0246406570841886</v>
      </c>
      <c r="EU68" s="842">
        <f t="shared" ca="1" si="189"/>
        <v>0</v>
      </c>
      <c r="EV68" s="815">
        <f t="shared" ca="1" si="269"/>
        <v>0.18619272551917831</v>
      </c>
      <c r="EW68" s="478" t="str">
        <f t="shared" ca="1" si="270"/>
        <v/>
      </c>
      <c r="EX68" s="477" t="str">
        <f t="shared" ca="1" si="271"/>
        <v/>
      </c>
      <c r="EY68" s="250">
        <v>0</v>
      </c>
      <c r="EZ68" s="605" t="str">
        <f ca="1">IF(OR(EW68="",EW69=""),"",SQRT(SUM(INDEX(FK68:ID68,SwaptionFirstMonthPosition+1):INDEX(FK68:ID68,FJ68))/SUM(INDEX($FK$15:$ID$15,SwaptionFirstMonthPosition+1):INDEX($FK$15:$ID$15,FJ68))))</f>
        <v/>
      </c>
      <c r="FA68" s="581" t="str">
        <f ca="1">IF(OR(EW68="",EW67=""),"",SQRT(SUM(INDEX(FK68:ID68,SwaptionFirstMonthPosition+1):INDEX(FK68:ID68,FJ68-1))/SUM(INDEX($FK$15:$ID$15,SwaptionFirstMonthPosition+1):INDEX($FK$15:$ID$15,FJ68-1))))</f>
        <v/>
      </c>
      <c r="FB68" s="578" t="str">
        <f t="shared" ca="1" si="190"/>
        <v/>
      </c>
      <c r="FC68" s="609" t="str">
        <f t="shared" ca="1" si="191"/>
        <v/>
      </c>
      <c r="FD68" s="579" t="str">
        <f t="shared" ca="1" si="192"/>
        <v/>
      </c>
      <c r="FE68" s="579" t="str">
        <f t="shared" ca="1" si="193"/>
        <v/>
      </c>
      <c r="FF68" s="579" t="str">
        <f t="shared" ca="1" si="194"/>
        <v/>
      </c>
      <c r="FG68" s="580" t="str">
        <f t="shared" ca="1" si="195"/>
        <v/>
      </c>
      <c r="FH68" s="606" t="str">
        <f t="shared" ca="1" si="196"/>
        <v/>
      </c>
      <c r="FI68" s="250"/>
      <c r="FJ68" s="673">
        <v>49</v>
      </c>
      <c r="FK68" s="460">
        <f t="shared" ca="1" si="197"/>
        <v>0</v>
      </c>
      <c r="FL68" s="460">
        <f t="shared" ca="1" si="198"/>
        <v>2.1933172175063764E-3</v>
      </c>
      <c r="FM68" s="460">
        <f t="shared" ca="1" si="199"/>
        <v>2.5496927898072527E-3</v>
      </c>
      <c r="FN68" s="460">
        <f t="shared" ca="1" si="200"/>
        <v>2.1464178000278064E-3</v>
      </c>
      <c r="FO68" s="460">
        <f t="shared" ca="1" si="201"/>
        <v>2.2331007421843366E-3</v>
      </c>
      <c r="FP68" s="460">
        <f t="shared" ca="1" si="202"/>
        <v>2.4751640566417284E-3</v>
      </c>
      <c r="FQ68" s="460">
        <f t="shared" ca="1" si="203"/>
        <v>2.0045288340214068E-3</v>
      </c>
      <c r="FR68" s="460">
        <f t="shared" ca="1" si="204"/>
        <v>2.0502852923743689E-3</v>
      </c>
      <c r="FS68" s="460">
        <f t="shared" ca="1" si="205"/>
        <v>2.311503037251215E-3</v>
      </c>
      <c r="FT68" s="460">
        <f t="shared" ca="1" si="206"/>
        <v>2.0870806240844606E-3</v>
      </c>
      <c r="FU68" s="460">
        <f t="shared" ca="1" si="207"/>
        <v>2.007600869388987E-3</v>
      </c>
      <c r="FV68" s="460">
        <f t="shared" ca="1" si="208"/>
        <v>2.2076361499279891E-3</v>
      </c>
      <c r="FW68" s="460">
        <f t="shared" ca="1" si="209"/>
        <v>2.0648780579717841E-3</v>
      </c>
      <c r="FX68" s="460">
        <f t="shared" ca="1" si="210"/>
        <v>2.1994499261178708E-3</v>
      </c>
      <c r="FY68" s="460">
        <f t="shared" ca="1" si="211"/>
        <v>2.0606208798087575E-3</v>
      </c>
      <c r="FZ68" s="460">
        <f t="shared" ca="1" si="212"/>
        <v>1.923172346507154E-3</v>
      </c>
      <c r="GA68" s="460">
        <f t="shared" ca="1" si="213"/>
        <v>2.0615872266583259E-3</v>
      </c>
      <c r="GB68" s="460">
        <f t="shared" ca="1" si="214"/>
        <v>2.2700324848191054E-3</v>
      </c>
      <c r="GC68" s="460">
        <f t="shared" ca="1" si="215"/>
        <v>1.9978514475200875E-3</v>
      </c>
      <c r="GD68" s="460">
        <f t="shared" ca="1" si="216"/>
        <v>2.0018037287336016E-3</v>
      </c>
      <c r="GE68" s="460">
        <f t="shared" ca="1" si="217"/>
        <v>2.2835870032229845E-3</v>
      </c>
      <c r="GF68" s="460">
        <f t="shared" ca="1" si="218"/>
        <v>2.0129004360306471E-3</v>
      </c>
      <c r="GG68" s="460">
        <f t="shared" ca="1" si="219"/>
        <v>2.2292673975403076E-3</v>
      </c>
      <c r="GH68" s="460">
        <f t="shared" ca="1" si="220"/>
        <v>2.0990527188680897E-3</v>
      </c>
      <c r="GI68" s="460">
        <f t="shared" ca="1" si="221"/>
        <v>2.0395551007337618E-3</v>
      </c>
      <c r="GJ68" s="460">
        <f t="shared" ca="1" si="222"/>
        <v>2.3349902708622427E-3</v>
      </c>
      <c r="GK68" s="460">
        <f t="shared" ca="1" si="223"/>
        <v>2.1379025192876677E-3</v>
      </c>
      <c r="GL68" s="460">
        <f t="shared" ca="1" si="224"/>
        <v>2.0839990021832189E-3</v>
      </c>
      <c r="GM68" s="460">
        <f t="shared" ca="1" si="225"/>
        <v>2.2496804801928698E-3</v>
      </c>
      <c r="GN68" s="460">
        <f t="shared" ca="1" si="226"/>
        <v>2.2756882862630555E-3</v>
      </c>
      <c r="GO68" s="460">
        <f t="shared" ca="1" si="227"/>
        <v>2.3065417598419138E-3</v>
      </c>
      <c r="GP68" s="460">
        <f t="shared" ca="1" si="228"/>
        <v>2.1164555861176095E-3</v>
      </c>
      <c r="GQ68" s="460">
        <f t="shared" ca="1" si="229"/>
        <v>2.386928974704809E-3</v>
      </c>
      <c r="GR68" s="460">
        <f t="shared" ca="1" si="230"/>
        <v>2.3604980157120037E-3</v>
      </c>
      <c r="GS68" s="460">
        <f t="shared" ca="1" si="231"/>
        <v>2.5018735459403454E-3</v>
      </c>
      <c r="GT68" s="460">
        <f t="shared" ca="1" si="232"/>
        <v>2.4942752824728097E-3</v>
      </c>
      <c r="GU68" s="460">
        <f t="shared" ca="1" si="233"/>
        <v>2.6689148140224979E-3</v>
      </c>
      <c r="GV68" s="460">
        <f t="shared" ca="1" si="234"/>
        <v>2.7804027211428125E-3</v>
      </c>
      <c r="GW68" s="460">
        <f t="shared" ca="1" si="235"/>
        <v>2.8231132723836958E-3</v>
      </c>
      <c r="GX68" s="460">
        <f t="shared" ca="1" si="236"/>
        <v>3.0865228708342662E-3</v>
      </c>
      <c r="GY68" s="460">
        <f t="shared" ca="1" si="237"/>
        <v>3.1917273092155751E-3</v>
      </c>
      <c r="GZ68" s="460">
        <f t="shared" ca="1" si="238"/>
        <v>3.5656762536677594E-3</v>
      </c>
      <c r="HA68" s="460">
        <f t="shared" ca="1" si="239"/>
        <v>3.9087169634873381E-3</v>
      </c>
      <c r="HB68" s="460">
        <f t="shared" ca="1" si="240"/>
        <v>4.074808542308175E-3</v>
      </c>
      <c r="HC68" s="460">
        <f t="shared" ca="1" si="241"/>
        <v>4.9501167418200612E-3</v>
      </c>
      <c r="HD68" s="460">
        <f t="shared" ca="1" si="242"/>
        <v>5.5729662959657878E-3</v>
      </c>
      <c r="HE68" s="460">
        <f t="shared" ca="1" si="243"/>
        <v>6.8903203366995382E-3</v>
      </c>
      <c r="HF68" s="460">
        <f t="shared" ca="1" si="244"/>
        <v>8.2533612008546704E-3</v>
      </c>
      <c r="HG68" s="460">
        <f t="shared" ca="1" si="245"/>
        <v>1.0999592603662497E-2</v>
      </c>
      <c r="HH68" s="460" t="str">
        <f t="shared" si="246"/>
        <v/>
      </c>
      <c r="HI68" s="460" t="str">
        <f t="shared" si="247"/>
        <v/>
      </c>
      <c r="HJ68" s="460" t="str">
        <f t="shared" si="248"/>
        <v/>
      </c>
      <c r="HK68" s="460" t="str">
        <f t="shared" si="249"/>
        <v/>
      </c>
      <c r="HL68" s="460" t="str">
        <f t="shared" si="250"/>
        <v/>
      </c>
      <c r="HM68" s="460" t="str">
        <f t="shared" si="251"/>
        <v/>
      </c>
      <c r="HN68" s="460" t="str">
        <f t="shared" si="252"/>
        <v/>
      </c>
      <c r="HO68" s="460" t="str">
        <f t="shared" si="253"/>
        <v/>
      </c>
      <c r="HP68" s="460" t="str">
        <f t="shared" si="254"/>
        <v/>
      </c>
      <c r="HQ68" s="460" t="str">
        <f t="shared" si="255"/>
        <v/>
      </c>
      <c r="HR68" s="460" t="str">
        <f t="shared" si="256"/>
        <v/>
      </c>
      <c r="HS68" s="460" t="str">
        <f t="shared" si="257"/>
        <v/>
      </c>
      <c r="HT68" s="460" t="str">
        <f t="shared" si="258"/>
        <v/>
      </c>
      <c r="HU68" s="460" t="str">
        <f t="shared" si="259"/>
        <v/>
      </c>
      <c r="HV68" s="460" t="str">
        <f t="shared" si="260"/>
        <v/>
      </c>
      <c r="HW68" s="460" t="str">
        <f t="shared" si="261"/>
        <v/>
      </c>
      <c r="HX68" s="460" t="str">
        <f t="shared" si="262"/>
        <v/>
      </c>
      <c r="HY68" s="460" t="str">
        <f t="shared" si="263"/>
        <v/>
      </c>
      <c r="HZ68" s="460" t="str">
        <f t="shared" si="264"/>
        <v/>
      </c>
      <c r="IA68" s="460" t="str">
        <f t="shared" si="265"/>
        <v/>
      </c>
      <c r="IB68" s="460" t="str">
        <f t="shared" si="266"/>
        <v/>
      </c>
      <c r="IC68" s="460" t="str">
        <f t="shared" si="267"/>
        <v/>
      </c>
      <c r="ID68" s="674" t="str">
        <f t="shared" si="268"/>
        <v/>
      </c>
      <c r="IE68" s="250"/>
    </row>
    <row r="69" spans="1:239">
      <c r="A69" s="53"/>
      <c r="F69" s="53"/>
      <c r="G69" s="53"/>
      <c r="H69" s="51">
        <f t="shared" ca="1" si="35"/>
        <v>0</v>
      </c>
      <c r="I69" s="379">
        <f t="shared" si="36"/>
        <v>38261</v>
      </c>
      <c r="J69" s="377"/>
      <c r="K69" s="104" t="s">
        <v>269</v>
      </c>
      <c r="L69" s="392">
        <f t="shared" si="37"/>
        <v>0</v>
      </c>
      <c r="M69" s="171"/>
      <c r="N69" s="382">
        <v>0</v>
      </c>
      <c r="O69" s="171">
        <f t="shared" si="38"/>
        <v>0</v>
      </c>
      <c r="P69" s="377"/>
      <c r="Q69" s="104" t="s">
        <v>268</v>
      </c>
      <c r="R69" s="377">
        <f t="shared" ca="1" si="148"/>
        <v>-1.3749133019561022</v>
      </c>
      <c r="S69" s="832">
        <f t="shared" si="164"/>
        <v>0.36000004027176224</v>
      </c>
      <c r="T69" s="831">
        <f t="shared" si="149"/>
        <v>0.99994789427845632</v>
      </c>
      <c r="U69" s="545">
        <f t="shared" si="150"/>
        <v>0.99999998867356688</v>
      </c>
      <c r="V69" s="389">
        <v>0</v>
      </c>
      <c r="W69" s="434">
        <f t="shared" si="166"/>
        <v>0</v>
      </c>
      <c r="X69" s="415">
        <f t="shared" si="167"/>
        <v>0</v>
      </c>
      <c r="Y69" s="322">
        <f t="shared" si="168"/>
        <v>-1.1348999999999998</v>
      </c>
      <c r="Z69" s="322">
        <f t="shared" ca="1" si="169"/>
        <v>-1.1348999999999998</v>
      </c>
      <c r="AA69" s="429">
        <f t="shared" si="1"/>
        <v>1.1348999999999998</v>
      </c>
      <c r="AB69" s="433">
        <f t="shared" ca="1" si="2"/>
        <v>1.1348999999999998</v>
      </c>
      <c r="AC69" s="229">
        <v>38250</v>
      </c>
      <c r="AD69" s="229">
        <v>38246</v>
      </c>
      <c r="AE69" s="229">
        <v>38245</v>
      </c>
      <c r="AF69" s="229">
        <v>38241</v>
      </c>
      <c r="AG69" s="249" t="s">
        <v>90</v>
      </c>
      <c r="AH69" s="247" t="s">
        <v>499</v>
      </c>
      <c r="AI69" s="146">
        <v>21</v>
      </c>
      <c r="AJ69" s="41">
        <v>14</v>
      </c>
      <c r="AK69" s="41">
        <v>7</v>
      </c>
      <c r="AL69" s="293">
        <v>21</v>
      </c>
      <c r="AM69" s="41">
        <v>10</v>
      </c>
      <c r="AN69" s="147">
        <v>11</v>
      </c>
      <c r="AO69" s="374"/>
      <c r="AP69" s="153">
        <f t="shared" ca="1" si="43"/>
        <v>1</v>
      </c>
      <c r="AQ69" s="374"/>
      <c r="AR69" s="153">
        <f t="shared" ca="1" si="151"/>
        <v>1</v>
      </c>
      <c r="AS69" s="272">
        <f t="shared" si="170"/>
        <v>0</v>
      </c>
      <c r="AT69" s="157">
        <f t="shared" si="44"/>
        <v>0</v>
      </c>
      <c r="AU69" s="157">
        <f t="shared" si="4"/>
        <v>0</v>
      </c>
      <c r="AV69" s="271">
        <f t="shared" ca="1" si="163"/>
        <v>9.9999999999999995E-7</v>
      </c>
      <c r="AW69" s="158" t="str">
        <f t="shared" ca="1" si="171"/>
        <v/>
      </c>
      <c r="AX69" s="157">
        <f t="shared" ca="1" si="152"/>
        <v>4.8902916904922621E-3</v>
      </c>
      <c r="AY69" s="157">
        <f t="shared" ca="1" si="153"/>
        <v>2.7307633427788953E-3</v>
      </c>
      <c r="AZ69" s="157">
        <f t="shared" ca="1" si="154"/>
        <v>8.6220994672650357E-4</v>
      </c>
      <c r="BA69" s="157">
        <f t="shared" ca="1" si="155"/>
        <v>1.0777624334081295E-4</v>
      </c>
      <c r="BB69" s="157">
        <f t="shared" ca="1" si="156"/>
        <v>4.3921438936837793E-5</v>
      </c>
      <c r="BC69" s="157">
        <f t="shared" ca="1" si="157"/>
        <v>2.3231437257316433E-5</v>
      </c>
      <c r="BD69" s="151">
        <f t="shared" ca="1" si="172"/>
        <v>0</v>
      </c>
      <c r="BE69" s="152">
        <f t="shared" ca="1" si="173"/>
        <v>0</v>
      </c>
      <c r="BF69" s="40">
        <f t="shared" si="174"/>
        <v>2004</v>
      </c>
      <c r="BG69" s="144">
        <f t="shared" si="175"/>
        <v>10</v>
      </c>
      <c r="BH69" s="145">
        <f t="shared" ca="1" si="176"/>
        <v>1501</v>
      </c>
      <c r="BI69" s="313">
        <f t="shared" ca="1" si="177"/>
        <v>4.1505817932922655</v>
      </c>
      <c r="BJ69" s="42">
        <f t="shared" ca="1" si="10"/>
        <v>4.2053388090349078</v>
      </c>
      <c r="BK69" s="42">
        <f t="shared" ca="1" si="178"/>
        <v>4.2080766598220398</v>
      </c>
      <c r="BL69" s="42">
        <f t="shared" ca="1" si="179"/>
        <v>4.2327173169062284</v>
      </c>
      <c r="BM69" s="150" t="e">
        <f t="shared" ca="1" si="13"/>
        <v>#DIV/0!</v>
      </c>
      <c r="BN69" s="42" t="e">
        <f t="shared" ca="1" si="14"/>
        <v>#DIV/0!</v>
      </c>
      <c r="BO69" s="293">
        <f t="shared" si="48"/>
        <v>21</v>
      </c>
      <c r="BP69" s="41">
        <f t="shared" si="49"/>
        <v>14</v>
      </c>
      <c r="BQ69" s="41">
        <f t="shared" si="50"/>
        <v>7</v>
      </c>
      <c r="BR69" s="305" t="str">
        <f t="shared" ca="1" si="15"/>
        <v/>
      </c>
      <c r="BS69" s="305" t="str">
        <f t="shared" ca="1" si="180"/>
        <v/>
      </c>
      <c r="BT69" s="307" t="str">
        <f t="shared" ca="1" si="181"/>
        <v/>
      </c>
      <c r="BU69" s="161" t="str">
        <f t="shared" ca="1" si="18"/>
        <v/>
      </c>
      <c r="BV69" s="161" t="str">
        <f t="shared" ca="1" si="19"/>
        <v/>
      </c>
      <c r="BW69" s="308" t="str">
        <f t="shared" ca="1" si="20"/>
        <v/>
      </c>
      <c r="BX69" s="309" t="str">
        <f t="shared" ca="1" si="21"/>
        <v/>
      </c>
      <c r="BY69" s="308" t="str">
        <f t="shared" ca="1" si="51"/>
        <v/>
      </c>
      <c r="BZ69" s="309" t="str">
        <f t="shared" ca="1" si="52"/>
        <v/>
      </c>
      <c r="CA69" s="154" t="str">
        <f t="shared" ca="1" si="22"/>
        <v/>
      </c>
      <c r="CB69" s="154" t="str">
        <f t="shared" ca="1" si="23"/>
        <v/>
      </c>
      <c r="CC69" s="154" t="str">
        <f t="shared" ca="1" si="24"/>
        <v/>
      </c>
      <c r="CD69" s="154" t="str">
        <f t="shared" ca="1" si="25"/>
        <v/>
      </c>
      <c r="CE69" s="310">
        <v>1</v>
      </c>
      <c r="CF69" s="162">
        <f ca="1">IF(BD69,_xll.xCrudeAPO(BU69,BV69,CA69,CB69,S70,S71,BI69,BL69,BP69,BQ69,0,Strike1,AO69,CE69,0,BL69,IF(OptControl=4,0,1),0,1),0)</f>
        <v>0</v>
      </c>
      <c r="CG69" s="163">
        <f ca="1">IF(BD69,_xll.xCrudeAPO(BU69,BV69,CA69,CB69,S70,S71,BI69,BL69,BP69,BQ69,0,Strike1,AO69,CE69,0,BL69,IF(OptControl=4,0,1),1,1)+_xll.xCrudeAPO(BU69,BV69,CA69,CB69,S70,S71,BI69,BL69,BP69,BQ69,0,Strike1,AO69,CE69,0,BL69,IF(OptControl=4,0,1),1,2)+IF(OR(VolSkewFlag=2,ABS(BS69)&lt;0.0001),0,IF(BS69&gt;0,-1,1)*CH69*Strike1/BR69^2*BY69/10%),0)</f>
        <v>0</v>
      </c>
      <c r="CH69" s="163">
        <f ca="1">IF(BD69,(_xll.xCrudeAPO(BU69,BV69,CA69,CB69,S70,S71,BI69,BL69,BP69,BQ69,0,Strike1,AO69,CE69,0,BL69,IF(OptControl=4,0,1),3,1)+_xll.xCrudeAPO(BU69,BV69,CA69,CB69,S70,S71,BI69,BL69,BP69,BQ69,0,Strike1,AO69,CE69,0,BL69,IF(OptControl=4,0,1),3,2))/100,0)</f>
        <v>0</v>
      </c>
      <c r="CI69" s="163">
        <f ca="1">IF(BD69,_xll.xCrudeAPO(BU69,BV69,CA69,CB69,S70,S71,BI69-DaysForThetaCalculation/365.25,BL69-DaysForThetaCalculation/365.25,BP69,BQ69,0,Strike1,AO69,CE69,0,BL69,IF(OptControl=4,0,1),0,1)-_xll.xCrudeAPO(BU69,BV69,CA69,CB69,S70,S71,BI69,BL69,BP69,BQ69,0,Strike1,AO69,CE69,0,BL69,IF(OptControl=4,0,1),0,1),0)</f>
        <v>0</v>
      </c>
      <c r="CJ69" s="311">
        <f ca="1">IF(BD69,_xll.xCrudeAPO(BU69,BV69,CC69,CD69,S70,S71,BI69,BL69,BP69,BQ69,0,Strike2,AO69,CE69,0,BL69,IF(OptControl=3,1,0),0,1),0)</f>
        <v>0</v>
      </c>
      <c r="CK69" s="163">
        <f ca="1">IF(BD69,_xll.xCrudeAPO(BU69,BV69,CC69,CD69,S70,S71,BI69,BL69,BP69,BQ69,0,Strike2,AO69,CE69,0,BL69,IF(OptControl=3,1,0),1,1)+_xll.xCrudeAPO(BU69,BV69,CC69,CD69,S70,S71,BI69,BL69,BP69,BQ69,0,Strike2,AO69,CE69,0,BL69,IF(OptControl=3,1,0),1,2)+IF(OR(VolSkewFlag=2,ABS(BT69)&lt;0.0001),0,IF(BT69&gt;0,-1,1)*CL69*Strike2/BR69^2*BZ69/10%),0)</f>
        <v>0</v>
      </c>
      <c r="CL69" s="163">
        <f ca="1">IF(BD69,(_xll.xCrudeAPO(BU69,BV69,CC69,CD69,S70,S71,BI69,BL69,BP69,BQ69,0,Strike2,AO69,CE69,0,BL69,IF(OptControl=3,1,0),3,1)+_xll.xCrudeAPO(BU69,BV69,CC69,CD69,S70,S71,BI69,BL69,BP69,BQ69,0,Strike2,AO69,CE69,0,BL69,IF(OptControl=3,1,0),3,2))/100,0)</f>
        <v>0</v>
      </c>
      <c r="CM69" s="164">
        <f ca="1">IF(BD69,_xll.xCrudeAPO(BU69,BV69,CC69,CD69,S70,S71,BI69-DaysForThetaCalculation/365.25,BL69-DaysForThetaCalculation/365.25,BP69,BQ69,0,Strike2,AO69,CE69,0,BL69,IF(OptControl=3,1,0),0,1)-_xll.xCrudeAPO(BU69,BV69,CC69,CD69,S70,S71,BI69,BL69,BP69,BQ69,0,Strike2,AO69,CE69,0,BL69,IF(OptControl=3,1,0),0,1),0)</f>
        <v>0</v>
      </c>
      <c r="CN69" s="53"/>
      <c r="CO69" s="796" t="str">
        <f t="shared" ca="1" si="53"/>
        <v/>
      </c>
      <c r="CP69" s="800" t="str">
        <f t="shared" ca="1" si="54"/>
        <v/>
      </c>
      <c r="CQ69" s="797" t="str">
        <f t="shared" ca="1" si="55"/>
        <v/>
      </c>
      <c r="CR69" s="797" t="str">
        <f t="shared" ca="1" si="56"/>
        <v/>
      </c>
      <c r="CS69" s="797" t="str">
        <f t="shared" ca="1" si="57"/>
        <v/>
      </c>
      <c r="CT69" s="797" t="str">
        <f t="shared" ca="1" si="58"/>
        <v/>
      </c>
      <c r="CU69" s="798" t="str">
        <f t="shared" ca="1" si="59"/>
        <v/>
      </c>
      <c r="CV69" s="799" t="str">
        <f t="shared" ca="1" si="60"/>
        <v/>
      </c>
      <c r="CW69" s="799" t="str">
        <f t="shared" ca="1" si="61"/>
        <v/>
      </c>
      <c r="CX69" s="163">
        <f ca="1">IF(BD69,_xll.EURO(CP69,Strike1,AO69,AO69,CV69,CO69,IF(OptControl=4,0,1),0),0)</f>
        <v>0</v>
      </c>
      <c r="CY69" s="163">
        <f ca="1">IF(BD69,_xll.EURO(CP69,Strike1,AO69,AO69,CV69,CO69,IF(OptControl=4,0,1),1)+IF(OR(VolSkewFlag=2,ABS(CQ69)&lt;0.0001),0,IF(CQ69&gt;0,-1,1)*CZ69*100*Strike1/CP69^2*CS69/10%),0)</f>
        <v>0</v>
      </c>
      <c r="CZ69" s="163">
        <f ca="1">IF(BD69,_xll.EURO(CP69,Strike1,AO69,AO69,CV69,CO69,IF(OptControl=4,0,1),3)/100,0)</f>
        <v>0</v>
      </c>
      <c r="DA69" s="163">
        <f ca="1">IF(BD69,_xll.EURO(CP69,Strike1,AO69,AO69,CV69,CO69,IF(OptControl=4,0,1),0)-_xll.EURO(CP69,Strike1,AO69,AO69,CV69,CO69-1,IF(OptControl=4,0,1),0),0)</f>
        <v>0</v>
      </c>
      <c r="DB69" s="163">
        <f ca="1">IF(BD69,_xll.EURO(CP69,Strike2,AO69,AO69,CW69,CO69,IF(OptControl=3,1,0),0),0)</f>
        <v>0</v>
      </c>
      <c r="DC69" s="163">
        <f ca="1">IF(BD69,_xll.EURO(CP69,Strike2,AO69,AO69,CW69,CO69,IF(OptControl=3,1,0),1)+IF(OR(VolSkewFlag=2,ABS(CR69)&lt;0.0001),0,IF(CR69&gt;0,-1,1)*DD69*100*Strike2/CP69^2*CT69/10%),0)</f>
        <v>0</v>
      </c>
      <c r="DD69" s="163">
        <f ca="1">IF(BD69,_xll.EURO(CP69,Strike2,AO69,AO69,CW69,CO69,IF(OptControl=3,1,0),3)/100,0)</f>
        <v>0</v>
      </c>
      <c r="DE69" s="164">
        <f ca="1">IF(BD69,_xll.EURO(CP69,Strike2,AO69,AO69,CW69,CO69,IF(OptControl=3,1,0),0)-_xll.EURO(CP69,Strike2,AO69,AO69,CW69,CO69-1,IF(OptControl=3,1,0),0),0)</f>
        <v>0</v>
      </c>
      <c r="DG69" s="667">
        <f t="shared" ca="1" si="62"/>
        <v>38047</v>
      </c>
      <c r="DH69" s="475">
        <v>18.405000000000001</v>
      </c>
      <c r="DI69" s="665">
        <v>18.39826086956522</v>
      </c>
      <c r="DJ69" s="666">
        <f t="shared" ca="1" si="182"/>
        <v>38047</v>
      </c>
      <c r="DK69" s="475">
        <v>17.247826832852329</v>
      </c>
      <c r="DL69" s="665">
        <v>17.277260869565222</v>
      </c>
      <c r="DM69" s="667">
        <f t="shared" ca="1" si="183"/>
        <v>38047</v>
      </c>
      <c r="DN69" s="668">
        <f t="shared" si="184"/>
        <v>17.29782683285233</v>
      </c>
      <c r="DO69" s="667">
        <f t="shared" ca="1" si="63"/>
        <v>38047</v>
      </c>
      <c r="DP69" s="579">
        <f t="shared" si="64"/>
        <v>17.277260869565222</v>
      </c>
      <c r="DQ69" s="821">
        <v>0</v>
      </c>
      <c r="DR69" s="666">
        <f t="shared" ca="1" si="185"/>
        <v>38047</v>
      </c>
      <c r="DS69" s="669">
        <v>0.202928316362077</v>
      </c>
      <c r="DT69" s="606">
        <v>0.202135132206366</v>
      </c>
      <c r="DU69" s="666">
        <f t="shared" ca="1" si="186"/>
        <v>38047</v>
      </c>
      <c r="DV69" s="669">
        <v>0.202928316362077</v>
      </c>
      <c r="DW69" s="606">
        <v>0.202135132206366</v>
      </c>
      <c r="DX69" s="667">
        <f t="shared" ca="1" si="187"/>
        <v>38047</v>
      </c>
      <c r="DY69" s="606">
        <v>0.35</v>
      </c>
      <c r="DZ69" s="667">
        <f t="shared" ca="1" si="65"/>
        <v>38047</v>
      </c>
      <c r="EA69" s="606">
        <f t="shared" si="66"/>
        <v>0.202135132206366</v>
      </c>
      <c r="EB69" s="1"/>
      <c r="EC69" s="118" t="str">
        <f t="shared" ca="1" si="188"/>
        <v/>
      </c>
      <c r="ED69" s="119" t="str">
        <f t="shared" ca="1" si="33"/>
        <v/>
      </c>
      <c r="EE69" s="112" t="str">
        <f t="shared" ca="1" si="34"/>
        <v/>
      </c>
      <c r="EF69" s="120">
        <f ca="1">IF(BD69,_xll.xASN(BR69,Strike1,AO69,ED69,0,BO69,0,BI69,BL69,IF(OptControl=4,0,1),0),0)</f>
        <v>0</v>
      </c>
      <c r="EG69" s="111">
        <f ca="1">IF(BD69,_xll.xASN(BR69,Strike2,AO69,EE69,0,BO69,0,BI69,BL69,IF(OptControl=3,1,0),0),0)</f>
        <v>0</v>
      </c>
      <c r="EL69" s="55"/>
      <c r="EM69" s="1"/>
      <c r="EN69" s="697">
        <v>41640</v>
      </c>
      <c r="EO69" s="698">
        <v>45651</v>
      </c>
      <c r="EP69" s="1"/>
      <c r="EQ69" s="683" t="s">
        <v>256</v>
      </c>
      <c r="ES69" s="498">
        <v>50</v>
      </c>
      <c r="ET69" s="476">
        <f t="shared" ca="1" si="165"/>
        <v>4.1095140314852845</v>
      </c>
      <c r="EU69" s="842">
        <f t="shared" ca="1" si="189"/>
        <v>0</v>
      </c>
      <c r="EV69" s="815">
        <f t="shared" ca="1" si="269"/>
        <v>0.18572846476673183</v>
      </c>
      <c r="EW69" s="478" t="str">
        <f t="shared" ca="1" si="270"/>
        <v/>
      </c>
      <c r="EX69" s="477" t="str">
        <f t="shared" ca="1" si="271"/>
        <v/>
      </c>
      <c r="EY69" s="250">
        <v>0</v>
      </c>
      <c r="EZ69" s="605" t="str">
        <f ca="1">IF(OR(EW69="",EW70=""),"",SQRT(SUM(INDEX(FK69:ID69,SwaptionFirstMonthPosition+1):INDEX(FK69:ID69,FJ69))/SUM(INDEX($FK$15:$ID$15,SwaptionFirstMonthPosition+1):INDEX($FK$15:$ID$15,FJ69))))</f>
        <v/>
      </c>
      <c r="FA69" s="581" t="str">
        <f ca="1">IF(OR(EW69="",EW68=""),"",SQRT(SUM(INDEX(FK69:ID69,SwaptionFirstMonthPosition+1):INDEX(FK69:ID69,FJ69-1))/SUM(INDEX($FK$15:$ID$15,SwaptionFirstMonthPosition+1):INDEX($FK$15:$ID$15,FJ69-1))))</f>
        <v/>
      </c>
      <c r="FB69" s="578" t="str">
        <f t="shared" ca="1" si="190"/>
        <v/>
      </c>
      <c r="FC69" s="609" t="str">
        <f t="shared" ca="1" si="191"/>
        <v/>
      </c>
      <c r="FD69" s="579" t="str">
        <f t="shared" ca="1" si="192"/>
        <v/>
      </c>
      <c r="FE69" s="579" t="str">
        <f t="shared" ca="1" si="193"/>
        <v/>
      </c>
      <c r="FF69" s="579" t="str">
        <f t="shared" ca="1" si="194"/>
        <v/>
      </c>
      <c r="FG69" s="580" t="str">
        <f t="shared" ca="1" si="195"/>
        <v/>
      </c>
      <c r="FH69" s="606" t="str">
        <f t="shared" ca="1" si="196"/>
        <v/>
      </c>
      <c r="FI69" s="250"/>
      <c r="FJ69" s="673">
        <v>50</v>
      </c>
      <c r="FK69" s="460">
        <f t="shared" ca="1" si="197"/>
        <v>0</v>
      </c>
      <c r="FL69" s="460">
        <f t="shared" ca="1" si="198"/>
        <v>2.1930045907731697E-3</v>
      </c>
      <c r="FM69" s="460">
        <f t="shared" ca="1" si="199"/>
        <v>2.5492677335578941E-3</v>
      </c>
      <c r="FN69" s="460">
        <f t="shared" ca="1" si="200"/>
        <v>2.1459992892021384E-3</v>
      </c>
      <c r="FO69" s="460">
        <f t="shared" ca="1" si="201"/>
        <v>2.2325914879645367E-3</v>
      </c>
      <c r="FP69" s="460">
        <f t="shared" ca="1" si="202"/>
        <v>2.4745038738566657E-3</v>
      </c>
      <c r="FQ69" s="460">
        <f t="shared" ca="1" si="203"/>
        <v>2.0039035081475072E-3</v>
      </c>
      <c r="FR69" s="460">
        <f t="shared" ca="1" si="204"/>
        <v>2.04953722231565E-3</v>
      </c>
      <c r="FS69" s="460">
        <f t="shared" ca="1" si="205"/>
        <v>2.3105166298323619E-3</v>
      </c>
      <c r="FT69" s="460">
        <f t="shared" ca="1" si="206"/>
        <v>2.0860389425322663E-3</v>
      </c>
      <c r="FU69" s="460">
        <f t="shared" ca="1" si="207"/>
        <v>2.0064289249916321E-3</v>
      </c>
      <c r="FV69" s="460">
        <f t="shared" ca="1" si="208"/>
        <v>2.2061288800698763E-3</v>
      </c>
      <c r="FW69" s="460">
        <f t="shared" ca="1" si="209"/>
        <v>2.0632291674864745E-3</v>
      </c>
      <c r="FX69" s="460">
        <f t="shared" ca="1" si="210"/>
        <v>2.1973957136209922E-3</v>
      </c>
      <c r="FY69" s="460">
        <f t="shared" ca="1" si="211"/>
        <v>2.0583699431751721E-3</v>
      </c>
      <c r="FZ69" s="460">
        <f t="shared" ca="1" si="212"/>
        <v>1.9207152780082359E-3</v>
      </c>
      <c r="GA69" s="460">
        <f t="shared" ca="1" si="213"/>
        <v>2.0585066312878066E-3</v>
      </c>
      <c r="GB69" s="460">
        <f t="shared" ca="1" si="214"/>
        <v>2.2660651495683653E-3</v>
      </c>
      <c r="GC69" s="460">
        <f t="shared" ca="1" si="215"/>
        <v>1.9937676527662174E-3</v>
      </c>
      <c r="GD69" s="460">
        <f t="shared" ca="1" si="216"/>
        <v>1.9970179116746431E-3</v>
      </c>
      <c r="GE69" s="460">
        <f t="shared" ca="1" si="217"/>
        <v>2.2772016335184946E-3</v>
      </c>
      <c r="GF69" s="460">
        <f t="shared" ca="1" si="218"/>
        <v>2.006317423769088E-3</v>
      </c>
      <c r="GG69" s="460">
        <f t="shared" ca="1" si="219"/>
        <v>2.2207403551895702E-3</v>
      </c>
      <c r="GH69" s="460">
        <f t="shared" ca="1" si="220"/>
        <v>2.0896621157315801E-3</v>
      </c>
      <c r="GI69" s="460">
        <f t="shared" ca="1" si="221"/>
        <v>2.0288832567219427E-3</v>
      </c>
      <c r="GJ69" s="460">
        <f t="shared" ca="1" si="222"/>
        <v>2.3207005749666634E-3</v>
      </c>
      <c r="GK69" s="460">
        <f t="shared" ca="1" si="223"/>
        <v>2.1226001141651427E-3</v>
      </c>
      <c r="GL69" s="460">
        <f t="shared" ca="1" si="224"/>
        <v>2.0665527081196156E-3</v>
      </c>
      <c r="GM69" s="460">
        <f t="shared" ca="1" si="225"/>
        <v>2.2276532237927951E-3</v>
      </c>
      <c r="GN69" s="460">
        <f t="shared" ca="1" si="226"/>
        <v>2.2496275772943618E-3</v>
      </c>
      <c r="GO69" s="460">
        <f t="shared" ca="1" si="227"/>
        <v>2.2756481498636951E-3</v>
      </c>
      <c r="GP69" s="460">
        <f t="shared" ca="1" si="228"/>
        <v>2.0833004830732526E-3</v>
      </c>
      <c r="GQ69" s="460">
        <f t="shared" ca="1" si="229"/>
        <v>2.3431954375441105E-3</v>
      </c>
      <c r="GR69" s="460">
        <f t="shared" ca="1" si="230"/>
        <v>2.3099140781163881E-3</v>
      </c>
      <c r="GS69" s="460">
        <f t="shared" ca="1" si="231"/>
        <v>2.439167670757969E-3</v>
      </c>
      <c r="GT69" s="460">
        <f t="shared" ca="1" si="232"/>
        <v>2.4211578139382343E-3</v>
      </c>
      <c r="GU69" s="460">
        <f t="shared" ca="1" si="233"/>
        <v>2.5774097010748008E-3</v>
      </c>
      <c r="GV69" s="460">
        <f t="shared" ca="1" si="234"/>
        <v>2.6689085304862424E-3</v>
      </c>
      <c r="GW69" s="460">
        <f t="shared" ca="1" si="235"/>
        <v>2.6907075596358386E-3</v>
      </c>
      <c r="GX69" s="460">
        <f t="shared" ca="1" si="236"/>
        <v>2.9172131848008462E-3</v>
      </c>
      <c r="GY69" s="460">
        <f t="shared" ca="1" si="237"/>
        <v>2.9869546501683354E-3</v>
      </c>
      <c r="GZ69" s="460">
        <f t="shared" ca="1" si="238"/>
        <v>3.2981157626523197E-3</v>
      </c>
      <c r="HA69" s="460">
        <f t="shared" ca="1" si="239"/>
        <v>3.5656742615298611E-3</v>
      </c>
      <c r="HB69" s="460">
        <f t="shared" ca="1" si="240"/>
        <v>3.6565401433417467E-3</v>
      </c>
      <c r="HC69" s="460">
        <f t="shared" ca="1" si="241"/>
        <v>4.3558284521898402E-3</v>
      </c>
      <c r="HD69" s="460">
        <f t="shared" ca="1" si="242"/>
        <v>4.7904344274892078E-3</v>
      </c>
      <c r="HE69" s="460">
        <f t="shared" ca="1" si="243"/>
        <v>5.7587308211599518E-3</v>
      </c>
      <c r="HF69" s="460">
        <f t="shared" ca="1" si="244"/>
        <v>6.6680510546785381E-3</v>
      </c>
      <c r="HG69" s="460">
        <f t="shared" ca="1" si="245"/>
        <v>8.5284723928422453E-3</v>
      </c>
      <c r="HH69" s="460">
        <f t="shared" ca="1" si="246"/>
        <v>1.099959178334242E-2</v>
      </c>
      <c r="HI69" s="460" t="str">
        <f t="shared" si="247"/>
        <v/>
      </c>
      <c r="HJ69" s="460" t="str">
        <f t="shared" si="248"/>
        <v/>
      </c>
      <c r="HK69" s="460" t="str">
        <f t="shared" si="249"/>
        <v/>
      </c>
      <c r="HL69" s="460" t="str">
        <f t="shared" si="250"/>
        <v/>
      </c>
      <c r="HM69" s="460" t="str">
        <f t="shared" si="251"/>
        <v/>
      </c>
      <c r="HN69" s="460" t="str">
        <f t="shared" si="252"/>
        <v/>
      </c>
      <c r="HO69" s="460" t="str">
        <f t="shared" si="253"/>
        <v/>
      </c>
      <c r="HP69" s="460" t="str">
        <f t="shared" si="254"/>
        <v/>
      </c>
      <c r="HQ69" s="460" t="str">
        <f t="shared" si="255"/>
        <v/>
      </c>
      <c r="HR69" s="460" t="str">
        <f t="shared" si="256"/>
        <v/>
      </c>
      <c r="HS69" s="460" t="str">
        <f t="shared" si="257"/>
        <v/>
      </c>
      <c r="HT69" s="460" t="str">
        <f t="shared" si="258"/>
        <v/>
      </c>
      <c r="HU69" s="460" t="str">
        <f t="shared" si="259"/>
        <v/>
      </c>
      <c r="HV69" s="460" t="str">
        <f t="shared" si="260"/>
        <v/>
      </c>
      <c r="HW69" s="460" t="str">
        <f t="shared" si="261"/>
        <v/>
      </c>
      <c r="HX69" s="460" t="str">
        <f t="shared" si="262"/>
        <v/>
      </c>
      <c r="HY69" s="460" t="str">
        <f t="shared" si="263"/>
        <v/>
      </c>
      <c r="HZ69" s="460" t="str">
        <f t="shared" si="264"/>
        <v/>
      </c>
      <c r="IA69" s="460" t="str">
        <f t="shared" si="265"/>
        <v/>
      </c>
      <c r="IB69" s="460" t="str">
        <f t="shared" si="266"/>
        <v/>
      </c>
      <c r="IC69" s="460" t="str">
        <f t="shared" si="267"/>
        <v/>
      </c>
      <c r="ID69" s="674" t="str">
        <f t="shared" si="268"/>
        <v/>
      </c>
      <c r="IE69" s="250"/>
    </row>
    <row r="70" spans="1:239">
      <c r="A70" s="53"/>
      <c r="F70" s="53"/>
      <c r="G70" s="53"/>
      <c r="H70" s="51">
        <f t="shared" ca="1" si="35"/>
        <v>0</v>
      </c>
      <c r="I70" s="379">
        <f t="shared" si="36"/>
        <v>38292</v>
      </c>
      <c r="J70" s="377"/>
      <c r="K70" s="104" t="s">
        <v>269</v>
      </c>
      <c r="L70" s="392">
        <f t="shared" si="37"/>
        <v>0</v>
      </c>
      <c r="M70" s="171"/>
      <c r="N70" s="382">
        <v>0</v>
      </c>
      <c r="O70" s="171">
        <f t="shared" si="38"/>
        <v>0</v>
      </c>
      <c r="P70" s="377"/>
      <c r="Q70" s="104" t="s">
        <v>268</v>
      </c>
      <c r="R70" s="377">
        <f t="shared" ca="1" si="148"/>
        <v>-1.0635889150365816</v>
      </c>
      <c r="S70" s="832">
        <f t="shared" si="164"/>
        <v>0.36000003020382165</v>
      </c>
      <c r="T70" s="831">
        <f t="shared" si="149"/>
        <v>0.99995545037092226</v>
      </c>
      <c r="U70" s="545">
        <f t="shared" si="150"/>
        <v>0.99999999150517516</v>
      </c>
      <c r="V70" s="389">
        <v>0</v>
      </c>
      <c r="W70" s="434">
        <f t="shared" si="166"/>
        <v>0</v>
      </c>
      <c r="X70" s="415">
        <f t="shared" si="167"/>
        <v>0</v>
      </c>
      <c r="Y70" s="322">
        <f t="shared" si="168"/>
        <v>-1.1348999999999998</v>
      </c>
      <c r="Z70" s="322">
        <f t="shared" ca="1" si="169"/>
        <v>-1.1348999999999998</v>
      </c>
      <c r="AA70" s="429">
        <f t="shared" si="1"/>
        <v>1.1348999999999998</v>
      </c>
      <c r="AB70" s="433">
        <f t="shared" ca="1" si="2"/>
        <v>1.1348999999999998</v>
      </c>
      <c r="AC70" s="229">
        <v>38280</v>
      </c>
      <c r="AD70" s="229">
        <v>38276</v>
      </c>
      <c r="AE70" s="229">
        <v>38275</v>
      </c>
      <c r="AF70" s="229">
        <v>38271</v>
      </c>
      <c r="AG70" s="249" t="s">
        <v>90</v>
      </c>
      <c r="AH70" s="247" t="s">
        <v>499</v>
      </c>
      <c r="AI70" s="146">
        <v>22</v>
      </c>
      <c r="AJ70" s="41">
        <v>15</v>
      </c>
      <c r="AK70" s="41">
        <v>7</v>
      </c>
      <c r="AL70" s="293">
        <v>22</v>
      </c>
      <c r="AM70" s="41">
        <v>10</v>
      </c>
      <c r="AN70" s="147">
        <v>12</v>
      </c>
      <c r="AO70" s="374"/>
      <c r="AP70" s="153">
        <f t="shared" ca="1" si="43"/>
        <v>1</v>
      </c>
      <c r="AQ70" s="374"/>
      <c r="AR70" s="153">
        <f t="shared" ca="1" si="151"/>
        <v>1</v>
      </c>
      <c r="AS70" s="272">
        <f t="shared" si="170"/>
        <v>0</v>
      </c>
      <c r="AT70" s="157">
        <f t="shared" si="44"/>
        <v>0</v>
      </c>
      <c r="AU70" s="157">
        <f t="shared" si="4"/>
        <v>0</v>
      </c>
      <c r="AV70" s="271">
        <f t="shared" ca="1" si="163"/>
        <v>9.9999999999999995E-7</v>
      </c>
      <c r="AW70" s="158" t="str">
        <f t="shared" ca="1" si="171"/>
        <v/>
      </c>
      <c r="AX70" s="157">
        <f t="shared" ca="1" si="152"/>
        <v>4.7278152002868615E-3</v>
      </c>
      <c r="AY70" s="157">
        <f t="shared" ca="1" si="153"/>
        <v>2.6224846241053035E-3</v>
      </c>
      <c r="AZ70" s="157">
        <f t="shared" ca="1" si="154"/>
        <v>8.1381782085379801E-4</v>
      </c>
      <c r="BA70" s="157">
        <f t="shared" ca="1" si="155"/>
        <v>1.0172722760672475E-4</v>
      </c>
      <c r="BB70" s="157">
        <f t="shared" ca="1" si="156"/>
        <v>4.0078961080176507E-5</v>
      </c>
      <c r="BC70" s="157">
        <f t="shared" ca="1" si="157"/>
        <v>2.0696857673100922E-5</v>
      </c>
      <c r="BD70" s="151">
        <f t="shared" ca="1" si="172"/>
        <v>0</v>
      </c>
      <c r="BE70" s="152">
        <f t="shared" ca="1" si="173"/>
        <v>0</v>
      </c>
      <c r="BF70" s="40">
        <f t="shared" si="174"/>
        <v>2004</v>
      </c>
      <c r="BG70" s="144">
        <f t="shared" si="175"/>
        <v>11</v>
      </c>
      <c r="BH70" s="145">
        <f t="shared" ca="1" si="176"/>
        <v>1531</v>
      </c>
      <c r="BI70" s="313">
        <f t="shared" ca="1" si="177"/>
        <v>4.2354551676933605</v>
      </c>
      <c r="BJ70" s="42">
        <f t="shared" ca="1" si="10"/>
        <v>4.2895899446207455</v>
      </c>
      <c r="BK70" s="42">
        <f t="shared" ca="1" si="178"/>
        <v>4.2923277954078776</v>
      </c>
      <c r="BL70" s="42">
        <f t="shared" ca="1" si="179"/>
        <v>4.3148528405201914</v>
      </c>
      <c r="BM70" s="150" t="e">
        <f t="shared" ca="1" si="13"/>
        <v>#DIV/0!</v>
      </c>
      <c r="BN70" s="42" t="e">
        <f t="shared" ca="1" si="14"/>
        <v>#DIV/0!</v>
      </c>
      <c r="BO70" s="293">
        <f t="shared" si="48"/>
        <v>22</v>
      </c>
      <c r="BP70" s="41">
        <f t="shared" si="49"/>
        <v>15</v>
      </c>
      <c r="BQ70" s="41">
        <f t="shared" si="50"/>
        <v>7</v>
      </c>
      <c r="BR70" s="305" t="str">
        <f t="shared" ca="1" si="15"/>
        <v/>
      </c>
      <c r="BS70" s="305" t="str">
        <f t="shared" ca="1" si="180"/>
        <v/>
      </c>
      <c r="BT70" s="307" t="str">
        <f t="shared" ca="1" si="181"/>
        <v/>
      </c>
      <c r="BU70" s="161" t="str">
        <f t="shared" ca="1" si="18"/>
        <v/>
      </c>
      <c r="BV70" s="161" t="str">
        <f t="shared" ca="1" si="19"/>
        <v/>
      </c>
      <c r="BW70" s="308" t="str">
        <f t="shared" ca="1" si="20"/>
        <v/>
      </c>
      <c r="BX70" s="309" t="str">
        <f t="shared" ca="1" si="21"/>
        <v/>
      </c>
      <c r="BY70" s="308" t="str">
        <f t="shared" ca="1" si="51"/>
        <v/>
      </c>
      <c r="BZ70" s="309" t="str">
        <f t="shared" ca="1" si="52"/>
        <v/>
      </c>
      <c r="CA70" s="154" t="str">
        <f t="shared" ca="1" si="22"/>
        <v/>
      </c>
      <c r="CB70" s="154" t="str">
        <f t="shared" ca="1" si="23"/>
        <v/>
      </c>
      <c r="CC70" s="154" t="str">
        <f t="shared" ca="1" si="24"/>
        <v/>
      </c>
      <c r="CD70" s="154" t="str">
        <f t="shared" ca="1" si="25"/>
        <v/>
      </c>
      <c r="CE70" s="310">
        <v>1</v>
      </c>
      <c r="CF70" s="162">
        <f ca="1">IF(BD70,_xll.xCrudeAPO(BU70,BV70,CA70,CB70,S71,S72,BI70,BL70,BP70,BQ70,0,Strike1,AO70,CE70,0,BL70,IF(OptControl=4,0,1),0,1),0)</f>
        <v>0</v>
      </c>
      <c r="CG70" s="163">
        <f ca="1">IF(BD70,_xll.xCrudeAPO(BU70,BV70,CA70,CB70,S71,S72,BI70,BL70,BP70,BQ70,0,Strike1,AO70,CE70,0,BL70,IF(OptControl=4,0,1),1,1)+_xll.xCrudeAPO(BU70,BV70,CA70,CB70,S71,S72,BI70,BL70,BP70,BQ70,0,Strike1,AO70,CE70,0,BL70,IF(OptControl=4,0,1),1,2)+IF(OR(VolSkewFlag=2,ABS(BS70)&lt;0.0001),0,IF(BS70&gt;0,-1,1)*CH70*Strike1/BR70^2*BY70/10%),0)</f>
        <v>0</v>
      </c>
      <c r="CH70" s="163">
        <f ca="1">IF(BD70,(_xll.xCrudeAPO(BU70,BV70,CA70,CB70,S71,S72,BI70,BL70,BP70,BQ70,0,Strike1,AO70,CE70,0,BL70,IF(OptControl=4,0,1),3,1)+_xll.xCrudeAPO(BU70,BV70,CA70,CB70,S71,S72,BI70,BL70,BP70,BQ70,0,Strike1,AO70,CE70,0,BL70,IF(OptControl=4,0,1),3,2))/100,0)</f>
        <v>0</v>
      </c>
      <c r="CI70" s="163">
        <f ca="1">IF(BD70,_xll.xCrudeAPO(BU70,BV70,CA70,CB70,S71,S72,BI70-DaysForThetaCalculation/365.25,BL70-DaysForThetaCalculation/365.25,BP70,BQ70,0,Strike1,AO70,CE70,0,BL70,IF(OptControl=4,0,1),0,1)-_xll.xCrudeAPO(BU70,BV70,CA70,CB70,S71,S72,BI70,BL70,BP70,BQ70,0,Strike1,AO70,CE70,0,BL70,IF(OptControl=4,0,1),0,1),0)</f>
        <v>0</v>
      </c>
      <c r="CJ70" s="311">
        <f ca="1">IF(BD70,_xll.xCrudeAPO(BU70,BV70,CC70,CD70,S71,S72,BI70,BL70,BP70,BQ70,0,Strike2,AO70,CE70,0,BL70,IF(OptControl=3,1,0),0,1),0)</f>
        <v>0</v>
      </c>
      <c r="CK70" s="163">
        <f ca="1">IF(BD70,_xll.xCrudeAPO(BU70,BV70,CC70,CD70,S71,S72,BI70,BL70,BP70,BQ70,0,Strike2,AO70,CE70,0,BL70,IF(OptControl=3,1,0),1,1)+_xll.xCrudeAPO(BU70,BV70,CC70,CD70,S71,S72,BI70,BL70,BP70,BQ70,0,Strike2,AO70,CE70,0,BL70,IF(OptControl=3,1,0),1,2)+IF(OR(VolSkewFlag=2,ABS(BT70)&lt;0.0001),0,IF(BT70&gt;0,-1,1)*CL70*Strike2/BR70^2*BZ70/10%),0)</f>
        <v>0</v>
      </c>
      <c r="CL70" s="163">
        <f ca="1">IF(BD70,(_xll.xCrudeAPO(BU70,BV70,CC70,CD70,S71,S72,BI70,BL70,BP70,BQ70,0,Strike2,AO70,CE70,0,BL70,IF(OptControl=3,1,0),3,1)+_xll.xCrudeAPO(BU70,BV70,CC70,CD70,S71,S72,BI70,BL70,BP70,BQ70,0,Strike2,AO70,CE70,0,BL70,IF(OptControl=3,1,0),3,2))/100,0)</f>
        <v>0</v>
      </c>
      <c r="CM70" s="164">
        <f ca="1">IF(BD70,_xll.xCrudeAPO(BU70,BV70,CC70,CD70,S71,S72,BI70-DaysForThetaCalculation/365.25,BL70-DaysForThetaCalculation/365.25,BP70,BQ70,0,Strike2,AO70,CE70,0,BL70,IF(OptControl=3,1,0),0,1)-_xll.xCrudeAPO(BU70,BV70,CC70,CD70,S71,S72,BI70,BL70,BP70,BQ70,0,Strike2,AO70,CE70,0,BL70,IF(OptControl=3,1,0),0,1),0)</f>
        <v>0</v>
      </c>
      <c r="CN70" s="53"/>
      <c r="CO70" s="796" t="str">
        <f t="shared" ca="1" si="53"/>
        <v/>
      </c>
      <c r="CP70" s="800" t="str">
        <f t="shared" ca="1" si="54"/>
        <v/>
      </c>
      <c r="CQ70" s="797" t="str">
        <f t="shared" ca="1" si="55"/>
        <v/>
      </c>
      <c r="CR70" s="797" t="str">
        <f t="shared" ca="1" si="56"/>
        <v/>
      </c>
      <c r="CS70" s="797" t="str">
        <f t="shared" ca="1" si="57"/>
        <v/>
      </c>
      <c r="CT70" s="797" t="str">
        <f t="shared" ca="1" si="58"/>
        <v/>
      </c>
      <c r="CU70" s="798" t="str">
        <f t="shared" ca="1" si="59"/>
        <v/>
      </c>
      <c r="CV70" s="799" t="str">
        <f t="shared" ca="1" si="60"/>
        <v/>
      </c>
      <c r="CW70" s="799" t="str">
        <f t="shared" ca="1" si="61"/>
        <v/>
      </c>
      <c r="CX70" s="163">
        <f ca="1">IF(BD70,_xll.EURO(CP70,Strike1,AO70,AO70,CV70,CO70,IF(OptControl=4,0,1),0),0)</f>
        <v>0</v>
      </c>
      <c r="CY70" s="163">
        <f ca="1">IF(BD70,_xll.EURO(CP70,Strike1,AO70,AO70,CV70,CO70,IF(OptControl=4,0,1),1)+IF(OR(VolSkewFlag=2,ABS(CQ70)&lt;0.0001),0,IF(CQ70&gt;0,-1,1)*CZ70*100*Strike1/CP70^2*CS70/10%),0)</f>
        <v>0</v>
      </c>
      <c r="CZ70" s="163">
        <f ca="1">IF(BD70,_xll.EURO(CP70,Strike1,AO70,AO70,CV70,CO70,IF(OptControl=4,0,1),3)/100,0)</f>
        <v>0</v>
      </c>
      <c r="DA70" s="163">
        <f ca="1">IF(BD70,_xll.EURO(CP70,Strike1,AO70,AO70,CV70,CO70,IF(OptControl=4,0,1),0)-_xll.EURO(CP70,Strike1,AO70,AO70,CV70,CO70-1,IF(OptControl=4,0,1),0),0)</f>
        <v>0</v>
      </c>
      <c r="DB70" s="163">
        <f ca="1">IF(BD70,_xll.EURO(CP70,Strike2,AO70,AO70,CW70,CO70,IF(OptControl=3,1,0),0),0)</f>
        <v>0</v>
      </c>
      <c r="DC70" s="163">
        <f ca="1">IF(BD70,_xll.EURO(CP70,Strike2,AO70,AO70,CW70,CO70,IF(OptControl=3,1,0),1)+IF(OR(VolSkewFlag=2,ABS(CR70)&lt;0.0001),0,IF(CR70&gt;0,-1,1)*DD70*100*Strike2/CP70^2*CT70/10%),0)</f>
        <v>0</v>
      </c>
      <c r="DD70" s="163">
        <f ca="1">IF(BD70,_xll.EURO(CP70,Strike2,AO70,AO70,CW70,CO70,IF(OptControl=3,1,0),3)/100,0)</f>
        <v>0</v>
      </c>
      <c r="DE70" s="164">
        <f ca="1">IF(BD70,_xll.EURO(CP70,Strike2,AO70,AO70,CW70,CO70,IF(OptControl=3,1,0),0)-_xll.EURO(CP70,Strike2,AO70,AO70,CW70,CO70-1,IF(OptControl=3,1,0),0),0)</f>
        <v>0</v>
      </c>
      <c r="DG70" s="667">
        <f t="shared" ca="1" si="62"/>
        <v>38078</v>
      </c>
      <c r="DH70" s="475">
        <v>18.399999999999999</v>
      </c>
      <c r="DI70" s="665">
        <v>18.393181818181816</v>
      </c>
      <c r="DJ70" s="666">
        <f t="shared" ca="1" si="182"/>
        <v>38078</v>
      </c>
      <c r="DK70" s="475">
        <v>17.317673167147682</v>
      </c>
      <c r="DL70" s="665">
        <v>17.154181818181815</v>
      </c>
      <c r="DM70" s="667">
        <f t="shared" ca="1" si="183"/>
        <v>38078</v>
      </c>
      <c r="DN70" s="668">
        <f t="shared" si="184"/>
        <v>17.367673167147682</v>
      </c>
      <c r="DO70" s="667">
        <f t="shared" ca="1" si="63"/>
        <v>38078</v>
      </c>
      <c r="DP70" s="579">
        <f t="shared" si="64"/>
        <v>17.154181818181815</v>
      </c>
      <c r="DQ70" s="821">
        <v>0</v>
      </c>
      <c r="DR70" s="666">
        <f t="shared" ca="1" si="185"/>
        <v>38078</v>
      </c>
      <c r="DS70" s="669">
        <v>0.20226069615964704</v>
      </c>
      <c r="DT70" s="606">
        <v>0.20121516655465602</v>
      </c>
      <c r="DU70" s="666">
        <f t="shared" ca="1" si="186"/>
        <v>38078</v>
      </c>
      <c r="DV70" s="669">
        <v>0.20226069615964704</v>
      </c>
      <c r="DW70" s="606">
        <v>0.20121516655465602</v>
      </c>
      <c r="DX70" s="667">
        <f t="shared" ca="1" si="187"/>
        <v>38078</v>
      </c>
      <c r="DY70" s="606">
        <v>0.35</v>
      </c>
      <c r="DZ70" s="667">
        <f t="shared" ca="1" si="65"/>
        <v>38078</v>
      </c>
      <c r="EA70" s="606">
        <f t="shared" si="66"/>
        <v>0.20121516655465602</v>
      </c>
      <c r="EB70" s="1"/>
      <c r="EC70" s="118" t="str">
        <f t="shared" ca="1" si="188"/>
        <v/>
      </c>
      <c r="ED70" s="119" t="str">
        <f t="shared" ca="1" si="33"/>
        <v/>
      </c>
      <c r="EE70" s="112" t="str">
        <f t="shared" ca="1" si="34"/>
        <v/>
      </c>
      <c r="EF70" s="120">
        <f ca="1">IF(BD70,_xll.xASN(BR70,Strike1,AO70,ED70,0,BO70,0,BI70,BL70,IF(OptControl=4,0,1),0),0)</f>
        <v>0</v>
      </c>
      <c r="EG70" s="111">
        <f ca="1">IF(BD70,_xll.xASN(BR70,Strike2,AO70,EE70,0,BO70,0,BI70,BL70,IF(OptControl=3,1,0),0),0)</f>
        <v>0</v>
      </c>
      <c r="EL70" s="55"/>
      <c r="EM70" s="1"/>
      <c r="EN70" s="697">
        <v>41824</v>
      </c>
      <c r="EO70" s="698">
        <v>45658</v>
      </c>
      <c r="EP70" s="1"/>
      <c r="EQ70" s="683" t="s">
        <v>257</v>
      </c>
      <c r="ES70" s="498">
        <v>51</v>
      </c>
      <c r="ET70" s="476">
        <f t="shared" ca="1" si="165"/>
        <v>4.1916495550992474</v>
      </c>
      <c r="EU70" s="842">
        <f t="shared" ca="1" si="189"/>
        <v>0</v>
      </c>
      <c r="EV70" s="815">
        <f t="shared" ca="1" si="269"/>
        <v>0.18509199938874593</v>
      </c>
      <c r="EW70" s="478" t="str">
        <f t="shared" ca="1" si="270"/>
        <v/>
      </c>
      <c r="EX70" s="477" t="str">
        <f t="shared" ca="1" si="271"/>
        <v/>
      </c>
      <c r="EY70" s="250">
        <v>0</v>
      </c>
      <c r="EZ70" s="605" t="str">
        <f ca="1">IF(OR(EW70="",EW71=""),"",SQRT(SUM(INDEX(FK70:ID70,SwaptionFirstMonthPosition+1):INDEX(FK70:ID70,FJ70))/SUM(INDEX($FK$15:$ID$15,SwaptionFirstMonthPosition+1):INDEX($FK$15:$ID$15,FJ70))))</f>
        <v/>
      </c>
      <c r="FA70" s="581" t="str">
        <f ca="1">IF(OR(EW70="",EW69=""),"",SQRT(SUM(INDEX(FK70:ID70,SwaptionFirstMonthPosition+1):INDEX(FK70:ID70,FJ70-1))/SUM(INDEX($FK$15:$ID$15,SwaptionFirstMonthPosition+1):INDEX($FK$15:$ID$15,FJ70-1))))</f>
        <v/>
      </c>
      <c r="FB70" s="578" t="str">
        <f t="shared" ca="1" si="190"/>
        <v/>
      </c>
      <c r="FC70" s="609" t="str">
        <f t="shared" ca="1" si="191"/>
        <v/>
      </c>
      <c r="FD70" s="579" t="str">
        <f t="shared" ca="1" si="192"/>
        <v/>
      </c>
      <c r="FE70" s="579" t="str">
        <f t="shared" ca="1" si="193"/>
        <v/>
      </c>
      <c r="FF70" s="579" t="str">
        <f t="shared" ca="1" si="194"/>
        <v/>
      </c>
      <c r="FG70" s="580" t="str">
        <f t="shared" ca="1" si="195"/>
        <v/>
      </c>
      <c r="FH70" s="606" t="str">
        <f t="shared" ca="1" si="196"/>
        <v/>
      </c>
      <c r="FI70" s="250"/>
      <c r="FJ70" s="673">
        <v>51</v>
      </c>
      <c r="FK70" s="460">
        <f t="shared" ca="1" si="197"/>
        <v>0</v>
      </c>
      <c r="FL70" s="460">
        <f t="shared" ca="1" si="198"/>
        <v>2.1927373330155688E-3</v>
      </c>
      <c r="FM70" s="460">
        <f t="shared" ca="1" si="199"/>
        <v>2.5489043710505239E-3</v>
      </c>
      <c r="FN70" s="460">
        <f t="shared" ca="1" si="200"/>
        <v>2.1456415322156338E-3</v>
      </c>
      <c r="FO70" s="460">
        <f t="shared" ca="1" si="201"/>
        <v>2.2321561749015367E-3</v>
      </c>
      <c r="FP70" s="460">
        <f t="shared" ca="1" si="202"/>
        <v>2.4739395681288192E-3</v>
      </c>
      <c r="FQ70" s="460">
        <f t="shared" ca="1" si="203"/>
        <v>2.0033690213140157E-3</v>
      </c>
      <c r="FR70" s="460">
        <f t="shared" ca="1" si="204"/>
        <v>2.0488978557807905E-3</v>
      </c>
      <c r="FS70" s="460">
        <f t="shared" ca="1" si="205"/>
        <v>2.3096736113912804E-3</v>
      </c>
      <c r="FT70" s="460">
        <f t="shared" ca="1" si="206"/>
        <v>2.0851487493307994E-3</v>
      </c>
      <c r="FU70" s="460">
        <f t="shared" ca="1" si="207"/>
        <v>2.0054274974603556E-3</v>
      </c>
      <c r="FV70" s="460">
        <f t="shared" ca="1" si="208"/>
        <v>2.204841044215517E-3</v>
      </c>
      <c r="FW70" s="460">
        <f t="shared" ca="1" si="209"/>
        <v>2.0618204919062013E-3</v>
      </c>
      <c r="FX70" s="460">
        <f t="shared" ca="1" si="210"/>
        <v>2.1956410023097543E-3</v>
      </c>
      <c r="FY70" s="460">
        <f t="shared" ca="1" si="211"/>
        <v>2.0564474946528121E-3</v>
      </c>
      <c r="FZ70" s="460">
        <f t="shared" ca="1" si="212"/>
        <v>1.9186171684412022E-3</v>
      </c>
      <c r="GA70" s="460">
        <f t="shared" ca="1" si="213"/>
        <v>2.0558766580523152E-3</v>
      </c>
      <c r="GB70" s="460">
        <f t="shared" ca="1" si="214"/>
        <v>2.2626790062518047E-3</v>
      </c>
      <c r="GC70" s="460">
        <f t="shared" ca="1" si="215"/>
        <v>1.990283145498809E-3</v>
      </c>
      <c r="GD70" s="460">
        <f t="shared" ca="1" si="216"/>
        <v>1.9929358207458085E-3</v>
      </c>
      <c r="GE70" s="460">
        <f t="shared" ca="1" si="217"/>
        <v>2.2717574082590703E-3</v>
      </c>
      <c r="GF70" s="460">
        <f t="shared" ca="1" si="218"/>
        <v>2.000707355715082E-3</v>
      </c>
      <c r="GG70" s="460">
        <f t="shared" ca="1" si="219"/>
        <v>2.2134776209150517E-3</v>
      </c>
      <c r="GH70" s="460">
        <f t="shared" ca="1" si="220"/>
        <v>2.0816690695051676E-3</v>
      </c>
      <c r="GI70" s="460">
        <f t="shared" ca="1" si="221"/>
        <v>2.0198065730813054E-3</v>
      </c>
      <c r="GJ70" s="460">
        <f t="shared" ca="1" si="222"/>
        <v>2.3085576549125432E-3</v>
      </c>
      <c r="GK70" s="460">
        <f t="shared" ca="1" si="223"/>
        <v>2.1096102055912875E-3</v>
      </c>
      <c r="GL70" s="460">
        <f t="shared" ca="1" si="224"/>
        <v>2.0517610015467484E-3</v>
      </c>
      <c r="GM70" s="460">
        <f t="shared" ca="1" si="225"/>
        <v>2.2090043217667821E-3</v>
      </c>
      <c r="GN70" s="460">
        <f t="shared" ca="1" si="226"/>
        <v>2.2276008388814944E-3</v>
      </c>
      <c r="GO70" s="460">
        <f t="shared" ca="1" si="227"/>
        <v>2.2495879005286993E-3</v>
      </c>
      <c r="GP70" s="460">
        <f t="shared" ca="1" si="228"/>
        <v>2.0553969463968083E-3</v>
      </c>
      <c r="GQ70" s="460">
        <f t="shared" ca="1" si="229"/>
        <v>2.3064883662053952E-3</v>
      </c>
      <c r="GR70" s="460">
        <f t="shared" ca="1" si="230"/>
        <v>2.2675916151340876E-3</v>
      </c>
      <c r="GS70" s="460">
        <f t="shared" ca="1" si="231"/>
        <v>2.3868978936085706E-3</v>
      </c>
      <c r="GT70" s="460">
        <f t="shared" ca="1" si="232"/>
        <v>2.3604749629108522E-3</v>
      </c>
      <c r="GU70" s="460">
        <f t="shared" ca="1" si="233"/>
        <v>2.5018552207641057E-3</v>
      </c>
      <c r="GV70" s="460">
        <f t="shared" ca="1" si="234"/>
        <v>2.5774036329728077E-3</v>
      </c>
      <c r="GW70" s="460">
        <f t="shared" ca="1" si="235"/>
        <v>2.5828101462957286E-3</v>
      </c>
      <c r="GX70" s="460">
        <f t="shared" ca="1" si="236"/>
        <v>2.7803941294871825E-3</v>
      </c>
      <c r="GY70" s="460">
        <f t="shared" ca="1" si="237"/>
        <v>2.8231067296507818E-3</v>
      </c>
      <c r="GZ70" s="460">
        <f t="shared" ca="1" si="238"/>
        <v>3.0865175059297196E-3</v>
      </c>
      <c r="HA70" s="460">
        <f t="shared" ca="1" si="239"/>
        <v>3.2981139200000606E-3</v>
      </c>
      <c r="HB70" s="460">
        <f t="shared" ca="1" si="240"/>
        <v>3.3356293630767029E-3</v>
      </c>
      <c r="HC70" s="460">
        <f t="shared" ca="1" si="241"/>
        <v>3.9087140972567753E-3</v>
      </c>
      <c r="HD70" s="460">
        <f t="shared" ca="1" si="242"/>
        <v>4.2153168634029231E-3</v>
      </c>
      <c r="HE70" s="460">
        <f t="shared" ca="1" si="243"/>
        <v>4.9501147000113096E-3</v>
      </c>
      <c r="HF70" s="460">
        <f t="shared" ca="1" si="244"/>
        <v>5.572964571925661E-3</v>
      </c>
      <c r="HG70" s="460">
        <f t="shared" ca="1" si="245"/>
        <v>6.8903187380190732E-3</v>
      </c>
      <c r="HH70" s="460">
        <f t="shared" ca="1" si="246"/>
        <v>8.5284717568116768E-3</v>
      </c>
      <c r="HI70" s="460">
        <f t="shared" ca="1" si="247"/>
        <v>1.0644765646550499E-2</v>
      </c>
      <c r="HJ70" s="460" t="str">
        <f t="shared" si="248"/>
        <v/>
      </c>
      <c r="HK70" s="460" t="str">
        <f t="shared" si="249"/>
        <v/>
      </c>
      <c r="HL70" s="460" t="str">
        <f t="shared" si="250"/>
        <v/>
      </c>
      <c r="HM70" s="460" t="str">
        <f t="shared" si="251"/>
        <v/>
      </c>
      <c r="HN70" s="460" t="str">
        <f t="shared" si="252"/>
        <v/>
      </c>
      <c r="HO70" s="460" t="str">
        <f t="shared" si="253"/>
        <v/>
      </c>
      <c r="HP70" s="460" t="str">
        <f t="shared" si="254"/>
        <v/>
      </c>
      <c r="HQ70" s="460" t="str">
        <f t="shared" si="255"/>
        <v/>
      </c>
      <c r="HR70" s="460" t="str">
        <f t="shared" si="256"/>
        <v/>
      </c>
      <c r="HS70" s="460" t="str">
        <f t="shared" si="257"/>
        <v/>
      </c>
      <c r="HT70" s="460" t="str">
        <f t="shared" si="258"/>
        <v/>
      </c>
      <c r="HU70" s="460" t="str">
        <f t="shared" si="259"/>
        <v/>
      </c>
      <c r="HV70" s="460" t="str">
        <f t="shared" si="260"/>
        <v/>
      </c>
      <c r="HW70" s="460" t="str">
        <f t="shared" si="261"/>
        <v/>
      </c>
      <c r="HX70" s="460" t="str">
        <f t="shared" si="262"/>
        <v/>
      </c>
      <c r="HY70" s="460" t="str">
        <f t="shared" si="263"/>
        <v/>
      </c>
      <c r="HZ70" s="460" t="str">
        <f t="shared" si="264"/>
        <v/>
      </c>
      <c r="IA70" s="460" t="str">
        <f t="shared" si="265"/>
        <v/>
      </c>
      <c r="IB70" s="460" t="str">
        <f t="shared" si="266"/>
        <v/>
      </c>
      <c r="IC70" s="460" t="str">
        <f t="shared" si="267"/>
        <v/>
      </c>
      <c r="ID70" s="674" t="str">
        <f t="shared" si="268"/>
        <v/>
      </c>
      <c r="IE70" s="250"/>
    </row>
    <row r="71" spans="1:239">
      <c r="A71" s="53"/>
      <c r="F71" s="53"/>
      <c r="G71" s="53"/>
      <c r="H71" s="51">
        <f t="shared" ca="1" si="35"/>
        <v>0</v>
      </c>
      <c r="I71" s="379">
        <f t="shared" si="36"/>
        <v>38322</v>
      </c>
      <c r="J71" s="377"/>
      <c r="K71" s="104" t="s">
        <v>269</v>
      </c>
      <c r="L71" s="392">
        <f t="shared" si="37"/>
        <v>0</v>
      </c>
      <c r="M71" s="171"/>
      <c r="N71" s="382">
        <v>0</v>
      </c>
      <c r="O71" s="171">
        <f t="shared" si="38"/>
        <v>0</v>
      </c>
      <c r="P71" s="377"/>
      <c r="Q71" s="104" t="s">
        <v>268</v>
      </c>
      <c r="R71" s="377">
        <f t="shared" ca="1" si="148"/>
        <v>-1.1997282590576526</v>
      </c>
      <c r="S71" s="832">
        <f t="shared" si="164"/>
        <v>0.36000002265286624</v>
      </c>
      <c r="T71" s="831">
        <f t="shared" si="149"/>
        <v>0.99996191063608231</v>
      </c>
      <c r="U71" s="545">
        <f t="shared" si="150"/>
        <v>0.99999999362888137</v>
      </c>
      <c r="V71" s="389">
        <v>0</v>
      </c>
      <c r="W71" s="434">
        <f t="shared" si="166"/>
        <v>0</v>
      </c>
      <c r="X71" s="415">
        <f t="shared" si="167"/>
        <v>0</v>
      </c>
      <c r="Y71" s="322">
        <f t="shared" si="168"/>
        <v>-1.1348999999999998</v>
      </c>
      <c r="Z71" s="322">
        <f t="shared" ca="1" si="169"/>
        <v>-1.1348999999999998</v>
      </c>
      <c r="AA71" s="429">
        <f t="shared" si="1"/>
        <v>1.1348999999999998</v>
      </c>
      <c r="AB71" s="433">
        <f t="shared" ca="1" si="2"/>
        <v>1.1348999999999998</v>
      </c>
      <c r="AC71" s="229">
        <v>38311</v>
      </c>
      <c r="AD71" s="229">
        <v>38307</v>
      </c>
      <c r="AE71" s="229">
        <v>38306</v>
      </c>
      <c r="AF71" s="229">
        <v>38302</v>
      </c>
      <c r="AG71" s="249" t="s">
        <v>497</v>
      </c>
      <c r="AH71" s="247" t="s">
        <v>499</v>
      </c>
      <c r="AI71" s="146">
        <v>23</v>
      </c>
      <c r="AJ71" s="41">
        <v>14</v>
      </c>
      <c r="AK71" s="41">
        <v>9</v>
      </c>
      <c r="AL71" s="293">
        <v>23</v>
      </c>
      <c r="AM71" s="41">
        <v>10</v>
      </c>
      <c r="AN71" s="147">
        <v>13</v>
      </c>
      <c r="AO71" s="374"/>
      <c r="AP71" s="153">
        <f t="shared" ca="1" si="43"/>
        <v>1</v>
      </c>
      <c r="AQ71" s="374"/>
      <c r="AR71" s="153">
        <f t="shared" ca="1" si="151"/>
        <v>1</v>
      </c>
      <c r="AS71" s="272">
        <f t="shared" si="170"/>
        <v>0</v>
      </c>
      <c r="AT71" s="157">
        <f t="shared" si="44"/>
        <v>0</v>
      </c>
      <c r="AU71" s="157">
        <f t="shared" si="4"/>
        <v>0</v>
      </c>
      <c r="AV71" s="271">
        <f t="shared" ca="1" si="163"/>
        <v>9.9999999999999995E-7</v>
      </c>
      <c r="AW71" s="158" t="str">
        <f t="shared" ca="1" si="171"/>
        <v/>
      </c>
      <c r="AX71" s="157">
        <f t="shared" ca="1" si="152"/>
        <v>4.5707368768044786E-3</v>
      </c>
      <c r="AY71" s="157">
        <f t="shared" ca="1" si="153"/>
        <v>2.5184993133348893E-3</v>
      </c>
      <c r="AZ71" s="157">
        <f t="shared" ca="1" si="154"/>
        <v>7.6814173630649198E-4</v>
      </c>
      <c r="BA71" s="157">
        <f t="shared" ca="1" si="155"/>
        <v>9.6017717038311497E-5</v>
      </c>
      <c r="BB71" s="157">
        <f t="shared" ca="1" si="156"/>
        <v>3.6572643341132613E-5</v>
      </c>
      <c r="BC71" s="157">
        <f t="shared" ca="1" si="157"/>
        <v>1.843880397049865E-5</v>
      </c>
      <c r="BD71" s="151">
        <f t="shared" ca="1" si="172"/>
        <v>0</v>
      </c>
      <c r="BE71" s="152">
        <f t="shared" ca="1" si="173"/>
        <v>0</v>
      </c>
      <c r="BF71" s="40">
        <f t="shared" si="174"/>
        <v>2004</v>
      </c>
      <c r="BG71" s="144">
        <f t="shared" si="175"/>
        <v>12</v>
      </c>
      <c r="BH71" s="145">
        <f t="shared" ca="1" si="176"/>
        <v>1562</v>
      </c>
      <c r="BI71" s="313">
        <f t="shared" ca="1" si="177"/>
        <v>4.3175906913073234</v>
      </c>
      <c r="BJ71" s="42">
        <f t="shared" ca="1" si="10"/>
        <v>4.36758622742017</v>
      </c>
      <c r="BK71" s="42">
        <f t="shared" ca="1" si="178"/>
        <v>4.3703240782073021</v>
      </c>
      <c r="BL71" s="42">
        <f t="shared" ca="1" si="179"/>
        <v>4.3997262149212863</v>
      </c>
      <c r="BM71" s="150" t="e">
        <f t="shared" ca="1" si="13"/>
        <v>#DIV/0!</v>
      </c>
      <c r="BN71" s="42" t="e">
        <f t="shared" ca="1" si="14"/>
        <v>#DIV/0!</v>
      </c>
      <c r="BO71" s="293">
        <f t="shared" si="48"/>
        <v>23</v>
      </c>
      <c r="BP71" s="41">
        <f t="shared" si="49"/>
        <v>14</v>
      </c>
      <c r="BQ71" s="41">
        <f t="shared" si="50"/>
        <v>9</v>
      </c>
      <c r="BR71" s="305" t="str">
        <f t="shared" ca="1" si="15"/>
        <v/>
      </c>
      <c r="BS71" s="305" t="str">
        <f t="shared" ca="1" si="180"/>
        <v/>
      </c>
      <c r="BT71" s="307" t="str">
        <f t="shared" ca="1" si="181"/>
        <v/>
      </c>
      <c r="BU71" s="161" t="str">
        <f t="shared" ca="1" si="18"/>
        <v/>
      </c>
      <c r="BV71" s="161" t="str">
        <f t="shared" ca="1" si="19"/>
        <v/>
      </c>
      <c r="BW71" s="308" t="str">
        <f t="shared" ca="1" si="20"/>
        <v/>
      </c>
      <c r="BX71" s="309" t="str">
        <f t="shared" ca="1" si="21"/>
        <v/>
      </c>
      <c r="BY71" s="308" t="str">
        <f t="shared" ca="1" si="51"/>
        <v/>
      </c>
      <c r="BZ71" s="309" t="str">
        <f t="shared" ca="1" si="52"/>
        <v/>
      </c>
      <c r="CA71" s="154" t="str">
        <f t="shared" ca="1" si="22"/>
        <v/>
      </c>
      <c r="CB71" s="154" t="str">
        <f t="shared" ca="1" si="23"/>
        <v/>
      </c>
      <c r="CC71" s="154" t="str">
        <f t="shared" ca="1" si="24"/>
        <v/>
      </c>
      <c r="CD71" s="154" t="str">
        <f t="shared" ca="1" si="25"/>
        <v/>
      </c>
      <c r="CE71" s="310">
        <v>1</v>
      </c>
      <c r="CF71" s="162">
        <f ca="1">IF(BD71,_xll.xCrudeAPO(BU71,BV71,CA71,CB71,S72,S73,BI71,BL71,BP71,BQ71,0,Strike1,AO71,CE71,0,BL71,IF(OptControl=4,0,1),0,1),0)</f>
        <v>0</v>
      </c>
      <c r="CG71" s="163">
        <f ca="1">IF(BD71,_xll.xCrudeAPO(BU71,BV71,CA71,CB71,S72,S73,BI71,BL71,BP71,BQ71,0,Strike1,AO71,CE71,0,BL71,IF(OptControl=4,0,1),1,1)+_xll.xCrudeAPO(BU71,BV71,CA71,CB71,S72,S73,BI71,BL71,BP71,BQ71,0,Strike1,AO71,CE71,0,BL71,IF(OptControl=4,0,1),1,2)+IF(OR(VolSkewFlag=2,ABS(BS71)&lt;0.0001),0,IF(BS71&gt;0,-1,1)*CH71*Strike1/BR71^2*BY71/10%),0)</f>
        <v>0</v>
      </c>
      <c r="CH71" s="163">
        <f ca="1">IF(BD71,(_xll.xCrudeAPO(BU71,BV71,CA71,CB71,S72,S73,BI71,BL71,BP71,BQ71,0,Strike1,AO71,CE71,0,BL71,IF(OptControl=4,0,1),3,1)+_xll.xCrudeAPO(BU71,BV71,CA71,CB71,S72,S73,BI71,BL71,BP71,BQ71,0,Strike1,AO71,CE71,0,BL71,IF(OptControl=4,0,1),3,2))/100,0)</f>
        <v>0</v>
      </c>
      <c r="CI71" s="163">
        <f ca="1">IF(BD71,_xll.xCrudeAPO(BU71,BV71,CA71,CB71,S72,S73,BI71-DaysForThetaCalculation/365.25,BL71-DaysForThetaCalculation/365.25,BP71,BQ71,0,Strike1,AO71,CE71,0,BL71,IF(OptControl=4,0,1),0,1)-_xll.xCrudeAPO(BU71,BV71,CA71,CB71,S72,S73,BI71,BL71,BP71,BQ71,0,Strike1,AO71,CE71,0,BL71,IF(OptControl=4,0,1),0,1),0)</f>
        <v>0</v>
      </c>
      <c r="CJ71" s="311">
        <f ca="1">IF(BD71,_xll.xCrudeAPO(BU71,BV71,CC71,CD71,S72,S73,BI71,BL71,BP71,BQ71,0,Strike2,AO71,CE71,0,BL71,IF(OptControl=3,1,0),0,1),0)</f>
        <v>0</v>
      </c>
      <c r="CK71" s="163">
        <f ca="1">IF(BD71,_xll.xCrudeAPO(BU71,BV71,CC71,CD71,S72,S73,BI71,BL71,BP71,BQ71,0,Strike2,AO71,CE71,0,BL71,IF(OptControl=3,1,0),1,1)+_xll.xCrudeAPO(BU71,BV71,CC71,CD71,S72,S73,BI71,BL71,BP71,BQ71,0,Strike2,AO71,CE71,0,BL71,IF(OptControl=3,1,0),1,2)+IF(OR(VolSkewFlag=2,ABS(BT71)&lt;0.0001),0,IF(BT71&gt;0,-1,1)*CL71*Strike2/BR71^2*BZ71/10%),0)</f>
        <v>0</v>
      </c>
      <c r="CL71" s="163">
        <f ca="1">IF(BD71,(_xll.xCrudeAPO(BU71,BV71,CC71,CD71,S72,S73,BI71,BL71,BP71,BQ71,0,Strike2,AO71,CE71,0,BL71,IF(OptControl=3,1,0),3,1)+_xll.xCrudeAPO(BU71,BV71,CC71,CD71,S72,S73,BI71,BL71,BP71,BQ71,0,Strike2,AO71,CE71,0,BL71,IF(OptControl=3,1,0),3,2))/100,0)</f>
        <v>0</v>
      </c>
      <c r="CM71" s="164">
        <f ca="1">IF(BD71,_xll.xCrudeAPO(BU71,BV71,CC71,CD71,S72,S73,BI71-DaysForThetaCalculation/365.25,BL71-DaysForThetaCalculation/365.25,BP71,BQ71,0,Strike2,AO71,CE71,0,BL71,IF(OptControl=3,1,0),0,1)-_xll.xCrudeAPO(BU71,BV71,CC71,CD71,S72,S73,BI71,BL71,BP71,BQ71,0,Strike2,AO71,CE71,0,BL71,IF(OptControl=3,1,0),0,1),0)</f>
        <v>0</v>
      </c>
      <c r="CN71" s="53"/>
      <c r="CO71" s="796" t="str">
        <f t="shared" ca="1" si="53"/>
        <v/>
      </c>
      <c r="CP71" s="800" t="str">
        <f t="shared" ca="1" si="54"/>
        <v/>
      </c>
      <c r="CQ71" s="797" t="str">
        <f t="shared" ca="1" si="55"/>
        <v/>
      </c>
      <c r="CR71" s="797" t="str">
        <f t="shared" ca="1" si="56"/>
        <v/>
      </c>
      <c r="CS71" s="797" t="str">
        <f t="shared" ca="1" si="57"/>
        <v/>
      </c>
      <c r="CT71" s="797" t="str">
        <f t="shared" ca="1" si="58"/>
        <v/>
      </c>
      <c r="CU71" s="798" t="str">
        <f t="shared" ca="1" si="59"/>
        <v/>
      </c>
      <c r="CV71" s="799" t="str">
        <f t="shared" ca="1" si="60"/>
        <v/>
      </c>
      <c r="CW71" s="799" t="str">
        <f t="shared" ca="1" si="61"/>
        <v/>
      </c>
      <c r="CX71" s="163">
        <f ca="1">IF(BD71,_xll.EURO(CP71,Strike1,AO71,AO71,CV71,CO71,IF(OptControl=4,0,1),0),0)</f>
        <v>0</v>
      </c>
      <c r="CY71" s="163">
        <f ca="1">IF(BD71,_xll.EURO(CP71,Strike1,AO71,AO71,CV71,CO71,IF(OptControl=4,0,1),1)+IF(OR(VolSkewFlag=2,ABS(CQ71)&lt;0.0001),0,IF(CQ71&gt;0,-1,1)*CZ71*100*Strike1/CP71^2*CS71/10%),0)</f>
        <v>0</v>
      </c>
      <c r="CZ71" s="163">
        <f ca="1">IF(BD71,_xll.EURO(CP71,Strike1,AO71,AO71,CV71,CO71,IF(OptControl=4,0,1),3)/100,0)</f>
        <v>0</v>
      </c>
      <c r="DA71" s="163">
        <f ca="1">IF(BD71,_xll.EURO(CP71,Strike1,AO71,AO71,CV71,CO71,IF(OptControl=4,0,1),0)-_xll.EURO(CP71,Strike1,AO71,AO71,CV71,CO71-1,IF(OptControl=4,0,1),0),0)</f>
        <v>0</v>
      </c>
      <c r="DB71" s="163">
        <f ca="1">IF(BD71,_xll.EURO(CP71,Strike2,AO71,AO71,CW71,CO71,IF(OptControl=3,1,0),0),0)</f>
        <v>0</v>
      </c>
      <c r="DC71" s="163">
        <f ca="1">IF(BD71,_xll.EURO(CP71,Strike2,AO71,AO71,CW71,CO71,IF(OptControl=3,1,0),1)+IF(OR(VolSkewFlag=2,ABS(CR71)&lt;0.0001),0,IF(CR71&gt;0,-1,1)*DD71*100*Strike2/CP71^2*CT71/10%),0)</f>
        <v>0</v>
      </c>
      <c r="DD71" s="163">
        <f ca="1">IF(BD71,_xll.EURO(CP71,Strike2,AO71,AO71,CW71,CO71,IF(OptControl=3,1,0),3)/100,0)</f>
        <v>0</v>
      </c>
      <c r="DE71" s="164">
        <f ca="1">IF(BD71,_xll.EURO(CP71,Strike2,AO71,AO71,CW71,CO71,IF(OptControl=3,1,0),0)-_xll.EURO(CP71,Strike2,AO71,AO71,CW71,CO71-1,IF(OptControl=3,1,0),0),0)</f>
        <v>0</v>
      </c>
      <c r="DG71" s="667">
        <f t="shared" ca="1" si="62"/>
        <v>38108</v>
      </c>
      <c r="DH71" s="475">
        <v>18.395</v>
      </c>
      <c r="DI71" s="665">
        <v>18.388333333333339</v>
      </c>
      <c r="DJ71" s="666">
        <f t="shared" ca="1" si="182"/>
        <v>38108</v>
      </c>
      <c r="DK71" s="475">
        <v>17.246174486809483</v>
      </c>
      <c r="DL71" s="665">
        <v>17.149333333333338</v>
      </c>
      <c r="DM71" s="667">
        <f t="shared" ca="1" si="183"/>
        <v>38108</v>
      </c>
      <c r="DN71" s="668">
        <f t="shared" si="184"/>
        <v>17.296174486809484</v>
      </c>
      <c r="DO71" s="667">
        <f t="shared" ca="1" si="63"/>
        <v>38108</v>
      </c>
      <c r="DP71" s="579">
        <f t="shared" si="64"/>
        <v>17.149333333333338</v>
      </c>
      <c r="DQ71" s="821">
        <v>0</v>
      </c>
      <c r="DR71" s="666">
        <f t="shared" ca="1" si="185"/>
        <v>38108</v>
      </c>
      <c r="DS71" s="669">
        <v>0.20189969979396405</v>
      </c>
      <c r="DT71" s="606">
        <v>0.19984309221592436</v>
      </c>
      <c r="DU71" s="666">
        <f t="shared" ca="1" si="186"/>
        <v>38108</v>
      </c>
      <c r="DV71" s="669">
        <v>0.20189969979396405</v>
      </c>
      <c r="DW71" s="606">
        <v>0.19984309221592436</v>
      </c>
      <c r="DX71" s="667">
        <f t="shared" ca="1" si="187"/>
        <v>38108</v>
      </c>
      <c r="DY71" s="606">
        <v>0.35</v>
      </c>
      <c r="DZ71" s="667">
        <f t="shared" ca="1" si="65"/>
        <v>38108</v>
      </c>
      <c r="EA71" s="606">
        <f t="shared" si="66"/>
        <v>0.19984309221592436</v>
      </c>
      <c r="EB71" s="1"/>
      <c r="EC71" s="118" t="str">
        <f t="shared" ca="1" si="188"/>
        <v/>
      </c>
      <c r="ED71" s="119" t="str">
        <f t="shared" ca="1" si="33"/>
        <v/>
      </c>
      <c r="EE71" s="112" t="str">
        <f t="shared" ca="1" si="34"/>
        <v/>
      </c>
      <c r="EF71" s="120">
        <f ca="1">IF(BD71,_xll.xASN(BR71,Strike1,AO71,ED71,0,BO71,0,BI71,BL71,IF(OptControl=4,0,1),0),0)</f>
        <v>0</v>
      </c>
      <c r="EG71" s="111">
        <f ca="1">IF(BD71,_xll.xASN(BR71,Strike2,AO71,EE71,0,BO71,0,BI71,BL71,IF(OptControl=3,1,0),0),0)</f>
        <v>0</v>
      </c>
      <c r="EL71" s="55"/>
      <c r="EM71" s="1"/>
      <c r="EN71" s="697">
        <v>41998</v>
      </c>
      <c r="EO71" s="698">
        <v>46016</v>
      </c>
      <c r="EP71" s="1"/>
      <c r="EQ71" s="683" t="s">
        <v>258</v>
      </c>
      <c r="ES71" s="498">
        <v>52</v>
      </c>
      <c r="ET71" s="476">
        <f t="shared" ca="1" si="165"/>
        <v>4.2765229295003424</v>
      </c>
      <c r="EU71" s="842">
        <f t="shared" ca="1" si="189"/>
        <v>0</v>
      </c>
      <c r="EV71" s="815">
        <f t="shared" ca="1" si="269"/>
        <v>0.18467943047393026</v>
      </c>
      <c r="EW71" s="478" t="str">
        <f t="shared" ca="1" si="270"/>
        <v/>
      </c>
      <c r="EX71" s="477" t="str">
        <f t="shared" ca="1" si="271"/>
        <v/>
      </c>
      <c r="EY71" s="250">
        <v>0</v>
      </c>
      <c r="EZ71" s="605" t="str">
        <f ca="1">IF(OR(EW71="",EW72=""),"",SQRT(SUM(INDEX(FK71:ID71,SwaptionFirstMonthPosition+1):INDEX(FK71:ID71,FJ71))/SUM(INDEX($FK$15:$ID$15,SwaptionFirstMonthPosition+1):INDEX($FK$15:$ID$15,FJ71))))</f>
        <v/>
      </c>
      <c r="FA71" s="581" t="str">
        <f ca="1">IF(OR(EW71="",EW70=""),"",SQRT(SUM(INDEX(FK71:ID71,SwaptionFirstMonthPosition+1):INDEX(FK71:ID71,FJ71-1))/SUM(INDEX($FK$15:$ID$15,SwaptionFirstMonthPosition+1):INDEX($FK$15:$ID$15,FJ71-1))))</f>
        <v/>
      </c>
      <c r="FB71" s="578" t="str">
        <f t="shared" ca="1" si="190"/>
        <v/>
      </c>
      <c r="FC71" s="609" t="str">
        <f t="shared" ca="1" si="191"/>
        <v/>
      </c>
      <c r="FD71" s="579" t="str">
        <f t="shared" ca="1" si="192"/>
        <v/>
      </c>
      <c r="FE71" s="579" t="str">
        <f t="shared" ca="1" si="193"/>
        <v/>
      </c>
      <c r="FF71" s="579" t="str">
        <f t="shared" ca="1" si="194"/>
        <v/>
      </c>
      <c r="FG71" s="580" t="str">
        <f t="shared" ca="1" si="195"/>
        <v/>
      </c>
      <c r="FH71" s="606" t="str">
        <f t="shared" ca="1" si="196"/>
        <v/>
      </c>
      <c r="FI71" s="250"/>
      <c r="FJ71" s="673">
        <v>52</v>
      </c>
      <c r="FK71" s="460">
        <f t="shared" ca="1" si="197"/>
        <v>0</v>
      </c>
      <c r="FL71" s="460">
        <f t="shared" ca="1" si="198"/>
        <v>2.1925088554803841E-3</v>
      </c>
      <c r="FM71" s="460">
        <f t="shared" ca="1" si="199"/>
        <v>2.548593740389096E-3</v>
      </c>
      <c r="FN71" s="460">
        <f t="shared" ca="1" si="200"/>
        <v>2.1453357009854337E-3</v>
      </c>
      <c r="FO71" s="460">
        <f t="shared" ca="1" si="201"/>
        <v>2.2317840548031942E-3</v>
      </c>
      <c r="FP71" s="460">
        <f t="shared" ca="1" si="202"/>
        <v>2.4734571967604414E-3</v>
      </c>
      <c r="FQ71" s="460">
        <f t="shared" ca="1" si="203"/>
        <v>2.002912156960049E-3</v>
      </c>
      <c r="FR71" s="460">
        <f t="shared" ca="1" si="204"/>
        <v>2.0483513679271435E-3</v>
      </c>
      <c r="FS71" s="460">
        <f t="shared" ca="1" si="205"/>
        <v>2.3089530936092695E-3</v>
      </c>
      <c r="FT71" s="460">
        <f t="shared" ca="1" si="206"/>
        <v>2.084387958940725E-3</v>
      </c>
      <c r="FU71" s="460">
        <f t="shared" ca="1" si="207"/>
        <v>2.0045717042688313E-3</v>
      </c>
      <c r="FV71" s="460">
        <f t="shared" ca="1" si="208"/>
        <v>2.2037405873310172E-3</v>
      </c>
      <c r="FW71" s="460">
        <f t="shared" ca="1" si="209"/>
        <v>2.0606168966046229E-3</v>
      </c>
      <c r="FX71" s="460">
        <f t="shared" ca="1" si="210"/>
        <v>2.1941419221727823E-3</v>
      </c>
      <c r="FY71" s="460">
        <f t="shared" ca="1" si="211"/>
        <v>2.0548053363208078E-3</v>
      </c>
      <c r="FZ71" s="460">
        <f t="shared" ca="1" si="212"/>
        <v>1.9168252443253872E-3</v>
      </c>
      <c r="GA71" s="460">
        <f t="shared" ca="1" si="213"/>
        <v>2.0536309038094616E-3</v>
      </c>
      <c r="GB71" s="460">
        <f t="shared" ca="1" si="214"/>
        <v>2.2597881798942388E-3</v>
      </c>
      <c r="GC71" s="460">
        <f t="shared" ca="1" si="215"/>
        <v>1.9873090986262036E-3</v>
      </c>
      <c r="GD71" s="460">
        <f t="shared" ca="1" si="216"/>
        <v>1.9894527672710302E-3</v>
      </c>
      <c r="GE71" s="460">
        <f t="shared" ca="1" si="217"/>
        <v>2.2671137241666267E-3</v>
      </c>
      <c r="GF71" s="460">
        <f t="shared" ca="1" si="218"/>
        <v>1.9959241598125439E-3</v>
      </c>
      <c r="GG71" s="460">
        <f t="shared" ca="1" si="219"/>
        <v>2.2072882911797673E-3</v>
      </c>
      <c r="GH71" s="460">
        <f t="shared" ca="1" si="220"/>
        <v>2.0748611555300063E-3</v>
      </c>
      <c r="GI71" s="460">
        <f t="shared" ca="1" si="221"/>
        <v>2.0120807272684771E-3</v>
      </c>
      <c r="GJ71" s="460">
        <f t="shared" ca="1" si="222"/>
        <v>2.2982297824583799E-3</v>
      </c>
      <c r="GK71" s="460">
        <f t="shared" ca="1" si="223"/>
        <v>2.0985718026416871E-3</v>
      </c>
      <c r="GL71" s="460">
        <f t="shared" ca="1" si="224"/>
        <v>2.0392046148549592E-3</v>
      </c>
      <c r="GM71" s="460">
        <f t="shared" ca="1" si="225"/>
        <v>2.193192993259463E-3</v>
      </c>
      <c r="GN71" s="460">
        <f t="shared" ca="1" si="226"/>
        <v>2.2089523753981901E-3</v>
      </c>
      <c r="GO71" s="460">
        <f t="shared" ca="1" si="227"/>
        <v>2.2275615506022407E-3</v>
      </c>
      <c r="GP71" s="460">
        <f t="shared" ca="1" si="228"/>
        <v>2.0318589680372373E-3</v>
      </c>
      <c r="GQ71" s="460">
        <f t="shared" ca="1" si="229"/>
        <v>2.2755954713766747E-3</v>
      </c>
      <c r="GR71" s="460">
        <f t="shared" ca="1" si="230"/>
        <v>2.2320689071899987E-3</v>
      </c>
      <c r="GS71" s="460">
        <f t="shared" ca="1" si="231"/>
        <v>2.3431649259186399E-3</v>
      </c>
      <c r="GT71" s="460">
        <f t="shared" ca="1" si="232"/>
        <v>2.3098915193217754E-3</v>
      </c>
      <c r="GU71" s="460">
        <f t="shared" ca="1" si="233"/>
        <v>2.4391498048760116E-3</v>
      </c>
      <c r="GV71" s="460">
        <f t="shared" ca="1" si="234"/>
        <v>2.5018493305431423E-3</v>
      </c>
      <c r="GW71" s="460">
        <f t="shared" ca="1" si="235"/>
        <v>2.4942571760332398E-3</v>
      </c>
      <c r="GX71" s="460">
        <f t="shared" ca="1" si="236"/>
        <v>2.6689002833561312E-3</v>
      </c>
      <c r="GY71" s="460">
        <f t="shared" ca="1" si="237"/>
        <v>2.6907013237610386E-3</v>
      </c>
      <c r="GZ71" s="460">
        <f t="shared" ca="1" si="238"/>
        <v>2.9172081141854863E-3</v>
      </c>
      <c r="HA71" s="460">
        <f t="shared" ca="1" si="239"/>
        <v>3.0865157814970847E-3</v>
      </c>
      <c r="HB71" s="460">
        <f t="shared" ca="1" si="240"/>
        <v>3.085331083945981E-3</v>
      </c>
      <c r="HC71" s="460">
        <f t="shared" ca="1" si="241"/>
        <v>3.5656716468497394E-3</v>
      </c>
      <c r="HD71" s="460">
        <f t="shared" ca="1" si="242"/>
        <v>3.7826256541631876E-3</v>
      </c>
      <c r="HE71" s="460">
        <f t="shared" ca="1" si="243"/>
        <v>4.355826655511273E-3</v>
      </c>
      <c r="HF71" s="460">
        <f t="shared" ca="1" si="244"/>
        <v>4.7904329455313518E-3</v>
      </c>
      <c r="HG71" s="460">
        <f t="shared" ca="1" si="245"/>
        <v>5.7587294850289707E-3</v>
      </c>
      <c r="HH71" s="460">
        <f t="shared" ca="1" si="246"/>
        <v>6.8903182241576042E-3</v>
      </c>
      <c r="HI71" s="460">
        <f t="shared" ca="1" si="247"/>
        <v>8.2533593030212366E-3</v>
      </c>
      <c r="HJ71" s="460">
        <f t="shared" ca="1" si="248"/>
        <v>1.0999590706672098E-2</v>
      </c>
      <c r="HK71" s="460" t="str">
        <f t="shared" si="249"/>
        <v/>
      </c>
      <c r="HL71" s="460" t="str">
        <f t="shared" si="250"/>
        <v/>
      </c>
      <c r="HM71" s="460" t="str">
        <f t="shared" si="251"/>
        <v/>
      </c>
      <c r="HN71" s="460" t="str">
        <f t="shared" si="252"/>
        <v/>
      </c>
      <c r="HO71" s="460" t="str">
        <f t="shared" si="253"/>
        <v/>
      </c>
      <c r="HP71" s="460" t="str">
        <f t="shared" si="254"/>
        <v/>
      </c>
      <c r="HQ71" s="460" t="str">
        <f t="shared" si="255"/>
        <v/>
      </c>
      <c r="HR71" s="460" t="str">
        <f t="shared" si="256"/>
        <v/>
      </c>
      <c r="HS71" s="460" t="str">
        <f t="shared" si="257"/>
        <v/>
      </c>
      <c r="HT71" s="460" t="str">
        <f t="shared" si="258"/>
        <v/>
      </c>
      <c r="HU71" s="460" t="str">
        <f t="shared" si="259"/>
        <v/>
      </c>
      <c r="HV71" s="460" t="str">
        <f t="shared" si="260"/>
        <v/>
      </c>
      <c r="HW71" s="460" t="str">
        <f t="shared" si="261"/>
        <v/>
      </c>
      <c r="HX71" s="460" t="str">
        <f t="shared" si="262"/>
        <v/>
      </c>
      <c r="HY71" s="460" t="str">
        <f t="shared" si="263"/>
        <v/>
      </c>
      <c r="HZ71" s="460" t="str">
        <f t="shared" si="264"/>
        <v/>
      </c>
      <c r="IA71" s="460" t="str">
        <f t="shared" si="265"/>
        <v/>
      </c>
      <c r="IB71" s="460" t="str">
        <f t="shared" si="266"/>
        <v/>
      </c>
      <c r="IC71" s="460" t="str">
        <f t="shared" si="267"/>
        <v/>
      </c>
      <c r="ID71" s="674" t="str">
        <f t="shared" si="268"/>
        <v/>
      </c>
      <c r="IE71" s="250"/>
    </row>
    <row r="72" spans="1:239">
      <c r="A72" s="53"/>
      <c r="F72" s="53"/>
      <c r="G72" s="53"/>
      <c r="H72" s="51">
        <f t="shared" ca="1" si="35"/>
        <v>0</v>
      </c>
      <c r="I72" s="379">
        <f t="shared" si="36"/>
        <v>38353</v>
      </c>
      <c r="J72" s="377"/>
      <c r="K72" s="104">
        <v>0</v>
      </c>
      <c r="L72" s="392">
        <f t="shared" si="37"/>
        <v>0</v>
      </c>
      <c r="M72" s="171"/>
      <c r="N72" s="382">
        <v>0</v>
      </c>
      <c r="O72" s="171">
        <f t="shared" si="38"/>
        <v>0</v>
      </c>
      <c r="P72" s="377"/>
      <c r="Q72" s="104" t="s">
        <v>268</v>
      </c>
      <c r="R72" s="377">
        <f t="shared" ca="1" si="148"/>
        <v>-1.0808764507852893</v>
      </c>
      <c r="S72" s="832">
        <f t="shared" si="164"/>
        <v>0.36000001698964967</v>
      </c>
      <c r="T72" s="831">
        <f t="shared" si="149"/>
        <v>0.99996743401822752</v>
      </c>
      <c r="U72" s="545">
        <f t="shared" si="150"/>
        <v>0.99999999522166105</v>
      </c>
      <c r="V72" s="389">
        <v>0</v>
      </c>
      <c r="W72" s="434">
        <f t="shared" si="166"/>
        <v>0</v>
      </c>
      <c r="X72" s="415">
        <f t="shared" si="167"/>
        <v>0</v>
      </c>
      <c r="Y72" s="322">
        <f t="shared" si="168"/>
        <v>-1.121</v>
      </c>
      <c r="Z72" s="322">
        <f t="shared" ca="1" si="169"/>
        <v>-1.121</v>
      </c>
      <c r="AA72" s="429">
        <f t="shared" si="1"/>
        <v>1.121</v>
      </c>
      <c r="AB72" s="433">
        <f t="shared" ca="1" si="2"/>
        <v>1.121</v>
      </c>
      <c r="AC72" s="229">
        <v>38341</v>
      </c>
      <c r="AD72" s="229">
        <v>38337</v>
      </c>
      <c r="AE72" s="229">
        <v>38336</v>
      </c>
      <c r="AF72" s="229">
        <v>38332</v>
      </c>
      <c r="AG72" s="249" t="s">
        <v>90</v>
      </c>
      <c r="AH72" s="247" t="s">
        <v>499</v>
      </c>
      <c r="AI72" s="146">
        <v>21</v>
      </c>
      <c r="AJ72" s="41">
        <v>14</v>
      </c>
      <c r="AK72" s="41">
        <v>7</v>
      </c>
      <c r="AL72" s="293">
        <v>21</v>
      </c>
      <c r="AM72" s="41">
        <v>10</v>
      </c>
      <c r="AN72" s="147">
        <v>11</v>
      </c>
      <c r="AO72" s="374"/>
      <c r="AP72" s="153">
        <f t="shared" ca="1" si="43"/>
        <v>1</v>
      </c>
      <c r="AQ72" s="374"/>
      <c r="AR72" s="153">
        <f t="shared" ca="1" si="151"/>
        <v>1</v>
      </c>
      <c r="AS72" s="272">
        <f t="shared" si="170"/>
        <v>0</v>
      </c>
      <c r="AT72" s="157">
        <f t="shared" si="44"/>
        <v>0</v>
      </c>
      <c r="AU72" s="157">
        <f t="shared" si="4"/>
        <v>0</v>
      </c>
      <c r="AV72" s="271">
        <f t="shared" ca="1" si="163"/>
        <v>9.9999999999999995E-7</v>
      </c>
      <c r="AW72" s="158" t="str">
        <f t="shared" ca="1" si="171"/>
        <v/>
      </c>
      <c r="AX72" s="157">
        <f t="shared" ca="1" si="152"/>
        <v>4.4188773697653736E-3</v>
      </c>
      <c r="AY72" s="157">
        <f t="shared" ca="1" si="153"/>
        <v>2.4186371706306021E-3</v>
      </c>
      <c r="AZ72" s="157">
        <f t="shared" ca="1" si="154"/>
        <v>7.2502925339841258E-4</v>
      </c>
      <c r="BA72" s="157">
        <f t="shared" ca="1" si="155"/>
        <v>9.0628656674801572E-5</v>
      </c>
      <c r="BB72" s="157">
        <f t="shared" ca="1" si="156"/>
        <v>3.3373076669376604E-5</v>
      </c>
      <c r="BC72" s="157">
        <f t="shared" ca="1" si="157"/>
        <v>1.6427106821358241E-5</v>
      </c>
      <c r="BD72" s="151">
        <f t="shared" ca="1" si="172"/>
        <v>0</v>
      </c>
      <c r="BE72" s="152">
        <f t="shared" ca="1" si="173"/>
        <v>0</v>
      </c>
      <c r="BF72" s="40">
        <f t="shared" si="174"/>
        <v>2005</v>
      </c>
      <c r="BG72" s="144">
        <f t="shared" si="175"/>
        <v>1</v>
      </c>
      <c r="BH72" s="145">
        <f t="shared" ca="1" si="176"/>
        <v>1592</v>
      </c>
      <c r="BI72" s="313">
        <f t="shared" ca="1" si="177"/>
        <v>4.4024640657084193</v>
      </c>
      <c r="BJ72" s="42">
        <f t="shared" ca="1" si="10"/>
        <v>4.4572210814510616</v>
      </c>
      <c r="BK72" s="42">
        <f t="shared" ca="1" si="178"/>
        <v>4.4599589322381936</v>
      </c>
      <c r="BL72" s="42">
        <f t="shared" ca="1" si="179"/>
        <v>4.4845995893223822</v>
      </c>
      <c r="BM72" s="150" t="e">
        <f t="shared" ca="1" si="13"/>
        <v>#DIV/0!</v>
      </c>
      <c r="BN72" s="42" t="e">
        <f t="shared" ca="1" si="14"/>
        <v>#DIV/0!</v>
      </c>
      <c r="BO72" s="293">
        <f t="shared" si="48"/>
        <v>21</v>
      </c>
      <c r="BP72" s="41">
        <f t="shared" si="49"/>
        <v>14</v>
      </c>
      <c r="BQ72" s="41">
        <f t="shared" si="50"/>
        <v>7</v>
      </c>
      <c r="BR72" s="305" t="str">
        <f t="shared" ca="1" si="15"/>
        <v/>
      </c>
      <c r="BS72" s="305" t="str">
        <f t="shared" ca="1" si="180"/>
        <v/>
      </c>
      <c r="BT72" s="307" t="str">
        <f t="shared" ca="1" si="181"/>
        <v/>
      </c>
      <c r="BU72" s="161" t="str">
        <f t="shared" ca="1" si="18"/>
        <v/>
      </c>
      <c r="BV72" s="161" t="str">
        <f t="shared" ca="1" si="19"/>
        <v/>
      </c>
      <c r="BW72" s="308" t="str">
        <f t="shared" ca="1" si="20"/>
        <v/>
      </c>
      <c r="BX72" s="309" t="str">
        <f t="shared" ca="1" si="21"/>
        <v/>
      </c>
      <c r="BY72" s="308" t="str">
        <f t="shared" ca="1" si="51"/>
        <v/>
      </c>
      <c r="BZ72" s="309" t="str">
        <f t="shared" ca="1" si="52"/>
        <v/>
      </c>
      <c r="CA72" s="154" t="str">
        <f t="shared" ca="1" si="22"/>
        <v/>
      </c>
      <c r="CB72" s="154" t="str">
        <f t="shared" ca="1" si="23"/>
        <v/>
      </c>
      <c r="CC72" s="154" t="str">
        <f t="shared" ca="1" si="24"/>
        <v/>
      </c>
      <c r="CD72" s="154" t="str">
        <f t="shared" ca="1" si="25"/>
        <v/>
      </c>
      <c r="CE72" s="310">
        <v>1</v>
      </c>
      <c r="CF72" s="162">
        <f ca="1">IF(BD72,_xll.xCrudeAPO(BU72,BV72,CA72,CB72,S73,S74,BI72,BL72,BP72,BQ72,0,Strike1,AO72,CE72,0,BL72,IF(OptControl=4,0,1),0,1),0)</f>
        <v>0</v>
      </c>
      <c r="CG72" s="163">
        <f ca="1">IF(BD72,_xll.xCrudeAPO(BU72,BV72,CA72,CB72,S73,S74,BI72,BL72,BP72,BQ72,0,Strike1,AO72,CE72,0,BL72,IF(OptControl=4,0,1),1,1)+_xll.xCrudeAPO(BU72,BV72,CA72,CB72,S73,S74,BI72,BL72,BP72,BQ72,0,Strike1,AO72,CE72,0,BL72,IF(OptControl=4,0,1),1,2)+IF(OR(VolSkewFlag=2,ABS(BS72)&lt;0.0001),0,IF(BS72&gt;0,-1,1)*CH72*Strike1/BR72^2*BY72/10%),0)</f>
        <v>0</v>
      </c>
      <c r="CH72" s="163">
        <f ca="1">IF(BD72,(_xll.xCrudeAPO(BU72,BV72,CA72,CB72,S73,S74,BI72,BL72,BP72,BQ72,0,Strike1,AO72,CE72,0,BL72,IF(OptControl=4,0,1),3,1)+_xll.xCrudeAPO(BU72,BV72,CA72,CB72,S73,S74,BI72,BL72,BP72,BQ72,0,Strike1,AO72,CE72,0,BL72,IF(OptControl=4,0,1),3,2))/100,0)</f>
        <v>0</v>
      </c>
      <c r="CI72" s="163">
        <f ca="1">IF(BD72,_xll.xCrudeAPO(BU72,BV72,CA72,CB72,S73,S74,BI72-DaysForThetaCalculation/365.25,BL72-DaysForThetaCalculation/365.25,BP72,BQ72,0,Strike1,AO72,CE72,0,BL72,IF(OptControl=4,0,1),0,1)-_xll.xCrudeAPO(BU72,BV72,CA72,CB72,S73,S74,BI72,BL72,BP72,BQ72,0,Strike1,AO72,CE72,0,BL72,IF(OptControl=4,0,1),0,1),0)</f>
        <v>0</v>
      </c>
      <c r="CJ72" s="311">
        <f ca="1">IF(BD72,_xll.xCrudeAPO(BU72,BV72,CC72,CD72,S73,S74,BI72,BL72,BP72,BQ72,0,Strike2,AO72,CE72,0,BL72,IF(OptControl=3,1,0),0,1),0)</f>
        <v>0</v>
      </c>
      <c r="CK72" s="163">
        <f ca="1">IF(BD72,_xll.xCrudeAPO(BU72,BV72,CC72,CD72,S73,S74,BI72,BL72,BP72,BQ72,0,Strike2,AO72,CE72,0,BL72,IF(OptControl=3,1,0),1,1)+_xll.xCrudeAPO(BU72,BV72,CC72,CD72,S73,S74,BI72,BL72,BP72,BQ72,0,Strike2,AO72,CE72,0,BL72,IF(OptControl=3,1,0),1,2)+IF(OR(VolSkewFlag=2,ABS(BT72)&lt;0.0001),0,IF(BT72&gt;0,-1,1)*CL72*Strike2/BR72^2*BZ72/10%),0)</f>
        <v>0</v>
      </c>
      <c r="CL72" s="163">
        <f ca="1">IF(BD72,(_xll.xCrudeAPO(BU72,BV72,CC72,CD72,S73,S74,BI72,BL72,BP72,BQ72,0,Strike2,AO72,CE72,0,BL72,IF(OptControl=3,1,0),3,1)+_xll.xCrudeAPO(BU72,BV72,CC72,CD72,S73,S74,BI72,BL72,BP72,BQ72,0,Strike2,AO72,CE72,0,BL72,IF(OptControl=3,1,0),3,2))/100,0)</f>
        <v>0</v>
      </c>
      <c r="CM72" s="164">
        <f ca="1">IF(BD72,_xll.xCrudeAPO(BU72,BV72,CC72,CD72,S73,S74,BI72-DaysForThetaCalculation/365.25,BL72-DaysForThetaCalculation/365.25,BP72,BQ72,0,Strike2,AO72,CE72,0,BL72,IF(OptControl=3,1,0),0,1)-_xll.xCrudeAPO(BU72,BV72,CC72,CD72,S73,S74,BI72,BL72,BP72,BQ72,0,Strike2,AO72,CE72,0,BL72,IF(OptControl=3,1,0),0,1),0)</f>
        <v>0</v>
      </c>
      <c r="CN72" s="53"/>
      <c r="CO72" s="796" t="str">
        <f t="shared" ca="1" si="53"/>
        <v/>
      </c>
      <c r="CP72" s="800" t="str">
        <f t="shared" ca="1" si="54"/>
        <v/>
      </c>
      <c r="CQ72" s="797" t="str">
        <f t="shared" ca="1" si="55"/>
        <v/>
      </c>
      <c r="CR72" s="797" t="str">
        <f t="shared" ca="1" si="56"/>
        <v/>
      </c>
      <c r="CS72" s="797" t="str">
        <f t="shared" ca="1" si="57"/>
        <v/>
      </c>
      <c r="CT72" s="797" t="str">
        <f t="shared" ca="1" si="58"/>
        <v/>
      </c>
      <c r="CU72" s="798" t="str">
        <f t="shared" ca="1" si="59"/>
        <v/>
      </c>
      <c r="CV72" s="799" t="str">
        <f t="shared" ca="1" si="60"/>
        <v/>
      </c>
      <c r="CW72" s="799" t="str">
        <f t="shared" ca="1" si="61"/>
        <v/>
      </c>
      <c r="CX72" s="163">
        <f ca="1">IF(BD72,_xll.EURO(CP72,Strike1,AO72,AO72,CV72,CO72,IF(OptControl=4,0,1),0),0)</f>
        <v>0</v>
      </c>
      <c r="CY72" s="163">
        <f ca="1">IF(BD72,_xll.EURO(CP72,Strike1,AO72,AO72,CV72,CO72,IF(OptControl=4,0,1),1)+IF(OR(VolSkewFlag=2,ABS(CQ72)&lt;0.0001),0,IF(CQ72&gt;0,-1,1)*CZ72*100*Strike1/CP72^2*CS72/10%),0)</f>
        <v>0</v>
      </c>
      <c r="CZ72" s="163">
        <f ca="1">IF(BD72,_xll.EURO(CP72,Strike1,AO72,AO72,CV72,CO72,IF(OptControl=4,0,1),3)/100,0)</f>
        <v>0</v>
      </c>
      <c r="DA72" s="163">
        <f ca="1">IF(BD72,_xll.EURO(CP72,Strike1,AO72,AO72,CV72,CO72,IF(OptControl=4,0,1),0)-_xll.EURO(CP72,Strike1,AO72,AO72,CV72,CO72-1,IF(OptControl=4,0,1),0),0)</f>
        <v>0</v>
      </c>
      <c r="DB72" s="163">
        <f ca="1">IF(BD72,_xll.EURO(CP72,Strike2,AO72,AO72,CW72,CO72,IF(OptControl=3,1,0),0),0)</f>
        <v>0</v>
      </c>
      <c r="DC72" s="163">
        <f ca="1">IF(BD72,_xll.EURO(CP72,Strike2,AO72,AO72,CW72,CO72,IF(OptControl=3,1,0),1)+IF(OR(VolSkewFlag=2,ABS(CR72)&lt;0.0001),0,IF(CR72&gt;0,-1,1)*DD72*100*Strike2/CP72^2*CT72/10%),0)</f>
        <v>0</v>
      </c>
      <c r="DD72" s="163">
        <f ca="1">IF(BD72,_xll.EURO(CP72,Strike2,AO72,AO72,CW72,CO72,IF(OptControl=3,1,0),3)/100,0)</f>
        <v>0</v>
      </c>
      <c r="DE72" s="164">
        <f ca="1">IF(BD72,_xll.EURO(CP72,Strike2,AO72,AO72,CW72,CO72,IF(OptControl=3,1,0),0)-_xll.EURO(CP72,Strike2,AO72,AO72,CW72,CO72-1,IF(OptControl=3,1,0),0),0)</f>
        <v>0</v>
      </c>
      <c r="DG72" s="667">
        <f t="shared" ca="1" si="62"/>
        <v>38139</v>
      </c>
      <c r="DH72" s="475">
        <v>18.39</v>
      </c>
      <c r="DI72" s="665">
        <v>18.383181818181821</v>
      </c>
      <c r="DJ72" s="666">
        <f t="shared" ca="1" si="182"/>
        <v>38139</v>
      </c>
      <c r="DK72" s="475">
        <v>17.077521260992093</v>
      </c>
      <c r="DL72" s="665">
        <v>17.144181818181821</v>
      </c>
      <c r="DM72" s="667">
        <f t="shared" ca="1" si="183"/>
        <v>38139</v>
      </c>
      <c r="DN72" s="668">
        <f t="shared" si="184"/>
        <v>17.127521260992093</v>
      </c>
      <c r="DO72" s="667">
        <f t="shared" ca="1" si="63"/>
        <v>38139</v>
      </c>
      <c r="DP72" s="579">
        <f t="shared" si="64"/>
        <v>17.144181818181821</v>
      </c>
      <c r="DQ72" s="821">
        <v>0</v>
      </c>
      <c r="DR72" s="666">
        <f t="shared" ca="1" si="185"/>
        <v>38139</v>
      </c>
      <c r="DS72" s="669">
        <v>0.20001723338586699</v>
      </c>
      <c r="DT72" s="606">
        <v>0.19938258090881941</v>
      </c>
      <c r="DU72" s="666">
        <f t="shared" ca="1" si="186"/>
        <v>38139</v>
      </c>
      <c r="DV72" s="669">
        <v>0.20001723338586699</v>
      </c>
      <c r="DW72" s="606">
        <v>0.19938258090881941</v>
      </c>
      <c r="DX72" s="667">
        <f t="shared" ca="1" si="187"/>
        <v>38139</v>
      </c>
      <c r="DY72" s="606">
        <v>0.35</v>
      </c>
      <c r="DZ72" s="667">
        <f t="shared" ca="1" si="65"/>
        <v>38139</v>
      </c>
      <c r="EA72" s="606">
        <f t="shared" si="66"/>
        <v>0.19938258090881941</v>
      </c>
      <c r="EB72" s="1"/>
      <c r="EC72" s="118" t="str">
        <f t="shared" ca="1" si="188"/>
        <v/>
      </c>
      <c r="ED72" s="119" t="str">
        <f t="shared" ca="1" si="33"/>
        <v/>
      </c>
      <c r="EE72" s="112" t="str">
        <f t="shared" ca="1" si="34"/>
        <v/>
      </c>
      <c r="EF72" s="120">
        <f ca="1">IF(BD72,_xll.xASN(BR72,Strike1,AO72,ED72,0,BO72,0,BI72,BL72,IF(OptControl=4,0,1),0),0)</f>
        <v>0</v>
      </c>
      <c r="EG72" s="111">
        <f ca="1">IF(BD72,_xll.xASN(BR72,Strike2,AO72,EE72,0,BO72,0,BI72,BL72,IF(OptControl=3,1,0),0),0)</f>
        <v>0</v>
      </c>
      <c r="EL72" s="55"/>
      <c r="EM72" s="1"/>
      <c r="EN72" s="697">
        <v>42005</v>
      </c>
      <c r="EO72" s="698">
        <v>46023</v>
      </c>
      <c r="EP72" s="1"/>
      <c r="EQ72" s="683" t="s">
        <v>259</v>
      </c>
      <c r="ES72" s="498">
        <v>53</v>
      </c>
      <c r="ET72" s="476">
        <f t="shared" ca="1" si="165"/>
        <v>4.3586584531143053</v>
      </c>
      <c r="EU72" s="842">
        <f t="shared" ca="1" si="189"/>
        <v>0</v>
      </c>
      <c r="EV72" s="815">
        <f t="shared" ca="1" si="269"/>
        <v>0.18409196569658981</v>
      </c>
      <c r="EW72" s="478" t="str">
        <f t="shared" ca="1" si="270"/>
        <v/>
      </c>
      <c r="EX72" s="477" t="str">
        <f t="shared" ca="1" si="271"/>
        <v/>
      </c>
      <c r="EY72" s="250">
        <v>0</v>
      </c>
      <c r="EZ72" s="605" t="str">
        <f ca="1">IF(OR(EW72="",EW73=""),"",SQRT(SUM(INDEX(FK72:ID72,SwaptionFirstMonthPosition+1):INDEX(FK72:ID72,FJ72))/SUM(INDEX($FK$15:$ID$15,SwaptionFirstMonthPosition+1):INDEX($FK$15:$ID$15,FJ72))))</f>
        <v/>
      </c>
      <c r="FA72" s="581" t="str">
        <f ca="1">IF(OR(EW72="",EW71=""),"",SQRT(SUM(INDEX(FK72:ID72,SwaptionFirstMonthPosition+1):INDEX(FK72:ID72,FJ72-1))/SUM(INDEX($FK$15:$ID$15,SwaptionFirstMonthPosition+1):INDEX($FK$15:$ID$15,FJ72-1))))</f>
        <v/>
      </c>
      <c r="FB72" s="578" t="str">
        <f t="shared" ca="1" si="190"/>
        <v/>
      </c>
      <c r="FC72" s="609" t="str">
        <f t="shared" ca="1" si="191"/>
        <v/>
      </c>
      <c r="FD72" s="579" t="str">
        <f t="shared" ca="1" si="192"/>
        <v/>
      </c>
      <c r="FE72" s="579" t="str">
        <f t="shared" ca="1" si="193"/>
        <v/>
      </c>
      <c r="FF72" s="579" t="str">
        <f t="shared" ca="1" si="194"/>
        <v/>
      </c>
      <c r="FG72" s="580" t="str">
        <f t="shared" ca="1" si="195"/>
        <v/>
      </c>
      <c r="FH72" s="606" t="str">
        <f t="shared" ca="1" si="196"/>
        <v/>
      </c>
      <c r="FI72" s="250"/>
      <c r="FJ72" s="673">
        <v>53</v>
      </c>
      <c r="FK72" s="460">
        <f t="shared" ca="1" si="197"/>
        <v>0</v>
      </c>
      <c r="FL72" s="460">
        <f t="shared" ca="1" si="198"/>
        <v>2.1923135275425864E-3</v>
      </c>
      <c r="FM72" s="460">
        <f t="shared" ca="1" si="199"/>
        <v>2.5483281835404835E-3</v>
      </c>
      <c r="FN72" s="460">
        <f t="shared" ca="1" si="200"/>
        <v>2.1450742525547469E-3</v>
      </c>
      <c r="FO72" s="460">
        <f t="shared" ca="1" si="201"/>
        <v>2.2314659451596335E-3</v>
      </c>
      <c r="FP72" s="460">
        <f t="shared" ca="1" si="202"/>
        <v>2.4730448496560345E-3</v>
      </c>
      <c r="FQ72" s="460">
        <f t="shared" ca="1" si="203"/>
        <v>2.002521627017305E-3</v>
      </c>
      <c r="FR72" s="460">
        <f t="shared" ca="1" si="204"/>
        <v>2.0478842454377528E-3</v>
      </c>
      <c r="FS72" s="460">
        <f t="shared" ca="1" si="205"/>
        <v>2.3083372430841992E-3</v>
      </c>
      <c r="FT72" s="460">
        <f t="shared" ca="1" si="206"/>
        <v>2.0837377204907469E-3</v>
      </c>
      <c r="FU72" s="460">
        <f t="shared" ca="1" si="207"/>
        <v>2.0038403133360201E-3</v>
      </c>
      <c r="FV72" s="460">
        <f t="shared" ca="1" si="208"/>
        <v>2.2028001663021283E-3</v>
      </c>
      <c r="FW72" s="460">
        <f t="shared" ca="1" si="209"/>
        <v>2.0595884233474992E-3</v>
      </c>
      <c r="FX72" s="460">
        <f t="shared" ca="1" si="210"/>
        <v>2.1928610837492189E-3</v>
      </c>
      <c r="FY72" s="460">
        <f t="shared" ca="1" si="211"/>
        <v>2.0534024121352133E-3</v>
      </c>
      <c r="FZ72" s="460">
        <f t="shared" ca="1" si="212"/>
        <v>1.9152945801318446E-3</v>
      </c>
      <c r="GA72" s="460">
        <f t="shared" ca="1" si="213"/>
        <v>2.0517128813909982E-3</v>
      </c>
      <c r="GB72" s="460">
        <f t="shared" ca="1" si="214"/>
        <v>2.2573196811771241E-3</v>
      </c>
      <c r="GC72" s="460">
        <f t="shared" ca="1" si="215"/>
        <v>1.9847700882287649E-3</v>
      </c>
      <c r="GD72" s="460">
        <f t="shared" ca="1" si="216"/>
        <v>1.9864799612187459E-3</v>
      </c>
      <c r="GE72" s="460">
        <f t="shared" ca="1" si="217"/>
        <v>2.2631514900332064E-3</v>
      </c>
      <c r="GF72" s="460">
        <f t="shared" ca="1" si="218"/>
        <v>1.9918443046145597E-3</v>
      </c>
      <c r="GG72" s="460">
        <f t="shared" ca="1" si="219"/>
        <v>2.2020112114109879E-3</v>
      </c>
      <c r="GH72" s="460">
        <f t="shared" ca="1" si="220"/>
        <v>2.0690594253814087E-3</v>
      </c>
      <c r="GI72" s="460">
        <f t="shared" ca="1" si="221"/>
        <v>2.0055003957916875E-3</v>
      </c>
      <c r="GJ72" s="460">
        <f t="shared" ca="1" si="222"/>
        <v>2.2894389560602678E-3</v>
      </c>
      <c r="GK72" s="460">
        <f t="shared" ca="1" si="223"/>
        <v>2.089183350996364E-3</v>
      </c>
      <c r="GL72" s="460">
        <f t="shared" ca="1" si="224"/>
        <v>2.0285346047384956E-3</v>
      </c>
      <c r="GM72" s="460">
        <f t="shared" ca="1" si="225"/>
        <v>2.1797710697058288E-3</v>
      </c>
      <c r="GN72" s="460">
        <f t="shared" ca="1" si="226"/>
        <v>2.1931414187059419E-3</v>
      </c>
      <c r="GO72" s="460">
        <f t="shared" ca="1" si="227"/>
        <v>2.2089134160225834E-3</v>
      </c>
      <c r="GP72" s="460">
        <f t="shared" ca="1" si="228"/>
        <v>2.0119644635279077E-3</v>
      </c>
      <c r="GQ72" s="460">
        <f t="shared" ca="1" si="229"/>
        <v>2.2495358253047568E-3</v>
      </c>
      <c r="GR72" s="460">
        <f t="shared" ca="1" si="230"/>
        <v>2.2021727798083889E-3</v>
      </c>
      <c r="GS72" s="460">
        <f t="shared" ca="1" si="231"/>
        <v>2.3064583325564493E-3</v>
      </c>
      <c r="GT72" s="460">
        <f t="shared" ca="1" si="232"/>
        <v>2.2675694696638314E-3</v>
      </c>
      <c r="GU72" s="460">
        <f t="shared" ca="1" si="233"/>
        <v>2.3868804105808463E-3</v>
      </c>
      <c r="GV72" s="460">
        <f t="shared" ca="1" si="234"/>
        <v>2.439144062284996E-3</v>
      </c>
      <c r="GW72" s="460">
        <f t="shared" ca="1" si="235"/>
        <v>2.421140238272888E-3</v>
      </c>
      <c r="GX72" s="460">
        <f t="shared" ca="1" si="236"/>
        <v>2.5773956685997816E-3</v>
      </c>
      <c r="GY72" s="460">
        <f t="shared" ca="1" si="237"/>
        <v>2.5828041604796007E-3</v>
      </c>
      <c r="GZ72" s="460">
        <f t="shared" ca="1" si="238"/>
        <v>2.7803892966867371E-3</v>
      </c>
      <c r="HA72" s="460">
        <f t="shared" ca="1" si="239"/>
        <v>2.9172064843457509E-3</v>
      </c>
      <c r="HB72" s="460">
        <f t="shared" ca="1" si="240"/>
        <v>2.8873845211940408E-3</v>
      </c>
      <c r="HC72" s="460">
        <f t="shared" ca="1" si="241"/>
        <v>3.2981115015197752E-3</v>
      </c>
      <c r="HD72" s="460">
        <f t="shared" ca="1" si="242"/>
        <v>3.4506491675003886E-3</v>
      </c>
      <c r="HE72" s="460">
        <f t="shared" ca="1" si="243"/>
        <v>3.9087124850025468E-3</v>
      </c>
      <c r="HF72" s="460">
        <f t="shared" ca="1" si="244"/>
        <v>4.2153155593621242E-3</v>
      </c>
      <c r="HG72" s="460">
        <f t="shared" ca="1" si="245"/>
        <v>4.9501135514940734E-3</v>
      </c>
      <c r="HH72" s="460">
        <f t="shared" ca="1" si="246"/>
        <v>5.7587290555583901E-3</v>
      </c>
      <c r="HI72" s="460">
        <f t="shared" ca="1" si="247"/>
        <v>6.6680495213819919E-3</v>
      </c>
      <c r="HJ72" s="460">
        <f t="shared" ca="1" si="248"/>
        <v>8.5284709220213844E-3</v>
      </c>
      <c r="HK72" s="460">
        <f t="shared" ca="1" si="249"/>
        <v>1.0644764865096334E-2</v>
      </c>
      <c r="HL72" s="460" t="str">
        <f t="shared" si="250"/>
        <v/>
      </c>
      <c r="HM72" s="460" t="str">
        <f t="shared" si="251"/>
        <v/>
      </c>
      <c r="HN72" s="460" t="str">
        <f t="shared" si="252"/>
        <v/>
      </c>
      <c r="HO72" s="460" t="str">
        <f t="shared" si="253"/>
        <v/>
      </c>
      <c r="HP72" s="460" t="str">
        <f t="shared" si="254"/>
        <v/>
      </c>
      <c r="HQ72" s="460" t="str">
        <f t="shared" si="255"/>
        <v/>
      </c>
      <c r="HR72" s="460" t="str">
        <f t="shared" si="256"/>
        <v/>
      </c>
      <c r="HS72" s="460" t="str">
        <f t="shared" si="257"/>
        <v/>
      </c>
      <c r="HT72" s="460" t="str">
        <f t="shared" si="258"/>
        <v/>
      </c>
      <c r="HU72" s="460" t="str">
        <f t="shared" si="259"/>
        <v/>
      </c>
      <c r="HV72" s="460" t="str">
        <f t="shared" si="260"/>
        <v/>
      </c>
      <c r="HW72" s="460" t="str">
        <f t="shared" si="261"/>
        <v/>
      </c>
      <c r="HX72" s="460" t="str">
        <f t="shared" si="262"/>
        <v/>
      </c>
      <c r="HY72" s="460" t="str">
        <f t="shared" si="263"/>
        <v/>
      </c>
      <c r="HZ72" s="460" t="str">
        <f t="shared" si="264"/>
        <v/>
      </c>
      <c r="IA72" s="460" t="str">
        <f t="shared" si="265"/>
        <v/>
      </c>
      <c r="IB72" s="460" t="str">
        <f t="shared" si="266"/>
        <v/>
      </c>
      <c r="IC72" s="460" t="str">
        <f t="shared" si="267"/>
        <v/>
      </c>
      <c r="ID72" s="674" t="str">
        <f t="shared" si="268"/>
        <v/>
      </c>
      <c r="IE72" s="250"/>
    </row>
    <row r="73" spans="1:239">
      <c r="A73" s="53"/>
      <c r="F73" s="53"/>
      <c r="G73" s="53"/>
      <c r="H73" s="51">
        <f t="shared" ca="1" si="35"/>
        <v>0</v>
      </c>
      <c r="I73" s="379">
        <f t="shared" si="36"/>
        <v>38384</v>
      </c>
      <c r="J73" s="377"/>
      <c r="K73" s="104" t="s">
        <v>269</v>
      </c>
      <c r="L73" s="392">
        <f t="shared" si="37"/>
        <v>0</v>
      </c>
      <c r="M73" s="171"/>
      <c r="N73" s="382">
        <v>0</v>
      </c>
      <c r="O73" s="171">
        <f t="shared" si="38"/>
        <v>0</v>
      </c>
      <c r="P73" s="377"/>
      <c r="Q73" s="104" t="s">
        <v>268</v>
      </c>
      <c r="R73" s="377">
        <f t="shared" ca="1" si="148"/>
        <v>-1.176456576319008</v>
      </c>
      <c r="S73" s="832">
        <f t="shared" si="164"/>
        <v>0.36000001274223725</v>
      </c>
      <c r="T73" s="831">
        <f t="shared" si="149"/>
        <v>0.9999721564021633</v>
      </c>
      <c r="U73" s="545">
        <f t="shared" si="150"/>
        <v>0.99999999641624582</v>
      </c>
      <c r="V73" s="389">
        <v>0</v>
      </c>
      <c r="W73" s="434">
        <f t="shared" si="166"/>
        <v>0</v>
      </c>
      <c r="X73" s="415">
        <f t="shared" si="167"/>
        <v>0</v>
      </c>
      <c r="Y73" s="322">
        <f t="shared" si="168"/>
        <v>-1.121</v>
      </c>
      <c r="Z73" s="322">
        <f t="shared" ca="1" si="169"/>
        <v>-1.121</v>
      </c>
      <c r="AA73" s="429">
        <f t="shared" si="1"/>
        <v>1.121</v>
      </c>
      <c r="AB73" s="433">
        <f t="shared" ca="1" si="2"/>
        <v>1.121</v>
      </c>
      <c r="AC73" s="229">
        <v>38372</v>
      </c>
      <c r="AD73" s="229">
        <v>38368</v>
      </c>
      <c r="AE73" s="229">
        <v>38367</v>
      </c>
      <c r="AF73" s="229">
        <v>38363</v>
      </c>
      <c r="AG73" s="249" t="s">
        <v>90</v>
      </c>
      <c r="AH73" s="247" t="s">
        <v>499</v>
      </c>
      <c r="AI73" s="146">
        <v>20</v>
      </c>
      <c r="AJ73" s="41">
        <v>14</v>
      </c>
      <c r="AK73" s="41">
        <v>6</v>
      </c>
      <c r="AL73" s="293">
        <v>20</v>
      </c>
      <c r="AM73" s="41">
        <v>10</v>
      </c>
      <c r="AN73" s="147">
        <v>10</v>
      </c>
      <c r="AO73" s="374"/>
      <c r="AP73" s="153">
        <f t="shared" ca="1" si="43"/>
        <v>1</v>
      </c>
      <c r="AQ73" s="374"/>
      <c r="AR73" s="153">
        <f t="shared" ca="1" si="151"/>
        <v>1</v>
      </c>
      <c r="AS73" s="272">
        <f t="shared" si="170"/>
        <v>0</v>
      </c>
      <c r="AT73" s="157">
        <f t="shared" si="44"/>
        <v>0</v>
      </c>
      <c r="AU73" s="157">
        <f t="shared" si="4"/>
        <v>0</v>
      </c>
      <c r="AV73" s="271">
        <f t="shared" ca="1" si="163"/>
        <v>9.9999999999999995E-7</v>
      </c>
      <c r="AW73" s="158" t="str">
        <f t="shared" ca="1" si="171"/>
        <v/>
      </c>
      <c r="AX73" s="157">
        <f t="shared" ca="1" si="152"/>
        <v>4.2720632876762791E-3</v>
      </c>
      <c r="AY73" s="157">
        <f t="shared" ca="1" si="153"/>
        <v>2.3227347064113117E-3</v>
      </c>
      <c r="AZ73" s="157">
        <f t="shared" ca="1" si="154"/>
        <v>6.843364882255479E-4</v>
      </c>
      <c r="BA73" s="157">
        <f t="shared" ca="1" si="155"/>
        <v>8.5542061028193487E-5</v>
      </c>
      <c r="BB73" s="157">
        <f t="shared" ca="1" si="156"/>
        <v>3.0453424872559323E-5</v>
      </c>
      <c r="BC73" s="157">
        <f t="shared" ca="1" si="157"/>
        <v>1.4634888409902474E-5</v>
      </c>
      <c r="BD73" s="151">
        <f t="shared" ca="1" si="172"/>
        <v>0</v>
      </c>
      <c r="BE73" s="152">
        <f t="shared" ca="1" si="173"/>
        <v>0</v>
      </c>
      <c r="BF73" s="40">
        <f t="shared" si="174"/>
        <v>2005</v>
      </c>
      <c r="BG73" s="144">
        <f t="shared" si="175"/>
        <v>2</v>
      </c>
      <c r="BH73" s="145">
        <f t="shared" ca="1" si="176"/>
        <v>1623</v>
      </c>
      <c r="BI73" s="313">
        <f t="shared" ca="1" si="177"/>
        <v>4.4873374401095143</v>
      </c>
      <c r="BJ73" s="42">
        <f t="shared" ca="1" si="10"/>
        <v>4.5390828199863114</v>
      </c>
      <c r="BK73" s="42">
        <f t="shared" ca="1" si="178"/>
        <v>4.5418206707734434</v>
      </c>
      <c r="BL73" s="42">
        <f t="shared" ca="1" si="179"/>
        <v>4.561259411362081</v>
      </c>
      <c r="BM73" s="150" t="e">
        <f t="shared" ca="1" si="13"/>
        <v>#DIV/0!</v>
      </c>
      <c r="BN73" s="42" t="e">
        <f t="shared" ca="1" si="14"/>
        <v>#DIV/0!</v>
      </c>
      <c r="BO73" s="293">
        <f t="shared" si="48"/>
        <v>20</v>
      </c>
      <c r="BP73" s="41">
        <f t="shared" si="49"/>
        <v>14</v>
      </c>
      <c r="BQ73" s="41">
        <f t="shared" si="50"/>
        <v>6</v>
      </c>
      <c r="BR73" s="305" t="str">
        <f t="shared" ca="1" si="15"/>
        <v/>
      </c>
      <c r="BS73" s="305" t="str">
        <f t="shared" ca="1" si="180"/>
        <v/>
      </c>
      <c r="BT73" s="307" t="str">
        <f t="shared" ca="1" si="181"/>
        <v/>
      </c>
      <c r="BU73" s="161" t="str">
        <f t="shared" ca="1" si="18"/>
        <v/>
      </c>
      <c r="BV73" s="161" t="str">
        <f t="shared" ca="1" si="19"/>
        <v/>
      </c>
      <c r="BW73" s="308" t="str">
        <f t="shared" ca="1" si="20"/>
        <v/>
      </c>
      <c r="BX73" s="309" t="str">
        <f t="shared" ca="1" si="21"/>
        <v/>
      </c>
      <c r="BY73" s="308" t="str">
        <f t="shared" ca="1" si="51"/>
        <v/>
      </c>
      <c r="BZ73" s="309" t="str">
        <f t="shared" ca="1" si="52"/>
        <v/>
      </c>
      <c r="CA73" s="154" t="str">
        <f t="shared" ca="1" si="22"/>
        <v/>
      </c>
      <c r="CB73" s="154" t="str">
        <f t="shared" ca="1" si="23"/>
        <v/>
      </c>
      <c r="CC73" s="154" t="str">
        <f t="shared" ca="1" si="24"/>
        <v/>
      </c>
      <c r="CD73" s="154" t="str">
        <f t="shared" ca="1" si="25"/>
        <v/>
      </c>
      <c r="CE73" s="310">
        <v>1</v>
      </c>
      <c r="CF73" s="162">
        <f ca="1">IF(BD73,_xll.xCrudeAPO(BU73,BV73,CA73,CB73,S74,S75,BI73,BL73,BP73,BQ73,0,Strike1,AO73,CE73,0,BL73,IF(OptControl=4,0,1),0,1),0)</f>
        <v>0</v>
      </c>
      <c r="CG73" s="163">
        <f ca="1">IF(BD73,_xll.xCrudeAPO(BU73,BV73,CA73,CB73,S74,S75,BI73,BL73,BP73,BQ73,0,Strike1,AO73,CE73,0,BL73,IF(OptControl=4,0,1),1,1)+_xll.xCrudeAPO(BU73,BV73,CA73,CB73,S74,S75,BI73,BL73,BP73,BQ73,0,Strike1,AO73,CE73,0,BL73,IF(OptControl=4,0,1),1,2)+IF(OR(VolSkewFlag=2,ABS(BS73)&lt;0.0001),0,IF(BS73&gt;0,-1,1)*CH73*Strike1/BR73^2*BY73/10%),0)</f>
        <v>0</v>
      </c>
      <c r="CH73" s="163">
        <f ca="1">IF(BD73,(_xll.xCrudeAPO(BU73,BV73,CA73,CB73,S74,S75,BI73,BL73,BP73,BQ73,0,Strike1,AO73,CE73,0,BL73,IF(OptControl=4,0,1),3,1)+_xll.xCrudeAPO(BU73,BV73,CA73,CB73,S74,S75,BI73,BL73,BP73,BQ73,0,Strike1,AO73,CE73,0,BL73,IF(OptControl=4,0,1),3,2))/100,0)</f>
        <v>0</v>
      </c>
      <c r="CI73" s="163">
        <f ca="1">IF(BD73,_xll.xCrudeAPO(BU73,BV73,CA73,CB73,S74,S75,BI73-DaysForThetaCalculation/365.25,BL73-DaysForThetaCalculation/365.25,BP73,BQ73,0,Strike1,AO73,CE73,0,BL73,IF(OptControl=4,0,1),0,1)-_xll.xCrudeAPO(BU73,BV73,CA73,CB73,S74,S75,BI73,BL73,BP73,BQ73,0,Strike1,AO73,CE73,0,BL73,IF(OptControl=4,0,1),0,1),0)</f>
        <v>0</v>
      </c>
      <c r="CJ73" s="311">
        <f ca="1">IF(BD73,_xll.xCrudeAPO(BU73,BV73,CC73,CD73,S74,S75,BI73,BL73,BP73,BQ73,0,Strike2,AO73,CE73,0,BL73,IF(OptControl=3,1,0),0,1),0)</f>
        <v>0</v>
      </c>
      <c r="CK73" s="163">
        <f ca="1">IF(BD73,_xll.xCrudeAPO(BU73,BV73,CC73,CD73,S74,S75,BI73,BL73,BP73,BQ73,0,Strike2,AO73,CE73,0,BL73,IF(OptControl=3,1,0),1,1)+_xll.xCrudeAPO(BU73,BV73,CC73,CD73,S74,S75,BI73,BL73,BP73,BQ73,0,Strike2,AO73,CE73,0,BL73,IF(OptControl=3,1,0),1,2)+IF(OR(VolSkewFlag=2,ABS(BT73)&lt;0.0001),0,IF(BT73&gt;0,-1,1)*CL73*Strike2/BR73^2*BZ73/10%),0)</f>
        <v>0</v>
      </c>
      <c r="CL73" s="163">
        <f ca="1">IF(BD73,(_xll.xCrudeAPO(BU73,BV73,CC73,CD73,S74,S75,BI73,BL73,BP73,BQ73,0,Strike2,AO73,CE73,0,BL73,IF(OptControl=3,1,0),3,1)+_xll.xCrudeAPO(BU73,BV73,CC73,CD73,S74,S75,BI73,BL73,BP73,BQ73,0,Strike2,AO73,CE73,0,BL73,IF(OptControl=3,1,0),3,2))/100,0)</f>
        <v>0</v>
      </c>
      <c r="CM73" s="164">
        <f ca="1">IF(BD73,_xll.xCrudeAPO(BU73,BV73,CC73,CD73,S74,S75,BI73-DaysForThetaCalculation/365.25,BL73-DaysForThetaCalculation/365.25,BP73,BQ73,0,Strike2,AO73,CE73,0,BL73,IF(OptControl=3,1,0),0,1)-_xll.xCrudeAPO(BU73,BV73,CC73,CD73,S74,S75,BI73,BL73,BP73,BQ73,0,Strike2,AO73,CE73,0,BL73,IF(OptControl=3,1,0),0,1),0)</f>
        <v>0</v>
      </c>
      <c r="CN73" s="53"/>
      <c r="CO73" s="796" t="str">
        <f t="shared" ca="1" si="53"/>
        <v/>
      </c>
      <c r="CP73" s="800" t="str">
        <f t="shared" ca="1" si="54"/>
        <v/>
      </c>
      <c r="CQ73" s="797" t="str">
        <f t="shared" ca="1" si="55"/>
        <v/>
      </c>
      <c r="CR73" s="797" t="str">
        <f t="shared" ca="1" si="56"/>
        <v/>
      </c>
      <c r="CS73" s="797" t="str">
        <f t="shared" ca="1" si="57"/>
        <v/>
      </c>
      <c r="CT73" s="797" t="str">
        <f t="shared" ca="1" si="58"/>
        <v/>
      </c>
      <c r="CU73" s="798" t="str">
        <f t="shared" ca="1" si="59"/>
        <v/>
      </c>
      <c r="CV73" s="799" t="str">
        <f t="shared" ca="1" si="60"/>
        <v/>
      </c>
      <c r="CW73" s="799" t="str">
        <f t="shared" ca="1" si="61"/>
        <v/>
      </c>
      <c r="CX73" s="163">
        <f ca="1">IF(BD73,_xll.EURO(CP73,Strike1,AO73,AO73,CV73,CO73,IF(OptControl=4,0,1),0),0)</f>
        <v>0</v>
      </c>
      <c r="CY73" s="163">
        <f ca="1">IF(BD73,_xll.EURO(CP73,Strike1,AO73,AO73,CV73,CO73,IF(OptControl=4,0,1),1)+IF(OR(VolSkewFlag=2,ABS(CQ73)&lt;0.0001),0,IF(CQ73&gt;0,-1,1)*CZ73*100*Strike1/CP73^2*CS73/10%),0)</f>
        <v>0</v>
      </c>
      <c r="CZ73" s="163">
        <f ca="1">IF(BD73,_xll.EURO(CP73,Strike1,AO73,AO73,CV73,CO73,IF(OptControl=4,0,1),3)/100,0)</f>
        <v>0</v>
      </c>
      <c r="DA73" s="163">
        <f ca="1">IF(BD73,_xll.EURO(CP73,Strike1,AO73,AO73,CV73,CO73,IF(OptControl=4,0,1),0)-_xll.EURO(CP73,Strike1,AO73,AO73,CV73,CO73-1,IF(OptControl=4,0,1),0),0)</f>
        <v>0</v>
      </c>
      <c r="DB73" s="163">
        <f ca="1">IF(BD73,_xll.EURO(CP73,Strike2,AO73,AO73,CW73,CO73,IF(OptControl=3,1,0),0),0)</f>
        <v>0</v>
      </c>
      <c r="DC73" s="163">
        <f ca="1">IF(BD73,_xll.EURO(CP73,Strike2,AO73,AO73,CW73,CO73,IF(OptControl=3,1,0),1)+IF(OR(VolSkewFlag=2,ABS(CR73)&lt;0.0001),0,IF(CR73&gt;0,-1,1)*DD73*100*Strike2/CP73^2*CT73/10%),0)</f>
        <v>0</v>
      </c>
      <c r="DD73" s="163">
        <f ca="1">IF(BD73,_xll.EURO(CP73,Strike2,AO73,AO73,CW73,CO73,IF(OptControl=3,1,0),3)/100,0)</f>
        <v>0</v>
      </c>
      <c r="DE73" s="164">
        <f ca="1">IF(BD73,_xll.EURO(CP73,Strike2,AO73,AO73,CW73,CO73,IF(OptControl=3,1,0),0)-_xll.EURO(CP73,Strike2,AO73,AO73,CW73,CO73-1,IF(OptControl=3,1,0),0),0)</f>
        <v>0</v>
      </c>
      <c r="DG73" s="667">
        <f t="shared" ca="1" si="62"/>
        <v>38169</v>
      </c>
      <c r="DH73" s="475">
        <v>18.385000000000002</v>
      </c>
      <c r="DI73" s="665">
        <v>18.378181818181819</v>
      </c>
      <c r="DJ73" s="666">
        <f t="shared" ca="1" si="182"/>
        <v>38169</v>
      </c>
      <c r="DK73" s="475">
        <v>17.214617035461742</v>
      </c>
      <c r="DL73" s="665">
        <v>17.16278181818182</v>
      </c>
      <c r="DM73" s="667">
        <f t="shared" ca="1" si="183"/>
        <v>38169</v>
      </c>
      <c r="DN73" s="668">
        <f t="shared" si="184"/>
        <v>17.264617035461743</v>
      </c>
      <c r="DO73" s="667">
        <f t="shared" ca="1" si="63"/>
        <v>38169</v>
      </c>
      <c r="DP73" s="579">
        <f t="shared" si="64"/>
        <v>17.16278181818182</v>
      </c>
      <c r="DQ73" s="821">
        <v>0</v>
      </c>
      <c r="DR73" s="666">
        <f t="shared" ca="1" si="185"/>
        <v>38169</v>
      </c>
      <c r="DS73" s="669">
        <v>0.19949480987603907</v>
      </c>
      <c r="DT73" s="606">
        <v>0.19890171683415597</v>
      </c>
      <c r="DU73" s="666">
        <f t="shared" ca="1" si="186"/>
        <v>38169</v>
      </c>
      <c r="DV73" s="669">
        <v>0.19949480987603907</v>
      </c>
      <c r="DW73" s="606">
        <v>0.19890171683415597</v>
      </c>
      <c r="DX73" s="667">
        <f t="shared" ca="1" si="187"/>
        <v>38169</v>
      </c>
      <c r="DY73" s="606">
        <v>0.35</v>
      </c>
      <c r="DZ73" s="667">
        <f t="shared" ca="1" si="65"/>
        <v>38169</v>
      </c>
      <c r="EA73" s="606">
        <f t="shared" si="66"/>
        <v>0.19890171683415597</v>
      </c>
      <c r="EB73" s="1"/>
      <c r="EC73" s="118" t="str">
        <f t="shared" ca="1" si="188"/>
        <v/>
      </c>
      <c r="ED73" s="119" t="str">
        <f t="shared" ca="1" si="33"/>
        <v/>
      </c>
      <c r="EE73" s="112" t="str">
        <f t="shared" ca="1" si="34"/>
        <v/>
      </c>
      <c r="EF73" s="120">
        <f ca="1">IF(BD73,_xll.xASN(BR73,Strike1,AO73,ED73,0,BO73,0,BI73,BL73,IF(OptControl=4,0,1),0),0)</f>
        <v>0</v>
      </c>
      <c r="EG73" s="111">
        <f ca="1">IF(BD73,_xll.xASN(BR73,Strike2,AO73,EE73,0,BO73,0,BI73,BL73,IF(OptControl=3,1,0),0),0)</f>
        <v>0</v>
      </c>
      <c r="EL73" s="55"/>
      <c r="EM73" s="1"/>
      <c r="EN73" s="697">
        <v>42189</v>
      </c>
      <c r="EO73" s="698">
        <v>46381</v>
      </c>
      <c r="EP73" s="1"/>
      <c r="EQ73" s="683" t="s">
        <v>260</v>
      </c>
      <c r="ES73" s="498">
        <v>54</v>
      </c>
      <c r="ET73" s="476">
        <f t="shared" ca="1" si="165"/>
        <v>4.4435318275154003</v>
      </c>
      <c r="EU73" s="842">
        <f t="shared" ca="1" si="189"/>
        <v>0</v>
      </c>
      <c r="EV73" s="815">
        <f t="shared" ca="1" si="269"/>
        <v>0.18371684448151679</v>
      </c>
      <c r="EW73" s="478" t="str">
        <f t="shared" ca="1" si="270"/>
        <v/>
      </c>
      <c r="EX73" s="477" t="str">
        <f t="shared" ca="1" si="271"/>
        <v/>
      </c>
      <c r="EY73" s="250">
        <v>0</v>
      </c>
      <c r="EZ73" s="605" t="str">
        <f ca="1">IF(OR(EW73="",EW74=""),"",SQRT(SUM(INDEX(FK73:ID73,SwaptionFirstMonthPosition+1):INDEX(FK73:ID73,FJ73))/SUM(INDEX($FK$15:$ID$15,SwaptionFirstMonthPosition+1):INDEX($FK$15:$ID$15,FJ73))))</f>
        <v/>
      </c>
      <c r="FA73" s="581" t="str">
        <f ca="1">IF(OR(EW73="",EW72=""),"",SQRT(SUM(INDEX(FK73:ID73,SwaptionFirstMonthPosition+1):INDEX(FK73:ID73,FJ73-1))/SUM(INDEX($FK$15:$ID$15,SwaptionFirstMonthPosition+1):INDEX($FK$15:$ID$15,FJ73-1))))</f>
        <v/>
      </c>
      <c r="FB73" s="578" t="str">
        <f t="shared" ca="1" si="190"/>
        <v/>
      </c>
      <c r="FC73" s="609" t="str">
        <f t="shared" ca="1" si="191"/>
        <v/>
      </c>
      <c r="FD73" s="579" t="str">
        <f t="shared" ca="1" si="192"/>
        <v/>
      </c>
      <c r="FE73" s="579" t="str">
        <f t="shared" ca="1" si="193"/>
        <v/>
      </c>
      <c r="FF73" s="579" t="str">
        <f t="shared" ca="1" si="194"/>
        <v/>
      </c>
      <c r="FG73" s="580" t="str">
        <f t="shared" ca="1" si="195"/>
        <v/>
      </c>
      <c r="FH73" s="606" t="str">
        <f t="shared" ca="1" si="196"/>
        <v/>
      </c>
      <c r="FI73" s="250"/>
      <c r="FJ73" s="673">
        <v>54</v>
      </c>
      <c r="FK73" s="460">
        <f t="shared" ca="1" si="197"/>
        <v>0</v>
      </c>
      <c r="FL73" s="460">
        <f t="shared" ca="1" si="198"/>
        <v>2.192146537034075E-3</v>
      </c>
      <c r="FM73" s="460">
        <f t="shared" ca="1" si="199"/>
        <v>2.5481011560930552E-3</v>
      </c>
      <c r="FN73" s="460">
        <f t="shared" ca="1" si="200"/>
        <v>2.144850741388757E-3</v>
      </c>
      <c r="FO73" s="460">
        <f t="shared" ca="1" si="201"/>
        <v>2.2311940001818729E-3</v>
      </c>
      <c r="FP73" s="460">
        <f t="shared" ca="1" si="202"/>
        <v>2.4726923516560869E-3</v>
      </c>
      <c r="FQ73" s="460">
        <f t="shared" ca="1" si="203"/>
        <v>2.0021877890210407E-3</v>
      </c>
      <c r="FR73" s="460">
        <f t="shared" ca="1" si="204"/>
        <v>2.0474849467893635E-3</v>
      </c>
      <c r="FS73" s="460">
        <f t="shared" ca="1" si="205"/>
        <v>2.3078108313287615E-3</v>
      </c>
      <c r="FT73" s="460">
        <f t="shared" ca="1" si="206"/>
        <v>2.0831819400494614E-3</v>
      </c>
      <c r="FU73" s="460">
        <f t="shared" ca="1" si="207"/>
        <v>2.0032152022506494E-3</v>
      </c>
      <c r="FV73" s="460">
        <f t="shared" ca="1" si="208"/>
        <v>2.2019964494458056E-3</v>
      </c>
      <c r="FW73" s="460">
        <f t="shared" ca="1" si="209"/>
        <v>2.0587095176018292E-3</v>
      </c>
      <c r="FX73" s="460">
        <f t="shared" ca="1" si="210"/>
        <v>2.1917666061755658E-3</v>
      </c>
      <c r="FY73" s="460">
        <f t="shared" ca="1" si="211"/>
        <v>2.0522037309186874E-3</v>
      </c>
      <c r="FZ73" s="460">
        <f t="shared" ca="1" si="212"/>
        <v>1.9139869073116953E-3</v>
      </c>
      <c r="GA73" s="460">
        <f t="shared" ca="1" si="213"/>
        <v>2.0500745038433982E-3</v>
      </c>
      <c r="GB73" s="460">
        <f t="shared" ca="1" si="214"/>
        <v>2.2552114202690392E-3</v>
      </c>
      <c r="GC73" s="460">
        <f t="shared" ca="1" si="215"/>
        <v>1.9826020078484215E-3</v>
      </c>
      <c r="GD73" s="460">
        <f t="shared" ca="1" si="216"/>
        <v>1.9839420101373947E-3</v>
      </c>
      <c r="GE73" s="460">
        <f t="shared" ca="1" si="217"/>
        <v>2.2597697005494401E-3</v>
      </c>
      <c r="GF73" s="460">
        <f t="shared" ca="1" si="218"/>
        <v>1.9883631587822729E-3</v>
      </c>
      <c r="GG73" s="460">
        <f t="shared" ca="1" si="219"/>
        <v>2.1975100950520688E-3</v>
      </c>
      <c r="GH73" s="460">
        <f t="shared" ca="1" si="220"/>
        <v>2.0641128166046063E-3</v>
      </c>
      <c r="GI73" s="460">
        <f t="shared" ca="1" si="221"/>
        <v>1.9998926123126447E-3</v>
      </c>
      <c r="GJ73" s="460">
        <f t="shared" ca="1" si="222"/>
        <v>2.2819515491075641E-3</v>
      </c>
      <c r="GK73" s="460">
        <f t="shared" ca="1" si="223"/>
        <v>2.0811921360653707E-3</v>
      </c>
      <c r="GL73" s="460">
        <f t="shared" ca="1" si="224"/>
        <v>2.019459480874028E-3</v>
      </c>
      <c r="GM73" s="460">
        <f t="shared" ca="1" si="225"/>
        <v>2.1683655544397747E-3</v>
      </c>
      <c r="GN73" s="460">
        <f t="shared" ca="1" si="226"/>
        <v>2.1797198107787559E-3</v>
      </c>
      <c r="GO73" s="460">
        <f t="shared" ca="1" si="227"/>
        <v>2.1931027381887694E-3</v>
      </c>
      <c r="GP73" s="460">
        <f t="shared" ca="1" si="228"/>
        <v>1.9951212099373564E-3</v>
      </c>
      <c r="GQ73" s="460">
        <f t="shared" ca="1" si="229"/>
        <v>2.2275099852615103E-3</v>
      </c>
      <c r="GR73" s="460">
        <f t="shared" ca="1" si="230"/>
        <v>2.1769539551302485E-3</v>
      </c>
      <c r="GS73" s="460">
        <f t="shared" ca="1" si="231"/>
        <v>2.2755658399956839E-3</v>
      </c>
      <c r="GT73" s="460">
        <f t="shared" ca="1" si="232"/>
        <v>2.2320471086371804E-3</v>
      </c>
      <c r="GU73" s="460">
        <f t="shared" ca="1" si="233"/>
        <v>2.3431477632165939E-3</v>
      </c>
      <c r="GV73" s="460">
        <f t="shared" ca="1" si="234"/>
        <v>2.3868747910498222E-3</v>
      </c>
      <c r="GW73" s="460">
        <f t="shared" ca="1" si="235"/>
        <v>2.3604578277543714E-3</v>
      </c>
      <c r="GX73" s="460">
        <f t="shared" ca="1" si="236"/>
        <v>2.5018415996386507E-3</v>
      </c>
      <c r="GY73" s="460">
        <f t="shared" ca="1" si="237"/>
        <v>2.4942513954438871E-3</v>
      </c>
      <c r="GZ73" s="460">
        <f t="shared" ca="1" si="238"/>
        <v>2.6688956443510557E-3</v>
      </c>
      <c r="HA73" s="460">
        <f t="shared" ca="1" si="239"/>
        <v>2.7803877432874663E-3</v>
      </c>
      <c r="HB73" s="460">
        <f t="shared" ca="1" si="240"/>
        <v>2.7289984708716653E-3</v>
      </c>
      <c r="HC73" s="460">
        <f t="shared" ca="1" si="241"/>
        <v>3.086513518180004E-3</v>
      </c>
      <c r="HD73" s="460">
        <f t="shared" ca="1" si="242"/>
        <v>3.1917200556303101E-3</v>
      </c>
      <c r="HE73" s="460">
        <f t="shared" ca="1" si="243"/>
        <v>3.5656701760925931E-3</v>
      </c>
      <c r="HF73" s="460">
        <f t="shared" ca="1" si="244"/>
        <v>3.782624483978753E-3</v>
      </c>
      <c r="HG73" s="460">
        <f t="shared" ca="1" si="245"/>
        <v>4.3558256448797432E-3</v>
      </c>
      <c r="HH73" s="460">
        <f t="shared" ca="1" si="246"/>
        <v>4.9501131823278966E-3</v>
      </c>
      <c r="HI73" s="460">
        <f t="shared" ca="1" si="247"/>
        <v>5.5729632904406726E-3</v>
      </c>
      <c r="HJ73" s="460">
        <f t="shared" ca="1" si="248"/>
        <v>6.8903175497142897E-3</v>
      </c>
      <c r="HK73" s="460">
        <f t="shared" ca="1" si="249"/>
        <v>8.2533586971251342E-3</v>
      </c>
      <c r="HL73" s="460">
        <f t="shared" ca="1" si="250"/>
        <v>1.0999590101045129E-2</v>
      </c>
      <c r="HM73" s="460" t="str">
        <f t="shared" si="251"/>
        <v/>
      </c>
      <c r="HN73" s="460" t="str">
        <f t="shared" si="252"/>
        <v/>
      </c>
      <c r="HO73" s="460" t="str">
        <f t="shared" si="253"/>
        <v/>
      </c>
      <c r="HP73" s="460" t="str">
        <f t="shared" si="254"/>
        <v/>
      </c>
      <c r="HQ73" s="460" t="str">
        <f t="shared" si="255"/>
        <v/>
      </c>
      <c r="HR73" s="460" t="str">
        <f t="shared" si="256"/>
        <v/>
      </c>
      <c r="HS73" s="460" t="str">
        <f t="shared" si="257"/>
        <v/>
      </c>
      <c r="HT73" s="460" t="str">
        <f t="shared" si="258"/>
        <v/>
      </c>
      <c r="HU73" s="460" t="str">
        <f t="shared" si="259"/>
        <v/>
      </c>
      <c r="HV73" s="460" t="str">
        <f t="shared" si="260"/>
        <v/>
      </c>
      <c r="HW73" s="460" t="str">
        <f t="shared" si="261"/>
        <v/>
      </c>
      <c r="HX73" s="460" t="str">
        <f t="shared" si="262"/>
        <v/>
      </c>
      <c r="HY73" s="460" t="str">
        <f t="shared" si="263"/>
        <v/>
      </c>
      <c r="HZ73" s="460" t="str">
        <f t="shared" si="264"/>
        <v/>
      </c>
      <c r="IA73" s="460" t="str">
        <f t="shared" si="265"/>
        <v/>
      </c>
      <c r="IB73" s="460" t="str">
        <f t="shared" si="266"/>
        <v/>
      </c>
      <c r="IC73" s="460" t="str">
        <f t="shared" si="267"/>
        <v/>
      </c>
      <c r="ID73" s="674" t="str">
        <f t="shared" si="268"/>
        <v/>
      </c>
      <c r="IE73" s="250"/>
    </row>
    <row r="74" spans="1:239">
      <c r="A74" s="53"/>
      <c r="F74" s="53"/>
      <c r="G74" s="53"/>
      <c r="H74" s="51">
        <f t="shared" ca="1" si="35"/>
        <v>0</v>
      </c>
      <c r="I74" s="379">
        <f t="shared" si="36"/>
        <v>38412</v>
      </c>
      <c r="J74" s="377"/>
      <c r="K74" s="104" t="s">
        <v>269</v>
      </c>
      <c r="L74" s="392">
        <f t="shared" si="37"/>
        <v>0</v>
      </c>
      <c r="M74" s="171"/>
      <c r="N74" s="382">
        <v>0</v>
      </c>
      <c r="O74" s="171">
        <f t="shared" si="38"/>
        <v>0</v>
      </c>
      <c r="P74" s="377"/>
      <c r="Q74" s="104" t="s">
        <v>268</v>
      </c>
      <c r="R74" s="377">
        <f t="shared" ca="1" si="148"/>
        <v>-1.0705849306190836</v>
      </c>
      <c r="S74" s="832">
        <f t="shared" si="164"/>
        <v>0.36000000955667794</v>
      </c>
      <c r="T74" s="831">
        <f t="shared" si="149"/>
        <v>0.9999761939600379</v>
      </c>
      <c r="U74" s="545">
        <f t="shared" si="150"/>
        <v>0.99999999731218436</v>
      </c>
      <c r="V74" s="389">
        <v>0</v>
      </c>
      <c r="W74" s="434">
        <f t="shared" si="166"/>
        <v>0</v>
      </c>
      <c r="X74" s="415">
        <f t="shared" si="167"/>
        <v>0</v>
      </c>
      <c r="Y74" s="322">
        <f t="shared" si="168"/>
        <v>-1.121</v>
      </c>
      <c r="Z74" s="322">
        <f t="shared" ca="1" si="169"/>
        <v>-1.121</v>
      </c>
      <c r="AA74" s="429">
        <f t="shared" si="1"/>
        <v>1.121</v>
      </c>
      <c r="AB74" s="433">
        <f t="shared" ca="1" si="2"/>
        <v>1.121</v>
      </c>
      <c r="AC74" s="229">
        <v>38403</v>
      </c>
      <c r="AD74" s="229">
        <v>38399</v>
      </c>
      <c r="AE74" s="229">
        <v>38398</v>
      </c>
      <c r="AF74" s="229">
        <v>38394</v>
      </c>
      <c r="AG74" s="249" t="s">
        <v>90</v>
      </c>
      <c r="AH74" s="247" t="s">
        <v>499</v>
      </c>
      <c r="AI74" s="146">
        <v>23</v>
      </c>
      <c r="AJ74" s="41">
        <v>14</v>
      </c>
      <c r="AK74" s="41">
        <v>9</v>
      </c>
      <c r="AL74" s="293">
        <v>23</v>
      </c>
      <c r="AM74" s="41">
        <v>10</v>
      </c>
      <c r="AN74" s="147">
        <v>13</v>
      </c>
      <c r="AO74" s="374"/>
      <c r="AP74" s="153">
        <f t="shared" ca="1" si="43"/>
        <v>1</v>
      </c>
      <c r="AQ74" s="374"/>
      <c r="AR74" s="153">
        <f t="shared" ca="1" si="151"/>
        <v>1</v>
      </c>
      <c r="AS74" s="272">
        <f t="shared" si="170"/>
        <v>0</v>
      </c>
      <c r="AT74" s="157">
        <f t="shared" si="44"/>
        <v>0</v>
      </c>
      <c r="AU74" s="157">
        <f t="shared" si="4"/>
        <v>0</v>
      </c>
      <c r="AV74" s="271">
        <f t="shared" ca="1" si="163"/>
        <v>9.9999999999999995E-7</v>
      </c>
      <c r="AW74" s="158" t="str">
        <f t="shared" ca="1" si="171"/>
        <v/>
      </c>
      <c r="AX74" s="157">
        <f t="shared" ca="1" si="152"/>
        <v>4.1301269998539241E-3</v>
      </c>
      <c r="AY74" s="157">
        <f t="shared" ca="1" si="153"/>
        <v>2.2306349136943923E-3</v>
      </c>
      <c r="AZ74" s="157">
        <f t="shared" ca="1" si="154"/>
        <v>6.4592763246689268E-4</v>
      </c>
      <c r="BA74" s="157">
        <f t="shared" ca="1" si="155"/>
        <v>8.0740954058361586E-5</v>
      </c>
      <c r="BB74" s="157">
        <f t="shared" ca="1" si="156"/>
        <v>2.778919952920057E-5</v>
      </c>
      <c r="BC74" s="157">
        <f t="shared" ca="1" si="157"/>
        <v>1.3038203324509017E-5</v>
      </c>
      <c r="BD74" s="151">
        <f t="shared" ca="1" si="172"/>
        <v>0</v>
      </c>
      <c r="BE74" s="152">
        <f t="shared" ca="1" si="173"/>
        <v>0</v>
      </c>
      <c r="BF74" s="40">
        <f t="shared" si="174"/>
        <v>2005</v>
      </c>
      <c r="BG74" s="144">
        <f t="shared" si="175"/>
        <v>3</v>
      </c>
      <c r="BH74" s="145">
        <f t="shared" ca="1" si="176"/>
        <v>1654</v>
      </c>
      <c r="BI74" s="313">
        <f t="shared" ca="1" si="177"/>
        <v>4.5639972621492131</v>
      </c>
      <c r="BJ74" s="42">
        <f t="shared" ca="1" si="10"/>
        <v>4.6139927982620597</v>
      </c>
      <c r="BK74" s="42">
        <f t="shared" ca="1" si="178"/>
        <v>4.6167306490491917</v>
      </c>
      <c r="BL74" s="42">
        <f t="shared" ca="1" si="179"/>
        <v>4.646132785763176</v>
      </c>
      <c r="BM74" s="150" t="e">
        <f t="shared" ca="1" si="13"/>
        <v>#DIV/0!</v>
      </c>
      <c r="BN74" s="42" t="e">
        <f t="shared" ca="1" si="14"/>
        <v>#DIV/0!</v>
      </c>
      <c r="BO74" s="293">
        <f t="shared" si="48"/>
        <v>23</v>
      </c>
      <c r="BP74" s="41">
        <f t="shared" si="49"/>
        <v>14</v>
      </c>
      <c r="BQ74" s="41">
        <f t="shared" si="50"/>
        <v>9</v>
      </c>
      <c r="BR74" s="305" t="str">
        <f t="shared" ca="1" si="15"/>
        <v/>
      </c>
      <c r="BS74" s="305" t="str">
        <f t="shared" ca="1" si="180"/>
        <v/>
      </c>
      <c r="BT74" s="307" t="str">
        <f t="shared" ca="1" si="181"/>
        <v/>
      </c>
      <c r="BU74" s="161" t="str">
        <f t="shared" ca="1" si="18"/>
        <v/>
      </c>
      <c r="BV74" s="161" t="str">
        <f t="shared" ca="1" si="19"/>
        <v/>
      </c>
      <c r="BW74" s="308" t="str">
        <f t="shared" ca="1" si="20"/>
        <v/>
      </c>
      <c r="BX74" s="309" t="str">
        <f t="shared" ca="1" si="21"/>
        <v/>
      </c>
      <c r="BY74" s="308" t="str">
        <f t="shared" ca="1" si="51"/>
        <v/>
      </c>
      <c r="BZ74" s="309" t="str">
        <f t="shared" ca="1" si="52"/>
        <v/>
      </c>
      <c r="CA74" s="154" t="str">
        <f t="shared" ca="1" si="22"/>
        <v/>
      </c>
      <c r="CB74" s="154" t="str">
        <f t="shared" ca="1" si="23"/>
        <v/>
      </c>
      <c r="CC74" s="154" t="str">
        <f t="shared" ca="1" si="24"/>
        <v/>
      </c>
      <c r="CD74" s="154" t="str">
        <f t="shared" ca="1" si="25"/>
        <v/>
      </c>
      <c r="CE74" s="310">
        <v>1</v>
      </c>
      <c r="CF74" s="162">
        <f ca="1">IF(BD74,_xll.xCrudeAPO(BU74,BV74,CA74,CB74,S75,S76,BI74,BL74,BP74,BQ74,0,Strike1,AO74,CE74,0,BL74,IF(OptControl=4,0,1),0,1),0)</f>
        <v>0</v>
      </c>
      <c r="CG74" s="163">
        <f ca="1">IF(BD74,_xll.xCrudeAPO(BU74,BV74,CA74,CB74,S75,S76,BI74,BL74,BP74,BQ74,0,Strike1,AO74,CE74,0,BL74,IF(OptControl=4,0,1),1,1)+_xll.xCrudeAPO(BU74,BV74,CA74,CB74,S75,S76,BI74,BL74,BP74,BQ74,0,Strike1,AO74,CE74,0,BL74,IF(OptControl=4,0,1),1,2)+IF(OR(VolSkewFlag=2,ABS(BS74)&lt;0.0001),0,IF(BS74&gt;0,-1,1)*CH74*Strike1/BR74^2*BY74/10%),0)</f>
        <v>0</v>
      </c>
      <c r="CH74" s="163">
        <f ca="1">IF(BD74,(_xll.xCrudeAPO(BU74,BV74,CA74,CB74,S75,S76,BI74,BL74,BP74,BQ74,0,Strike1,AO74,CE74,0,BL74,IF(OptControl=4,0,1),3,1)+_xll.xCrudeAPO(BU74,BV74,CA74,CB74,S75,S76,BI74,BL74,BP74,BQ74,0,Strike1,AO74,CE74,0,BL74,IF(OptControl=4,0,1),3,2))/100,0)</f>
        <v>0</v>
      </c>
      <c r="CI74" s="163">
        <f ca="1">IF(BD74,_xll.xCrudeAPO(BU74,BV74,CA74,CB74,S75,S76,BI74-DaysForThetaCalculation/365.25,BL74-DaysForThetaCalculation/365.25,BP74,BQ74,0,Strike1,AO74,CE74,0,BL74,IF(OptControl=4,0,1),0,1)-_xll.xCrudeAPO(BU74,BV74,CA74,CB74,S75,S76,BI74,BL74,BP74,BQ74,0,Strike1,AO74,CE74,0,BL74,IF(OptControl=4,0,1),0,1),0)</f>
        <v>0</v>
      </c>
      <c r="CJ74" s="311">
        <f ca="1">IF(BD74,_xll.xCrudeAPO(BU74,BV74,CC74,CD74,S75,S76,BI74,BL74,BP74,BQ74,0,Strike2,AO74,CE74,0,BL74,IF(OptControl=3,1,0),0,1),0)</f>
        <v>0</v>
      </c>
      <c r="CK74" s="163">
        <f ca="1">IF(BD74,_xll.xCrudeAPO(BU74,BV74,CC74,CD74,S75,S76,BI74,BL74,BP74,BQ74,0,Strike2,AO74,CE74,0,BL74,IF(OptControl=3,1,0),1,1)+_xll.xCrudeAPO(BU74,BV74,CC74,CD74,S75,S76,BI74,BL74,BP74,BQ74,0,Strike2,AO74,CE74,0,BL74,IF(OptControl=3,1,0),1,2)+IF(OR(VolSkewFlag=2,ABS(BT74)&lt;0.0001),0,IF(BT74&gt;0,-1,1)*CL74*Strike2/BR74^2*BZ74/10%),0)</f>
        <v>0</v>
      </c>
      <c r="CL74" s="163">
        <f ca="1">IF(BD74,(_xll.xCrudeAPO(BU74,BV74,CC74,CD74,S75,S76,BI74,BL74,BP74,BQ74,0,Strike2,AO74,CE74,0,BL74,IF(OptControl=3,1,0),3,1)+_xll.xCrudeAPO(BU74,BV74,CC74,CD74,S75,S76,BI74,BL74,BP74,BQ74,0,Strike2,AO74,CE74,0,BL74,IF(OptControl=3,1,0),3,2))/100,0)</f>
        <v>0</v>
      </c>
      <c r="CM74" s="164">
        <f ca="1">IF(BD74,_xll.xCrudeAPO(BU74,BV74,CC74,CD74,S75,S76,BI74-DaysForThetaCalculation/365.25,BL74-DaysForThetaCalculation/365.25,BP74,BQ74,0,Strike2,AO74,CE74,0,BL74,IF(OptControl=3,1,0),0,1)-_xll.xCrudeAPO(BU74,BV74,CC74,CD74,S75,S76,BI74,BL74,BP74,BQ74,0,Strike2,AO74,CE74,0,BL74,IF(OptControl=3,1,0),0,1),0)</f>
        <v>0</v>
      </c>
      <c r="CN74" s="53"/>
      <c r="CO74" s="796" t="str">
        <f t="shared" ca="1" si="53"/>
        <v/>
      </c>
      <c r="CP74" s="800" t="str">
        <f t="shared" ca="1" si="54"/>
        <v/>
      </c>
      <c r="CQ74" s="797" t="str">
        <f t="shared" ca="1" si="55"/>
        <v/>
      </c>
      <c r="CR74" s="797" t="str">
        <f t="shared" ca="1" si="56"/>
        <v/>
      </c>
      <c r="CS74" s="797" t="str">
        <f t="shared" ca="1" si="57"/>
        <v/>
      </c>
      <c r="CT74" s="797" t="str">
        <f t="shared" ca="1" si="58"/>
        <v/>
      </c>
      <c r="CU74" s="798" t="str">
        <f t="shared" ca="1" si="59"/>
        <v/>
      </c>
      <c r="CV74" s="799" t="str">
        <f t="shared" ca="1" si="60"/>
        <v/>
      </c>
      <c r="CW74" s="799" t="str">
        <f t="shared" ca="1" si="61"/>
        <v/>
      </c>
      <c r="CX74" s="163">
        <f ca="1">IF(BD74,_xll.EURO(CP74,Strike1,AO74,AO74,CV74,CO74,IF(OptControl=4,0,1),0),0)</f>
        <v>0</v>
      </c>
      <c r="CY74" s="163">
        <f ca="1">IF(BD74,_xll.EURO(CP74,Strike1,AO74,AO74,CV74,CO74,IF(OptControl=4,0,1),1)+IF(OR(VolSkewFlag=2,ABS(CQ74)&lt;0.0001),0,IF(CQ74&gt;0,-1,1)*CZ74*100*Strike1/CP74^2*CS74/10%),0)</f>
        <v>0</v>
      </c>
      <c r="CZ74" s="163">
        <f ca="1">IF(BD74,_xll.EURO(CP74,Strike1,AO74,AO74,CV74,CO74,IF(OptControl=4,0,1),3)/100,0)</f>
        <v>0</v>
      </c>
      <c r="DA74" s="163">
        <f ca="1">IF(BD74,_xll.EURO(CP74,Strike1,AO74,AO74,CV74,CO74,IF(OptControl=4,0,1),0)-_xll.EURO(CP74,Strike1,AO74,AO74,CV74,CO74-1,IF(OptControl=4,0,1),0),0)</f>
        <v>0</v>
      </c>
      <c r="DB74" s="163">
        <f ca="1">IF(BD74,_xll.EURO(CP74,Strike2,AO74,AO74,CW74,CO74,IF(OptControl=3,1,0),0),0)</f>
        <v>0</v>
      </c>
      <c r="DC74" s="163">
        <f ca="1">IF(BD74,_xll.EURO(CP74,Strike2,AO74,AO74,CW74,CO74,IF(OptControl=3,1,0),1)+IF(OR(VolSkewFlag=2,ABS(CR74)&lt;0.0001),0,IF(CR74&gt;0,-1,1)*DD74*100*Strike2/CP74^2*CT74/10%),0)</f>
        <v>0</v>
      </c>
      <c r="DD74" s="163">
        <f ca="1">IF(BD74,_xll.EURO(CP74,Strike2,AO74,AO74,CW74,CO74,IF(OptControl=3,1,0),3)/100,0)</f>
        <v>0</v>
      </c>
      <c r="DE74" s="164">
        <f ca="1">IF(BD74,_xll.EURO(CP74,Strike2,AO74,AO74,CW74,CO74,IF(OptControl=3,1,0),0)-_xll.EURO(CP74,Strike2,AO74,AO74,CW74,CO74-1,IF(OptControl=3,1,0),0),0)</f>
        <v>0</v>
      </c>
      <c r="DG74" s="667">
        <f t="shared" ca="1" si="62"/>
        <v>38200</v>
      </c>
      <c r="DH74" s="475">
        <v>18.38</v>
      </c>
      <c r="DI74" s="665">
        <v>18.373409090909092</v>
      </c>
      <c r="DJ74" s="666">
        <f t="shared" ca="1" si="182"/>
        <v>38200</v>
      </c>
      <c r="DK74" s="475">
        <v>17.085485803781882</v>
      </c>
      <c r="DL74" s="665">
        <v>17.158009090909093</v>
      </c>
      <c r="DM74" s="667">
        <f t="shared" ca="1" si="183"/>
        <v>38200</v>
      </c>
      <c r="DN74" s="668">
        <f t="shared" si="184"/>
        <v>17.135485803781883</v>
      </c>
      <c r="DO74" s="667">
        <f t="shared" ca="1" si="63"/>
        <v>38200</v>
      </c>
      <c r="DP74" s="579">
        <f t="shared" si="64"/>
        <v>17.158009090909093</v>
      </c>
      <c r="DQ74" s="821">
        <v>0</v>
      </c>
      <c r="DR74" s="666">
        <f t="shared" ca="1" si="185"/>
        <v>38200</v>
      </c>
      <c r="DS74" s="669">
        <v>0.19918618021618503</v>
      </c>
      <c r="DT74" s="606">
        <v>0.19810655276741215</v>
      </c>
      <c r="DU74" s="666">
        <f t="shared" ca="1" si="186"/>
        <v>38200</v>
      </c>
      <c r="DV74" s="669">
        <v>0.19918618021618503</v>
      </c>
      <c r="DW74" s="606">
        <v>0.19810655276741215</v>
      </c>
      <c r="DX74" s="667">
        <f t="shared" ca="1" si="187"/>
        <v>38200</v>
      </c>
      <c r="DY74" s="606">
        <v>0.35</v>
      </c>
      <c r="DZ74" s="667">
        <f t="shared" ca="1" si="65"/>
        <v>38200</v>
      </c>
      <c r="EA74" s="606">
        <f t="shared" si="66"/>
        <v>0.19810655276741215</v>
      </c>
      <c r="EB74" s="1"/>
      <c r="EC74" s="118" t="str">
        <f t="shared" ca="1" si="188"/>
        <v/>
      </c>
      <c r="ED74" s="119" t="str">
        <f t="shared" ca="1" si="33"/>
        <v/>
      </c>
      <c r="EE74" s="112" t="str">
        <f t="shared" ca="1" si="34"/>
        <v/>
      </c>
      <c r="EF74" s="120">
        <f ca="1">IF(BD74,_xll.xASN(BR74,Strike1,AO74,ED74,0,BO74,0,BI74,BL74,IF(OptControl=4,0,1),0),0)</f>
        <v>0</v>
      </c>
      <c r="EG74" s="111">
        <f ca="1">IF(BD74,_xll.xASN(BR74,Strike2,AO74,EE74,0,BO74,0,BI74,BL74,IF(OptControl=3,1,0),0),0)</f>
        <v>0</v>
      </c>
      <c r="EL74" s="55"/>
      <c r="EM74" s="1"/>
      <c r="EN74" s="697">
        <v>42363</v>
      </c>
      <c r="EO74" s="698">
        <v>46388</v>
      </c>
      <c r="EP74" s="1"/>
      <c r="EQ74" s="683" t="s">
        <v>261</v>
      </c>
      <c r="ES74" s="498">
        <v>55</v>
      </c>
      <c r="ET74" s="476">
        <f t="shared" ca="1" si="165"/>
        <v>4.5284052019164953</v>
      </c>
      <c r="EU74" s="842">
        <f t="shared" ca="1" si="189"/>
        <v>0</v>
      </c>
      <c r="EV74" s="815">
        <f t="shared" ca="1" si="269"/>
        <v>0.18332718164124936</v>
      </c>
      <c r="EW74" s="478" t="str">
        <f t="shared" ca="1" si="270"/>
        <v/>
      </c>
      <c r="EX74" s="477" t="str">
        <f t="shared" ca="1" si="271"/>
        <v/>
      </c>
      <c r="EY74" s="250">
        <v>0</v>
      </c>
      <c r="EZ74" s="605" t="str">
        <f ca="1">IF(OR(EW74="",EW75=""),"",SQRT(SUM(INDEX(FK74:ID74,SwaptionFirstMonthPosition+1):INDEX(FK74:ID74,FJ74))/SUM(INDEX($FK$15:$ID$15,SwaptionFirstMonthPosition+1):INDEX($FK$15:$ID$15,FJ74))))</f>
        <v/>
      </c>
      <c r="FA74" s="581" t="str">
        <f ca="1">IF(OR(EW74="",EW73=""),"",SQRT(SUM(INDEX(FK74:ID74,SwaptionFirstMonthPosition+1):INDEX(FK74:ID74,FJ74-1))/SUM(INDEX($FK$15:$ID$15,SwaptionFirstMonthPosition+1):INDEX($FK$15:$ID$15,FJ74-1))))</f>
        <v/>
      </c>
      <c r="FB74" s="578" t="str">
        <f t="shared" ca="1" si="190"/>
        <v/>
      </c>
      <c r="FC74" s="609" t="str">
        <f t="shared" ca="1" si="191"/>
        <v/>
      </c>
      <c r="FD74" s="579" t="str">
        <f t="shared" ca="1" si="192"/>
        <v/>
      </c>
      <c r="FE74" s="579" t="str">
        <f t="shared" ca="1" si="193"/>
        <v/>
      </c>
      <c r="FF74" s="579" t="str">
        <f t="shared" ca="1" si="194"/>
        <v/>
      </c>
      <c r="FG74" s="580" t="str">
        <f t="shared" ca="1" si="195"/>
        <v/>
      </c>
      <c r="FH74" s="606" t="str">
        <f t="shared" ca="1" si="196"/>
        <v/>
      </c>
      <c r="FI74" s="250"/>
      <c r="FJ74" s="673">
        <v>55</v>
      </c>
      <c r="FK74" s="460">
        <f t="shared" ca="1" si="197"/>
        <v>0</v>
      </c>
      <c r="FL74" s="460">
        <f t="shared" ca="1" si="198"/>
        <v>2.1920037710247428E-3</v>
      </c>
      <c r="FM74" s="460">
        <f t="shared" ca="1" si="199"/>
        <v>2.5479070649183904E-3</v>
      </c>
      <c r="FN74" s="460">
        <f t="shared" ca="1" si="200"/>
        <v>2.1446596592541731E-3</v>
      </c>
      <c r="FO74" s="460">
        <f t="shared" ca="1" si="201"/>
        <v>2.230961515561848E-3</v>
      </c>
      <c r="FP74" s="460">
        <f t="shared" ca="1" si="202"/>
        <v>2.4723910088244663E-3</v>
      </c>
      <c r="FQ74" s="460">
        <f t="shared" ca="1" si="203"/>
        <v>2.001902405118178E-3</v>
      </c>
      <c r="FR74" s="460">
        <f t="shared" ca="1" si="204"/>
        <v>2.0471436130115928E-3</v>
      </c>
      <c r="FS74" s="460">
        <f t="shared" ca="1" si="205"/>
        <v>2.3073608519181862E-3</v>
      </c>
      <c r="FT74" s="460">
        <f t="shared" ca="1" si="206"/>
        <v>2.0827068745167959E-3</v>
      </c>
      <c r="FU74" s="460">
        <f t="shared" ca="1" si="207"/>
        <v>2.0026808990040615E-3</v>
      </c>
      <c r="FV74" s="460">
        <f t="shared" ca="1" si="208"/>
        <v>2.201309522258377E-3</v>
      </c>
      <c r="FW74" s="460">
        <f t="shared" ca="1" si="209"/>
        <v>2.0579583738681031E-3</v>
      </c>
      <c r="FX74" s="460">
        <f t="shared" ca="1" si="210"/>
        <v>2.1908312949058487E-3</v>
      </c>
      <c r="FY74" s="460">
        <f t="shared" ca="1" si="211"/>
        <v>2.0511794567516176E-3</v>
      </c>
      <c r="FZ74" s="460">
        <f t="shared" ca="1" si="212"/>
        <v>1.9128696104092897E-3</v>
      </c>
      <c r="GA74" s="460">
        <f t="shared" ca="1" si="213"/>
        <v>2.0486748096471283E-3</v>
      </c>
      <c r="GB74" s="460">
        <f t="shared" ca="1" si="214"/>
        <v>2.253410540726111E-3</v>
      </c>
      <c r="GC74" s="460">
        <f t="shared" ca="1" si="215"/>
        <v>1.9807503240376208E-3</v>
      </c>
      <c r="GD74" s="460">
        <f t="shared" ca="1" si="216"/>
        <v>1.9817748343151529E-3</v>
      </c>
      <c r="GE74" s="460">
        <f t="shared" ca="1" si="217"/>
        <v>2.2568825911564033E-3</v>
      </c>
      <c r="GF74" s="460">
        <f t="shared" ca="1" si="218"/>
        <v>1.9853919809137599E-3</v>
      </c>
      <c r="GG74" s="460">
        <f t="shared" ca="1" si="219"/>
        <v>2.1936695071652162E-3</v>
      </c>
      <c r="GH74" s="460">
        <f t="shared" ca="1" si="220"/>
        <v>2.0598935774302873E-3</v>
      </c>
      <c r="GI74" s="460">
        <f t="shared" ca="1" si="221"/>
        <v>1.995111364259847E-3</v>
      </c>
      <c r="GJ74" s="460">
        <f t="shared" ca="1" si="222"/>
        <v>2.27557075246254E-3</v>
      </c>
      <c r="GK74" s="460">
        <f t="shared" ca="1" si="223"/>
        <v>2.0743857818587034E-3</v>
      </c>
      <c r="GL74" s="460">
        <f t="shared" ca="1" si="224"/>
        <v>2.0117349627036146E-3</v>
      </c>
      <c r="GM74" s="460">
        <f t="shared" ca="1" si="225"/>
        <v>2.1586648641266693E-3</v>
      </c>
      <c r="GN74" s="460">
        <f t="shared" ca="1" si="226"/>
        <v>2.1683145637218198E-3</v>
      </c>
      <c r="GO74" s="460">
        <f t="shared" ca="1" si="227"/>
        <v>2.1796813669789838E-3</v>
      </c>
      <c r="GP74" s="460">
        <f t="shared" ca="1" si="228"/>
        <v>1.9808407866030056E-3</v>
      </c>
      <c r="GQ74" s="460">
        <f t="shared" ca="1" si="229"/>
        <v>2.2088622823634887E-3</v>
      </c>
      <c r="GR74" s="460">
        <f t="shared" ca="1" si="230"/>
        <v>2.1556387846591515E-3</v>
      </c>
      <c r="GS74" s="460">
        <f t="shared" ca="1" si="231"/>
        <v>2.2495065332561784E-3</v>
      </c>
      <c r="GT74" s="460">
        <f t="shared" ca="1" si="232"/>
        <v>2.202151273223399E-3</v>
      </c>
      <c r="GU74" s="460">
        <f t="shared" ca="1" si="233"/>
        <v>2.3064414387148316E-3</v>
      </c>
      <c r="GV74" s="460">
        <f t="shared" ca="1" si="234"/>
        <v>2.3431422466471457E-3</v>
      </c>
      <c r="GW74" s="460">
        <f t="shared" ca="1" si="235"/>
        <v>2.3098747513605562E-3</v>
      </c>
      <c r="GX74" s="460">
        <f t="shared" ca="1" si="236"/>
        <v>2.4391365251445465E-3</v>
      </c>
      <c r="GY74" s="460">
        <f t="shared" ca="1" si="237"/>
        <v>2.4211346271363868E-3</v>
      </c>
      <c r="GZ74" s="460">
        <f t="shared" ca="1" si="238"/>
        <v>2.5773911886453737E-3</v>
      </c>
      <c r="HA74" s="460">
        <f t="shared" ca="1" si="239"/>
        <v>2.6688941532431189E-3</v>
      </c>
      <c r="HB74" s="460">
        <f t="shared" ca="1" si="240"/>
        <v>2.6010067989971314E-3</v>
      </c>
      <c r="HC74" s="460">
        <f t="shared" ca="1" si="241"/>
        <v>2.9172043451818098E-3</v>
      </c>
      <c r="HD74" s="460">
        <f t="shared" ca="1" si="242"/>
        <v>2.9869478619536359E-3</v>
      </c>
      <c r="HE74" s="460">
        <f t="shared" ca="1" si="243"/>
        <v>3.2981101411250053E-3</v>
      </c>
      <c r="HF74" s="460">
        <f t="shared" ca="1" si="244"/>
        <v>3.4506481000154423E-3</v>
      </c>
      <c r="HG74" s="460">
        <f t="shared" ca="1" si="245"/>
        <v>3.9087115781096899E-3</v>
      </c>
      <c r="HH74" s="460">
        <f t="shared" ca="1" si="246"/>
        <v>4.3558253200339627E-3</v>
      </c>
      <c r="HI74" s="460">
        <f t="shared" ca="1" si="247"/>
        <v>4.7904318439869536E-3</v>
      </c>
      <c r="HJ74" s="460">
        <f t="shared" ca="1" si="248"/>
        <v>5.7587284918781383E-3</v>
      </c>
      <c r="HK74" s="460">
        <f t="shared" ca="1" si="249"/>
        <v>6.6680490318667442E-3</v>
      </c>
      <c r="HL74" s="460">
        <f t="shared" ca="1" si="250"/>
        <v>8.5284704524519125E-3</v>
      </c>
      <c r="HM74" s="460">
        <f t="shared" ca="1" si="251"/>
        <v>1.0999589906379321E-2</v>
      </c>
      <c r="HN74" s="460" t="str">
        <f t="shared" si="252"/>
        <v/>
      </c>
      <c r="HO74" s="460" t="str">
        <f t="shared" si="253"/>
        <v/>
      </c>
      <c r="HP74" s="460" t="str">
        <f t="shared" si="254"/>
        <v/>
      </c>
      <c r="HQ74" s="460" t="str">
        <f t="shared" si="255"/>
        <v/>
      </c>
      <c r="HR74" s="460" t="str">
        <f t="shared" si="256"/>
        <v/>
      </c>
      <c r="HS74" s="460" t="str">
        <f t="shared" si="257"/>
        <v/>
      </c>
      <c r="HT74" s="460" t="str">
        <f t="shared" si="258"/>
        <v/>
      </c>
      <c r="HU74" s="460" t="str">
        <f t="shared" si="259"/>
        <v/>
      </c>
      <c r="HV74" s="460" t="str">
        <f t="shared" si="260"/>
        <v/>
      </c>
      <c r="HW74" s="460" t="str">
        <f t="shared" si="261"/>
        <v/>
      </c>
      <c r="HX74" s="460" t="str">
        <f t="shared" si="262"/>
        <v/>
      </c>
      <c r="HY74" s="460" t="str">
        <f t="shared" si="263"/>
        <v/>
      </c>
      <c r="HZ74" s="460" t="str">
        <f t="shared" si="264"/>
        <v/>
      </c>
      <c r="IA74" s="460" t="str">
        <f t="shared" si="265"/>
        <v/>
      </c>
      <c r="IB74" s="460" t="str">
        <f t="shared" si="266"/>
        <v/>
      </c>
      <c r="IC74" s="460" t="str">
        <f t="shared" si="267"/>
        <v/>
      </c>
      <c r="ID74" s="674" t="str">
        <f t="shared" si="268"/>
        <v/>
      </c>
      <c r="IE74" s="250"/>
    </row>
    <row r="75" spans="1:239">
      <c r="A75" s="53"/>
      <c r="F75" s="53"/>
      <c r="G75" s="53"/>
      <c r="H75" s="51">
        <f t="shared" ca="1" si="35"/>
        <v>0</v>
      </c>
      <c r="I75" s="379">
        <f t="shared" si="36"/>
        <v>38443</v>
      </c>
      <c r="J75" s="377"/>
      <c r="K75" s="104" t="s">
        <v>269</v>
      </c>
      <c r="L75" s="392">
        <f t="shared" si="37"/>
        <v>0</v>
      </c>
      <c r="M75" s="171"/>
      <c r="N75" s="382">
        <v>0</v>
      </c>
      <c r="O75" s="171">
        <f t="shared" si="38"/>
        <v>0</v>
      </c>
      <c r="P75" s="377"/>
      <c r="Q75" s="104" t="s">
        <v>268</v>
      </c>
      <c r="R75" s="377">
        <f t="shared" ca="1" si="148"/>
        <v>-1.1714150693809167</v>
      </c>
      <c r="S75" s="832">
        <f t="shared" si="164"/>
        <v>0.36000000716750846</v>
      </c>
      <c r="T75" s="831">
        <f t="shared" si="149"/>
        <v>0.99997964601206268</v>
      </c>
      <c r="U75" s="545">
        <f t="shared" si="150"/>
        <v>0.9999999979841383</v>
      </c>
      <c r="V75" s="389">
        <v>0</v>
      </c>
      <c r="W75" s="434">
        <f t="shared" si="166"/>
        <v>0</v>
      </c>
      <c r="X75" s="415">
        <f t="shared" si="167"/>
        <v>0</v>
      </c>
      <c r="Y75" s="322">
        <f t="shared" si="168"/>
        <v>-1.2389999999999999</v>
      </c>
      <c r="Z75" s="322">
        <f t="shared" ca="1" si="169"/>
        <v>-1.2389999999999999</v>
      </c>
      <c r="AA75" s="429">
        <f t="shared" si="1"/>
        <v>1.2389999999999999</v>
      </c>
      <c r="AB75" s="433">
        <f t="shared" ca="1" si="2"/>
        <v>1.2389999999999999</v>
      </c>
      <c r="AC75" s="229">
        <v>38431</v>
      </c>
      <c r="AD75" s="229">
        <v>38427</v>
      </c>
      <c r="AE75" s="229">
        <v>38426</v>
      </c>
      <c r="AF75" s="229">
        <v>38422</v>
      </c>
      <c r="AG75" s="249" t="s">
        <v>90</v>
      </c>
      <c r="AH75" s="247" t="s">
        <v>499</v>
      </c>
      <c r="AI75" s="146">
        <v>21</v>
      </c>
      <c r="AJ75" s="41">
        <v>14</v>
      </c>
      <c r="AK75" s="41">
        <v>7</v>
      </c>
      <c r="AL75" s="293">
        <v>21</v>
      </c>
      <c r="AM75" s="41">
        <v>10</v>
      </c>
      <c r="AN75" s="147">
        <v>11</v>
      </c>
      <c r="AO75" s="374"/>
      <c r="AP75" s="153">
        <f t="shared" ca="1" si="43"/>
        <v>1</v>
      </c>
      <c r="AQ75" s="374"/>
      <c r="AR75" s="153">
        <f t="shared" ca="1" si="151"/>
        <v>1</v>
      </c>
      <c r="AS75" s="272">
        <f t="shared" si="170"/>
        <v>0</v>
      </c>
      <c r="AT75" s="157">
        <f t="shared" si="44"/>
        <v>0</v>
      </c>
      <c r="AU75" s="157">
        <f t="shared" si="4"/>
        <v>0</v>
      </c>
      <c r="AV75" s="271">
        <f t="shared" ca="1" si="163"/>
        <v>9.9999999999999995E-7</v>
      </c>
      <c r="AW75" s="158" t="str">
        <f t="shared" ca="1" si="171"/>
        <v/>
      </c>
      <c r="AX75" s="157">
        <f t="shared" ca="1" si="152"/>
        <v>3.992906445026187E-3</v>
      </c>
      <c r="AY75" s="157">
        <f t="shared" ca="1" si="153"/>
        <v>2.1421870110513094E-3</v>
      </c>
      <c r="AZ75" s="157">
        <f t="shared" ca="1" si="154"/>
        <v>6.096745001368017E-4</v>
      </c>
      <c r="BA75" s="157">
        <f t="shared" ca="1" si="155"/>
        <v>7.6209312517100213E-5</v>
      </c>
      <c r="BB75" s="157">
        <f t="shared" ca="1" si="156"/>
        <v>2.5358054593378866E-5</v>
      </c>
      <c r="BC75" s="157">
        <f t="shared" ca="1" si="157"/>
        <v>1.1615718628658188E-5</v>
      </c>
      <c r="BD75" s="151">
        <f t="shared" ca="1" si="172"/>
        <v>0</v>
      </c>
      <c r="BE75" s="152">
        <f t="shared" ca="1" si="173"/>
        <v>0</v>
      </c>
      <c r="BF75" s="40">
        <f t="shared" si="174"/>
        <v>2005</v>
      </c>
      <c r="BG75" s="144">
        <f t="shared" si="175"/>
        <v>4</v>
      </c>
      <c r="BH75" s="145">
        <f t="shared" ca="1" si="176"/>
        <v>1682</v>
      </c>
      <c r="BI75" s="313">
        <f t="shared" ca="1" si="177"/>
        <v>4.6488706365503081</v>
      </c>
      <c r="BJ75" s="42">
        <f t="shared" ca="1" si="10"/>
        <v>4.7018024184348617</v>
      </c>
      <c r="BK75" s="42">
        <f t="shared" ca="1" si="178"/>
        <v>4.7045402692219938</v>
      </c>
      <c r="BL75" s="42">
        <f t="shared" ca="1" si="179"/>
        <v>4.7282683093771389</v>
      </c>
      <c r="BM75" s="150" t="e">
        <f t="shared" ca="1" si="13"/>
        <v>#DIV/0!</v>
      </c>
      <c r="BN75" s="42" t="e">
        <f t="shared" ca="1" si="14"/>
        <v>#DIV/0!</v>
      </c>
      <c r="BO75" s="293">
        <f t="shared" si="48"/>
        <v>21</v>
      </c>
      <c r="BP75" s="41">
        <f t="shared" si="49"/>
        <v>14</v>
      </c>
      <c r="BQ75" s="41">
        <f t="shared" si="50"/>
        <v>7</v>
      </c>
      <c r="BR75" s="305" t="str">
        <f t="shared" ca="1" si="15"/>
        <v/>
      </c>
      <c r="BS75" s="305" t="str">
        <f t="shared" ca="1" si="180"/>
        <v/>
      </c>
      <c r="BT75" s="307" t="str">
        <f t="shared" ca="1" si="181"/>
        <v/>
      </c>
      <c r="BU75" s="161" t="str">
        <f t="shared" ca="1" si="18"/>
        <v/>
      </c>
      <c r="BV75" s="161" t="str">
        <f t="shared" ca="1" si="19"/>
        <v/>
      </c>
      <c r="BW75" s="308" t="str">
        <f t="shared" ca="1" si="20"/>
        <v/>
      </c>
      <c r="BX75" s="309" t="str">
        <f t="shared" ca="1" si="21"/>
        <v/>
      </c>
      <c r="BY75" s="308" t="str">
        <f t="shared" ca="1" si="51"/>
        <v/>
      </c>
      <c r="BZ75" s="309" t="str">
        <f t="shared" ca="1" si="52"/>
        <v/>
      </c>
      <c r="CA75" s="154" t="str">
        <f t="shared" ca="1" si="22"/>
        <v/>
      </c>
      <c r="CB75" s="154" t="str">
        <f t="shared" ca="1" si="23"/>
        <v/>
      </c>
      <c r="CC75" s="154" t="str">
        <f t="shared" ca="1" si="24"/>
        <v/>
      </c>
      <c r="CD75" s="154" t="str">
        <f t="shared" ca="1" si="25"/>
        <v/>
      </c>
      <c r="CE75" s="310">
        <v>1</v>
      </c>
      <c r="CF75" s="162">
        <f ca="1">IF(BD75,_xll.xCrudeAPO(BU75,BV75,CA75,CB75,S76,S77,BI75,BL75,BP75,BQ75,0,Strike1,AO75,CE75,0,BL75,IF(OptControl=4,0,1),0,1),0)</f>
        <v>0</v>
      </c>
      <c r="CG75" s="163">
        <f ca="1">IF(BD75,_xll.xCrudeAPO(BU75,BV75,CA75,CB75,S76,S77,BI75,BL75,BP75,BQ75,0,Strike1,AO75,CE75,0,BL75,IF(OptControl=4,0,1),1,1)+_xll.xCrudeAPO(BU75,BV75,CA75,CB75,S76,S77,BI75,BL75,BP75,BQ75,0,Strike1,AO75,CE75,0,BL75,IF(OptControl=4,0,1),1,2)+IF(OR(VolSkewFlag=2,ABS(BS75)&lt;0.0001),0,IF(BS75&gt;0,-1,1)*CH75*Strike1/BR75^2*BY75/10%),0)</f>
        <v>0</v>
      </c>
      <c r="CH75" s="163">
        <f ca="1">IF(BD75,(_xll.xCrudeAPO(BU75,BV75,CA75,CB75,S76,S77,BI75,BL75,BP75,BQ75,0,Strike1,AO75,CE75,0,BL75,IF(OptControl=4,0,1),3,1)+_xll.xCrudeAPO(BU75,BV75,CA75,CB75,S76,S77,BI75,BL75,BP75,BQ75,0,Strike1,AO75,CE75,0,BL75,IF(OptControl=4,0,1),3,2))/100,0)</f>
        <v>0</v>
      </c>
      <c r="CI75" s="163">
        <f ca="1">IF(BD75,_xll.xCrudeAPO(BU75,BV75,CA75,CB75,S76,S77,BI75-DaysForThetaCalculation/365.25,BL75-DaysForThetaCalculation/365.25,BP75,BQ75,0,Strike1,AO75,CE75,0,BL75,IF(OptControl=4,0,1),0,1)-_xll.xCrudeAPO(BU75,BV75,CA75,CB75,S76,S77,BI75,BL75,BP75,BQ75,0,Strike1,AO75,CE75,0,BL75,IF(OptControl=4,0,1),0,1),0)</f>
        <v>0</v>
      </c>
      <c r="CJ75" s="311">
        <f ca="1">IF(BD75,_xll.xCrudeAPO(BU75,BV75,CC75,CD75,S76,S77,BI75,BL75,BP75,BQ75,0,Strike2,AO75,CE75,0,BL75,IF(OptControl=3,1,0),0,1),0)</f>
        <v>0</v>
      </c>
      <c r="CK75" s="163">
        <f ca="1">IF(BD75,_xll.xCrudeAPO(BU75,BV75,CC75,CD75,S76,S77,BI75,BL75,BP75,BQ75,0,Strike2,AO75,CE75,0,BL75,IF(OptControl=3,1,0),1,1)+_xll.xCrudeAPO(BU75,BV75,CC75,CD75,S76,S77,BI75,BL75,BP75,BQ75,0,Strike2,AO75,CE75,0,BL75,IF(OptControl=3,1,0),1,2)+IF(OR(VolSkewFlag=2,ABS(BT75)&lt;0.0001),0,IF(BT75&gt;0,-1,1)*CL75*Strike2/BR75^2*BZ75/10%),0)</f>
        <v>0</v>
      </c>
      <c r="CL75" s="163">
        <f ca="1">IF(BD75,(_xll.xCrudeAPO(BU75,BV75,CC75,CD75,S76,S77,BI75,BL75,BP75,BQ75,0,Strike2,AO75,CE75,0,BL75,IF(OptControl=3,1,0),3,1)+_xll.xCrudeAPO(BU75,BV75,CC75,CD75,S76,S77,BI75,BL75,BP75,BQ75,0,Strike2,AO75,CE75,0,BL75,IF(OptControl=3,1,0),3,2))/100,0)</f>
        <v>0</v>
      </c>
      <c r="CM75" s="164">
        <f ca="1">IF(BD75,_xll.xCrudeAPO(BU75,BV75,CC75,CD75,S76,S77,BI75-DaysForThetaCalculation/365.25,BL75-DaysForThetaCalculation/365.25,BP75,BQ75,0,Strike2,AO75,CE75,0,BL75,IF(OptControl=3,1,0),0,1)-_xll.xCrudeAPO(BU75,BV75,CC75,CD75,S76,S77,BI75,BL75,BP75,BQ75,0,Strike2,AO75,CE75,0,BL75,IF(OptControl=3,1,0),0,1),0)</f>
        <v>0</v>
      </c>
      <c r="CN75" s="53"/>
      <c r="CO75" s="796" t="str">
        <f t="shared" ca="1" si="53"/>
        <v/>
      </c>
      <c r="CP75" s="800" t="str">
        <f t="shared" ca="1" si="54"/>
        <v/>
      </c>
      <c r="CQ75" s="797" t="str">
        <f t="shared" ca="1" si="55"/>
        <v/>
      </c>
      <c r="CR75" s="797" t="str">
        <f t="shared" ca="1" si="56"/>
        <v/>
      </c>
      <c r="CS75" s="797" t="str">
        <f t="shared" ca="1" si="57"/>
        <v/>
      </c>
      <c r="CT75" s="797" t="str">
        <f t="shared" ca="1" si="58"/>
        <v/>
      </c>
      <c r="CU75" s="798" t="str">
        <f t="shared" ca="1" si="59"/>
        <v/>
      </c>
      <c r="CV75" s="799" t="str">
        <f t="shared" ca="1" si="60"/>
        <v/>
      </c>
      <c r="CW75" s="799" t="str">
        <f t="shared" ca="1" si="61"/>
        <v/>
      </c>
      <c r="CX75" s="163">
        <f ca="1">IF(BD75,_xll.EURO(CP75,Strike1,AO75,AO75,CV75,CO75,IF(OptControl=4,0,1),0),0)</f>
        <v>0</v>
      </c>
      <c r="CY75" s="163">
        <f ca="1">IF(BD75,_xll.EURO(CP75,Strike1,AO75,AO75,CV75,CO75,IF(OptControl=4,0,1),1)+IF(OR(VolSkewFlag=2,ABS(CQ75)&lt;0.0001),0,IF(CQ75&gt;0,-1,1)*CZ75*100*Strike1/CP75^2*CS75/10%),0)</f>
        <v>0</v>
      </c>
      <c r="CZ75" s="163">
        <f ca="1">IF(BD75,_xll.EURO(CP75,Strike1,AO75,AO75,CV75,CO75,IF(OptControl=4,0,1),3)/100,0)</f>
        <v>0</v>
      </c>
      <c r="DA75" s="163">
        <f ca="1">IF(BD75,_xll.EURO(CP75,Strike1,AO75,AO75,CV75,CO75,IF(OptControl=4,0,1),0)-_xll.EURO(CP75,Strike1,AO75,AO75,CV75,CO75-1,IF(OptControl=4,0,1),0),0)</f>
        <v>0</v>
      </c>
      <c r="DB75" s="163">
        <f ca="1">IF(BD75,_xll.EURO(CP75,Strike2,AO75,AO75,CW75,CO75,IF(OptControl=3,1,0),0),0)</f>
        <v>0</v>
      </c>
      <c r="DC75" s="163">
        <f ca="1">IF(BD75,_xll.EURO(CP75,Strike2,AO75,AO75,CW75,CO75,IF(OptControl=3,1,0),1)+IF(OR(VolSkewFlag=2,ABS(CR75)&lt;0.0001),0,IF(CR75&gt;0,-1,1)*DD75*100*Strike2/CP75^2*CT75/10%),0)</f>
        <v>0</v>
      </c>
      <c r="DD75" s="163">
        <f ca="1">IF(BD75,_xll.EURO(CP75,Strike2,AO75,AO75,CW75,CO75,IF(OptControl=3,1,0),3)/100,0)</f>
        <v>0</v>
      </c>
      <c r="DE75" s="164">
        <f ca="1">IF(BD75,_xll.EURO(CP75,Strike2,AO75,AO75,CW75,CO75,IF(OptControl=3,1,0),0)-_xll.EURO(CP75,Strike2,AO75,AO75,CW75,CO75-1,IF(OptControl=3,1,0),0),0)</f>
        <v>0</v>
      </c>
      <c r="DG75" s="667">
        <f t="shared" ca="1" si="62"/>
        <v>38231</v>
      </c>
      <c r="DH75" s="475">
        <v>18.375</v>
      </c>
      <c r="DI75" s="665">
        <v>18.368181818181821</v>
      </c>
      <c r="DJ75" s="666">
        <f t="shared" ca="1" si="182"/>
        <v>38231</v>
      </c>
      <c r="DK75" s="475">
        <v>17.227195163515102</v>
      </c>
      <c r="DL75" s="665">
        <v>17.152781818181822</v>
      </c>
      <c r="DM75" s="667">
        <f t="shared" ca="1" si="183"/>
        <v>38231</v>
      </c>
      <c r="DN75" s="668">
        <f t="shared" si="184"/>
        <v>17.277195163515103</v>
      </c>
      <c r="DO75" s="667">
        <f t="shared" ca="1" si="63"/>
        <v>38231</v>
      </c>
      <c r="DP75" s="579">
        <f t="shared" si="64"/>
        <v>17.152781818181822</v>
      </c>
      <c r="DQ75" s="821">
        <v>0</v>
      </c>
      <c r="DR75" s="666">
        <f t="shared" ca="1" si="185"/>
        <v>38231</v>
      </c>
      <c r="DS75" s="669">
        <v>0.19840390591560503</v>
      </c>
      <c r="DT75" s="606">
        <v>0.19740284111562334</v>
      </c>
      <c r="DU75" s="666">
        <f t="shared" ca="1" si="186"/>
        <v>38231</v>
      </c>
      <c r="DV75" s="669">
        <v>0.19840390591560503</v>
      </c>
      <c r="DW75" s="606">
        <v>0.19740284111562334</v>
      </c>
      <c r="DX75" s="667">
        <f t="shared" ca="1" si="187"/>
        <v>38231</v>
      </c>
      <c r="DY75" s="606">
        <v>0.35</v>
      </c>
      <c r="DZ75" s="667">
        <f t="shared" ca="1" si="65"/>
        <v>38231</v>
      </c>
      <c r="EA75" s="606">
        <f t="shared" si="66"/>
        <v>0.19740284111562334</v>
      </c>
      <c r="EB75" s="1"/>
      <c r="EC75" s="118" t="str">
        <f t="shared" ca="1" si="188"/>
        <v/>
      </c>
      <c r="ED75" s="119" t="str">
        <f t="shared" ca="1" si="33"/>
        <v/>
      </c>
      <c r="EE75" s="112" t="str">
        <f t="shared" ca="1" si="34"/>
        <v/>
      </c>
      <c r="EF75" s="120">
        <f ca="1">IF(BD75,_xll.xASN(BR75,Strike1,AO75,ED75,0,BO75,0,BI75,BL75,IF(OptControl=4,0,1),0),0)</f>
        <v>0</v>
      </c>
      <c r="EG75" s="111">
        <f ca="1">IF(BD75,_xll.xASN(BR75,Strike2,AO75,EE75,0,BO75,0,BI75,BL75,IF(OptControl=3,1,0),0),0)</f>
        <v>0</v>
      </c>
      <c r="EL75" s="55"/>
      <c r="EM75" s="1"/>
      <c r="EN75" s="697">
        <v>42370</v>
      </c>
      <c r="EO75" s="698">
        <v>46746</v>
      </c>
      <c r="EP75" s="1"/>
      <c r="EQ75" s="683" t="s">
        <v>262</v>
      </c>
      <c r="ES75" s="498">
        <v>56</v>
      </c>
      <c r="ET75" s="476">
        <f t="shared" ca="1" si="165"/>
        <v>4.6050650239561941</v>
      </c>
      <c r="EU75" s="842">
        <f t="shared" ca="1" si="189"/>
        <v>0</v>
      </c>
      <c r="EV75" s="815">
        <f t="shared" ca="1" si="269"/>
        <v>0.18246396156492276</v>
      </c>
      <c r="EW75" s="478" t="str">
        <f t="shared" ca="1" si="270"/>
        <v/>
      </c>
      <c r="EX75" s="477" t="str">
        <f t="shared" ca="1" si="271"/>
        <v/>
      </c>
      <c r="EY75" s="250">
        <v>0</v>
      </c>
      <c r="EZ75" s="605" t="str">
        <f ca="1">IF(OR(EW75="",EW76=""),"",SQRT(SUM(INDEX(FK75:ID75,SwaptionFirstMonthPosition+1):INDEX(FK75:ID75,FJ75))/SUM(INDEX($FK$15:$ID$15,SwaptionFirstMonthPosition+1):INDEX($FK$15:$ID$15,FJ75))))</f>
        <v/>
      </c>
      <c r="FA75" s="581" t="str">
        <f ca="1">IF(OR(EW75="",EW74=""),"",SQRT(SUM(INDEX(FK75:ID75,SwaptionFirstMonthPosition+1):INDEX(FK75:ID75,FJ75-1))/SUM(INDEX($FK$15:$ID$15,SwaptionFirstMonthPosition+1):INDEX($FK$15:$ID$15,FJ75-1))))</f>
        <v/>
      </c>
      <c r="FB75" s="578" t="str">
        <f t="shared" ca="1" si="190"/>
        <v/>
      </c>
      <c r="FC75" s="609" t="str">
        <f t="shared" ca="1" si="191"/>
        <v/>
      </c>
      <c r="FD75" s="579" t="str">
        <f t="shared" ca="1" si="192"/>
        <v/>
      </c>
      <c r="FE75" s="579" t="str">
        <f t="shared" ca="1" si="193"/>
        <v/>
      </c>
      <c r="FF75" s="579" t="str">
        <f t="shared" ca="1" si="194"/>
        <v/>
      </c>
      <c r="FG75" s="580" t="str">
        <f t="shared" ca="1" si="195"/>
        <v/>
      </c>
      <c r="FH75" s="606" t="str">
        <f t="shared" ca="1" si="196"/>
        <v/>
      </c>
      <c r="FI75" s="250"/>
      <c r="FJ75" s="673">
        <v>56</v>
      </c>
      <c r="FK75" s="460">
        <f t="shared" ca="1" si="197"/>
        <v>0</v>
      </c>
      <c r="FL75" s="460">
        <f t="shared" ca="1" si="198"/>
        <v>2.1918817140363801E-3</v>
      </c>
      <c r="FM75" s="460">
        <f t="shared" ca="1" si="199"/>
        <v>2.5477411296044583E-3</v>
      </c>
      <c r="FN75" s="460">
        <f t="shared" ca="1" si="200"/>
        <v>2.1444962985840031E-3</v>
      </c>
      <c r="FO75" s="460">
        <f t="shared" ca="1" si="201"/>
        <v>2.2307627619234981E-3</v>
      </c>
      <c r="FP75" s="460">
        <f t="shared" ca="1" si="202"/>
        <v>2.472133392102571E-3</v>
      </c>
      <c r="FQ75" s="460">
        <f t="shared" ca="1" si="203"/>
        <v>2.0016584366604833E-3</v>
      </c>
      <c r="FR75" s="460">
        <f t="shared" ca="1" si="204"/>
        <v>2.0468518212839611E-3</v>
      </c>
      <c r="FS75" s="460">
        <f t="shared" ca="1" si="205"/>
        <v>2.306976194537676E-3</v>
      </c>
      <c r="FT75" s="460">
        <f t="shared" ca="1" si="206"/>
        <v>2.0823007861151496E-3</v>
      </c>
      <c r="FU75" s="460">
        <f t="shared" ca="1" si="207"/>
        <v>2.0022241915750305E-3</v>
      </c>
      <c r="FV75" s="460">
        <f t="shared" ca="1" si="208"/>
        <v>2.200722382732296E-3</v>
      </c>
      <c r="FW75" s="460">
        <f t="shared" ca="1" si="209"/>
        <v>2.0573163802999651E-3</v>
      </c>
      <c r="FX75" s="460">
        <f t="shared" ca="1" si="210"/>
        <v>2.1900319450292639E-3</v>
      </c>
      <c r="FY75" s="460">
        <f t="shared" ca="1" si="211"/>
        <v>2.0503041394360302E-3</v>
      </c>
      <c r="FZ75" s="460">
        <f t="shared" ca="1" si="212"/>
        <v>1.9119148792111165E-3</v>
      </c>
      <c r="GA75" s="460">
        <f t="shared" ca="1" si="213"/>
        <v>2.0474788881859568E-3</v>
      </c>
      <c r="GB75" s="460">
        <f t="shared" ca="1" si="214"/>
        <v>2.2518720182725352E-3</v>
      </c>
      <c r="GC75" s="460">
        <f t="shared" ca="1" si="215"/>
        <v>1.9791686130254519E-3</v>
      </c>
      <c r="GD75" s="460">
        <f t="shared" ca="1" si="216"/>
        <v>1.979923923056702E-3</v>
      </c>
      <c r="GE75" s="460">
        <f t="shared" ca="1" si="217"/>
        <v>2.2544172663837032E-3</v>
      </c>
      <c r="GF75" s="460">
        <f t="shared" ca="1" si="218"/>
        <v>1.9828554198493458E-3</v>
      </c>
      <c r="GG75" s="460">
        <f t="shared" ca="1" si="219"/>
        <v>2.1903915434483101E-3</v>
      </c>
      <c r="GH75" s="460">
        <f t="shared" ca="1" si="220"/>
        <v>2.0562935018995777E-3</v>
      </c>
      <c r="GI75" s="460">
        <f t="shared" ca="1" si="221"/>
        <v>1.9910331704918044E-3</v>
      </c>
      <c r="GJ75" s="460">
        <f t="shared" ca="1" si="222"/>
        <v>2.2701304262359068E-3</v>
      </c>
      <c r="GK75" s="460">
        <f t="shared" ca="1" si="223"/>
        <v>2.068585380950741E-3</v>
      </c>
      <c r="GL75" s="460">
        <f t="shared" ca="1" si="224"/>
        <v>2.0051557620191529E-3</v>
      </c>
      <c r="GM75" s="460">
        <f t="shared" ca="1" si="225"/>
        <v>2.15040787946087E-3</v>
      </c>
      <c r="GN75" s="460">
        <f t="shared" ca="1" si="226"/>
        <v>2.1586141015276137E-3</v>
      </c>
      <c r="GO75" s="460">
        <f t="shared" ca="1" si="227"/>
        <v>2.1682763210768164E-3</v>
      </c>
      <c r="GP75" s="460">
        <f t="shared" ca="1" si="228"/>
        <v>1.9687184181240718E-3</v>
      </c>
      <c r="GQ75" s="460">
        <f t="shared" ca="1" si="229"/>
        <v>2.1930519705276371E-3</v>
      </c>
      <c r="GR75" s="460">
        <f t="shared" ca="1" si="230"/>
        <v>2.1375927548421153E-3</v>
      </c>
      <c r="GS75" s="460">
        <f t="shared" ca="1" si="231"/>
        <v>2.2274809800196453E-3</v>
      </c>
      <c r="GT75" s="460">
        <f t="shared" ca="1" si="232"/>
        <v>2.1769326948341975E-3</v>
      </c>
      <c r="GU75" s="460">
        <f t="shared" ca="1" si="233"/>
        <v>2.2755491724286399E-3</v>
      </c>
      <c r="GV75" s="460">
        <f t="shared" ca="1" si="234"/>
        <v>2.3064360085645976E-3</v>
      </c>
      <c r="GW75" s="460">
        <f t="shared" ca="1" si="235"/>
        <v>2.2675530089267745E-3</v>
      </c>
      <c r="GX75" s="460">
        <f t="shared" ca="1" si="236"/>
        <v>2.3868674154253916E-3</v>
      </c>
      <c r="GY75" s="460">
        <f t="shared" ca="1" si="237"/>
        <v>2.3604523572529658E-3</v>
      </c>
      <c r="GZ75" s="460">
        <f t="shared" ca="1" si="238"/>
        <v>2.5018372510101339E-3</v>
      </c>
      <c r="HA75" s="460">
        <f t="shared" ca="1" si="239"/>
        <v>2.5773897486608371E-3</v>
      </c>
      <c r="HB75" s="460">
        <f t="shared" ca="1" si="240"/>
        <v>2.4967063874987471E-3</v>
      </c>
      <c r="HC75" s="460">
        <f t="shared" ca="1" si="241"/>
        <v>2.7803857044516028E-3</v>
      </c>
      <c r="HD75" s="460">
        <f t="shared" ca="1" si="242"/>
        <v>2.8231003138002434E-3</v>
      </c>
      <c r="HE75" s="460">
        <f t="shared" ca="1" si="243"/>
        <v>3.0865122450645121E-3</v>
      </c>
      <c r="HF75" s="460">
        <f t="shared" ca="1" si="244"/>
        <v>3.1917190682470824E-3</v>
      </c>
      <c r="HG75" s="460">
        <f t="shared" ca="1" si="245"/>
        <v>3.5656693487918323E-3</v>
      </c>
      <c r="HH75" s="460">
        <f t="shared" ca="1" si="246"/>
        <v>3.9087112866084761E-3</v>
      </c>
      <c r="HI75" s="460">
        <f t="shared" ca="1" si="247"/>
        <v>4.2153145900640883E-3</v>
      </c>
      <c r="HJ75" s="460">
        <f t="shared" ca="1" si="248"/>
        <v>4.9501126977971929E-3</v>
      </c>
      <c r="HK75" s="460">
        <f t="shared" ca="1" si="249"/>
        <v>5.5729628813179603E-3</v>
      </c>
      <c r="HL75" s="460">
        <f t="shared" ca="1" si="250"/>
        <v>6.8903171703399791E-3</v>
      </c>
      <c r="HM75" s="460">
        <f t="shared" ca="1" si="251"/>
        <v>8.5284703015188722E-3</v>
      </c>
      <c r="HN75" s="460">
        <f t="shared" ca="1" si="252"/>
        <v>9.9351133319561125E-3</v>
      </c>
      <c r="HO75" s="460" t="str">
        <f t="shared" si="253"/>
        <v/>
      </c>
      <c r="HP75" s="460" t="str">
        <f t="shared" si="254"/>
        <v/>
      </c>
      <c r="HQ75" s="460" t="str">
        <f t="shared" si="255"/>
        <v/>
      </c>
      <c r="HR75" s="460" t="str">
        <f t="shared" si="256"/>
        <v/>
      </c>
      <c r="HS75" s="460" t="str">
        <f t="shared" si="257"/>
        <v/>
      </c>
      <c r="HT75" s="460" t="str">
        <f t="shared" si="258"/>
        <v/>
      </c>
      <c r="HU75" s="460" t="str">
        <f t="shared" si="259"/>
        <v/>
      </c>
      <c r="HV75" s="460" t="str">
        <f t="shared" si="260"/>
        <v/>
      </c>
      <c r="HW75" s="460" t="str">
        <f t="shared" si="261"/>
        <v/>
      </c>
      <c r="HX75" s="460" t="str">
        <f t="shared" si="262"/>
        <v/>
      </c>
      <c r="HY75" s="460" t="str">
        <f t="shared" si="263"/>
        <v/>
      </c>
      <c r="HZ75" s="460" t="str">
        <f t="shared" si="264"/>
        <v/>
      </c>
      <c r="IA75" s="460" t="str">
        <f t="shared" si="265"/>
        <v/>
      </c>
      <c r="IB75" s="460" t="str">
        <f t="shared" si="266"/>
        <v/>
      </c>
      <c r="IC75" s="460" t="str">
        <f t="shared" si="267"/>
        <v/>
      </c>
      <c r="ID75" s="674" t="str">
        <f t="shared" si="268"/>
        <v/>
      </c>
      <c r="IE75" s="250"/>
    </row>
    <row r="76" spans="1:239">
      <c r="A76" s="53"/>
      <c r="F76" s="53"/>
      <c r="G76" s="53"/>
      <c r="H76" s="51">
        <f t="shared" ca="1" si="35"/>
        <v>0</v>
      </c>
      <c r="I76" s="379">
        <f t="shared" si="36"/>
        <v>38473</v>
      </c>
      <c r="J76" s="377"/>
      <c r="K76" s="104" t="s">
        <v>269</v>
      </c>
      <c r="L76" s="392">
        <f t="shared" si="37"/>
        <v>0</v>
      </c>
      <c r="M76" s="171"/>
      <c r="N76" s="382">
        <v>0</v>
      </c>
      <c r="O76" s="171">
        <f t="shared" si="38"/>
        <v>0</v>
      </c>
      <c r="P76" s="377"/>
      <c r="Q76" s="104" t="s">
        <v>268</v>
      </c>
      <c r="R76" s="377">
        <f t="shared" ca="1" si="148"/>
        <v>-1.0822191773992951</v>
      </c>
      <c r="S76" s="832">
        <f t="shared" si="164"/>
        <v>0.36000000537563137</v>
      </c>
      <c r="T76" s="831">
        <f t="shared" si="149"/>
        <v>0.99998259747182028</v>
      </c>
      <c r="U76" s="545">
        <f t="shared" si="150"/>
        <v>0.99999999848810373</v>
      </c>
      <c r="V76" s="389">
        <v>0</v>
      </c>
      <c r="W76" s="434">
        <f t="shared" si="166"/>
        <v>0</v>
      </c>
      <c r="X76" s="415">
        <f t="shared" si="167"/>
        <v>0</v>
      </c>
      <c r="Y76" s="322">
        <f t="shared" si="168"/>
        <v>-1.2389999999999999</v>
      </c>
      <c r="Z76" s="322">
        <f t="shared" ca="1" si="169"/>
        <v>-1.2389999999999999</v>
      </c>
      <c r="AA76" s="429">
        <f t="shared" si="1"/>
        <v>1.2389999999999999</v>
      </c>
      <c r="AB76" s="433">
        <f t="shared" ca="1" si="2"/>
        <v>1.2389999999999999</v>
      </c>
      <c r="AC76" s="229">
        <v>38462</v>
      </c>
      <c r="AD76" s="229">
        <v>38458</v>
      </c>
      <c r="AE76" s="229">
        <v>38457</v>
      </c>
      <c r="AF76" s="229">
        <v>38453</v>
      </c>
      <c r="AG76" s="249" t="s">
        <v>90</v>
      </c>
      <c r="AH76" s="247" t="s">
        <v>499</v>
      </c>
      <c r="AI76" s="146">
        <v>22</v>
      </c>
      <c r="AJ76" s="41">
        <v>15</v>
      </c>
      <c r="AK76" s="41">
        <v>7</v>
      </c>
      <c r="AL76" s="293">
        <v>22</v>
      </c>
      <c r="AM76" s="41">
        <v>10</v>
      </c>
      <c r="AN76" s="147">
        <v>12</v>
      </c>
      <c r="AO76" s="374"/>
      <c r="AP76" s="153">
        <f t="shared" ca="1" si="43"/>
        <v>1</v>
      </c>
      <c r="AQ76" s="374"/>
      <c r="AR76" s="153">
        <f t="shared" ca="1" si="151"/>
        <v>1</v>
      </c>
      <c r="AS76" s="272">
        <f t="shared" si="170"/>
        <v>0</v>
      </c>
      <c r="AT76" s="157">
        <f t="shared" si="44"/>
        <v>0</v>
      </c>
      <c r="AU76" s="157">
        <f t="shared" si="4"/>
        <v>0</v>
      </c>
      <c r="AV76" s="271">
        <f t="shared" ca="1" si="163"/>
        <v>9.9999999999999995E-7</v>
      </c>
      <c r="AW76" s="158" t="str">
        <f t="shared" ca="1" si="171"/>
        <v/>
      </c>
      <c r="AX76" s="157">
        <f t="shared" ca="1" si="152"/>
        <v>3.8602449462923414E-3</v>
      </c>
      <c r="AY76" s="157">
        <f t="shared" ca="1" si="153"/>
        <v>2.0572461957553906E-3</v>
      </c>
      <c r="AZ76" s="157">
        <f t="shared" ca="1" si="154"/>
        <v>5.7545609977617865E-4</v>
      </c>
      <c r="BA76" s="157">
        <f t="shared" ca="1" si="155"/>
        <v>7.1932012472022332E-5</v>
      </c>
      <c r="BB76" s="157">
        <f t="shared" ca="1" si="156"/>
        <v>2.313959896848031E-5</v>
      </c>
      <c r="BC76" s="157">
        <f t="shared" ca="1" si="157"/>
        <v>1.0348428836550434E-5</v>
      </c>
      <c r="BD76" s="151">
        <f t="shared" ca="1" si="172"/>
        <v>0</v>
      </c>
      <c r="BE76" s="152">
        <f t="shared" ca="1" si="173"/>
        <v>0</v>
      </c>
      <c r="BF76" s="40">
        <f t="shared" si="174"/>
        <v>2005</v>
      </c>
      <c r="BG76" s="144">
        <f t="shared" si="175"/>
        <v>5</v>
      </c>
      <c r="BH76" s="145">
        <f t="shared" ca="1" si="176"/>
        <v>1713</v>
      </c>
      <c r="BI76" s="313">
        <f t="shared" ca="1" si="177"/>
        <v>4.731006160164271</v>
      </c>
      <c r="BJ76" s="42">
        <f t="shared" ca="1" si="10"/>
        <v>4.7870076535374277</v>
      </c>
      <c r="BK76" s="42">
        <f t="shared" ca="1" si="178"/>
        <v>4.7897455043245598</v>
      </c>
      <c r="BL76" s="42">
        <f t="shared" ca="1" si="179"/>
        <v>4.8131416837782339</v>
      </c>
      <c r="BM76" s="150" t="e">
        <f t="shared" ca="1" si="13"/>
        <v>#DIV/0!</v>
      </c>
      <c r="BN76" s="42" t="e">
        <f t="shared" ca="1" si="14"/>
        <v>#DIV/0!</v>
      </c>
      <c r="BO76" s="293">
        <f t="shared" si="48"/>
        <v>22</v>
      </c>
      <c r="BP76" s="41">
        <f t="shared" si="49"/>
        <v>15</v>
      </c>
      <c r="BQ76" s="41">
        <f t="shared" si="50"/>
        <v>7</v>
      </c>
      <c r="BR76" s="305" t="str">
        <f t="shared" ca="1" si="15"/>
        <v/>
      </c>
      <c r="BS76" s="305" t="str">
        <f t="shared" ca="1" si="180"/>
        <v/>
      </c>
      <c r="BT76" s="307" t="str">
        <f t="shared" ca="1" si="181"/>
        <v/>
      </c>
      <c r="BU76" s="161" t="str">
        <f t="shared" ca="1" si="18"/>
        <v/>
      </c>
      <c r="BV76" s="161" t="str">
        <f t="shared" ca="1" si="19"/>
        <v/>
      </c>
      <c r="BW76" s="308" t="str">
        <f t="shared" ca="1" si="20"/>
        <v/>
      </c>
      <c r="BX76" s="309" t="str">
        <f t="shared" ca="1" si="21"/>
        <v/>
      </c>
      <c r="BY76" s="308" t="str">
        <f t="shared" ca="1" si="51"/>
        <v/>
      </c>
      <c r="BZ76" s="309" t="str">
        <f t="shared" ca="1" si="52"/>
        <v/>
      </c>
      <c r="CA76" s="154" t="str">
        <f t="shared" ca="1" si="22"/>
        <v/>
      </c>
      <c r="CB76" s="154" t="str">
        <f t="shared" ca="1" si="23"/>
        <v/>
      </c>
      <c r="CC76" s="154" t="str">
        <f t="shared" ca="1" si="24"/>
        <v/>
      </c>
      <c r="CD76" s="154" t="str">
        <f t="shared" ca="1" si="25"/>
        <v/>
      </c>
      <c r="CE76" s="310">
        <v>1</v>
      </c>
      <c r="CF76" s="162">
        <f ca="1">IF(BD76,_xll.xCrudeAPO(BU76,BV76,CA76,CB76,S77,S78,BI76,BL76,BP76,BQ76,0,Strike1,AO76,CE76,0,BL76,IF(OptControl=4,0,1),0,1),0)</f>
        <v>0</v>
      </c>
      <c r="CG76" s="163">
        <f ca="1">IF(BD76,_xll.xCrudeAPO(BU76,BV76,CA76,CB76,S77,S78,BI76,BL76,BP76,BQ76,0,Strike1,AO76,CE76,0,BL76,IF(OptControl=4,0,1),1,1)+_xll.xCrudeAPO(BU76,BV76,CA76,CB76,S77,S78,BI76,BL76,BP76,BQ76,0,Strike1,AO76,CE76,0,BL76,IF(OptControl=4,0,1),1,2)+IF(OR(VolSkewFlag=2,ABS(BS76)&lt;0.0001),0,IF(BS76&gt;0,-1,1)*CH76*Strike1/BR76^2*BY76/10%),0)</f>
        <v>0</v>
      </c>
      <c r="CH76" s="163">
        <f ca="1">IF(BD76,(_xll.xCrudeAPO(BU76,BV76,CA76,CB76,S77,S78,BI76,BL76,BP76,BQ76,0,Strike1,AO76,CE76,0,BL76,IF(OptControl=4,0,1),3,1)+_xll.xCrudeAPO(BU76,BV76,CA76,CB76,S77,S78,BI76,BL76,BP76,BQ76,0,Strike1,AO76,CE76,0,BL76,IF(OptControl=4,0,1),3,2))/100,0)</f>
        <v>0</v>
      </c>
      <c r="CI76" s="163">
        <f ca="1">IF(BD76,_xll.xCrudeAPO(BU76,BV76,CA76,CB76,S77,S78,BI76-DaysForThetaCalculation/365.25,BL76-DaysForThetaCalculation/365.25,BP76,BQ76,0,Strike1,AO76,CE76,0,BL76,IF(OptControl=4,0,1),0,1)-_xll.xCrudeAPO(BU76,BV76,CA76,CB76,S77,S78,BI76,BL76,BP76,BQ76,0,Strike1,AO76,CE76,0,BL76,IF(OptControl=4,0,1),0,1),0)</f>
        <v>0</v>
      </c>
      <c r="CJ76" s="311">
        <f ca="1">IF(BD76,_xll.xCrudeAPO(BU76,BV76,CC76,CD76,S77,S78,BI76,BL76,BP76,BQ76,0,Strike2,AO76,CE76,0,BL76,IF(OptControl=3,1,0),0,1),0)</f>
        <v>0</v>
      </c>
      <c r="CK76" s="163">
        <f ca="1">IF(BD76,_xll.xCrudeAPO(BU76,BV76,CC76,CD76,S77,S78,BI76,BL76,BP76,BQ76,0,Strike2,AO76,CE76,0,BL76,IF(OptControl=3,1,0),1,1)+_xll.xCrudeAPO(BU76,BV76,CC76,CD76,S77,S78,BI76,BL76,BP76,BQ76,0,Strike2,AO76,CE76,0,BL76,IF(OptControl=3,1,0),1,2)+IF(OR(VolSkewFlag=2,ABS(BT76)&lt;0.0001),0,IF(BT76&gt;0,-1,1)*CL76*Strike2/BR76^2*BZ76/10%),0)</f>
        <v>0</v>
      </c>
      <c r="CL76" s="163">
        <f ca="1">IF(BD76,(_xll.xCrudeAPO(BU76,BV76,CC76,CD76,S77,S78,BI76,BL76,BP76,BQ76,0,Strike2,AO76,CE76,0,BL76,IF(OptControl=3,1,0),3,1)+_xll.xCrudeAPO(BU76,BV76,CC76,CD76,S77,S78,BI76,BL76,BP76,BQ76,0,Strike2,AO76,CE76,0,BL76,IF(OptControl=3,1,0),3,2))/100,0)</f>
        <v>0</v>
      </c>
      <c r="CM76" s="164">
        <f ca="1">IF(BD76,_xll.xCrudeAPO(BU76,BV76,CC76,CD76,S77,S78,BI76-DaysForThetaCalculation/365.25,BL76-DaysForThetaCalculation/365.25,BP76,BQ76,0,Strike2,AO76,CE76,0,BL76,IF(OptControl=3,1,0),0,1)-_xll.xCrudeAPO(BU76,BV76,CC76,CD76,S77,S78,BI76,BL76,BP76,BQ76,0,Strike2,AO76,CE76,0,BL76,IF(OptControl=3,1,0),0,1),0)</f>
        <v>0</v>
      </c>
      <c r="CN76" s="53"/>
      <c r="CO76" s="796" t="str">
        <f t="shared" ca="1" si="53"/>
        <v/>
      </c>
      <c r="CP76" s="800" t="str">
        <f t="shared" ca="1" si="54"/>
        <v/>
      </c>
      <c r="CQ76" s="797" t="str">
        <f t="shared" ca="1" si="55"/>
        <v/>
      </c>
      <c r="CR76" s="797" t="str">
        <f t="shared" ca="1" si="56"/>
        <v/>
      </c>
      <c r="CS76" s="797" t="str">
        <f t="shared" ca="1" si="57"/>
        <v/>
      </c>
      <c r="CT76" s="797" t="str">
        <f t="shared" ca="1" si="58"/>
        <v/>
      </c>
      <c r="CU76" s="798" t="str">
        <f t="shared" ca="1" si="59"/>
        <v/>
      </c>
      <c r="CV76" s="799" t="str">
        <f t="shared" ca="1" si="60"/>
        <v/>
      </c>
      <c r="CW76" s="799" t="str">
        <f t="shared" ca="1" si="61"/>
        <v/>
      </c>
      <c r="CX76" s="163">
        <f ca="1">IF(BD76,_xll.EURO(CP76,Strike1,AO76,AO76,CV76,CO76,IF(OptControl=4,0,1),0),0)</f>
        <v>0</v>
      </c>
      <c r="CY76" s="163">
        <f ca="1">IF(BD76,_xll.EURO(CP76,Strike1,AO76,AO76,CV76,CO76,IF(OptControl=4,0,1),1)+IF(OR(VolSkewFlag=2,ABS(CQ76)&lt;0.0001),0,IF(CQ76&gt;0,-1,1)*CZ76*100*Strike1/CP76^2*CS76/10%),0)</f>
        <v>0</v>
      </c>
      <c r="CZ76" s="163">
        <f ca="1">IF(BD76,_xll.EURO(CP76,Strike1,AO76,AO76,CV76,CO76,IF(OptControl=4,0,1),3)/100,0)</f>
        <v>0</v>
      </c>
      <c r="DA76" s="163">
        <f ca="1">IF(BD76,_xll.EURO(CP76,Strike1,AO76,AO76,CV76,CO76,IF(OptControl=4,0,1),0)-_xll.EURO(CP76,Strike1,AO76,AO76,CV76,CO76-1,IF(OptControl=4,0,1),0),0)</f>
        <v>0</v>
      </c>
      <c r="DB76" s="163">
        <f ca="1">IF(BD76,_xll.EURO(CP76,Strike2,AO76,AO76,CW76,CO76,IF(OptControl=3,1,0),0),0)</f>
        <v>0</v>
      </c>
      <c r="DC76" s="163">
        <f ca="1">IF(BD76,_xll.EURO(CP76,Strike2,AO76,AO76,CW76,CO76,IF(OptControl=3,1,0),1)+IF(OR(VolSkewFlag=2,ABS(CR76)&lt;0.0001),0,IF(CR76&gt;0,-1,1)*DD76*100*Strike2/CP76^2*CT76/10%),0)</f>
        <v>0</v>
      </c>
      <c r="DD76" s="163">
        <f ca="1">IF(BD76,_xll.EURO(CP76,Strike2,AO76,AO76,CW76,CO76,IF(OptControl=3,1,0),3)/100,0)</f>
        <v>0</v>
      </c>
      <c r="DE76" s="164">
        <f ca="1">IF(BD76,_xll.EURO(CP76,Strike2,AO76,AO76,CW76,CO76,IF(OptControl=3,1,0),0)-_xll.EURO(CP76,Strike2,AO76,AO76,CW76,CO76-1,IF(OptControl=3,1,0),0),0)</f>
        <v>0</v>
      </c>
      <c r="DG76" s="667">
        <f t="shared" ca="1" si="62"/>
        <v>38261</v>
      </c>
      <c r="DH76" s="475">
        <v>18.37</v>
      </c>
      <c r="DI76" s="665">
        <v>18.363333333333337</v>
      </c>
      <c r="DJ76" s="666">
        <f t="shared" ca="1" si="182"/>
        <v>38261</v>
      </c>
      <c r="DK76" s="475">
        <v>17.100354030404088</v>
      </c>
      <c r="DL76" s="665">
        <v>17.218733333333336</v>
      </c>
      <c r="DM76" s="667">
        <f t="shared" ca="1" si="183"/>
        <v>38261</v>
      </c>
      <c r="DN76" s="668">
        <f t="shared" si="184"/>
        <v>17.150354030404088</v>
      </c>
      <c r="DO76" s="667">
        <f t="shared" ca="1" si="63"/>
        <v>38261</v>
      </c>
      <c r="DP76" s="579">
        <f t="shared" si="64"/>
        <v>17.218733333333336</v>
      </c>
      <c r="DQ76" s="821">
        <v>0</v>
      </c>
      <c r="DR76" s="666">
        <f t="shared" ca="1" si="185"/>
        <v>38261</v>
      </c>
      <c r="DS76" s="669">
        <v>0.19746936744985608</v>
      </c>
      <c r="DT76" s="606">
        <v>0.19724302015345335</v>
      </c>
      <c r="DU76" s="666">
        <f t="shared" ca="1" si="186"/>
        <v>38261</v>
      </c>
      <c r="DV76" s="669">
        <v>0.19746936744985608</v>
      </c>
      <c r="DW76" s="606">
        <v>0.19724302015345335</v>
      </c>
      <c r="DX76" s="667">
        <f t="shared" ca="1" si="187"/>
        <v>38261</v>
      </c>
      <c r="DY76" s="606">
        <v>0.35</v>
      </c>
      <c r="DZ76" s="667">
        <f t="shared" ca="1" si="65"/>
        <v>38261</v>
      </c>
      <c r="EA76" s="606">
        <f t="shared" si="66"/>
        <v>0.19724302015345335</v>
      </c>
      <c r="EB76" s="1"/>
      <c r="EC76" s="118" t="str">
        <f t="shared" ca="1" si="188"/>
        <v/>
      </c>
      <c r="ED76" s="119" t="str">
        <f t="shared" ca="1" si="33"/>
        <v/>
      </c>
      <c r="EE76" s="112" t="str">
        <f t="shared" ca="1" si="34"/>
        <v/>
      </c>
      <c r="EF76" s="120">
        <f ca="1">IF(BD76,_xll.xASN(BR76,Strike1,AO76,ED76,0,BO76,0,BI76,BL76,IF(OptControl=4,0,1),0),0)</f>
        <v>0</v>
      </c>
      <c r="EG76" s="111">
        <f ca="1">IF(BD76,_xll.xASN(BR76,Strike2,AO76,EE76,0,BO76,0,BI76,BL76,IF(OptControl=3,1,0),0),0)</f>
        <v>0</v>
      </c>
      <c r="EL76" s="55"/>
      <c r="EM76" s="1"/>
      <c r="EN76" s="697">
        <v>42555</v>
      </c>
      <c r="EO76" s="698">
        <v>46753</v>
      </c>
      <c r="EP76" s="1"/>
      <c r="EQ76" s="683" t="s">
        <v>263</v>
      </c>
      <c r="ES76" s="498">
        <v>57</v>
      </c>
      <c r="ET76" s="476">
        <f t="shared" ca="1" si="165"/>
        <v>4.6899383983572891</v>
      </c>
      <c r="EU76" s="842">
        <f t="shared" ca="1" si="189"/>
        <v>0</v>
      </c>
      <c r="EV76" s="815">
        <f t="shared" ca="1" si="269"/>
        <v>0.18221826353220019</v>
      </c>
      <c r="EW76" s="478" t="str">
        <f t="shared" ca="1" si="270"/>
        <v/>
      </c>
      <c r="EX76" s="477" t="str">
        <f t="shared" ca="1" si="271"/>
        <v/>
      </c>
      <c r="EY76" s="250">
        <v>0</v>
      </c>
      <c r="EZ76" s="605" t="str">
        <f ca="1">IF(OR(EW76="",EW77=""),"",SQRT(SUM(INDEX(FK76:ID76,SwaptionFirstMonthPosition+1):INDEX(FK76:ID76,FJ76))/SUM(INDEX($FK$15:$ID$15,SwaptionFirstMonthPosition+1):INDEX($FK$15:$ID$15,FJ76))))</f>
        <v/>
      </c>
      <c r="FA76" s="581" t="str">
        <f ca="1">IF(OR(EW76="",EW75=""),"",SQRT(SUM(INDEX(FK76:ID76,SwaptionFirstMonthPosition+1):INDEX(FK76:ID76,FJ76-1))/SUM(INDEX($FK$15:$ID$15,SwaptionFirstMonthPosition+1):INDEX($FK$15:$ID$15,FJ76-1))))</f>
        <v/>
      </c>
      <c r="FB76" s="578" t="str">
        <f t="shared" ca="1" si="190"/>
        <v/>
      </c>
      <c r="FC76" s="609" t="str">
        <f t="shared" ca="1" si="191"/>
        <v/>
      </c>
      <c r="FD76" s="579" t="str">
        <f t="shared" ca="1" si="192"/>
        <v/>
      </c>
      <c r="FE76" s="579" t="str">
        <f t="shared" ca="1" si="193"/>
        <v/>
      </c>
      <c r="FF76" s="579" t="str">
        <f t="shared" ca="1" si="194"/>
        <v/>
      </c>
      <c r="FG76" s="580" t="str">
        <f t="shared" ca="1" si="195"/>
        <v/>
      </c>
      <c r="FH76" s="606" t="str">
        <f t="shared" ca="1" si="196"/>
        <v/>
      </c>
      <c r="FI76" s="250"/>
      <c r="FJ76" s="673">
        <v>57</v>
      </c>
      <c r="FK76" s="460">
        <f t="shared" ca="1" si="197"/>
        <v>0</v>
      </c>
      <c r="FL76" s="460">
        <f t="shared" ca="1" si="198"/>
        <v>2.1917773611223202E-3</v>
      </c>
      <c r="FM76" s="460">
        <f t="shared" ca="1" si="199"/>
        <v>2.5475992641507952E-3</v>
      </c>
      <c r="FN76" s="460">
        <f t="shared" ca="1" si="200"/>
        <v>2.1443566358500554E-3</v>
      </c>
      <c r="FO76" s="460">
        <f t="shared" ca="1" si="201"/>
        <v>2.2305928427019538E-3</v>
      </c>
      <c r="FP76" s="460">
        <f t="shared" ca="1" si="202"/>
        <v>2.4719131527561103E-3</v>
      </c>
      <c r="FQ76" s="460">
        <f t="shared" ca="1" si="203"/>
        <v>2.001449869050034E-3</v>
      </c>
      <c r="FR76" s="460">
        <f t="shared" ca="1" si="204"/>
        <v>2.046602374917E-3</v>
      </c>
      <c r="FS76" s="460">
        <f t="shared" ca="1" si="205"/>
        <v>2.3066473673048764E-3</v>
      </c>
      <c r="FT76" s="460">
        <f t="shared" ca="1" si="206"/>
        <v>2.081953648230256E-3</v>
      </c>
      <c r="FU76" s="460">
        <f t="shared" ca="1" si="207"/>
        <v>2.0018337957725088E-3</v>
      </c>
      <c r="FV76" s="460">
        <f t="shared" ca="1" si="208"/>
        <v>2.2002205123335073E-3</v>
      </c>
      <c r="FW76" s="460">
        <f t="shared" ca="1" si="209"/>
        <v>2.0567676470335549E-3</v>
      </c>
      <c r="FX76" s="460">
        <f t="shared" ca="1" si="210"/>
        <v>2.1893487502472032E-3</v>
      </c>
      <c r="FY76" s="460">
        <f t="shared" ca="1" si="211"/>
        <v>2.0495560625007452E-3</v>
      </c>
      <c r="FZ76" s="460">
        <f t="shared" ca="1" si="212"/>
        <v>1.9110989914572708E-3</v>
      </c>
      <c r="GA76" s="460">
        <f t="shared" ca="1" si="213"/>
        <v>2.046456972232295E-3</v>
      </c>
      <c r="GB76" s="460">
        <f t="shared" ca="1" si="214"/>
        <v>2.2505574796928729E-3</v>
      </c>
      <c r="GC76" s="460">
        <f t="shared" ca="1" si="215"/>
        <v>1.977817330027738E-3</v>
      </c>
      <c r="GD76" s="460">
        <f t="shared" ca="1" si="216"/>
        <v>1.9783428719598777E-3</v>
      </c>
      <c r="GE76" s="460">
        <f t="shared" ca="1" si="217"/>
        <v>2.252311716233735E-3</v>
      </c>
      <c r="GF76" s="460">
        <f t="shared" ca="1" si="218"/>
        <v>1.9806894309731889E-3</v>
      </c>
      <c r="GG76" s="460">
        <f t="shared" ca="1" si="219"/>
        <v>2.1875930724368701E-3</v>
      </c>
      <c r="GH76" s="460">
        <f t="shared" ca="1" si="220"/>
        <v>2.0532208168535762E-3</v>
      </c>
      <c r="GI76" s="460">
        <f t="shared" ca="1" si="221"/>
        <v>1.9875534422784374E-3</v>
      </c>
      <c r="GJ76" s="460">
        <f t="shared" ca="1" si="222"/>
        <v>2.2654900678465125E-3</v>
      </c>
      <c r="GK76" s="460">
        <f t="shared" ca="1" si="223"/>
        <v>2.0636399054967968E-3</v>
      </c>
      <c r="GL76" s="460">
        <f t="shared" ca="1" si="224"/>
        <v>1.9995489422056272E-3</v>
      </c>
      <c r="GM76" s="460">
        <f t="shared" ca="1" si="225"/>
        <v>2.1433751613072786E-3</v>
      </c>
      <c r="GN76" s="460">
        <f t="shared" ca="1" si="226"/>
        <v>2.1503573110309088E-3</v>
      </c>
      <c r="GO76" s="460">
        <f t="shared" ca="1" si="227"/>
        <v>2.1585760299700244E-3</v>
      </c>
      <c r="GP76" s="460">
        <f t="shared" ca="1" si="228"/>
        <v>1.9584172226065509E-3</v>
      </c>
      <c r="GQ76" s="460">
        <f t="shared" ca="1" si="229"/>
        <v>2.1796309100062718E-3</v>
      </c>
      <c r="GR76" s="460">
        <f t="shared" ca="1" si="230"/>
        <v>2.1222925669119068E-3</v>
      </c>
      <c r="GS76" s="460">
        <f t="shared" ca="1" si="231"/>
        <v>2.208833519940348E-3</v>
      </c>
      <c r="GT76" s="460">
        <f t="shared" ca="1" si="232"/>
        <v>2.1556177325286583E-3</v>
      </c>
      <c r="GU76" s="460">
        <f t="shared" ca="1" si="233"/>
        <v>2.2494900565626459E-3</v>
      </c>
      <c r="GV76" s="460">
        <f t="shared" ca="1" si="234"/>
        <v>2.2755438150093431E-3</v>
      </c>
      <c r="GW76" s="460">
        <f t="shared" ca="1" si="235"/>
        <v>2.2320309057639958E-3</v>
      </c>
      <c r="GX76" s="460">
        <f t="shared" ca="1" si="236"/>
        <v>2.3431350061595998E-3</v>
      </c>
      <c r="GY76" s="460">
        <f t="shared" ca="1" si="237"/>
        <v>2.3098693980884389E-3</v>
      </c>
      <c r="GZ76" s="460">
        <f t="shared" ca="1" si="238"/>
        <v>2.4391322855081719E-3</v>
      </c>
      <c r="HA76" s="460">
        <f t="shared" ca="1" si="239"/>
        <v>2.5018358532374677E-3</v>
      </c>
      <c r="HB76" s="460">
        <f t="shared" ca="1" si="240"/>
        <v>2.4111055287583437E-3</v>
      </c>
      <c r="HC76" s="460">
        <f t="shared" ca="1" si="241"/>
        <v>2.6688921961646041E-3</v>
      </c>
      <c r="HD76" s="460">
        <f t="shared" ca="1" si="242"/>
        <v>2.6906952088177546E-3</v>
      </c>
      <c r="HE76" s="460">
        <f t="shared" ca="1" si="243"/>
        <v>2.9172031419024383E-3</v>
      </c>
      <c r="HF76" s="460">
        <f t="shared" ca="1" si="244"/>
        <v>2.9869469379182659E-3</v>
      </c>
      <c r="HG76" s="460">
        <f t="shared" ca="1" si="245"/>
        <v>3.2981093759030708E-3</v>
      </c>
      <c r="HH76" s="460">
        <f t="shared" ca="1" si="246"/>
        <v>3.5656690828737873E-3</v>
      </c>
      <c r="HI76" s="460">
        <f t="shared" ca="1" si="247"/>
        <v>3.782623614176616E-3</v>
      </c>
      <c r="HJ76" s="460">
        <f t="shared" ca="1" si="248"/>
        <v>4.3558248936737907E-3</v>
      </c>
      <c r="HK76" s="460">
        <f t="shared" ca="1" si="249"/>
        <v>4.7904314923114862E-3</v>
      </c>
      <c r="HL76" s="460">
        <f t="shared" ca="1" si="250"/>
        <v>5.7587281748080416E-3</v>
      </c>
      <c r="HM76" s="460">
        <f t="shared" ca="1" si="251"/>
        <v>6.8903170483982402E-3</v>
      </c>
      <c r="HN76" s="460">
        <f t="shared" ca="1" si="252"/>
        <v>7.7031343636430613E-3</v>
      </c>
      <c r="HO76" s="460">
        <f t="shared" ca="1" si="253"/>
        <v>1.0999589650880454E-2</v>
      </c>
      <c r="HP76" s="460" t="str">
        <f t="shared" si="254"/>
        <v/>
      </c>
      <c r="HQ76" s="460" t="str">
        <f t="shared" si="255"/>
        <v/>
      </c>
      <c r="HR76" s="460" t="str">
        <f t="shared" si="256"/>
        <v/>
      </c>
      <c r="HS76" s="460" t="str">
        <f t="shared" si="257"/>
        <v/>
      </c>
      <c r="HT76" s="460" t="str">
        <f t="shared" si="258"/>
        <v/>
      </c>
      <c r="HU76" s="460" t="str">
        <f t="shared" si="259"/>
        <v/>
      </c>
      <c r="HV76" s="460" t="str">
        <f t="shared" si="260"/>
        <v/>
      </c>
      <c r="HW76" s="460" t="str">
        <f t="shared" si="261"/>
        <v/>
      </c>
      <c r="HX76" s="460" t="str">
        <f t="shared" si="262"/>
        <v/>
      </c>
      <c r="HY76" s="460" t="str">
        <f t="shared" si="263"/>
        <v/>
      </c>
      <c r="HZ76" s="460" t="str">
        <f t="shared" si="264"/>
        <v/>
      </c>
      <c r="IA76" s="460" t="str">
        <f t="shared" si="265"/>
        <v/>
      </c>
      <c r="IB76" s="460" t="str">
        <f t="shared" si="266"/>
        <v/>
      </c>
      <c r="IC76" s="460" t="str">
        <f t="shared" si="267"/>
        <v/>
      </c>
      <c r="ID76" s="674" t="str">
        <f t="shared" si="268"/>
        <v/>
      </c>
      <c r="IE76" s="250"/>
    </row>
    <row r="77" spans="1:239">
      <c r="H77" s="51">
        <f t="shared" ca="1" si="35"/>
        <v>0</v>
      </c>
      <c r="I77" s="379">
        <f t="shared" si="36"/>
        <v>38504</v>
      </c>
      <c r="J77" s="377"/>
      <c r="K77" s="104" t="s">
        <v>269</v>
      </c>
      <c r="L77" s="392">
        <f t="shared" si="37"/>
        <v>0</v>
      </c>
      <c r="M77" s="171"/>
      <c r="N77" s="382">
        <v>0</v>
      </c>
      <c r="O77" s="171">
        <f t="shared" si="38"/>
        <v>0</v>
      </c>
      <c r="P77" s="377"/>
      <c r="Q77" s="104" t="s">
        <v>268</v>
      </c>
      <c r="R77" s="377">
        <f t="shared" ca="1" si="148"/>
        <v>-1.3815280205460951</v>
      </c>
      <c r="S77" s="832">
        <f t="shared" si="164"/>
        <v>0.3600000040317235</v>
      </c>
      <c r="T77" s="831">
        <f t="shared" si="149"/>
        <v>0.99998512093654957</v>
      </c>
      <c r="U77" s="545">
        <f t="shared" si="150"/>
        <v>0.99999999886607782</v>
      </c>
      <c r="V77" s="389">
        <v>0</v>
      </c>
      <c r="W77" s="434">
        <f t="shared" si="166"/>
        <v>0</v>
      </c>
      <c r="X77" s="415">
        <f t="shared" si="167"/>
        <v>0</v>
      </c>
      <c r="Y77" s="322">
        <f t="shared" si="168"/>
        <v>-1.2389999999999999</v>
      </c>
      <c r="Z77" s="322">
        <f t="shared" ca="1" si="169"/>
        <v>-1.2389999999999999</v>
      </c>
      <c r="AA77" s="429">
        <f t="shared" si="1"/>
        <v>1.2389999999999999</v>
      </c>
      <c r="AB77" s="433">
        <f t="shared" ca="1" si="2"/>
        <v>1.2389999999999999</v>
      </c>
      <c r="AC77" s="229">
        <v>38492</v>
      </c>
      <c r="AD77" s="229">
        <v>38488</v>
      </c>
      <c r="AE77" s="229">
        <v>38487</v>
      </c>
      <c r="AF77" s="229">
        <v>38483</v>
      </c>
      <c r="AG77" s="249" t="s">
        <v>90</v>
      </c>
      <c r="AH77" s="247" t="s">
        <v>499</v>
      </c>
      <c r="AI77" s="146">
        <v>22</v>
      </c>
      <c r="AJ77" s="41">
        <v>14</v>
      </c>
      <c r="AK77" s="41">
        <v>8</v>
      </c>
      <c r="AL77" s="293">
        <v>22</v>
      </c>
      <c r="AM77" s="41">
        <v>10</v>
      </c>
      <c r="AN77" s="147">
        <v>12</v>
      </c>
      <c r="AO77" s="374"/>
      <c r="AP77" s="153">
        <f t="shared" ca="1" si="43"/>
        <v>1</v>
      </c>
      <c r="AQ77" s="374"/>
      <c r="AR77" s="153">
        <f t="shared" ca="1" si="151"/>
        <v>1</v>
      </c>
      <c r="AS77" s="272">
        <f t="shared" si="170"/>
        <v>0</v>
      </c>
      <c r="AT77" s="157">
        <f t="shared" si="44"/>
        <v>0</v>
      </c>
      <c r="AU77" s="157">
        <f t="shared" si="4"/>
        <v>0</v>
      </c>
      <c r="AV77" s="271">
        <f t="shared" ca="1" si="163"/>
        <v>9.9999999999999995E-7</v>
      </c>
      <c r="AW77" s="158" t="str">
        <f t="shared" ca="1" si="171"/>
        <v/>
      </c>
      <c r="AX77" s="157">
        <f t="shared" ca="1" si="152"/>
        <v>3.7319910322311176E-3</v>
      </c>
      <c r="AY77" s="157">
        <f t="shared" ca="1" si="153"/>
        <v>1.9756734067176438E-3</v>
      </c>
      <c r="AZ77" s="157">
        <f t="shared" ca="1" si="154"/>
        <v>5.4315823065472857E-4</v>
      </c>
      <c r="BA77" s="157">
        <f t="shared" ca="1" si="155"/>
        <v>6.7894778831841072E-5</v>
      </c>
      <c r="BB77" s="157">
        <f t="shared" ca="1" si="156"/>
        <v>2.1115225477978967E-5</v>
      </c>
      <c r="BC77" s="157">
        <f t="shared" ca="1" si="157"/>
        <v>9.2194019852492997E-6</v>
      </c>
      <c r="BD77" s="151">
        <f t="shared" ca="1" si="172"/>
        <v>0</v>
      </c>
      <c r="BE77" s="152">
        <f t="shared" ca="1" si="173"/>
        <v>0</v>
      </c>
      <c r="BF77" s="40">
        <f t="shared" si="174"/>
        <v>2005</v>
      </c>
      <c r="BG77" s="144">
        <f t="shared" si="175"/>
        <v>6</v>
      </c>
      <c r="BH77" s="145">
        <f t="shared" ca="1" si="176"/>
        <v>1743</v>
      </c>
      <c r="BI77" s="313">
        <f t="shared" ca="1" si="177"/>
        <v>4.815879534565366</v>
      </c>
      <c r="BJ77" s="42">
        <f t="shared" ca="1" si="10"/>
        <v>4.8664053263642586</v>
      </c>
      <c r="BK77" s="42">
        <f t="shared" ca="1" si="178"/>
        <v>4.8691431771513907</v>
      </c>
      <c r="BL77" s="42">
        <f t="shared" ca="1" si="179"/>
        <v>4.8952772073921968</v>
      </c>
      <c r="BM77" s="150" t="e">
        <f t="shared" ca="1" si="13"/>
        <v>#DIV/0!</v>
      </c>
      <c r="BN77" s="42" t="e">
        <f t="shared" ca="1" si="14"/>
        <v>#DIV/0!</v>
      </c>
      <c r="BO77" s="293">
        <f t="shared" si="48"/>
        <v>22</v>
      </c>
      <c r="BP77" s="41">
        <f t="shared" si="49"/>
        <v>14</v>
      </c>
      <c r="BQ77" s="41">
        <f t="shared" si="50"/>
        <v>8</v>
      </c>
      <c r="BR77" s="305" t="str">
        <f t="shared" ca="1" si="15"/>
        <v/>
      </c>
      <c r="BS77" s="305" t="str">
        <f t="shared" ca="1" si="180"/>
        <v/>
      </c>
      <c r="BT77" s="307" t="str">
        <f t="shared" ca="1" si="181"/>
        <v/>
      </c>
      <c r="BU77" s="161" t="str">
        <f t="shared" ca="1" si="18"/>
        <v/>
      </c>
      <c r="BV77" s="161" t="str">
        <f t="shared" ca="1" si="19"/>
        <v/>
      </c>
      <c r="BW77" s="308" t="str">
        <f t="shared" ca="1" si="20"/>
        <v/>
      </c>
      <c r="BX77" s="309" t="str">
        <f t="shared" ca="1" si="21"/>
        <v/>
      </c>
      <c r="BY77" s="308" t="str">
        <f t="shared" ca="1" si="51"/>
        <v/>
      </c>
      <c r="BZ77" s="309" t="str">
        <f t="shared" ca="1" si="52"/>
        <v/>
      </c>
      <c r="CA77" s="154" t="str">
        <f t="shared" ca="1" si="22"/>
        <v/>
      </c>
      <c r="CB77" s="154" t="str">
        <f t="shared" ca="1" si="23"/>
        <v/>
      </c>
      <c r="CC77" s="154" t="str">
        <f t="shared" ca="1" si="24"/>
        <v/>
      </c>
      <c r="CD77" s="154" t="str">
        <f t="shared" ca="1" si="25"/>
        <v/>
      </c>
      <c r="CE77" s="310">
        <v>1</v>
      </c>
      <c r="CF77" s="162">
        <f ca="1">IF(BD77,_xll.xCrudeAPO(BU77,BV77,CA77,CB77,S78,S79,BI77,BL77,BP77,BQ77,0,Strike1,AO77,CE77,0,BL77,IF(OptControl=4,0,1),0,1),0)</f>
        <v>0</v>
      </c>
      <c r="CG77" s="163">
        <f ca="1">IF(BD77,_xll.xCrudeAPO(BU77,BV77,CA77,CB77,S78,S79,BI77,BL77,BP77,BQ77,0,Strike1,AO77,CE77,0,BL77,IF(OptControl=4,0,1),1,1)+_xll.xCrudeAPO(BU77,BV77,CA77,CB77,S78,S79,BI77,BL77,BP77,BQ77,0,Strike1,AO77,CE77,0,BL77,IF(OptControl=4,0,1),1,2)+IF(OR(VolSkewFlag=2,ABS(BS77)&lt;0.0001),0,IF(BS77&gt;0,-1,1)*CH77*Strike1/BR77^2*BY77/10%),0)</f>
        <v>0</v>
      </c>
      <c r="CH77" s="163">
        <f ca="1">IF(BD77,(_xll.xCrudeAPO(BU77,BV77,CA77,CB77,S78,S79,BI77,BL77,BP77,BQ77,0,Strike1,AO77,CE77,0,BL77,IF(OptControl=4,0,1),3,1)+_xll.xCrudeAPO(BU77,BV77,CA77,CB77,S78,S79,BI77,BL77,BP77,BQ77,0,Strike1,AO77,CE77,0,BL77,IF(OptControl=4,0,1),3,2))/100,0)</f>
        <v>0</v>
      </c>
      <c r="CI77" s="163">
        <f ca="1">IF(BD77,_xll.xCrudeAPO(BU77,BV77,CA77,CB77,S78,S79,BI77-DaysForThetaCalculation/365.25,BL77-DaysForThetaCalculation/365.25,BP77,BQ77,0,Strike1,AO77,CE77,0,BL77,IF(OptControl=4,0,1),0,1)-_xll.xCrudeAPO(BU77,BV77,CA77,CB77,S78,S79,BI77,BL77,BP77,BQ77,0,Strike1,AO77,CE77,0,BL77,IF(OptControl=4,0,1),0,1),0)</f>
        <v>0</v>
      </c>
      <c r="CJ77" s="311">
        <f ca="1">IF(BD77,_xll.xCrudeAPO(BU77,BV77,CC77,CD77,S78,S79,BI77,BL77,BP77,BQ77,0,Strike2,AO77,CE77,0,BL77,IF(OptControl=3,1,0),0,1),0)</f>
        <v>0</v>
      </c>
      <c r="CK77" s="163">
        <f ca="1">IF(BD77,_xll.xCrudeAPO(BU77,BV77,CC77,CD77,S78,S79,BI77,BL77,BP77,BQ77,0,Strike2,AO77,CE77,0,BL77,IF(OptControl=3,1,0),1,1)+_xll.xCrudeAPO(BU77,BV77,CC77,CD77,S78,S79,BI77,BL77,BP77,BQ77,0,Strike2,AO77,CE77,0,BL77,IF(OptControl=3,1,0),1,2)+IF(OR(VolSkewFlag=2,ABS(BT77)&lt;0.0001),0,IF(BT77&gt;0,-1,1)*CL77*Strike2/BR77^2*BZ77/10%),0)</f>
        <v>0</v>
      </c>
      <c r="CL77" s="163">
        <f ca="1">IF(BD77,(_xll.xCrudeAPO(BU77,BV77,CC77,CD77,S78,S79,BI77,BL77,BP77,BQ77,0,Strike2,AO77,CE77,0,BL77,IF(OptControl=3,1,0),3,1)+_xll.xCrudeAPO(BU77,BV77,CC77,CD77,S78,S79,BI77,BL77,BP77,BQ77,0,Strike2,AO77,CE77,0,BL77,IF(OptControl=3,1,0),3,2))/100,0)</f>
        <v>0</v>
      </c>
      <c r="CM77" s="164">
        <f ca="1">IF(BD77,_xll.xCrudeAPO(BU77,BV77,CC77,CD77,S78,S79,BI77-DaysForThetaCalculation/365.25,BL77-DaysForThetaCalculation/365.25,BP77,BQ77,0,Strike2,AO77,CE77,0,BL77,IF(OptControl=3,1,0),0,1)-_xll.xCrudeAPO(BU77,BV77,CC77,CD77,S78,S79,BI77,BL77,BP77,BQ77,0,Strike2,AO77,CE77,0,BL77,IF(OptControl=3,1,0),0,1),0)</f>
        <v>0</v>
      </c>
      <c r="CN77" s="53"/>
      <c r="CO77" s="796" t="str">
        <f t="shared" ca="1" si="53"/>
        <v/>
      </c>
      <c r="CP77" s="800" t="str">
        <f t="shared" ca="1" si="54"/>
        <v/>
      </c>
      <c r="CQ77" s="797" t="str">
        <f t="shared" ca="1" si="55"/>
        <v/>
      </c>
      <c r="CR77" s="797" t="str">
        <f t="shared" ca="1" si="56"/>
        <v/>
      </c>
      <c r="CS77" s="797" t="str">
        <f t="shared" ca="1" si="57"/>
        <v/>
      </c>
      <c r="CT77" s="797" t="str">
        <f t="shared" ca="1" si="58"/>
        <v/>
      </c>
      <c r="CU77" s="798" t="str">
        <f t="shared" ca="1" si="59"/>
        <v/>
      </c>
      <c r="CV77" s="799" t="str">
        <f t="shared" ca="1" si="60"/>
        <v/>
      </c>
      <c r="CW77" s="799" t="str">
        <f t="shared" ca="1" si="61"/>
        <v/>
      </c>
      <c r="CX77" s="163">
        <f ca="1">IF(BD77,_xll.EURO(CP77,Strike1,AO77,AO77,CV77,CO77,IF(OptControl=4,0,1),0),0)</f>
        <v>0</v>
      </c>
      <c r="CY77" s="163">
        <f ca="1">IF(BD77,_xll.EURO(CP77,Strike1,AO77,AO77,CV77,CO77,IF(OptControl=4,0,1),1)+IF(OR(VolSkewFlag=2,ABS(CQ77)&lt;0.0001),0,IF(CQ77&gt;0,-1,1)*CZ77*100*Strike1/CP77^2*CS77/10%),0)</f>
        <v>0</v>
      </c>
      <c r="CZ77" s="163">
        <f ca="1">IF(BD77,_xll.EURO(CP77,Strike1,AO77,AO77,CV77,CO77,IF(OptControl=4,0,1),3)/100,0)</f>
        <v>0</v>
      </c>
      <c r="DA77" s="163">
        <f ca="1">IF(BD77,_xll.EURO(CP77,Strike1,AO77,AO77,CV77,CO77,IF(OptControl=4,0,1),0)-_xll.EURO(CP77,Strike1,AO77,AO77,CV77,CO77-1,IF(OptControl=4,0,1),0),0)</f>
        <v>0</v>
      </c>
      <c r="DB77" s="163">
        <f ca="1">IF(BD77,_xll.EURO(CP77,Strike2,AO77,AO77,CW77,CO77,IF(OptControl=3,1,0),0),0)</f>
        <v>0</v>
      </c>
      <c r="DC77" s="163">
        <f ca="1">IF(BD77,_xll.EURO(CP77,Strike2,AO77,AO77,CW77,CO77,IF(OptControl=3,1,0),1)+IF(OR(VolSkewFlag=2,ABS(CR77)&lt;0.0001),0,IF(CR77&gt;0,-1,1)*DD77*100*Strike2/CP77^2*CT77/10%),0)</f>
        <v>0</v>
      </c>
      <c r="DD77" s="163">
        <f ca="1">IF(BD77,_xll.EURO(CP77,Strike2,AO77,AO77,CW77,CO77,IF(OptControl=3,1,0),3)/100,0)</f>
        <v>0</v>
      </c>
      <c r="DE77" s="164">
        <f ca="1">IF(BD77,_xll.EURO(CP77,Strike2,AO77,AO77,CW77,CO77,IF(OptControl=3,1,0),0)-_xll.EURO(CP77,Strike2,AO77,AO77,CW77,CO77-1,IF(OptControl=3,1,0),0),0)</f>
        <v>0</v>
      </c>
      <c r="DG77" s="667">
        <f t="shared" ca="1" si="62"/>
        <v>38292</v>
      </c>
      <c r="DH77" s="475">
        <v>18.364999999999998</v>
      </c>
      <c r="DI77" s="665">
        <v>18.358939393939394</v>
      </c>
      <c r="DJ77" s="666">
        <f t="shared" ca="1" si="182"/>
        <v>38292</v>
      </c>
      <c r="DK77" s="475">
        <v>17.196471641329932</v>
      </c>
      <c r="DL77" s="665">
        <v>17.214339393939394</v>
      </c>
      <c r="DM77" s="667">
        <f t="shared" ca="1" si="183"/>
        <v>38292</v>
      </c>
      <c r="DN77" s="668">
        <f t="shared" si="184"/>
        <v>17.246471641329933</v>
      </c>
      <c r="DO77" s="667">
        <f t="shared" ca="1" si="63"/>
        <v>38292</v>
      </c>
      <c r="DP77" s="579">
        <f t="shared" si="64"/>
        <v>17.214339393939394</v>
      </c>
      <c r="DQ77" s="821">
        <v>0</v>
      </c>
      <c r="DR77" s="666">
        <f t="shared" ca="1" si="185"/>
        <v>38292</v>
      </c>
      <c r="DS77" s="669">
        <v>0.19728642003071603</v>
      </c>
      <c r="DT77" s="606">
        <v>0.19602287793738846</v>
      </c>
      <c r="DU77" s="666">
        <f t="shared" ca="1" si="186"/>
        <v>38292</v>
      </c>
      <c r="DV77" s="669">
        <v>0.19728642003071603</v>
      </c>
      <c r="DW77" s="606">
        <v>0.19602287793738846</v>
      </c>
      <c r="DX77" s="667">
        <f t="shared" ca="1" si="187"/>
        <v>38292</v>
      </c>
      <c r="DY77" s="606">
        <v>0.35</v>
      </c>
      <c r="DZ77" s="667">
        <f t="shared" ca="1" si="65"/>
        <v>38292</v>
      </c>
      <c r="EA77" s="606">
        <f t="shared" si="66"/>
        <v>0.19602287793738846</v>
      </c>
      <c r="EB77" s="1"/>
      <c r="EC77" s="118" t="str">
        <f t="shared" ca="1" si="188"/>
        <v/>
      </c>
      <c r="ED77" s="119" t="str">
        <f t="shared" ca="1" si="33"/>
        <v/>
      </c>
      <c r="EE77" s="112" t="str">
        <f t="shared" ca="1" si="34"/>
        <v/>
      </c>
      <c r="EF77" s="120">
        <f ca="1">IF(BD77,_xll.xASN(BR77,Strike1,AO77,ED77,0,BO77,0,BI77,BL77,IF(OptControl=4,0,1),0),0)</f>
        <v>0</v>
      </c>
      <c r="EG77" s="111">
        <f ca="1">IF(BD77,_xll.xASN(BR77,Strike2,AO77,EE77,0,BO77,0,BI77,BL77,IF(OptControl=3,1,0),0),0)</f>
        <v>0</v>
      </c>
      <c r="EL77" s="55"/>
      <c r="EM77" s="1"/>
      <c r="EN77" s="697">
        <v>42729</v>
      </c>
      <c r="EO77" s="698">
        <v>47112</v>
      </c>
      <c r="EP77" s="1"/>
      <c r="EQ77" s="683" t="s">
        <v>290</v>
      </c>
      <c r="ES77" s="498">
        <v>58</v>
      </c>
      <c r="ET77" s="476">
        <f t="shared" ca="1" si="165"/>
        <v>4.7720739219712529</v>
      </c>
      <c r="EU77" s="842">
        <f t="shared" ca="1" si="189"/>
        <v>0</v>
      </c>
      <c r="EV77" s="815">
        <f t="shared" ca="1" si="269"/>
        <v>0.18177403047129853</v>
      </c>
      <c r="EW77" s="478" t="str">
        <f t="shared" ca="1" si="270"/>
        <v/>
      </c>
      <c r="EX77" s="477" t="str">
        <f t="shared" ca="1" si="271"/>
        <v/>
      </c>
      <c r="EY77" s="250">
        <v>0</v>
      </c>
      <c r="EZ77" s="605" t="str">
        <f ca="1">IF(OR(EW77="",EW78=""),"",SQRT(SUM(INDEX(FK77:ID77,SwaptionFirstMonthPosition+1):INDEX(FK77:ID77,FJ77))/SUM(INDEX($FK$15:$ID$15,SwaptionFirstMonthPosition+1):INDEX($FK$15:$ID$15,FJ77))))</f>
        <v/>
      </c>
      <c r="FA77" s="581" t="str">
        <f ca="1">IF(OR(EW77="",EW76=""),"",SQRT(SUM(INDEX(FK77:ID77,SwaptionFirstMonthPosition+1):INDEX(FK77:ID77,FJ77-1))/SUM(INDEX($FK$15:$ID$15,SwaptionFirstMonthPosition+1):INDEX($FK$15:$ID$15,FJ77-1))))</f>
        <v/>
      </c>
      <c r="FB77" s="578" t="str">
        <f t="shared" ca="1" si="190"/>
        <v/>
      </c>
      <c r="FC77" s="609" t="str">
        <f t="shared" ca="1" si="191"/>
        <v/>
      </c>
      <c r="FD77" s="579" t="str">
        <f t="shared" ca="1" si="192"/>
        <v/>
      </c>
      <c r="FE77" s="579" t="str">
        <f t="shared" ca="1" si="193"/>
        <v/>
      </c>
      <c r="FF77" s="579" t="str">
        <f t="shared" ca="1" si="194"/>
        <v/>
      </c>
      <c r="FG77" s="580" t="str">
        <f t="shared" ca="1" si="195"/>
        <v/>
      </c>
      <c r="FH77" s="606" t="str">
        <f t="shared" ca="1" si="196"/>
        <v/>
      </c>
      <c r="FI77" s="250"/>
      <c r="FJ77" s="673">
        <v>58</v>
      </c>
      <c r="FK77" s="460">
        <f t="shared" ca="1" si="197"/>
        <v>0</v>
      </c>
      <c r="FL77" s="460">
        <f t="shared" ca="1" si="198"/>
        <v>2.1916881436285416E-3</v>
      </c>
      <c r="FM77" s="460">
        <f t="shared" ca="1" si="199"/>
        <v>2.5474779759419616E-3</v>
      </c>
      <c r="FN77" s="460">
        <f t="shared" ca="1" si="200"/>
        <v>2.1442372319893472E-3</v>
      </c>
      <c r="FO77" s="460">
        <f t="shared" ca="1" si="201"/>
        <v>2.2304475728337136E-3</v>
      </c>
      <c r="FP77" s="460">
        <f t="shared" ca="1" si="202"/>
        <v>2.4717248648907166E-3</v>
      </c>
      <c r="FQ77" s="460">
        <f t="shared" ca="1" si="203"/>
        <v>2.0012715623241341E-3</v>
      </c>
      <c r="FR77" s="460">
        <f t="shared" ca="1" si="204"/>
        <v>2.0463891242649117E-3</v>
      </c>
      <c r="FS77" s="460">
        <f t="shared" ca="1" si="205"/>
        <v>2.3063662600944514E-3</v>
      </c>
      <c r="FT77" s="460">
        <f t="shared" ca="1" si="206"/>
        <v>2.0816568948183287E-3</v>
      </c>
      <c r="FU77" s="460">
        <f t="shared" ca="1" si="207"/>
        <v>2.0015000724437721E-3</v>
      </c>
      <c r="FV77" s="460">
        <f t="shared" ca="1" si="208"/>
        <v>2.1997915109977675E-3</v>
      </c>
      <c r="FW77" s="460">
        <f t="shared" ca="1" si="209"/>
        <v>2.0562986052283139E-3</v>
      </c>
      <c r="FX77" s="460">
        <f t="shared" ca="1" si="210"/>
        <v>2.1887648009321936E-3</v>
      </c>
      <c r="FY77" s="460">
        <f t="shared" ca="1" si="211"/>
        <v>2.0489166900885666E-3</v>
      </c>
      <c r="FZ77" s="460">
        <f t="shared" ca="1" si="212"/>
        <v>1.9104017051137193E-3</v>
      </c>
      <c r="GA77" s="460">
        <f t="shared" ca="1" si="213"/>
        <v>2.0455836701828308E-3</v>
      </c>
      <c r="GB77" s="460">
        <f t="shared" ca="1" si="214"/>
        <v>2.2494342053058199E-3</v>
      </c>
      <c r="GC77" s="460">
        <f t="shared" ca="1" si="215"/>
        <v>1.9766627718811164E-3</v>
      </c>
      <c r="GD77" s="460">
        <f t="shared" ca="1" si="216"/>
        <v>1.9769921527392239E-3</v>
      </c>
      <c r="GE77" s="460">
        <f t="shared" ca="1" si="217"/>
        <v>2.2505131522243442E-3</v>
      </c>
      <c r="GF77" s="460">
        <f t="shared" ca="1" si="218"/>
        <v>1.9788395334450729E-3</v>
      </c>
      <c r="GG77" s="460">
        <f t="shared" ca="1" si="219"/>
        <v>2.1852034366555504E-3</v>
      </c>
      <c r="GH77" s="460">
        <f t="shared" ca="1" si="220"/>
        <v>2.0505975968392203E-3</v>
      </c>
      <c r="GI77" s="460">
        <f t="shared" ca="1" si="221"/>
        <v>1.9845834743557767E-3</v>
      </c>
      <c r="GJ77" s="460">
        <f t="shared" ca="1" si="222"/>
        <v>2.2615306713768689E-3</v>
      </c>
      <c r="GK77" s="460">
        <f t="shared" ca="1" si="223"/>
        <v>2.0594216329969041E-3</v>
      </c>
      <c r="GL77" s="460">
        <f t="shared" ca="1" si="224"/>
        <v>1.9947685157829607E-3</v>
      </c>
      <c r="GM77" s="460">
        <f t="shared" ca="1" si="225"/>
        <v>2.1373818521839339E-3</v>
      </c>
      <c r="GN77" s="460">
        <f t="shared" ca="1" si="226"/>
        <v>2.1433247582568807E-3</v>
      </c>
      <c r="GO77" s="460">
        <f t="shared" ca="1" si="227"/>
        <v>2.1503193850986421E-3</v>
      </c>
      <c r="GP77" s="460">
        <f t="shared" ca="1" si="228"/>
        <v>1.9496557852458349E-3</v>
      </c>
      <c r="GQ77" s="460">
        <f t="shared" ca="1" si="229"/>
        <v>2.1682261281170461E-3</v>
      </c>
      <c r="GR77" s="460">
        <f t="shared" ca="1" si="230"/>
        <v>2.1093045404686869E-3</v>
      </c>
      <c r="GS77" s="460">
        <f t="shared" ca="1" si="231"/>
        <v>2.193023413976489E-3</v>
      </c>
      <c r="GT77" s="460">
        <f t="shared" ca="1" si="232"/>
        <v>2.1375718789505061E-3</v>
      </c>
      <c r="GU77" s="460">
        <f t="shared" ca="1" si="233"/>
        <v>2.2274646646540689E-3</v>
      </c>
      <c r="GV77" s="460">
        <f t="shared" ca="1" si="234"/>
        <v>2.2494847604954005E-3</v>
      </c>
      <c r="GW77" s="460">
        <f t="shared" ca="1" si="235"/>
        <v>2.2021352873700197E-3</v>
      </c>
      <c r="GX77" s="460">
        <f t="shared" ca="1" si="236"/>
        <v>2.3064288815021158E-3</v>
      </c>
      <c r="GY77" s="460">
        <f t="shared" ca="1" si="237"/>
        <v>2.2675477537378126E-3</v>
      </c>
      <c r="GZ77" s="460">
        <f t="shared" ca="1" si="238"/>
        <v>2.3868632666416679E-3</v>
      </c>
      <c r="HA77" s="460">
        <f t="shared" ca="1" si="239"/>
        <v>2.4391309227686743E-3</v>
      </c>
      <c r="HB77" s="460">
        <f t="shared" ca="1" si="240"/>
        <v>2.3404261078173831E-3</v>
      </c>
      <c r="HC77" s="460">
        <f t="shared" ca="1" si="241"/>
        <v>2.5773878586817624E-3</v>
      </c>
      <c r="HD77" s="460">
        <f t="shared" ca="1" si="242"/>
        <v>2.582798290745634E-3</v>
      </c>
      <c r="HE77" s="460">
        <f t="shared" ca="1" si="243"/>
        <v>2.7803845576067584E-3</v>
      </c>
      <c r="HF77" s="460">
        <f t="shared" ca="1" si="244"/>
        <v>2.8230994404523772E-3</v>
      </c>
      <c r="HG77" s="460">
        <f t="shared" ca="1" si="245"/>
        <v>3.0865115289371637E-3</v>
      </c>
      <c r="HH77" s="460">
        <f t="shared" ca="1" si="246"/>
        <v>3.2981091299389303E-3</v>
      </c>
      <c r="HI77" s="460">
        <f t="shared" ca="1" si="247"/>
        <v>3.4506473065501896E-3</v>
      </c>
      <c r="HJ77" s="460">
        <f t="shared" ca="1" si="248"/>
        <v>3.9087109040130564E-3</v>
      </c>
      <c r="HK77" s="460">
        <f t="shared" ca="1" si="249"/>
        <v>4.215314280609163E-3</v>
      </c>
      <c r="HL77" s="460">
        <f t="shared" ca="1" si="250"/>
        <v>4.9501124252487099E-3</v>
      </c>
      <c r="HM77" s="460">
        <f t="shared" ca="1" si="251"/>
        <v>5.7587280728926566E-3</v>
      </c>
      <c r="HN77" s="460">
        <f t="shared" ca="1" si="252"/>
        <v>6.2235120901411112E-3</v>
      </c>
      <c r="HO77" s="460">
        <f t="shared" ca="1" si="253"/>
        <v>8.5284701034192591E-3</v>
      </c>
      <c r="HP77" s="460">
        <f t="shared" ca="1" si="254"/>
        <v>1.064476409879607E-2</v>
      </c>
      <c r="HQ77" s="460" t="str">
        <f t="shared" si="255"/>
        <v/>
      </c>
      <c r="HR77" s="460" t="str">
        <f t="shared" si="256"/>
        <v/>
      </c>
      <c r="HS77" s="460" t="str">
        <f t="shared" si="257"/>
        <v/>
      </c>
      <c r="HT77" s="460" t="str">
        <f t="shared" si="258"/>
        <v/>
      </c>
      <c r="HU77" s="460" t="str">
        <f t="shared" si="259"/>
        <v/>
      </c>
      <c r="HV77" s="460" t="str">
        <f t="shared" si="260"/>
        <v/>
      </c>
      <c r="HW77" s="460" t="str">
        <f t="shared" si="261"/>
        <v/>
      </c>
      <c r="HX77" s="460" t="str">
        <f t="shared" si="262"/>
        <v/>
      </c>
      <c r="HY77" s="460" t="str">
        <f t="shared" si="263"/>
        <v/>
      </c>
      <c r="HZ77" s="460" t="str">
        <f t="shared" si="264"/>
        <v/>
      </c>
      <c r="IA77" s="460" t="str">
        <f t="shared" si="265"/>
        <v/>
      </c>
      <c r="IB77" s="460" t="str">
        <f t="shared" si="266"/>
        <v/>
      </c>
      <c r="IC77" s="460" t="str">
        <f t="shared" si="267"/>
        <v/>
      </c>
      <c r="ID77" s="674" t="str">
        <f t="shared" si="268"/>
        <v/>
      </c>
      <c r="IE77" s="250"/>
    </row>
    <row r="78" spans="1:239">
      <c r="H78" s="51">
        <f t="shared" ca="1" si="35"/>
        <v>0</v>
      </c>
      <c r="I78" s="379">
        <f t="shared" si="36"/>
        <v>38534</v>
      </c>
      <c r="J78" s="377"/>
      <c r="K78" s="104" t="s">
        <v>269</v>
      </c>
      <c r="L78" s="392">
        <f t="shared" si="37"/>
        <v>0</v>
      </c>
      <c r="M78" s="171"/>
      <c r="N78" s="382">
        <v>0</v>
      </c>
      <c r="O78" s="171">
        <f t="shared" si="38"/>
        <v>0</v>
      </c>
      <c r="P78" s="377"/>
      <c r="Q78" s="104" t="s">
        <v>268</v>
      </c>
      <c r="R78" s="377">
        <f t="shared" ca="1" si="148"/>
        <v>-1.1202266495449205</v>
      </c>
      <c r="S78" s="832">
        <f t="shared" si="164"/>
        <v>0.36000000302379265</v>
      </c>
      <c r="T78" s="831">
        <f t="shared" si="149"/>
        <v>0.99998727847400137</v>
      </c>
      <c r="U78" s="545">
        <f t="shared" si="150"/>
        <v>0.99999999914955839</v>
      </c>
      <c r="V78" s="389">
        <v>0</v>
      </c>
      <c r="W78" s="434">
        <f t="shared" si="166"/>
        <v>0</v>
      </c>
      <c r="X78" s="415">
        <f t="shared" si="167"/>
        <v>0</v>
      </c>
      <c r="Y78" s="322">
        <f t="shared" si="168"/>
        <v>-1.2154</v>
      </c>
      <c r="Z78" s="322">
        <f t="shared" ca="1" si="169"/>
        <v>-1.2154</v>
      </c>
      <c r="AA78" s="429">
        <f t="shared" si="1"/>
        <v>1.2154</v>
      </c>
      <c r="AB78" s="433">
        <f t="shared" ca="1" si="2"/>
        <v>1.2154</v>
      </c>
      <c r="AC78" s="229">
        <v>38523</v>
      </c>
      <c r="AD78" s="229">
        <v>38519</v>
      </c>
      <c r="AE78" s="229">
        <v>38518</v>
      </c>
      <c r="AF78" s="229">
        <v>38514</v>
      </c>
      <c r="AG78" s="249" t="s">
        <v>90</v>
      </c>
      <c r="AH78" s="247" t="s">
        <v>499</v>
      </c>
      <c r="AI78" s="146">
        <v>20</v>
      </c>
      <c r="AJ78" s="41">
        <v>13</v>
      </c>
      <c r="AK78" s="41">
        <v>7</v>
      </c>
      <c r="AL78" s="293">
        <v>21</v>
      </c>
      <c r="AM78" s="41">
        <v>10</v>
      </c>
      <c r="AN78" s="147">
        <v>11</v>
      </c>
      <c r="AO78" s="374"/>
      <c r="AP78" s="153">
        <f t="shared" ca="1" si="43"/>
        <v>1</v>
      </c>
      <c r="AQ78" s="374"/>
      <c r="AR78" s="153">
        <f t="shared" ca="1" si="151"/>
        <v>1</v>
      </c>
      <c r="AS78" s="272">
        <f t="shared" si="170"/>
        <v>0</v>
      </c>
      <c r="AT78" s="157">
        <f t="shared" si="44"/>
        <v>0</v>
      </c>
      <c r="AU78" s="157">
        <f t="shared" si="4"/>
        <v>0</v>
      </c>
      <c r="AV78" s="271">
        <f t="shared" ca="1" si="163"/>
        <v>9.9999999999999995E-7</v>
      </c>
      <c r="AW78" s="158" t="str">
        <f t="shared" ca="1" si="171"/>
        <v/>
      </c>
      <c r="AX78" s="157">
        <f t="shared" ca="1" si="152"/>
        <v>3.6079982639523195E-3</v>
      </c>
      <c r="AY78" s="157">
        <f t="shared" ca="1" si="153"/>
        <v>1.8973350968225127E-3</v>
      </c>
      <c r="AZ78" s="157">
        <f t="shared" ca="1" si="154"/>
        <v>5.1267310163663666E-4</v>
      </c>
      <c r="BA78" s="157">
        <f t="shared" ca="1" si="155"/>
        <v>6.4084137704579583E-5</v>
      </c>
      <c r="BB78" s="157">
        <f t="shared" ca="1" si="156"/>
        <v>1.926795479875049E-5</v>
      </c>
      <c r="BC78" s="157">
        <f t="shared" ca="1" si="157"/>
        <v>8.2135534106790949E-6</v>
      </c>
      <c r="BD78" s="151">
        <f t="shared" ca="1" si="172"/>
        <v>0</v>
      </c>
      <c r="BE78" s="152">
        <f t="shared" ca="1" si="173"/>
        <v>0</v>
      </c>
      <c r="BF78" s="40">
        <f t="shared" si="174"/>
        <v>2005</v>
      </c>
      <c r="BG78" s="144">
        <f t="shared" si="175"/>
        <v>7</v>
      </c>
      <c r="BH78" s="145">
        <f t="shared" ca="1" si="176"/>
        <v>1774</v>
      </c>
      <c r="BI78" s="313">
        <f t="shared" ca="1" si="177"/>
        <v>4.8980150581793289</v>
      </c>
      <c r="BJ78" s="42">
        <f t="shared" ca="1" si="10"/>
        <v>4.9514031485284047</v>
      </c>
      <c r="BK78" s="42">
        <f t="shared" ca="1" si="178"/>
        <v>4.9541409993155368</v>
      </c>
      <c r="BL78" s="42">
        <f t="shared" ca="1" si="179"/>
        <v>4.9801505817932918</v>
      </c>
      <c r="BM78" s="150" t="e">
        <f t="shared" ca="1" si="13"/>
        <v>#DIV/0!</v>
      </c>
      <c r="BN78" s="42" t="e">
        <f t="shared" ca="1" si="14"/>
        <v>#DIV/0!</v>
      </c>
      <c r="BO78" s="293">
        <f t="shared" si="48"/>
        <v>20</v>
      </c>
      <c r="BP78" s="41">
        <f t="shared" si="49"/>
        <v>13</v>
      </c>
      <c r="BQ78" s="41">
        <f t="shared" si="50"/>
        <v>7</v>
      </c>
      <c r="BR78" s="305" t="str">
        <f t="shared" ca="1" si="15"/>
        <v/>
      </c>
      <c r="BS78" s="305" t="str">
        <f t="shared" ca="1" si="180"/>
        <v/>
      </c>
      <c r="BT78" s="307" t="str">
        <f t="shared" ca="1" si="181"/>
        <v/>
      </c>
      <c r="BU78" s="161" t="str">
        <f t="shared" ca="1" si="18"/>
        <v/>
      </c>
      <c r="BV78" s="161" t="str">
        <f t="shared" ca="1" si="19"/>
        <v/>
      </c>
      <c r="BW78" s="308" t="str">
        <f t="shared" ca="1" si="20"/>
        <v/>
      </c>
      <c r="BX78" s="309" t="str">
        <f t="shared" ca="1" si="21"/>
        <v/>
      </c>
      <c r="BY78" s="308" t="str">
        <f t="shared" ca="1" si="51"/>
        <v/>
      </c>
      <c r="BZ78" s="309" t="str">
        <f t="shared" ca="1" si="52"/>
        <v/>
      </c>
      <c r="CA78" s="154" t="str">
        <f t="shared" ca="1" si="22"/>
        <v/>
      </c>
      <c r="CB78" s="154" t="str">
        <f t="shared" ca="1" si="23"/>
        <v/>
      </c>
      <c r="CC78" s="154" t="str">
        <f t="shared" ca="1" si="24"/>
        <v/>
      </c>
      <c r="CD78" s="154" t="str">
        <f t="shared" ca="1" si="25"/>
        <v/>
      </c>
      <c r="CE78" s="310">
        <v>1</v>
      </c>
      <c r="CF78" s="162">
        <f ca="1">IF(BD78,_xll.xCrudeAPO(BU78,BV78,CA78,CB78,S79,S80,BI78,BL78,BP78,BQ78,0,Strike1,AO78,CE78,0,BL78,IF(OptControl=4,0,1),0,1),0)</f>
        <v>0</v>
      </c>
      <c r="CG78" s="163">
        <f ca="1">IF(BD78,_xll.xCrudeAPO(BU78,BV78,CA78,CB78,S79,S80,BI78,BL78,BP78,BQ78,0,Strike1,AO78,CE78,0,BL78,IF(OptControl=4,0,1),1,1)+_xll.xCrudeAPO(BU78,BV78,CA78,CB78,S79,S80,BI78,BL78,BP78,BQ78,0,Strike1,AO78,CE78,0,BL78,IF(OptControl=4,0,1),1,2)+IF(OR(VolSkewFlag=2,ABS(BS78)&lt;0.0001),0,IF(BS78&gt;0,-1,1)*CH78*Strike1/BR78^2*BY78/10%),0)</f>
        <v>0</v>
      </c>
      <c r="CH78" s="163">
        <f ca="1">IF(BD78,(_xll.xCrudeAPO(BU78,BV78,CA78,CB78,S79,S80,BI78,BL78,BP78,BQ78,0,Strike1,AO78,CE78,0,BL78,IF(OptControl=4,0,1),3,1)+_xll.xCrudeAPO(BU78,BV78,CA78,CB78,S79,S80,BI78,BL78,BP78,BQ78,0,Strike1,AO78,CE78,0,BL78,IF(OptControl=4,0,1),3,2))/100,0)</f>
        <v>0</v>
      </c>
      <c r="CI78" s="163">
        <f ca="1">IF(BD78,_xll.xCrudeAPO(BU78,BV78,CA78,CB78,S79,S80,BI78-DaysForThetaCalculation/365.25,BL78-DaysForThetaCalculation/365.25,BP78,BQ78,0,Strike1,AO78,CE78,0,BL78,IF(OptControl=4,0,1),0,1)-_xll.xCrudeAPO(BU78,BV78,CA78,CB78,S79,S80,BI78,BL78,BP78,BQ78,0,Strike1,AO78,CE78,0,BL78,IF(OptControl=4,0,1),0,1),0)</f>
        <v>0</v>
      </c>
      <c r="CJ78" s="311">
        <f ca="1">IF(BD78,_xll.xCrudeAPO(BU78,BV78,CC78,CD78,S79,S80,BI78,BL78,BP78,BQ78,0,Strike2,AO78,CE78,0,BL78,IF(OptControl=3,1,0),0,1),0)</f>
        <v>0</v>
      </c>
      <c r="CK78" s="163">
        <f ca="1">IF(BD78,_xll.xCrudeAPO(BU78,BV78,CC78,CD78,S79,S80,BI78,BL78,BP78,BQ78,0,Strike2,AO78,CE78,0,BL78,IF(OptControl=3,1,0),1,1)+_xll.xCrudeAPO(BU78,BV78,CC78,CD78,S79,S80,BI78,BL78,BP78,BQ78,0,Strike2,AO78,CE78,0,BL78,IF(OptControl=3,1,0),1,2)+IF(OR(VolSkewFlag=2,ABS(BT78)&lt;0.0001),0,IF(BT78&gt;0,-1,1)*CL78*Strike2/BR78^2*BZ78/10%),0)</f>
        <v>0</v>
      </c>
      <c r="CL78" s="163">
        <f ca="1">IF(BD78,(_xll.xCrudeAPO(BU78,BV78,CC78,CD78,S79,S80,BI78,BL78,BP78,BQ78,0,Strike2,AO78,CE78,0,BL78,IF(OptControl=3,1,0),3,1)+_xll.xCrudeAPO(BU78,BV78,CC78,CD78,S79,S80,BI78,BL78,BP78,BQ78,0,Strike2,AO78,CE78,0,BL78,IF(OptControl=3,1,0),3,2))/100,0)</f>
        <v>0</v>
      </c>
      <c r="CM78" s="164">
        <f ca="1">IF(BD78,_xll.xCrudeAPO(BU78,BV78,CC78,CD78,S79,S80,BI78-DaysForThetaCalculation/365.25,BL78-DaysForThetaCalculation/365.25,BP78,BQ78,0,Strike2,AO78,CE78,0,BL78,IF(OptControl=3,1,0),0,1)-_xll.xCrudeAPO(BU78,BV78,CC78,CD78,S79,S80,BI78,BL78,BP78,BQ78,0,Strike2,AO78,CE78,0,BL78,IF(OptControl=3,1,0),0,1),0)</f>
        <v>0</v>
      </c>
      <c r="CN78" s="53"/>
      <c r="CO78" s="796" t="str">
        <f t="shared" ca="1" si="53"/>
        <v/>
      </c>
      <c r="CP78" s="800" t="str">
        <f t="shared" ca="1" si="54"/>
        <v/>
      </c>
      <c r="CQ78" s="797" t="str">
        <f t="shared" ca="1" si="55"/>
        <v/>
      </c>
      <c r="CR78" s="797" t="str">
        <f t="shared" ca="1" si="56"/>
        <v/>
      </c>
      <c r="CS78" s="797" t="str">
        <f t="shared" ca="1" si="57"/>
        <v/>
      </c>
      <c r="CT78" s="797" t="str">
        <f t="shared" ca="1" si="58"/>
        <v/>
      </c>
      <c r="CU78" s="798" t="str">
        <f t="shared" ca="1" si="59"/>
        <v/>
      </c>
      <c r="CV78" s="799" t="str">
        <f t="shared" ca="1" si="60"/>
        <v/>
      </c>
      <c r="CW78" s="799" t="str">
        <f t="shared" ca="1" si="61"/>
        <v/>
      </c>
      <c r="CX78" s="163">
        <f ca="1">IF(BD78,_xll.EURO(CP78,Strike1,AO78,AO78,CV78,CO78,IF(OptControl=4,0,1),0),0)</f>
        <v>0</v>
      </c>
      <c r="CY78" s="163">
        <f ca="1">IF(BD78,_xll.EURO(CP78,Strike1,AO78,AO78,CV78,CO78,IF(OptControl=4,0,1),1)+IF(OR(VolSkewFlag=2,ABS(CQ78)&lt;0.0001),0,IF(CQ78&gt;0,-1,1)*CZ78*100*Strike1/CP78^2*CS78/10%),0)</f>
        <v>0</v>
      </c>
      <c r="CZ78" s="163">
        <f ca="1">IF(BD78,_xll.EURO(CP78,Strike1,AO78,AO78,CV78,CO78,IF(OptControl=4,0,1),3)/100,0)</f>
        <v>0</v>
      </c>
      <c r="DA78" s="163">
        <f ca="1">IF(BD78,_xll.EURO(CP78,Strike1,AO78,AO78,CV78,CO78,IF(OptControl=4,0,1),0)-_xll.EURO(CP78,Strike1,AO78,AO78,CV78,CO78-1,IF(OptControl=4,0,1),0),0)</f>
        <v>0</v>
      </c>
      <c r="DB78" s="163">
        <f ca="1">IF(BD78,_xll.EURO(CP78,Strike2,AO78,AO78,CW78,CO78,IF(OptControl=3,1,0),0),0)</f>
        <v>0</v>
      </c>
      <c r="DC78" s="163">
        <f ca="1">IF(BD78,_xll.EURO(CP78,Strike2,AO78,AO78,CW78,CO78,IF(OptControl=3,1,0),1)+IF(OR(VolSkewFlag=2,ABS(CR78)&lt;0.0001),0,IF(CR78&gt;0,-1,1)*DD78*100*Strike2/CP78^2*CT78/10%),0)</f>
        <v>0</v>
      </c>
      <c r="DD78" s="163">
        <f ca="1">IF(BD78,_xll.EURO(CP78,Strike2,AO78,AO78,CW78,CO78,IF(OptControl=3,1,0),3)/100,0)</f>
        <v>0</v>
      </c>
      <c r="DE78" s="164">
        <f ca="1">IF(BD78,_xll.EURO(CP78,Strike2,AO78,AO78,CW78,CO78,IF(OptControl=3,1,0),0)-_xll.EURO(CP78,Strike2,AO78,AO78,CW78,CO78-1,IF(OptControl=3,1,0),0),0)</f>
        <v>0</v>
      </c>
      <c r="DG78" s="667">
        <f t="shared" ca="1" si="62"/>
        <v>38322</v>
      </c>
      <c r="DH78" s="475">
        <v>18.36</v>
      </c>
      <c r="DI78" s="665">
        <v>18.35536231884058</v>
      </c>
      <c r="DJ78" s="666">
        <f t="shared" ca="1" si="182"/>
        <v>38322</v>
      </c>
      <c r="DK78" s="475">
        <v>17.238971235154615</v>
      </c>
      <c r="DL78" s="665">
        <v>17.21076231884058</v>
      </c>
      <c r="DM78" s="667">
        <f t="shared" ca="1" si="183"/>
        <v>38322</v>
      </c>
      <c r="DN78" s="668">
        <f t="shared" si="184"/>
        <v>17.288971235154616</v>
      </c>
      <c r="DO78" s="667">
        <f t="shared" ca="1" si="63"/>
        <v>38322</v>
      </c>
      <c r="DP78" s="579">
        <f t="shared" si="64"/>
        <v>17.21076231884058</v>
      </c>
      <c r="DQ78" s="821">
        <v>0</v>
      </c>
      <c r="DR78" s="666">
        <f t="shared" ca="1" si="185"/>
        <v>38322</v>
      </c>
      <c r="DS78" s="669">
        <v>0.19715622039892808</v>
      </c>
      <c r="DT78" s="606">
        <v>0.19387204902823937</v>
      </c>
      <c r="DU78" s="666">
        <f t="shared" ca="1" si="186"/>
        <v>38322</v>
      </c>
      <c r="DV78" s="669">
        <v>0.19715622039892808</v>
      </c>
      <c r="DW78" s="606">
        <v>0.19387204902823937</v>
      </c>
      <c r="DX78" s="667">
        <f t="shared" ca="1" si="187"/>
        <v>38322</v>
      </c>
      <c r="DY78" s="606">
        <v>0.35</v>
      </c>
      <c r="DZ78" s="667">
        <f t="shared" ca="1" si="65"/>
        <v>38322</v>
      </c>
      <c r="EA78" s="606">
        <f t="shared" si="66"/>
        <v>0.19387204902823937</v>
      </c>
      <c r="EB78" s="1"/>
      <c r="EC78" s="118" t="str">
        <f t="shared" ca="1" si="188"/>
        <v/>
      </c>
      <c r="ED78" s="119" t="str">
        <f t="shared" ca="1" si="33"/>
        <v/>
      </c>
      <c r="EE78" s="112" t="str">
        <f t="shared" ca="1" si="34"/>
        <v/>
      </c>
      <c r="EF78" s="120">
        <f ca="1">IF(BD78,_xll.xASN(BR78,Strike1,AO78,ED78,0,BO78,0,BI78,BL78,IF(OptControl=4,0,1),0),0)</f>
        <v>0</v>
      </c>
      <c r="EG78" s="111">
        <f ca="1">IF(BD78,_xll.xASN(BR78,Strike2,AO78,EE78,0,BO78,0,BI78,BL78,IF(OptControl=3,1,0),0),0)</f>
        <v>0</v>
      </c>
      <c r="EL78" s="55"/>
      <c r="EM78" s="1"/>
      <c r="EN78" s="697">
        <v>42736</v>
      </c>
      <c r="EO78" s="698">
        <v>47119</v>
      </c>
      <c r="EP78" s="1"/>
      <c r="EQ78" s="683" t="s">
        <v>291</v>
      </c>
      <c r="ES78" s="498">
        <v>59</v>
      </c>
      <c r="ET78" s="476">
        <f t="shared" ca="1" si="165"/>
        <v>4.8569472963723479</v>
      </c>
      <c r="EU78" s="842">
        <f t="shared" ca="1" si="189"/>
        <v>0</v>
      </c>
      <c r="EV78" s="815">
        <f t="shared" ca="1" si="269"/>
        <v>0.18150547913422641</v>
      </c>
      <c r="EW78" s="478" t="str">
        <f t="shared" ca="1" si="270"/>
        <v/>
      </c>
      <c r="EX78" s="477" t="str">
        <f t="shared" ca="1" si="271"/>
        <v/>
      </c>
      <c r="EY78" s="250">
        <v>0</v>
      </c>
      <c r="EZ78" s="605" t="str">
        <f ca="1">IF(OR(EW78="",EW79=""),"",SQRT(SUM(INDEX(FK78:ID78,SwaptionFirstMonthPosition+1):INDEX(FK78:ID78,FJ78))/SUM(INDEX($FK$15:$ID$15,SwaptionFirstMonthPosition+1):INDEX($FK$15:$ID$15,FJ78))))</f>
        <v/>
      </c>
      <c r="FA78" s="581" t="str">
        <f ca="1">IF(OR(EW78="",EW77=""),"",SQRT(SUM(INDEX(FK78:ID78,SwaptionFirstMonthPosition+1):INDEX(FK78:ID78,FJ78-1))/SUM(INDEX($FK$15:$ID$15,SwaptionFirstMonthPosition+1):INDEX($FK$15:$ID$15,FJ78-1))))</f>
        <v/>
      </c>
      <c r="FB78" s="578" t="str">
        <f t="shared" ca="1" si="190"/>
        <v/>
      </c>
      <c r="FC78" s="609" t="str">
        <f t="shared" ca="1" si="191"/>
        <v/>
      </c>
      <c r="FD78" s="579" t="str">
        <f t="shared" ca="1" si="192"/>
        <v/>
      </c>
      <c r="FE78" s="579" t="str">
        <f t="shared" ca="1" si="193"/>
        <v/>
      </c>
      <c r="FF78" s="579" t="str">
        <f t="shared" ca="1" si="194"/>
        <v/>
      </c>
      <c r="FG78" s="580" t="str">
        <f t="shared" ca="1" si="195"/>
        <v/>
      </c>
      <c r="FH78" s="606" t="str">
        <f t="shared" ca="1" si="196"/>
        <v/>
      </c>
      <c r="FI78" s="250"/>
      <c r="FJ78" s="673">
        <v>59</v>
      </c>
      <c r="FK78" s="460">
        <f t="shared" ca="1" si="197"/>
        <v>0</v>
      </c>
      <c r="FL78" s="460">
        <f t="shared" ca="1" si="198"/>
        <v>2.1916118657764184E-3</v>
      </c>
      <c r="FM78" s="460">
        <f t="shared" ca="1" si="199"/>
        <v>2.5473742794605118E-3</v>
      </c>
      <c r="FN78" s="460">
        <f t="shared" ca="1" si="200"/>
        <v>2.1441351473731195E-3</v>
      </c>
      <c r="FO78" s="460">
        <f t="shared" ca="1" si="201"/>
        <v>2.2303233751854064E-3</v>
      </c>
      <c r="FP78" s="460">
        <f t="shared" ca="1" si="202"/>
        <v>2.4715638910282646E-3</v>
      </c>
      <c r="FQ78" s="460">
        <f t="shared" ca="1" si="203"/>
        <v>2.0011191236552748E-3</v>
      </c>
      <c r="FR78" s="460">
        <f t="shared" ca="1" si="204"/>
        <v>2.0462068139556169E-3</v>
      </c>
      <c r="FS78" s="460">
        <f t="shared" ca="1" si="205"/>
        <v>2.3061259427201788E-3</v>
      </c>
      <c r="FT78" s="460">
        <f t="shared" ca="1" si="206"/>
        <v>2.0814032068159666E-3</v>
      </c>
      <c r="FU78" s="460">
        <f t="shared" ca="1" si="207"/>
        <v>2.0012147865653015E-3</v>
      </c>
      <c r="FV78" s="460">
        <f t="shared" ca="1" si="208"/>
        <v>2.1994247863740117E-3</v>
      </c>
      <c r="FW78" s="460">
        <f t="shared" ca="1" si="209"/>
        <v>2.0558976659391026E-3</v>
      </c>
      <c r="FX78" s="460">
        <f t="shared" ca="1" si="210"/>
        <v>2.1882656574363502E-3</v>
      </c>
      <c r="FY78" s="460">
        <f t="shared" ca="1" si="211"/>
        <v>2.0483701972113795E-3</v>
      </c>
      <c r="FZ78" s="460">
        <f t="shared" ca="1" si="212"/>
        <v>1.9098057428130158E-3</v>
      </c>
      <c r="GA78" s="460">
        <f t="shared" ca="1" si="213"/>
        <v>2.0448373155647881E-3</v>
      </c>
      <c r="GB78" s="460">
        <f t="shared" ca="1" si="214"/>
        <v>2.2484742850493555E-3</v>
      </c>
      <c r="GC78" s="460">
        <f t="shared" ca="1" si="215"/>
        <v>1.9756762009165755E-3</v>
      </c>
      <c r="GD78" s="460">
        <f t="shared" ca="1" si="216"/>
        <v>1.9758380762928819E-3</v>
      </c>
      <c r="GE78" s="460">
        <f t="shared" ca="1" si="217"/>
        <v>2.2489766079710058E-3</v>
      </c>
      <c r="GF78" s="460">
        <f t="shared" ca="1" si="218"/>
        <v>1.9772593482781787E-3</v>
      </c>
      <c r="GG78" s="460">
        <f t="shared" ca="1" si="219"/>
        <v>2.1831625299022317E-3</v>
      </c>
      <c r="GH78" s="460">
        <f t="shared" ca="1" si="220"/>
        <v>2.0483576092234991E-3</v>
      </c>
      <c r="GI78" s="460">
        <f t="shared" ca="1" si="221"/>
        <v>1.9820479462492246E-3</v>
      </c>
      <c r="GJ78" s="460">
        <f t="shared" ca="1" si="222"/>
        <v>2.2581513038553579E-3</v>
      </c>
      <c r="GK78" s="460">
        <f t="shared" ca="1" si="223"/>
        <v>2.0558223822833722E-3</v>
      </c>
      <c r="GL78" s="460">
        <f t="shared" ca="1" si="224"/>
        <v>1.9906910228291918E-3</v>
      </c>
      <c r="GM78" s="460">
        <f t="shared" ca="1" si="225"/>
        <v>2.1322719014016159E-3</v>
      </c>
      <c r="GN78" s="460">
        <f t="shared" ca="1" si="226"/>
        <v>2.1373315900706275E-3</v>
      </c>
      <c r="GO78" s="460">
        <f t="shared" ca="1" si="227"/>
        <v>2.1432869563580096E-3</v>
      </c>
      <c r="GP78" s="460">
        <f t="shared" ca="1" si="228"/>
        <v>1.9421982691719471E-3</v>
      </c>
      <c r="GQ78" s="460">
        <f t="shared" ca="1" si="229"/>
        <v>2.1585260615601962E-3</v>
      </c>
      <c r="GR78" s="460">
        <f t="shared" ca="1" si="230"/>
        <v>2.0982677368926493E-3</v>
      </c>
      <c r="GS78" s="460">
        <f t="shared" ca="1" si="231"/>
        <v>2.1796025282157798E-3</v>
      </c>
      <c r="GT78" s="460">
        <f t="shared" ca="1" si="232"/>
        <v>2.1222718404430834E-3</v>
      </c>
      <c r="GU78" s="460">
        <f t="shared" ca="1" si="233"/>
        <v>2.2088173411596097E-3</v>
      </c>
      <c r="GV78" s="460">
        <f t="shared" ca="1" si="234"/>
        <v>2.2274594204421119E-3</v>
      </c>
      <c r="GW78" s="460">
        <f t="shared" ca="1" si="235"/>
        <v>2.1769168920474863E-3</v>
      </c>
      <c r="GX78" s="460">
        <f t="shared" ca="1" si="236"/>
        <v>2.2755367834060864E-3</v>
      </c>
      <c r="GY78" s="460">
        <f t="shared" ca="1" si="237"/>
        <v>2.2320257328996207E-3</v>
      </c>
      <c r="GZ78" s="460">
        <f t="shared" ca="1" si="238"/>
        <v>2.3431309333902819E-3</v>
      </c>
      <c r="HA78" s="460">
        <f t="shared" ca="1" si="239"/>
        <v>2.3868619331047915E-3</v>
      </c>
      <c r="HB78" s="460">
        <f t="shared" ca="1" si="240"/>
        <v>2.2817666813133904E-3</v>
      </c>
      <c r="HC78" s="460">
        <f t="shared" ca="1" si="241"/>
        <v>2.501834018661454E-3</v>
      </c>
      <c r="HD78" s="460">
        <f t="shared" ca="1" si="242"/>
        <v>2.4942457269567599E-3</v>
      </c>
      <c r="HE78" s="460">
        <f t="shared" ca="1" si="243"/>
        <v>2.6688910953082548E-3</v>
      </c>
      <c r="HF78" s="460">
        <f t="shared" ca="1" si="244"/>
        <v>2.6906943764304293E-3</v>
      </c>
      <c r="HG78" s="460">
        <f t="shared" ca="1" si="245"/>
        <v>2.9172024650579017E-3</v>
      </c>
      <c r="HH78" s="460">
        <f t="shared" ca="1" si="246"/>
        <v>3.0865112987534223E-3</v>
      </c>
      <c r="HI78" s="460">
        <f t="shared" ca="1" si="247"/>
        <v>3.1917183343217145E-3</v>
      </c>
      <c r="HJ78" s="460">
        <f t="shared" ca="1" si="248"/>
        <v>3.5656687338562827E-3</v>
      </c>
      <c r="HK78" s="460">
        <f t="shared" ca="1" si="249"/>
        <v>3.7826233364864265E-3</v>
      </c>
      <c r="HL78" s="460">
        <f t="shared" ca="1" si="250"/>
        <v>4.3558246538462275E-3</v>
      </c>
      <c r="HM78" s="460">
        <f t="shared" ca="1" si="251"/>
        <v>4.9501123376438439E-3</v>
      </c>
      <c r="HN78" s="460">
        <f t="shared" ca="1" si="252"/>
        <v>5.2014317387345643E-3</v>
      </c>
      <c r="HO78" s="460">
        <f t="shared" ca="1" si="253"/>
        <v>6.8903168883497094E-3</v>
      </c>
      <c r="HP78" s="460">
        <f t="shared" ca="1" si="254"/>
        <v>8.2533581029785256E-3</v>
      </c>
      <c r="HQ78" s="460">
        <f t="shared" ca="1" si="255"/>
        <v>1.0999589507162342E-2</v>
      </c>
      <c r="HR78" s="460" t="str">
        <f t="shared" si="256"/>
        <v/>
      </c>
      <c r="HS78" s="460" t="str">
        <f t="shared" si="257"/>
        <v/>
      </c>
      <c r="HT78" s="460" t="str">
        <f t="shared" si="258"/>
        <v/>
      </c>
      <c r="HU78" s="460" t="str">
        <f t="shared" si="259"/>
        <v/>
      </c>
      <c r="HV78" s="460" t="str">
        <f t="shared" si="260"/>
        <v/>
      </c>
      <c r="HW78" s="460" t="str">
        <f t="shared" si="261"/>
        <v/>
      </c>
      <c r="HX78" s="460" t="str">
        <f t="shared" si="262"/>
        <v/>
      </c>
      <c r="HY78" s="460" t="str">
        <f t="shared" si="263"/>
        <v/>
      </c>
      <c r="HZ78" s="460" t="str">
        <f t="shared" si="264"/>
        <v/>
      </c>
      <c r="IA78" s="460" t="str">
        <f t="shared" si="265"/>
        <v/>
      </c>
      <c r="IB78" s="460" t="str">
        <f t="shared" si="266"/>
        <v/>
      </c>
      <c r="IC78" s="460" t="str">
        <f t="shared" si="267"/>
        <v/>
      </c>
      <c r="ID78" s="674" t="str">
        <f t="shared" si="268"/>
        <v/>
      </c>
      <c r="IE78" s="250"/>
    </row>
    <row r="79" spans="1:239">
      <c r="H79" s="51">
        <f t="shared" ca="1" si="35"/>
        <v>0</v>
      </c>
      <c r="I79" s="379">
        <f t="shared" si="36"/>
        <v>38565</v>
      </c>
      <c r="J79" s="377"/>
      <c r="K79" s="104" t="s">
        <v>269</v>
      </c>
      <c r="L79" s="392">
        <f t="shared" si="37"/>
        <v>0</v>
      </c>
      <c r="M79" s="171"/>
      <c r="N79" s="382">
        <v>0</v>
      </c>
      <c r="O79" s="171">
        <f t="shared" si="38"/>
        <v>0</v>
      </c>
      <c r="P79" s="377"/>
      <c r="Q79" s="104" t="s">
        <v>268</v>
      </c>
      <c r="R79" s="377">
        <f t="shared" ca="1" si="148"/>
        <v>-1.3379777920458993</v>
      </c>
      <c r="S79" s="832">
        <f t="shared" si="164"/>
        <v>0.36000000226784445</v>
      </c>
      <c r="T79" s="831">
        <f t="shared" si="149"/>
        <v>0.99998912314994948</v>
      </c>
      <c r="U79" s="545">
        <f t="shared" si="150"/>
        <v>0.99999999936216877</v>
      </c>
      <c r="V79" s="389">
        <v>0</v>
      </c>
      <c r="W79" s="434">
        <f t="shared" si="166"/>
        <v>0</v>
      </c>
      <c r="X79" s="415">
        <f t="shared" si="167"/>
        <v>0</v>
      </c>
      <c r="Y79" s="322">
        <f t="shared" si="168"/>
        <v>-1.2154</v>
      </c>
      <c r="Z79" s="322">
        <f t="shared" ca="1" si="169"/>
        <v>-1.2154</v>
      </c>
      <c r="AA79" s="429">
        <f t="shared" si="1"/>
        <v>1.2154</v>
      </c>
      <c r="AB79" s="433">
        <f t="shared" ca="1" si="2"/>
        <v>1.2154</v>
      </c>
      <c r="AC79" s="229">
        <v>38553</v>
      </c>
      <c r="AD79" s="229">
        <v>38549</v>
      </c>
      <c r="AE79" s="229">
        <v>38548</v>
      </c>
      <c r="AF79" s="229">
        <v>38544</v>
      </c>
      <c r="AG79" s="249" t="s">
        <v>90</v>
      </c>
      <c r="AH79" s="247" t="s">
        <v>499</v>
      </c>
      <c r="AI79" s="146">
        <v>23</v>
      </c>
      <c r="AJ79" s="41">
        <v>15</v>
      </c>
      <c r="AK79" s="41">
        <v>8</v>
      </c>
      <c r="AL79" s="293">
        <v>23</v>
      </c>
      <c r="AM79" s="41">
        <v>10</v>
      </c>
      <c r="AN79" s="147">
        <v>13</v>
      </c>
      <c r="AO79" s="374"/>
      <c r="AP79" s="153">
        <f t="shared" ca="1" si="43"/>
        <v>1</v>
      </c>
      <c r="AQ79" s="374"/>
      <c r="AR79" s="153">
        <f t="shared" ca="1" si="151"/>
        <v>1</v>
      </c>
      <c r="AS79" s="272">
        <f t="shared" si="170"/>
        <v>0</v>
      </c>
      <c r="AT79" s="157">
        <f t="shared" si="44"/>
        <v>0</v>
      </c>
      <c r="AU79" s="157">
        <f t="shared" si="4"/>
        <v>0</v>
      </c>
      <c r="AV79" s="271">
        <f t="shared" ca="1" si="163"/>
        <v>9.9999999999999995E-7</v>
      </c>
      <c r="AW79" s="158" t="str">
        <f t="shared" ca="1" si="171"/>
        <v/>
      </c>
      <c r="AX79" s="157">
        <f t="shared" ca="1" si="152"/>
        <v>3.4881250678945319E-3</v>
      </c>
      <c r="AY79" s="157">
        <f t="shared" ca="1" si="153"/>
        <v>1.8221030142908511E-3</v>
      </c>
      <c r="AZ79" s="157">
        <f t="shared" ca="1" si="154"/>
        <v>4.838989714376724E-4</v>
      </c>
      <c r="BA79" s="157">
        <f t="shared" ca="1" si="155"/>
        <v>6.048737142970905E-5</v>
      </c>
      <c r="BB79" s="157">
        <f t="shared" ca="1" si="156"/>
        <v>1.758229304791807E-5</v>
      </c>
      <c r="BC79" s="157">
        <f t="shared" ca="1" si="157"/>
        <v>7.3174442049512124E-6</v>
      </c>
      <c r="BD79" s="151">
        <f t="shared" ca="1" si="172"/>
        <v>0</v>
      </c>
      <c r="BE79" s="152">
        <f t="shared" ca="1" si="173"/>
        <v>0</v>
      </c>
      <c r="BF79" s="40">
        <f t="shared" si="174"/>
        <v>2005</v>
      </c>
      <c r="BG79" s="144">
        <f t="shared" si="175"/>
        <v>8</v>
      </c>
      <c r="BH79" s="145">
        <f t="shared" ca="1" si="176"/>
        <v>1804</v>
      </c>
      <c r="BI79" s="313">
        <f t="shared" ca="1" si="177"/>
        <v>4.9828884325804248</v>
      </c>
      <c r="BJ79" s="42">
        <f t="shared" ca="1" si="10"/>
        <v>5.0364550784156181</v>
      </c>
      <c r="BK79" s="42">
        <f t="shared" ca="1" si="178"/>
        <v>5.0391929292027502</v>
      </c>
      <c r="BL79" s="42">
        <f t="shared" ca="1" si="179"/>
        <v>5.0650239561943877</v>
      </c>
      <c r="BM79" s="150" t="e">
        <f t="shared" ca="1" si="13"/>
        <v>#DIV/0!</v>
      </c>
      <c r="BN79" s="42" t="e">
        <f t="shared" ca="1" si="14"/>
        <v>#DIV/0!</v>
      </c>
      <c r="BO79" s="293">
        <f t="shared" si="48"/>
        <v>23</v>
      </c>
      <c r="BP79" s="41">
        <f t="shared" si="49"/>
        <v>15</v>
      </c>
      <c r="BQ79" s="41">
        <f t="shared" si="50"/>
        <v>8</v>
      </c>
      <c r="BR79" s="305" t="str">
        <f t="shared" ca="1" si="15"/>
        <v/>
      </c>
      <c r="BS79" s="305" t="str">
        <f t="shared" ca="1" si="180"/>
        <v/>
      </c>
      <c r="BT79" s="307" t="str">
        <f t="shared" ca="1" si="181"/>
        <v/>
      </c>
      <c r="BU79" s="161" t="str">
        <f t="shared" ca="1" si="18"/>
        <v/>
      </c>
      <c r="BV79" s="161" t="str">
        <f t="shared" ca="1" si="19"/>
        <v/>
      </c>
      <c r="BW79" s="308" t="str">
        <f t="shared" ca="1" si="20"/>
        <v/>
      </c>
      <c r="BX79" s="309" t="str">
        <f t="shared" ca="1" si="21"/>
        <v/>
      </c>
      <c r="BY79" s="308" t="str">
        <f t="shared" ca="1" si="51"/>
        <v/>
      </c>
      <c r="BZ79" s="309" t="str">
        <f t="shared" ca="1" si="52"/>
        <v/>
      </c>
      <c r="CA79" s="154" t="str">
        <f t="shared" ca="1" si="22"/>
        <v/>
      </c>
      <c r="CB79" s="154" t="str">
        <f t="shared" ca="1" si="23"/>
        <v/>
      </c>
      <c r="CC79" s="154" t="str">
        <f t="shared" ca="1" si="24"/>
        <v/>
      </c>
      <c r="CD79" s="154" t="str">
        <f t="shared" ca="1" si="25"/>
        <v/>
      </c>
      <c r="CE79" s="310">
        <v>1</v>
      </c>
      <c r="CF79" s="162">
        <f ca="1">IF(BD79,_xll.xCrudeAPO(BU79,BV79,CA79,CB79,S80,S81,BI79,BL79,BP79,BQ79,0,Strike1,AO79,CE79,0,BL79,IF(OptControl=4,0,1),0,1),0)</f>
        <v>0</v>
      </c>
      <c r="CG79" s="163">
        <f ca="1">IF(BD79,_xll.xCrudeAPO(BU79,BV79,CA79,CB79,S80,S81,BI79,BL79,BP79,BQ79,0,Strike1,AO79,CE79,0,BL79,IF(OptControl=4,0,1),1,1)+_xll.xCrudeAPO(BU79,BV79,CA79,CB79,S80,S81,BI79,BL79,BP79,BQ79,0,Strike1,AO79,CE79,0,BL79,IF(OptControl=4,0,1),1,2)+IF(OR(VolSkewFlag=2,ABS(BS79)&lt;0.0001),0,IF(BS79&gt;0,-1,1)*CH79*Strike1/BR79^2*BY79/10%),0)</f>
        <v>0</v>
      </c>
      <c r="CH79" s="163">
        <f ca="1">IF(BD79,(_xll.xCrudeAPO(BU79,BV79,CA79,CB79,S80,S81,BI79,BL79,BP79,BQ79,0,Strike1,AO79,CE79,0,BL79,IF(OptControl=4,0,1),3,1)+_xll.xCrudeAPO(BU79,BV79,CA79,CB79,S80,S81,BI79,BL79,BP79,BQ79,0,Strike1,AO79,CE79,0,BL79,IF(OptControl=4,0,1),3,2))/100,0)</f>
        <v>0</v>
      </c>
      <c r="CI79" s="163">
        <f ca="1">IF(BD79,_xll.xCrudeAPO(BU79,BV79,CA79,CB79,S80,S81,BI79-DaysForThetaCalculation/365.25,BL79-DaysForThetaCalculation/365.25,BP79,BQ79,0,Strike1,AO79,CE79,0,BL79,IF(OptControl=4,0,1),0,1)-_xll.xCrudeAPO(BU79,BV79,CA79,CB79,S80,S81,BI79,BL79,BP79,BQ79,0,Strike1,AO79,CE79,0,BL79,IF(OptControl=4,0,1),0,1),0)</f>
        <v>0</v>
      </c>
      <c r="CJ79" s="311">
        <f ca="1">IF(BD79,_xll.xCrudeAPO(BU79,BV79,CC79,CD79,S80,S81,BI79,BL79,BP79,BQ79,0,Strike2,AO79,CE79,0,BL79,IF(OptControl=3,1,0),0,1),0)</f>
        <v>0</v>
      </c>
      <c r="CK79" s="163">
        <f ca="1">IF(BD79,_xll.xCrudeAPO(BU79,BV79,CC79,CD79,S80,S81,BI79,BL79,BP79,BQ79,0,Strike2,AO79,CE79,0,BL79,IF(OptControl=3,1,0),1,1)+_xll.xCrudeAPO(BU79,BV79,CC79,CD79,S80,S81,BI79,BL79,BP79,BQ79,0,Strike2,AO79,CE79,0,BL79,IF(OptControl=3,1,0),1,2)+IF(OR(VolSkewFlag=2,ABS(BT79)&lt;0.0001),0,IF(BT79&gt;0,-1,1)*CL79*Strike2/BR79^2*BZ79/10%),0)</f>
        <v>0</v>
      </c>
      <c r="CL79" s="163">
        <f ca="1">IF(BD79,(_xll.xCrudeAPO(BU79,BV79,CC79,CD79,S80,S81,BI79,BL79,BP79,BQ79,0,Strike2,AO79,CE79,0,BL79,IF(OptControl=3,1,0),3,1)+_xll.xCrudeAPO(BU79,BV79,CC79,CD79,S80,S81,BI79,BL79,BP79,BQ79,0,Strike2,AO79,CE79,0,BL79,IF(OptControl=3,1,0),3,2))/100,0)</f>
        <v>0</v>
      </c>
      <c r="CM79" s="164">
        <f ca="1">IF(BD79,_xll.xCrudeAPO(BU79,BV79,CC79,CD79,S80,S81,BI79-DaysForThetaCalculation/365.25,BL79-DaysForThetaCalculation/365.25,BP79,BQ79,0,Strike2,AO79,CE79,0,BL79,IF(OptControl=3,1,0),0,1)-_xll.xCrudeAPO(BU79,BV79,CC79,CD79,S80,S81,BI79,BL79,BP79,BQ79,0,Strike2,AO79,CE79,0,BL79,IF(OptControl=3,1,0),0,1),0)</f>
        <v>0</v>
      </c>
      <c r="CN79" s="53"/>
      <c r="CO79" s="796" t="str">
        <f t="shared" ca="1" si="53"/>
        <v/>
      </c>
      <c r="CP79" s="800" t="str">
        <f t="shared" ca="1" si="54"/>
        <v/>
      </c>
      <c r="CQ79" s="797" t="str">
        <f t="shared" ca="1" si="55"/>
        <v/>
      </c>
      <c r="CR79" s="797" t="str">
        <f t="shared" ca="1" si="56"/>
        <v/>
      </c>
      <c r="CS79" s="797" t="str">
        <f t="shared" ca="1" si="57"/>
        <v/>
      </c>
      <c r="CT79" s="797" t="str">
        <f t="shared" ca="1" si="58"/>
        <v/>
      </c>
      <c r="CU79" s="798" t="str">
        <f t="shared" ca="1" si="59"/>
        <v/>
      </c>
      <c r="CV79" s="799" t="str">
        <f t="shared" ca="1" si="60"/>
        <v/>
      </c>
      <c r="CW79" s="799" t="str">
        <f t="shared" ca="1" si="61"/>
        <v/>
      </c>
      <c r="CX79" s="163">
        <f ca="1">IF(BD79,_xll.EURO(CP79,Strike1,AO79,AO79,CV79,CO79,IF(OptControl=4,0,1),0),0)</f>
        <v>0</v>
      </c>
      <c r="CY79" s="163">
        <f ca="1">IF(BD79,_xll.EURO(CP79,Strike1,AO79,AO79,CV79,CO79,IF(OptControl=4,0,1),1)+IF(OR(VolSkewFlag=2,ABS(CQ79)&lt;0.0001),0,IF(CQ79&gt;0,-1,1)*CZ79*100*Strike1/CP79^2*CS79/10%),0)</f>
        <v>0</v>
      </c>
      <c r="CZ79" s="163">
        <f ca="1">IF(BD79,_xll.EURO(CP79,Strike1,AO79,AO79,CV79,CO79,IF(OptControl=4,0,1),3)/100,0)</f>
        <v>0</v>
      </c>
      <c r="DA79" s="163">
        <f ca="1">IF(BD79,_xll.EURO(CP79,Strike1,AO79,AO79,CV79,CO79,IF(OptControl=4,0,1),0)-_xll.EURO(CP79,Strike1,AO79,AO79,CV79,CO79-1,IF(OptControl=4,0,1),0),0)</f>
        <v>0</v>
      </c>
      <c r="DB79" s="163">
        <f ca="1">IF(BD79,_xll.EURO(CP79,Strike2,AO79,AO79,CW79,CO79,IF(OptControl=3,1,0),0),0)</f>
        <v>0</v>
      </c>
      <c r="DC79" s="163">
        <f ca="1">IF(BD79,_xll.EURO(CP79,Strike2,AO79,AO79,CW79,CO79,IF(OptControl=3,1,0),1)+IF(OR(VolSkewFlag=2,ABS(CR79)&lt;0.0001),0,IF(CR79&gt;0,-1,1)*DD79*100*Strike2/CP79^2*CT79/10%),0)</f>
        <v>0</v>
      </c>
      <c r="DD79" s="163">
        <f ca="1">IF(BD79,_xll.EURO(CP79,Strike2,AO79,AO79,CW79,CO79,IF(OptControl=3,1,0),3)/100,0)</f>
        <v>0</v>
      </c>
      <c r="DE79" s="164">
        <f ca="1">IF(BD79,_xll.EURO(CP79,Strike2,AO79,AO79,CW79,CO79,IF(OptControl=3,1,0),0)-_xll.EURO(CP79,Strike2,AO79,AO79,CW79,CO79-1,IF(OptControl=3,1,0),0),0)</f>
        <v>0</v>
      </c>
      <c r="DG79" s="667">
        <f t="shared" ca="1" si="62"/>
        <v>38353</v>
      </c>
      <c r="DH79" s="475">
        <v>18.356666666666669</v>
      </c>
      <c r="DI79" s="665">
        <v>18.352222222222228</v>
      </c>
      <c r="DJ79" s="666">
        <f t="shared" ca="1" si="182"/>
        <v>38353</v>
      </c>
      <c r="DK79" s="475">
        <v>17.193812859593375</v>
      </c>
      <c r="DL79" s="665">
        <v>17.212222222222227</v>
      </c>
      <c r="DM79" s="667">
        <f t="shared" ca="1" si="183"/>
        <v>38353</v>
      </c>
      <c r="DN79" s="668">
        <f t="shared" si="184"/>
        <v>17.243812859593376</v>
      </c>
      <c r="DO79" s="667">
        <f t="shared" ca="1" si="63"/>
        <v>38353</v>
      </c>
      <c r="DP79" s="579">
        <f t="shared" si="64"/>
        <v>17.212222222222227</v>
      </c>
      <c r="DQ79" s="821">
        <v>0</v>
      </c>
      <c r="DR79" s="666">
        <f t="shared" ca="1" si="185"/>
        <v>38353</v>
      </c>
      <c r="DS79" s="669">
        <v>0.19359428694837502</v>
      </c>
      <c r="DT79" s="606">
        <v>0.19430280727887003</v>
      </c>
      <c r="DU79" s="666">
        <f t="shared" ca="1" si="186"/>
        <v>38353</v>
      </c>
      <c r="DV79" s="669">
        <v>0.19359428694837502</v>
      </c>
      <c r="DW79" s="606">
        <v>0.19430280727887003</v>
      </c>
      <c r="DX79" s="667">
        <f t="shared" ca="1" si="187"/>
        <v>38353</v>
      </c>
      <c r="DY79" s="606">
        <v>0.35</v>
      </c>
      <c r="DZ79" s="667">
        <f t="shared" ca="1" si="65"/>
        <v>38353</v>
      </c>
      <c r="EA79" s="606">
        <f t="shared" si="66"/>
        <v>0.19430280727887003</v>
      </c>
      <c r="EB79" s="1"/>
      <c r="EC79" s="118" t="str">
        <f t="shared" ca="1" si="188"/>
        <v/>
      </c>
      <c r="ED79" s="119" t="str">
        <f t="shared" ca="1" si="33"/>
        <v/>
      </c>
      <c r="EE79" s="112" t="str">
        <f t="shared" ca="1" si="34"/>
        <v/>
      </c>
      <c r="EF79" s="120">
        <f ca="1">IF(BD79,_xll.xASN(BR79,Strike1,AO79,ED79,0,BO79,0,BI79,BL79,IF(OptControl=4,0,1),0),0)</f>
        <v>0</v>
      </c>
      <c r="EG79" s="111">
        <f ca="1">IF(BD79,_xll.xASN(BR79,Strike2,AO79,EE79,0,BO79,0,BI79,BL79,IF(OptControl=3,1,0),0),0)</f>
        <v>0</v>
      </c>
      <c r="EL79" s="55"/>
      <c r="EM79" s="1"/>
      <c r="EN79" s="697">
        <v>42920</v>
      </c>
      <c r="EO79" s="698">
        <v>47477</v>
      </c>
      <c r="EP79" s="1"/>
      <c r="EQ79" s="683" t="s">
        <v>292</v>
      </c>
      <c r="ES79" s="498">
        <v>60</v>
      </c>
      <c r="ET79" s="476">
        <f t="shared" ca="1" si="165"/>
        <v>4.9390828199863108</v>
      </c>
      <c r="EU79" s="842">
        <f t="shared" ca="1" si="189"/>
        <v>0</v>
      </c>
      <c r="EV79" s="815">
        <f t="shared" ca="1" si="269"/>
        <v>0.18106086807217919</v>
      </c>
      <c r="EW79" s="478" t="str">
        <f t="shared" ca="1" si="270"/>
        <v/>
      </c>
      <c r="EX79" s="477" t="str">
        <f t="shared" ca="1" si="271"/>
        <v/>
      </c>
      <c r="EY79" s="250">
        <v>0</v>
      </c>
      <c r="EZ79" s="605" t="str">
        <f ca="1">IF(OR(EW79="",EW80=""),"",SQRT(SUM(INDEX(FK79:ID79,SwaptionFirstMonthPosition+1):INDEX(FK79:ID79,FJ79))/SUM(INDEX($FK$15:$ID$15,SwaptionFirstMonthPosition+1):INDEX($FK$15:$ID$15,FJ79))))</f>
        <v/>
      </c>
      <c r="FA79" s="581" t="str">
        <f ca="1">IF(OR(EW79="",EW78=""),"",SQRT(SUM(INDEX(FK79:ID79,SwaptionFirstMonthPosition+1):INDEX(FK79:ID79,FJ79-1))/SUM(INDEX($FK$15:$ID$15,SwaptionFirstMonthPosition+1):INDEX($FK$15:$ID$15,FJ79-1))))</f>
        <v/>
      </c>
      <c r="FB79" s="578" t="str">
        <f t="shared" ca="1" si="190"/>
        <v/>
      </c>
      <c r="FC79" s="609" t="str">
        <f t="shared" ca="1" si="191"/>
        <v/>
      </c>
      <c r="FD79" s="579" t="str">
        <f t="shared" ca="1" si="192"/>
        <v/>
      </c>
      <c r="FE79" s="579" t="str">
        <f t="shared" ca="1" si="193"/>
        <v/>
      </c>
      <c r="FF79" s="579" t="str">
        <f t="shared" ca="1" si="194"/>
        <v/>
      </c>
      <c r="FG79" s="580" t="str">
        <f t="shared" ca="1" si="195"/>
        <v/>
      </c>
      <c r="FH79" s="606" t="str">
        <f t="shared" ca="1" si="196"/>
        <v/>
      </c>
      <c r="FI79" s="250"/>
      <c r="FJ79" s="673">
        <v>60</v>
      </c>
      <c r="FK79" s="460">
        <f t="shared" ca="1" si="197"/>
        <v>0</v>
      </c>
      <c r="FL79" s="460">
        <f t="shared" ca="1" si="198"/>
        <v>2.191546650482636E-3</v>
      </c>
      <c r="FM79" s="460">
        <f t="shared" ca="1" si="199"/>
        <v>2.5472856225778454E-3</v>
      </c>
      <c r="FN79" s="460">
        <f t="shared" ca="1" si="200"/>
        <v>2.1440478691816547E-3</v>
      </c>
      <c r="FO79" s="460">
        <f t="shared" ca="1" si="201"/>
        <v>2.2302171921090084E-3</v>
      </c>
      <c r="FP79" s="460">
        <f t="shared" ca="1" si="202"/>
        <v>2.4714262673393491E-3</v>
      </c>
      <c r="FQ79" s="460">
        <f t="shared" ca="1" si="203"/>
        <v>2.0009887985211398E-3</v>
      </c>
      <c r="FR79" s="460">
        <f t="shared" ca="1" si="204"/>
        <v>2.0460509525279109E-3</v>
      </c>
      <c r="FS79" s="460">
        <f t="shared" ca="1" si="205"/>
        <v>2.305920492774758E-3</v>
      </c>
      <c r="FT79" s="460">
        <f t="shared" ca="1" si="206"/>
        <v>2.0811863300075782E-3</v>
      </c>
      <c r="FU79" s="460">
        <f t="shared" ca="1" si="207"/>
        <v>2.000970901906516E-3</v>
      </c>
      <c r="FV79" s="460">
        <f t="shared" ca="1" si="208"/>
        <v>2.1991112890921731E-3</v>
      </c>
      <c r="FW79" s="460">
        <f t="shared" ca="1" si="209"/>
        <v>2.0555549296869383E-3</v>
      </c>
      <c r="FX79" s="460">
        <f t="shared" ca="1" si="210"/>
        <v>2.1878389870709338E-3</v>
      </c>
      <c r="FY79" s="460">
        <f t="shared" ca="1" si="211"/>
        <v>2.0479030704280074E-3</v>
      </c>
      <c r="FZ79" s="460">
        <f t="shared" ca="1" si="212"/>
        <v>1.9092963540026718E-3</v>
      </c>
      <c r="GA79" s="460">
        <f t="shared" ca="1" si="213"/>
        <v>2.0441994151965638E-3</v>
      </c>
      <c r="GB79" s="460">
        <f t="shared" ca="1" si="214"/>
        <v>2.2476539034679724E-3</v>
      </c>
      <c r="GC79" s="460">
        <f t="shared" ca="1" si="215"/>
        <v>1.9748331037497411E-3</v>
      </c>
      <c r="GD79" s="460">
        <f t="shared" ca="1" si="216"/>
        <v>1.974851916941659E-3</v>
      </c>
      <c r="GE79" s="460">
        <f t="shared" ca="1" si="217"/>
        <v>2.2476637595977649E-3</v>
      </c>
      <c r="GF79" s="460">
        <f t="shared" ca="1" si="218"/>
        <v>1.9759093688363994E-3</v>
      </c>
      <c r="GG79" s="460">
        <f t="shared" ca="1" si="219"/>
        <v>2.1814191843765513E-3</v>
      </c>
      <c r="GH79" s="460">
        <f t="shared" ca="1" si="220"/>
        <v>2.0464445118853979E-3</v>
      </c>
      <c r="GI79" s="460">
        <f t="shared" ca="1" si="221"/>
        <v>1.9798828394236791E-3</v>
      </c>
      <c r="GJ79" s="460">
        <f t="shared" ca="1" si="222"/>
        <v>2.2552662621457206E-3</v>
      </c>
      <c r="GK79" s="460">
        <f t="shared" ca="1" si="223"/>
        <v>2.0527504012235469E-3</v>
      </c>
      <c r="GL79" s="460">
        <f t="shared" ca="1" si="224"/>
        <v>1.9872118925872155E-3</v>
      </c>
      <c r="GM79" s="460">
        <f t="shared" ca="1" si="225"/>
        <v>2.1279133386988796E-3</v>
      </c>
      <c r="GN79" s="460">
        <f t="shared" ca="1" si="226"/>
        <v>2.1322217594525769E-3</v>
      </c>
      <c r="GO79" s="460">
        <f t="shared" ca="1" si="227"/>
        <v>2.137293893873488E-3</v>
      </c>
      <c r="GP79" s="460">
        <f t="shared" ca="1" si="228"/>
        <v>1.9358464820733508E-3</v>
      </c>
      <c r="GQ79" s="460">
        <f t="shared" ca="1" si="229"/>
        <v>2.1502696078201009E-3</v>
      </c>
      <c r="GR79" s="460">
        <f t="shared" ca="1" si="230"/>
        <v>2.0888806455565509E-3</v>
      </c>
      <c r="GS79" s="460">
        <f t="shared" ca="1" si="231"/>
        <v>2.1681978948324908E-3</v>
      </c>
      <c r="GT79" s="460">
        <f t="shared" ca="1" si="232"/>
        <v>2.1092839408419065E-3</v>
      </c>
      <c r="GU79" s="460">
        <f t="shared" ca="1" si="233"/>
        <v>2.1930073509981575E-3</v>
      </c>
      <c r="GV79" s="460">
        <f t="shared" ca="1" si="234"/>
        <v>2.2088121408498159E-3</v>
      </c>
      <c r="GW79" s="460">
        <f t="shared" ca="1" si="235"/>
        <v>2.155602084471491E-3</v>
      </c>
      <c r="GX79" s="460">
        <f t="shared" ca="1" si="236"/>
        <v>2.249477809416602E-3</v>
      </c>
      <c r="GY79" s="460">
        <f t="shared" ca="1" si="237"/>
        <v>2.2021301837905185E-3</v>
      </c>
      <c r="GZ79" s="460">
        <f t="shared" ca="1" si="238"/>
        <v>2.3064248725343192E-3</v>
      </c>
      <c r="HA79" s="460">
        <f t="shared" ca="1" si="239"/>
        <v>2.3431296242865931E-3</v>
      </c>
      <c r="HB79" s="460">
        <f t="shared" ca="1" si="240"/>
        <v>2.2328699050199793E-3</v>
      </c>
      <c r="HC79" s="460">
        <f t="shared" ca="1" si="241"/>
        <v>2.4391291341736799E-3</v>
      </c>
      <c r="HD79" s="460">
        <f t="shared" ca="1" si="242"/>
        <v>2.4211291248159342E-3</v>
      </c>
      <c r="HE79" s="460">
        <f t="shared" ca="1" si="243"/>
        <v>2.5773867955688375E-3</v>
      </c>
      <c r="HF79" s="460">
        <f t="shared" ca="1" si="244"/>
        <v>2.5827974917370529E-3</v>
      </c>
      <c r="HG79" s="460">
        <f t="shared" ca="1" si="245"/>
        <v>2.7803839125066384E-3</v>
      </c>
      <c r="HH79" s="460">
        <f t="shared" ca="1" si="246"/>
        <v>2.9172022475007758E-3</v>
      </c>
      <c r="HI79" s="460">
        <f t="shared" ca="1" si="247"/>
        <v>2.9869462510795806E-3</v>
      </c>
      <c r="HJ79" s="460">
        <f t="shared" ca="1" si="248"/>
        <v>3.2981088071109307E-3</v>
      </c>
      <c r="HK79" s="460">
        <f t="shared" ca="1" si="249"/>
        <v>3.4506470532310644E-3</v>
      </c>
      <c r="HL79" s="460">
        <f t="shared" ca="1" si="250"/>
        <v>3.9087106888031631E-3</v>
      </c>
      <c r="HM79" s="460">
        <f t="shared" ca="1" si="251"/>
        <v>4.355824576758799E-3</v>
      </c>
      <c r="HN79" s="460">
        <f t="shared" ca="1" si="252"/>
        <v>4.4710691488492127E-3</v>
      </c>
      <c r="HO79" s="460">
        <f t="shared" ca="1" si="253"/>
        <v>5.7587279391287148E-3</v>
      </c>
      <c r="HP79" s="460">
        <f t="shared" ca="1" si="254"/>
        <v>6.6680485518441426E-3</v>
      </c>
      <c r="HQ79" s="460">
        <f t="shared" ca="1" si="255"/>
        <v>8.528469991988228E-3</v>
      </c>
      <c r="HR79" s="460">
        <f t="shared" ca="1" si="256"/>
        <v>1.0644763994484422E-2</v>
      </c>
      <c r="HS79" s="460" t="str">
        <f t="shared" si="257"/>
        <v/>
      </c>
      <c r="HT79" s="460" t="str">
        <f t="shared" si="258"/>
        <v/>
      </c>
      <c r="HU79" s="460" t="str">
        <f t="shared" si="259"/>
        <v/>
      </c>
      <c r="HV79" s="460" t="str">
        <f t="shared" si="260"/>
        <v/>
      </c>
      <c r="HW79" s="460" t="str">
        <f t="shared" si="261"/>
        <v/>
      </c>
      <c r="HX79" s="460" t="str">
        <f t="shared" si="262"/>
        <v/>
      </c>
      <c r="HY79" s="460" t="str">
        <f t="shared" si="263"/>
        <v/>
      </c>
      <c r="HZ79" s="460" t="str">
        <f t="shared" si="264"/>
        <v/>
      </c>
      <c r="IA79" s="460" t="str">
        <f t="shared" si="265"/>
        <v/>
      </c>
      <c r="IB79" s="460" t="str">
        <f t="shared" si="266"/>
        <v/>
      </c>
      <c r="IC79" s="460" t="str">
        <f t="shared" si="267"/>
        <v/>
      </c>
      <c r="ID79" s="674" t="str">
        <f t="shared" si="268"/>
        <v/>
      </c>
      <c r="IE79" s="250"/>
    </row>
    <row r="80" spans="1:239">
      <c r="H80" s="51">
        <f t="shared" ca="1" si="35"/>
        <v>0</v>
      </c>
      <c r="I80" s="379">
        <f t="shared" si="36"/>
        <v>38596</v>
      </c>
      <c r="J80" s="377"/>
      <c r="K80" s="104" t="s">
        <v>269</v>
      </c>
      <c r="L80" s="392">
        <f t="shared" si="37"/>
        <v>0</v>
      </c>
      <c r="M80" s="171"/>
      <c r="N80" s="382">
        <v>0</v>
      </c>
      <c r="O80" s="171">
        <f t="shared" si="38"/>
        <v>0</v>
      </c>
      <c r="P80" s="377"/>
      <c r="Q80" s="104" t="s">
        <v>268</v>
      </c>
      <c r="R80" s="377">
        <f t="shared" ca="1" si="148"/>
        <v>-1.1039656435946372</v>
      </c>
      <c r="S80" s="832">
        <f t="shared" si="164"/>
        <v>0.36000000170088331</v>
      </c>
      <c r="T80" s="831">
        <f t="shared" si="149"/>
        <v>0.99999070033402537</v>
      </c>
      <c r="U80" s="545">
        <f t="shared" si="150"/>
        <v>0.99999999952162655</v>
      </c>
      <c r="V80" s="389">
        <v>0</v>
      </c>
      <c r="W80" s="434">
        <f t="shared" si="166"/>
        <v>0</v>
      </c>
      <c r="X80" s="415">
        <f t="shared" si="167"/>
        <v>0</v>
      </c>
      <c r="Y80" s="322">
        <f t="shared" si="168"/>
        <v>-1.2154</v>
      </c>
      <c r="Z80" s="322">
        <f t="shared" ca="1" si="169"/>
        <v>-1.2154</v>
      </c>
      <c r="AA80" s="429">
        <f t="shared" si="1"/>
        <v>1.2154</v>
      </c>
      <c r="AB80" s="433">
        <f t="shared" ca="1" si="2"/>
        <v>1.2154</v>
      </c>
      <c r="AC80" s="229">
        <v>38584</v>
      </c>
      <c r="AD80" s="229">
        <v>38580</v>
      </c>
      <c r="AE80" s="229">
        <v>38579</v>
      </c>
      <c r="AF80" s="229">
        <v>38575</v>
      </c>
      <c r="AG80" s="249" t="s">
        <v>90</v>
      </c>
      <c r="AH80" s="247" t="s">
        <v>499</v>
      </c>
      <c r="AI80" s="146">
        <v>22</v>
      </c>
      <c r="AJ80" s="41">
        <v>14</v>
      </c>
      <c r="AK80" s="41">
        <v>8</v>
      </c>
      <c r="AL80" s="293">
        <v>22</v>
      </c>
      <c r="AM80" s="41">
        <v>10</v>
      </c>
      <c r="AN80" s="147">
        <v>12</v>
      </c>
      <c r="AO80" s="374"/>
      <c r="AP80" s="153">
        <f t="shared" ca="1" si="43"/>
        <v>1</v>
      </c>
      <c r="AQ80" s="374"/>
      <c r="AR80" s="153">
        <f t="shared" ca="1" si="151"/>
        <v>1</v>
      </c>
      <c r="AS80" s="272">
        <f t="shared" si="170"/>
        <v>0</v>
      </c>
      <c r="AT80" s="157">
        <f t="shared" si="44"/>
        <v>0</v>
      </c>
      <c r="AU80" s="157">
        <f t="shared" si="4"/>
        <v>0</v>
      </c>
      <c r="AV80" s="271">
        <f t="shared" ca="1" si="163"/>
        <v>9.9999999999999995E-7</v>
      </c>
      <c r="AW80" s="158" t="str">
        <f t="shared" ca="1" si="171"/>
        <v/>
      </c>
      <c r="AX80" s="157">
        <f t="shared" ca="1" si="152"/>
        <v>3.3722345741780055E-3</v>
      </c>
      <c r="AY80" s="157">
        <f t="shared" ca="1" si="153"/>
        <v>1.7498539927121701E-3</v>
      </c>
      <c r="AZ80" s="157">
        <f t="shared" ca="1" si="154"/>
        <v>4.5673980907311146E-4</v>
      </c>
      <c r="BA80" s="157">
        <f t="shared" ca="1" si="155"/>
        <v>5.7092476134138933E-5</v>
      </c>
      <c r="BB80" s="157">
        <f t="shared" ca="1" si="156"/>
        <v>1.6044101828748081E-5</v>
      </c>
      <c r="BC80" s="157">
        <f t="shared" ca="1" si="157"/>
        <v>6.5191016622544846E-6</v>
      </c>
      <c r="BD80" s="151">
        <f t="shared" ca="1" si="172"/>
        <v>0</v>
      </c>
      <c r="BE80" s="152">
        <f t="shared" ca="1" si="173"/>
        <v>0</v>
      </c>
      <c r="BF80" s="40">
        <f t="shared" si="174"/>
        <v>2005</v>
      </c>
      <c r="BG80" s="144">
        <f t="shared" si="175"/>
        <v>9</v>
      </c>
      <c r="BH80" s="145">
        <f t="shared" ca="1" si="176"/>
        <v>1835</v>
      </c>
      <c r="BI80" s="313">
        <f t="shared" ca="1" si="177"/>
        <v>5.0677618069815198</v>
      </c>
      <c r="BJ80" s="42">
        <f t="shared" ca="1" si="10"/>
        <v>5.1182875987804124</v>
      </c>
      <c r="BK80" s="42">
        <f t="shared" ca="1" si="178"/>
        <v>5.1210254495675445</v>
      </c>
      <c r="BL80" s="42">
        <f t="shared" ca="1" si="179"/>
        <v>5.1471594798083506</v>
      </c>
      <c r="BM80" s="150" t="e">
        <f t="shared" ca="1" si="13"/>
        <v>#DIV/0!</v>
      </c>
      <c r="BN80" s="42" t="e">
        <f t="shared" ca="1" si="14"/>
        <v>#DIV/0!</v>
      </c>
      <c r="BO80" s="293">
        <f t="shared" si="48"/>
        <v>22</v>
      </c>
      <c r="BP80" s="41">
        <f t="shared" si="49"/>
        <v>14</v>
      </c>
      <c r="BQ80" s="41">
        <f t="shared" si="50"/>
        <v>8</v>
      </c>
      <c r="BR80" s="305" t="str">
        <f t="shared" ca="1" si="15"/>
        <v/>
      </c>
      <c r="BS80" s="305" t="str">
        <f t="shared" ca="1" si="180"/>
        <v/>
      </c>
      <c r="BT80" s="307" t="str">
        <f t="shared" ca="1" si="181"/>
        <v/>
      </c>
      <c r="BU80" s="161" t="str">
        <f t="shared" ca="1" si="18"/>
        <v/>
      </c>
      <c r="BV80" s="161" t="str">
        <f t="shared" ca="1" si="19"/>
        <v/>
      </c>
      <c r="BW80" s="308" t="str">
        <f t="shared" ca="1" si="20"/>
        <v/>
      </c>
      <c r="BX80" s="309" t="str">
        <f t="shared" ca="1" si="21"/>
        <v/>
      </c>
      <c r="BY80" s="308" t="str">
        <f t="shared" ca="1" si="51"/>
        <v/>
      </c>
      <c r="BZ80" s="309" t="str">
        <f t="shared" ca="1" si="52"/>
        <v/>
      </c>
      <c r="CA80" s="154" t="str">
        <f t="shared" ca="1" si="22"/>
        <v/>
      </c>
      <c r="CB80" s="154" t="str">
        <f t="shared" ca="1" si="23"/>
        <v/>
      </c>
      <c r="CC80" s="154" t="str">
        <f t="shared" ca="1" si="24"/>
        <v/>
      </c>
      <c r="CD80" s="154" t="str">
        <f t="shared" ca="1" si="25"/>
        <v/>
      </c>
      <c r="CE80" s="310">
        <v>1</v>
      </c>
      <c r="CF80" s="162">
        <f ca="1">IF(BD80,_xll.xCrudeAPO(BU80,BV80,CA80,CB80,S81,S82,BI80,BL80,BP80,BQ80,0,Strike1,AO80,CE80,0,BL80,IF(OptControl=4,0,1),0,1),0)</f>
        <v>0</v>
      </c>
      <c r="CG80" s="163">
        <f ca="1">IF(BD80,_xll.xCrudeAPO(BU80,BV80,CA80,CB80,S81,S82,BI80,BL80,BP80,BQ80,0,Strike1,AO80,CE80,0,BL80,IF(OptControl=4,0,1),1,1)+_xll.xCrudeAPO(BU80,BV80,CA80,CB80,S81,S82,BI80,BL80,BP80,BQ80,0,Strike1,AO80,CE80,0,BL80,IF(OptControl=4,0,1),1,2)+IF(OR(VolSkewFlag=2,ABS(BS80)&lt;0.0001),0,IF(BS80&gt;0,-1,1)*CH80*Strike1/BR80^2*BY80/10%),0)</f>
        <v>0</v>
      </c>
      <c r="CH80" s="163">
        <f ca="1">IF(BD80,(_xll.xCrudeAPO(BU80,BV80,CA80,CB80,S81,S82,BI80,BL80,BP80,BQ80,0,Strike1,AO80,CE80,0,BL80,IF(OptControl=4,0,1),3,1)+_xll.xCrudeAPO(BU80,BV80,CA80,CB80,S81,S82,BI80,BL80,BP80,BQ80,0,Strike1,AO80,CE80,0,BL80,IF(OptControl=4,0,1),3,2))/100,0)</f>
        <v>0</v>
      </c>
      <c r="CI80" s="163">
        <f ca="1">IF(BD80,_xll.xCrudeAPO(BU80,BV80,CA80,CB80,S81,S82,BI80-DaysForThetaCalculation/365.25,BL80-DaysForThetaCalculation/365.25,BP80,BQ80,0,Strike1,AO80,CE80,0,BL80,IF(OptControl=4,0,1),0,1)-_xll.xCrudeAPO(BU80,BV80,CA80,CB80,S81,S82,BI80,BL80,BP80,BQ80,0,Strike1,AO80,CE80,0,BL80,IF(OptControl=4,0,1),0,1),0)</f>
        <v>0</v>
      </c>
      <c r="CJ80" s="311">
        <f ca="1">IF(BD80,_xll.xCrudeAPO(BU80,BV80,CC80,CD80,S81,S82,BI80,BL80,BP80,BQ80,0,Strike2,AO80,CE80,0,BL80,IF(OptControl=3,1,0),0,1),0)</f>
        <v>0</v>
      </c>
      <c r="CK80" s="163">
        <f ca="1">IF(BD80,_xll.xCrudeAPO(BU80,BV80,CC80,CD80,S81,S82,BI80,BL80,BP80,BQ80,0,Strike2,AO80,CE80,0,BL80,IF(OptControl=3,1,0),1,1)+_xll.xCrudeAPO(BU80,BV80,CC80,CD80,S81,S82,BI80,BL80,BP80,BQ80,0,Strike2,AO80,CE80,0,BL80,IF(OptControl=3,1,0),1,2)+IF(OR(VolSkewFlag=2,ABS(BT80)&lt;0.0001),0,IF(BT80&gt;0,-1,1)*CL80*Strike2/BR80^2*BZ80/10%),0)</f>
        <v>0</v>
      </c>
      <c r="CL80" s="163">
        <f ca="1">IF(BD80,(_xll.xCrudeAPO(BU80,BV80,CC80,CD80,S81,S82,BI80,BL80,BP80,BQ80,0,Strike2,AO80,CE80,0,BL80,IF(OptControl=3,1,0),3,1)+_xll.xCrudeAPO(BU80,BV80,CC80,CD80,S81,S82,BI80,BL80,BP80,BQ80,0,Strike2,AO80,CE80,0,BL80,IF(OptControl=3,1,0),3,2))/100,0)</f>
        <v>0</v>
      </c>
      <c r="CM80" s="164">
        <f ca="1">IF(BD80,_xll.xCrudeAPO(BU80,BV80,CC80,CD80,S81,S82,BI80-DaysForThetaCalculation/365.25,BL80-DaysForThetaCalculation/365.25,BP80,BQ80,0,Strike2,AO80,CE80,0,BL80,IF(OptControl=3,1,0),0,1)-_xll.xCrudeAPO(BU80,BV80,CC80,CD80,S81,S82,BI80,BL80,BP80,BQ80,0,Strike2,AO80,CE80,0,BL80,IF(OptControl=3,1,0),0,1),0)</f>
        <v>0</v>
      </c>
      <c r="CN80" s="53"/>
      <c r="CO80" s="796" t="str">
        <f t="shared" ca="1" si="53"/>
        <v/>
      </c>
      <c r="CP80" s="800" t="str">
        <f t="shared" ca="1" si="54"/>
        <v/>
      </c>
      <c r="CQ80" s="797" t="str">
        <f t="shared" ca="1" si="55"/>
        <v/>
      </c>
      <c r="CR80" s="797" t="str">
        <f t="shared" ca="1" si="56"/>
        <v/>
      </c>
      <c r="CS80" s="797" t="str">
        <f t="shared" ca="1" si="57"/>
        <v/>
      </c>
      <c r="CT80" s="797" t="str">
        <f t="shared" ca="1" si="58"/>
        <v/>
      </c>
      <c r="CU80" s="798" t="str">
        <f t="shared" ca="1" si="59"/>
        <v/>
      </c>
      <c r="CV80" s="799" t="str">
        <f t="shared" ca="1" si="60"/>
        <v/>
      </c>
      <c r="CW80" s="799" t="str">
        <f t="shared" ca="1" si="61"/>
        <v/>
      </c>
      <c r="CX80" s="163">
        <f ca="1">IF(BD80,_xll.EURO(CP80,Strike1,AO80,AO80,CV80,CO80,IF(OptControl=4,0,1),0),0)</f>
        <v>0</v>
      </c>
      <c r="CY80" s="163">
        <f ca="1">IF(BD80,_xll.EURO(CP80,Strike1,AO80,AO80,CV80,CO80,IF(OptControl=4,0,1),1)+IF(OR(VolSkewFlag=2,ABS(CQ80)&lt;0.0001),0,IF(CQ80&gt;0,-1,1)*CZ80*100*Strike1/CP80^2*CS80/10%),0)</f>
        <v>0</v>
      </c>
      <c r="CZ80" s="163">
        <f ca="1">IF(BD80,_xll.EURO(CP80,Strike1,AO80,AO80,CV80,CO80,IF(OptControl=4,0,1),3)/100,0)</f>
        <v>0</v>
      </c>
      <c r="DA80" s="163">
        <f ca="1">IF(BD80,_xll.EURO(CP80,Strike1,AO80,AO80,CV80,CO80,IF(OptControl=4,0,1),0)-_xll.EURO(CP80,Strike1,AO80,AO80,CV80,CO80-1,IF(OptControl=4,0,1),0),0)</f>
        <v>0</v>
      </c>
      <c r="DB80" s="163">
        <f ca="1">IF(BD80,_xll.EURO(CP80,Strike2,AO80,AO80,CW80,CO80,IF(OptControl=3,1,0),0),0)</f>
        <v>0</v>
      </c>
      <c r="DC80" s="163">
        <f ca="1">IF(BD80,_xll.EURO(CP80,Strike2,AO80,AO80,CW80,CO80,IF(OptControl=3,1,0),1)+IF(OR(VolSkewFlag=2,ABS(CR80)&lt;0.0001),0,IF(CR80&gt;0,-1,1)*DD80*100*Strike2/CP80^2*CT80/10%),0)</f>
        <v>0</v>
      </c>
      <c r="DD80" s="163">
        <f ca="1">IF(BD80,_xll.EURO(CP80,Strike2,AO80,AO80,CW80,CO80,IF(OptControl=3,1,0),3)/100,0)</f>
        <v>0</v>
      </c>
      <c r="DE80" s="164">
        <f ca="1">IF(BD80,_xll.EURO(CP80,Strike2,AO80,AO80,CW80,CO80,IF(OptControl=3,1,0),0)-_xll.EURO(CP80,Strike2,AO80,AO80,CW80,CO80-1,IF(OptControl=3,1,0),0),0)</f>
        <v>0</v>
      </c>
      <c r="DG80" s="667">
        <f t="shared" ca="1" si="62"/>
        <v>38384</v>
      </c>
      <c r="DH80" s="475">
        <v>18.353333333333335</v>
      </c>
      <c r="DI80" s="665">
        <v>18.349000000000007</v>
      </c>
      <c r="DJ80" s="666">
        <f t="shared" ca="1" si="182"/>
        <v>38384</v>
      </c>
      <c r="DK80" s="475">
        <v>17.22380036441535</v>
      </c>
      <c r="DL80" s="665">
        <v>17.209000000000007</v>
      </c>
      <c r="DM80" s="667">
        <f t="shared" ca="1" si="183"/>
        <v>38384</v>
      </c>
      <c r="DN80" s="668">
        <f t="shared" si="184"/>
        <v>17.273800364415351</v>
      </c>
      <c r="DO80" s="667">
        <f t="shared" ca="1" si="63"/>
        <v>38384</v>
      </c>
      <c r="DP80" s="579">
        <f t="shared" si="64"/>
        <v>17.209000000000007</v>
      </c>
      <c r="DQ80" s="821">
        <v>0</v>
      </c>
      <c r="DR80" s="666">
        <f t="shared" ca="1" si="185"/>
        <v>38384</v>
      </c>
      <c r="DS80" s="669">
        <v>0.19430412337469505</v>
      </c>
      <c r="DT80" s="606">
        <v>0.19416065647697925</v>
      </c>
      <c r="DU80" s="666">
        <f t="shared" ca="1" si="186"/>
        <v>38384</v>
      </c>
      <c r="DV80" s="669">
        <v>0.19430412337469505</v>
      </c>
      <c r="DW80" s="606">
        <v>0.19416065647697925</v>
      </c>
      <c r="DX80" s="667">
        <f t="shared" ca="1" si="187"/>
        <v>38384</v>
      </c>
      <c r="DY80" s="606">
        <v>0.35</v>
      </c>
      <c r="DZ80" s="667">
        <f t="shared" ca="1" si="65"/>
        <v>38384</v>
      </c>
      <c r="EA80" s="606">
        <f t="shared" si="66"/>
        <v>0.19416065647697925</v>
      </c>
      <c r="EB80" s="1"/>
      <c r="EC80" s="118" t="str">
        <f t="shared" ca="1" si="188"/>
        <v/>
      </c>
      <c r="ED80" s="119" t="str">
        <f t="shared" ca="1" si="33"/>
        <v/>
      </c>
      <c r="EE80" s="112" t="str">
        <f t="shared" ca="1" si="34"/>
        <v/>
      </c>
      <c r="EF80" s="120">
        <f ca="1">IF(BD80,_xll.xASN(BR80,Strike1,AO80,ED80,0,BO80,0,BI80,BL80,IF(OptControl=4,0,1),0),0)</f>
        <v>0</v>
      </c>
      <c r="EG80" s="111">
        <f ca="1">IF(BD80,_xll.xASN(BR80,Strike2,AO80,EE80,0,BO80,0,BI80,BL80,IF(OptControl=3,1,0),0),0)</f>
        <v>0</v>
      </c>
      <c r="EL80" s="55"/>
      <c r="EM80" s="1"/>
      <c r="EN80" s="697">
        <v>43094</v>
      </c>
      <c r="EO80" s="698">
        <v>47484</v>
      </c>
      <c r="EP80" s="1"/>
      <c r="EQ80" s="683" t="s">
        <v>293</v>
      </c>
      <c r="ES80" s="498">
        <v>61</v>
      </c>
      <c r="ET80" s="476">
        <f t="shared" ca="1" si="165"/>
        <v>5.0239561943874058</v>
      </c>
      <c r="EU80" s="842">
        <f t="shared" ca="1" si="189"/>
        <v>0</v>
      </c>
      <c r="EV80" s="815">
        <f t="shared" ca="1" si="269"/>
        <v>0.18079615009089853</v>
      </c>
      <c r="EW80" s="478" t="str">
        <f t="shared" ca="1" si="270"/>
        <v/>
      </c>
      <c r="EX80" s="477" t="str">
        <f t="shared" ca="1" si="271"/>
        <v/>
      </c>
      <c r="EY80" s="250">
        <v>0</v>
      </c>
      <c r="EZ80" s="605" t="str">
        <f ca="1">IF(OR(EW80="",EW81=""),"",SQRT(SUM(INDEX(FK80:ID80,SwaptionFirstMonthPosition+1):INDEX(FK80:ID80,FJ80))/SUM(INDEX($FK$15:$ID$15,SwaptionFirstMonthPosition+1):INDEX($FK$15:$ID$15,FJ80))))</f>
        <v/>
      </c>
      <c r="FA80" s="581" t="str">
        <f ca="1">IF(OR(EW80="",EW79=""),"",SQRT(SUM(INDEX(FK80:ID80,SwaptionFirstMonthPosition+1):INDEX(FK80:ID80,FJ80-1))/SUM(INDEX($FK$15:$ID$15,SwaptionFirstMonthPosition+1):INDEX($FK$15:$ID$15,FJ80-1))))</f>
        <v/>
      </c>
      <c r="FB80" s="578" t="str">
        <f t="shared" ca="1" si="190"/>
        <v/>
      </c>
      <c r="FC80" s="609" t="str">
        <f t="shared" ca="1" si="191"/>
        <v/>
      </c>
      <c r="FD80" s="579" t="str">
        <f t="shared" ca="1" si="192"/>
        <v/>
      </c>
      <c r="FE80" s="579" t="str">
        <f t="shared" ca="1" si="193"/>
        <v/>
      </c>
      <c r="FF80" s="579" t="str">
        <f t="shared" ca="1" si="194"/>
        <v/>
      </c>
      <c r="FG80" s="580" t="str">
        <f t="shared" ca="1" si="195"/>
        <v/>
      </c>
      <c r="FH80" s="606" t="str">
        <f t="shared" ca="1" si="196"/>
        <v/>
      </c>
      <c r="FI80" s="250"/>
      <c r="FJ80" s="673">
        <v>61</v>
      </c>
      <c r="FK80" s="460">
        <f t="shared" ca="1" si="197"/>
        <v>0</v>
      </c>
      <c r="FL80" s="460">
        <f t="shared" ca="1" si="198"/>
        <v>2.1914908930656622E-3</v>
      </c>
      <c r="FM80" s="460">
        <f t="shared" ca="1" si="199"/>
        <v>2.5472098235813086E-3</v>
      </c>
      <c r="FN80" s="460">
        <f t="shared" ca="1" si="200"/>
        <v>2.1439732493655161E-3</v>
      </c>
      <c r="FO80" s="460">
        <f t="shared" ca="1" si="201"/>
        <v>2.2301264099009285E-3</v>
      </c>
      <c r="FP80" s="460">
        <f t="shared" ca="1" si="202"/>
        <v>2.4713086056374288E-3</v>
      </c>
      <c r="FQ80" s="460">
        <f t="shared" ca="1" si="203"/>
        <v>2.0008773777883274E-3</v>
      </c>
      <c r="FR80" s="460">
        <f t="shared" ca="1" si="204"/>
        <v>2.0459177011578735E-3</v>
      </c>
      <c r="FS80" s="460">
        <f t="shared" ca="1" si="205"/>
        <v>2.3057448487207315E-3</v>
      </c>
      <c r="FT80" s="460">
        <f t="shared" ca="1" si="206"/>
        <v>2.0810009196576963E-3</v>
      </c>
      <c r="FU80" s="460">
        <f t="shared" ca="1" si="207"/>
        <v>2.0007624059354026E-3</v>
      </c>
      <c r="FV80" s="460">
        <f t="shared" ca="1" si="208"/>
        <v>2.1988432871215841E-3</v>
      </c>
      <c r="FW80" s="460">
        <f t="shared" ca="1" si="209"/>
        <v>2.0552619390436038E-3</v>
      </c>
      <c r="FX80" s="460">
        <f t="shared" ca="1" si="210"/>
        <v>2.1874742550382115E-3</v>
      </c>
      <c r="FY80" s="460">
        <f t="shared" ca="1" si="211"/>
        <v>2.0475037681091011E-3</v>
      </c>
      <c r="FZ80" s="460">
        <f t="shared" ca="1" si="212"/>
        <v>1.9088609427349412E-3</v>
      </c>
      <c r="GA80" s="460">
        <f t="shared" ca="1" si="213"/>
        <v>2.0436541805243301E-3</v>
      </c>
      <c r="GB80" s="460">
        <f t="shared" ca="1" si="214"/>
        <v>2.2469527331392871E-3</v>
      </c>
      <c r="GC80" s="460">
        <f t="shared" ca="1" si="215"/>
        <v>1.9741125632857497E-3</v>
      </c>
      <c r="GD80" s="460">
        <f t="shared" ca="1" si="216"/>
        <v>1.9740091715285601E-3</v>
      </c>
      <c r="GE80" s="460">
        <f t="shared" ca="1" si="217"/>
        <v>2.2465419294936039E-3</v>
      </c>
      <c r="GF80" s="460">
        <f t="shared" ca="1" si="218"/>
        <v>1.9747559244691461E-3</v>
      </c>
      <c r="GG80" s="460">
        <f t="shared" ca="1" si="219"/>
        <v>2.1799298142262087E-3</v>
      </c>
      <c r="GH80" s="460">
        <f t="shared" ca="1" si="220"/>
        <v>2.0448103413486271E-3</v>
      </c>
      <c r="GI80" s="460">
        <f t="shared" ca="1" si="221"/>
        <v>1.97803369522503E-3</v>
      </c>
      <c r="GJ80" s="460">
        <f t="shared" ca="1" si="222"/>
        <v>2.252802702983676E-3</v>
      </c>
      <c r="GK80" s="460">
        <f t="shared" ca="1" si="223"/>
        <v>2.0501277822179502E-3</v>
      </c>
      <c r="GL80" s="460">
        <f t="shared" ca="1" si="224"/>
        <v>1.9842424350365552E-3</v>
      </c>
      <c r="GM80" s="460">
        <f t="shared" ca="1" si="225"/>
        <v>2.1241943850470717E-3</v>
      </c>
      <c r="GN80" s="460">
        <f t="shared" ca="1" si="226"/>
        <v>2.1278632992446627E-3</v>
      </c>
      <c r="GO80" s="460">
        <f t="shared" ca="1" si="227"/>
        <v>2.1321841533777112E-3</v>
      </c>
      <c r="GP80" s="460">
        <f t="shared" ca="1" si="228"/>
        <v>1.9304334649814998E-3</v>
      </c>
      <c r="GQ80" s="460">
        <f t="shared" ca="1" si="229"/>
        <v>2.1432373418716409E-3</v>
      </c>
      <c r="GR80" s="460">
        <f t="shared" ca="1" si="230"/>
        <v>2.0808905884867044E-3</v>
      </c>
      <c r="GS80" s="460">
        <f t="shared" ca="1" si="231"/>
        <v>2.1584979545838409E-3</v>
      </c>
      <c r="GT80" s="460">
        <f t="shared" ca="1" si="232"/>
        <v>2.0982472450521228E-3</v>
      </c>
      <c r="GU80" s="460">
        <f t="shared" ca="1" si="233"/>
        <v>2.179586563539818E-3</v>
      </c>
      <c r="GV80" s="460">
        <f t="shared" ca="1" si="234"/>
        <v>2.1930021879104761E-3</v>
      </c>
      <c r="GW80" s="460">
        <f t="shared" ca="1" si="235"/>
        <v>2.1375563618917736E-3</v>
      </c>
      <c r="GX80" s="460">
        <f t="shared" ca="1" si="236"/>
        <v>2.2274525374232877E-3</v>
      </c>
      <c r="GY80" s="460">
        <f t="shared" ca="1" si="237"/>
        <v>2.1769118469131161E-3</v>
      </c>
      <c r="GZ80" s="460">
        <f t="shared" ca="1" si="238"/>
        <v>2.2755328281340386E-3</v>
      </c>
      <c r="HA80" s="460">
        <f t="shared" ca="1" si="239"/>
        <v>2.3064235839382508E-3</v>
      </c>
      <c r="HB80" s="460">
        <f t="shared" ca="1" si="240"/>
        <v>2.19195905262301E-3</v>
      </c>
      <c r="HC80" s="460">
        <f t="shared" ca="1" si="241"/>
        <v>2.3868601828382248E-3</v>
      </c>
      <c r="HD80" s="460">
        <f t="shared" ca="1" si="242"/>
        <v>2.3604469928402904E-3</v>
      </c>
      <c r="HE80" s="460">
        <f t="shared" ca="1" si="243"/>
        <v>2.5018329867127417E-3</v>
      </c>
      <c r="HF80" s="460">
        <f t="shared" ca="1" si="244"/>
        <v>2.4942449553425972E-3</v>
      </c>
      <c r="HG80" s="460">
        <f t="shared" ca="1" si="245"/>
        <v>2.6688904760766596E-3</v>
      </c>
      <c r="HH80" s="460">
        <f t="shared" ca="1" si="246"/>
        <v>2.7803837051530722E-3</v>
      </c>
      <c r="HI80" s="460">
        <f t="shared" ca="1" si="247"/>
        <v>2.8230987912898878E-3</v>
      </c>
      <c r="HJ80" s="460">
        <f t="shared" ca="1" si="248"/>
        <v>3.0865109966372009E-3</v>
      </c>
      <c r="HK80" s="460">
        <f t="shared" ca="1" si="249"/>
        <v>3.191718100011098E-3</v>
      </c>
      <c r="HL80" s="460">
        <f t="shared" ca="1" si="250"/>
        <v>3.5656685375339637E-3</v>
      </c>
      <c r="HM80" s="460">
        <f t="shared" ca="1" si="251"/>
        <v>3.9087106196285569E-3</v>
      </c>
      <c r="HN80" s="460">
        <f t="shared" ca="1" si="252"/>
        <v>3.9342931138842104E-3</v>
      </c>
      <c r="HO80" s="460">
        <f t="shared" ca="1" si="253"/>
        <v>4.9501122226624566E-3</v>
      </c>
      <c r="HP80" s="460">
        <f t="shared" ca="1" si="254"/>
        <v>5.5729624801289278E-3</v>
      </c>
      <c r="HQ80" s="460">
        <f t="shared" ca="1" si="255"/>
        <v>6.8903167983224121E-3</v>
      </c>
      <c r="HR80" s="460">
        <f t="shared" ca="1" si="256"/>
        <v>8.253358022101075E-3</v>
      </c>
      <c r="HS80" s="460">
        <f t="shared" ca="1" si="257"/>
        <v>1.0999589426320901E-2</v>
      </c>
      <c r="HT80" s="460" t="str">
        <f t="shared" si="258"/>
        <v/>
      </c>
      <c r="HU80" s="460" t="str">
        <f t="shared" si="259"/>
        <v/>
      </c>
      <c r="HV80" s="460" t="str">
        <f t="shared" si="260"/>
        <v/>
      </c>
      <c r="HW80" s="460" t="str">
        <f t="shared" si="261"/>
        <v/>
      </c>
      <c r="HX80" s="460" t="str">
        <f t="shared" si="262"/>
        <v/>
      </c>
      <c r="HY80" s="460" t="str">
        <f t="shared" si="263"/>
        <v/>
      </c>
      <c r="HZ80" s="460" t="str">
        <f t="shared" si="264"/>
        <v/>
      </c>
      <c r="IA80" s="460" t="str">
        <f t="shared" si="265"/>
        <v/>
      </c>
      <c r="IB80" s="460" t="str">
        <f t="shared" si="266"/>
        <v/>
      </c>
      <c r="IC80" s="460" t="str">
        <f t="shared" si="267"/>
        <v/>
      </c>
      <c r="ID80" s="674" t="str">
        <f t="shared" si="268"/>
        <v/>
      </c>
      <c r="IE80" s="250"/>
    </row>
    <row r="81" spans="8:239">
      <c r="H81" s="51">
        <f t="shared" ca="1" si="35"/>
        <v>0</v>
      </c>
      <c r="I81" s="379">
        <f t="shared" si="36"/>
        <v>38626</v>
      </c>
      <c r="J81" s="377"/>
      <c r="K81" s="104" t="s">
        <v>269</v>
      </c>
      <c r="L81" s="392">
        <f t="shared" si="37"/>
        <v>0</v>
      </c>
      <c r="M81" s="171"/>
      <c r="N81" s="382">
        <v>0</v>
      </c>
      <c r="O81" s="171">
        <f t="shared" si="38"/>
        <v>0</v>
      </c>
      <c r="P81" s="377"/>
      <c r="Q81" s="104" t="s">
        <v>268</v>
      </c>
      <c r="R81" s="377">
        <f t="shared" ca="1" si="148"/>
        <v>-1.3011187356964329</v>
      </c>
      <c r="S81" s="832">
        <f t="shared" si="164"/>
        <v>0.36000000127566245</v>
      </c>
      <c r="T81" s="831">
        <f t="shared" si="149"/>
        <v>0.99999204881606651</v>
      </c>
      <c r="U81" s="545">
        <f t="shared" si="150"/>
        <v>0.99999999964121988</v>
      </c>
      <c r="V81" s="389">
        <v>0</v>
      </c>
      <c r="W81" s="434">
        <f t="shared" si="166"/>
        <v>0</v>
      </c>
      <c r="X81" s="415">
        <f t="shared" si="167"/>
        <v>0</v>
      </c>
      <c r="Y81" s="322">
        <f t="shared" si="168"/>
        <v>-1.1445999999999998</v>
      </c>
      <c r="Z81" s="322">
        <f t="shared" ca="1" si="169"/>
        <v>-1.1445999999999998</v>
      </c>
      <c r="AA81" s="429">
        <f t="shared" si="1"/>
        <v>1.1445999999999998</v>
      </c>
      <c r="AB81" s="433">
        <f t="shared" ca="1" si="2"/>
        <v>1.1445999999999998</v>
      </c>
      <c r="AC81" s="229">
        <v>38615</v>
      </c>
      <c r="AD81" s="229">
        <v>38611</v>
      </c>
      <c r="AE81" s="229">
        <v>38610</v>
      </c>
      <c r="AF81" s="229">
        <v>38606</v>
      </c>
      <c r="AG81" s="249" t="s">
        <v>90</v>
      </c>
      <c r="AH81" s="247" t="s">
        <v>499</v>
      </c>
      <c r="AI81" s="146">
        <v>21</v>
      </c>
      <c r="AJ81" s="41">
        <v>14</v>
      </c>
      <c r="AK81" s="41">
        <v>7</v>
      </c>
      <c r="AL81" s="293">
        <v>21</v>
      </c>
      <c r="AM81" s="41">
        <v>10</v>
      </c>
      <c r="AN81" s="147">
        <v>11</v>
      </c>
      <c r="AO81" s="374"/>
      <c r="AP81" s="153">
        <f t="shared" ca="1" si="43"/>
        <v>1</v>
      </c>
      <c r="AQ81" s="374"/>
      <c r="AR81" s="153">
        <f t="shared" ca="1" si="151"/>
        <v>1</v>
      </c>
      <c r="AS81" s="272">
        <f t="shared" si="170"/>
        <v>0</v>
      </c>
      <c r="AT81" s="157">
        <f t="shared" si="44"/>
        <v>0</v>
      </c>
      <c r="AU81" s="157">
        <f t="shared" si="4"/>
        <v>0</v>
      </c>
      <c r="AV81" s="271">
        <f t="shared" ca="1" si="163"/>
        <v>9.9999999999999995E-7</v>
      </c>
      <c r="AW81" s="158" t="str">
        <f t="shared" ca="1" si="171"/>
        <v/>
      </c>
      <c r="AX81" s="157">
        <f t="shared" ca="1" si="152"/>
        <v>3.2601944603281529E-3</v>
      </c>
      <c r="AY81" s="157">
        <f t="shared" ca="1" si="153"/>
        <v>1.6804697494024105E-3</v>
      </c>
      <c r="AZ81" s="157">
        <f t="shared" ca="1" si="154"/>
        <v>4.3110497336325097E-4</v>
      </c>
      <c r="BA81" s="157">
        <f t="shared" ca="1" si="155"/>
        <v>5.3888121670406372E-5</v>
      </c>
      <c r="BB81" s="157">
        <f t="shared" ca="1" si="156"/>
        <v>1.4640479645612433E-5</v>
      </c>
      <c r="BC81" s="157">
        <f t="shared" ca="1" si="157"/>
        <v>5.8078593143290718E-6</v>
      </c>
      <c r="BD81" s="151">
        <f t="shared" ca="1" si="172"/>
        <v>0</v>
      </c>
      <c r="BE81" s="152">
        <f t="shared" ca="1" si="173"/>
        <v>0</v>
      </c>
      <c r="BF81" s="40">
        <f t="shared" si="174"/>
        <v>2005</v>
      </c>
      <c r="BG81" s="144">
        <f t="shared" si="175"/>
        <v>10</v>
      </c>
      <c r="BH81" s="145">
        <f t="shared" ca="1" si="176"/>
        <v>1866</v>
      </c>
      <c r="BI81" s="313">
        <f t="shared" ca="1" si="177"/>
        <v>5.1498973305954827</v>
      </c>
      <c r="BJ81" s="42">
        <f t="shared" ca="1" si="10"/>
        <v>5.204654346338125</v>
      </c>
      <c r="BK81" s="42">
        <f t="shared" ca="1" si="178"/>
        <v>5.207392197125257</v>
      </c>
      <c r="BL81" s="42">
        <f t="shared" ca="1" si="179"/>
        <v>5.2320328542094456</v>
      </c>
      <c r="BM81" s="150" t="e">
        <f t="shared" ca="1" si="13"/>
        <v>#DIV/0!</v>
      </c>
      <c r="BN81" s="42" t="e">
        <f t="shared" ca="1" si="14"/>
        <v>#DIV/0!</v>
      </c>
      <c r="BO81" s="293">
        <f t="shared" si="48"/>
        <v>21</v>
      </c>
      <c r="BP81" s="41">
        <f t="shared" si="49"/>
        <v>14</v>
      </c>
      <c r="BQ81" s="41">
        <f t="shared" si="50"/>
        <v>7</v>
      </c>
      <c r="BR81" s="305" t="str">
        <f t="shared" ca="1" si="15"/>
        <v/>
      </c>
      <c r="BS81" s="305" t="str">
        <f t="shared" ca="1" si="180"/>
        <v/>
      </c>
      <c r="BT81" s="307" t="str">
        <f t="shared" ca="1" si="181"/>
        <v/>
      </c>
      <c r="BU81" s="161" t="str">
        <f t="shared" ca="1" si="18"/>
        <v/>
      </c>
      <c r="BV81" s="161" t="str">
        <f t="shared" ca="1" si="19"/>
        <v/>
      </c>
      <c r="BW81" s="308" t="str">
        <f t="shared" ca="1" si="20"/>
        <v/>
      </c>
      <c r="BX81" s="309" t="str">
        <f t="shared" ca="1" si="21"/>
        <v/>
      </c>
      <c r="BY81" s="308" t="str">
        <f t="shared" ca="1" si="51"/>
        <v/>
      </c>
      <c r="BZ81" s="309" t="str">
        <f t="shared" ca="1" si="52"/>
        <v/>
      </c>
      <c r="CA81" s="154" t="str">
        <f t="shared" ca="1" si="22"/>
        <v/>
      </c>
      <c r="CB81" s="154" t="str">
        <f t="shared" ca="1" si="23"/>
        <v/>
      </c>
      <c r="CC81" s="154" t="str">
        <f t="shared" ca="1" si="24"/>
        <v/>
      </c>
      <c r="CD81" s="154" t="str">
        <f t="shared" ca="1" si="25"/>
        <v/>
      </c>
      <c r="CE81" s="310">
        <v>1</v>
      </c>
      <c r="CF81" s="162">
        <f ca="1">IF(BD81,_xll.xCrudeAPO(BU81,BV81,CA81,CB81,S82,S83,BI81,BL81,BP81,BQ81,0,Strike1,AO81,CE81,0,BL81,IF(OptControl=4,0,1),0,1),0)</f>
        <v>0</v>
      </c>
      <c r="CG81" s="163">
        <f ca="1">IF(BD81,_xll.xCrudeAPO(BU81,BV81,CA81,CB81,S82,S83,BI81,BL81,BP81,BQ81,0,Strike1,AO81,CE81,0,BL81,IF(OptControl=4,0,1),1,1)+_xll.xCrudeAPO(BU81,BV81,CA81,CB81,S82,S83,BI81,BL81,BP81,BQ81,0,Strike1,AO81,CE81,0,BL81,IF(OptControl=4,0,1),1,2)+IF(OR(VolSkewFlag=2,ABS(BS81)&lt;0.0001),0,IF(BS81&gt;0,-1,1)*CH81*Strike1/BR81^2*BY81/10%),0)</f>
        <v>0</v>
      </c>
      <c r="CH81" s="163">
        <f ca="1">IF(BD81,(_xll.xCrudeAPO(BU81,BV81,CA81,CB81,S82,S83,BI81,BL81,BP81,BQ81,0,Strike1,AO81,CE81,0,BL81,IF(OptControl=4,0,1),3,1)+_xll.xCrudeAPO(BU81,BV81,CA81,CB81,S82,S83,BI81,BL81,BP81,BQ81,0,Strike1,AO81,CE81,0,BL81,IF(OptControl=4,0,1),3,2))/100,0)</f>
        <v>0</v>
      </c>
      <c r="CI81" s="163">
        <f ca="1">IF(BD81,_xll.xCrudeAPO(BU81,BV81,CA81,CB81,S82,S83,BI81-DaysForThetaCalculation/365.25,BL81-DaysForThetaCalculation/365.25,BP81,BQ81,0,Strike1,AO81,CE81,0,BL81,IF(OptControl=4,0,1),0,1)-_xll.xCrudeAPO(BU81,BV81,CA81,CB81,S82,S83,BI81,BL81,BP81,BQ81,0,Strike1,AO81,CE81,0,BL81,IF(OptControl=4,0,1),0,1),0)</f>
        <v>0</v>
      </c>
      <c r="CJ81" s="311">
        <f ca="1">IF(BD81,_xll.xCrudeAPO(BU81,BV81,CC81,CD81,S82,S83,BI81,BL81,BP81,BQ81,0,Strike2,AO81,CE81,0,BL81,IF(OptControl=3,1,0),0,1),0)</f>
        <v>0</v>
      </c>
      <c r="CK81" s="163">
        <f ca="1">IF(BD81,_xll.xCrudeAPO(BU81,BV81,CC81,CD81,S82,S83,BI81,BL81,BP81,BQ81,0,Strike2,AO81,CE81,0,BL81,IF(OptControl=3,1,0),1,1)+_xll.xCrudeAPO(BU81,BV81,CC81,CD81,S82,S83,BI81,BL81,BP81,BQ81,0,Strike2,AO81,CE81,0,BL81,IF(OptControl=3,1,0),1,2)+IF(OR(VolSkewFlag=2,ABS(BT81)&lt;0.0001),0,IF(BT81&gt;0,-1,1)*CL81*Strike2/BR81^2*BZ81/10%),0)</f>
        <v>0</v>
      </c>
      <c r="CL81" s="163">
        <f ca="1">IF(BD81,(_xll.xCrudeAPO(BU81,BV81,CC81,CD81,S82,S83,BI81,BL81,BP81,BQ81,0,Strike2,AO81,CE81,0,BL81,IF(OptControl=3,1,0),3,1)+_xll.xCrudeAPO(BU81,BV81,CC81,CD81,S82,S83,BI81,BL81,BP81,BQ81,0,Strike2,AO81,CE81,0,BL81,IF(OptControl=3,1,0),3,2))/100,0)</f>
        <v>0</v>
      </c>
      <c r="CM81" s="164">
        <f ca="1">IF(BD81,_xll.xCrudeAPO(BU81,BV81,CC81,CD81,S82,S83,BI81-DaysForThetaCalculation/365.25,BL81-DaysForThetaCalculation/365.25,BP81,BQ81,0,Strike2,AO81,CE81,0,BL81,IF(OptControl=3,1,0),0,1)-_xll.xCrudeAPO(BU81,BV81,CC81,CD81,S82,S83,BI81,BL81,BP81,BQ81,0,Strike2,AO81,CE81,0,BL81,IF(OptControl=3,1,0),0,1),0)</f>
        <v>0</v>
      </c>
      <c r="CN81" s="53"/>
      <c r="CO81" s="796" t="str">
        <f t="shared" ca="1" si="53"/>
        <v/>
      </c>
      <c r="CP81" s="800" t="str">
        <f t="shared" ca="1" si="54"/>
        <v/>
      </c>
      <c r="CQ81" s="797" t="str">
        <f t="shared" ca="1" si="55"/>
        <v/>
      </c>
      <c r="CR81" s="797" t="str">
        <f t="shared" ca="1" si="56"/>
        <v/>
      </c>
      <c r="CS81" s="797" t="str">
        <f t="shared" ca="1" si="57"/>
        <v/>
      </c>
      <c r="CT81" s="797" t="str">
        <f t="shared" ca="1" si="58"/>
        <v/>
      </c>
      <c r="CU81" s="798" t="str">
        <f t="shared" ca="1" si="59"/>
        <v/>
      </c>
      <c r="CV81" s="799" t="str">
        <f t="shared" ca="1" si="60"/>
        <v/>
      </c>
      <c r="CW81" s="799" t="str">
        <f t="shared" ca="1" si="61"/>
        <v/>
      </c>
      <c r="CX81" s="163">
        <f ca="1">IF(BD81,_xll.EURO(CP81,Strike1,AO81,AO81,CV81,CO81,IF(OptControl=4,0,1),0),0)</f>
        <v>0</v>
      </c>
      <c r="CY81" s="163">
        <f ca="1">IF(BD81,_xll.EURO(CP81,Strike1,AO81,AO81,CV81,CO81,IF(OptControl=4,0,1),1)+IF(OR(VolSkewFlag=2,ABS(CQ81)&lt;0.0001),0,IF(CQ81&gt;0,-1,1)*CZ81*100*Strike1/CP81^2*CS81/10%),0)</f>
        <v>0</v>
      </c>
      <c r="CZ81" s="163">
        <f ca="1">IF(BD81,_xll.EURO(CP81,Strike1,AO81,AO81,CV81,CO81,IF(OptControl=4,0,1),3)/100,0)</f>
        <v>0</v>
      </c>
      <c r="DA81" s="163">
        <f ca="1">IF(BD81,_xll.EURO(CP81,Strike1,AO81,AO81,CV81,CO81,IF(OptControl=4,0,1),0)-_xll.EURO(CP81,Strike1,AO81,AO81,CV81,CO81-1,IF(OptControl=4,0,1),0),0)</f>
        <v>0</v>
      </c>
      <c r="DB81" s="163">
        <f ca="1">IF(BD81,_xll.EURO(CP81,Strike2,AO81,AO81,CW81,CO81,IF(OptControl=3,1,0),0),0)</f>
        <v>0</v>
      </c>
      <c r="DC81" s="163">
        <f ca="1">IF(BD81,_xll.EURO(CP81,Strike2,AO81,AO81,CW81,CO81,IF(OptControl=3,1,0),1)+IF(OR(VolSkewFlag=2,ABS(CR81)&lt;0.0001),0,IF(CR81&gt;0,-1,1)*DD81*100*Strike2/CP81^2*CT81/10%),0)</f>
        <v>0</v>
      </c>
      <c r="DD81" s="163">
        <f ca="1">IF(BD81,_xll.EURO(CP81,Strike2,AO81,AO81,CW81,CO81,IF(OptControl=3,1,0),3)/100,0)</f>
        <v>0</v>
      </c>
      <c r="DE81" s="164">
        <f ca="1">IF(BD81,_xll.EURO(CP81,Strike2,AO81,AO81,CW81,CO81,IF(OptControl=3,1,0),0)-_xll.EURO(CP81,Strike2,AO81,AO81,CW81,CO81-1,IF(OptControl=3,1,0),0),0)</f>
        <v>0</v>
      </c>
      <c r="DG81" s="667">
        <f t="shared" ca="1" si="62"/>
        <v>38412</v>
      </c>
      <c r="DH81" s="475">
        <v>18.350000000000001</v>
      </c>
      <c r="DI81" s="665">
        <v>18.345362318840582</v>
      </c>
      <c r="DJ81" s="666">
        <f t="shared" ca="1" si="182"/>
        <v>38412</v>
      </c>
      <c r="DK81" s="475">
        <v>17.201696638410297</v>
      </c>
      <c r="DL81" s="665">
        <v>17.205362318840582</v>
      </c>
      <c r="DM81" s="667">
        <f t="shared" ca="1" si="183"/>
        <v>38412</v>
      </c>
      <c r="DN81" s="668">
        <f t="shared" si="184"/>
        <v>17.251696638410298</v>
      </c>
      <c r="DO81" s="667">
        <f t="shared" ca="1" si="63"/>
        <v>38412</v>
      </c>
      <c r="DP81" s="579">
        <f t="shared" si="64"/>
        <v>17.205362318840582</v>
      </c>
      <c r="DQ81" s="821">
        <v>0</v>
      </c>
      <c r="DR81" s="666">
        <f t="shared" ca="1" si="185"/>
        <v>38412</v>
      </c>
      <c r="DS81" s="669">
        <v>0.19430017508722003</v>
      </c>
      <c r="DT81" s="606">
        <v>0.19357979870969574</v>
      </c>
      <c r="DU81" s="666">
        <f t="shared" ca="1" si="186"/>
        <v>38412</v>
      </c>
      <c r="DV81" s="669">
        <v>0.19430017508722003</v>
      </c>
      <c r="DW81" s="606">
        <v>0.19357979870969574</v>
      </c>
      <c r="DX81" s="667">
        <f t="shared" ca="1" si="187"/>
        <v>38412</v>
      </c>
      <c r="DY81" s="606">
        <v>0.35</v>
      </c>
      <c r="DZ81" s="667">
        <f t="shared" ca="1" si="65"/>
        <v>38412</v>
      </c>
      <c r="EA81" s="606">
        <f t="shared" si="66"/>
        <v>0.19357979870969574</v>
      </c>
      <c r="EB81" s="1"/>
      <c r="EC81" s="118" t="str">
        <f t="shared" ca="1" si="188"/>
        <v/>
      </c>
      <c r="ED81" s="119" t="str">
        <f t="shared" ca="1" si="33"/>
        <v/>
      </c>
      <c r="EE81" s="112" t="str">
        <f t="shared" ca="1" si="34"/>
        <v/>
      </c>
      <c r="EF81" s="120">
        <f ca="1">IF(BD81,_xll.xASN(BR81,Strike1,AO81,ED81,0,BO81,0,BI81,BL81,IF(OptControl=4,0,1),0),0)</f>
        <v>0</v>
      </c>
      <c r="EG81" s="111">
        <f ca="1">IF(BD81,_xll.xASN(BR81,Strike2,AO81,EE81,0,BO81,0,BI81,BL81,IF(OptControl=3,1,0),0),0)</f>
        <v>0</v>
      </c>
      <c r="EL81" s="55"/>
      <c r="EM81" s="1"/>
      <c r="EN81" s="697">
        <v>43101</v>
      </c>
      <c r="EO81" s="698">
        <v>47842</v>
      </c>
      <c r="EP81" s="1"/>
      <c r="EQ81" s="683" t="s">
        <v>294</v>
      </c>
      <c r="ES81" s="498">
        <v>62</v>
      </c>
      <c r="ET81" s="476">
        <f t="shared" ca="1" si="165"/>
        <v>5.1088295687885008</v>
      </c>
      <c r="EU81" s="842">
        <f t="shared" ca="1" si="189"/>
        <v>0</v>
      </c>
      <c r="EV81" s="815">
        <f t="shared" ca="1" si="269"/>
        <v>0.18050939615065503</v>
      </c>
      <c r="EW81" s="478" t="str">
        <f t="shared" ca="1" si="270"/>
        <v/>
      </c>
      <c r="EX81" s="477" t="str">
        <f t="shared" ca="1" si="271"/>
        <v/>
      </c>
      <c r="EY81" s="250">
        <v>0</v>
      </c>
      <c r="EZ81" s="605" t="str">
        <f ca="1">IF(OR(EW81="",EW82=""),"",SQRT(SUM(INDEX(FK81:ID81,SwaptionFirstMonthPosition+1):INDEX(FK81:ID81,FJ81))/SUM(INDEX($FK$15:$ID$15,SwaptionFirstMonthPosition+1):INDEX($FK$15:$ID$15,FJ81))))</f>
        <v/>
      </c>
      <c r="FA81" s="581" t="str">
        <f ca="1">IF(OR(EW81="",EW80=""),"",SQRT(SUM(INDEX(FK81:ID81,SwaptionFirstMonthPosition+1):INDEX(FK81:ID81,FJ81-1))/SUM(INDEX($FK$15:$ID$15,SwaptionFirstMonthPosition+1):INDEX($FK$15:$ID$15,FJ81-1))))</f>
        <v/>
      </c>
      <c r="FB81" s="578" t="str">
        <f t="shared" ca="1" si="190"/>
        <v/>
      </c>
      <c r="FC81" s="609" t="str">
        <f t="shared" ca="1" si="191"/>
        <v/>
      </c>
      <c r="FD81" s="579" t="str">
        <f t="shared" ca="1" si="192"/>
        <v/>
      </c>
      <c r="FE81" s="579" t="str">
        <f t="shared" ca="1" si="193"/>
        <v/>
      </c>
      <c r="FF81" s="579" t="str">
        <f t="shared" ca="1" si="194"/>
        <v/>
      </c>
      <c r="FG81" s="580" t="str">
        <f t="shared" ca="1" si="195"/>
        <v/>
      </c>
      <c r="FH81" s="606" t="str">
        <f t="shared" ca="1" si="196"/>
        <v/>
      </c>
      <c r="FI81" s="250"/>
      <c r="FJ81" s="673">
        <v>62</v>
      </c>
      <c r="FK81" s="460">
        <f t="shared" ca="1" si="197"/>
        <v>0</v>
      </c>
      <c r="FL81" s="460">
        <f t="shared" ca="1" si="198"/>
        <v>2.1914432216870372E-3</v>
      </c>
      <c r="FM81" s="460">
        <f t="shared" ca="1" si="199"/>
        <v>2.5471450173677507E-3</v>
      </c>
      <c r="FN81" s="460">
        <f t="shared" ca="1" si="200"/>
        <v>2.1439094516431624E-3</v>
      </c>
      <c r="FO81" s="460">
        <f t="shared" ca="1" si="201"/>
        <v>2.230048794272535E-3</v>
      </c>
      <c r="FP81" s="460">
        <f t="shared" ca="1" si="202"/>
        <v>2.4712080096717711E-3</v>
      </c>
      <c r="FQ81" s="460">
        <f t="shared" ca="1" si="203"/>
        <v>2.0007821183663835E-3</v>
      </c>
      <c r="FR81" s="460">
        <f t="shared" ca="1" si="204"/>
        <v>2.0458037786563058E-3</v>
      </c>
      <c r="FS81" s="460">
        <f t="shared" ca="1" si="205"/>
        <v>2.3055946844935558E-3</v>
      </c>
      <c r="FT81" s="460">
        <f t="shared" ca="1" si="206"/>
        <v>2.0808424079314216E-3</v>
      </c>
      <c r="FU81" s="460">
        <f t="shared" ca="1" si="207"/>
        <v>2.000584160454752E-3</v>
      </c>
      <c r="FV81" s="460">
        <f t="shared" ca="1" si="208"/>
        <v>2.1986141733618399E-3</v>
      </c>
      <c r="FW81" s="460">
        <f t="shared" ca="1" si="209"/>
        <v>2.0550114677498261E-3</v>
      </c>
      <c r="FX81" s="460">
        <f t="shared" ca="1" si="210"/>
        <v>2.1871624611376904E-3</v>
      </c>
      <c r="FY81" s="460">
        <f t="shared" ca="1" si="211"/>
        <v>2.0471624311936506E-3</v>
      </c>
      <c r="FZ81" s="460">
        <f t="shared" ca="1" si="212"/>
        <v>1.9084887509979835E-3</v>
      </c>
      <c r="GA81" s="460">
        <f t="shared" ca="1" si="213"/>
        <v>2.0431881292192621E-3</v>
      </c>
      <c r="GB81" s="460">
        <f t="shared" ca="1" si="214"/>
        <v>2.2463534195264027E-3</v>
      </c>
      <c r="GC81" s="460">
        <f t="shared" ca="1" si="215"/>
        <v>1.9734967259663456E-3</v>
      </c>
      <c r="GD81" s="460">
        <f t="shared" ca="1" si="216"/>
        <v>1.973288931685671E-3</v>
      </c>
      <c r="GE81" s="460">
        <f t="shared" ca="1" si="217"/>
        <v>2.2455832434826813E-3</v>
      </c>
      <c r="GF81" s="460">
        <f t="shared" ca="1" si="218"/>
        <v>1.9737703052300675E-3</v>
      </c>
      <c r="GG81" s="460">
        <f t="shared" ca="1" si="219"/>
        <v>2.178657272172973E-3</v>
      </c>
      <c r="GH81" s="460">
        <f t="shared" ca="1" si="220"/>
        <v>2.0434142412742678E-3</v>
      </c>
      <c r="GI81" s="460">
        <f t="shared" ca="1" si="221"/>
        <v>1.9764541535532659E-3</v>
      </c>
      <c r="GJ81" s="460">
        <f t="shared" ca="1" si="222"/>
        <v>2.2506986607817971E-3</v>
      </c>
      <c r="GK81" s="460">
        <f t="shared" ca="1" si="223"/>
        <v>2.0478883078082015E-3</v>
      </c>
      <c r="GL81" s="460">
        <f t="shared" ca="1" si="224"/>
        <v>1.9817073426460063E-3</v>
      </c>
      <c r="GM81" s="460">
        <f t="shared" ca="1" si="225"/>
        <v>2.1210202368451224E-3</v>
      </c>
      <c r="GN81" s="460">
        <f t="shared" ca="1" si="226"/>
        <v>2.1241444330467973E-3</v>
      </c>
      <c r="GO81" s="460">
        <f t="shared" ca="1" si="227"/>
        <v>2.1278257700401227E-3</v>
      </c>
      <c r="GP81" s="460">
        <f t="shared" ca="1" si="228"/>
        <v>1.9258182765515446E-3</v>
      </c>
      <c r="GQ81" s="460">
        <f t="shared" ca="1" si="229"/>
        <v>2.1372444181192267E-3</v>
      </c>
      <c r="GR81" s="460">
        <f t="shared" ca="1" si="230"/>
        <v>2.0740852204646355E-3</v>
      </c>
      <c r="GS81" s="460">
        <f t="shared" ca="1" si="231"/>
        <v>2.1502416083541225E-3</v>
      </c>
      <c r="GT81" s="460">
        <f t="shared" ca="1" si="232"/>
        <v>2.0888602453910643E-3</v>
      </c>
      <c r="GU81" s="460">
        <f t="shared" ca="1" si="233"/>
        <v>2.1681820136906938E-3</v>
      </c>
      <c r="GV81" s="460">
        <f t="shared" ca="1" si="234"/>
        <v>2.17958143204925E-3</v>
      </c>
      <c r="GW81" s="460">
        <f t="shared" ca="1" si="235"/>
        <v>2.1222564344503692E-3</v>
      </c>
      <c r="GX81" s="460">
        <f t="shared" ca="1" si="236"/>
        <v>2.2088053154525017E-3</v>
      </c>
      <c r="GY81" s="460">
        <f t="shared" ca="1" si="237"/>
        <v>2.1555970887354552E-3</v>
      </c>
      <c r="GZ81" s="460">
        <f t="shared" ca="1" si="238"/>
        <v>2.2494738994395073E-3</v>
      </c>
      <c r="HA81" s="460">
        <f t="shared" ca="1" si="239"/>
        <v>2.2755315567973083E-3</v>
      </c>
      <c r="HB81" s="460">
        <f t="shared" ca="1" si="240"/>
        <v>2.1576211582984522E-3</v>
      </c>
      <c r="HC81" s="460">
        <f t="shared" ca="1" si="241"/>
        <v>2.3431279060885752E-3</v>
      </c>
      <c r="HD81" s="460">
        <f t="shared" ca="1" si="242"/>
        <v>2.3098641486316391E-3</v>
      </c>
      <c r="HE81" s="460">
        <f t="shared" ca="1" si="243"/>
        <v>2.4391281280892831E-3</v>
      </c>
      <c r="HF81" s="460">
        <f t="shared" ca="1" si="244"/>
        <v>2.4211283758209566E-3</v>
      </c>
      <c r="HG81" s="460">
        <f t="shared" ca="1" si="245"/>
        <v>2.5773861975679148E-3</v>
      </c>
      <c r="HH81" s="460">
        <f t="shared" ca="1" si="246"/>
        <v>2.6688902770379747E-3</v>
      </c>
      <c r="HI81" s="460">
        <f t="shared" ca="1" si="247"/>
        <v>2.6906937577140517E-3</v>
      </c>
      <c r="HJ81" s="460">
        <f t="shared" ca="1" si="248"/>
        <v>2.9172019619569901E-3</v>
      </c>
      <c r="HK81" s="460">
        <f t="shared" ca="1" si="249"/>
        <v>2.9869460318017044E-3</v>
      </c>
      <c r="HL81" s="460">
        <f t="shared" ca="1" si="250"/>
        <v>3.2981086255202056E-3</v>
      </c>
      <c r="HM81" s="460">
        <f t="shared" ca="1" si="251"/>
        <v>3.5656684744303636E-3</v>
      </c>
      <c r="HN81" s="460">
        <f t="shared" ca="1" si="252"/>
        <v>3.5304482547397734E-3</v>
      </c>
      <c r="HO81" s="460">
        <f t="shared" ca="1" si="253"/>
        <v>4.3558244755815493E-3</v>
      </c>
      <c r="HP81" s="460">
        <f t="shared" ca="1" si="254"/>
        <v>4.7904311474556861E-3</v>
      </c>
      <c r="HQ81" s="460">
        <f t="shared" ca="1" si="255"/>
        <v>5.7587278638864987E-3</v>
      </c>
      <c r="HR81" s="460">
        <f t="shared" ca="1" si="256"/>
        <v>6.6680484865016768E-3</v>
      </c>
      <c r="HS81" s="460">
        <f t="shared" ca="1" si="257"/>
        <v>8.5284699293082713E-3</v>
      </c>
      <c r="HT81" s="460">
        <f t="shared" ca="1" si="258"/>
        <v>1.099958940033615E-2</v>
      </c>
      <c r="HU81" s="460" t="str">
        <f t="shared" si="259"/>
        <v/>
      </c>
      <c r="HV81" s="460" t="str">
        <f t="shared" si="260"/>
        <v/>
      </c>
      <c r="HW81" s="460" t="str">
        <f t="shared" si="261"/>
        <v/>
      </c>
      <c r="HX81" s="460" t="str">
        <f t="shared" si="262"/>
        <v/>
      </c>
      <c r="HY81" s="460" t="str">
        <f t="shared" si="263"/>
        <v/>
      </c>
      <c r="HZ81" s="460" t="str">
        <f t="shared" si="264"/>
        <v/>
      </c>
      <c r="IA81" s="460" t="str">
        <f t="shared" si="265"/>
        <v/>
      </c>
      <c r="IB81" s="460" t="str">
        <f t="shared" si="266"/>
        <v/>
      </c>
      <c r="IC81" s="460" t="str">
        <f t="shared" si="267"/>
        <v/>
      </c>
      <c r="ID81" s="674" t="str">
        <f t="shared" si="268"/>
        <v/>
      </c>
      <c r="IE81" s="250"/>
    </row>
    <row r="82" spans="8:239">
      <c r="H82" s="51">
        <f t="shared" ca="1" si="35"/>
        <v>0</v>
      </c>
      <c r="I82" s="379">
        <f t="shared" si="36"/>
        <v>38657</v>
      </c>
      <c r="J82" s="377"/>
      <c r="K82" s="104" t="s">
        <v>269</v>
      </c>
      <c r="L82" s="392">
        <f t="shared" si="37"/>
        <v>0</v>
      </c>
      <c r="M82" s="171"/>
      <c r="N82" s="382">
        <v>0</v>
      </c>
      <c r="O82" s="171">
        <f t="shared" si="38"/>
        <v>0</v>
      </c>
      <c r="P82" s="377"/>
      <c r="Q82" s="104" t="s">
        <v>268</v>
      </c>
      <c r="R82" s="377">
        <f t="shared" ca="1" si="148"/>
        <v>-1.1439677202529728</v>
      </c>
      <c r="S82" s="832">
        <f t="shared" si="164"/>
        <v>0.36000000095674684</v>
      </c>
      <c r="T82" s="831">
        <f t="shared" si="149"/>
        <v>0.99999320176049133</v>
      </c>
      <c r="U82" s="545">
        <f t="shared" si="150"/>
        <v>0.99999999973091491</v>
      </c>
      <c r="V82" s="389">
        <v>0</v>
      </c>
      <c r="W82" s="434">
        <f t="shared" si="166"/>
        <v>0</v>
      </c>
      <c r="X82" s="415">
        <f t="shared" si="167"/>
        <v>0</v>
      </c>
      <c r="Y82" s="322">
        <f t="shared" si="168"/>
        <v>-1.1445999999999998</v>
      </c>
      <c r="Z82" s="322">
        <f t="shared" ca="1" si="169"/>
        <v>-1.1445999999999998</v>
      </c>
      <c r="AA82" s="429">
        <f t="shared" si="1"/>
        <v>1.1445999999999998</v>
      </c>
      <c r="AB82" s="433">
        <f t="shared" ca="1" si="2"/>
        <v>1.1445999999999998</v>
      </c>
      <c r="AC82" s="229">
        <v>38645</v>
      </c>
      <c r="AD82" s="229">
        <v>38641</v>
      </c>
      <c r="AE82" s="229">
        <v>38640</v>
      </c>
      <c r="AF82" s="229">
        <v>38636</v>
      </c>
      <c r="AG82" s="249" t="s">
        <v>90</v>
      </c>
      <c r="AH82" s="247" t="s">
        <v>499</v>
      </c>
      <c r="AI82" s="146">
        <v>22</v>
      </c>
      <c r="AJ82" s="41">
        <v>14</v>
      </c>
      <c r="AK82" s="41">
        <v>8</v>
      </c>
      <c r="AL82" s="293">
        <v>22</v>
      </c>
      <c r="AM82" s="41">
        <v>10</v>
      </c>
      <c r="AN82" s="147">
        <v>12</v>
      </c>
      <c r="AO82" s="374"/>
      <c r="AP82" s="153">
        <f t="shared" ca="1" si="43"/>
        <v>1</v>
      </c>
      <c r="AQ82" s="374"/>
      <c r="AR82" s="153">
        <f t="shared" ca="1" si="151"/>
        <v>1</v>
      </c>
      <c r="AS82" s="272">
        <f t="shared" si="170"/>
        <v>0</v>
      </c>
      <c r="AT82" s="157">
        <f t="shared" si="44"/>
        <v>0</v>
      </c>
      <c r="AU82" s="157">
        <f t="shared" si="4"/>
        <v>0</v>
      </c>
      <c r="AV82" s="271">
        <f t="shared" ca="1" si="163"/>
        <v>9.9999999999999995E-7</v>
      </c>
      <c r="AW82" s="158" t="str">
        <f t="shared" ca="1" si="171"/>
        <v/>
      </c>
      <c r="AX82" s="157">
        <f t="shared" ca="1" si="152"/>
        <v>3.1518768001912211E-3</v>
      </c>
      <c r="AY82" s="157">
        <f t="shared" ca="1" si="153"/>
        <v>1.6138366917571225E-3</v>
      </c>
      <c r="AZ82" s="157">
        <f t="shared" ca="1" si="154"/>
        <v>4.069089104268983E-4</v>
      </c>
      <c r="BA82" s="157">
        <f t="shared" ca="1" si="155"/>
        <v>5.0863613803362288E-5</v>
      </c>
      <c r="BB82" s="157">
        <f t="shared" ca="1" si="156"/>
        <v>1.3359653693392019E-5</v>
      </c>
      <c r="BC82" s="157">
        <f t="shared" ca="1" si="157"/>
        <v>5.1742144182751967E-6</v>
      </c>
      <c r="BD82" s="151">
        <f t="shared" ca="1" si="172"/>
        <v>0</v>
      </c>
      <c r="BE82" s="152">
        <f t="shared" ca="1" si="173"/>
        <v>0</v>
      </c>
      <c r="BF82" s="40">
        <f t="shared" si="174"/>
        <v>2005</v>
      </c>
      <c r="BG82" s="144">
        <f t="shared" si="175"/>
        <v>11</v>
      </c>
      <c r="BH82" s="145">
        <f t="shared" ca="1" si="176"/>
        <v>1896</v>
      </c>
      <c r="BI82" s="313">
        <f t="shared" ca="1" si="177"/>
        <v>5.2347707049965777</v>
      </c>
      <c r="BJ82" s="42">
        <f t="shared" ca="1" si="10"/>
        <v>5.2852964967954703</v>
      </c>
      <c r="BK82" s="42">
        <f t="shared" ca="1" si="178"/>
        <v>5.2880343475826024</v>
      </c>
      <c r="BL82" s="42">
        <f t="shared" ca="1" si="179"/>
        <v>5.3141683778234086</v>
      </c>
      <c r="BM82" s="150" t="e">
        <f t="shared" ca="1" si="13"/>
        <v>#DIV/0!</v>
      </c>
      <c r="BN82" s="42" t="e">
        <f t="shared" ca="1" si="14"/>
        <v>#DIV/0!</v>
      </c>
      <c r="BO82" s="293">
        <f t="shared" si="48"/>
        <v>22</v>
      </c>
      <c r="BP82" s="41">
        <f t="shared" si="49"/>
        <v>14</v>
      </c>
      <c r="BQ82" s="41">
        <f t="shared" si="50"/>
        <v>8</v>
      </c>
      <c r="BR82" s="305" t="str">
        <f t="shared" ca="1" si="15"/>
        <v/>
      </c>
      <c r="BS82" s="305" t="str">
        <f t="shared" ca="1" si="180"/>
        <v/>
      </c>
      <c r="BT82" s="307" t="str">
        <f t="shared" ca="1" si="181"/>
        <v/>
      </c>
      <c r="BU82" s="161" t="str">
        <f t="shared" ca="1" si="18"/>
        <v/>
      </c>
      <c r="BV82" s="161" t="str">
        <f t="shared" ca="1" si="19"/>
        <v/>
      </c>
      <c r="BW82" s="308" t="str">
        <f t="shared" ca="1" si="20"/>
        <v/>
      </c>
      <c r="BX82" s="309" t="str">
        <f t="shared" ca="1" si="21"/>
        <v/>
      </c>
      <c r="BY82" s="308" t="str">
        <f t="shared" ca="1" si="51"/>
        <v/>
      </c>
      <c r="BZ82" s="309" t="str">
        <f t="shared" ca="1" si="52"/>
        <v/>
      </c>
      <c r="CA82" s="154" t="str">
        <f t="shared" ca="1" si="22"/>
        <v/>
      </c>
      <c r="CB82" s="154" t="str">
        <f t="shared" ca="1" si="23"/>
        <v/>
      </c>
      <c r="CC82" s="154" t="str">
        <f t="shared" ca="1" si="24"/>
        <v/>
      </c>
      <c r="CD82" s="154" t="str">
        <f t="shared" ca="1" si="25"/>
        <v/>
      </c>
      <c r="CE82" s="310">
        <v>1</v>
      </c>
      <c r="CF82" s="162">
        <f ca="1">IF(BD82,_xll.xCrudeAPO(BU82,BV82,CA82,CB82,S83,S84,BI82,BL82,BP82,BQ82,0,Strike1,AO82,CE82,0,BL82,IF(OptControl=4,0,1),0,1),0)</f>
        <v>0</v>
      </c>
      <c r="CG82" s="163">
        <f ca="1">IF(BD82,_xll.xCrudeAPO(BU82,BV82,CA82,CB82,S83,S84,BI82,BL82,BP82,BQ82,0,Strike1,AO82,CE82,0,BL82,IF(OptControl=4,0,1),1,1)+_xll.xCrudeAPO(BU82,BV82,CA82,CB82,S83,S84,BI82,BL82,BP82,BQ82,0,Strike1,AO82,CE82,0,BL82,IF(OptControl=4,0,1),1,2)+IF(OR(VolSkewFlag=2,ABS(BS82)&lt;0.0001),0,IF(BS82&gt;0,-1,1)*CH82*Strike1/BR82^2*BY82/10%),0)</f>
        <v>0</v>
      </c>
      <c r="CH82" s="163">
        <f ca="1">IF(BD82,(_xll.xCrudeAPO(BU82,BV82,CA82,CB82,S83,S84,BI82,BL82,BP82,BQ82,0,Strike1,AO82,CE82,0,BL82,IF(OptControl=4,0,1),3,1)+_xll.xCrudeAPO(BU82,BV82,CA82,CB82,S83,S84,BI82,BL82,BP82,BQ82,0,Strike1,AO82,CE82,0,BL82,IF(OptControl=4,0,1),3,2))/100,0)</f>
        <v>0</v>
      </c>
      <c r="CI82" s="163">
        <f ca="1">IF(BD82,_xll.xCrudeAPO(BU82,BV82,CA82,CB82,S83,S84,BI82-DaysForThetaCalculation/365.25,BL82-DaysForThetaCalculation/365.25,BP82,BQ82,0,Strike1,AO82,CE82,0,BL82,IF(OptControl=4,0,1),0,1)-_xll.xCrudeAPO(BU82,BV82,CA82,CB82,S83,S84,BI82,BL82,BP82,BQ82,0,Strike1,AO82,CE82,0,BL82,IF(OptControl=4,0,1),0,1),0)</f>
        <v>0</v>
      </c>
      <c r="CJ82" s="311">
        <f ca="1">IF(BD82,_xll.xCrudeAPO(BU82,BV82,CC82,CD82,S83,S84,BI82,BL82,BP82,BQ82,0,Strike2,AO82,CE82,0,BL82,IF(OptControl=3,1,0),0,1),0)</f>
        <v>0</v>
      </c>
      <c r="CK82" s="163">
        <f ca="1">IF(BD82,_xll.xCrudeAPO(BU82,BV82,CC82,CD82,S83,S84,BI82,BL82,BP82,BQ82,0,Strike2,AO82,CE82,0,BL82,IF(OptControl=3,1,0),1,1)+_xll.xCrudeAPO(BU82,BV82,CC82,CD82,S83,S84,BI82,BL82,BP82,BQ82,0,Strike2,AO82,CE82,0,BL82,IF(OptControl=3,1,0),1,2)+IF(OR(VolSkewFlag=2,ABS(BT82)&lt;0.0001),0,IF(BT82&gt;0,-1,1)*CL82*Strike2/BR82^2*BZ82/10%),0)</f>
        <v>0</v>
      </c>
      <c r="CL82" s="163">
        <f ca="1">IF(BD82,(_xll.xCrudeAPO(BU82,BV82,CC82,CD82,S83,S84,BI82,BL82,BP82,BQ82,0,Strike2,AO82,CE82,0,BL82,IF(OptControl=3,1,0),3,1)+_xll.xCrudeAPO(BU82,BV82,CC82,CD82,S83,S84,BI82,BL82,BP82,BQ82,0,Strike2,AO82,CE82,0,BL82,IF(OptControl=3,1,0),3,2))/100,0)</f>
        <v>0</v>
      </c>
      <c r="CM82" s="164">
        <f ca="1">IF(BD82,_xll.xCrudeAPO(BU82,BV82,CC82,CD82,S83,S84,BI82-DaysForThetaCalculation/365.25,BL82-DaysForThetaCalculation/365.25,BP82,BQ82,0,Strike2,AO82,CE82,0,BL82,IF(OptControl=3,1,0),0,1)-_xll.xCrudeAPO(BU82,BV82,CC82,CD82,S83,S84,BI82,BL82,BP82,BQ82,0,Strike2,AO82,CE82,0,BL82,IF(OptControl=3,1,0),0,1),0)</f>
        <v>0</v>
      </c>
      <c r="CN82" s="53"/>
      <c r="CO82" s="796" t="str">
        <f t="shared" ca="1" si="53"/>
        <v/>
      </c>
      <c r="CP82" s="800" t="str">
        <f t="shared" ca="1" si="54"/>
        <v/>
      </c>
      <c r="CQ82" s="797" t="str">
        <f t="shared" ca="1" si="55"/>
        <v/>
      </c>
      <c r="CR82" s="797" t="str">
        <f t="shared" ca="1" si="56"/>
        <v/>
      </c>
      <c r="CS82" s="797" t="str">
        <f t="shared" ca="1" si="57"/>
        <v/>
      </c>
      <c r="CT82" s="797" t="str">
        <f t="shared" ca="1" si="58"/>
        <v/>
      </c>
      <c r="CU82" s="798" t="str">
        <f t="shared" ca="1" si="59"/>
        <v/>
      </c>
      <c r="CV82" s="799" t="str">
        <f t="shared" ca="1" si="60"/>
        <v/>
      </c>
      <c r="CW82" s="799" t="str">
        <f t="shared" ca="1" si="61"/>
        <v/>
      </c>
      <c r="CX82" s="163">
        <f ca="1">IF(BD82,_xll.EURO(CP82,Strike1,AO82,AO82,CV82,CO82,IF(OptControl=4,0,1),0),0)</f>
        <v>0</v>
      </c>
      <c r="CY82" s="163">
        <f ca="1">IF(BD82,_xll.EURO(CP82,Strike1,AO82,AO82,CV82,CO82,IF(OptControl=4,0,1),1)+IF(OR(VolSkewFlag=2,ABS(CQ82)&lt;0.0001),0,IF(CQ82&gt;0,-1,1)*CZ82*100*Strike1/CP82^2*CS82/10%),0)</f>
        <v>0</v>
      </c>
      <c r="CZ82" s="163">
        <f ca="1">IF(BD82,_xll.EURO(CP82,Strike1,AO82,AO82,CV82,CO82,IF(OptControl=4,0,1),3)/100,0)</f>
        <v>0</v>
      </c>
      <c r="DA82" s="163">
        <f ca="1">IF(BD82,_xll.EURO(CP82,Strike1,AO82,AO82,CV82,CO82,IF(OptControl=4,0,1),0)-_xll.EURO(CP82,Strike1,AO82,AO82,CV82,CO82-1,IF(OptControl=4,0,1),0),0)</f>
        <v>0</v>
      </c>
      <c r="DB82" s="163">
        <f ca="1">IF(BD82,_xll.EURO(CP82,Strike2,AO82,AO82,CW82,CO82,IF(OptControl=3,1,0),0),0)</f>
        <v>0</v>
      </c>
      <c r="DC82" s="163">
        <f ca="1">IF(BD82,_xll.EURO(CP82,Strike2,AO82,AO82,CW82,CO82,IF(OptControl=3,1,0),1)+IF(OR(VolSkewFlag=2,ABS(CR82)&lt;0.0001),0,IF(CR82&gt;0,-1,1)*DD82*100*Strike2/CP82^2*CT82/10%),0)</f>
        <v>0</v>
      </c>
      <c r="DD82" s="163">
        <f ca="1">IF(BD82,_xll.EURO(CP82,Strike2,AO82,AO82,CW82,CO82,IF(OptControl=3,1,0),3)/100,0)</f>
        <v>0</v>
      </c>
      <c r="DE82" s="164">
        <f ca="1">IF(BD82,_xll.EURO(CP82,Strike2,AO82,AO82,CW82,CO82,IF(OptControl=3,1,0),0)-_xll.EURO(CP82,Strike2,AO82,AO82,CW82,CO82-1,IF(OptControl=3,1,0),0),0)</f>
        <v>0</v>
      </c>
      <c r="DG82" s="667">
        <f t="shared" ca="1" si="62"/>
        <v>38443</v>
      </c>
      <c r="DH82" s="475">
        <v>18.346666666666668</v>
      </c>
      <c r="DI82" s="665">
        <v>18.342222222222226</v>
      </c>
      <c r="DJ82" s="666">
        <f t="shared" ca="1" si="182"/>
        <v>38443</v>
      </c>
      <c r="DK82" s="475">
        <v>17.216303361589716</v>
      </c>
      <c r="DL82" s="665">
        <v>17.082222222222224</v>
      </c>
      <c r="DM82" s="667">
        <f t="shared" ca="1" si="183"/>
        <v>38443</v>
      </c>
      <c r="DN82" s="668">
        <f t="shared" si="184"/>
        <v>17.266303361589717</v>
      </c>
      <c r="DO82" s="667">
        <f t="shared" ca="1" si="63"/>
        <v>38443</v>
      </c>
      <c r="DP82" s="579">
        <f t="shared" si="64"/>
        <v>17.082222222222224</v>
      </c>
      <c r="DQ82" s="821">
        <v>0</v>
      </c>
      <c r="DR82" s="666">
        <f t="shared" ca="1" si="185"/>
        <v>38443</v>
      </c>
      <c r="DS82" s="669">
        <v>0.19383511305308404</v>
      </c>
      <c r="DT82" s="606">
        <v>0.19304166479229637</v>
      </c>
      <c r="DU82" s="666">
        <f t="shared" ca="1" si="186"/>
        <v>38443</v>
      </c>
      <c r="DV82" s="669">
        <v>0.19383511305308404</v>
      </c>
      <c r="DW82" s="606">
        <v>0.19304166479229637</v>
      </c>
      <c r="DX82" s="667">
        <f t="shared" ca="1" si="187"/>
        <v>38443</v>
      </c>
      <c r="DY82" s="606">
        <v>0.35</v>
      </c>
      <c r="DZ82" s="667">
        <f t="shared" ca="1" si="65"/>
        <v>38443</v>
      </c>
      <c r="EA82" s="606">
        <f t="shared" si="66"/>
        <v>0.19304166479229637</v>
      </c>
      <c r="EB82" s="1"/>
      <c r="EC82" s="118" t="str">
        <f t="shared" ca="1" si="188"/>
        <v/>
      </c>
      <c r="ED82" s="119" t="str">
        <f t="shared" ca="1" si="33"/>
        <v/>
      </c>
      <c r="EE82" s="112" t="str">
        <f t="shared" ca="1" si="34"/>
        <v/>
      </c>
      <c r="EF82" s="120">
        <f ca="1">IF(BD82,_xll.xASN(BR82,Strike1,AO82,ED82,0,BO82,0,BI82,BL82,IF(OptControl=4,0,1),0),0)</f>
        <v>0</v>
      </c>
      <c r="EG82" s="111">
        <f ca="1">IF(BD82,_xll.xASN(BR82,Strike2,AO82,EE82,0,BO82,0,BI82,BL82,IF(OptControl=3,1,0),0),0)</f>
        <v>0</v>
      </c>
      <c r="EL82" s="55"/>
      <c r="EM82" s="1"/>
      <c r="EN82" s="697">
        <v>43285</v>
      </c>
      <c r="EO82" s="698">
        <v>47849</v>
      </c>
      <c r="EP82" s="1"/>
      <c r="EQ82" s="683" t="s">
        <v>295</v>
      </c>
      <c r="ES82" s="498">
        <v>63</v>
      </c>
      <c r="ET82" s="476">
        <f t="shared" ca="1" si="165"/>
        <v>5.1909650924024637</v>
      </c>
      <c r="EU82" s="842">
        <f t="shared" ca="1" si="189"/>
        <v>0</v>
      </c>
      <c r="EV82" s="815">
        <f t="shared" ca="1" si="269"/>
        <v>0.18006963589389488</v>
      </c>
      <c r="EW82" s="478" t="str">
        <f t="shared" ca="1" si="270"/>
        <v/>
      </c>
      <c r="EX82" s="477" t="str">
        <f t="shared" ca="1" si="271"/>
        <v/>
      </c>
      <c r="EY82" s="250">
        <v>0</v>
      </c>
      <c r="EZ82" s="605" t="str">
        <f ca="1">IF(OR(EW82="",EW83=""),"",SQRT(SUM(INDEX(FK82:ID82,SwaptionFirstMonthPosition+1):INDEX(FK82:ID82,FJ82))/SUM(INDEX($FK$15:$ID$15,SwaptionFirstMonthPosition+1):INDEX($FK$15:$ID$15,FJ82))))</f>
        <v/>
      </c>
      <c r="FA82" s="581" t="str">
        <f ca="1">IF(OR(EW82="",EW81=""),"",SQRT(SUM(INDEX(FK82:ID82,SwaptionFirstMonthPosition+1):INDEX(FK82:ID82,FJ82-1))/SUM(INDEX($FK$15:$ID$15,SwaptionFirstMonthPosition+1):INDEX($FK$15:$ID$15,FJ82-1))))</f>
        <v/>
      </c>
      <c r="FB82" s="578" t="str">
        <f t="shared" ca="1" si="190"/>
        <v/>
      </c>
      <c r="FC82" s="609" t="str">
        <f t="shared" ca="1" si="191"/>
        <v/>
      </c>
      <c r="FD82" s="579" t="str">
        <f t="shared" ca="1" si="192"/>
        <v/>
      </c>
      <c r="FE82" s="579" t="str">
        <f t="shared" ca="1" si="193"/>
        <v/>
      </c>
      <c r="FF82" s="579" t="str">
        <f t="shared" ca="1" si="194"/>
        <v/>
      </c>
      <c r="FG82" s="580" t="str">
        <f t="shared" ca="1" si="195"/>
        <v/>
      </c>
      <c r="FH82" s="606" t="str">
        <f t="shared" ca="1" si="196"/>
        <v/>
      </c>
      <c r="FI82" s="250"/>
      <c r="FJ82" s="673">
        <v>63</v>
      </c>
      <c r="FK82" s="460">
        <f t="shared" ca="1" si="197"/>
        <v>0</v>
      </c>
      <c r="FL82" s="460">
        <f t="shared" ca="1" si="198"/>
        <v>2.1914024635449419E-3</v>
      </c>
      <c r="FM82" s="460">
        <f t="shared" ca="1" si="199"/>
        <v>2.5470896094648846E-3</v>
      </c>
      <c r="FN82" s="460">
        <f t="shared" ca="1" si="200"/>
        <v>2.1438549062136945E-3</v>
      </c>
      <c r="FO82" s="460">
        <f t="shared" ca="1" si="201"/>
        <v>2.2299824352198495E-3</v>
      </c>
      <c r="FP82" s="460">
        <f t="shared" ca="1" si="202"/>
        <v>2.471122003622199E-3</v>
      </c>
      <c r="FQ82" s="460">
        <f t="shared" ca="1" si="203"/>
        <v>2.0007006754382082E-3</v>
      </c>
      <c r="FR82" s="460">
        <f t="shared" ca="1" si="204"/>
        <v>2.0457063803411822E-3</v>
      </c>
      <c r="FS82" s="460">
        <f t="shared" ca="1" si="205"/>
        <v>2.3054663024408908E-3</v>
      </c>
      <c r="FT82" s="460">
        <f t="shared" ca="1" si="206"/>
        <v>2.0807068907287112E-3</v>
      </c>
      <c r="FU82" s="460">
        <f t="shared" ca="1" si="207"/>
        <v>2.0004317741459158E-3</v>
      </c>
      <c r="FV82" s="460">
        <f t="shared" ca="1" si="208"/>
        <v>2.198418301508724E-3</v>
      </c>
      <c r="FW82" s="460">
        <f t="shared" ca="1" si="209"/>
        <v>2.0547973408921042E-3</v>
      </c>
      <c r="FX82" s="460">
        <f t="shared" ca="1" si="210"/>
        <v>2.1868959153505396E-3</v>
      </c>
      <c r="FY82" s="460">
        <f t="shared" ca="1" si="211"/>
        <v>2.04687063678375E-3</v>
      </c>
      <c r="FZ82" s="460">
        <f t="shared" ca="1" si="212"/>
        <v>1.908170589110526E-3</v>
      </c>
      <c r="GA82" s="460">
        <f t="shared" ca="1" si="213"/>
        <v>2.0427897462246079E-3</v>
      </c>
      <c r="GB82" s="460">
        <f t="shared" ca="1" si="214"/>
        <v>2.2458411430596736E-3</v>
      </c>
      <c r="GC82" s="460">
        <f t="shared" ca="1" si="215"/>
        <v>1.9729703493161334E-3</v>
      </c>
      <c r="GD82" s="460">
        <f t="shared" ca="1" si="216"/>
        <v>1.9726733513035282E-3</v>
      </c>
      <c r="GE82" s="460">
        <f t="shared" ca="1" si="217"/>
        <v>2.2447639167309076E-3</v>
      </c>
      <c r="GF82" s="460">
        <f t="shared" ca="1" si="218"/>
        <v>1.9729280213823652E-3</v>
      </c>
      <c r="GG82" s="460">
        <f t="shared" ca="1" si="219"/>
        <v>2.1775698838551539E-3</v>
      </c>
      <c r="GH82" s="460">
        <f t="shared" ca="1" si="220"/>
        <v>2.0422213906892478E-3</v>
      </c>
      <c r="GI82" s="460">
        <f t="shared" ca="1" si="221"/>
        <v>1.9751047238604743E-3</v>
      </c>
      <c r="GJ82" s="460">
        <f t="shared" ca="1" si="222"/>
        <v>2.2489013848638636E-3</v>
      </c>
      <c r="GK82" s="460">
        <f t="shared" ca="1" si="223"/>
        <v>2.0459756487818891E-3</v>
      </c>
      <c r="GL82" s="460">
        <f t="shared" ca="1" si="224"/>
        <v>1.9795426078816855E-3</v>
      </c>
      <c r="GM82" s="460">
        <f t="shared" ca="1" si="225"/>
        <v>2.1183103954629996E-3</v>
      </c>
      <c r="GN82" s="460">
        <f t="shared" ca="1" si="226"/>
        <v>2.1209703594872883E-3</v>
      </c>
      <c r="GO82" s="460">
        <f t="shared" ca="1" si="227"/>
        <v>2.1241069694320396E-3</v>
      </c>
      <c r="GP82" s="460">
        <f t="shared" ca="1" si="228"/>
        <v>1.9218817243196705E-3</v>
      </c>
      <c r="GQ82" s="460">
        <f t="shared" ca="1" si="229"/>
        <v>2.1321347959077277E-3</v>
      </c>
      <c r="GR82" s="460">
        <f t="shared" ca="1" si="230"/>
        <v>2.0682856599869336E-3</v>
      </c>
      <c r="GS82" s="460">
        <f t="shared" ca="1" si="231"/>
        <v>2.1432094339754316E-3</v>
      </c>
      <c r="GT82" s="460">
        <f t="shared" ca="1" si="232"/>
        <v>2.0808702663527158E-3</v>
      </c>
      <c r="GU82" s="460">
        <f t="shared" ca="1" si="233"/>
        <v>2.1584821444900447E-3</v>
      </c>
      <c r="GV82" s="460">
        <f t="shared" ca="1" si="234"/>
        <v>2.1681769090503276E-3</v>
      </c>
      <c r="GW82" s="460">
        <f t="shared" ca="1" si="235"/>
        <v>2.1092686291309349E-3</v>
      </c>
      <c r="GX82" s="460">
        <f t="shared" ca="1" si="236"/>
        <v>2.1929954113671176E-3</v>
      </c>
      <c r="GY82" s="460">
        <f t="shared" ca="1" si="237"/>
        <v>2.1375514079777728E-3</v>
      </c>
      <c r="GZ82" s="460">
        <f t="shared" ca="1" si="238"/>
        <v>2.2274486657298822E-3</v>
      </c>
      <c r="HA82" s="460">
        <f t="shared" ca="1" si="239"/>
        <v>2.2494726426618606E-3</v>
      </c>
      <c r="HB82" s="460">
        <f t="shared" ca="1" si="240"/>
        <v>2.1287221772759743E-3</v>
      </c>
      <c r="HC82" s="460">
        <f t="shared" ca="1" si="241"/>
        <v>2.306421892656476E-3</v>
      </c>
      <c r="HD82" s="460">
        <f t="shared" ca="1" si="242"/>
        <v>2.2675426004620542E-3</v>
      </c>
      <c r="HE82" s="460">
        <f t="shared" ca="1" si="243"/>
        <v>2.3868591983135629E-3</v>
      </c>
      <c r="HF82" s="460">
        <f t="shared" ca="1" si="244"/>
        <v>2.3604462626177986E-3</v>
      </c>
      <c r="HG82" s="460">
        <f t="shared" ca="1" si="245"/>
        <v>2.501832406241686E-3</v>
      </c>
      <c r="HH82" s="460">
        <f t="shared" ca="1" si="246"/>
        <v>2.5773860053533736E-3</v>
      </c>
      <c r="HI82" s="460">
        <f t="shared" ca="1" si="247"/>
        <v>2.5827968978312113E-3</v>
      </c>
      <c r="HJ82" s="460">
        <f t="shared" ca="1" si="248"/>
        <v>2.7803834330014624E-3</v>
      </c>
      <c r="HK82" s="460">
        <f t="shared" ca="1" si="249"/>
        <v>2.8230985840403916E-3</v>
      </c>
      <c r="HL82" s="460">
        <f t="shared" ca="1" si="250"/>
        <v>3.0865108266968496E-3</v>
      </c>
      <c r="HM82" s="460">
        <f t="shared" ca="1" si="251"/>
        <v>3.298108567151761E-3</v>
      </c>
      <c r="HN82" s="460">
        <f t="shared" ca="1" si="252"/>
        <v>3.2206037406088605E-3</v>
      </c>
      <c r="HO82" s="460">
        <f t="shared" ca="1" si="253"/>
        <v>3.9087105288368859E-3</v>
      </c>
      <c r="HP82" s="460">
        <f t="shared" ca="1" si="254"/>
        <v>4.2153139771551667E-3</v>
      </c>
      <c r="HQ82" s="460">
        <f t="shared" ca="1" si="255"/>
        <v>4.950112157985429E-3</v>
      </c>
      <c r="HR82" s="460">
        <f t="shared" ca="1" si="256"/>
        <v>5.5729624255175811E-3</v>
      </c>
      <c r="HS82" s="460">
        <f t="shared" ca="1" si="257"/>
        <v>6.8903167476820557E-3</v>
      </c>
      <c r="HT82" s="460">
        <f t="shared" ca="1" si="258"/>
        <v>8.5284699091611391E-3</v>
      </c>
      <c r="HU82" s="460">
        <f t="shared" ca="1" si="259"/>
        <v>1.0644763916949284E-2</v>
      </c>
      <c r="HV82" s="460" t="str">
        <f t="shared" si="260"/>
        <v/>
      </c>
      <c r="HW82" s="460" t="str">
        <f t="shared" si="261"/>
        <v/>
      </c>
      <c r="HX82" s="460" t="str">
        <f t="shared" si="262"/>
        <v/>
      </c>
      <c r="HY82" s="460" t="str">
        <f t="shared" si="263"/>
        <v/>
      </c>
      <c r="HZ82" s="460" t="str">
        <f t="shared" si="264"/>
        <v/>
      </c>
      <c r="IA82" s="460" t="str">
        <f t="shared" si="265"/>
        <v/>
      </c>
      <c r="IB82" s="460" t="str">
        <f t="shared" si="266"/>
        <v/>
      </c>
      <c r="IC82" s="460" t="str">
        <f t="shared" si="267"/>
        <v/>
      </c>
      <c r="ID82" s="674" t="str">
        <f t="shared" si="268"/>
        <v/>
      </c>
      <c r="IE82" s="250"/>
    </row>
    <row r="83" spans="8:239">
      <c r="H83" s="51">
        <f t="shared" ca="1" si="35"/>
        <v>0</v>
      </c>
      <c r="I83" s="379">
        <f t="shared" si="36"/>
        <v>38687</v>
      </c>
      <c r="J83" s="377"/>
      <c r="K83" s="104" t="s">
        <v>269</v>
      </c>
      <c r="L83" s="392">
        <f t="shared" si="37"/>
        <v>0</v>
      </c>
      <c r="M83" s="171"/>
      <c r="N83" s="382">
        <v>0</v>
      </c>
      <c r="O83" s="171">
        <f t="shared" ref="O83:O146" si="272">M83+N83</f>
        <v>0</v>
      </c>
      <c r="P83" s="377"/>
      <c r="Q83" s="104" t="s">
        <v>268</v>
      </c>
      <c r="R83" s="377">
        <f t="shared" ca="1" si="148"/>
        <v>-1.1451747997700243</v>
      </c>
      <c r="S83" s="832">
        <f t="shared" si="164"/>
        <v>0.36000000071756011</v>
      </c>
      <c r="T83" s="831">
        <f t="shared" si="149"/>
        <v>0.99999418752221159</v>
      </c>
      <c r="U83" s="545">
        <f t="shared" si="150"/>
        <v>0.99999999979818621</v>
      </c>
      <c r="V83" s="389">
        <v>0</v>
      </c>
      <c r="W83" s="434">
        <f t="shared" ref="W83:W114" si="273">(J84*AJ83+J85*AK83)/AI83</f>
        <v>0</v>
      </c>
      <c r="X83" s="415">
        <f t="shared" ref="X83:X114" si="274">(L84*AJ83+L85*AK83)/AI83</f>
        <v>0</v>
      </c>
      <c r="Y83" s="322">
        <f t="shared" ref="Y83:Y114" si="275">IF(Q85="extra",W83-AA83,(P84*AM83+P85*AN83)/AL83)</f>
        <v>-1.1445999999999998</v>
      </c>
      <c r="Z83" s="322">
        <f t="shared" ref="Z83:Z114" ca="1" si="276">IF(Q85="extra",X83-AB83,(R84*AM83+R85*AN83)/AL83)</f>
        <v>-1.1445999999999998</v>
      </c>
      <c r="AA83" s="429">
        <f t="shared" ref="AA83:AA146" si="277">IF(Q85="extra",INDEX(BrentSeasonalityTable,INT((BG83-1)/3)+1)*VLOOKUP(MAX(BF83,$AB$4),PriceSpreadTable,3),W83-Y83)</f>
        <v>1.1445999999999998</v>
      </c>
      <c r="AB83" s="433">
        <f t="shared" ref="AB83:AB146" ca="1" si="278">IF(Q85="extra",INDEX(BrentSeasonalityTable,INT((BG83-1)/3)+1)*VLOOKUP(MAX(BF83,$AB$4),PriceSpreadTable,3),X83-Z83)</f>
        <v>1.1445999999999998</v>
      </c>
      <c r="AC83" s="229">
        <v>38676</v>
      </c>
      <c r="AD83" s="229">
        <v>38672</v>
      </c>
      <c r="AE83" s="229">
        <v>38671</v>
      </c>
      <c r="AF83" s="229">
        <v>38667</v>
      </c>
      <c r="AG83" s="249" t="s">
        <v>497</v>
      </c>
      <c r="AH83" s="247" t="s">
        <v>499</v>
      </c>
      <c r="AI83" s="146">
        <v>22</v>
      </c>
      <c r="AJ83" s="41">
        <v>14</v>
      </c>
      <c r="AK83" s="41">
        <v>8</v>
      </c>
      <c r="AL83" s="293">
        <v>22</v>
      </c>
      <c r="AM83" s="41">
        <v>10</v>
      </c>
      <c r="AN83" s="147">
        <v>12</v>
      </c>
      <c r="AO83" s="374"/>
      <c r="AP83" s="153">
        <f t="shared" ca="1" si="43"/>
        <v>1</v>
      </c>
      <c r="AQ83" s="374"/>
      <c r="AR83" s="153">
        <f t="shared" ca="1" si="151"/>
        <v>1</v>
      </c>
      <c r="AS83" s="272">
        <f t="shared" ref="AS83:AS114" si="279">(O84*AJ83+O85*AK83)/AI83</f>
        <v>0</v>
      </c>
      <c r="AT83" s="157">
        <f t="shared" si="44"/>
        <v>0</v>
      </c>
      <c r="AU83" s="157">
        <f t="shared" ref="AU83:AU146" si="280">(AT84*AM83+AT85*AN83)/AL83</f>
        <v>0</v>
      </c>
      <c r="AV83" s="271">
        <f t="shared" ca="1" si="163"/>
        <v>9.9999999999999995E-7</v>
      </c>
      <c r="AW83" s="158" t="str">
        <f t="shared" ref="AW83:AW114" ca="1" si="281">IF($I83-DateToday+15&gt;=$T$8,"",IF($I83-DateToday+15&lt;$T$5,1,MATCH($I83-DateToday+15,$T$5:$T$8)))</f>
        <v/>
      </c>
      <c r="AX83" s="157">
        <f t="shared" ca="1" si="152"/>
        <v>3.0471579178696345E-3</v>
      </c>
      <c r="AY83" s="157">
        <f t="shared" ca="1" si="153"/>
        <v>1.5498457312830207E-3</v>
      </c>
      <c r="AZ83" s="157">
        <f t="shared" ca="1" si="154"/>
        <v>3.8407086815324545E-4</v>
      </c>
      <c r="BA83" s="157">
        <f t="shared" ca="1" si="155"/>
        <v>4.8008858519155681E-5</v>
      </c>
      <c r="BB83" s="157">
        <f t="shared" ca="1" si="156"/>
        <v>1.2190881113710733E-5</v>
      </c>
      <c r="BC83" s="157">
        <f t="shared" ca="1" si="157"/>
        <v>4.6097009926246312E-6</v>
      </c>
      <c r="BD83" s="151">
        <f t="shared" ref="BD83:BD114" ca="1" si="282">IF(OR(DateStart&gt;=I84,DateEnd&lt;I83),0,IF(VolumeOverrideFlag,V83,Volume))</f>
        <v>0</v>
      </c>
      <c r="BE83" s="152">
        <f t="shared" ref="BE83:BE114" ca="1" si="283">IF(OR(DateStart2&gt;=I84,DateEnd2&lt;I83),0,IF(VolumeOverrideFlag,V83,VolumeSwaption))</f>
        <v>0</v>
      </c>
      <c r="BF83" s="40">
        <f t="shared" ref="BF83:BF114" si="284">YEAR(I83)</f>
        <v>2005</v>
      </c>
      <c r="BG83" s="144">
        <f t="shared" ref="BG83:BG114" si="285">MONTH(I83)</f>
        <v>12</v>
      </c>
      <c r="BH83" s="145">
        <f t="shared" ref="BH83:BH114" ca="1" si="286">AD83-DateToday+1</f>
        <v>1927</v>
      </c>
      <c r="BI83" s="313">
        <f t="shared" ref="BI83:BI100" ca="1" si="287">(I83-DateToday+1)/365.25</f>
        <v>5.3169062286105406</v>
      </c>
      <c r="BJ83" s="42">
        <f t="shared" ref="BJ83:BJ146" ca="1" si="288">BI83+(BL83-BI83)*CHOOSE(Underlying,AJ83/AI83,AM83/AL83)</f>
        <v>5.369174289092153</v>
      </c>
      <c r="BK83" s="42">
        <f t="shared" ref="BK83:BK146" ca="1" si="289">BJ83+1/365.25</f>
        <v>5.3719121398792851</v>
      </c>
      <c r="BL83" s="42">
        <f t="shared" ref="BL83:BL100" ca="1" si="290">(I84-DateToday)/365.25</f>
        <v>5.3990417522245036</v>
      </c>
      <c r="BM83" s="150" t="e">
        <f t="shared" ref="BM83:BM146" ca="1" si="291">MAX(BI83-(BJ83-BI83)*(S84^2/O84^2-1),0)</f>
        <v>#DIV/0!</v>
      </c>
      <c r="BN83" s="42" t="e">
        <f t="shared" ref="BN83:BN146" ca="1" si="292">MAX(BL83+(BL83-BK83)*(S85^2/O85^2-1),0)</f>
        <v>#DIV/0!</v>
      </c>
      <c r="BO83" s="293">
        <f t="shared" si="48"/>
        <v>22</v>
      </c>
      <c r="BP83" s="41">
        <f t="shared" ref="BP83:BP100" si="293">CHOOSE(Underlying,AJ83,AM83)</f>
        <v>14</v>
      </c>
      <c r="BQ83" s="41">
        <f t="shared" ref="BQ83:BQ100" si="294">CHOOSE(Underlying,AK83,AN83)</f>
        <v>8</v>
      </c>
      <c r="BR83" s="305" t="str">
        <f t="shared" ref="BR83:BR146" ca="1" si="295">IF(BD83,IF(Underlying=1,X83,Z83)+UnderlyingPriceAsian-SwapPriceCurve,"")</f>
        <v/>
      </c>
      <c r="BS83" s="305" t="str">
        <f t="shared" ref="BS83:BS100" ca="1" si="296">IF(BD83,Strike1/BR83-1,"")</f>
        <v/>
      </c>
      <c r="BT83" s="307" t="str">
        <f t="shared" ref="BT83:BT100" ca="1" si="297">IF(BD83,Strike2/BR83-1,"")</f>
        <v/>
      </c>
      <c r="BU83" s="161" t="str">
        <f t="shared" ref="BU83:BU146" ca="1" si="298">IF(BD83,IF(Underlying=1,L84,R84)+UnderlyingPriceAsian-SwapPriceCurve,"")</f>
        <v/>
      </c>
      <c r="BV83" s="161" t="str">
        <f t="shared" ref="BV83:BV146" ca="1" si="299">IF(BD83,IF(Underlying=1,L85,R85)+UnderlyingPriceAsian-SwapPriceCurve,"")</f>
        <v/>
      </c>
      <c r="BW83" s="308" t="str">
        <f t="shared" ref="BW83:BW146" ca="1" si="300">IF(BD83,IF(Underlying=1,O84,AT84),"")</f>
        <v/>
      </c>
      <c r="BX83" s="309" t="str">
        <f t="shared" ref="BX83:BX146" ca="1" si="301">IF(BD83,IF(Underlying=1,O85,AT85),"")</f>
        <v/>
      </c>
      <c r="BY83" s="308" t="str">
        <f t="shared" ca="1" si="51"/>
        <v/>
      </c>
      <c r="BZ83" s="309" t="str">
        <f t="shared" ca="1" si="52"/>
        <v/>
      </c>
      <c r="CA83" s="154" t="str">
        <f t="shared" ref="CA83:CA146" ca="1" si="302">IF($BD83,$BW83+IF(VolSkewFlag=1,IF(BS83&gt;0,$BA83*MIN(BS83/10%,1)+($BB83-$BA83)*MAX(0,MIN(BS83/10%-1,1))+($BC83-$BB83)*MAX(0,BS83/10%-2),$AZ83*MIN(-BS83/10%,1)+($AY83-$AZ83)*MAX(0,MIN(-BS83/10%-1,1))+($AX83-$AY83)*MAX(0,-BS83/10%-2)),0),"")</f>
        <v/>
      </c>
      <c r="CB83" s="154" t="str">
        <f t="shared" ref="CB83:CB146" ca="1" si="303">IF($BD83,$BX83+IF(VolSkewFlag=1,IF(BS83&gt;0,$BA83*MIN(BS83/10%,1)+($BB83-$BA83)*MAX(0,MIN(BS83/10%-1,1))+($BC83-$BB83)*MAX(0,BS83/10%-2),$AZ83*MIN(-BS83/10%,1)+($AY83-$AZ83)*MAX(0,MIN(-BS83/10%-1,1))+($AX83-$AY83)*MAX(0,-BS83/10%-2)),0),"")</f>
        <v/>
      </c>
      <c r="CC83" s="154" t="str">
        <f t="shared" ref="CC83:CC146" ca="1" si="304">IF($BD83,$BW83+IF(VolSkewFlag=1,IF(BT83&gt;0,$BA83*MIN(BT83/10%,1)+($BB83-$BA83)*MAX(0,MIN(BT83/10%-1,1))+($BC83-$BB83)*MAX(0,BT83/10%-2),$AZ83*MIN(-BT83/10%,1)+($AY83-$AZ83)*MAX(0,MIN(-BT83/10%-1,1))+($AX83-$AY83)*MAX(0,-BT83/10%-2)),0),"")</f>
        <v/>
      </c>
      <c r="CD83" s="154" t="str">
        <f t="shared" ref="CD83:CD146" ca="1" si="305">IF($BD83,$BX83+IF(VolSkewFlag=1,IF(BT83&gt;0,$BA83*MIN(BT83/10%,1)+($BB83-$BA83)*MAX(0,MIN(BT83/10%-1,1))+($BC83-$BB83)*MAX(0,BT83/10%-2),$AZ83*MIN(-BT83/10%,1)+($AY83-$AZ83)*MAX(0,MIN(-BT83/10%-1,1))+($AX83-$AY83)*MAX(0,-BT83/10%-2)),0),"")</f>
        <v/>
      </c>
      <c r="CE83" s="310">
        <v>1</v>
      </c>
      <c r="CF83" s="162">
        <f ca="1">IF(BD83,_xll.xCrudeAPO(BU83,BV83,CA83,CB83,S84,S85,BI83,BL83,BP83,BQ83,0,Strike1,AO83,CE83,0,BL83,IF(OptControl=4,0,1),0,1),0)</f>
        <v>0</v>
      </c>
      <c r="CG83" s="163">
        <f ca="1">IF(BD83,_xll.xCrudeAPO(BU83,BV83,CA83,CB83,S84,S85,BI83,BL83,BP83,BQ83,0,Strike1,AO83,CE83,0,BL83,IF(OptControl=4,0,1),1,1)+_xll.xCrudeAPO(BU83,BV83,CA83,CB83,S84,S85,BI83,BL83,BP83,BQ83,0,Strike1,AO83,CE83,0,BL83,IF(OptControl=4,0,1),1,2)+IF(OR(VolSkewFlag=2,ABS(BS83)&lt;0.0001),0,IF(BS83&gt;0,-1,1)*CH83*Strike1/BR83^2*BY83/10%),0)</f>
        <v>0</v>
      </c>
      <c r="CH83" s="163">
        <f ca="1">IF(BD83,(_xll.xCrudeAPO(BU83,BV83,CA83,CB83,S84,S85,BI83,BL83,BP83,BQ83,0,Strike1,AO83,CE83,0,BL83,IF(OptControl=4,0,1),3,1)+_xll.xCrudeAPO(BU83,BV83,CA83,CB83,S84,S85,BI83,BL83,BP83,BQ83,0,Strike1,AO83,CE83,0,BL83,IF(OptControl=4,0,1),3,2))/100,0)</f>
        <v>0</v>
      </c>
      <c r="CI83" s="163">
        <f ca="1">IF(BD83,_xll.xCrudeAPO(BU83,BV83,CA83,CB83,S84,S85,BI83-DaysForThetaCalculation/365.25,BL83-DaysForThetaCalculation/365.25,BP83,BQ83,0,Strike1,AO83,CE83,0,BL83,IF(OptControl=4,0,1),0,1)-_xll.xCrudeAPO(BU83,BV83,CA83,CB83,S84,S85,BI83,BL83,BP83,BQ83,0,Strike1,AO83,CE83,0,BL83,IF(OptControl=4,0,1),0,1),0)</f>
        <v>0</v>
      </c>
      <c r="CJ83" s="311">
        <f ca="1">IF(BD83,_xll.xCrudeAPO(BU83,BV83,CC83,CD83,S84,S85,BI83,BL83,BP83,BQ83,0,Strike2,AO83,CE83,0,BL83,IF(OptControl=3,1,0),0,1),0)</f>
        <v>0</v>
      </c>
      <c r="CK83" s="163">
        <f ca="1">IF(BD83,_xll.xCrudeAPO(BU83,BV83,CC83,CD83,S84,S85,BI83,BL83,BP83,BQ83,0,Strike2,AO83,CE83,0,BL83,IF(OptControl=3,1,0),1,1)+_xll.xCrudeAPO(BU83,BV83,CC83,CD83,S84,S85,BI83,BL83,BP83,BQ83,0,Strike2,AO83,CE83,0,BL83,IF(OptControl=3,1,0),1,2)+IF(OR(VolSkewFlag=2,ABS(BT83)&lt;0.0001),0,IF(BT83&gt;0,-1,1)*CL83*Strike2/BR83^2*BZ83/10%),0)</f>
        <v>0</v>
      </c>
      <c r="CL83" s="163">
        <f ca="1">IF(BD83,(_xll.xCrudeAPO(BU83,BV83,CC83,CD83,S84,S85,BI83,BL83,BP83,BQ83,0,Strike2,AO83,CE83,0,BL83,IF(OptControl=3,1,0),3,1)+_xll.xCrudeAPO(BU83,BV83,CC83,CD83,S84,S85,BI83,BL83,BP83,BQ83,0,Strike2,AO83,CE83,0,BL83,IF(OptControl=3,1,0),3,2))/100,0)</f>
        <v>0</v>
      </c>
      <c r="CM83" s="164">
        <f ca="1">IF(BD83,_xll.xCrudeAPO(BU83,BV83,CC83,CD83,S84,S85,BI83-DaysForThetaCalculation/365.25,BL83-DaysForThetaCalculation/365.25,BP83,BQ83,0,Strike2,AO83,CE83,0,BL83,IF(OptControl=3,1,0),0,1)-_xll.xCrudeAPO(BU83,BV83,CC83,CD83,S84,S85,BI83,BL83,BP83,BQ83,0,Strike2,AO83,CE83,0,BL83,IF(OptControl=3,1,0),0,1),0)</f>
        <v>0</v>
      </c>
      <c r="CN83" s="53"/>
      <c r="CO83" s="796" t="str">
        <f t="shared" ca="1" si="53"/>
        <v/>
      </c>
      <c r="CP83" s="800" t="str">
        <f t="shared" ca="1" si="54"/>
        <v/>
      </c>
      <c r="CQ83" s="797" t="str">
        <f t="shared" ca="1" si="55"/>
        <v/>
      </c>
      <c r="CR83" s="797" t="str">
        <f t="shared" ca="1" si="56"/>
        <v/>
      </c>
      <c r="CS83" s="797" t="str">
        <f t="shared" ca="1" si="57"/>
        <v/>
      </c>
      <c r="CT83" s="797" t="str">
        <f t="shared" ca="1" si="58"/>
        <v/>
      </c>
      <c r="CU83" s="798" t="str">
        <f t="shared" ca="1" si="59"/>
        <v/>
      </c>
      <c r="CV83" s="799" t="str">
        <f t="shared" ca="1" si="60"/>
        <v/>
      </c>
      <c r="CW83" s="799" t="str">
        <f t="shared" ca="1" si="61"/>
        <v/>
      </c>
      <c r="CX83" s="163">
        <f ca="1">IF(BD83,_xll.EURO(CP83,Strike1,AO83,AO83,CV83,CO83,IF(OptControl=4,0,1),0),0)</f>
        <v>0</v>
      </c>
      <c r="CY83" s="163">
        <f ca="1">IF(BD83,_xll.EURO(CP83,Strike1,AO83,AO83,CV83,CO83,IF(OptControl=4,0,1),1)+IF(OR(VolSkewFlag=2,ABS(CQ83)&lt;0.0001),0,IF(CQ83&gt;0,-1,1)*CZ83*100*Strike1/CP83^2*CS83/10%),0)</f>
        <v>0</v>
      </c>
      <c r="CZ83" s="163">
        <f ca="1">IF(BD83,_xll.EURO(CP83,Strike1,AO83,AO83,CV83,CO83,IF(OptControl=4,0,1),3)/100,0)</f>
        <v>0</v>
      </c>
      <c r="DA83" s="163">
        <f ca="1">IF(BD83,_xll.EURO(CP83,Strike1,AO83,AO83,CV83,CO83,IF(OptControl=4,0,1),0)-_xll.EURO(CP83,Strike1,AO83,AO83,CV83,CO83-1,IF(OptControl=4,0,1),0),0)</f>
        <v>0</v>
      </c>
      <c r="DB83" s="163">
        <f ca="1">IF(BD83,_xll.EURO(CP83,Strike2,AO83,AO83,CW83,CO83,IF(OptControl=3,1,0),0),0)</f>
        <v>0</v>
      </c>
      <c r="DC83" s="163">
        <f ca="1">IF(BD83,_xll.EURO(CP83,Strike2,AO83,AO83,CW83,CO83,IF(OptControl=3,1,0),1)+IF(OR(VolSkewFlag=2,ABS(CR83)&lt;0.0001),0,IF(CR83&gt;0,-1,1)*DD83*100*Strike2/CP83^2*CT83/10%),0)</f>
        <v>0</v>
      </c>
      <c r="DD83" s="163">
        <f ca="1">IF(BD83,_xll.EURO(CP83,Strike2,AO83,AO83,CW83,CO83,IF(OptControl=3,1,0),3)/100,0)</f>
        <v>0</v>
      </c>
      <c r="DE83" s="164">
        <f ca="1">IF(BD83,_xll.EURO(CP83,Strike2,AO83,AO83,CW83,CO83,IF(OptControl=3,1,0),0)-_xll.EURO(CP83,Strike2,AO83,AO83,CW83,CO83-1,IF(OptControl=3,1,0),0),0)</f>
        <v>0</v>
      </c>
      <c r="DG83" s="667">
        <f t="shared" ca="1" si="62"/>
        <v>38473</v>
      </c>
      <c r="DH83" s="475">
        <v>18.343333333333334</v>
      </c>
      <c r="DI83" s="665">
        <v>18.338939393939395</v>
      </c>
      <c r="DJ83" s="666">
        <f t="shared" ref="DJ83:DJ114" ca="1" si="306">DG83</f>
        <v>38473</v>
      </c>
      <c r="DK83" s="475">
        <v>17.196946132110476</v>
      </c>
      <c r="DL83" s="665">
        <v>17.078939393939393</v>
      </c>
      <c r="DM83" s="667">
        <f t="shared" ref="DM83:DM114" ca="1" si="307">DG83</f>
        <v>38473</v>
      </c>
      <c r="DN83" s="668">
        <f t="shared" ref="DN83:DN114" si="308">DK83+BrentPhyBrentSpread</f>
        <v>17.246946132110477</v>
      </c>
      <c r="DO83" s="667">
        <f t="shared" ca="1" si="63"/>
        <v>38473</v>
      </c>
      <c r="DP83" s="579">
        <f t="shared" si="64"/>
        <v>17.078939393939393</v>
      </c>
      <c r="DQ83" s="821">
        <v>0</v>
      </c>
      <c r="DR83" s="666">
        <f t="shared" ref="DR83:DR114" ca="1" si="309">DG83</f>
        <v>38473</v>
      </c>
      <c r="DS83" s="669">
        <v>0.19318264306442504</v>
      </c>
      <c r="DT83" s="606">
        <v>0.19262399243936781</v>
      </c>
      <c r="DU83" s="666">
        <f t="shared" ref="DU83:DU114" ca="1" si="310">DG83</f>
        <v>38473</v>
      </c>
      <c r="DV83" s="669">
        <v>0.19318264306442504</v>
      </c>
      <c r="DW83" s="606">
        <v>0.19262399243936781</v>
      </c>
      <c r="DX83" s="667">
        <f t="shared" ref="DX83:DX114" ca="1" si="311">DG83</f>
        <v>38473</v>
      </c>
      <c r="DY83" s="606">
        <v>0.35</v>
      </c>
      <c r="DZ83" s="667">
        <f t="shared" ca="1" si="65"/>
        <v>38473</v>
      </c>
      <c r="EA83" s="606">
        <f t="shared" si="66"/>
        <v>0.19262399243936781</v>
      </c>
      <c r="EB83" s="1"/>
      <c r="EC83" s="118" t="str">
        <f t="shared" ref="EC83:EC114" ca="1" si="312">IF(BD83,IF(Underlying=1,AS83,AU83),"")</f>
        <v/>
      </c>
      <c r="ED83" s="119" t="str">
        <f t="shared" ref="ED83:ED146" ca="1" si="313">IF($BD83,$EC83+IF(VolSkewFlag=1,IF(BS83&gt;0,$BA83*MIN(BS83/10%,1)+($BB83-$BA83)*MAX(0,MIN(BS83/10%-1,1))+($BC83-$BB83)*MAX(0,BS83/10%-2),$AZ83*MIN(-BS83/10%,1)+($AY83-$AZ83)*MAX(0,MIN(-BS83/10%-1,1))+($AX83-$AY83)*MAX(0,-BS83/10%-2)),0),"")</f>
        <v/>
      </c>
      <c r="EE83" s="112" t="str">
        <f t="shared" ref="EE83:EE146" ca="1" si="314">IF($BD83,$EC83+IF(VolSkewFlag=1,IF(BT83&gt;0,$BA83*MIN(BT83/10%,1)+($BB83-$BA83)*MAX(0,MIN(BT83/10%-1,1))+($BC83-$BB83)*MAX(0,BT83/10%-2),$AZ83*MIN(-BT83/10%,1)+($AY83-$AZ83)*MAX(0,MIN(-BT83/10%-1,1))+($AX83-$AY83)*MAX(0,-BT83/10%-2)),0),"")</f>
        <v/>
      </c>
      <c r="EF83" s="120">
        <f ca="1">IF(BD83,_xll.xASN(BR83,Strike1,AO83,ED83,0,BO83,0,BI83,BL83,IF(OptControl=4,0,1),0),0)</f>
        <v>0</v>
      </c>
      <c r="EG83" s="111">
        <f ca="1">IF(BD83,_xll.xASN(BR83,Strike2,AO83,EE83,0,BO83,0,BI83,BL83,IF(OptControl=3,1,0),0),0)</f>
        <v>0</v>
      </c>
      <c r="EL83" s="55"/>
      <c r="EM83" s="1"/>
      <c r="EN83" s="697">
        <v>43459</v>
      </c>
      <c r="EO83" s="698">
        <v>48207</v>
      </c>
      <c r="EP83" s="1"/>
      <c r="EQ83" s="683" t="s">
        <v>296</v>
      </c>
      <c r="ES83" s="498">
        <v>64</v>
      </c>
      <c r="ET83" s="476">
        <f t="shared" ca="1" si="165"/>
        <v>5.2758384668035596</v>
      </c>
      <c r="EU83" s="842">
        <f t="shared" ca="1" si="189"/>
        <v>0</v>
      </c>
      <c r="EV83" s="815">
        <f t="shared" ca="1" si="269"/>
        <v>0.17981170248697143</v>
      </c>
      <c r="EW83" s="478" t="str">
        <f t="shared" ca="1" si="270"/>
        <v/>
      </c>
      <c r="EX83" s="477" t="str">
        <f t="shared" ca="1" si="271"/>
        <v/>
      </c>
      <c r="EY83" s="250">
        <v>0</v>
      </c>
      <c r="EZ83" s="605" t="str">
        <f ca="1">IF(OR(EW83="",EW84=""),"",SQRT(SUM(INDEX(FK83:ID83,SwaptionFirstMonthPosition+1):INDEX(FK83:ID83,FJ83))/SUM(INDEX($FK$15:$ID$15,SwaptionFirstMonthPosition+1):INDEX($FK$15:$ID$15,FJ83))))</f>
        <v/>
      </c>
      <c r="FA83" s="581" t="str">
        <f ca="1">IF(OR(EW83="",EW82=""),"",SQRT(SUM(INDEX(FK83:ID83,SwaptionFirstMonthPosition+1):INDEX(FK83:ID83,FJ83-1))/SUM(INDEX($FK$15:$ID$15,SwaptionFirstMonthPosition+1):INDEX($FK$15:$ID$15,FJ83-1))))</f>
        <v/>
      </c>
      <c r="FB83" s="578" t="str">
        <f t="shared" ca="1" si="190"/>
        <v/>
      </c>
      <c r="FC83" s="609" t="str">
        <f t="shared" ca="1" si="191"/>
        <v/>
      </c>
      <c r="FD83" s="579" t="str">
        <f t="shared" ca="1" si="192"/>
        <v/>
      </c>
      <c r="FE83" s="579" t="str">
        <f t="shared" ca="1" si="193"/>
        <v/>
      </c>
      <c r="FF83" s="579" t="str">
        <f t="shared" ca="1" si="194"/>
        <v/>
      </c>
      <c r="FG83" s="580" t="str">
        <f t="shared" ca="1" si="195"/>
        <v/>
      </c>
      <c r="FH83" s="606" t="str">
        <f t="shared" ca="1" si="196"/>
        <v/>
      </c>
      <c r="FI83" s="250"/>
      <c r="FJ83" s="673">
        <v>64</v>
      </c>
      <c r="FK83" s="460">
        <f t="shared" ca="1" si="197"/>
        <v>0</v>
      </c>
      <c r="FL83" s="460">
        <f t="shared" ca="1" si="198"/>
        <v>2.1913676159815844E-3</v>
      </c>
      <c r="FM83" s="460">
        <f t="shared" ca="1" si="199"/>
        <v>2.5470422367384529E-3</v>
      </c>
      <c r="FN83" s="460">
        <f t="shared" ca="1" si="200"/>
        <v>2.1438082710580233E-3</v>
      </c>
      <c r="FO83" s="460">
        <f t="shared" ca="1" si="201"/>
        <v>2.2299256999181128E-3</v>
      </c>
      <c r="FP83" s="460">
        <f t="shared" ca="1" si="202"/>
        <v>2.4710484710090772E-3</v>
      </c>
      <c r="FQ83" s="460">
        <f t="shared" ca="1" si="203"/>
        <v>2.0006310445690959E-3</v>
      </c>
      <c r="FR83" s="460">
        <f t="shared" ca="1" si="204"/>
        <v>2.0456231087464028E-3</v>
      </c>
      <c r="FS83" s="460">
        <f t="shared" ca="1" si="205"/>
        <v>2.3053565418979811E-3</v>
      </c>
      <c r="FT83" s="460">
        <f t="shared" ca="1" si="206"/>
        <v>2.0805910310663762E-3</v>
      </c>
      <c r="FU83" s="460">
        <f t="shared" ca="1" si="207"/>
        <v>2.0003014937761908E-3</v>
      </c>
      <c r="FV83" s="460">
        <f t="shared" ca="1" si="208"/>
        <v>2.1982508459940462E-3</v>
      </c>
      <c r="FW83" s="460">
        <f t="shared" ca="1" si="209"/>
        <v>2.054614281505053E-3</v>
      </c>
      <c r="FX83" s="460">
        <f t="shared" ca="1" si="210"/>
        <v>2.1866680464759044E-3</v>
      </c>
      <c r="FY83" s="460">
        <f t="shared" ca="1" si="211"/>
        <v>2.0466211881237759E-3</v>
      </c>
      <c r="FZ83" s="460">
        <f t="shared" ca="1" si="212"/>
        <v>1.9078986060462829E-3</v>
      </c>
      <c r="GA83" s="460">
        <f t="shared" ca="1" si="213"/>
        <v>2.0424491951781332E-3</v>
      </c>
      <c r="GB83" s="460">
        <f t="shared" ca="1" si="214"/>
        <v>2.2454032465648306E-3</v>
      </c>
      <c r="GC83" s="460">
        <f t="shared" ca="1" si="215"/>
        <v>1.9725204173193589E-3</v>
      </c>
      <c r="GD83" s="460">
        <f t="shared" ca="1" si="216"/>
        <v>1.972147194266144E-3</v>
      </c>
      <c r="GE83" s="460">
        <f t="shared" ca="1" si="217"/>
        <v>2.2440636479524774E-3</v>
      </c>
      <c r="GF83" s="460">
        <f t="shared" ca="1" si="218"/>
        <v>1.9722081760094831E-3</v>
      </c>
      <c r="GG83" s="460">
        <f t="shared" ca="1" si="219"/>
        <v>2.1766406308739157E-3</v>
      </c>
      <c r="GH83" s="460">
        <f t="shared" ca="1" si="220"/>
        <v>2.041202098801992E-3</v>
      </c>
      <c r="GI83" s="460">
        <f t="shared" ca="1" si="221"/>
        <v>1.9739517492076875E-3</v>
      </c>
      <c r="GJ83" s="460">
        <f t="shared" ca="1" si="222"/>
        <v>2.2473659410492731E-3</v>
      </c>
      <c r="GK83" s="460">
        <f t="shared" ca="1" si="223"/>
        <v>2.0443418526516878E-3</v>
      </c>
      <c r="GL83" s="460">
        <f t="shared" ca="1" si="224"/>
        <v>1.9776937814478908E-3</v>
      </c>
      <c r="GM83" s="460">
        <f t="shared" ca="1" si="225"/>
        <v>2.1159964411994209E-3</v>
      </c>
      <c r="GN83" s="460">
        <f t="shared" ca="1" si="226"/>
        <v>2.1182605818290874E-3</v>
      </c>
      <c r="GO83" s="460">
        <f t="shared" ca="1" si="227"/>
        <v>2.1209329518537844E-3</v>
      </c>
      <c r="GP83" s="460">
        <f t="shared" ca="1" si="228"/>
        <v>1.9185228520728469E-3</v>
      </c>
      <c r="GQ83" s="460">
        <f t="shared" ca="1" si="229"/>
        <v>2.1277765134614128E-3</v>
      </c>
      <c r="GR83" s="460">
        <f t="shared" ca="1" si="230"/>
        <v>2.0633409010916014E-3</v>
      </c>
      <c r="GS83" s="460">
        <f t="shared" ca="1" si="231"/>
        <v>2.1372165882591228E-3</v>
      </c>
      <c r="GT83" s="460">
        <f t="shared" ca="1" si="232"/>
        <v>2.0740649647923827E-3</v>
      </c>
      <c r="GU83" s="460">
        <f t="shared" ca="1" si="233"/>
        <v>2.1502258587346055E-3</v>
      </c>
      <c r="GV83" s="460">
        <f t="shared" ca="1" si="234"/>
        <v>2.1584770626864808E-3</v>
      </c>
      <c r="GW83" s="460">
        <f t="shared" ca="1" si="235"/>
        <v>2.0982320134587179E-3</v>
      </c>
      <c r="GX83" s="460">
        <f t="shared" ca="1" si="236"/>
        <v>2.1795746969770465E-3</v>
      </c>
      <c r="GY83" s="460">
        <f t="shared" ca="1" si="237"/>
        <v>2.1222515159948596E-3</v>
      </c>
      <c r="GZ83" s="460">
        <f t="shared" ca="1" si="238"/>
        <v>2.2088014761711566E-3</v>
      </c>
      <c r="HA83" s="460">
        <f t="shared" ca="1" si="239"/>
        <v>2.2274474212576998E-3</v>
      </c>
      <c r="HB83" s="460">
        <f t="shared" ca="1" si="240"/>
        <v>2.1043444936221681E-3</v>
      </c>
      <c r="HC83" s="460">
        <f t="shared" ca="1" si="241"/>
        <v>2.2755298881684074E-3</v>
      </c>
      <c r="HD83" s="460">
        <f t="shared" ca="1" si="242"/>
        <v>2.2320206603519389E-3</v>
      </c>
      <c r="HE83" s="460">
        <f t="shared" ca="1" si="243"/>
        <v>2.3431269396024666E-3</v>
      </c>
      <c r="HF83" s="460">
        <f t="shared" ca="1" si="244"/>
        <v>2.3098634340573401E-3</v>
      </c>
      <c r="HG83" s="460">
        <f t="shared" ca="1" si="245"/>
        <v>2.4391275621669026E-3</v>
      </c>
      <c r="HH83" s="460">
        <f t="shared" ca="1" si="246"/>
        <v>2.5018322196617439E-3</v>
      </c>
      <c r="HI83" s="460">
        <f t="shared" ca="1" si="247"/>
        <v>2.4942443817991223E-3</v>
      </c>
      <c r="HJ83" s="460">
        <f t="shared" ca="1" si="248"/>
        <v>2.6688900157996482E-3</v>
      </c>
      <c r="HK83" s="460">
        <f t="shared" ca="1" si="249"/>
        <v>2.6906935601846813E-3</v>
      </c>
      <c r="HL83" s="460">
        <f t="shared" ca="1" si="250"/>
        <v>2.9172018013386329E-3</v>
      </c>
      <c r="HM83" s="460">
        <f t="shared" ca="1" si="251"/>
        <v>3.0865107720731673E-3</v>
      </c>
      <c r="HN83" s="460">
        <f t="shared" ca="1" si="252"/>
        <v>2.9789367307907111E-3</v>
      </c>
      <c r="HO83" s="460">
        <f t="shared" ca="1" si="253"/>
        <v>3.5656683916068877E-3</v>
      </c>
      <c r="HP83" s="460">
        <f t="shared" ca="1" si="254"/>
        <v>3.7826230641811861E-3</v>
      </c>
      <c r="HQ83" s="460">
        <f t="shared" ca="1" si="255"/>
        <v>4.3558244186693495E-3</v>
      </c>
      <c r="HR83" s="460">
        <f t="shared" ca="1" si="256"/>
        <v>4.790431100512629E-3</v>
      </c>
      <c r="HS83" s="460">
        <f t="shared" ca="1" si="257"/>
        <v>5.7587278215627509E-3</v>
      </c>
      <c r="HT83" s="460">
        <f t="shared" ca="1" si="258"/>
        <v>6.8903167314047957E-3</v>
      </c>
      <c r="HU83" s="460">
        <f t="shared" ca="1" si="259"/>
        <v>8.2533579619846423E-3</v>
      </c>
      <c r="HV83" s="460">
        <f t="shared" ca="1" si="260"/>
        <v>1.0999589366231284E-2</v>
      </c>
      <c r="HW83" s="460" t="str">
        <f t="shared" si="261"/>
        <v/>
      </c>
      <c r="HX83" s="460" t="str">
        <f t="shared" si="262"/>
        <v/>
      </c>
      <c r="HY83" s="460" t="str">
        <f t="shared" si="263"/>
        <v/>
      </c>
      <c r="HZ83" s="460" t="str">
        <f t="shared" si="264"/>
        <v/>
      </c>
      <c r="IA83" s="460" t="str">
        <f t="shared" si="265"/>
        <v/>
      </c>
      <c r="IB83" s="460" t="str">
        <f t="shared" si="266"/>
        <v/>
      </c>
      <c r="IC83" s="460" t="str">
        <f t="shared" si="267"/>
        <v/>
      </c>
      <c r="ID83" s="674" t="str">
        <f t="shared" si="268"/>
        <v/>
      </c>
      <c r="IE83" s="250"/>
    </row>
    <row r="84" spans="8:239">
      <c r="H84" s="51">
        <f t="shared" ref="H84:H147" ca="1" si="315">VLOOKUP(I84,$EJ$20:$EL$54,3)</f>
        <v>0</v>
      </c>
      <c r="I84" s="379">
        <f t="shared" ref="I84:I147" si="316">EOMONTH(I83,0)+1</f>
        <v>38718</v>
      </c>
      <c r="J84" s="377"/>
      <c r="K84" s="104">
        <v>0</v>
      </c>
      <c r="L84" s="392">
        <f t="shared" ref="L84:L147" si="317">IF(ISNUMBER(K84),J84+K84/100,IF(K84="extra",L83+VLOOKUP(BF84,PriceSpreadTable,2)/12,IF(K84="inter",interpolateprices($K$19:$L$200,ROW(K84)-ROW(FirstPricingMonth)+1),interpolatechanges($J$19:$K$200,ROW(K84)-ROW(FirstPricingMonth)+1))))</f>
        <v>0</v>
      </c>
      <c r="M84" s="171"/>
      <c r="N84" s="382">
        <v>0</v>
      </c>
      <c r="O84" s="171">
        <f t="shared" si="272"/>
        <v>0</v>
      </c>
      <c r="P84" s="377"/>
      <c r="Q84" s="104" t="s">
        <v>268</v>
      </c>
      <c r="R84" s="377">
        <f t="shared" ca="1" si="148"/>
        <v>-1.1441210001916462</v>
      </c>
      <c r="S84" s="832">
        <f t="shared" si="164"/>
        <v>0.36000000053817005</v>
      </c>
      <c r="T84" s="831">
        <f t="shared" si="149"/>
        <v>0.99999503034418014</v>
      </c>
      <c r="U84" s="545">
        <f t="shared" si="150"/>
        <v>0.99999999984863963</v>
      </c>
      <c r="V84" s="389">
        <v>0</v>
      </c>
      <c r="W84" s="434">
        <f t="shared" si="273"/>
        <v>0</v>
      </c>
      <c r="X84" s="415">
        <f t="shared" si="274"/>
        <v>0</v>
      </c>
      <c r="Y84" s="322">
        <f t="shared" si="275"/>
        <v>-1.121</v>
      </c>
      <c r="Z84" s="322">
        <f t="shared" ca="1" si="276"/>
        <v>-1.121</v>
      </c>
      <c r="AA84" s="429">
        <f t="shared" si="277"/>
        <v>1.121</v>
      </c>
      <c r="AB84" s="433">
        <f t="shared" ca="1" si="278"/>
        <v>1.121</v>
      </c>
      <c r="AC84" s="229">
        <v>38706</v>
      </c>
      <c r="AD84" s="229">
        <v>38702</v>
      </c>
      <c r="AE84" s="229">
        <v>38701</v>
      </c>
      <c r="AF84" s="229">
        <v>38697</v>
      </c>
      <c r="AG84" s="249" t="s">
        <v>90</v>
      </c>
      <c r="AH84" s="247" t="s">
        <v>499</v>
      </c>
      <c r="AI84" s="146">
        <v>22</v>
      </c>
      <c r="AJ84" s="41">
        <v>15</v>
      </c>
      <c r="AK84" s="41">
        <v>7</v>
      </c>
      <c r="AL84" s="293">
        <v>22</v>
      </c>
      <c r="AM84" s="41">
        <v>10</v>
      </c>
      <c r="AN84" s="147">
        <v>12</v>
      </c>
      <c r="AO84" s="374"/>
      <c r="AP84" s="153">
        <f t="shared" ref="AP84:AP147" ca="1" si="318">(1+AO84/2)^(-2*BL84)</f>
        <v>1</v>
      </c>
      <c r="AQ84" s="374"/>
      <c r="AR84" s="153">
        <f t="shared" ca="1" si="151"/>
        <v>1</v>
      </c>
      <c r="AS84" s="272">
        <f t="shared" si="279"/>
        <v>0</v>
      </c>
      <c r="AT84" s="157">
        <f t="shared" ref="AT84:AT147" si="319">O84*VLOOKUP(BF84,BrentVolTable,2)+VLOOKUP(BF84,BrentVolTable,3)</f>
        <v>0</v>
      </c>
      <c r="AU84" s="157">
        <f t="shared" si="280"/>
        <v>0</v>
      </c>
      <c r="AV84" s="271">
        <f t="shared" ca="1" si="163"/>
        <v>9.9999999999999995E-7</v>
      </c>
      <c r="AW84" s="158" t="str">
        <f t="shared" ca="1" si="281"/>
        <v/>
      </c>
      <c r="AX84" s="157">
        <f t="shared" ca="1" si="152"/>
        <v>2.9459182465102329E-3</v>
      </c>
      <c r="AY84" s="157">
        <f t="shared" ca="1" si="153"/>
        <v>1.4883921050034585E-3</v>
      </c>
      <c r="AZ84" s="157">
        <f t="shared" ca="1" si="154"/>
        <v>3.6251462669920591E-4</v>
      </c>
      <c r="BA84" s="157">
        <f t="shared" ca="1" si="155"/>
        <v>4.5314328337400739E-5</v>
      </c>
      <c r="BB84" s="157">
        <f t="shared" ca="1" si="156"/>
        <v>1.1124358889792073E-5</v>
      </c>
      <c r="BC84" s="157">
        <f t="shared" ca="1" si="157"/>
        <v>4.1067767053395305E-6</v>
      </c>
      <c r="BD84" s="151">
        <f t="shared" ca="1" si="282"/>
        <v>0</v>
      </c>
      <c r="BE84" s="152">
        <f t="shared" ca="1" si="283"/>
        <v>0</v>
      </c>
      <c r="BF84" s="40">
        <f t="shared" si="284"/>
        <v>2006</v>
      </c>
      <c r="BG84" s="144">
        <f t="shared" si="285"/>
        <v>1</v>
      </c>
      <c r="BH84" s="145">
        <f t="shared" ca="1" si="286"/>
        <v>1957</v>
      </c>
      <c r="BI84" s="313">
        <f t="shared" ca="1" si="287"/>
        <v>5.4017796030116356</v>
      </c>
      <c r="BJ84" s="42">
        <f t="shared" ca="1" si="288"/>
        <v>5.4577810963847924</v>
      </c>
      <c r="BK84" s="42">
        <f t="shared" ca="1" si="289"/>
        <v>5.4605189471719244</v>
      </c>
      <c r="BL84" s="42">
        <f t="shared" ca="1" si="290"/>
        <v>5.4839151266255985</v>
      </c>
      <c r="BM84" s="150" t="e">
        <f t="shared" ca="1" si="291"/>
        <v>#DIV/0!</v>
      </c>
      <c r="BN84" s="42" t="e">
        <f t="shared" ca="1" si="292"/>
        <v>#DIV/0!</v>
      </c>
      <c r="BO84" s="293">
        <f t="shared" ref="BO84:BO100" si="320">CHOOSE(Underlying,AI84,AL84)</f>
        <v>22</v>
      </c>
      <c r="BP84" s="41">
        <f t="shared" si="293"/>
        <v>15</v>
      </c>
      <c r="BQ84" s="41">
        <f t="shared" si="294"/>
        <v>7</v>
      </c>
      <c r="BR84" s="305" t="str">
        <f t="shared" ca="1" si="295"/>
        <v/>
      </c>
      <c r="BS84" s="305" t="str">
        <f t="shared" ca="1" si="296"/>
        <v/>
      </c>
      <c r="BT84" s="307" t="str">
        <f t="shared" ca="1" si="297"/>
        <v/>
      </c>
      <c r="BU84" s="161" t="str">
        <f t="shared" ca="1" si="298"/>
        <v/>
      </c>
      <c r="BV84" s="161" t="str">
        <f t="shared" ca="1" si="299"/>
        <v/>
      </c>
      <c r="BW84" s="308" t="str">
        <f t="shared" ca="1" si="300"/>
        <v/>
      </c>
      <c r="BX84" s="309" t="str">
        <f t="shared" ca="1" si="301"/>
        <v/>
      </c>
      <c r="BY84" s="308" t="str">
        <f t="shared" ref="BY84:BY100" ca="1" si="321">IF(BD84,IF(BS84&gt;0,IF(BS84&gt;0.2,BC84-BB84,IF(BS84&gt;0.1,BB84-BA84,BA84)),IF(BS84&lt;-0.2,AX84-AY84,IF(BS84&lt;-0.1,AY84-AZ84,AZ84))),"")</f>
        <v/>
      </c>
      <c r="BZ84" s="309" t="str">
        <f t="shared" ref="BZ84:BZ100" ca="1" si="322">IF(BD84,IF(BT84&gt;0,IF(BT84&gt;0.2,BC84-BB84,IF(BT84&gt;0.1,BB84-BA84,BA84)),IF(BT84&lt;-0.2,AX84-AY84,IF(BT84&lt;-0.1,AY84-AZ84,AZ84))),"")</f>
        <v/>
      </c>
      <c r="CA84" s="154" t="str">
        <f t="shared" ca="1" si="302"/>
        <v/>
      </c>
      <c r="CB84" s="154" t="str">
        <f t="shared" ca="1" si="303"/>
        <v/>
      </c>
      <c r="CC84" s="154" t="str">
        <f t="shared" ca="1" si="304"/>
        <v/>
      </c>
      <c r="CD84" s="154" t="str">
        <f t="shared" ca="1" si="305"/>
        <v/>
      </c>
      <c r="CE84" s="310">
        <v>1</v>
      </c>
      <c r="CF84" s="162">
        <f ca="1">IF(BD84,_xll.xCrudeAPO(BU84,BV84,CA84,CB84,S85,S86,BI84,BL84,BP84,BQ84,0,Strike1,AO84,CE84,0,BL84,IF(OptControl=4,0,1),0,1),0)</f>
        <v>0</v>
      </c>
      <c r="CG84" s="163">
        <f ca="1">IF(BD84,_xll.xCrudeAPO(BU84,BV84,CA84,CB84,S85,S86,BI84,BL84,BP84,BQ84,0,Strike1,AO84,CE84,0,BL84,IF(OptControl=4,0,1),1,1)+_xll.xCrudeAPO(BU84,BV84,CA84,CB84,S85,S86,BI84,BL84,BP84,BQ84,0,Strike1,AO84,CE84,0,BL84,IF(OptControl=4,0,1),1,2)+IF(OR(VolSkewFlag=2,ABS(BS84)&lt;0.0001),0,IF(BS84&gt;0,-1,1)*CH84*Strike1/BR84^2*BY84/10%),0)</f>
        <v>0</v>
      </c>
      <c r="CH84" s="163">
        <f ca="1">IF(BD84,(_xll.xCrudeAPO(BU84,BV84,CA84,CB84,S85,S86,BI84,BL84,BP84,BQ84,0,Strike1,AO84,CE84,0,BL84,IF(OptControl=4,0,1),3,1)+_xll.xCrudeAPO(BU84,BV84,CA84,CB84,S85,S86,BI84,BL84,BP84,BQ84,0,Strike1,AO84,CE84,0,BL84,IF(OptControl=4,0,1),3,2))/100,0)</f>
        <v>0</v>
      </c>
      <c r="CI84" s="163">
        <f ca="1">IF(BD84,_xll.xCrudeAPO(BU84,BV84,CA84,CB84,S85,S86,BI84-DaysForThetaCalculation/365.25,BL84-DaysForThetaCalculation/365.25,BP84,BQ84,0,Strike1,AO84,CE84,0,BL84,IF(OptControl=4,0,1),0,1)-_xll.xCrudeAPO(BU84,BV84,CA84,CB84,S85,S86,BI84,BL84,BP84,BQ84,0,Strike1,AO84,CE84,0,BL84,IF(OptControl=4,0,1),0,1),0)</f>
        <v>0</v>
      </c>
      <c r="CJ84" s="311">
        <f ca="1">IF(BD84,_xll.xCrudeAPO(BU84,BV84,CC84,CD84,S85,S86,BI84,BL84,BP84,BQ84,0,Strike2,AO84,CE84,0,BL84,IF(OptControl=3,1,0),0,1),0)</f>
        <v>0</v>
      </c>
      <c r="CK84" s="163">
        <f ca="1">IF(BD84,_xll.xCrudeAPO(BU84,BV84,CC84,CD84,S85,S86,BI84,BL84,BP84,BQ84,0,Strike2,AO84,CE84,0,BL84,IF(OptControl=3,1,0),1,1)+_xll.xCrudeAPO(BU84,BV84,CC84,CD84,S85,S86,BI84,BL84,BP84,BQ84,0,Strike2,AO84,CE84,0,BL84,IF(OptControl=3,1,0),1,2)+IF(OR(VolSkewFlag=2,ABS(BT84)&lt;0.0001),0,IF(BT84&gt;0,-1,1)*CL84*Strike2/BR84^2*BZ84/10%),0)</f>
        <v>0</v>
      </c>
      <c r="CL84" s="163">
        <f ca="1">IF(BD84,(_xll.xCrudeAPO(BU84,BV84,CC84,CD84,S85,S86,BI84,BL84,BP84,BQ84,0,Strike2,AO84,CE84,0,BL84,IF(OptControl=3,1,0),3,1)+_xll.xCrudeAPO(BU84,BV84,CC84,CD84,S85,S86,BI84,BL84,BP84,BQ84,0,Strike2,AO84,CE84,0,BL84,IF(OptControl=3,1,0),3,2))/100,0)</f>
        <v>0</v>
      </c>
      <c r="CM84" s="164">
        <f ca="1">IF(BD84,_xll.xCrudeAPO(BU84,BV84,CC84,CD84,S85,S86,BI84-DaysForThetaCalculation/365.25,BL84-DaysForThetaCalculation/365.25,BP84,BQ84,0,Strike2,AO84,CE84,0,BL84,IF(OptControl=3,1,0),0,1)-_xll.xCrudeAPO(BU84,BV84,CC84,CD84,S85,S86,BI84,BL84,BP84,BQ84,0,Strike2,AO84,CE84,0,BL84,IF(OptControl=3,1,0),0,1),0)</f>
        <v>0</v>
      </c>
      <c r="CN84" s="53"/>
      <c r="CO84" s="796" t="str">
        <f t="shared" ref="CO84:CO147" ca="1" si="323">IF(BD84,CHOOSE(Underlying,AD84,AF84)-DateToday+1,"")</f>
        <v/>
      </c>
      <c r="CP84" s="800" t="str">
        <f t="shared" ref="CP84:CP147" ca="1" si="324">IF(BD84,CHOOSE(Underlying,L84,R84),"")</f>
        <v/>
      </c>
      <c r="CQ84" s="797" t="str">
        <f t="shared" ref="CQ84:CQ147" ca="1" si="325">IF(BD84,Strike1/CP84-1,"")</f>
        <v/>
      </c>
      <c r="CR84" s="797" t="str">
        <f t="shared" ref="CR84:CR147" ca="1" si="326">IF(BD84,Strike2/CP84-1,"")</f>
        <v/>
      </c>
      <c r="CS84" s="797" t="str">
        <f t="shared" ref="CS84:CS147" ca="1" si="327">IF(BD84,IF(CQ84&gt;0,IF(CQ84&gt;0.2,BC83-BB83,IF(CQ84&gt;0.1,BB83-BA83,BA83)),IF(CQ84&lt;-0.2,AX83-AY83,IF(CQ84&lt;-0.1,AY83-AZ83,AZ83))),"")</f>
        <v/>
      </c>
      <c r="CT84" s="797" t="str">
        <f t="shared" ref="CT84:CT147" ca="1" si="328">IF(BD84,IF(CR84&gt;0,IF(CR84&gt;0.2,BC83-BB83,IF(CR84&gt;0.1,BB83-BA83,BA83)),IF(CR84&lt;-0.2,AX83-AY83,IF(CR84&lt;-0.1,AY83-AZ83,AZ83))),"")</f>
        <v/>
      </c>
      <c r="CU84" s="798" t="str">
        <f t="shared" ref="CU84:CU147" ca="1" si="329">IF(BD84,CHOOSE(Underlying,O84,AT84),"")</f>
        <v/>
      </c>
      <c r="CV84" s="799" t="str">
        <f t="shared" ref="CV84:CV147" ca="1" si="330">IF(BD84,CU84+IF(VolSkewFlag=1,IF(CQ84&gt;0,BA83*MIN(CQ84/10%,1)+(BB83-BA83)*MAX(0,MIN(CQ84/10%-1,1))+(BC83-BB83)*MAX(0,CQ84/10%-2),AZ83*MIN(-CQ84/10%,1)+(AY83-AZ83)*MAX(0,MIN(-CQ84/10%-1,1))+(AX83-AY83)*MAX(0,-CQ84/10%-2)),0),"")</f>
        <v/>
      </c>
      <c r="CW84" s="799" t="str">
        <f t="shared" ref="CW84:CW147" ca="1" si="331">IF(BD84,CU84+IF(VolSkewFlag=1,IF(CR84&gt;0,BA83*MIN(CR84/10%,1)+(BB83-BA83)*MAX(0,MIN(CR84/10%-1,1))+(BC83-BB83)*MAX(0,CR84/10%-2),AZ83*MIN(-CR84/10%,1)+(AY83-AZ83)*MAX(0,MIN(-CR84/10%-1,1))+(AX83-AY83)*MAX(0,-CR84/10%-2)),0),"")</f>
        <v/>
      </c>
      <c r="CX84" s="163">
        <f ca="1">IF(BD84,_xll.EURO(CP84,Strike1,AO84,AO84,CV84,CO84,IF(OptControl=4,0,1),0),0)</f>
        <v>0</v>
      </c>
      <c r="CY84" s="163">
        <f ca="1">IF(BD84,_xll.EURO(CP84,Strike1,AO84,AO84,CV84,CO84,IF(OptControl=4,0,1),1)+IF(OR(VolSkewFlag=2,ABS(CQ84)&lt;0.0001),0,IF(CQ84&gt;0,-1,1)*CZ84*100*Strike1/CP84^2*CS84/10%),0)</f>
        <v>0</v>
      </c>
      <c r="CZ84" s="163">
        <f ca="1">IF(BD84,_xll.EURO(CP84,Strike1,AO84,AO84,CV84,CO84,IF(OptControl=4,0,1),3)/100,0)</f>
        <v>0</v>
      </c>
      <c r="DA84" s="163">
        <f ca="1">IF(BD84,_xll.EURO(CP84,Strike1,AO84,AO84,CV84,CO84,IF(OptControl=4,0,1),0)-_xll.EURO(CP84,Strike1,AO84,AO84,CV84,CO84-1,IF(OptControl=4,0,1),0),0)</f>
        <v>0</v>
      </c>
      <c r="DB84" s="163">
        <f ca="1">IF(BD84,_xll.EURO(CP84,Strike2,AO84,AO84,CW84,CO84,IF(OptControl=3,1,0),0),0)</f>
        <v>0</v>
      </c>
      <c r="DC84" s="163">
        <f ca="1">IF(BD84,_xll.EURO(CP84,Strike2,AO84,AO84,CW84,CO84,IF(OptControl=3,1,0),1)+IF(OR(VolSkewFlag=2,ABS(CR84)&lt;0.0001),0,IF(CR84&gt;0,-1,1)*DD84*100*Strike2/CP84^2*CT84/10%),0)</f>
        <v>0</v>
      </c>
      <c r="DD84" s="163">
        <f ca="1">IF(BD84,_xll.EURO(CP84,Strike2,AO84,AO84,CW84,CO84,IF(OptControl=3,1,0),3)/100,0)</f>
        <v>0</v>
      </c>
      <c r="DE84" s="164">
        <f ca="1">IF(BD84,_xll.EURO(CP84,Strike2,AO84,AO84,CW84,CO84,IF(OptControl=3,1,0),0)-_xll.EURO(CP84,Strike2,AO84,AO84,CW84,CO84-1,IF(OptControl=3,1,0),0),0)</f>
        <v>0</v>
      </c>
      <c r="DG84" s="667">
        <f t="shared" ref="DG84:DG147" ca="1" si="332">EOMONTH(DG83,0)+1</f>
        <v>38504</v>
      </c>
      <c r="DH84" s="475">
        <v>18.34</v>
      </c>
      <c r="DI84" s="665">
        <v>18.335454545454546</v>
      </c>
      <c r="DJ84" s="666">
        <f t="shared" ca="1" si="306"/>
        <v>38504</v>
      </c>
      <c r="DK84" s="475">
        <v>16.97792775868745</v>
      </c>
      <c r="DL84" s="665">
        <v>17.075454545454544</v>
      </c>
      <c r="DM84" s="667">
        <f t="shared" ca="1" si="307"/>
        <v>38504</v>
      </c>
      <c r="DN84" s="668">
        <f t="shared" si="308"/>
        <v>17.027927758687451</v>
      </c>
      <c r="DO84" s="667">
        <f t="shared" ref="DO84:DO147" ca="1" si="333">DG84</f>
        <v>38504</v>
      </c>
      <c r="DP84" s="579">
        <f t="shared" ref="DP84:DP147" si="334">DL84+DQ84</f>
        <v>17.075454545454544</v>
      </c>
      <c r="DQ84" s="821">
        <v>0</v>
      </c>
      <c r="DR84" s="666">
        <f t="shared" ca="1" si="309"/>
        <v>38504</v>
      </c>
      <c r="DS84" s="669">
        <v>0.19275970824803904</v>
      </c>
      <c r="DT84" s="606">
        <v>0.19227936397001369</v>
      </c>
      <c r="DU84" s="666">
        <f t="shared" ca="1" si="310"/>
        <v>38504</v>
      </c>
      <c r="DV84" s="669">
        <v>0.19275970824803904</v>
      </c>
      <c r="DW84" s="606">
        <v>0.19227936397001369</v>
      </c>
      <c r="DX84" s="667">
        <f t="shared" ca="1" si="311"/>
        <v>38504</v>
      </c>
      <c r="DY84" s="606">
        <v>0.35</v>
      </c>
      <c r="DZ84" s="667">
        <f t="shared" ref="DZ84:DZ147" ca="1" si="335">DR84</f>
        <v>38504</v>
      </c>
      <c r="EA84" s="606">
        <f t="shared" ref="EA84:EA147" si="336">DT84</f>
        <v>0.19227936397001369</v>
      </c>
      <c r="EB84" s="1"/>
      <c r="EC84" s="118" t="str">
        <f t="shared" ca="1" si="312"/>
        <v/>
      </c>
      <c r="ED84" s="119" t="str">
        <f t="shared" ca="1" si="313"/>
        <v/>
      </c>
      <c r="EE84" s="112" t="str">
        <f t="shared" ca="1" si="314"/>
        <v/>
      </c>
      <c r="EF84" s="120">
        <f ca="1">IF(BD84,_xll.xASN(BR84,Strike1,AO84,ED84,0,BO84,0,BI84,BL84,IF(OptControl=4,0,1),0),0)</f>
        <v>0</v>
      </c>
      <c r="EG84" s="111">
        <f ca="1">IF(BD84,_xll.xASN(BR84,Strike2,AO84,EE84,0,BO84,0,BI84,BL84,IF(OptControl=3,1,0),0),0)</f>
        <v>0</v>
      </c>
      <c r="EL84" s="55"/>
      <c r="EM84" s="1"/>
      <c r="EN84" s="697">
        <v>43466</v>
      </c>
      <c r="EO84" s="698">
        <v>48214</v>
      </c>
      <c r="EP84" s="1"/>
      <c r="EQ84" s="683" t="s">
        <v>297</v>
      </c>
      <c r="ES84" s="498">
        <v>65</v>
      </c>
      <c r="ET84" s="476">
        <f t="shared" ca="1" si="165"/>
        <v>5.3579739904175225</v>
      </c>
      <c r="EU84" s="842">
        <f t="shared" ref="EU84:EU93" ca="1" si="337">O84^2*ET84</f>
        <v>0</v>
      </c>
      <c r="EV84" s="815">
        <f t="shared" ca="1" si="269"/>
        <v>0.17939964030546274</v>
      </c>
      <c r="EW84" s="478" t="str">
        <f t="shared" ca="1" si="270"/>
        <v/>
      </c>
      <c r="EX84" s="477" t="str">
        <f t="shared" ca="1" si="271"/>
        <v/>
      </c>
      <c r="EY84" s="250">
        <v>0</v>
      </c>
      <c r="EZ84" s="605" t="str">
        <f ca="1">IF(OR(EW84="",EW85=""),"",SQRT(SUM(INDEX(FK84:ID84,SwaptionFirstMonthPosition+1):INDEX(FK84:ID84,FJ84))/SUM(INDEX($FK$15:$ID$15,SwaptionFirstMonthPosition+1):INDEX($FK$15:$ID$15,FJ84))))</f>
        <v/>
      </c>
      <c r="FA84" s="581" t="str">
        <f ca="1">IF(OR(EW84="",EW83=""),"",SQRT(SUM(INDEX(FK84:ID84,SwaptionFirstMonthPosition+1):INDEX(FK84:ID84,FJ84-1))/SUM(INDEX($FK$15:$ID$15,SwaptionFirstMonthPosition+1):INDEX($FK$15:$ID$15,FJ84-1))))</f>
        <v/>
      </c>
      <c r="FB84" s="578" t="str">
        <f t="shared" ref="FB84:FB91" ca="1" si="338">IF(BE84,2/3*EZ85+1/3*FA86,"")</f>
        <v/>
      </c>
      <c r="FC84" s="609" t="str">
        <f t="shared" ref="FC84:FC91" ca="1" si="339">IF(BE84,(I85+I84-1)/2-DateToday,"")</f>
        <v/>
      </c>
      <c r="FD84" s="579" t="str">
        <f t="shared" ref="FD84:FD91" ca="1" si="340">IF(BE84,CHOOSE(Underlying,X84,Z84)+SwaptionUnderlyingPrice-$D$26,"")</f>
        <v/>
      </c>
      <c r="FE84" s="579" t="str">
        <f t="shared" ref="FE84:FE91" ca="1" si="341">IF(BE84,CollartionFloor/FD84-1,"")</f>
        <v/>
      </c>
      <c r="FF84" s="579" t="str">
        <f t="shared" ref="FF84:FF91" ca="1" si="342">IF(BE84,CollartionCap/FD84-1,"")</f>
        <v/>
      </c>
      <c r="FG84" s="580" t="str">
        <f t="shared" ref="FG84:FG91" ca="1" si="343">IF(BE84,IF(VolSkewFlag=1,IF(FE84&gt;0,$BA84*MIN(FE84/10%,1)+($BB84-$BA84)*MAX(0,MIN(FE84/10%-1,1))+($BC84-$BB84)*MAX(0,FE84/10%-2),$AZ84*MIN(-FE84/10%,1)+($AY84-$AZ84)*MAX(0,MIN(-FE84/10%-1,1))+($AX84-$AY84)*MAX(0,-FE84/10%-2)),0),"")</f>
        <v/>
      </c>
      <c r="FH84" s="606" t="str">
        <f t="shared" ref="FH84:FH91" ca="1" si="344">IF(BE84,IF(VolSkewFlag=1,IF(FF84&gt;0,$BA84*MIN(FF84/10%,1)+($BB84-$BA84)*MAX(0,MIN(FF84/10%-1,1))+($BC84-$BB84)*MAX(0,FF84/10%-2),$AZ84*MIN(-FF84/10%,1)+($AY84-$AZ84)*MAX(0,MIN(-FF84/10%-1,1))+($AX84-$AY84)*MAX(0,-FF84/10%-2)),0),"")</f>
        <v/>
      </c>
      <c r="FI84" s="250"/>
      <c r="FJ84" s="673">
        <v>65</v>
      </c>
      <c r="FK84" s="460">
        <f t="shared" ref="FK84:FK91" ca="1" si="345">IF(FK$19&gt;$FJ84,"",MAX(0,IF(FK$19=$FJ84,$S84^2*FK$15,FK83*INDEX($T$20:$T$91,$FJ84-FK$19)^2/INDEX($U$20:$U$91,$FJ84-FK$19))))</f>
        <v>0</v>
      </c>
      <c r="FL84" s="460">
        <f t="shared" ref="FL84:FL91" ca="1" si="346">IF(FL$19&gt;$FJ84,"",MAX(0,IF(FL$19=$FJ84,$S84^2*FL$15,FL83*INDEX($T$20:$T$91,$FJ84-FL$19)^2/INDEX($U$20:$U$91,$FJ84-FL$19))))</f>
        <v>2.1913378217887072E-3</v>
      </c>
      <c r="FM84" s="460">
        <f t="shared" ref="FM84:FM91" ca="1" si="347">IF(FM$19&gt;$FJ84,"",MAX(0,IF(FM$19=$FJ84,$S84^2*FM$15,FM83*INDEX($T$20:$T$91,$FJ84-FM$19)^2/INDEX($U$20:$U$91,$FJ84-FM$19))))</f>
        <v>2.5470017338106725E-3</v>
      </c>
      <c r="FN84" s="460">
        <f t="shared" ref="FN84:FN91" ca="1" si="348">IF(FN$19&gt;$FJ84,"",MAX(0,IF(FN$19=$FJ84,$S84^2*FN$15,FN83*INDEX($T$20:$T$91,$FJ84-FN$19)^2/INDEX($U$20:$U$91,$FJ84-FN$19))))</f>
        <v>2.1437683988672807E-3</v>
      </c>
      <c r="FO84" s="460">
        <f t="shared" ref="FO84:FO91" ca="1" si="349">IF(FO$19&gt;$FJ84,"",MAX(0,IF(FO$19=$FJ84,$S84^2*FO$15,FO83*INDEX($T$20:$T$91,$FJ84-FO$19)^2/INDEX($U$20:$U$91,$FJ84-FO$19))))</f>
        <v>2.2298771924692882E-3</v>
      </c>
      <c r="FP84" s="460">
        <f t="shared" ref="FP84:FP91" ca="1" si="350">IF(FP$19&gt;$FJ84,"",MAX(0,IF(FP$19=$FJ84,$S84^2*FP$15,FP83*INDEX($T$20:$T$91,$FJ84-FP$19)^2/INDEX($U$20:$U$91,$FJ84-FP$19))))</f>
        <v>2.4709856024956781E-3</v>
      </c>
      <c r="FQ84" s="460">
        <f t="shared" ref="FQ84:FQ91" ca="1" si="351">IF(FQ$19&gt;$FJ84,"",MAX(0,IF(FQ$19=$FJ84,$S84^2*FQ$15,FQ83*INDEX($T$20:$T$91,$FJ84-FQ$19)^2/INDEX($U$20:$U$91,$FJ84-FQ$19))))</f>
        <v>2.0005715122479949E-3</v>
      </c>
      <c r="FR84" s="460">
        <f t="shared" ref="FR84:FR91" ca="1" si="352">IF(FR$19&gt;$FJ84,"",MAX(0,IF(FR$19=$FJ84,$S84^2*FR$15,FR83*INDEX($T$20:$T$91,$FJ84-FR$19)^2/INDEX($U$20:$U$91,$FJ84-FR$19))))</f>
        <v>2.045551914430988E-3</v>
      </c>
      <c r="FS84" s="460">
        <f t="shared" ref="FS84:FS91" ca="1" si="353">IF(FS$19&gt;$FJ84,"",MAX(0,IF(FS$19=$FJ84,$S84^2*FS$15,FS83*INDEX($T$20:$T$91,$FJ84-FS$19)^2/INDEX($U$20:$U$91,$FJ84-FS$19))))</f>
        <v>2.3052627011016561E-3</v>
      </c>
      <c r="FT84" s="460">
        <f t="shared" ref="FT84:FT91" ca="1" si="354">IF(FT$19&gt;$FJ84,"",MAX(0,IF(FT$19=$FJ84,$S84^2*FT$15,FT83*INDEX($T$20:$T$91,$FJ84-FT$19)^2/INDEX($U$20:$U$91,$FJ84-FT$19))))</f>
        <v>2.0804919765710223E-3</v>
      </c>
      <c r="FU84" s="460">
        <f t="shared" ref="FU84:FU91" ca="1" si="355">IF(FU$19&gt;$FJ84,"",MAX(0,IF(FU$19=$FJ84,$S84^2*FU$15,FU83*INDEX($T$20:$T$91,$FJ84-FU$19)^2/INDEX($U$20:$U$91,$FJ84-FU$19))))</f>
        <v>2.0001901113144566E-3</v>
      </c>
      <c r="FV84" s="460">
        <f t="shared" ref="FV84:FV91" ca="1" si="356">IF(FV$19&gt;$FJ84,"",MAX(0,IF(FV$19=$FJ84,$S84^2*FV$15,FV83*INDEX($T$20:$T$91,$FJ84-FV$19)^2/INDEX($U$20:$U$91,$FJ84-FV$19))))</f>
        <v>2.1981076824347258E-3</v>
      </c>
      <c r="FW84" s="460">
        <f t="shared" ref="FW84:FW91" ca="1" si="357">IF(FW$19&gt;$FJ84,"",MAX(0,IF(FW$19=$FJ84,$S84^2*FW$15,FW83*INDEX($T$20:$T$91,$FJ84-FW$19)^2/INDEX($U$20:$U$91,$FJ84-FW$19))))</f>
        <v>2.0544577796729234E-3</v>
      </c>
      <c r="FX84" s="460">
        <f t="shared" ref="FX84:FX91" ca="1" si="358">IF(FX$19&gt;$FJ84,"",MAX(0,IF(FX$19=$FJ84,$S84^2*FX$15,FX83*INDEX($T$20:$T$91,$FJ84-FX$19)^2/INDEX($U$20:$U$91,$FJ84-FX$19))))</f>
        <v>2.1864732388886515E-3</v>
      </c>
      <c r="FY84" s="460">
        <f t="shared" ref="FY84:FY91" ca="1" si="359">IF(FY$19&gt;$FJ84,"",MAX(0,IF(FY$19=$FJ84,$S84^2*FY$15,FY83*INDEX($T$20:$T$91,$FJ84-FY$19)^2/INDEX($U$20:$U$91,$FJ84-FY$19))))</f>
        <v>2.0464079355114002E-3</v>
      </c>
      <c r="FZ84" s="460">
        <f t="shared" ref="FZ84:FZ91" ca="1" si="360">IF(FZ$19&gt;$FJ84,"",MAX(0,IF(FZ$19=$FJ84,$S84^2*FZ$15,FZ83*INDEX($T$20:$T$91,$FJ84-FZ$19)^2/INDEX($U$20:$U$91,$FJ84-FZ$19))))</f>
        <v>1.9076660936724705E-3</v>
      </c>
      <c r="GA84" s="460">
        <f t="shared" ref="GA84:GA91" ca="1" si="361">IF(GA$19&gt;$FJ84,"",MAX(0,IF(GA$19=$FJ84,$S84^2*GA$15,GA83*INDEX($T$20:$T$91,$FJ84-GA$19)^2/INDEX($U$20:$U$91,$FJ84-GA$19))))</f>
        <v>2.0421580725741924E-3</v>
      </c>
      <c r="GB84" s="460">
        <f t="shared" ref="GB84:GB91" ca="1" si="362">IF(GB$19&gt;$FJ84,"",MAX(0,IF(GB$19=$FJ84,$S84^2*GB$15,GB83*INDEX($T$20:$T$91,$FJ84-GB$19)^2/INDEX($U$20:$U$91,$FJ84-GB$19))))</f>
        <v>2.245028918062943E-3</v>
      </c>
      <c r="GC84" s="460">
        <f t="shared" ref="GC84:GC91" ca="1" si="363">IF(GC$19&gt;$FJ84,"",MAX(0,IF(GC$19=$FJ84,$S84^2*GC$15,GC83*INDEX($T$20:$T$91,$FJ84-GC$19)^2/INDEX($U$20:$U$91,$FJ84-GC$19))))</f>
        <v>1.9721358131903357E-3</v>
      </c>
      <c r="GD84" s="460">
        <f t="shared" ref="GD84:GD91" ca="1" si="364">IF(GD$19&gt;$FJ84,"",MAX(0,IF(GD$19=$FJ84,$S84^2*GD$15,GD83*INDEX($T$20:$T$91,$FJ84-GD$19)^2/INDEX($U$20:$U$91,$FJ84-GD$19))))</f>
        <v>1.9716974499882555E-3</v>
      </c>
      <c r="GE84" s="460">
        <f t="shared" ref="GE84:GE91" ca="1" si="365">IF(GE$19&gt;$FJ84,"",MAX(0,IF(GE$19=$FJ84,$S84^2*GE$15,GE83*INDEX($T$20:$T$91,$FJ84-GE$19)^2/INDEX($U$20:$U$91,$FJ84-GE$19))))</f>
        <v>2.2434651049245973E-3</v>
      </c>
      <c r="GF84" s="460">
        <f t="shared" ref="GF84:GF91" ca="1" si="366">IF(GF$19&gt;$FJ84,"",MAX(0,IF(GF$19=$FJ84,$S84^2*GF$15,GF83*INDEX($T$20:$T$91,$FJ84-GF$19)^2/INDEX($U$20:$U$91,$FJ84-GF$19))))</f>
        <v>1.9715929327761388E-3</v>
      </c>
      <c r="GG84" s="460">
        <f t="shared" ref="GG84:GG91" ca="1" si="367">IF(GG$19&gt;$FJ84,"",MAX(0,IF(GG$19=$FJ84,$S84^2*GG$15,GG83*INDEX($T$20:$T$91,$FJ84-GG$19)^2/INDEX($U$20:$U$91,$FJ84-GG$19))))</f>
        <v>2.1758464586235445E-3</v>
      </c>
      <c r="GH84" s="460">
        <f t="shared" ref="GH84:GH91" ca="1" si="368">IF(GH$19&gt;$FJ84,"",MAX(0,IF(GH$19=$FJ84,$S84^2*GH$15,GH83*INDEX($T$20:$T$91,$FJ84-GH$19)^2/INDEX($U$20:$U$91,$FJ84-GH$19))))</f>
        <v>2.0403310392095148E-3</v>
      </c>
      <c r="GI84" s="460">
        <f t="shared" ref="GI84:GI91" ca="1" si="369">IF(GI$19&gt;$FJ84,"",MAX(0,IF(GI$19=$FJ84,$S84^2*GI$15,GI83*INDEX($T$20:$T$91,$FJ84-GI$19)^2/INDEX($U$20:$U$91,$FJ84-GI$19))))</f>
        <v>1.9729665313400389E-3</v>
      </c>
      <c r="GJ84" s="460">
        <f t="shared" ref="GJ84:GJ91" ca="1" si="370">IF(GJ$19&gt;$FJ84,"",MAX(0,IF(GJ$19=$FJ84,$S84^2*GJ$15,GJ83*INDEX($T$20:$T$91,$FJ84-GJ$19)^2/INDEX($U$20:$U$91,$FJ84-GJ$19))))</f>
        <v>2.2460540329087768E-3</v>
      </c>
      <c r="GK84" s="460">
        <f t="shared" ref="GK84:GK91" ca="1" si="371">IF(GK$19&gt;$FJ84,"",MAX(0,IF(GK$19=$FJ84,$S84^2*GK$15,GK83*INDEX($T$20:$T$91,$FJ84-GK$19)^2/INDEX($U$20:$U$91,$FJ84-GK$19))))</f>
        <v>2.0429460724393183E-3</v>
      </c>
      <c r="GL84" s="460">
        <f t="shared" ref="GL84:GL91" ca="1" si="372">IF(GL$19&gt;$FJ84,"",MAX(0,IF(GL$19=$FJ84,$S84^2*GL$15,GL83*INDEX($T$20:$T$91,$FJ84-GL$19)^2/INDEX($U$20:$U$91,$FJ84-GL$19))))</f>
        <v>1.9761145112113286E-3</v>
      </c>
      <c r="GM84" s="460">
        <f t="shared" ref="GM84:GM91" ca="1" si="373">IF(GM$19&gt;$FJ84,"",MAX(0,IF(GM$19=$FJ84,$S84^2*GM$15,GM83*INDEX($T$20:$T$91,$FJ84-GM$19)^2/INDEX($U$20:$U$91,$FJ84-GM$19))))</f>
        <v>2.1140201714597707E-3</v>
      </c>
      <c r="GN84" s="460">
        <f t="shared" ref="GN84:GN91" ca="1" si="374">IF(GN$19&gt;$FJ84,"",MAX(0,IF(GN$19=$FJ84,$S84^2*GN$15,GN83*INDEX($T$20:$T$91,$FJ84-GN$19)^2/INDEX($U$20:$U$91,$FJ84-GN$19))))</f>
        <v>2.1159466819798524E-3</v>
      </c>
      <c r="GO84" s="460">
        <f t="shared" ref="GO84:GO91" ca="1" si="375">IF(GO$19&gt;$FJ84,"",MAX(0,IF(GO$19=$FJ84,$S84^2*GO$15,GO83*INDEX($T$20:$T$91,$FJ84-GO$19)^2/INDEX($U$20:$U$91,$FJ84-GO$19))))</f>
        <v>2.1182232219880332E-3</v>
      </c>
      <c r="GP84" s="460">
        <f t="shared" ref="GP84:GP91" ca="1" si="376">IF(GP$19&gt;$FJ84,"",MAX(0,IF(GP$19=$FJ84,$S84^2*GP$15,GP83*INDEX($T$20:$T$91,$FJ84-GP$19)^2/INDEX($U$20:$U$91,$FJ84-GP$19))))</f>
        <v>1.9156560354085281E-3</v>
      </c>
      <c r="GQ84" s="460">
        <f t="shared" ref="GQ84:GQ91" ca="1" si="377">IF(GQ$19&gt;$FJ84,"",MAX(0,IF(GQ$19=$FJ84,$S84^2*GQ$15,GQ83*INDEX($T$20:$T$91,$FJ84-GQ$19)^2/INDEX($U$20:$U$91,$FJ84-GQ$19))))</f>
        <v>2.1240577989390407E-3</v>
      </c>
      <c r="GR84" s="460">
        <f t="shared" ref="GR84:GR91" ca="1" si="378">IF(GR$19&gt;$FJ84,"",MAX(0,IF(GR$19=$FJ84,$S84^2*GR$15,GR83*INDEX($T$20:$T$91,$FJ84-GR$19)^2/INDEX($U$20:$U$91,$FJ84-GR$19))))</f>
        <v>2.0591232397846096E-3</v>
      </c>
      <c r="GS84" s="460">
        <f t="shared" ref="GS84:GS91" ca="1" si="379">IF(GS$19&gt;$FJ84,"",MAX(0,IF(GS$19=$FJ84,$S84^2*GS$15,GS83*INDEX($T$20:$T$91,$FJ84-GS$19)^2/INDEX($U$20:$U$91,$FJ84-GS$19))))</f>
        <v>2.1321070325819287E-3</v>
      </c>
      <c r="GT84" s="460">
        <f t="shared" ref="GT84:GT91" ca="1" si="380">IF(GT$19&gt;$FJ84,"",MAX(0,IF(GT$19=$FJ84,$S84^2*GT$15,GT83*INDEX($T$20:$T$91,$FJ84-GT$19)^2/INDEX($U$20:$U$91,$FJ84-GT$19))))</f>
        <v>2.0682654609536252E-3</v>
      </c>
      <c r="GU84" s="460">
        <f t="shared" ref="GU84:GU91" ca="1" si="381">IF(GU$19&gt;$FJ84,"",MAX(0,IF(GU$19=$FJ84,$S84^2*GU$15,GU83*INDEX($T$20:$T$91,$FJ84-GU$19)^2/INDEX($U$20:$U$91,$FJ84-GU$19))))</f>
        <v>2.1431937358636476E-3</v>
      </c>
      <c r="GV84" s="460">
        <f t="shared" ref="GV84:GV91" ca="1" si="382">IF(GV$19&gt;$FJ84,"",MAX(0,IF(GV$19=$FJ84,$S84^2*GV$15,GV83*INDEX($T$20:$T$91,$FJ84-GV$19)^2/INDEX($U$20:$U$91,$FJ84-GV$19))))</f>
        <v>2.1502207963691559E-3</v>
      </c>
      <c r="GW84" s="460">
        <f t="shared" ref="GW84:GW91" ca="1" si="383">IF(GW$19&gt;$FJ84,"",MAX(0,IF(GW$19=$FJ84,$S84^2*GW$15,GW83*INDEX($T$20:$T$91,$FJ84-GW$19)^2/INDEX($U$20:$U$91,$FJ84-GW$19))))</f>
        <v>2.0888450819397538E-3</v>
      </c>
      <c r="GX84" s="460">
        <f t="shared" ref="GX84:GX91" ca="1" si="384">IF(GX$19&gt;$FJ84,"",MAX(0,IF(GX$19=$FJ84,$S84^2*GX$15,GX83*INDEX($T$20:$T$91,$FJ84-GX$19)^2/INDEX($U$20:$U$91,$FJ84-GX$19))))</f>
        <v>2.1681702092189669E-3</v>
      </c>
      <c r="GY84" s="460">
        <f t="shared" ref="GY84:GY91" ca="1" si="385">IF(GY$19&gt;$FJ84,"",MAX(0,IF(GY$19=$FJ84,$S84^2*GY$15,GY83*INDEX($T$20:$T$91,$FJ84-GY$19)^2/INDEX($U$20:$U$91,$FJ84-GY$19))))</f>
        <v>2.1092637407754363E-3</v>
      </c>
      <c r="GZ84" s="460">
        <f t="shared" ref="GZ84:GZ91" ca="1" si="386">IF(GZ$19&gt;$FJ84,"",MAX(0,IF(GZ$19=$FJ84,$S84^2*GZ$15,GZ83*INDEX($T$20:$T$91,$FJ84-GZ$19)^2/INDEX($U$20:$U$91,$FJ84-GZ$19))))</f>
        <v>2.1929915995660887E-3</v>
      </c>
      <c r="HA84" s="460">
        <f t="shared" ref="HA84:HA91" ca="1" si="387">IF(HA$19&gt;$FJ84,"",MAX(0,IF(HA$19=$FJ84,$S84^2*HA$15,HA83*INDEX($T$20:$T$91,$FJ84-HA$19)^2/INDEX($U$20:$U$91,$FJ84-HA$19))))</f>
        <v>2.2088002421171309E-3</v>
      </c>
      <c r="HB84" s="460">
        <f t="shared" ref="HB84:HB91" ca="1" si="388">IF(HB$19&gt;$FJ84,"",MAX(0,IF(HB$19=$FJ84,$S84^2*HB$15,HB83*INDEX($T$20:$T$91,$FJ84-HB$19)^2/INDEX($U$20:$U$91,$FJ84-HB$19))))</f>
        <v>2.0837402628777527E-3</v>
      </c>
      <c r="HC84" s="460">
        <f t="shared" ref="HC84:HC91" ca="1" si="389">IF(HC$19&gt;$FJ84,"",MAX(0,IF(HC$19=$FJ84,$S84^2*HC$15,HC83*INDEX($T$20:$T$91,$FJ84-HC$19)^2/INDEX($U$20:$U$91,$FJ84-HC$19))))</f>
        <v>2.2494709931417506E-3</v>
      </c>
      <c r="HD84" s="460">
        <f t="shared" ref="HD84:HD91" ca="1" si="390">IF(HD$19&gt;$FJ84,"",MAX(0,IF(HD$19=$FJ84,$S84^2*HD$15,HD83*INDEX($T$20:$T$91,$FJ84-HD$19)^2/INDEX($U$20:$U$91,$FJ84-HD$19))))</f>
        <v>2.2021251791840783E-3</v>
      </c>
      <c r="HE84" s="460">
        <f t="shared" ref="HE84:HE91" ca="1" si="391">IF(HE$19&gt;$FJ84,"",MAX(0,IF(HE$19=$FJ84,$S84^2*HE$15,HE83*INDEX($T$20:$T$91,$FJ84-HE$19)^2/INDEX($U$20:$U$91,$FJ84-HE$19))))</f>
        <v>2.3064209413107494E-3</v>
      </c>
      <c r="HF84" s="460">
        <f t="shared" ref="HF84:HF91" ca="1" si="392">IF(HF$19&gt;$FJ84,"",MAX(0,IF(HF$19=$FJ84,$S84^2*HF$15,HF83*INDEX($T$20:$T$91,$FJ84-HF$19)^2/INDEX($U$20:$U$91,$FJ84-HF$19))))</f>
        <v>2.2675418989802527E-3</v>
      </c>
      <c r="HG84" s="460">
        <f t="shared" ref="HG84:HG91" ca="1" si="393">IF(HG$19&gt;$FJ84,"",MAX(0,IF(HG$19=$FJ84,$S84^2*HG$15,HG83*INDEX($T$20:$T$91,$FJ84-HG$19)^2/INDEX($U$20:$U$91,$FJ84-HG$19))))</f>
        <v>2.3868586445185309E-3</v>
      </c>
      <c r="HH84" s="460">
        <f t="shared" ref="HH84:HH91" ca="1" si="394">IF(HH$19&gt;$FJ84,"",MAX(0,IF(HH$19=$FJ84,$S84^2*HH$15,HH83*INDEX($T$20:$T$91,$FJ84-HH$19)^2/INDEX($U$20:$U$91,$FJ84-HH$19))))</f>
        <v>2.4391273802633192E-3</v>
      </c>
      <c r="HI84" s="460">
        <f t="shared" ref="HI84:HI91" ca="1" si="395">IF(HI$19&gt;$FJ84,"",MAX(0,IF(HI$19=$FJ84,$S84^2*HI$15,HI83*INDEX($T$20:$T$91,$FJ84-HI$19)^2/INDEX($U$20:$U$91,$FJ84-HI$19))))</f>
        <v>2.4211278190904E-3</v>
      </c>
      <c r="HJ84" s="460">
        <f t="shared" ref="HJ84:HJ91" ca="1" si="396">IF(HJ$19&gt;$FJ84,"",MAX(0,IF(HJ$19=$FJ84,$S84^2*HJ$15,HJ83*INDEX($T$20:$T$91,$FJ84-HJ$19)^2/INDEX($U$20:$U$91,$FJ84-HJ$19))))</f>
        <v>2.5773857530717371E-3</v>
      </c>
      <c r="HK84" s="460">
        <f t="shared" ref="HK84:HK91" ca="1" si="397">IF(HK$19&gt;$FJ84,"",MAX(0,IF(HK$19=$FJ84,$S84^2*HK$15,HK83*INDEX($T$20:$T$91,$FJ84-HK$19)^2/INDEX($U$20:$U$91,$FJ84-HK$19))))</f>
        <v>2.5827967082227717E-3</v>
      </c>
      <c r="HL84" s="460">
        <f t="shared" ref="HL84:HL91" ca="1" si="398">IF(HL$19&gt;$FJ84,"",MAX(0,IF(HL$19=$FJ84,$S84^2*HL$15,HL83*INDEX($T$20:$T$91,$FJ84-HL$19)^2/INDEX($U$20:$U$91,$FJ84-HL$19))))</f>
        <v>2.7803832799162031E-3</v>
      </c>
      <c r="HM84" s="460">
        <f t="shared" ref="HM84:HM91" ca="1" si="399">IF(HM$19&gt;$FJ84,"",MAX(0,IF(HM$19=$FJ84,$S84^2*HM$15,HM83*INDEX($T$20:$T$91,$FJ84-HM$19)^2/INDEX($U$20:$U$91,$FJ84-HM$19))))</f>
        <v>2.9172017497113055E-3</v>
      </c>
      <c r="HN84" s="460">
        <f t="shared" ref="HN84:HN91" ca="1" si="400">IF(HN$19&gt;$FJ84,"",MAX(0,IF(HN$19=$FJ84,$S84^2*HN$15,HN83*INDEX($T$20:$T$91,$FJ84-HN$19)^2/INDEX($U$20:$U$91,$FJ84-HN$19))))</f>
        <v>2.78781614422424E-3</v>
      </c>
      <c r="HO84" s="460">
        <f t="shared" ref="HO84:HO91" ca="1" si="401">IF(HO$19&gt;$FJ84,"",MAX(0,IF(HO$19=$FJ84,$S84^2*HO$15,HO83*INDEX($T$20:$T$91,$FJ84-HO$19)^2/INDEX($U$20:$U$91,$FJ84-HO$19))))</f>
        <v>3.2981084905431761E-3</v>
      </c>
      <c r="HP84" s="460">
        <f t="shared" ref="HP84:HP91" ca="1" si="402">IF(HP$19&gt;$FJ84,"",MAX(0,IF(HP$19=$FJ84,$S84^2*HP$15,HP83*INDEX($T$20:$T$91,$FJ84-HP$19)^2/INDEX($U$20:$U$91,$FJ84-HP$19))))</f>
        <v>3.4506468048242866E-3</v>
      </c>
      <c r="HQ84" s="460">
        <f t="shared" ref="HQ84:HQ91" ca="1" si="403">IF(HQ$19&gt;$FJ84,"",MAX(0,IF(HQ$19=$FJ84,$S84^2*HQ$15,HQ83*INDEX($T$20:$T$91,$FJ84-HQ$19)^2/INDEX($U$20:$U$91,$FJ84-HQ$19))))</f>
        <v>3.9087104777665738E-3</v>
      </c>
      <c r="HR84" s="460">
        <f t="shared" ref="HR84:HR91" ca="1" si="404">IF(HR$19&gt;$FJ84,"",MAX(0,IF(HR$19=$FJ84,$S84^2*HR$15,HR83*INDEX($T$20:$T$91,$FJ84-HR$19)^2/INDEX($U$20:$U$91,$FJ84-HR$19))))</f>
        <v>4.2153139358478784E-3</v>
      </c>
      <c r="HS84" s="460">
        <f t="shared" ref="HS84:HS91" ca="1" si="405">IF(HS$19&gt;$FJ84,"",MAX(0,IF(HS$19=$FJ84,$S84^2*HS$15,HS83*INDEX($T$20:$T$91,$FJ84-HS$19)^2/INDEX($U$20:$U$91,$FJ84-HS$19))))</f>
        <v>4.9501121216045984E-3</v>
      </c>
      <c r="HT84" s="460">
        <f t="shared" ref="HT84:HT91" ca="1" si="406">IF(HT$19&gt;$FJ84,"",MAX(0,IF(HT$19=$FJ84,$S84^2*HT$15,HT83*INDEX($T$20:$T$91,$FJ84-HT$19)^2/INDEX($U$20:$U$91,$FJ84-HT$19))))</f>
        <v>5.7587278079586869E-3</v>
      </c>
      <c r="HU84" s="460">
        <f t="shared" ref="HU84:HU91" ca="1" si="407">IF(HU$19&gt;$FJ84,"",MAX(0,IF(HU$19=$FJ84,$S84^2*HU$15,HU83*INDEX($T$20:$T$91,$FJ84-HU$19)^2/INDEX($U$20:$U$91,$FJ84-HU$19))))</f>
        <v>6.6680484379324414E-3</v>
      </c>
      <c r="HV84" s="460">
        <f t="shared" ref="HV84:HV91" ca="1" si="408">IF(HV$19&gt;$FJ84,"",MAX(0,IF(HV$19=$FJ84,$S84^2*HV$15,HV83*INDEX($T$20:$T$91,$FJ84-HV$19)^2/INDEX($U$20:$U$91,$FJ84-HV$19))))</f>
        <v>8.5284698827181229E-3</v>
      </c>
      <c r="HW84" s="460">
        <f t="shared" ref="HW84:HW91" ca="1" si="409">IF(HW$19&gt;$FJ84,"",MAX(0,IF(HW$19=$FJ84,$S84^2*HW$15,HW83*INDEX($T$20:$T$91,$FJ84-HW$19)^2/INDEX($U$20:$U$91,$FJ84-HW$19))))</f>
        <v>1.0644763892195668E-2</v>
      </c>
      <c r="HX84" s="460" t="str">
        <f t="shared" ref="HX84:HX91" si="410">IF(HX$19&gt;$FJ84,"",MAX(0,IF(HX$19=$FJ84,$S84^2*HX$15,HX83*INDEX($T$20:$T$91,$FJ84-HX$19)^2/INDEX($U$20:$U$91,$FJ84-HX$19))))</f>
        <v/>
      </c>
      <c r="HY84" s="460" t="str">
        <f t="shared" ref="HY84:HY91" si="411">IF(HY$19&gt;$FJ84,"",MAX(0,IF(HY$19=$FJ84,$S84^2*HY$15,HY83*INDEX($T$20:$T$91,$FJ84-HY$19)^2/INDEX($U$20:$U$91,$FJ84-HY$19))))</f>
        <v/>
      </c>
      <c r="HZ84" s="460" t="str">
        <f t="shared" ref="HZ84:HZ91" si="412">IF(HZ$19&gt;$FJ84,"",MAX(0,IF(HZ$19=$FJ84,$S84^2*HZ$15,HZ83*INDEX($T$20:$T$91,$FJ84-HZ$19)^2/INDEX($U$20:$U$91,$FJ84-HZ$19))))</f>
        <v/>
      </c>
      <c r="IA84" s="460" t="str">
        <f t="shared" ref="IA84:IA91" si="413">IF(IA$19&gt;$FJ84,"",MAX(0,IF(IA$19=$FJ84,$S84^2*IA$15,IA83*INDEX($T$20:$T$91,$FJ84-IA$19)^2/INDEX($U$20:$U$91,$FJ84-IA$19))))</f>
        <v/>
      </c>
      <c r="IB84" s="460" t="str">
        <f t="shared" ref="IB84:IB91" si="414">IF(IB$19&gt;$FJ84,"",MAX(0,IF(IB$19=$FJ84,$S84^2*IB$15,IB83*INDEX($T$20:$T$91,$FJ84-IB$19)^2/INDEX($U$20:$U$91,$FJ84-IB$19))))</f>
        <v/>
      </c>
      <c r="IC84" s="460" t="str">
        <f t="shared" ref="IC84:IC91" si="415">IF(IC$19&gt;$FJ84,"",MAX(0,IF(IC$19=$FJ84,$S84^2*IC$15,IC83*INDEX($T$20:$T$91,$FJ84-IC$19)^2/INDEX($U$20:$U$91,$FJ84-IC$19))))</f>
        <v/>
      </c>
      <c r="ID84" s="674" t="str">
        <f t="shared" ref="ID84:ID91" si="416">IF(ID$19&gt;$FJ84,"",MAX(0,IF(ID$19=$FJ84,$S84^2*ID$15,ID83*INDEX($T$20:$T$91,$FJ84-ID$19)^2/INDEX($U$20:$U$91,$FJ84-ID$19))))</f>
        <v/>
      </c>
      <c r="IE84" s="250"/>
    </row>
    <row r="85" spans="8:239">
      <c r="H85" s="51">
        <f t="shared" ca="1" si="315"/>
        <v>0</v>
      </c>
      <c r="I85" s="379">
        <f t="shared" si="316"/>
        <v>38749</v>
      </c>
      <c r="J85" s="377"/>
      <c r="K85" s="104" t="s">
        <v>269</v>
      </c>
      <c r="L85" s="392">
        <f t="shared" si="317"/>
        <v>0</v>
      </c>
      <c r="M85" s="171"/>
      <c r="N85" s="382">
        <v>0</v>
      </c>
      <c r="O85" s="171">
        <f t="shared" si="272"/>
        <v>0</v>
      </c>
      <c r="P85" s="377"/>
      <c r="Q85" s="104" t="s">
        <v>268</v>
      </c>
      <c r="R85" s="377">
        <f t="shared" ref="R85:R148" ca="1" si="417">IF(ISNUMBER(Q85),P85+Q85/100,IF(Q85="extra",(Z83*AL83-R84*AM83)/AN83,IF(Q85="inter",interpolateprices($Q$19:$R$260,ROW(Q85)-ROW(FirstPricingMonth)+1),interpolatechanges($P$19:$Q$260,ROW(Q85)-ROW(FirstPricingMonth)+1))))</f>
        <v>-1.1449991665069612</v>
      </c>
      <c r="S85" s="832">
        <f t="shared" si="164"/>
        <v>0.36000000040362756</v>
      </c>
      <c r="T85" s="831">
        <f t="shared" ref="T85:T148" si="418">SQRT((1-(1-T84^2/U84)*T$18)*U85)</f>
        <v>0.99999575095375126</v>
      </c>
      <c r="U85" s="545">
        <f t="shared" ref="U85:U148" si="419">1-(1-U84)*U$18</f>
        <v>0.9999999998864797</v>
      </c>
      <c r="V85" s="389">
        <v>0</v>
      </c>
      <c r="W85" s="434">
        <f t="shared" si="273"/>
        <v>0</v>
      </c>
      <c r="X85" s="415">
        <f t="shared" si="274"/>
        <v>0</v>
      </c>
      <c r="Y85" s="322">
        <f t="shared" si="275"/>
        <v>-1.121</v>
      </c>
      <c r="Z85" s="322">
        <f t="shared" ca="1" si="276"/>
        <v>-1.121</v>
      </c>
      <c r="AA85" s="429">
        <f t="shared" si="277"/>
        <v>1.121</v>
      </c>
      <c r="AB85" s="433">
        <f t="shared" ca="1" si="278"/>
        <v>1.121</v>
      </c>
      <c r="AC85" s="229">
        <v>38737</v>
      </c>
      <c r="AD85" s="229">
        <v>38733</v>
      </c>
      <c r="AE85" s="229">
        <v>38732</v>
      </c>
      <c r="AF85" s="229">
        <v>38728</v>
      </c>
      <c r="AG85" s="249" t="s">
        <v>90</v>
      </c>
      <c r="AH85" s="247" t="s">
        <v>499</v>
      </c>
      <c r="AI85" s="146">
        <v>20</v>
      </c>
      <c r="AJ85" s="41">
        <v>14</v>
      </c>
      <c r="AK85" s="41">
        <v>6</v>
      </c>
      <c r="AL85" s="293">
        <v>20</v>
      </c>
      <c r="AM85" s="41">
        <v>10</v>
      </c>
      <c r="AN85" s="147">
        <v>10</v>
      </c>
      <c r="AO85" s="374"/>
      <c r="AP85" s="153">
        <f t="shared" ca="1" si="318"/>
        <v>1</v>
      </c>
      <c r="AQ85" s="374"/>
      <c r="AR85" s="153">
        <f t="shared" ref="AR85:AR148" ca="1" si="420">(1+AQ85/2)^(-2*BH85/365.25)</f>
        <v>1</v>
      </c>
      <c r="AS85" s="272">
        <f t="shared" si="279"/>
        <v>0</v>
      </c>
      <c r="AT85" s="157">
        <f t="shared" si="319"/>
        <v>0</v>
      </c>
      <c r="AU85" s="157">
        <f t="shared" si="280"/>
        <v>0</v>
      </c>
      <c r="AV85" s="271">
        <f t="shared" ca="1" si="163"/>
        <v>9.9999999999999995E-7</v>
      </c>
      <c r="AW85" s="158" t="str">
        <f t="shared" ca="1" si="281"/>
        <v/>
      </c>
      <c r="AX85" s="157">
        <f t="shared" ref="AX85:AX148" ca="1" si="421">IF($AW85="",AX84^2/AX83,INDEX(U$5:U$8,$AW85)^((INDEX($T$5:$T$8,$AW85+1)-($I85-DateToday+15))/(INDEX($T$5:$T$8,$AW85+1)-INDEX($T$5:$T$8,$AW85)))/INDEX(U$5:U$8,$AW85+1)^((INDEX($T$5:$T$8,$AW85)-($I85-DateToday+15))/(INDEX($T$5:$T$8,$AW85+1)-INDEX($T$5:$T$8,$AW85))))</f>
        <v>2.8480421917841709E-3</v>
      </c>
      <c r="AY85" s="157">
        <f t="shared" ref="AY85:AY148" ca="1" si="422">IF($AW85="",AY84^2/AY83,INDEX(V$5:V$8,$AW85)^((INDEX($T$5:$T$8,$AW85+1)-($I85-DateToday+15))/(INDEX($T$5:$T$8,$AW85+1)-INDEX($T$5:$T$8,$AW85)))/INDEX(V$5:V$8,$AW85+1)^((INDEX($T$5:$T$8,$AW85)-($I85-DateToday+15))/(INDEX($T$5:$T$8,$AW85+1)-INDEX($T$5:$T$8,$AW85))))</f>
        <v>1.4293752039454329E-3</v>
      </c>
      <c r="AZ85" s="157">
        <f t="shared" ref="AZ85:AZ148" ca="1" si="423">IF($AW85="",AZ84^2/AZ83,INDEX(W$5:W$8,$AW85)^((INDEX($T$5:$T$8,$AW85+1)-($I85-DateToday+15))/(INDEX($T$5:$T$8,$AW85+1)-INDEX($T$5:$T$8,$AW85)))/INDEX(W$5:W$8,$AW85+1)^((INDEX($T$5:$T$8,$AW85)-($I85-DateToday+15))/(INDEX($T$5:$T$8,$AW85+1)-INDEX($T$5:$T$8,$AW85))))</f>
        <v>3.4216824411277373E-4</v>
      </c>
      <c r="BA85" s="157">
        <f t="shared" ref="BA85:BA148" ca="1" si="424">IF($AW85="",BA84^2/BA83,INDEX(X$5:X$8,$AW85)^((INDEX($T$5:$T$8,$AW85+1)-($I85-DateToday+15))/(INDEX($T$5:$T$8,$AW85+1)-INDEX($T$5:$T$8,$AW85)))/INDEX(X$5:X$8,$AW85+1)^((INDEX($T$5:$T$8,$AW85)-($I85-DateToday+15))/(INDEX($T$5:$T$8,$AW85+1)-INDEX($T$5:$T$8,$AW85))))</f>
        <v>4.2771030514096716E-5</v>
      </c>
      <c r="BB85" s="157">
        <f t="shared" ref="BB85:BB148" ca="1" si="425">IF($AW85="",BB84^2/BB83,INDEX(Y$5:Y$8,$AW85)^((INDEX($T$5:$T$8,$AW85+1)-($I85-DateToday+15))/(INDEX($T$5:$T$8,$AW85+1)-INDEX($T$5:$T$8,$AW85)))/INDEX(Y$5:Y$8,$AW85+1)^((INDEX($T$5:$T$8,$AW85)-($I85-DateToday+15))/(INDEX($T$5:$T$8,$AW85+1)-INDEX($T$5:$T$8,$AW85))))</f>
        <v>1.0151141624186321E-5</v>
      </c>
      <c r="BC85" s="157">
        <f t="shared" ref="BC85:BC148" ca="1" si="426">IF($AW85="",BC84^2/BC83,INDEX(Z$5:Z$8,$AW85)^((INDEX($T$5:$T$8,$AW85+1)-($I85-DateToday+15))/(INDEX($T$5:$T$8,$AW85+1)-INDEX($T$5:$T$8,$AW85)))/INDEX(Z$5:Z$8,$AW85+1)^((INDEX($T$5:$T$8,$AW85)-($I85-DateToday+15))/(INDEX($T$5:$T$8,$AW85+1)-INDEX($T$5:$T$8,$AW85))))</f>
        <v>3.6587221024755909E-6</v>
      </c>
      <c r="BD85" s="151">
        <f t="shared" ca="1" si="282"/>
        <v>0</v>
      </c>
      <c r="BE85" s="152">
        <f t="shared" ca="1" si="283"/>
        <v>0</v>
      </c>
      <c r="BF85" s="40">
        <f t="shared" si="284"/>
        <v>2006</v>
      </c>
      <c r="BG85" s="144">
        <f t="shared" si="285"/>
        <v>2</v>
      </c>
      <c r="BH85" s="145">
        <f t="shared" ca="1" si="286"/>
        <v>1988</v>
      </c>
      <c r="BI85" s="313">
        <f t="shared" ca="1" si="287"/>
        <v>5.4866529774127306</v>
      </c>
      <c r="BJ85" s="42">
        <f t="shared" ca="1" si="288"/>
        <v>5.5383983572895277</v>
      </c>
      <c r="BK85" s="42">
        <f t="shared" ca="1" si="289"/>
        <v>5.5411362080766597</v>
      </c>
      <c r="BL85" s="42">
        <f t="shared" ca="1" si="290"/>
        <v>5.5605749486652973</v>
      </c>
      <c r="BM85" s="150" t="e">
        <f t="shared" ca="1" si="291"/>
        <v>#DIV/0!</v>
      </c>
      <c r="BN85" s="42" t="e">
        <f t="shared" ca="1" si="292"/>
        <v>#DIV/0!</v>
      </c>
      <c r="BO85" s="293">
        <f t="shared" si="320"/>
        <v>20</v>
      </c>
      <c r="BP85" s="41">
        <f t="shared" si="293"/>
        <v>14</v>
      </c>
      <c r="BQ85" s="41">
        <f t="shared" si="294"/>
        <v>6</v>
      </c>
      <c r="BR85" s="305" t="str">
        <f t="shared" ca="1" si="295"/>
        <v/>
      </c>
      <c r="BS85" s="305" t="str">
        <f t="shared" ca="1" si="296"/>
        <v/>
      </c>
      <c r="BT85" s="307" t="str">
        <f t="shared" ca="1" si="297"/>
        <v/>
      </c>
      <c r="BU85" s="161" t="str">
        <f t="shared" ca="1" si="298"/>
        <v/>
      </c>
      <c r="BV85" s="161" t="str">
        <f t="shared" ca="1" si="299"/>
        <v/>
      </c>
      <c r="BW85" s="308" t="str">
        <f t="shared" ca="1" si="300"/>
        <v/>
      </c>
      <c r="BX85" s="309" t="str">
        <f t="shared" ca="1" si="301"/>
        <v/>
      </c>
      <c r="BY85" s="308" t="str">
        <f t="shared" ca="1" si="321"/>
        <v/>
      </c>
      <c r="BZ85" s="309" t="str">
        <f t="shared" ca="1" si="322"/>
        <v/>
      </c>
      <c r="CA85" s="154" t="str">
        <f t="shared" ca="1" si="302"/>
        <v/>
      </c>
      <c r="CB85" s="154" t="str">
        <f t="shared" ca="1" si="303"/>
        <v/>
      </c>
      <c r="CC85" s="154" t="str">
        <f t="shared" ca="1" si="304"/>
        <v/>
      </c>
      <c r="CD85" s="154" t="str">
        <f t="shared" ca="1" si="305"/>
        <v/>
      </c>
      <c r="CE85" s="310">
        <v>1</v>
      </c>
      <c r="CF85" s="162">
        <f ca="1">IF(BD85,_xll.xCrudeAPO(BU85,BV85,CA85,CB85,S86,S87,BI85,BL85,BP85,BQ85,0,Strike1,AO85,CE85,0,BL85,IF(OptControl=4,0,1),0,1),0)</f>
        <v>0</v>
      </c>
      <c r="CG85" s="163">
        <f ca="1">IF(BD85,_xll.xCrudeAPO(BU85,BV85,CA85,CB85,S86,S87,BI85,BL85,BP85,BQ85,0,Strike1,AO85,CE85,0,BL85,IF(OptControl=4,0,1),1,1)+_xll.xCrudeAPO(BU85,BV85,CA85,CB85,S86,S87,BI85,BL85,BP85,BQ85,0,Strike1,AO85,CE85,0,BL85,IF(OptControl=4,0,1),1,2)+IF(OR(VolSkewFlag=2,ABS(BS85)&lt;0.0001),0,IF(BS85&gt;0,-1,1)*CH85*Strike1/BR85^2*BY85/10%),0)</f>
        <v>0</v>
      </c>
      <c r="CH85" s="163">
        <f ca="1">IF(BD85,(_xll.xCrudeAPO(BU85,BV85,CA85,CB85,S86,S87,BI85,BL85,BP85,BQ85,0,Strike1,AO85,CE85,0,BL85,IF(OptControl=4,0,1),3,1)+_xll.xCrudeAPO(BU85,BV85,CA85,CB85,S86,S87,BI85,BL85,BP85,BQ85,0,Strike1,AO85,CE85,0,BL85,IF(OptControl=4,0,1),3,2))/100,0)</f>
        <v>0</v>
      </c>
      <c r="CI85" s="163">
        <f ca="1">IF(BD85,_xll.xCrudeAPO(BU85,BV85,CA85,CB85,S86,S87,BI85-DaysForThetaCalculation/365.25,BL85-DaysForThetaCalculation/365.25,BP85,BQ85,0,Strike1,AO85,CE85,0,BL85,IF(OptControl=4,0,1),0,1)-_xll.xCrudeAPO(BU85,BV85,CA85,CB85,S86,S87,BI85,BL85,BP85,BQ85,0,Strike1,AO85,CE85,0,BL85,IF(OptControl=4,0,1),0,1),0)</f>
        <v>0</v>
      </c>
      <c r="CJ85" s="311">
        <f ca="1">IF(BD85,_xll.xCrudeAPO(BU85,BV85,CC85,CD85,S86,S87,BI85,BL85,BP85,BQ85,0,Strike2,AO85,CE85,0,BL85,IF(OptControl=3,1,0),0,1),0)</f>
        <v>0</v>
      </c>
      <c r="CK85" s="163">
        <f ca="1">IF(BD85,_xll.xCrudeAPO(BU85,BV85,CC85,CD85,S86,S87,BI85,BL85,BP85,BQ85,0,Strike2,AO85,CE85,0,BL85,IF(OptControl=3,1,0),1,1)+_xll.xCrudeAPO(BU85,BV85,CC85,CD85,S86,S87,BI85,BL85,BP85,BQ85,0,Strike2,AO85,CE85,0,BL85,IF(OptControl=3,1,0),1,2)+IF(OR(VolSkewFlag=2,ABS(BT85)&lt;0.0001),0,IF(BT85&gt;0,-1,1)*CL85*Strike2/BR85^2*BZ85/10%),0)</f>
        <v>0</v>
      </c>
      <c r="CL85" s="163">
        <f ca="1">IF(BD85,(_xll.xCrudeAPO(BU85,BV85,CC85,CD85,S86,S87,BI85,BL85,BP85,BQ85,0,Strike2,AO85,CE85,0,BL85,IF(OptControl=3,1,0),3,1)+_xll.xCrudeAPO(BU85,BV85,CC85,CD85,S86,S87,BI85,BL85,BP85,BQ85,0,Strike2,AO85,CE85,0,BL85,IF(OptControl=3,1,0),3,2))/100,0)</f>
        <v>0</v>
      </c>
      <c r="CM85" s="164">
        <f ca="1">IF(BD85,_xll.xCrudeAPO(BU85,BV85,CC85,CD85,S86,S87,BI85-DaysForThetaCalculation/365.25,BL85-DaysForThetaCalculation/365.25,BP85,BQ85,0,Strike2,AO85,CE85,0,BL85,IF(OptControl=3,1,0),0,1)-_xll.xCrudeAPO(BU85,BV85,CC85,CD85,S86,S87,BI85,BL85,BP85,BQ85,0,Strike2,AO85,CE85,0,BL85,IF(OptControl=3,1,0),0,1),0)</f>
        <v>0</v>
      </c>
      <c r="CN85" s="53"/>
      <c r="CO85" s="796" t="str">
        <f t="shared" ca="1" si="323"/>
        <v/>
      </c>
      <c r="CP85" s="800" t="str">
        <f t="shared" ca="1" si="324"/>
        <v/>
      </c>
      <c r="CQ85" s="797" t="str">
        <f t="shared" ca="1" si="325"/>
        <v/>
      </c>
      <c r="CR85" s="797" t="str">
        <f t="shared" ca="1" si="326"/>
        <v/>
      </c>
      <c r="CS85" s="797" t="str">
        <f t="shared" ca="1" si="327"/>
        <v/>
      </c>
      <c r="CT85" s="797" t="str">
        <f t="shared" ca="1" si="328"/>
        <v/>
      </c>
      <c r="CU85" s="798" t="str">
        <f t="shared" ca="1" si="329"/>
        <v/>
      </c>
      <c r="CV85" s="799" t="str">
        <f t="shared" ca="1" si="330"/>
        <v/>
      </c>
      <c r="CW85" s="799" t="str">
        <f t="shared" ca="1" si="331"/>
        <v/>
      </c>
      <c r="CX85" s="163">
        <f ca="1">IF(BD85,_xll.EURO(CP85,Strike1,AO85,AO85,CV85,CO85,IF(OptControl=4,0,1),0),0)</f>
        <v>0</v>
      </c>
      <c r="CY85" s="163">
        <f ca="1">IF(BD85,_xll.EURO(CP85,Strike1,AO85,AO85,CV85,CO85,IF(OptControl=4,0,1),1)+IF(OR(VolSkewFlag=2,ABS(CQ85)&lt;0.0001),0,IF(CQ85&gt;0,-1,1)*CZ85*100*Strike1/CP85^2*CS85/10%),0)</f>
        <v>0</v>
      </c>
      <c r="CZ85" s="163">
        <f ca="1">IF(BD85,_xll.EURO(CP85,Strike1,AO85,AO85,CV85,CO85,IF(OptControl=4,0,1),3)/100,0)</f>
        <v>0</v>
      </c>
      <c r="DA85" s="163">
        <f ca="1">IF(BD85,_xll.EURO(CP85,Strike1,AO85,AO85,CV85,CO85,IF(OptControl=4,0,1),0)-_xll.EURO(CP85,Strike1,AO85,AO85,CV85,CO85-1,IF(OptControl=4,0,1),0),0)</f>
        <v>0</v>
      </c>
      <c r="DB85" s="163">
        <f ca="1">IF(BD85,_xll.EURO(CP85,Strike2,AO85,AO85,CW85,CO85,IF(OptControl=3,1,0),0),0)</f>
        <v>0</v>
      </c>
      <c r="DC85" s="163">
        <f ca="1">IF(BD85,_xll.EURO(CP85,Strike2,AO85,AO85,CW85,CO85,IF(OptControl=3,1,0),1)+IF(OR(VolSkewFlag=2,ABS(CR85)&lt;0.0001),0,IF(CR85&gt;0,-1,1)*DD85*100*Strike2/CP85^2*CT85/10%),0)</f>
        <v>0</v>
      </c>
      <c r="DD85" s="163">
        <f ca="1">IF(BD85,_xll.EURO(CP85,Strike2,AO85,AO85,CW85,CO85,IF(OptControl=3,1,0),3)/100,0)</f>
        <v>0</v>
      </c>
      <c r="DE85" s="164">
        <f ca="1">IF(BD85,_xll.EURO(CP85,Strike2,AO85,AO85,CW85,CO85,IF(OptControl=3,1,0),0)-_xll.EURO(CP85,Strike2,AO85,AO85,CW85,CO85-1,IF(OptControl=3,1,0),0),0)</f>
        <v>0</v>
      </c>
      <c r="DG85" s="667">
        <f t="shared" ca="1" si="332"/>
        <v>38534</v>
      </c>
      <c r="DH85" s="475">
        <v>18.33666666666667</v>
      </c>
      <c r="DI85" s="665">
        <v>18.332166666666666</v>
      </c>
      <c r="DJ85" s="666">
        <f t="shared" ca="1" si="306"/>
        <v>38534</v>
      </c>
      <c r="DK85" s="475">
        <v>17.163115756649347</v>
      </c>
      <c r="DL85" s="665">
        <v>17.096166666666665</v>
      </c>
      <c r="DM85" s="667">
        <f t="shared" ca="1" si="307"/>
        <v>38534</v>
      </c>
      <c r="DN85" s="668">
        <f t="shared" si="308"/>
        <v>17.213115756649348</v>
      </c>
      <c r="DO85" s="667">
        <f t="shared" ca="1" si="333"/>
        <v>38534</v>
      </c>
      <c r="DP85" s="579">
        <f t="shared" si="334"/>
        <v>17.096166666666665</v>
      </c>
      <c r="DQ85" s="821">
        <v>0</v>
      </c>
      <c r="DR85" s="666">
        <f t="shared" ca="1" si="309"/>
        <v>38534</v>
      </c>
      <c r="DS85" s="669">
        <v>0.19233317284935805</v>
      </c>
      <c r="DT85" s="606">
        <v>0.19203579833647103</v>
      </c>
      <c r="DU85" s="666">
        <f t="shared" ca="1" si="310"/>
        <v>38534</v>
      </c>
      <c r="DV85" s="669">
        <v>0.19233317284935805</v>
      </c>
      <c r="DW85" s="606">
        <v>0.19203579833647103</v>
      </c>
      <c r="DX85" s="667">
        <f t="shared" ca="1" si="311"/>
        <v>38534</v>
      </c>
      <c r="DY85" s="606">
        <v>0.35</v>
      </c>
      <c r="DZ85" s="667">
        <f t="shared" ca="1" si="335"/>
        <v>38534</v>
      </c>
      <c r="EA85" s="606">
        <f t="shared" si="336"/>
        <v>0.19203579833647103</v>
      </c>
      <c r="EB85" s="1"/>
      <c r="EC85" s="118" t="str">
        <f t="shared" ca="1" si="312"/>
        <v/>
      </c>
      <c r="ED85" s="119" t="str">
        <f t="shared" ca="1" si="313"/>
        <v/>
      </c>
      <c r="EE85" s="112" t="str">
        <f t="shared" ca="1" si="314"/>
        <v/>
      </c>
      <c r="EF85" s="120">
        <f ca="1">IF(BD85,_xll.xASN(BR85,Strike1,AO85,ED85,0,BO85,0,BI85,BL85,IF(OptControl=4,0,1),0),0)</f>
        <v>0</v>
      </c>
      <c r="EG85" s="111">
        <f ca="1">IF(BD85,_xll.xASN(BR85,Strike2,AO85,EE85,0,BO85,0,BI85,BL85,IF(OptControl=3,1,0),0),0)</f>
        <v>0</v>
      </c>
      <c r="EL85" s="55"/>
      <c r="EM85" s="1"/>
      <c r="EN85" s="697">
        <v>43650</v>
      </c>
      <c r="EO85" s="698">
        <v>48573</v>
      </c>
      <c r="EP85" s="1"/>
      <c r="EQ85" s="683" t="s">
        <v>298</v>
      </c>
      <c r="ES85" s="498">
        <v>66</v>
      </c>
      <c r="ET85" s="476">
        <f t="shared" ca="1" si="165"/>
        <v>5.4428473648186175</v>
      </c>
      <c r="EU85" s="842">
        <f t="shared" ca="1" si="337"/>
        <v>0</v>
      </c>
      <c r="EV85" s="815">
        <f t="shared" ref="EV85:EV91" ca="1" si="427">SQRT(SUM(FK85:ID85)/ET85)</f>
        <v>0.17916187261984343</v>
      </c>
      <c r="EW85" s="478" t="str">
        <f t="shared" ref="EW85:EW91" ca="1" si="428">IF(OR(DateStart2&gt;I84,DateEnd2&lt;I83),"",IF(DateStart2&lt;I84,AK83/AI83*AP83*BE83*SwaptionNumOfMonths/$D$33,0)+IF(DateEnd2&gt;I83,AJ84/AI84*AP84*BE84*SwaptionNumOfMonths/$D$33,0))</f>
        <v/>
      </c>
      <c r="EX85" s="477" t="str">
        <f t="shared" ref="EX85:EX116" ca="1" si="429">IF(EW85="","",SQRT(SUM(FK390:ID390)/SwaptionYearsToExp))</f>
        <v/>
      </c>
      <c r="EY85" s="250">
        <v>0</v>
      </c>
      <c r="EZ85" s="605" t="str">
        <f ca="1">IF(OR(EW85="",EW86=""),"",SQRT(SUM(INDEX(FK85:ID85,SwaptionFirstMonthPosition+1):INDEX(FK85:ID85,FJ85))/SUM(INDEX($FK$15:$ID$15,SwaptionFirstMonthPosition+1):INDEX($FK$15:$ID$15,FJ85))))</f>
        <v/>
      </c>
      <c r="FA85" s="581" t="str">
        <f ca="1">IF(OR(EW85="",EW84=""),"",SQRT(SUM(INDEX(FK85:ID85,SwaptionFirstMonthPosition+1):INDEX(FK85:ID85,FJ85-1))/SUM(INDEX($FK$15:$ID$15,SwaptionFirstMonthPosition+1):INDEX($FK$15:$ID$15,FJ85-1))))</f>
        <v/>
      </c>
      <c r="FB85" s="578" t="str">
        <f t="shared" ca="1" si="338"/>
        <v/>
      </c>
      <c r="FC85" s="609" t="str">
        <f t="shared" ca="1" si="339"/>
        <v/>
      </c>
      <c r="FD85" s="579" t="str">
        <f t="shared" ca="1" si="340"/>
        <v/>
      </c>
      <c r="FE85" s="579" t="str">
        <f t="shared" ca="1" si="341"/>
        <v/>
      </c>
      <c r="FF85" s="579" t="str">
        <f t="shared" ca="1" si="342"/>
        <v/>
      </c>
      <c r="FG85" s="580" t="str">
        <f t="shared" ca="1" si="343"/>
        <v/>
      </c>
      <c r="FH85" s="606" t="str">
        <f t="shared" ca="1" si="344"/>
        <v/>
      </c>
      <c r="FI85" s="250"/>
      <c r="FJ85" s="673">
        <v>66</v>
      </c>
      <c r="FK85" s="460">
        <f t="shared" ca="1" si="345"/>
        <v>0</v>
      </c>
      <c r="FL85" s="460">
        <f t="shared" ca="1" si="346"/>
        <v>2.1913123481001459E-3</v>
      </c>
      <c r="FM85" s="460">
        <f t="shared" ca="1" si="347"/>
        <v>2.5469671043581049E-3</v>
      </c>
      <c r="FN85" s="460">
        <f t="shared" ca="1" si="348"/>
        <v>2.1437343087782413E-3</v>
      </c>
      <c r="FO85" s="460">
        <f t="shared" ca="1" si="349"/>
        <v>2.2298357195027216E-3</v>
      </c>
      <c r="FP85" s="460">
        <f t="shared" ca="1" si="350"/>
        <v>2.470931851284297E-3</v>
      </c>
      <c r="FQ85" s="460">
        <f t="shared" ca="1" si="351"/>
        <v>2.0005206136280776E-3</v>
      </c>
      <c r="FR85" s="460">
        <f t="shared" ca="1" si="352"/>
        <v>2.0454910454098213E-3</v>
      </c>
      <c r="FS85" s="460">
        <f t="shared" ca="1" si="353"/>
        <v>2.3051824704867622E-3</v>
      </c>
      <c r="FT85" s="460">
        <f t="shared" ca="1" si="354"/>
        <v>2.0804072890095622E-3</v>
      </c>
      <c r="FU85" s="460">
        <f t="shared" ca="1" si="355"/>
        <v>2.0000948846124623E-3</v>
      </c>
      <c r="FV85" s="460">
        <f t="shared" ca="1" si="356"/>
        <v>2.1979852855632601E-3</v>
      </c>
      <c r="FW85" s="460">
        <f t="shared" ca="1" si="357"/>
        <v>2.0543239807988105E-3</v>
      </c>
      <c r="FX85" s="460">
        <f t="shared" ca="1" si="358"/>
        <v>2.1863066932402207E-3</v>
      </c>
      <c r="FY85" s="460">
        <f t="shared" ca="1" si="359"/>
        <v>2.0462256235262342E-3</v>
      </c>
      <c r="FZ85" s="460">
        <f t="shared" ca="1" si="360"/>
        <v>1.9074673198200465E-3</v>
      </c>
      <c r="GA85" s="460">
        <f t="shared" ca="1" si="361"/>
        <v>2.0419091982264419E-3</v>
      </c>
      <c r="GB85" s="460">
        <f t="shared" ca="1" si="362"/>
        <v>2.2447089205491285E-3</v>
      </c>
      <c r="GC85" s="460">
        <f t="shared" ca="1" si="363"/>
        <v>1.9718070407769173E-3</v>
      </c>
      <c r="GD85" s="460">
        <f t="shared" ca="1" si="364"/>
        <v>1.9713130063222783E-3</v>
      </c>
      <c r="GE85" s="460">
        <f t="shared" ca="1" si="365"/>
        <v>2.2429534871323165E-3</v>
      </c>
      <c r="GF85" s="460">
        <f t="shared" ca="1" si="366"/>
        <v>1.9710670639110522E-3</v>
      </c>
      <c r="GG85" s="460">
        <f t="shared" ca="1" si="367"/>
        <v>2.1751676890967024E-3</v>
      </c>
      <c r="GH85" s="460">
        <f t="shared" ca="1" si="368"/>
        <v>2.0395866010740104E-3</v>
      </c>
      <c r="GI85" s="460">
        <f t="shared" ca="1" si="369"/>
        <v>1.9721245904936284E-3</v>
      </c>
      <c r="GJ85" s="460">
        <f t="shared" ca="1" si="370"/>
        <v>2.2449330062343335E-3</v>
      </c>
      <c r="GK85" s="460">
        <f t="shared" ca="1" si="371"/>
        <v>2.0417534951495792E-3</v>
      </c>
      <c r="GL85" s="460">
        <f t="shared" ca="1" si="372"/>
        <v>1.9747653134103114E-3</v>
      </c>
      <c r="GM85" s="460">
        <f t="shared" ca="1" si="373"/>
        <v>2.1123320389654495E-3</v>
      </c>
      <c r="GN85" s="460">
        <f t="shared" ca="1" si="374"/>
        <v>2.1139704587136449E-3</v>
      </c>
      <c r="GO85" s="460">
        <f t="shared" ca="1" si="375"/>
        <v>2.1159093629491369E-3</v>
      </c>
      <c r="GP85" s="460">
        <f t="shared" ca="1" si="376"/>
        <v>1.9132085698405498E-3</v>
      </c>
      <c r="GQ85" s="460">
        <f t="shared" ca="1" si="377"/>
        <v>2.1208838548354321E-3</v>
      </c>
      <c r="GR85" s="460">
        <f t="shared" ca="1" si="378"/>
        <v>2.0555245105728262E-3</v>
      </c>
      <c r="GS85" s="460">
        <f t="shared" ca="1" si="379"/>
        <v>2.1277488068864418E-3</v>
      </c>
      <c r="GT85" s="460">
        <f t="shared" ca="1" si="380"/>
        <v>2.0633207503491808E-3</v>
      </c>
      <c r="GU85" s="460">
        <f t="shared" ca="1" si="381"/>
        <v>2.1372009340424247E-3</v>
      </c>
      <c r="GV85" s="460">
        <f t="shared" ca="1" si="382"/>
        <v>2.143188690054215E-3</v>
      </c>
      <c r="GW85" s="460">
        <f t="shared" ca="1" si="383"/>
        <v>2.0808551609022498E-3</v>
      </c>
      <c r="GX85" s="460">
        <f t="shared" ca="1" si="384"/>
        <v>2.1584703928283822E-3</v>
      </c>
      <c r="GY85" s="460">
        <f t="shared" ca="1" si="385"/>
        <v>2.0982271506812321E-3</v>
      </c>
      <c r="GZ85" s="460">
        <f t="shared" ca="1" si="386"/>
        <v>2.1795709085035142E-3</v>
      </c>
      <c r="HA85" s="460">
        <f t="shared" ca="1" si="387"/>
        <v>2.1929903743450174E-3</v>
      </c>
      <c r="HB85" s="460">
        <f t="shared" ca="1" si="388"/>
        <v>2.0662961348622156E-3</v>
      </c>
      <c r="HC85" s="460">
        <f t="shared" ca="1" si="389"/>
        <v>2.2274457878885068E-3</v>
      </c>
      <c r="HD85" s="460">
        <f t="shared" ca="1" si="390"/>
        <v>2.1769068996183878E-3</v>
      </c>
      <c r="HE85" s="460">
        <f t="shared" ca="1" si="391"/>
        <v>2.2755289495649186E-3</v>
      </c>
      <c r="HF85" s="460">
        <f t="shared" ca="1" si="392"/>
        <v>2.2320199698591236E-3</v>
      </c>
      <c r="HG85" s="460">
        <f t="shared" ca="1" si="393"/>
        <v>2.3431263959541194E-3</v>
      </c>
      <c r="HH85" s="460">
        <f t="shared" ca="1" si="394"/>
        <v>2.386858466513023E-3</v>
      </c>
      <c r="HI85" s="460">
        <f t="shared" ca="1" si="395"/>
        <v>2.3604457198408957E-3</v>
      </c>
      <c r="HJ85" s="460">
        <f t="shared" ca="1" si="396"/>
        <v>2.5018319747755198E-3</v>
      </c>
      <c r="HK85" s="460">
        <f t="shared" ca="1" si="397"/>
        <v>2.4942441986915056E-3</v>
      </c>
      <c r="HL85" s="460">
        <f t="shared" ca="1" si="398"/>
        <v>2.6688898688531104E-3</v>
      </c>
      <c r="HM85" s="460">
        <f t="shared" ca="1" si="399"/>
        <v>2.7803832307102278E-3</v>
      </c>
      <c r="HN85" s="460">
        <f t="shared" ca="1" si="400"/>
        <v>2.6348918679917018E-3</v>
      </c>
      <c r="HO85" s="460">
        <f t="shared" ca="1" si="401"/>
        <v>3.086510700379584E-3</v>
      </c>
      <c r="HP85" s="460">
        <f t="shared" ca="1" si="402"/>
        <v>3.1917178702442176E-3</v>
      </c>
      <c r="HQ85" s="460">
        <f t="shared" ca="1" si="403"/>
        <v>3.5656683450186856E-3</v>
      </c>
      <c r="HR85" s="460">
        <f t="shared" ca="1" si="404"/>
        <v>3.7826230271139826E-3</v>
      </c>
      <c r="HS85" s="460">
        <f t="shared" ca="1" si="405"/>
        <v>4.3558243866562334E-3</v>
      </c>
      <c r="HT85" s="460">
        <f t="shared" ca="1" si="406"/>
        <v>4.950112109910758E-3</v>
      </c>
      <c r="HU85" s="460">
        <f t="shared" ca="1" si="407"/>
        <v>5.5729623849248167E-3</v>
      </c>
      <c r="HV85" s="460">
        <f t="shared" ca="1" si="408"/>
        <v>6.8903167100409684E-3</v>
      </c>
      <c r="HW85" s="460">
        <f t="shared" ca="1" si="409"/>
        <v>8.2533579427920643E-3</v>
      </c>
      <c r="HX85" s="460">
        <f t="shared" ca="1" si="410"/>
        <v>1.0999589347047117E-2</v>
      </c>
      <c r="HY85" s="460" t="str">
        <f t="shared" si="411"/>
        <v/>
      </c>
      <c r="HZ85" s="460" t="str">
        <f t="shared" si="412"/>
        <v/>
      </c>
      <c r="IA85" s="460" t="str">
        <f t="shared" si="413"/>
        <v/>
      </c>
      <c r="IB85" s="460" t="str">
        <f t="shared" si="414"/>
        <v/>
      </c>
      <c r="IC85" s="460" t="str">
        <f t="shared" si="415"/>
        <v/>
      </c>
      <c r="ID85" s="674" t="str">
        <f t="shared" si="416"/>
        <v/>
      </c>
      <c r="IE85" s="250"/>
    </row>
    <row r="86" spans="8:239">
      <c r="H86" s="51">
        <f t="shared" ca="1" si="315"/>
        <v>0</v>
      </c>
      <c r="I86" s="379">
        <f t="shared" si="316"/>
        <v>38777</v>
      </c>
      <c r="J86" s="377"/>
      <c r="K86" s="104" t="s">
        <v>269</v>
      </c>
      <c r="L86" s="392">
        <f t="shared" si="317"/>
        <v>0</v>
      </c>
      <c r="M86" s="171"/>
      <c r="N86" s="382">
        <v>0</v>
      </c>
      <c r="O86" s="171">
        <f t="shared" si="272"/>
        <v>0</v>
      </c>
      <c r="P86" s="377"/>
      <c r="Q86" s="104" t="s">
        <v>268</v>
      </c>
      <c r="R86" s="377">
        <f t="shared" ca="1" si="417"/>
        <v>-1.1010006945775321</v>
      </c>
      <c r="S86" s="832">
        <f t="shared" si="164"/>
        <v>0.36000000030272067</v>
      </c>
      <c r="T86" s="831">
        <f t="shared" si="418"/>
        <v>0.99999636707253625</v>
      </c>
      <c r="U86" s="545">
        <f t="shared" si="419"/>
        <v>0.99999999991485977</v>
      </c>
      <c r="V86" s="389">
        <v>0</v>
      </c>
      <c r="W86" s="434">
        <f t="shared" si="273"/>
        <v>0</v>
      </c>
      <c r="X86" s="415">
        <f t="shared" si="274"/>
        <v>0</v>
      </c>
      <c r="Y86" s="322">
        <f t="shared" si="275"/>
        <v>-1.121</v>
      </c>
      <c r="Z86" s="322">
        <f t="shared" ca="1" si="276"/>
        <v>-1.121</v>
      </c>
      <c r="AA86" s="429">
        <f t="shared" si="277"/>
        <v>1.121</v>
      </c>
      <c r="AB86" s="433">
        <f t="shared" ca="1" si="278"/>
        <v>1.121</v>
      </c>
      <c r="AC86" s="229">
        <v>38768</v>
      </c>
      <c r="AD86" s="229">
        <v>38764</v>
      </c>
      <c r="AE86" s="229">
        <v>38763</v>
      </c>
      <c r="AF86" s="229">
        <v>38759</v>
      </c>
      <c r="AG86" s="249" t="s">
        <v>90</v>
      </c>
      <c r="AH86" s="247" t="s">
        <v>499</v>
      </c>
      <c r="AI86" s="146">
        <v>23</v>
      </c>
      <c r="AJ86" s="41">
        <v>14</v>
      </c>
      <c r="AK86" s="41">
        <v>9</v>
      </c>
      <c r="AL86" s="293">
        <v>23</v>
      </c>
      <c r="AM86" s="41">
        <v>10</v>
      </c>
      <c r="AN86" s="147">
        <v>13</v>
      </c>
      <c r="AO86" s="374"/>
      <c r="AP86" s="153">
        <f t="shared" ca="1" si="318"/>
        <v>1</v>
      </c>
      <c r="AQ86" s="374"/>
      <c r="AR86" s="153">
        <f t="shared" ca="1" si="420"/>
        <v>1</v>
      </c>
      <c r="AS86" s="272">
        <f t="shared" si="279"/>
        <v>0</v>
      </c>
      <c r="AT86" s="157">
        <f t="shared" si="319"/>
        <v>0</v>
      </c>
      <c r="AU86" s="157">
        <f t="shared" si="280"/>
        <v>0</v>
      </c>
      <c r="AV86" s="271">
        <f t="shared" ref="AV86:AV149" ca="1" si="430">SQRT(MAX(0.000000000001,(O86^2*BH86-S86^2*(BH86-BH85))/BH85))</f>
        <v>9.9999999999999995E-7</v>
      </c>
      <c r="AW86" s="158" t="str">
        <f t="shared" ca="1" si="281"/>
        <v/>
      </c>
      <c r="AX86" s="157">
        <f t="shared" ca="1" si="421"/>
        <v>2.7534179999026014E-3</v>
      </c>
      <c r="AY86" s="157">
        <f t="shared" ca="1" si="422"/>
        <v>1.3726984084273281E-3</v>
      </c>
      <c r="AZ86" s="157">
        <f t="shared" ca="1" si="423"/>
        <v>3.2296381623344629E-4</v>
      </c>
      <c r="BA86" s="157">
        <f t="shared" ca="1" si="424"/>
        <v>4.0370477029180786E-5</v>
      </c>
      <c r="BB86" s="157">
        <f t="shared" ca="1" si="425"/>
        <v>9.2630665097334109E-6</v>
      </c>
      <c r="BC86" s="157">
        <f t="shared" ca="1" si="426"/>
        <v>3.2595508311272287E-6</v>
      </c>
      <c r="BD86" s="151">
        <f t="shared" ca="1" si="282"/>
        <v>0</v>
      </c>
      <c r="BE86" s="152">
        <f t="shared" ca="1" si="283"/>
        <v>0</v>
      </c>
      <c r="BF86" s="40">
        <f t="shared" si="284"/>
        <v>2006</v>
      </c>
      <c r="BG86" s="144">
        <f t="shared" si="285"/>
        <v>3</v>
      </c>
      <c r="BH86" s="145">
        <f t="shared" ca="1" si="286"/>
        <v>2019</v>
      </c>
      <c r="BI86" s="313">
        <f t="shared" ca="1" si="287"/>
        <v>5.5633127994524294</v>
      </c>
      <c r="BJ86" s="42">
        <f t="shared" ca="1" si="288"/>
        <v>5.6133083355652769</v>
      </c>
      <c r="BK86" s="42">
        <f t="shared" ca="1" si="289"/>
        <v>5.6160461863524089</v>
      </c>
      <c r="BL86" s="42">
        <f t="shared" ca="1" si="290"/>
        <v>5.6454483230663932</v>
      </c>
      <c r="BM86" s="150" t="e">
        <f t="shared" ca="1" si="291"/>
        <v>#DIV/0!</v>
      </c>
      <c r="BN86" s="42" t="e">
        <f t="shared" ca="1" si="292"/>
        <v>#DIV/0!</v>
      </c>
      <c r="BO86" s="293">
        <f t="shared" si="320"/>
        <v>23</v>
      </c>
      <c r="BP86" s="41">
        <f t="shared" si="293"/>
        <v>14</v>
      </c>
      <c r="BQ86" s="41">
        <f t="shared" si="294"/>
        <v>9</v>
      </c>
      <c r="BR86" s="305" t="str">
        <f t="shared" ca="1" si="295"/>
        <v/>
      </c>
      <c r="BS86" s="305" t="str">
        <f t="shared" ca="1" si="296"/>
        <v/>
      </c>
      <c r="BT86" s="307" t="str">
        <f t="shared" ca="1" si="297"/>
        <v/>
      </c>
      <c r="BU86" s="161" t="str">
        <f t="shared" ca="1" si="298"/>
        <v/>
      </c>
      <c r="BV86" s="161" t="str">
        <f t="shared" ca="1" si="299"/>
        <v/>
      </c>
      <c r="BW86" s="308" t="str">
        <f t="shared" ca="1" si="300"/>
        <v/>
      </c>
      <c r="BX86" s="309" t="str">
        <f t="shared" ca="1" si="301"/>
        <v/>
      </c>
      <c r="BY86" s="308" t="str">
        <f t="shared" ca="1" si="321"/>
        <v/>
      </c>
      <c r="BZ86" s="309" t="str">
        <f t="shared" ca="1" si="322"/>
        <v/>
      </c>
      <c r="CA86" s="154" t="str">
        <f t="shared" ca="1" si="302"/>
        <v/>
      </c>
      <c r="CB86" s="154" t="str">
        <f t="shared" ca="1" si="303"/>
        <v/>
      </c>
      <c r="CC86" s="154" t="str">
        <f t="shared" ca="1" si="304"/>
        <v/>
      </c>
      <c r="CD86" s="154" t="str">
        <f t="shared" ca="1" si="305"/>
        <v/>
      </c>
      <c r="CE86" s="310">
        <v>1</v>
      </c>
      <c r="CF86" s="162">
        <f ca="1">IF(BD86,_xll.xCrudeAPO(BU86,BV86,CA86,CB86,S87,S88,BI86,BL86,BP86,BQ86,0,Strike1,AO86,CE86,0,BL86,IF(OptControl=4,0,1),0,1),0)</f>
        <v>0</v>
      </c>
      <c r="CG86" s="163">
        <f ca="1">IF(BD86,_xll.xCrudeAPO(BU86,BV86,CA86,CB86,S87,S88,BI86,BL86,BP86,BQ86,0,Strike1,AO86,CE86,0,BL86,IF(OptControl=4,0,1),1,1)+_xll.xCrudeAPO(BU86,BV86,CA86,CB86,S87,S88,BI86,BL86,BP86,BQ86,0,Strike1,AO86,CE86,0,BL86,IF(OptControl=4,0,1),1,2)+IF(OR(VolSkewFlag=2,ABS(BS86)&lt;0.0001),0,IF(BS86&gt;0,-1,1)*CH86*Strike1/BR86^2*BY86/10%),0)</f>
        <v>0</v>
      </c>
      <c r="CH86" s="163">
        <f ca="1">IF(BD86,(_xll.xCrudeAPO(BU86,BV86,CA86,CB86,S87,S88,BI86,BL86,BP86,BQ86,0,Strike1,AO86,CE86,0,BL86,IF(OptControl=4,0,1),3,1)+_xll.xCrudeAPO(BU86,BV86,CA86,CB86,S87,S88,BI86,BL86,BP86,BQ86,0,Strike1,AO86,CE86,0,BL86,IF(OptControl=4,0,1),3,2))/100,0)</f>
        <v>0</v>
      </c>
      <c r="CI86" s="163">
        <f ca="1">IF(BD86,_xll.xCrudeAPO(BU86,BV86,CA86,CB86,S87,S88,BI86-DaysForThetaCalculation/365.25,BL86-DaysForThetaCalculation/365.25,BP86,BQ86,0,Strike1,AO86,CE86,0,BL86,IF(OptControl=4,0,1),0,1)-_xll.xCrudeAPO(BU86,BV86,CA86,CB86,S87,S88,BI86,BL86,BP86,BQ86,0,Strike1,AO86,CE86,0,BL86,IF(OptControl=4,0,1),0,1),0)</f>
        <v>0</v>
      </c>
      <c r="CJ86" s="311">
        <f ca="1">IF(BD86,_xll.xCrudeAPO(BU86,BV86,CC86,CD86,S87,S88,BI86,BL86,BP86,BQ86,0,Strike2,AO86,CE86,0,BL86,IF(OptControl=3,1,0),0,1),0)</f>
        <v>0</v>
      </c>
      <c r="CK86" s="163">
        <f ca="1">IF(BD86,_xll.xCrudeAPO(BU86,BV86,CC86,CD86,S87,S88,BI86,BL86,BP86,BQ86,0,Strike2,AO86,CE86,0,BL86,IF(OptControl=3,1,0),1,1)+_xll.xCrudeAPO(BU86,BV86,CC86,CD86,S87,S88,BI86,BL86,BP86,BQ86,0,Strike2,AO86,CE86,0,BL86,IF(OptControl=3,1,0),1,2)+IF(OR(VolSkewFlag=2,ABS(BT86)&lt;0.0001),0,IF(BT86&gt;0,-1,1)*CL86*Strike2/BR86^2*BZ86/10%),0)</f>
        <v>0</v>
      </c>
      <c r="CL86" s="163">
        <f ca="1">IF(BD86,(_xll.xCrudeAPO(BU86,BV86,CC86,CD86,S87,S88,BI86,BL86,BP86,BQ86,0,Strike2,AO86,CE86,0,BL86,IF(OptControl=3,1,0),3,1)+_xll.xCrudeAPO(BU86,BV86,CC86,CD86,S87,S88,BI86,BL86,BP86,BQ86,0,Strike2,AO86,CE86,0,BL86,IF(OptControl=3,1,0),3,2))/100,0)</f>
        <v>0</v>
      </c>
      <c r="CM86" s="164">
        <f ca="1">IF(BD86,_xll.xCrudeAPO(BU86,BV86,CC86,CD86,S87,S88,BI86-DaysForThetaCalculation/365.25,BL86-DaysForThetaCalculation/365.25,BP86,BQ86,0,Strike2,AO86,CE86,0,BL86,IF(OptControl=3,1,0),0,1)-_xll.xCrudeAPO(BU86,BV86,CC86,CD86,S87,S88,BI86,BL86,BP86,BQ86,0,Strike2,AO86,CE86,0,BL86,IF(OptControl=3,1,0),0,1),0)</f>
        <v>0</v>
      </c>
      <c r="CN86" s="53"/>
      <c r="CO86" s="796" t="str">
        <f t="shared" ca="1" si="323"/>
        <v/>
      </c>
      <c r="CP86" s="800" t="str">
        <f t="shared" ca="1" si="324"/>
        <v/>
      </c>
      <c r="CQ86" s="797" t="str">
        <f t="shared" ca="1" si="325"/>
        <v/>
      </c>
      <c r="CR86" s="797" t="str">
        <f t="shared" ca="1" si="326"/>
        <v/>
      </c>
      <c r="CS86" s="797" t="str">
        <f t="shared" ca="1" si="327"/>
        <v/>
      </c>
      <c r="CT86" s="797" t="str">
        <f t="shared" ca="1" si="328"/>
        <v/>
      </c>
      <c r="CU86" s="798" t="str">
        <f t="shared" ca="1" si="329"/>
        <v/>
      </c>
      <c r="CV86" s="799" t="str">
        <f t="shared" ca="1" si="330"/>
        <v/>
      </c>
      <c r="CW86" s="799" t="str">
        <f t="shared" ca="1" si="331"/>
        <v/>
      </c>
      <c r="CX86" s="163">
        <f ca="1">IF(BD86,_xll.EURO(CP86,Strike1,AO86,AO86,CV86,CO86,IF(OptControl=4,0,1),0),0)</f>
        <v>0</v>
      </c>
      <c r="CY86" s="163">
        <f ca="1">IF(BD86,_xll.EURO(CP86,Strike1,AO86,AO86,CV86,CO86,IF(OptControl=4,0,1),1)+IF(OR(VolSkewFlag=2,ABS(CQ86)&lt;0.0001),0,IF(CQ86&gt;0,-1,1)*CZ86*100*Strike1/CP86^2*CS86/10%),0)</f>
        <v>0</v>
      </c>
      <c r="CZ86" s="163">
        <f ca="1">IF(BD86,_xll.EURO(CP86,Strike1,AO86,AO86,CV86,CO86,IF(OptControl=4,0,1),3)/100,0)</f>
        <v>0</v>
      </c>
      <c r="DA86" s="163">
        <f ca="1">IF(BD86,_xll.EURO(CP86,Strike1,AO86,AO86,CV86,CO86,IF(OptControl=4,0,1),0)-_xll.EURO(CP86,Strike1,AO86,AO86,CV86,CO86-1,IF(OptControl=4,0,1),0),0)</f>
        <v>0</v>
      </c>
      <c r="DB86" s="163">
        <f ca="1">IF(BD86,_xll.EURO(CP86,Strike2,AO86,AO86,CW86,CO86,IF(OptControl=3,1,0),0),0)</f>
        <v>0</v>
      </c>
      <c r="DC86" s="163">
        <f ca="1">IF(BD86,_xll.EURO(CP86,Strike2,AO86,AO86,CW86,CO86,IF(OptControl=3,1,0),1)+IF(OR(VolSkewFlag=2,ABS(CR86)&lt;0.0001),0,IF(CR86&gt;0,-1,1)*DD86*100*Strike2/CP86^2*CT86/10%),0)</f>
        <v>0</v>
      </c>
      <c r="DD86" s="163">
        <f ca="1">IF(BD86,_xll.EURO(CP86,Strike2,AO86,AO86,CW86,CO86,IF(OptControl=3,1,0),3)/100,0)</f>
        <v>0</v>
      </c>
      <c r="DE86" s="164">
        <f ca="1">IF(BD86,_xll.EURO(CP86,Strike2,AO86,AO86,CW86,CO86,IF(OptControl=3,1,0),0)-_xll.EURO(CP86,Strike2,AO86,AO86,CW86,CO86-1,IF(OptControl=3,1,0),0),0)</f>
        <v>0</v>
      </c>
      <c r="DG86" s="667">
        <f t="shared" ca="1" si="332"/>
        <v>38565</v>
      </c>
      <c r="DH86" s="475">
        <v>18.333333333333332</v>
      </c>
      <c r="DI86" s="665">
        <v>18.328840579710146</v>
      </c>
      <c r="DJ86" s="666">
        <f t="shared" ca="1" si="306"/>
        <v>38565</v>
      </c>
      <c r="DK86" s="475">
        <v>17.002403536125541</v>
      </c>
      <c r="DL86" s="665">
        <v>17.092840579710145</v>
      </c>
      <c r="DM86" s="667">
        <f t="shared" ca="1" si="307"/>
        <v>38565</v>
      </c>
      <c r="DN86" s="668">
        <f t="shared" si="308"/>
        <v>17.052403536125542</v>
      </c>
      <c r="DO86" s="667">
        <f t="shared" ca="1" si="333"/>
        <v>38565</v>
      </c>
      <c r="DP86" s="579">
        <f t="shared" si="334"/>
        <v>17.092840579710145</v>
      </c>
      <c r="DQ86" s="821">
        <v>0</v>
      </c>
      <c r="DR86" s="666">
        <f t="shared" ca="1" si="309"/>
        <v>38565</v>
      </c>
      <c r="DS86" s="669">
        <v>0.19218519843116103</v>
      </c>
      <c r="DT86" s="606">
        <v>0.19160870042655825</v>
      </c>
      <c r="DU86" s="666">
        <f t="shared" ca="1" si="310"/>
        <v>38565</v>
      </c>
      <c r="DV86" s="669">
        <v>0.19218519843116103</v>
      </c>
      <c r="DW86" s="606">
        <v>0.19160870042655825</v>
      </c>
      <c r="DX86" s="667">
        <f t="shared" ca="1" si="311"/>
        <v>38565</v>
      </c>
      <c r="DY86" s="606">
        <v>0.35</v>
      </c>
      <c r="DZ86" s="667">
        <f t="shared" ca="1" si="335"/>
        <v>38565</v>
      </c>
      <c r="EA86" s="606">
        <f t="shared" si="336"/>
        <v>0.19160870042655825</v>
      </c>
      <c r="EB86" s="1"/>
      <c r="EC86" s="118" t="str">
        <f t="shared" ca="1" si="312"/>
        <v/>
      </c>
      <c r="ED86" s="119" t="str">
        <f t="shared" ca="1" si="313"/>
        <v/>
      </c>
      <c r="EE86" s="112" t="str">
        <f t="shared" ca="1" si="314"/>
        <v/>
      </c>
      <c r="EF86" s="120">
        <f ca="1">IF(BD86,_xll.xASN(BR86,Strike1,AO86,ED86,0,BO86,0,BI86,BL86,IF(OptControl=4,0,1),0),0)</f>
        <v>0</v>
      </c>
      <c r="EG86" s="111">
        <f ca="1">IF(BD86,_xll.xASN(BR86,Strike2,AO86,EE86,0,BO86,0,BI86,BL86,IF(OptControl=3,1,0),0),0)</f>
        <v>0</v>
      </c>
      <c r="EL86" s="55"/>
      <c r="EM86" s="1"/>
      <c r="EN86" s="697">
        <v>43824</v>
      </c>
      <c r="EO86" s="698">
        <v>48580</v>
      </c>
      <c r="EP86" s="1"/>
      <c r="EQ86" s="683" t="s">
        <v>299</v>
      </c>
      <c r="ES86" s="498">
        <v>67</v>
      </c>
      <c r="ET86" s="476">
        <f t="shared" ca="1" si="165"/>
        <v>5.5277207392197125</v>
      </c>
      <c r="EU86" s="842">
        <f t="shared" ca="1" si="337"/>
        <v>0</v>
      </c>
      <c r="EV86" s="815">
        <f t="shared" ca="1" si="427"/>
        <v>0.17890725965267931</v>
      </c>
      <c r="EW86" s="478" t="str">
        <f t="shared" ca="1" si="428"/>
        <v/>
      </c>
      <c r="EX86" s="477" t="str">
        <f t="shared" ca="1" si="429"/>
        <v/>
      </c>
      <c r="EY86" s="250">
        <v>0</v>
      </c>
      <c r="EZ86" s="605" t="str">
        <f ca="1">IF(OR(EW86="",EW87=""),"",SQRT(SUM(INDEX(FK86:ID86,SwaptionFirstMonthPosition+1):INDEX(FK86:ID86,FJ86))/SUM(INDEX($FK$15:$ID$15,SwaptionFirstMonthPosition+1):INDEX($FK$15:$ID$15,FJ86))))</f>
        <v/>
      </c>
      <c r="FA86" s="581" t="str">
        <f ca="1">IF(OR(EW86="",EW85=""),"",SQRT(SUM(INDEX(FK86:ID86,SwaptionFirstMonthPosition+1):INDEX(FK86:ID86,FJ86-1))/SUM(INDEX($FK$15:$ID$15,SwaptionFirstMonthPosition+1):INDEX($FK$15:$ID$15,FJ86-1))))</f>
        <v/>
      </c>
      <c r="FB86" s="578" t="str">
        <f t="shared" ca="1" si="338"/>
        <v/>
      </c>
      <c r="FC86" s="609" t="str">
        <f t="shared" ca="1" si="339"/>
        <v/>
      </c>
      <c r="FD86" s="579" t="str">
        <f t="shared" ca="1" si="340"/>
        <v/>
      </c>
      <c r="FE86" s="579" t="str">
        <f t="shared" ca="1" si="341"/>
        <v/>
      </c>
      <c r="FF86" s="579" t="str">
        <f t="shared" ca="1" si="342"/>
        <v/>
      </c>
      <c r="FG86" s="580" t="str">
        <f t="shared" ca="1" si="343"/>
        <v/>
      </c>
      <c r="FH86" s="606" t="str">
        <f t="shared" ca="1" si="344"/>
        <v/>
      </c>
      <c r="FI86" s="250"/>
      <c r="FJ86" s="673">
        <v>67</v>
      </c>
      <c r="FK86" s="460">
        <f t="shared" ca="1" si="345"/>
        <v>0</v>
      </c>
      <c r="FL86" s="460">
        <f t="shared" ca="1" si="346"/>
        <v>2.1912905683496124E-3</v>
      </c>
      <c r="FM86" s="460">
        <f t="shared" ca="1" si="347"/>
        <v>2.5469374965787174E-3</v>
      </c>
      <c r="FN86" s="460">
        <f t="shared" ca="1" si="348"/>
        <v>2.1437051622156069E-3</v>
      </c>
      <c r="FO86" s="460">
        <f t="shared" ca="1" si="349"/>
        <v>2.2298002607758086E-3</v>
      </c>
      <c r="FP86" s="460">
        <f t="shared" ca="1" si="350"/>
        <v>2.4708858949982729E-3</v>
      </c>
      <c r="FQ86" s="460">
        <f t="shared" ca="1" si="351"/>
        <v>2.000477096415243E-3</v>
      </c>
      <c r="FR86" s="460">
        <f t="shared" ca="1" si="352"/>
        <v>2.0454390039453562E-3</v>
      </c>
      <c r="FS86" s="460">
        <f t="shared" ca="1" si="353"/>
        <v>2.3051138756984319E-3</v>
      </c>
      <c r="FT86" s="460">
        <f t="shared" ca="1" si="354"/>
        <v>2.0803348840919152E-3</v>
      </c>
      <c r="FU86" s="460">
        <f t="shared" ca="1" si="355"/>
        <v>2.0000134696585123E-3</v>
      </c>
      <c r="FV86" s="460">
        <f t="shared" ca="1" si="356"/>
        <v>2.1978806420653286E-3</v>
      </c>
      <c r="FW86" s="460">
        <f t="shared" ca="1" si="357"/>
        <v>2.0542095902117449E-3</v>
      </c>
      <c r="FX86" s="460">
        <f t="shared" ca="1" si="358"/>
        <v>2.1861643075572852E-3</v>
      </c>
      <c r="FY86" s="460">
        <f t="shared" ca="1" si="359"/>
        <v>2.0460697606657862E-3</v>
      </c>
      <c r="FZ86" s="460">
        <f t="shared" ca="1" si="360"/>
        <v>1.9072973858847439E-3</v>
      </c>
      <c r="GA86" s="460">
        <f t="shared" ca="1" si="361"/>
        <v>2.0416964365911755E-3</v>
      </c>
      <c r="GB86" s="460">
        <f t="shared" ca="1" si="362"/>
        <v>2.2444353616723725E-3</v>
      </c>
      <c r="GC86" s="460">
        <f t="shared" ca="1" si="363"/>
        <v>1.9715259872253601E-3</v>
      </c>
      <c r="GD86" s="460">
        <f t="shared" ca="1" si="364"/>
        <v>1.9709843710780132E-3</v>
      </c>
      <c r="GE86" s="460">
        <f t="shared" ca="1" si="365"/>
        <v>2.2425161536756976E-3</v>
      </c>
      <c r="GF86" s="460">
        <f t="shared" ca="1" si="366"/>
        <v>1.9706175659547605E-3</v>
      </c>
      <c r="GG86" s="460">
        <f t="shared" ca="1" si="367"/>
        <v>2.1745875221945883E-3</v>
      </c>
      <c r="GH86" s="460">
        <f t="shared" ca="1" si="368"/>
        <v>2.0389503387004972E-3</v>
      </c>
      <c r="GI86" s="460">
        <f t="shared" ca="1" si="369"/>
        <v>1.9714050382617031E-3</v>
      </c>
      <c r="GJ86" s="460">
        <f t="shared" ca="1" si="370"/>
        <v>2.2439750068129652E-3</v>
      </c>
      <c r="GK86" s="460">
        <f t="shared" ca="1" si="371"/>
        <v>2.0407344367933847E-3</v>
      </c>
      <c r="GL86" s="460">
        <f t="shared" ca="1" si="372"/>
        <v>1.9736125368896244E-3</v>
      </c>
      <c r="GM86" s="460">
        <f t="shared" ca="1" si="373"/>
        <v>2.110889838260065E-3</v>
      </c>
      <c r="GN86" s="460">
        <f t="shared" ca="1" si="374"/>
        <v>2.1122823659170068E-3</v>
      </c>
      <c r="GO86" s="460">
        <f t="shared" ca="1" si="375"/>
        <v>2.1139331745376527E-3</v>
      </c>
      <c r="GP86" s="460">
        <f t="shared" ca="1" si="376"/>
        <v>1.9111186602896266E-3</v>
      </c>
      <c r="GQ86" s="460">
        <f t="shared" ca="1" si="377"/>
        <v>2.1181741876966317E-3</v>
      </c>
      <c r="GR86" s="460">
        <f t="shared" ca="1" si="378"/>
        <v>2.0524529746177244E-3</v>
      </c>
      <c r="GS86" s="460">
        <f t="shared" ca="1" si="379"/>
        <v>2.1240301407868447E-3</v>
      </c>
      <c r="GT86" s="460">
        <f t="shared" ca="1" si="380"/>
        <v>2.0591031302321862E-3</v>
      </c>
      <c r="GU86" s="460">
        <f t="shared" ca="1" si="381"/>
        <v>2.1320914157905864E-3</v>
      </c>
      <c r="GV86" s="460">
        <f t="shared" ca="1" si="382"/>
        <v>2.1371959023420923E-3</v>
      </c>
      <c r="GW86" s="460">
        <f t="shared" ca="1" si="383"/>
        <v>2.0740499087429525E-3</v>
      </c>
      <c r="GX86" s="460">
        <f t="shared" ca="1" si="384"/>
        <v>2.1502141520235475E-3</v>
      </c>
      <c r="GY86" s="460">
        <f t="shared" ca="1" si="385"/>
        <v>2.08884024091704E-3</v>
      </c>
      <c r="GZ86" s="460">
        <f t="shared" ca="1" si="386"/>
        <v>2.1681664405683843E-3</v>
      </c>
      <c r="HA86" s="460">
        <f t="shared" ca="1" si="387"/>
        <v>2.1795696907805622E-3</v>
      </c>
      <c r="HB86" s="460">
        <f t="shared" ca="1" si="388"/>
        <v>2.0515062647565832E-3</v>
      </c>
      <c r="HC86" s="460">
        <f t="shared" ca="1" si="389"/>
        <v>2.208798622421764E-3</v>
      </c>
      <c r="HD86" s="460">
        <f t="shared" ca="1" si="390"/>
        <v>2.1555921898810853E-3</v>
      </c>
      <c r="HE86" s="460">
        <f t="shared" ca="1" si="391"/>
        <v>2.2494700652869542E-3</v>
      </c>
      <c r="HF86" s="460">
        <f t="shared" ca="1" si="392"/>
        <v>2.2021244979396602E-3</v>
      </c>
      <c r="HG86" s="460">
        <f t="shared" ca="1" si="393"/>
        <v>2.3064204061788657E-3</v>
      </c>
      <c r="HH86" s="460">
        <f t="shared" ca="1" si="394"/>
        <v>2.3431262212100456E-3</v>
      </c>
      <c r="HI86" s="460">
        <f t="shared" ca="1" si="395"/>
        <v>2.3098629029117933E-3</v>
      </c>
      <c r="HJ86" s="460">
        <f t="shared" ca="1" si="396"/>
        <v>2.4391271415148174E-3</v>
      </c>
      <c r="HK86" s="460">
        <f t="shared" ca="1" si="397"/>
        <v>2.421127641350421E-3</v>
      </c>
      <c r="HL86" s="460">
        <f t="shared" ca="1" si="398"/>
        <v>2.5773856111633367E-3</v>
      </c>
      <c r="HM86" s="460">
        <f t="shared" ca="1" si="399"/>
        <v>2.668889821620295E-3</v>
      </c>
      <c r="HN86" s="460">
        <f t="shared" ca="1" si="400"/>
        <v>2.5113138524697092E-3</v>
      </c>
      <c r="HO86" s="460">
        <f t="shared" ca="1" si="401"/>
        <v>2.9172016819504383E-3</v>
      </c>
      <c r="HP86" s="460">
        <f t="shared" ca="1" si="402"/>
        <v>2.9869458167760504E-3</v>
      </c>
      <c r="HQ86" s="460">
        <f t="shared" ca="1" si="403"/>
        <v>3.2981084474508504E-3</v>
      </c>
      <c r="HR86" s="460">
        <f t="shared" ca="1" si="404"/>
        <v>3.4506467710102308E-3</v>
      </c>
      <c r="HS86" s="460">
        <f t="shared" ca="1" si="405"/>
        <v>3.9087104490395201E-3</v>
      </c>
      <c r="HT86" s="460">
        <f t="shared" ca="1" si="406"/>
        <v>4.3558243763663022E-3</v>
      </c>
      <c r="HU86" s="460">
        <f t="shared" ca="1" si="407"/>
        <v>4.7904310656197253E-3</v>
      </c>
      <c r="HV86" s="460">
        <f t="shared" ca="1" si="408"/>
        <v>5.7587277901034167E-3</v>
      </c>
      <c r="HW86" s="460">
        <f t="shared" ca="1" si="409"/>
        <v>6.668048422426384E-3</v>
      </c>
      <c r="HX86" s="460">
        <f t="shared" ca="1" si="410"/>
        <v>8.5284698678437867E-3</v>
      </c>
      <c r="HY86" s="460">
        <f t="shared" ca="1" si="411"/>
        <v>1.0999589340880817E-2</v>
      </c>
      <c r="HZ86" s="460" t="str">
        <f t="shared" si="412"/>
        <v/>
      </c>
      <c r="IA86" s="460" t="str">
        <f t="shared" si="413"/>
        <v/>
      </c>
      <c r="IB86" s="460" t="str">
        <f t="shared" si="414"/>
        <v/>
      </c>
      <c r="IC86" s="460" t="str">
        <f t="shared" si="415"/>
        <v/>
      </c>
      <c r="ID86" s="674" t="str">
        <f t="shared" si="416"/>
        <v/>
      </c>
      <c r="IE86" s="250"/>
    </row>
    <row r="87" spans="8:239">
      <c r="H87" s="51">
        <f t="shared" ca="1" si="315"/>
        <v>0</v>
      </c>
      <c r="I87" s="379">
        <f t="shared" si="316"/>
        <v>38808</v>
      </c>
      <c r="J87" s="377"/>
      <c r="K87" s="104" t="s">
        <v>269</v>
      </c>
      <c r="L87" s="392">
        <f t="shared" si="317"/>
        <v>0</v>
      </c>
      <c r="M87" s="171"/>
      <c r="N87" s="382">
        <v>0</v>
      </c>
      <c r="O87" s="171">
        <f t="shared" si="272"/>
        <v>0</v>
      </c>
      <c r="P87" s="377"/>
      <c r="Q87" s="104" t="s">
        <v>268</v>
      </c>
      <c r="R87" s="377">
        <f t="shared" ca="1" si="417"/>
        <v>-1.1409993054224681</v>
      </c>
      <c r="S87" s="832">
        <f t="shared" si="164"/>
        <v>0.36000000022704048</v>
      </c>
      <c r="T87" s="831">
        <f t="shared" si="418"/>
        <v>0.99999689385230639</v>
      </c>
      <c r="U87" s="545">
        <f t="shared" si="419"/>
        <v>0.99999999993614486</v>
      </c>
      <c r="V87" s="389">
        <v>0</v>
      </c>
      <c r="W87" s="434">
        <f t="shared" si="273"/>
        <v>0</v>
      </c>
      <c r="X87" s="415">
        <f t="shared" si="274"/>
        <v>0</v>
      </c>
      <c r="Y87" s="322">
        <f t="shared" si="275"/>
        <v>-1.2389999999999999</v>
      </c>
      <c r="Z87" s="322">
        <f t="shared" ca="1" si="276"/>
        <v>-1.2389999999999999</v>
      </c>
      <c r="AA87" s="429">
        <f t="shared" si="277"/>
        <v>1.2389999999999999</v>
      </c>
      <c r="AB87" s="433">
        <f t="shared" ca="1" si="278"/>
        <v>1.2389999999999999</v>
      </c>
      <c r="AC87" s="229">
        <v>38796</v>
      </c>
      <c r="AD87" s="229">
        <v>38792</v>
      </c>
      <c r="AE87" s="229">
        <v>38791</v>
      </c>
      <c r="AF87" s="229">
        <v>38787</v>
      </c>
      <c r="AG87" s="249" t="s">
        <v>90</v>
      </c>
      <c r="AH87" s="247" t="s">
        <v>499</v>
      </c>
      <c r="AI87" s="146">
        <v>20</v>
      </c>
      <c r="AJ87" s="41">
        <v>14</v>
      </c>
      <c r="AK87" s="41">
        <v>6</v>
      </c>
      <c r="AL87" s="293">
        <v>20</v>
      </c>
      <c r="AM87" s="41">
        <v>10</v>
      </c>
      <c r="AN87" s="147">
        <v>10</v>
      </c>
      <c r="AO87" s="374"/>
      <c r="AP87" s="153">
        <f t="shared" ca="1" si="318"/>
        <v>1</v>
      </c>
      <c r="AQ87" s="374"/>
      <c r="AR87" s="153">
        <f t="shared" ca="1" si="420"/>
        <v>1</v>
      </c>
      <c r="AS87" s="272">
        <f t="shared" si="279"/>
        <v>0</v>
      </c>
      <c r="AT87" s="157">
        <f t="shared" si="319"/>
        <v>0</v>
      </c>
      <c r="AU87" s="157">
        <f t="shared" si="280"/>
        <v>0</v>
      </c>
      <c r="AV87" s="271">
        <f t="shared" ca="1" si="430"/>
        <v>9.9999999999999995E-7</v>
      </c>
      <c r="AW87" s="158" t="str">
        <f t="shared" ca="1" si="281"/>
        <v/>
      </c>
      <c r="AX87" s="157">
        <f t="shared" ca="1" si="421"/>
        <v>2.6619376300174441E-3</v>
      </c>
      <c r="AY87" s="157">
        <f t="shared" ca="1" si="422"/>
        <v>1.3182689298777382E-3</v>
      </c>
      <c r="AZ87" s="157">
        <f t="shared" ca="1" si="423"/>
        <v>3.048372500684009E-4</v>
      </c>
      <c r="BA87" s="157">
        <f t="shared" ca="1" si="424"/>
        <v>3.8104656258550113E-5</v>
      </c>
      <c r="BB87" s="157">
        <f t="shared" ca="1" si="425"/>
        <v>8.4526848644595159E-6</v>
      </c>
      <c r="BC87" s="157">
        <f t="shared" ca="1" si="426"/>
        <v>2.9039296571645236E-6</v>
      </c>
      <c r="BD87" s="151">
        <f t="shared" ca="1" si="282"/>
        <v>0</v>
      </c>
      <c r="BE87" s="152">
        <f t="shared" ca="1" si="283"/>
        <v>0</v>
      </c>
      <c r="BF87" s="40">
        <f t="shared" si="284"/>
        <v>2006</v>
      </c>
      <c r="BG87" s="144">
        <f t="shared" si="285"/>
        <v>4</v>
      </c>
      <c r="BH87" s="145">
        <f t="shared" ca="1" si="286"/>
        <v>2047</v>
      </c>
      <c r="BI87" s="313">
        <f t="shared" ca="1" si="287"/>
        <v>5.6481861738535253</v>
      </c>
      <c r="BJ87" s="42">
        <f t="shared" ca="1" si="288"/>
        <v>5.7037645448323069</v>
      </c>
      <c r="BK87" s="42">
        <f t="shared" ca="1" si="289"/>
        <v>5.7065023956194389</v>
      </c>
      <c r="BL87" s="42">
        <f t="shared" ca="1" si="290"/>
        <v>5.7275838466803561</v>
      </c>
      <c r="BM87" s="150" t="e">
        <f t="shared" ca="1" si="291"/>
        <v>#DIV/0!</v>
      </c>
      <c r="BN87" s="42" t="e">
        <f t="shared" ca="1" si="292"/>
        <v>#DIV/0!</v>
      </c>
      <c r="BO87" s="293">
        <f t="shared" si="320"/>
        <v>20</v>
      </c>
      <c r="BP87" s="41">
        <f t="shared" si="293"/>
        <v>14</v>
      </c>
      <c r="BQ87" s="41">
        <f t="shared" si="294"/>
        <v>6</v>
      </c>
      <c r="BR87" s="305" t="str">
        <f t="shared" ca="1" si="295"/>
        <v/>
      </c>
      <c r="BS87" s="305" t="str">
        <f t="shared" ca="1" si="296"/>
        <v/>
      </c>
      <c r="BT87" s="307" t="str">
        <f t="shared" ca="1" si="297"/>
        <v/>
      </c>
      <c r="BU87" s="161" t="str">
        <f t="shared" ca="1" si="298"/>
        <v/>
      </c>
      <c r="BV87" s="161" t="str">
        <f t="shared" ca="1" si="299"/>
        <v/>
      </c>
      <c r="BW87" s="308" t="str">
        <f t="shared" ca="1" si="300"/>
        <v/>
      </c>
      <c r="BX87" s="309" t="str">
        <f t="shared" ca="1" si="301"/>
        <v/>
      </c>
      <c r="BY87" s="308" t="str">
        <f t="shared" ca="1" si="321"/>
        <v/>
      </c>
      <c r="BZ87" s="309" t="str">
        <f t="shared" ca="1" si="322"/>
        <v/>
      </c>
      <c r="CA87" s="154" t="str">
        <f t="shared" ca="1" si="302"/>
        <v/>
      </c>
      <c r="CB87" s="154" t="str">
        <f t="shared" ca="1" si="303"/>
        <v/>
      </c>
      <c r="CC87" s="154" t="str">
        <f t="shared" ca="1" si="304"/>
        <v/>
      </c>
      <c r="CD87" s="154" t="str">
        <f t="shared" ca="1" si="305"/>
        <v/>
      </c>
      <c r="CE87" s="310">
        <v>1</v>
      </c>
      <c r="CF87" s="162">
        <f ca="1">IF(BD87,_xll.xCrudeAPO(BU87,BV87,CA87,CB87,S88,S89,BI87,BL87,BP87,BQ87,0,Strike1,AO87,CE87,0,BL87,IF(OptControl=4,0,1),0,1),0)</f>
        <v>0</v>
      </c>
      <c r="CG87" s="163">
        <f ca="1">IF(BD87,_xll.xCrudeAPO(BU87,BV87,CA87,CB87,S88,S89,BI87,BL87,BP87,BQ87,0,Strike1,AO87,CE87,0,BL87,IF(OptControl=4,0,1),1,1)+_xll.xCrudeAPO(BU87,BV87,CA87,CB87,S88,S89,BI87,BL87,BP87,BQ87,0,Strike1,AO87,CE87,0,BL87,IF(OptControl=4,0,1),1,2)+IF(OR(VolSkewFlag=2,ABS(BS87)&lt;0.0001),0,IF(BS87&gt;0,-1,1)*CH87*Strike1/BR87^2*BY87/10%),0)</f>
        <v>0</v>
      </c>
      <c r="CH87" s="163">
        <f ca="1">IF(BD87,(_xll.xCrudeAPO(BU87,BV87,CA87,CB87,S88,S89,BI87,BL87,BP87,BQ87,0,Strike1,AO87,CE87,0,BL87,IF(OptControl=4,0,1),3,1)+_xll.xCrudeAPO(BU87,BV87,CA87,CB87,S88,S89,BI87,BL87,BP87,BQ87,0,Strike1,AO87,CE87,0,BL87,IF(OptControl=4,0,1),3,2))/100,0)</f>
        <v>0</v>
      </c>
      <c r="CI87" s="163">
        <f ca="1">IF(BD87,_xll.xCrudeAPO(BU87,BV87,CA87,CB87,S88,S89,BI87-DaysForThetaCalculation/365.25,BL87-DaysForThetaCalculation/365.25,BP87,BQ87,0,Strike1,AO87,CE87,0,BL87,IF(OptControl=4,0,1),0,1)-_xll.xCrudeAPO(BU87,BV87,CA87,CB87,S88,S89,BI87,BL87,BP87,BQ87,0,Strike1,AO87,CE87,0,BL87,IF(OptControl=4,0,1),0,1),0)</f>
        <v>0</v>
      </c>
      <c r="CJ87" s="311">
        <f ca="1">IF(BD87,_xll.xCrudeAPO(BU87,BV87,CC87,CD87,S88,S89,BI87,BL87,BP87,BQ87,0,Strike2,AO87,CE87,0,BL87,IF(OptControl=3,1,0),0,1),0)</f>
        <v>0</v>
      </c>
      <c r="CK87" s="163">
        <f ca="1">IF(BD87,_xll.xCrudeAPO(BU87,BV87,CC87,CD87,S88,S89,BI87,BL87,BP87,BQ87,0,Strike2,AO87,CE87,0,BL87,IF(OptControl=3,1,0),1,1)+_xll.xCrudeAPO(BU87,BV87,CC87,CD87,S88,S89,BI87,BL87,BP87,BQ87,0,Strike2,AO87,CE87,0,BL87,IF(OptControl=3,1,0),1,2)+IF(OR(VolSkewFlag=2,ABS(BT87)&lt;0.0001),0,IF(BT87&gt;0,-1,1)*CL87*Strike2/BR87^2*BZ87/10%),0)</f>
        <v>0</v>
      </c>
      <c r="CL87" s="163">
        <f ca="1">IF(BD87,(_xll.xCrudeAPO(BU87,BV87,CC87,CD87,S88,S89,BI87,BL87,BP87,BQ87,0,Strike2,AO87,CE87,0,BL87,IF(OptControl=3,1,0),3,1)+_xll.xCrudeAPO(BU87,BV87,CC87,CD87,S88,S89,BI87,BL87,BP87,BQ87,0,Strike2,AO87,CE87,0,BL87,IF(OptControl=3,1,0),3,2))/100,0)</f>
        <v>0</v>
      </c>
      <c r="CM87" s="164">
        <f ca="1">IF(BD87,_xll.xCrudeAPO(BU87,BV87,CC87,CD87,S88,S89,BI87-DaysForThetaCalculation/365.25,BL87-DaysForThetaCalculation/365.25,BP87,BQ87,0,Strike2,AO87,CE87,0,BL87,IF(OptControl=3,1,0),0,1)-_xll.xCrudeAPO(BU87,BV87,CC87,CD87,S88,S89,BI87,BL87,BP87,BQ87,0,Strike2,AO87,CE87,0,BL87,IF(OptControl=3,1,0),0,1),0)</f>
        <v>0</v>
      </c>
      <c r="CN87" s="53"/>
      <c r="CO87" s="796" t="str">
        <f t="shared" ca="1" si="323"/>
        <v/>
      </c>
      <c r="CP87" s="800" t="str">
        <f t="shared" ca="1" si="324"/>
        <v/>
      </c>
      <c r="CQ87" s="797" t="str">
        <f t="shared" ca="1" si="325"/>
        <v/>
      </c>
      <c r="CR87" s="797" t="str">
        <f t="shared" ca="1" si="326"/>
        <v/>
      </c>
      <c r="CS87" s="797" t="str">
        <f t="shared" ca="1" si="327"/>
        <v/>
      </c>
      <c r="CT87" s="797" t="str">
        <f t="shared" ca="1" si="328"/>
        <v/>
      </c>
      <c r="CU87" s="798" t="str">
        <f t="shared" ca="1" si="329"/>
        <v/>
      </c>
      <c r="CV87" s="799" t="str">
        <f t="shared" ca="1" si="330"/>
        <v/>
      </c>
      <c r="CW87" s="799" t="str">
        <f t="shared" ca="1" si="331"/>
        <v/>
      </c>
      <c r="CX87" s="163">
        <f ca="1">IF(BD87,_xll.EURO(CP87,Strike1,AO87,AO87,CV87,CO87,IF(OptControl=4,0,1),0),0)</f>
        <v>0</v>
      </c>
      <c r="CY87" s="163">
        <f ca="1">IF(BD87,_xll.EURO(CP87,Strike1,AO87,AO87,CV87,CO87,IF(OptControl=4,0,1),1)+IF(OR(VolSkewFlag=2,ABS(CQ87)&lt;0.0001),0,IF(CQ87&gt;0,-1,1)*CZ87*100*Strike1/CP87^2*CS87/10%),0)</f>
        <v>0</v>
      </c>
      <c r="CZ87" s="163">
        <f ca="1">IF(BD87,_xll.EURO(CP87,Strike1,AO87,AO87,CV87,CO87,IF(OptControl=4,0,1),3)/100,0)</f>
        <v>0</v>
      </c>
      <c r="DA87" s="163">
        <f ca="1">IF(BD87,_xll.EURO(CP87,Strike1,AO87,AO87,CV87,CO87,IF(OptControl=4,0,1),0)-_xll.EURO(CP87,Strike1,AO87,AO87,CV87,CO87-1,IF(OptControl=4,0,1),0),0)</f>
        <v>0</v>
      </c>
      <c r="DB87" s="163">
        <f ca="1">IF(BD87,_xll.EURO(CP87,Strike2,AO87,AO87,CW87,CO87,IF(OptControl=3,1,0),0),0)</f>
        <v>0</v>
      </c>
      <c r="DC87" s="163">
        <f ca="1">IF(BD87,_xll.EURO(CP87,Strike2,AO87,AO87,CW87,CO87,IF(OptControl=3,1,0),1)+IF(OR(VolSkewFlag=2,ABS(CR87)&lt;0.0001),0,IF(CR87&gt;0,-1,1)*DD87*100*Strike2/CP87^2*CT87/10%),0)</f>
        <v>0</v>
      </c>
      <c r="DD87" s="163">
        <f ca="1">IF(BD87,_xll.EURO(CP87,Strike2,AO87,AO87,CW87,CO87,IF(OptControl=3,1,0),3)/100,0)</f>
        <v>0</v>
      </c>
      <c r="DE87" s="164">
        <f ca="1">IF(BD87,_xll.EURO(CP87,Strike2,AO87,AO87,CW87,CO87,IF(OptControl=3,1,0),0)-_xll.EURO(CP87,Strike2,AO87,AO87,CW87,CO87-1,IF(OptControl=3,1,0),0),0)</f>
        <v>0</v>
      </c>
      <c r="DG87" s="667">
        <f t="shared" ca="1" si="332"/>
        <v>38596</v>
      </c>
      <c r="DH87" s="475">
        <v>18.329999999999998</v>
      </c>
      <c r="DI87" s="665">
        <v>18.325454545454544</v>
      </c>
      <c r="DJ87" s="666">
        <f t="shared" ca="1" si="306"/>
        <v>38596</v>
      </c>
      <c r="DK87" s="475">
        <v>17.181405876249507</v>
      </c>
      <c r="DL87" s="665">
        <v>17.089454545454544</v>
      </c>
      <c r="DM87" s="667">
        <f t="shared" ca="1" si="307"/>
        <v>38596</v>
      </c>
      <c r="DN87" s="668">
        <f t="shared" si="308"/>
        <v>17.231405876249507</v>
      </c>
      <c r="DO87" s="667">
        <f t="shared" ca="1" si="333"/>
        <v>38596</v>
      </c>
      <c r="DP87" s="579">
        <f t="shared" si="334"/>
        <v>17.089454545454544</v>
      </c>
      <c r="DQ87" s="821">
        <v>0</v>
      </c>
      <c r="DR87" s="666">
        <f t="shared" ca="1" si="309"/>
        <v>38596</v>
      </c>
      <c r="DS87" s="669">
        <v>0.19175834101776101</v>
      </c>
      <c r="DT87" s="606">
        <v>0.19109971547512464</v>
      </c>
      <c r="DU87" s="666">
        <f t="shared" ca="1" si="310"/>
        <v>38596</v>
      </c>
      <c r="DV87" s="669">
        <v>0.19175834101776101</v>
      </c>
      <c r="DW87" s="606">
        <v>0.19109971547512464</v>
      </c>
      <c r="DX87" s="667">
        <f t="shared" ca="1" si="311"/>
        <v>38596</v>
      </c>
      <c r="DY87" s="606">
        <v>0.35</v>
      </c>
      <c r="DZ87" s="667">
        <f t="shared" ca="1" si="335"/>
        <v>38596</v>
      </c>
      <c r="EA87" s="606">
        <f t="shared" si="336"/>
        <v>0.19109971547512464</v>
      </c>
      <c r="EB87" s="1"/>
      <c r="EC87" s="118" t="str">
        <f t="shared" ca="1" si="312"/>
        <v/>
      </c>
      <c r="ED87" s="119" t="str">
        <f t="shared" ca="1" si="313"/>
        <v/>
      </c>
      <c r="EE87" s="112" t="str">
        <f t="shared" ca="1" si="314"/>
        <v/>
      </c>
      <c r="EF87" s="120">
        <f ca="1">IF(BD87,_xll.xASN(BR87,Strike1,AO87,ED87,0,BO87,0,BI87,BL87,IF(OptControl=4,0,1),0),0)</f>
        <v>0</v>
      </c>
      <c r="EG87" s="111">
        <f ca="1">IF(BD87,_xll.xASN(BR87,Strike2,AO87,EE87,0,BO87,0,BI87,BL87,IF(OptControl=3,1,0),0),0)</f>
        <v>0</v>
      </c>
      <c r="EL87" s="55"/>
      <c r="EM87" s="1"/>
      <c r="EN87" s="697">
        <v>43831</v>
      </c>
      <c r="EO87" s="698">
        <v>48938</v>
      </c>
      <c r="EP87" s="1"/>
      <c r="EQ87" s="683" t="s">
        <v>300</v>
      </c>
      <c r="ES87" s="498">
        <v>68</v>
      </c>
      <c r="ET87" s="476">
        <f t="shared" ca="1" si="165"/>
        <v>5.6043805612594113</v>
      </c>
      <c r="EU87" s="842">
        <f t="shared" ca="1" si="337"/>
        <v>0</v>
      </c>
      <c r="EV87" s="815">
        <f t="shared" ca="1" si="427"/>
        <v>0.17824349459710737</v>
      </c>
      <c r="EW87" s="478" t="str">
        <f t="shared" ca="1" si="428"/>
        <v/>
      </c>
      <c r="EX87" s="477" t="str">
        <f t="shared" ca="1" si="429"/>
        <v/>
      </c>
      <c r="EY87" s="250">
        <v>0</v>
      </c>
      <c r="EZ87" s="605" t="str">
        <f ca="1">IF(OR(EW87="",EW88=""),"",SQRT(SUM(INDEX(FK87:ID87,SwaptionFirstMonthPosition+1):INDEX(FK87:ID87,FJ87))/SUM(INDEX($FK$15:$ID$15,SwaptionFirstMonthPosition+1):INDEX($FK$15:$ID$15,FJ87))))</f>
        <v/>
      </c>
      <c r="FA87" s="581" t="str">
        <f ca="1">IF(OR(EW87="",EW86=""),"",SQRT(SUM(INDEX(FK87:ID87,SwaptionFirstMonthPosition+1):INDEX(FK87:ID87,FJ87-1))/SUM(INDEX($FK$15:$ID$15,SwaptionFirstMonthPosition+1):INDEX($FK$15:$ID$15,FJ87-1))))</f>
        <v/>
      </c>
      <c r="FB87" s="578" t="str">
        <f t="shared" ca="1" si="338"/>
        <v/>
      </c>
      <c r="FC87" s="609" t="str">
        <f t="shared" ca="1" si="339"/>
        <v/>
      </c>
      <c r="FD87" s="579" t="str">
        <f t="shared" ca="1" si="340"/>
        <v/>
      </c>
      <c r="FE87" s="579" t="str">
        <f t="shared" ca="1" si="341"/>
        <v/>
      </c>
      <c r="FF87" s="579" t="str">
        <f t="shared" ca="1" si="342"/>
        <v/>
      </c>
      <c r="FG87" s="580" t="str">
        <f t="shared" ca="1" si="343"/>
        <v/>
      </c>
      <c r="FH87" s="606" t="str">
        <f t="shared" ca="1" si="344"/>
        <v/>
      </c>
      <c r="FI87" s="250"/>
      <c r="FJ87" s="673">
        <v>68</v>
      </c>
      <c r="FK87" s="460">
        <f t="shared" ca="1" si="345"/>
        <v>0</v>
      </c>
      <c r="FL87" s="460">
        <f t="shared" ca="1" si="346"/>
        <v>2.19127194684799E-3</v>
      </c>
      <c r="FM87" s="460">
        <f t="shared" ca="1" si="347"/>
        <v>2.5469121822216164E-3</v>
      </c>
      <c r="FN87" s="460">
        <f t="shared" ca="1" si="348"/>
        <v>2.1436802422433758E-3</v>
      </c>
      <c r="FO87" s="460">
        <f t="shared" ca="1" si="349"/>
        <v>2.2297699440464004E-3</v>
      </c>
      <c r="FP87" s="460">
        <f t="shared" ca="1" si="350"/>
        <v>2.4708466031045165E-3</v>
      </c>
      <c r="FQ87" s="460">
        <f t="shared" ca="1" si="351"/>
        <v>2.0004398900076359E-3</v>
      </c>
      <c r="FR87" s="460">
        <f t="shared" ca="1" si="352"/>
        <v>2.0453945096252936E-3</v>
      </c>
      <c r="FS87" s="460">
        <f t="shared" ca="1" si="353"/>
        <v>2.305055228899601E-3</v>
      </c>
      <c r="FT87" s="460">
        <f t="shared" ca="1" si="354"/>
        <v>2.0802729800418643E-3</v>
      </c>
      <c r="FU87" s="460">
        <f t="shared" ca="1" si="355"/>
        <v>1.9999438627063887E-3</v>
      </c>
      <c r="FV87" s="460">
        <f t="shared" ca="1" si="356"/>
        <v>2.1977911761341677E-3</v>
      </c>
      <c r="FW87" s="460">
        <f t="shared" ca="1" si="357"/>
        <v>2.0541117917058055E-3</v>
      </c>
      <c r="FX87" s="460">
        <f t="shared" ca="1" si="358"/>
        <v>2.1860425757268143E-3</v>
      </c>
      <c r="FY87" s="460">
        <f t="shared" ca="1" si="359"/>
        <v>2.0459365080708475E-3</v>
      </c>
      <c r="FZ87" s="460">
        <f t="shared" ca="1" si="360"/>
        <v>1.9071521053140822E-3</v>
      </c>
      <c r="GA87" s="460">
        <f t="shared" ca="1" si="361"/>
        <v>2.0415145443476975E-3</v>
      </c>
      <c r="GB87" s="460">
        <f t="shared" ca="1" si="362"/>
        <v>2.2442014973368704E-3</v>
      </c>
      <c r="GC87" s="460">
        <f t="shared" ca="1" si="363"/>
        <v>1.9712857206902988E-3</v>
      </c>
      <c r="GD87" s="460">
        <f t="shared" ca="1" si="364"/>
        <v>1.9707034347865304E-3</v>
      </c>
      <c r="GE87" s="460">
        <f t="shared" ca="1" si="365"/>
        <v>2.2421423064776284E-3</v>
      </c>
      <c r="GF87" s="460">
        <f t="shared" ca="1" si="366"/>
        <v>1.9702333328457207E-3</v>
      </c>
      <c r="GG87" s="460">
        <f t="shared" ca="1" si="367"/>
        <v>2.1740916117991985E-3</v>
      </c>
      <c r="GH87" s="460">
        <f t="shared" ca="1" si="368"/>
        <v>2.0384065040768506E-3</v>
      </c>
      <c r="GI87" s="460">
        <f t="shared" ca="1" si="369"/>
        <v>1.9707900455724296E-3</v>
      </c>
      <c r="GJ87" s="460">
        <f t="shared" ca="1" si="370"/>
        <v>2.2431562668447499E-3</v>
      </c>
      <c r="GK87" s="460">
        <f t="shared" ca="1" si="371"/>
        <v>2.039863576770308E-3</v>
      </c>
      <c r="GL87" s="460">
        <f t="shared" ca="1" si="372"/>
        <v>1.9726274883260318E-3</v>
      </c>
      <c r="GM87" s="460">
        <f t="shared" ca="1" si="373"/>
        <v>2.1096575985469312E-3</v>
      </c>
      <c r="GN87" s="460">
        <f t="shared" ca="1" si="374"/>
        <v>2.110840199126037E-3</v>
      </c>
      <c r="GO87" s="460">
        <f t="shared" ca="1" si="375"/>
        <v>2.1122451115139704E-3</v>
      </c>
      <c r="GP87" s="460">
        <f t="shared" ca="1" si="376"/>
        <v>1.9093337395290459E-3</v>
      </c>
      <c r="GQ87" s="460">
        <f t="shared" ca="1" si="377"/>
        <v>2.1158603822207579E-3</v>
      </c>
      <c r="GR87" s="460">
        <f t="shared" ca="1" si="378"/>
        <v>2.049830735607995E-3</v>
      </c>
      <c r="GS87" s="460">
        <f t="shared" ca="1" si="379"/>
        <v>2.1208562380123511E-3</v>
      </c>
      <c r="GT87" s="460">
        <f t="shared" ca="1" si="380"/>
        <v>2.0555044361658626E-3</v>
      </c>
      <c r="GU87" s="460">
        <f t="shared" ca="1" si="381"/>
        <v>2.127733222017278E-3</v>
      </c>
      <c r="GV87" s="460">
        <f t="shared" ca="1" si="382"/>
        <v>2.1320863961198037E-3</v>
      </c>
      <c r="GW87" s="460">
        <f t="shared" ca="1" si="383"/>
        <v>2.0682504470039449E-3</v>
      </c>
      <c r="GX87" s="460">
        <f t="shared" ca="1" si="384"/>
        <v>2.1431820674383492E-3</v>
      </c>
      <c r="GY87" s="460">
        <f t="shared" ca="1" si="385"/>
        <v>2.0808503383966531E-3</v>
      </c>
      <c r="GZ87" s="460">
        <f t="shared" ca="1" si="386"/>
        <v>2.1584666410377389E-3</v>
      </c>
      <c r="HA87" s="460">
        <f t="shared" ca="1" si="387"/>
        <v>2.1681652292170912E-3</v>
      </c>
      <c r="HB87" s="460">
        <f t="shared" ca="1" si="388"/>
        <v>2.0389514370054498E-3</v>
      </c>
      <c r="HC87" s="460">
        <f t="shared" ca="1" si="389"/>
        <v>2.1929887662428984E-3</v>
      </c>
      <c r="HD87" s="460">
        <f t="shared" ca="1" si="390"/>
        <v>2.1375465501343891E-3</v>
      </c>
      <c r="HE87" s="460">
        <f t="shared" ca="1" si="391"/>
        <v>2.2274448691185986E-3</v>
      </c>
      <c r="HF87" s="460">
        <f t="shared" ca="1" si="392"/>
        <v>2.1769062261754392E-3</v>
      </c>
      <c r="HG87" s="460">
        <f t="shared" ca="1" si="393"/>
        <v>2.2755284216005424E-3</v>
      </c>
      <c r="HH87" s="460">
        <f t="shared" ca="1" si="394"/>
        <v>2.3064202341722263E-3</v>
      </c>
      <c r="HI87" s="460">
        <f t="shared" ca="1" si="395"/>
        <v>2.2675413775664044E-3</v>
      </c>
      <c r="HJ87" s="460">
        <f t="shared" ca="1" si="396"/>
        <v>2.3868582328807459E-3</v>
      </c>
      <c r="HK87" s="460">
        <f t="shared" ca="1" si="397"/>
        <v>2.3604455465557148E-3</v>
      </c>
      <c r="HL87" s="460">
        <f t="shared" ca="1" si="398"/>
        <v>2.5018318370270383E-3</v>
      </c>
      <c r="HM87" s="460">
        <f t="shared" ca="1" si="399"/>
        <v>2.5773855655499226E-3</v>
      </c>
      <c r="HN87" s="460">
        <f t="shared" ca="1" si="400"/>
        <v>2.4106101294670721E-3</v>
      </c>
      <c r="HO87" s="460">
        <f t="shared" ca="1" si="401"/>
        <v>2.7803831661273866E-3</v>
      </c>
      <c r="HP87" s="460">
        <f t="shared" ca="1" si="402"/>
        <v>2.8230983808098628E-3</v>
      </c>
      <c r="HQ87" s="460">
        <f t="shared" ca="1" si="403"/>
        <v>3.086510660051946E-3</v>
      </c>
      <c r="HR87" s="460">
        <f t="shared" ca="1" si="404"/>
        <v>3.1917178389674942E-3</v>
      </c>
      <c r="HS87" s="460">
        <f t="shared" ca="1" si="405"/>
        <v>3.5656683188128187E-3</v>
      </c>
      <c r="HT87" s="460">
        <f t="shared" ca="1" si="406"/>
        <v>3.9087104398058238E-3</v>
      </c>
      <c r="HU87" s="460">
        <f t="shared" ca="1" si="407"/>
        <v>4.215313905144057E-3</v>
      </c>
      <c r="HV87" s="460">
        <f t="shared" ca="1" si="408"/>
        <v>4.9501120945626481E-3</v>
      </c>
      <c r="HW87" s="460">
        <f t="shared" ca="1" si="409"/>
        <v>5.5729623719653013E-3</v>
      </c>
      <c r="HX87" s="460">
        <f t="shared" ca="1" si="410"/>
        <v>6.8903166980237036E-3</v>
      </c>
      <c r="HY87" s="460">
        <f t="shared" ca="1" si="411"/>
        <v>8.5284698630627813E-3</v>
      </c>
      <c r="HZ87" s="460">
        <f t="shared" ca="1" si="412"/>
        <v>9.9351129488764785E-3</v>
      </c>
      <c r="IA87" s="460" t="str">
        <f t="shared" si="413"/>
        <v/>
      </c>
      <c r="IB87" s="460" t="str">
        <f t="shared" si="414"/>
        <v/>
      </c>
      <c r="IC87" s="460" t="str">
        <f t="shared" si="415"/>
        <v/>
      </c>
      <c r="ID87" s="674" t="str">
        <f t="shared" si="416"/>
        <v/>
      </c>
      <c r="IE87" s="250"/>
    </row>
    <row r="88" spans="8:239">
      <c r="H88" s="51">
        <f t="shared" ca="1" si="315"/>
        <v>0</v>
      </c>
      <c r="I88" s="379">
        <f t="shared" si="316"/>
        <v>38838</v>
      </c>
      <c r="J88" s="377"/>
      <c r="K88" s="104" t="s">
        <v>269</v>
      </c>
      <c r="L88" s="392">
        <f t="shared" si="317"/>
        <v>0</v>
      </c>
      <c r="M88" s="171"/>
      <c r="N88" s="382">
        <v>0</v>
      </c>
      <c r="O88" s="171">
        <f t="shared" si="272"/>
        <v>0</v>
      </c>
      <c r="P88" s="377"/>
      <c r="Q88" s="104" t="s">
        <v>268</v>
      </c>
      <c r="R88" s="377">
        <f t="shared" ca="1" si="417"/>
        <v>-1.1056159189057939</v>
      </c>
      <c r="S88" s="832">
        <f t="shared" si="164"/>
        <v>0.36000000017028033</v>
      </c>
      <c r="T88" s="831">
        <f t="shared" si="418"/>
        <v>0.99999734424767239</v>
      </c>
      <c r="U88" s="545">
        <f t="shared" si="419"/>
        <v>0.99999999995210864</v>
      </c>
      <c r="V88" s="389">
        <v>0</v>
      </c>
      <c r="W88" s="434">
        <f t="shared" si="273"/>
        <v>0</v>
      </c>
      <c r="X88" s="415">
        <f t="shared" si="274"/>
        <v>0</v>
      </c>
      <c r="Y88" s="322">
        <f t="shared" si="275"/>
        <v>-1.2389999999999999</v>
      </c>
      <c r="Z88" s="322">
        <f t="shared" ca="1" si="276"/>
        <v>-1.2389999999999999</v>
      </c>
      <c r="AA88" s="429">
        <f t="shared" si="277"/>
        <v>1.2389999999999999</v>
      </c>
      <c r="AB88" s="433">
        <f t="shared" ca="1" si="278"/>
        <v>1.2389999999999999</v>
      </c>
      <c r="AC88" s="229">
        <v>38827</v>
      </c>
      <c r="AD88" s="229">
        <v>38823</v>
      </c>
      <c r="AE88" s="229">
        <v>38822</v>
      </c>
      <c r="AF88" s="229">
        <v>38818</v>
      </c>
      <c r="AG88" s="249" t="s">
        <v>90</v>
      </c>
      <c r="AH88" s="247" t="s">
        <v>499</v>
      </c>
      <c r="AI88" s="146">
        <v>23</v>
      </c>
      <c r="AJ88" s="41">
        <v>15</v>
      </c>
      <c r="AK88" s="41">
        <v>8</v>
      </c>
      <c r="AL88" s="293">
        <v>23</v>
      </c>
      <c r="AM88" s="41">
        <v>10</v>
      </c>
      <c r="AN88" s="147">
        <v>13</v>
      </c>
      <c r="AO88" s="374"/>
      <c r="AP88" s="153">
        <f t="shared" ca="1" si="318"/>
        <v>1</v>
      </c>
      <c r="AQ88" s="374"/>
      <c r="AR88" s="153">
        <f t="shared" ca="1" si="420"/>
        <v>1</v>
      </c>
      <c r="AS88" s="272">
        <f t="shared" si="279"/>
        <v>0</v>
      </c>
      <c r="AT88" s="157">
        <f t="shared" si="319"/>
        <v>0</v>
      </c>
      <c r="AU88" s="157">
        <f t="shared" si="280"/>
        <v>0</v>
      </c>
      <c r="AV88" s="271">
        <f t="shared" ca="1" si="430"/>
        <v>9.9999999999999995E-7</v>
      </c>
      <c r="AW88" s="158" t="str">
        <f t="shared" ca="1" si="281"/>
        <v/>
      </c>
      <c r="AX88" s="157">
        <f t="shared" ca="1" si="421"/>
        <v>2.5734966308615481E-3</v>
      </c>
      <c r="AY88" s="157">
        <f t="shared" ca="1" si="422"/>
        <v>1.2659976589264033E-3</v>
      </c>
      <c r="AZ88" s="157">
        <f t="shared" ca="1" si="423"/>
        <v>2.8772804988808943E-4</v>
      </c>
      <c r="BA88" s="157">
        <f t="shared" ca="1" si="424"/>
        <v>3.5966006236011179E-5</v>
      </c>
      <c r="BB88" s="157">
        <f t="shared" ca="1" si="425"/>
        <v>7.7131996561600034E-6</v>
      </c>
      <c r="BC88" s="157">
        <f t="shared" ca="1" si="426"/>
        <v>2.5871072091375869E-6</v>
      </c>
      <c r="BD88" s="151">
        <f t="shared" ca="1" si="282"/>
        <v>0</v>
      </c>
      <c r="BE88" s="152">
        <f t="shared" ca="1" si="283"/>
        <v>0</v>
      </c>
      <c r="BF88" s="40">
        <f t="shared" si="284"/>
        <v>2006</v>
      </c>
      <c r="BG88" s="144">
        <f t="shared" si="285"/>
        <v>5</v>
      </c>
      <c r="BH88" s="145">
        <f t="shared" ca="1" si="286"/>
        <v>2078</v>
      </c>
      <c r="BI88" s="313">
        <f t="shared" ca="1" si="287"/>
        <v>5.7303216974674882</v>
      </c>
      <c r="BJ88" s="42">
        <f t="shared" ca="1" si="288"/>
        <v>5.7838883433026815</v>
      </c>
      <c r="BK88" s="42">
        <f t="shared" ca="1" si="289"/>
        <v>5.7866261940898136</v>
      </c>
      <c r="BL88" s="42">
        <f t="shared" ca="1" si="290"/>
        <v>5.8124572210814511</v>
      </c>
      <c r="BM88" s="150" t="e">
        <f t="shared" ca="1" si="291"/>
        <v>#DIV/0!</v>
      </c>
      <c r="BN88" s="42" t="e">
        <f t="shared" ca="1" si="292"/>
        <v>#DIV/0!</v>
      </c>
      <c r="BO88" s="293">
        <f t="shared" si="320"/>
        <v>23</v>
      </c>
      <c r="BP88" s="41">
        <f t="shared" si="293"/>
        <v>15</v>
      </c>
      <c r="BQ88" s="41">
        <f t="shared" si="294"/>
        <v>8</v>
      </c>
      <c r="BR88" s="305" t="str">
        <f t="shared" ca="1" si="295"/>
        <v/>
      </c>
      <c r="BS88" s="305" t="str">
        <f t="shared" ca="1" si="296"/>
        <v/>
      </c>
      <c r="BT88" s="307" t="str">
        <f t="shared" ca="1" si="297"/>
        <v/>
      </c>
      <c r="BU88" s="161" t="str">
        <f t="shared" ca="1" si="298"/>
        <v/>
      </c>
      <c r="BV88" s="161" t="str">
        <f t="shared" ca="1" si="299"/>
        <v/>
      </c>
      <c r="BW88" s="308" t="str">
        <f t="shared" ca="1" si="300"/>
        <v/>
      </c>
      <c r="BX88" s="309" t="str">
        <f t="shared" ca="1" si="301"/>
        <v/>
      </c>
      <c r="BY88" s="308" t="str">
        <f t="shared" ca="1" si="321"/>
        <v/>
      </c>
      <c r="BZ88" s="309" t="str">
        <f t="shared" ca="1" si="322"/>
        <v/>
      </c>
      <c r="CA88" s="154" t="str">
        <f t="shared" ca="1" si="302"/>
        <v/>
      </c>
      <c r="CB88" s="154" t="str">
        <f t="shared" ca="1" si="303"/>
        <v/>
      </c>
      <c r="CC88" s="154" t="str">
        <f t="shared" ca="1" si="304"/>
        <v/>
      </c>
      <c r="CD88" s="154" t="str">
        <f t="shared" ca="1" si="305"/>
        <v/>
      </c>
      <c r="CE88" s="310">
        <v>1</v>
      </c>
      <c r="CF88" s="162">
        <f ca="1">IF(BD88,_xll.xCrudeAPO(BU88,BV88,CA88,CB88,S89,S90,BI88,BL88,BP88,BQ88,0,Strike1,AO88,CE88,0,BL88,IF(OptControl=4,0,1),0,1),0)</f>
        <v>0</v>
      </c>
      <c r="CG88" s="163">
        <f ca="1">IF(BD88,_xll.xCrudeAPO(BU88,BV88,CA88,CB88,S89,S90,BI88,BL88,BP88,BQ88,0,Strike1,AO88,CE88,0,BL88,IF(OptControl=4,0,1),1,1)+_xll.xCrudeAPO(BU88,BV88,CA88,CB88,S89,S90,BI88,BL88,BP88,BQ88,0,Strike1,AO88,CE88,0,BL88,IF(OptControl=4,0,1),1,2)+IF(OR(VolSkewFlag=2,ABS(BS88)&lt;0.0001),0,IF(BS88&gt;0,-1,1)*CH88*Strike1/BR88^2*BY88/10%),0)</f>
        <v>0</v>
      </c>
      <c r="CH88" s="163">
        <f ca="1">IF(BD88,(_xll.xCrudeAPO(BU88,BV88,CA88,CB88,S89,S90,BI88,BL88,BP88,BQ88,0,Strike1,AO88,CE88,0,BL88,IF(OptControl=4,0,1),3,1)+_xll.xCrudeAPO(BU88,BV88,CA88,CB88,S89,S90,BI88,BL88,BP88,BQ88,0,Strike1,AO88,CE88,0,BL88,IF(OptControl=4,0,1),3,2))/100,0)</f>
        <v>0</v>
      </c>
      <c r="CI88" s="163">
        <f ca="1">IF(BD88,_xll.xCrudeAPO(BU88,BV88,CA88,CB88,S89,S90,BI88-DaysForThetaCalculation/365.25,BL88-DaysForThetaCalculation/365.25,BP88,BQ88,0,Strike1,AO88,CE88,0,BL88,IF(OptControl=4,0,1),0,1)-_xll.xCrudeAPO(BU88,BV88,CA88,CB88,S89,S90,BI88,BL88,BP88,BQ88,0,Strike1,AO88,CE88,0,BL88,IF(OptControl=4,0,1),0,1),0)</f>
        <v>0</v>
      </c>
      <c r="CJ88" s="311">
        <f ca="1">IF(BD88,_xll.xCrudeAPO(BU88,BV88,CC88,CD88,S89,S90,BI88,BL88,BP88,BQ88,0,Strike2,AO88,CE88,0,BL88,IF(OptControl=3,1,0),0,1),0)</f>
        <v>0</v>
      </c>
      <c r="CK88" s="163">
        <f ca="1">IF(BD88,_xll.xCrudeAPO(BU88,BV88,CC88,CD88,S89,S90,BI88,BL88,BP88,BQ88,0,Strike2,AO88,CE88,0,BL88,IF(OptControl=3,1,0),1,1)+_xll.xCrudeAPO(BU88,BV88,CC88,CD88,S89,S90,BI88,BL88,BP88,BQ88,0,Strike2,AO88,CE88,0,BL88,IF(OptControl=3,1,0),1,2)+IF(OR(VolSkewFlag=2,ABS(BT88)&lt;0.0001),0,IF(BT88&gt;0,-1,1)*CL88*Strike2/BR88^2*BZ88/10%),0)</f>
        <v>0</v>
      </c>
      <c r="CL88" s="163">
        <f ca="1">IF(BD88,(_xll.xCrudeAPO(BU88,BV88,CC88,CD88,S89,S90,BI88,BL88,BP88,BQ88,0,Strike2,AO88,CE88,0,BL88,IF(OptControl=3,1,0),3,1)+_xll.xCrudeAPO(BU88,BV88,CC88,CD88,S89,S90,BI88,BL88,BP88,BQ88,0,Strike2,AO88,CE88,0,BL88,IF(OptControl=3,1,0),3,2))/100,0)</f>
        <v>0</v>
      </c>
      <c r="CM88" s="164">
        <f ca="1">IF(BD88,_xll.xCrudeAPO(BU88,BV88,CC88,CD88,S89,S90,BI88-DaysForThetaCalculation/365.25,BL88-DaysForThetaCalculation/365.25,BP88,BQ88,0,Strike2,AO88,CE88,0,BL88,IF(OptControl=3,1,0),0,1)-_xll.xCrudeAPO(BU88,BV88,CC88,CD88,S89,S90,BI88,BL88,BP88,BQ88,0,Strike2,AO88,CE88,0,BL88,IF(OptControl=3,1,0),0,1),0)</f>
        <v>0</v>
      </c>
      <c r="CN88" s="53"/>
      <c r="CO88" s="796" t="str">
        <f t="shared" ca="1" si="323"/>
        <v/>
      </c>
      <c r="CP88" s="800" t="str">
        <f t="shared" ca="1" si="324"/>
        <v/>
      </c>
      <c r="CQ88" s="797" t="str">
        <f t="shared" ca="1" si="325"/>
        <v/>
      </c>
      <c r="CR88" s="797" t="str">
        <f t="shared" ca="1" si="326"/>
        <v/>
      </c>
      <c r="CS88" s="797" t="str">
        <f t="shared" ca="1" si="327"/>
        <v/>
      </c>
      <c r="CT88" s="797" t="str">
        <f t="shared" ca="1" si="328"/>
        <v/>
      </c>
      <c r="CU88" s="798" t="str">
        <f t="shared" ca="1" si="329"/>
        <v/>
      </c>
      <c r="CV88" s="799" t="str">
        <f t="shared" ca="1" si="330"/>
        <v/>
      </c>
      <c r="CW88" s="799" t="str">
        <f t="shared" ca="1" si="331"/>
        <v/>
      </c>
      <c r="CX88" s="163">
        <f ca="1">IF(BD88,_xll.EURO(CP88,Strike1,AO88,AO88,CV88,CO88,IF(OptControl=4,0,1),0),0)</f>
        <v>0</v>
      </c>
      <c r="CY88" s="163">
        <f ca="1">IF(BD88,_xll.EURO(CP88,Strike1,AO88,AO88,CV88,CO88,IF(OptControl=4,0,1),1)+IF(OR(VolSkewFlag=2,ABS(CQ88)&lt;0.0001),0,IF(CQ88&gt;0,-1,1)*CZ88*100*Strike1/CP88^2*CS88/10%),0)</f>
        <v>0</v>
      </c>
      <c r="CZ88" s="163">
        <f ca="1">IF(BD88,_xll.EURO(CP88,Strike1,AO88,AO88,CV88,CO88,IF(OptControl=4,0,1),3)/100,0)</f>
        <v>0</v>
      </c>
      <c r="DA88" s="163">
        <f ca="1">IF(BD88,_xll.EURO(CP88,Strike1,AO88,AO88,CV88,CO88,IF(OptControl=4,0,1),0)-_xll.EURO(CP88,Strike1,AO88,AO88,CV88,CO88-1,IF(OptControl=4,0,1),0),0)</f>
        <v>0</v>
      </c>
      <c r="DB88" s="163">
        <f ca="1">IF(BD88,_xll.EURO(CP88,Strike2,AO88,AO88,CW88,CO88,IF(OptControl=3,1,0),0),0)</f>
        <v>0</v>
      </c>
      <c r="DC88" s="163">
        <f ca="1">IF(BD88,_xll.EURO(CP88,Strike2,AO88,AO88,CW88,CO88,IF(OptControl=3,1,0),1)+IF(OR(VolSkewFlag=2,ABS(CR88)&lt;0.0001),0,IF(CR88&gt;0,-1,1)*DD88*100*Strike2/CP88^2*CT88/10%),0)</f>
        <v>0</v>
      </c>
      <c r="DD88" s="163">
        <f ca="1">IF(BD88,_xll.EURO(CP88,Strike2,AO88,AO88,CW88,CO88,IF(OptControl=3,1,0),3)/100,0)</f>
        <v>0</v>
      </c>
      <c r="DE88" s="164">
        <f ca="1">IF(BD88,_xll.EURO(CP88,Strike2,AO88,AO88,CW88,CO88,IF(OptControl=3,1,0),0)-_xll.EURO(CP88,Strike2,AO88,AO88,CW88,CO88-1,IF(OptControl=3,1,0),0),0)</f>
        <v>0</v>
      </c>
      <c r="DG88" s="667">
        <f t="shared" ca="1" si="332"/>
        <v>38626</v>
      </c>
      <c r="DH88" s="475">
        <v>18.326666666666664</v>
      </c>
      <c r="DI88" s="665">
        <v>18.322222222222223</v>
      </c>
      <c r="DJ88" s="666">
        <f t="shared" ca="1" si="306"/>
        <v>38626</v>
      </c>
      <c r="DK88" s="475">
        <v>17.02471342852602</v>
      </c>
      <c r="DL88" s="665">
        <v>17.158222222222221</v>
      </c>
      <c r="DM88" s="667">
        <f t="shared" ca="1" si="307"/>
        <v>38626</v>
      </c>
      <c r="DN88" s="668">
        <f t="shared" si="308"/>
        <v>17.074713428526021</v>
      </c>
      <c r="DO88" s="667">
        <f t="shared" ca="1" si="333"/>
        <v>38626</v>
      </c>
      <c r="DP88" s="579">
        <f t="shared" si="334"/>
        <v>17.158222222222221</v>
      </c>
      <c r="DQ88" s="821">
        <v>0</v>
      </c>
      <c r="DR88" s="666">
        <f t="shared" ca="1" si="309"/>
        <v>38626</v>
      </c>
      <c r="DS88" s="669">
        <v>0.19132812431805302</v>
      </c>
      <c r="DT88" s="606">
        <v>0.19050000000000003</v>
      </c>
      <c r="DU88" s="666">
        <f t="shared" ca="1" si="310"/>
        <v>38626</v>
      </c>
      <c r="DV88" s="669">
        <v>0.19132812431805302</v>
      </c>
      <c r="DW88" s="606">
        <v>0.19050000000000003</v>
      </c>
      <c r="DX88" s="667">
        <f t="shared" ca="1" si="311"/>
        <v>38626</v>
      </c>
      <c r="DY88" s="606">
        <v>0.35</v>
      </c>
      <c r="DZ88" s="667">
        <f t="shared" ca="1" si="335"/>
        <v>38626</v>
      </c>
      <c r="EA88" s="606">
        <f t="shared" si="336"/>
        <v>0.19050000000000003</v>
      </c>
      <c r="EB88" s="1"/>
      <c r="EC88" s="118" t="str">
        <f t="shared" ca="1" si="312"/>
        <v/>
      </c>
      <c r="ED88" s="119" t="str">
        <f t="shared" ca="1" si="313"/>
        <v/>
      </c>
      <c r="EE88" s="112" t="str">
        <f t="shared" ca="1" si="314"/>
        <v/>
      </c>
      <c r="EF88" s="120">
        <f ca="1">IF(BD88,_xll.xASN(BR88,Strike1,AO88,ED88,0,BO88,0,BI88,BL88,IF(OptControl=4,0,1),0),0)</f>
        <v>0</v>
      </c>
      <c r="EG88" s="111">
        <f ca="1">IF(BD88,_xll.xASN(BR88,Strike2,AO88,EE88,0,BO88,0,BI88,BL88,IF(OptControl=3,1,0),0),0)</f>
        <v>0</v>
      </c>
      <c r="EL88" s="55"/>
      <c r="EM88" s="1"/>
      <c r="EN88" s="697">
        <v>44016</v>
      </c>
      <c r="EO88" s="698">
        <v>48945</v>
      </c>
      <c r="EP88" s="1"/>
      <c r="EQ88" s="683" t="s">
        <v>301</v>
      </c>
      <c r="ES88" s="498">
        <v>69</v>
      </c>
      <c r="ET88" s="476">
        <f t="shared" ref="ET88:ET93" ca="1" si="431">BH88/365.25</f>
        <v>5.6892539356605063</v>
      </c>
      <c r="EU88" s="842">
        <f t="shared" ca="1" si="337"/>
        <v>0</v>
      </c>
      <c r="EV88" s="815">
        <f t="shared" ca="1" si="427"/>
        <v>0.17810104836221524</v>
      </c>
      <c r="EW88" s="478" t="str">
        <f t="shared" ca="1" si="428"/>
        <v/>
      </c>
      <c r="EX88" s="477" t="str">
        <f t="shared" ca="1" si="429"/>
        <v/>
      </c>
      <c r="EY88" s="250">
        <v>0</v>
      </c>
      <c r="EZ88" s="605" t="str">
        <f ca="1">IF(OR(EW88="",EW89=""),"",SQRT(SUM(INDEX(FK88:ID88,SwaptionFirstMonthPosition+1):INDEX(FK88:ID88,FJ88))/SUM(INDEX($FK$15:$ID$15,SwaptionFirstMonthPosition+1):INDEX($FK$15:$ID$15,FJ88))))</f>
        <v/>
      </c>
      <c r="FA88" s="581" t="str">
        <f ca="1">IF(OR(EW88="",EW87=""),"",SQRT(SUM(INDEX(FK88:ID88,SwaptionFirstMonthPosition+1):INDEX(FK88:ID88,FJ88-1))/SUM(INDEX($FK$15:$ID$15,SwaptionFirstMonthPosition+1):INDEX($FK$15:$ID$15,FJ88-1))))</f>
        <v/>
      </c>
      <c r="FB88" s="578" t="str">
        <f t="shared" ca="1" si="338"/>
        <v/>
      </c>
      <c r="FC88" s="609" t="str">
        <f t="shared" ca="1" si="339"/>
        <v/>
      </c>
      <c r="FD88" s="579" t="str">
        <f t="shared" ca="1" si="340"/>
        <v/>
      </c>
      <c r="FE88" s="579" t="str">
        <f t="shared" ca="1" si="341"/>
        <v/>
      </c>
      <c r="FF88" s="579" t="str">
        <f t="shared" ca="1" si="342"/>
        <v/>
      </c>
      <c r="FG88" s="580" t="str">
        <f t="shared" ca="1" si="343"/>
        <v/>
      </c>
      <c r="FH88" s="606" t="str">
        <f t="shared" ca="1" si="344"/>
        <v/>
      </c>
      <c r="FI88" s="250"/>
      <c r="FJ88" s="673">
        <v>69</v>
      </c>
      <c r="FK88" s="460">
        <f t="shared" ca="1" si="345"/>
        <v>0</v>
      </c>
      <c r="FL88" s="460">
        <f t="shared" ca="1" si="346"/>
        <v>2.1912560255994019E-3</v>
      </c>
      <c r="FM88" s="460">
        <f t="shared" ca="1" si="347"/>
        <v>2.5468905386614158E-3</v>
      </c>
      <c r="FN88" s="460">
        <f t="shared" ca="1" si="348"/>
        <v>2.1436589359148006E-3</v>
      </c>
      <c r="FO88" s="460">
        <f t="shared" ca="1" si="349"/>
        <v>2.2297440235951797E-3</v>
      </c>
      <c r="FP88" s="460">
        <f t="shared" ca="1" si="350"/>
        <v>2.4708130090695737E-3</v>
      </c>
      <c r="FQ88" s="460">
        <f t="shared" ca="1" si="351"/>
        <v>2.0004080791207863E-3</v>
      </c>
      <c r="FR88" s="460">
        <f t="shared" ca="1" si="352"/>
        <v>2.0453564678091798E-3</v>
      </c>
      <c r="FS88" s="460">
        <f t="shared" ca="1" si="353"/>
        <v>2.3050050871623409E-3</v>
      </c>
      <c r="FT88" s="460">
        <f t="shared" ca="1" si="354"/>
        <v>2.0802200536540359E-3</v>
      </c>
      <c r="FU88" s="460">
        <f t="shared" ca="1" si="355"/>
        <v>1.9998843508336017E-3</v>
      </c>
      <c r="FV88" s="460">
        <f t="shared" ca="1" si="356"/>
        <v>2.1977146858767295E-3</v>
      </c>
      <c r="FW88" s="460">
        <f t="shared" ca="1" si="357"/>
        <v>2.0540281779641689E-3</v>
      </c>
      <c r="FX88" s="460">
        <f t="shared" ca="1" si="358"/>
        <v>2.1859385008072712E-3</v>
      </c>
      <c r="FY88" s="460">
        <f t="shared" ca="1" si="359"/>
        <v>2.0458225845220572E-3</v>
      </c>
      <c r="FZ88" s="460">
        <f t="shared" ca="1" si="360"/>
        <v>1.907027899887727E-3</v>
      </c>
      <c r="GA88" s="460">
        <f t="shared" ca="1" si="361"/>
        <v>2.0413590403344207E-3</v>
      </c>
      <c r="GB88" s="460">
        <f t="shared" ca="1" si="362"/>
        <v>2.2440015641647043E-3</v>
      </c>
      <c r="GC88" s="460">
        <f t="shared" ca="1" si="363"/>
        <v>1.9710803178379708E-3</v>
      </c>
      <c r="GD88" s="460">
        <f t="shared" ca="1" si="364"/>
        <v>1.970463268494543E-3</v>
      </c>
      <c r="GE88" s="460">
        <f t="shared" ca="1" si="365"/>
        <v>2.2418227204099752E-3</v>
      </c>
      <c r="GF88" s="460">
        <f t="shared" ca="1" si="366"/>
        <v>1.9699048775925353E-3</v>
      </c>
      <c r="GG88" s="460">
        <f t="shared" ca="1" si="367"/>
        <v>2.1736677051042764E-3</v>
      </c>
      <c r="GH88" s="460">
        <f t="shared" ca="1" si="368"/>
        <v>2.0379416494940459E-3</v>
      </c>
      <c r="GI88" s="460">
        <f t="shared" ca="1" si="369"/>
        <v>1.9702643908556974E-3</v>
      </c>
      <c r="GJ88" s="460">
        <f t="shared" ca="1" si="370"/>
        <v>2.242456499583211E-3</v>
      </c>
      <c r="GK88" s="460">
        <f t="shared" ca="1" si="371"/>
        <v>2.0391193091938253E-3</v>
      </c>
      <c r="GL88" s="460">
        <f t="shared" ca="1" si="372"/>
        <v>1.9717856921623407E-3</v>
      </c>
      <c r="GM88" s="460">
        <f t="shared" ca="1" si="373"/>
        <v>2.1086046486146225E-3</v>
      </c>
      <c r="GN88" s="460">
        <f t="shared" ca="1" si="374"/>
        <v>2.1096079883899306E-3</v>
      </c>
      <c r="GO88" s="460">
        <f t="shared" ca="1" si="375"/>
        <v>2.11080297015855E-3</v>
      </c>
      <c r="GP88" s="460">
        <f t="shared" ca="1" si="376"/>
        <v>1.9078090576117601E-3</v>
      </c>
      <c r="GQ88" s="460">
        <f t="shared" ca="1" si="377"/>
        <v>2.1138842395556322E-3</v>
      </c>
      <c r="GR88" s="460">
        <f t="shared" ca="1" si="378"/>
        <v>2.0475915856796212E-3</v>
      </c>
      <c r="GS88" s="460">
        <f t="shared" ca="1" si="379"/>
        <v>2.1181466061571418E-3</v>
      </c>
      <c r="GT88" s="460">
        <f t="shared" ca="1" si="380"/>
        <v>2.0524329302076118E-3</v>
      </c>
      <c r="GU88" s="460">
        <f t="shared" ca="1" si="381"/>
        <v>2.124014583155353E-3</v>
      </c>
      <c r="GV88" s="460">
        <f t="shared" ca="1" si="382"/>
        <v>2.1277282126071708E-3</v>
      </c>
      <c r="GW88" s="460">
        <f t="shared" ca="1" si="383"/>
        <v>2.0633057722941363E-3</v>
      </c>
      <c r="GX88" s="460">
        <f t="shared" ca="1" si="384"/>
        <v>2.137189298244396E-3</v>
      </c>
      <c r="GY88" s="460">
        <f t="shared" ca="1" si="385"/>
        <v>2.0740451020089322E-3</v>
      </c>
      <c r="GZ88" s="460">
        <f t="shared" ca="1" si="386"/>
        <v>2.1502104145836626E-3</v>
      </c>
      <c r="HA88" s="460">
        <f t="shared" ca="1" si="387"/>
        <v>2.1584654351057093E-3</v>
      </c>
      <c r="HB88" s="460">
        <f t="shared" ca="1" si="388"/>
        <v>2.0282827516261885E-3</v>
      </c>
      <c r="HC88" s="460">
        <f t="shared" ca="1" si="389"/>
        <v>2.1795680925197221E-3</v>
      </c>
      <c r="HD88" s="460">
        <f t="shared" ca="1" si="390"/>
        <v>2.1222466929223262E-3</v>
      </c>
      <c r="HE88" s="460">
        <f t="shared" ca="1" si="391"/>
        <v>2.2087977113433802E-3</v>
      </c>
      <c r="HF88" s="460">
        <f t="shared" ca="1" si="392"/>
        <v>2.1555915230320067E-3</v>
      </c>
      <c r="HG88" s="460">
        <f t="shared" ca="1" si="393"/>
        <v>2.2494695433687159E-3</v>
      </c>
      <c r="HH88" s="460">
        <f t="shared" ca="1" si="394"/>
        <v>2.2755282518977446E-3</v>
      </c>
      <c r="HI88" s="460">
        <f t="shared" ca="1" si="395"/>
        <v>2.2320194566134272E-3</v>
      </c>
      <c r="HJ88" s="460">
        <f t="shared" ca="1" si="396"/>
        <v>2.3431259918584007E-3</v>
      </c>
      <c r="HK88" s="460">
        <f t="shared" ca="1" si="397"/>
        <v>2.3098627333400013E-3</v>
      </c>
      <c r="HL88" s="460">
        <f t="shared" ca="1" si="398"/>
        <v>2.4391270072188042E-3</v>
      </c>
      <c r="HM88" s="460">
        <f t="shared" ca="1" si="399"/>
        <v>2.5018317927507409E-3</v>
      </c>
      <c r="HN88" s="460">
        <f t="shared" ca="1" si="400"/>
        <v>2.3279611250811689E-3</v>
      </c>
      <c r="HO88" s="460">
        <f t="shared" ca="1" si="401"/>
        <v>2.6688897596272268E-3</v>
      </c>
      <c r="HP88" s="460">
        <f t="shared" ca="1" si="402"/>
        <v>2.6906933664857867E-3</v>
      </c>
      <c r="HQ88" s="460">
        <f t="shared" ca="1" si="403"/>
        <v>2.9172016438349531E-3</v>
      </c>
      <c r="HR88" s="460">
        <f t="shared" ca="1" si="404"/>
        <v>2.9869457875059575E-3</v>
      </c>
      <c r="HS88" s="460">
        <f t="shared" ca="1" si="405"/>
        <v>3.2981084232114139E-3</v>
      </c>
      <c r="HT88" s="460">
        <f t="shared" ca="1" si="406"/>
        <v>3.5656683103895037E-3</v>
      </c>
      <c r="HU88" s="460">
        <f t="shared" ca="1" si="407"/>
        <v>3.7826229995618276E-3</v>
      </c>
      <c r="HV88" s="460">
        <f t="shared" ca="1" si="408"/>
        <v>4.3558243628608164E-3</v>
      </c>
      <c r="HW88" s="460">
        <f t="shared" ca="1" si="409"/>
        <v>4.7904310544799288E-3</v>
      </c>
      <c r="HX88" s="460">
        <f t="shared" ca="1" si="410"/>
        <v>5.7587277800597338E-3</v>
      </c>
      <c r="HY88" s="460">
        <f t="shared" ca="1" si="411"/>
        <v>6.8903166941610356E-3</v>
      </c>
      <c r="HZ88" s="460">
        <f t="shared" ca="1" si="412"/>
        <v>7.7031340666244164E-3</v>
      </c>
      <c r="IA88" s="460">
        <f t="shared" ca="1" si="413"/>
        <v>1.0999589332787543E-2</v>
      </c>
      <c r="IB88" s="460" t="str">
        <f t="shared" si="414"/>
        <v/>
      </c>
      <c r="IC88" s="460" t="str">
        <f t="shared" si="415"/>
        <v/>
      </c>
      <c r="ID88" s="674" t="str">
        <f t="shared" si="416"/>
        <v/>
      </c>
      <c r="IE88" s="250"/>
    </row>
    <row r="89" spans="8:239">
      <c r="H89" s="51">
        <f t="shared" ca="1" si="315"/>
        <v>0</v>
      </c>
      <c r="I89" s="379">
        <f t="shared" si="316"/>
        <v>38869</v>
      </c>
      <c r="J89" s="377"/>
      <c r="K89" s="104" t="s">
        <v>269</v>
      </c>
      <c r="L89" s="392">
        <f t="shared" si="317"/>
        <v>0</v>
      </c>
      <c r="M89" s="171"/>
      <c r="N89" s="382">
        <v>0</v>
      </c>
      <c r="O89" s="171">
        <f t="shared" si="272"/>
        <v>0</v>
      </c>
      <c r="P89" s="377"/>
      <c r="Q89" s="104" t="s">
        <v>268</v>
      </c>
      <c r="R89" s="377">
        <f t="shared" ca="1" si="417"/>
        <v>-1.3723840810942058</v>
      </c>
      <c r="S89" s="832">
        <f t="shared" si="164"/>
        <v>0.36000000012771027</v>
      </c>
      <c r="T89" s="831">
        <f t="shared" si="418"/>
        <v>0.99999772933471132</v>
      </c>
      <c r="U89" s="545">
        <f t="shared" si="419"/>
        <v>0.99999999996408151</v>
      </c>
      <c r="V89" s="389">
        <v>0</v>
      </c>
      <c r="W89" s="434">
        <f t="shared" si="273"/>
        <v>0</v>
      </c>
      <c r="X89" s="415">
        <f t="shared" si="274"/>
        <v>0</v>
      </c>
      <c r="Y89" s="322">
        <f t="shared" si="275"/>
        <v>-1.2389999999999999</v>
      </c>
      <c r="Z89" s="322">
        <f t="shared" ca="1" si="276"/>
        <v>-1.2389999999999999</v>
      </c>
      <c r="AA89" s="429">
        <f t="shared" si="277"/>
        <v>1.2389999999999999</v>
      </c>
      <c r="AB89" s="433">
        <f t="shared" ca="1" si="278"/>
        <v>1.2389999999999999</v>
      </c>
      <c r="AC89" s="229">
        <v>38857</v>
      </c>
      <c r="AD89" s="229">
        <v>38853</v>
      </c>
      <c r="AE89" s="229">
        <v>38852</v>
      </c>
      <c r="AF89" s="229">
        <v>38848</v>
      </c>
      <c r="AG89" s="249" t="s">
        <v>90</v>
      </c>
      <c r="AH89" s="247" t="s">
        <v>499</v>
      </c>
      <c r="AI89" s="146">
        <v>22</v>
      </c>
      <c r="AJ89" s="41">
        <v>14</v>
      </c>
      <c r="AK89" s="41">
        <v>8</v>
      </c>
      <c r="AL89" s="293">
        <v>22</v>
      </c>
      <c r="AM89" s="41">
        <v>10</v>
      </c>
      <c r="AN89" s="147">
        <v>12</v>
      </c>
      <c r="AO89" s="374"/>
      <c r="AP89" s="153">
        <f t="shared" ca="1" si="318"/>
        <v>1</v>
      </c>
      <c r="AQ89" s="374"/>
      <c r="AR89" s="153">
        <f t="shared" ca="1" si="420"/>
        <v>1</v>
      </c>
      <c r="AS89" s="272">
        <f t="shared" si="279"/>
        <v>0</v>
      </c>
      <c r="AT89" s="157">
        <f t="shared" si="319"/>
        <v>0</v>
      </c>
      <c r="AU89" s="157">
        <f t="shared" si="280"/>
        <v>0</v>
      </c>
      <c r="AV89" s="271">
        <f t="shared" ca="1" si="430"/>
        <v>9.9999999999999995E-7</v>
      </c>
      <c r="AW89" s="158" t="str">
        <f t="shared" ca="1" si="281"/>
        <v/>
      </c>
      <c r="AX89" s="157">
        <f t="shared" ca="1" si="421"/>
        <v>2.4879940214873998E-3</v>
      </c>
      <c r="AY89" s="157">
        <f t="shared" ca="1" si="422"/>
        <v>1.2157990195185587E-3</v>
      </c>
      <c r="AZ89" s="157">
        <f t="shared" ca="1" si="423"/>
        <v>2.7157911532736445E-4</v>
      </c>
      <c r="BA89" s="157">
        <f t="shared" ca="1" si="424"/>
        <v>3.3947389415920556E-5</v>
      </c>
      <c r="BB89" s="157">
        <f t="shared" ca="1" si="425"/>
        <v>7.0384084926595618E-6</v>
      </c>
      <c r="BC89" s="157">
        <f t="shared" ca="1" si="426"/>
        <v>2.304850496312305E-6</v>
      </c>
      <c r="BD89" s="151">
        <f t="shared" ca="1" si="282"/>
        <v>0</v>
      </c>
      <c r="BE89" s="152">
        <f t="shared" ca="1" si="283"/>
        <v>0</v>
      </c>
      <c r="BF89" s="40">
        <f t="shared" si="284"/>
        <v>2006</v>
      </c>
      <c r="BG89" s="144">
        <f t="shared" si="285"/>
        <v>6</v>
      </c>
      <c r="BH89" s="145">
        <f t="shared" ca="1" si="286"/>
        <v>2108</v>
      </c>
      <c r="BI89" s="313">
        <f t="shared" ca="1" si="287"/>
        <v>5.8151950718685832</v>
      </c>
      <c r="BJ89" s="42">
        <f t="shared" ca="1" si="288"/>
        <v>5.8657208636674758</v>
      </c>
      <c r="BK89" s="42">
        <f t="shared" ca="1" si="289"/>
        <v>5.8684587144546079</v>
      </c>
      <c r="BL89" s="42">
        <f t="shared" ca="1" si="290"/>
        <v>5.8945927446954141</v>
      </c>
      <c r="BM89" s="150" t="e">
        <f t="shared" ca="1" si="291"/>
        <v>#DIV/0!</v>
      </c>
      <c r="BN89" s="42" t="e">
        <f t="shared" ca="1" si="292"/>
        <v>#DIV/0!</v>
      </c>
      <c r="BO89" s="293">
        <f t="shared" si="320"/>
        <v>22</v>
      </c>
      <c r="BP89" s="41">
        <f t="shared" si="293"/>
        <v>14</v>
      </c>
      <c r="BQ89" s="41">
        <f t="shared" si="294"/>
        <v>8</v>
      </c>
      <c r="BR89" s="305" t="str">
        <f t="shared" ca="1" si="295"/>
        <v/>
      </c>
      <c r="BS89" s="305" t="str">
        <f t="shared" ca="1" si="296"/>
        <v/>
      </c>
      <c r="BT89" s="307" t="str">
        <f t="shared" ca="1" si="297"/>
        <v/>
      </c>
      <c r="BU89" s="161" t="str">
        <f t="shared" ca="1" si="298"/>
        <v/>
      </c>
      <c r="BV89" s="161" t="str">
        <f t="shared" ca="1" si="299"/>
        <v/>
      </c>
      <c r="BW89" s="308" t="str">
        <f t="shared" ca="1" si="300"/>
        <v/>
      </c>
      <c r="BX89" s="309" t="str">
        <f t="shared" ca="1" si="301"/>
        <v/>
      </c>
      <c r="BY89" s="308" t="str">
        <f t="shared" ca="1" si="321"/>
        <v/>
      </c>
      <c r="BZ89" s="309" t="str">
        <f t="shared" ca="1" si="322"/>
        <v/>
      </c>
      <c r="CA89" s="154" t="str">
        <f t="shared" ca="1" si="302"/>
        <v/>
      </c>
      <c r="CB89" s="154" t="str">
        <f t="shared" ca="1" si="303"/>
        <v/>
      </c>
      <c r="CC89" s="154" t="str">
        <f t="shared" ca="1" si="304"/>
        <v/>
      </c>
      <c r="CD89" s="154" t="str">
        <f t="shared" ca="1" si="305"/>
        <v/>
      </c>
      <c r="CE89" s="310">
        <v>1</v>
      </c>
      <c r="CF89" s="162">
        <f ca="1">IF(BD89,_xll.xCrudeAPO(BU89,BV89,CA89,CB89,S90,S91,BI89,BL89,BP89,BQ89,0,Strike1,AO89,CE89,0,BL89,IF(OptControl=4,0,1),0,1),0)</f>
        <v>0</v>
      </c>
      <c r="CG89" s="163">
        <f ca="1">IF(BD89,_xll.xCrudeAPO(BU89,BV89,CA89,CB89,S90,S91,BI89,BL89,BP89,BQ89,0,Strike1,AO89,CE89,0,BL89,IF(OptControl=4,0,1),1,1)+_xll.xCrudeAPO(BU89,BV89,CA89,CB89,S90,S91,BI89,BL89,BP89,BQ89,0,Strike1,AO89,CE89,0,BL89,IF(OptControl=4,0,1),1,2)+IF(OR(VolSkewFlag=2,ABS(BS89)&lt;0.0001),0,IF(BS89&gt;0,-1,1)*CH89*Strike1/BR89^2*BY89/10%),0)</f>
        <v>0</v>
      </c>
      <c r="CH89" s="163">
        <f ca="1">IF(BD89,(_xll.xCrudeAPO(BU89,BV89,CA89,CB89,S90,S91,BI89,BL89,BP89,BQ89,0,Strike1,AO89,CE89,0,BL89,IF(OptControl=4,0,1),3,1)+_xll.xCrudeAPO(BU89,BV89,CA89,CB89,S90,S91,BI89,BL89,BP89,BQ89,0,Strike1,AO89,CE89,0,BL89,IF(OptControl=4,0,1),3,2))/100,0)</f>
        <v>0</v>
      </c>
      <c r="CI89" s="163">
        <f ca="1">IF(BD89,_xll.xCrudeAPO(BU89,BV89,CA89,CB89,S90,S91,BI89-DaysForThetaCalculation/365.25,BL89-DaysForThetaCalculation/365.25,BP89,BQ89,0,Strike1,AO89,CE89,0,BL89,IF(OptControl=4,0,1),0,1)-_xll.xCrudeAPO(BU89,BV89,CA89,CB89,S90,S91,BI89,BL89,BP89,BQ89,0,Strike1,AO89,CE89,0,BL89,IF(OptControl=4,0,1),0,1),0)</f>
        <v>0</v>
      </c>
      <c r="CJ89" s="311">
        <f ca="1">IF(BD89,_xll.xCrudeAPO(BU89,BV89,CC89,CD89,S90,S91,BI89,BL89,BP89,BQ89,0,Strike2,AO89,CE89,0,BL89,IF(OptControl=3,1,0),0,1),0)</f>
        <v>0</v>
      </c>
      <c r="CK89" s="163">
        <f ca="1">IF(BD89,_xll.xCrudeAPO(BU89,BV89,CC89,CD89,S90,S91,BI89,BL89,BP89,BQ89,0,Strike2,AO89,CE89,0,BL89,IF(OptControl=3,1,0),1,1)+_xll.xCrudeAPO(BU89,BV89,CC89,CD89,S90,S91,BI89,BL89,BP89,BQ89,0,Strike2,AO89,CE89,0,BL89,IF(OptControl=3,1,0),1,2)+IF(OR(VolSkewFlag=2,ABS(BT89)&lt;0.0001),0,IF(BT89&gt;0,-1,1)*CL89*Strike2/BR89^2*BZ89/10%),0)</f>
        <v>0</v>
      </c>
      <c r="CL89" s="163">
        <f ca="1">IF(BD89,(_xll.xCrudeAPO(BU89,BV89,CC89,CD89,S90,S91,BI89,BL89,BP89,BQ89,0,Strike2,AO89,CE89,0,BL89,IF(OptControl=3,1,0),3,1)+_xll.xCrudeAPO(BU89,BV89,CC89,CD89,S90,S91,BI89,BL89,BP89,BQ89,0,Strike2,AO89,CE89,0,BL89,IF(OptControl=3,1,0),3,2))/100,0)</f>
        <v>0</v>
      </c>
      <c r="CM89" s="164">
        <f ca="1">IF(BD89,_xll.xCrudeAPO(BU89,BV89,CC89,CD89,S90,S91,BI89-DaysForThetaCalculation/365.25,BL89-DaysForThetaCalculation/365.25,BP89,BQ89,0,Strike2,AO89,CE89,0,BL89,IF(OptControl=3,1,0),0,1)-_xll.xCrudeAPO(BU89,BV89,CC89,CD89,S90,S91,BI89,BL89,BP89,BQ89,0,Strike2,AO89,CE89,0,BL89,IF(OptControl=3,1,0),0,1),0)</f>
        <v>0</v>
      </c>
      <c r="CN89" s="53"/>
      <c r="CO89" s="796" t="str">
        <f t="shared" ca="1" si="323"/>
        <v/>
      </c>
      <c r="CP89" s="800" t="str">
        <f t="shared" ca="1" si="324"/>
        <v/>
      </c>
      <c r="CQ89" s="797" t="str">
        <f t="shared" ca="1" si="325"/>
        <v/>
      </c>
      <c r="CR89" s="797" t="str">
        <f t="shared" ca="1" si="326"/>
        <v/>
      </c>
      <c r="CS89" s="797" t="str">
        <f t="shared" ca="1" si="327"/>
        <v/>
      </c>
      <c r="CT89" s="797" t="str">
        <f t="shared" ca="1" si="328"/>
        <v/>
      </c>
      <c r="CU89" s="798" t="str">
        <f t="shared" ca="1" si="329"/>
        <v/>
      </c>
      <c r="CV89" s="799" t="str">
        <f t="shared" ca="1" si="330"/>
        <v/>
      </c>
      <c r="CW89" s="799" t="str">
        <f t="shared" ca="1" si="331"/>
        <v/>
      </c>
      <c r="CX89" s="163">
        <f ca="1">IF(BD89,_xll.EURO(CP89,Strike1,AO89,AO89,CV89,CO89,IF(OptControl=4,0,1),0),0)</f>
        <v>0</v>
      </c>
      <c r="CY89" s="163">
        <f ca="1">IF(BD89,_xll.EURO(CP89,Strike1,AO89,AO89,CV89,CO89,IF(OptControl=4,0,1),1)+IF(OR(VolSkewFlag=2,ABS(CQ89)&lt;0.0001),0,IF(CQ89&gt;0,-1,1)*CZ89*100*Strike1/CP89^2*CS89/10%),0)</f>
        <v>0</v>
      </c>
      <c r="CZ89" s="163">
        <f ca="1">IF(BD89,_xll.EURO(CP89,Strike1,AO89,AO89,CV89,CO89,IF(OptControl=4,0,1),3)/100,0)</f>
        <v>0</v>
      </c>
      <c r="DA89" s="163">
        <f ca="1">IF(BD89,_xll.EURO(CP89,Strike1,AO89,AO89,CV89,CO89,IF(OptControl=4,0,1),0)-_xll.EURO(CP89,Strike1,AO89,AO89,CV89,CO89-1,IF(OptControl=4,0,1),0),0)</f>
        <v>0</v>
      </c>
      <c r="DB89" s="163">
        <f ca="1">IF(BD89,_xll.EURO(CP89,Strike2,AO89,AO89,CW89,CO89,IF(OptControl=3,1,0),0),0)</f>
        <v>0</v>
      </c>
      <c r="DC89" s="163">
        <f ca="1">IF(BD89,_xll.EURO(CP89,Strike2,AO89,AO89,CW89,CO89,IF(OptControl=3,1,0),1)+IF(OR(VolSkewFlag=2,ABS(CR89)&lt;0.0001),0,IF(CR89&gt;0,-1,1)*DD89*100*Strike2/CP89^2*CT89/10%),0)</f>
        <v>0</v>
      </c>
      <c r="DD89" s="163">
        <f ca="1">IF(BD89,_xll.EURO(CP89,Strike2,AO89,AO89,CW89,CO89,IF(OptControl=3,1,0),3)/100,0)</f>
        <v>0</v>
      </c>
      <c r="DE89" s="164">
        <f ca="1">IF(BD89,_xll.EURO(CP89,Strike2,AO89,AO89,CW89,CO89,IF(OptControl=3,1,0),0)-_xll.EURO(CP89,Strike2,AO89,AO89,CW89,CO89-1,IF(OptControl=3,1,0),0),0)</f>
        <v>0</v>
      </c>
      <c r="DG89" s="667">
        <f t="shared" ca="1" si="332"/>
        <v>38657</v>
      </c>
      <c r="DH89" s="475">
        <v>18.323333333333334</v>
      </c>
      <c r="DI89" s="665">
        <v>18.31969696969697</v>
      </c>
      <c r="DJ89" s="666">
        <f t="shared" ca="1" si="306"/>
        <v>38657</v>
      </c>
      <c r="DK89" s="475">
        <v>17.143405476228313</v>
      </c>
      <c r="DL89" s="665">
        <v>17.155696969696969</v>
      </c>
      <c r="DM89" s="667">
        <f t="shared" ca="1" si="307"/>
        <v>38657</v>
      </c>
      <c r="DN89" s="668">
        <f t="shared" si="308"/>
        <v>17.193405476228314</v>
      </c>
      <c r="DO89" s="667">
        <f t="shared" ca="1" si="333"/>
        <v>38657</v>
      </c>
      <c r="DP89" s="579">
        <f t="shared" si="334"/>
        <v>17.155696969696969</v>
      </c>
      <c r="DQ89" s="821">
        <v>0</v>
      </c>
      <c r="DR89" s="666">
        <f t="shared" ca="1" si="309"/>
        <v>38657</v>
      </c>
      <c r="DS89" s="669">
        <v>0.19070000000000001</v>
      </c>
      <c r="DT89" s="606">
        <v>0.18897272727272732</v>
      </c>
      <c r="DU89" s="666">
        <f t="shared" ca="1" si="310"/>
        <v>38657</v>
      </c>
      <c r="DV89" s="669">
        <v>0.19070000000000001</v>
      </c>
      <c r="DW89" s="606">
        <v>0.18897272727272732</v>
      </c>
      <c r="DX89" s="667">
        <f t="shared" ca="1" si="311"/>
        <v>38657</v>
      </c>
      <c r="DY89" s="606">
        <v>0.35</v>
      </c>
      <c r="DZ89" s="667">
        <f t="shared" ca="1" si="335"/>
        <v>38657</v>
      </c>
      <c r="EA89" s="606">
        <f t="shared" si="336"/>
        <v>0.18897272727272732</v>
      </c>
      <c r="EB89" s="1"/>
      <c r="EC89" s="118" t="str">
        <f t="shared" ca="1" si="312"/>
        <v/>
      </c>
      <c r="ED89" s="119" t="str">
        <f t="shared" ca="1" si="313"/>
        <v/>
      </c>
      <c r="EE89" s="112" t="str">
        <f t="shared" ca="1" si="314"/>
        <v/>
      </c>
      <c r="EF89" s="120">
        <f ca="1">IF(BD89,_xll.xASN(BR89,Strike1,AO89,ED89,0,BO89,0,BI89,BL89,IF(OptControl=4,0,1),0),0)</f>
        <v>0</v>
      </c>
      <c r="EG89" s="111">
        <f ca="1">IF(BD89,_xll.xASN(BR89,Strike2,AO89,EE89,0,BO89,0,BI89,BL89,IF(OptControl=3,1,0),0),0)</f>
        <v>0</v>
      </c>
      <c r="EL89" s="55"/>
      <c r="EM89" s="1"/>
      <c r="EN89" s="697">
        <v>44190</v>
      </c>
      <c r="EO89" s="698">
        <v>49303</v>
      </c>
      <c r="EP89" s="1"/>
      <c r="EQ89" s="683" t="s">
        <v>302</v>
      </c>
      <c r="ES89" s="498">
        <v>70</v>
      </c>
      <c r="ET89" s="476">
        <f t="shared" ca="1" si="431"/>
        <v>5.7713894592744692</v>
      </c>
      <c r="EU89" s="842">
        <f t="shared" ca="1" si="337"/>
        <v>0</v>
      </c>
      <c r="EV89" s="815">
        <f t="shared" ca="1" si="427"/>
        <v>0.17778558042324544</v>
      </c>
      <c r="EW89" s="478" t="str">
        <f t="shared" ca="1" si="428"/>
        <v/>
      </c>
      <c r="EX89" s="477" t="str">
        <f t="shared" ca="1" si="429"/>
        <v/>
      </c>
      <c r="EY89" s="250">
        <v>0</v>
      </c>
      <c r="EZ89" s="605" t="str">
        <f ca="1">IF(OR(EW89="",EW90=""),"",SQRT(SUM(INDEX(FK89:ID89,SwaptionFirstMonthPosition+1):INDEX(FK89:ID89,FJ89))/SUM(INDEX($FK$15:$ID$15,SwaptionFirstMonthPosition+1):INDEX($FK$15:$ID$15,FJ89))))</f>
        <v/>
      </c>
      <c r="FA89" s="581" t="str">
        <f ca="1">IF(OR(EW89="",EW88=""),"",SQRT(SUM(INDEX(FK89:ID89,SwaptionFirstMonthPosition+1):INDEX(FK89:ID89,FJ89-1))/SUM(INDEX($FK$15:$ID$15,SwaptionFirstMonthPosition+1):INDEX($FK$15:$ID$15,FJ89-1))))</f>
        <v/>
      </c>
      <c r="FB89" s="578" t="str">
        <f t="shared" ca="1" si="338"/>
        <v/>
      </c>
      <c r="FC89" s="609" t="str">
        <f t="shared" ca="1" si="339"/>
        <v/>
      </c>
      <c r="FD89" s="579" t="str">
        <f t="shared" ca="1" si="340"/>
        <v/>
      </c>
      <c r="FE89" s="579" t="str">
        <f t="shared" ca="1" si="341"/>
        <v/>
      </c>
      <c r="FF89" s="579" t="str">
        <f t="shared" ca="1" si="342"/>
        <v/>
      </c>
      <c r="FG89" s="580" t="str">
        <f t="shared" ca="1" si="343"/>
        <v/>
      </c>
      <c r="FH89" s="606" t="str">
        <f t="shared" ca="1" si="344"/>
        <v/>
      </c>
      <c r="FI89" s="250"/>
      <c r="FJ89" s="673">
        <v>70</v>
      </c>
      <c r="FK89" s="460">
        <f t="shared" ca="1" si="345"/>
        <v>0</v>
      </c>
      <c r="FL89" s="460">
        <f t="shared" ca="1" si="346"/>
        <v>2.1912424130307653E-3</v>
      </c>
      <c r="FM89" s="460">
        <f t="shared" ca="1" si="347"/>
        <v>2.5468720335747011E-3</v>
      </c>
      <c r="FN89" s="460">
        <f t="shared" ca="1" si="348"/>
        <v>2.1436407191849295E-3</v>
      </c>
      <c r="FO89" s="460">
        <f t="shared" ca="1" si="349"/>
        <v>2.2297218618670127E-3</v>
      </c>
      <c r="FP89" s="460">
        <f t="shared" ca="1" si="350"/>
        <v>2.4707842865602193E-3</v>
      </c>
      <c r="FQ89" s="460">
        <f t="shared" ca="1" si="351"/>
        <v>2.0003808812450357E-3</v>
      </c>
      <c r="FR89" s="460">
        <f t="shared" ca="1" si="352"/>
        <v>2.0453239426613413E-3</v>
      </c>
      <c r="FS89" s="460">
        <f t="shared" ca="1" si="353"/>
        <v>2.3049622169095583E-3</v>
      </c>
      <c r="FT89" s="460">
        <f t="shared" ca="1" si="354"/>
        <v>2.0801748027437475E-3</v>
      </c>
      <c r="FU89" s="460">
        <f t="shared" ca="1" si="355"/>
        <v>1.9998334696964722E-3</v>
      </c>
      <c r="FV89" s="460">
        <f t="shared" ca="1" si="356"/>
        <v>2.197649288982723E-3</v>
      </c>
      <c r="FW89" s="460">
        <f t="shared" ca="1" si="357"/>
        <v>2.0539566911250986E-3</v>
      </c>
      <c r="FX89" s="460">
        <f t="shared" ca="1" si="358"/>
        <v>2.1858495209874885E-3</v>
      </c>
      <c r="FY89" s="460">
        <f t="shared" ca="1" si="359"/>
        <v>2.0457251853116085E-3</v>
      </c>
      <c r="FZ89" s="460">
        <f t="shared" ca="1" si="360"/>
        <v>1.9069217111643037E-3</v>
      </c>
      <c r="GA89" s="460">
        <f t="shared" ca="1" si="361"/>
        <v>2.0412260945304431E-3</v>
      </c>
      <c r="GB89" s="460">
        <f t="shared" ca="1" si="362"/>
        <v>2.2438306365315935E-3</v>
      </c>
      <c r="GC89" s="460">
        <f t="shared" ca="1" si="363"/>
        <v>1.9709047166983195E-3</v>
      </c>
      <c r="GD89" s="460">
        <f t="shared" ca="1" si="364"/>
        <v>1.9702579513395974E-3</v>
      </c>
      <c r="GE89" s="460">
        <f t="shared" ca="1" si="365"/>
        <v>2.2415495132695452E-3</v>
      </c>
      <c r="GF89" s="460">
        <f t="shared" ca="1" si="366"/>
        <v>1.9696240951677705E-3</v>
      </c>
      <c r="GG89" s="460">
        <f t="shared" ca="1" si="367"/>
        <v>2.1733053355490984E-3</v>
      </c>
      <c r="GH89" s="460">
        <f t="shared" ca="1" si="368"/>
        <v>2.0375442894635886E-3</v>
      </c>
      <c r="GI89" s="460">
        <f t="shared" ca="1" si="369"/>
        <v>1.969815075947413E-3</v>
      </c>
      <c r="GJ89" s="460">
        <f t="shared" ca="1" si="370"/>
        <v>2.2418583852185071E-3</v>
      </c>
      <c r="GK89" s="460">
        <f t="shared" ca="1" si="371"/>
        <v>2.038483192595069E-3</v>
      </c>
      <c r="GL89" s="460">
        <f t="shared" ca="1" si="372"/>
        <v>1.9710662635813508E-3</v>
      </c>
      <c r="GM89" s="460">
        <f t="shared" ca="1" si="373"/>
        <v>2.1077048257568099E-3</v>
      </c>
      <c r="GN89" s="460">
        <f t="shared" ca="1" si="374"/>
        <v>2.108555063218517E-3</v>
      </c>
      <c r="GO89" s="460">
        <f t="shared" ca="1" si="375"/>
        <v>2.1095707811549908E-3</v>
      </c>
      <c r="GP89" s="460">
        <f t="shared" ca="1" si="376"/>
        <v>1.9065064955533942E-3</v>
      </c>
      <c r="GQ89" s="460">
        <f t="shared" ca="1" si="377"/>
        <v>2.1121962156085555E-3</v>
      </c>
      <c r="GR89" s="460">
        <f t="shared" ca="1" si="378"/>
        <v>2.0456792037818299E-3</v>
      </c>
      <c r="GS89" s="460">
        <f t="shared" ca="1" si="379"/>
        <v>2.1158328308101956E-3</v>
      </c>
      <c r="GT89" s="460">
        <f t="shared" ca="1" si="380"/>
        <v>2.0498107168068656E-3</v>
      </c>
      <c r="GU89" s="460">
        <f t="shared" ca="1" si="381"/>
        <v>2.1208407036283684E-3</v>
      </c>
      <c r="GV89" s="460">
        <f t="shared" ca="1" si="382"/>
        <v>2.1240095825001905E-3</v>
      </c>
      <c r="GW89" s="460">
        <f t="shared" ca="1" si="383"/>
        <v>2.0590881827936836E-3</v>
      </c>
      <c r="GX89" s="460">
        <f t="shared" ca="1" si="384"/>
        <v>2.1320798078108701E-3</v>
      </c>
      <c r="GY89" s="460">
        <f t="shared" ca="1" si="385"/>
        <v>2.0682456537105217E-3</v>
      </c>
      <c r="GZ89" s="460">
        <f t="shared" ca="1" si="386"/>
        <v>2.1431783422214299E-3</v>
      </c>
      <c r="HA89" s="460">
        <f t="shared" ca="1" si="387"/>
        <v>2.1502092132643738E-3</v>
      </c>
      <c r="HB89" s="460">
        <f t="shared" ca="1" si="388"/>
        <v>2.0192087544855068E-3</v>
      </c>
      <c r="HC89" s="460">
        <f t="shared" ca="1" si="389"/>
        <v>2.1681636393190507E-3</v>
      </c>
      <c r="HD89" s="460">
        <f t="shared" ca="1" si="390"/>
        <v>2.1092589472191886E-3</v>
      </c>
      <c r="HE89" s="460">
        <f t="shared" ca="1" si="391"/>
        <v>2.1929878616857154E-3</v>
      </c>
      <c r="HF89" s="460">
        <f t="shared" ca="1" si="392"/>
        <v>2.1375458888678684E-3</v>
      </c>
      <c r="HG89" s="460">
        <f t="shared" ca="1" si="393"/>
        <v>2.2274443523106089E-3</v>
      </c>
      <c r="HH89" s="460">
        <f t="shared" ca="1" si="394"/>
        <v>2.2494693756093193E-3</v>
      </c>
      <c r="HI89" s="460">
        <f t="shared" ca="1" si="395"/>
        <v>2.2021239915683299E-3</v>
      </c>
      <c r="HJ89" s="460">
        <f t="shared" ca="1" si="396"/>
        <v>2.3064200084134644E-3</v>
      </c>
      <c r="HK89" s="460">
        <f t="shared" ca="1" si="397"/>
        <v>2.2675412111015226E-3</v>
      </c>
      <c r="HL89" s="460">
        <f t="shared" ca="1" si="398"/>
        <v>2.3868581014626091E-3</v>
      </c>
      <c r="HM89" s="460">
        <f t="shared" ca="1" si="399"/>
        <v>2.4391269640522285E-3</v>
      </c>
      <c r="HN89" s="460">
        <f t="shared" ca="1" si="400"/>
        <v>2.2597190086199549E-3</v>
      </c>
      <c r="HO89" s="460">
        <f t="shared" ca="1" si="401"/>
        <v>2.5773855056823182E-3</v>
      </c>
      <c r="HP89" s="460">
        <f t="shared" ca="1" si="402"/>
        <v>2.5827965222912056E-3</v>
      </c>
      <c r="HQ89" s="460">
        <f t="shared" ca="1" si="403"/>
        <v>2.7803831297995405E-3</v>
      </c>
      <c r="HR89" s="460">
        <f t="shared" ca="1" si="404"/>
        <v>2.8230983531453671E-3</v>
      </c>
      <c r="HS89" s="460">
        <f t="shared" ca="1" si="405"/>
        <v>3.0865106373676467E-3</v>
      </c>
      <c r="HT89" s="460">
        <f t="shared" ca="1" si="406"/>
        <v>3.2981084154201654E-3</v>
      </c>
      <c r="HU89" s="460">
        <f t="shared" ca="1" si="407"/>
        <v>3.4506467458761494E-3</v>
      </c>
      <c r="HV89" s="460">
        <f t="shared" ca="1" si="408"/>
        <v>3.9087104276866406E-3</v>
      </c>
      <c r="HW89" s="460">
        <f t="shared" ca="1" si="409"/>
        <v>4.2153138953416524E-3</v>
      </c>
      <c r="HX89" s="460">
        <f t="shared" ca="1" si="410"/>
        <v>4.9501120859292555E-3</v>
      </c>
      <c r="HY89" s="460">
        <f t="shared" ca="1" si="411"/>
        <v>5.7587277768314273E-3</v>
      </c>
      <c r="HZ89" s="460">
        <f t="shared" ca="1" si="412"/>
        <v>6.2235118501739704E-3</v>
      </c>
      <c r="IA89" s="460">
        <f t="shared" ca="1" si="413"/>
        <v>8.5284698567877071E-3</v>
      </c>
      <c r="IB89" s="460">
        <f t="shared" ca="1" si="414"/>
        <v>1.0644763867922071E-2</v>
      </c>
      <c r="IC89" s="460" t="str">
        <f t="shared" si="415"/>
        <v/>
      </c>
      <c r="ID89" s="674" t="str">
        <f t="shared" si="416"/>
        <v/>
      </c>
      <c r="IE89" s="250"/>
    </row>
    <row r="90" spans="8:239">
      <c r="H90" s="51">
        <f t="shared" ca="1" si="315"/>
        <v>0</v>
      </c>
      <c r="I90" s="379">
        <f t="shared" si="316"/>
        <v>38899</v>
      </c>
      <c r="J90" s="377"/>
      <c r="K90" s="104" t="s">
        <v>269</v>
      </c>
      <c r="L90" s="392">
        <f t="shared" si="317"/>
        <v>0</v>
      </c>
      <c r="M90" s="171"/>
      <c r="N90" s="382">
        <v>0</v>
      </c>
      <c r="O90" s="171">
        <f t="shared" si="272"/>
        <v>0</v>
      </c>
      <c r="P90" s="377"/>
      <c r="Q90" s="104" t="s">
        <v>268</v>
      </c>
      <c r="R90" s="377">
        <f t="shared" ca="1" si="417"/>
        <v>-1.1363968606967645</v>
      </c>
      <c r="S90" s="832">
        <f t="shared" si="164"/>
        <v>0.3600000000957827</v>
      </c>
      <c r="T90" s="831">
        <f t="shared" si="418"/>
        <v>0.99999805858338342</v>
      </c>
      <c r="U90" s="545">
        <f t="shared" si="419"/>
        <v>0.9999999999730611</v>
      </c>
      <c r="V90" s="389">
        <v>0</v>
      </c>
      <c r="W90" s="434">
        <f t="shared" si="273"/>
        <v>0</v>
      </c>
      <c r="X90" s="415">
        <f t="shared" si="274"/>
        <v>0</v>
      </c>
      <c r="Y90" s="322">
        <f t="shared" si="275"/>
        <v>-1.2154</v>
      </c>
      <c r="Z90" s="322">
        <f t="shared" ca="1" si="276"/>
        <v>-1.2154</v>
      </c>
      <c r="AA90" s="429">
        <f t="shared" si="277"/>
        <v>1.2154</v>
      </c>
      <c r="AB90" s="433">
        <f t="shared" ca="1" si="278"/>
        <v>1.2154</v>
      </c>
      <c r="AC90" s="229">
        <v>38888</v>
      </c>
      <c r="AD90" s="229">
        <v>38884</v>
      </c>
      <c r="AE90" s="229">
        <v>38883</v>
      </c>
      <c r="AF90" s="229">
        <v>38879</v>
      </c>
      <c r="AG90" s="249" t="s">
        <v>90</v>
      </c>
      <c r="AH90" s="247" t="s">
        <v>499</v>
      </c>
      <c r="AI90" s="146">
        <v>20</v>
      </c>
      <c r="AJ90" s="41">
        <v>13</v>
      </c>
      <c r="AK90" s="41">
        <v>7</v>
      </c>
      <c r="AL90" s="293">
        <v>21</v>
      </c>
      <c r="AM90" s="41">
        <v>10</v>
      </c>
      <c r="AN90" s="147">
        <v>11</v>
      </c>
      <c r="AO90" s="374"/>
      <c r="AP90" s="153">
        <f t="shared" ca="1" si="318"/>
        <v>1</v>
      </c>
      <c r="AQ90" s="374"/>
      <c r="AR90" s="153">
        <f t="shared" ca="1" si="420"/>
        <v>1</v>
      </c>
      <c r="AS90" s="272">
        <f t="shared" si="279"/>
        <v>0</v>
      </c>
      <c r="AT90" s="157">
        <f t="shared" si="319"/>
        <v>0</v>
      </c>
      <c r="AU90" s="157">
        <f t="shared" si="280"/>
        <v>0</v>
      </c>
      <c r="AV90" s="271">
        <f t="shared" ca="1" si="430"/>
        <v>9.9999999999999995E-7</v>
      </c>
      <c r="AW90" s="158" t="str">
        <f t="shared" ca="1" si="281"/>
        <v/>
      </c>
      <c r="AX90" s="157">
        <f t="shared" ca="1" si="421"/>
        <v>2.4053321759682019E-3</v>
      </c>
      <c r="AY90" s="157">
        <f t="shared" ca="1" si="422"/>
        <v>1.1675908288138624E-3</v>
      </c>
      <c r="AZ90" s="157">
        <f t="shared" ca="1" si="423"/>
        <v>2.5633655081831849E-4</v>
      </c>
      <c r="BA90" s="157">
        <f t="shared" ca="1" si="424"/>
        <v>3.2042068852289812E-5</v>
      </c>
      <c r="BB90" s="157">
        <f t="shared" ca="1" si="425"/>
        <v>6.422651599583409E-6</v>
      </c>
      <c r="BC90" s="157">
        <f t="shared" ca="1" si="426"/>
        <v>2.0533883526697559E-6</v>
      </c>
      <c r="BD90" s="151">
        <f t="shared" ca="1" si="282"/>
        <v>0</v>
      </c>
      <c r="BE90" s="152">
        <f t="shared" ca="1" si="283"/>
        <v>0</v>
      </c>
      <c r="BF90" s="40">
        <f t="shared" si="284"/>
        <v>2006</v>
      </c>
      <c r="BG90" s="144">
        <f t="shared" si="285"/>
        <v>7</v>
      </c>
      <c r="BH90" s="145">
        <f t="shared" ca="1" si="286"/>
        <v>2139</v>
      </c>
      <c r="BI90" s="313">
        <f t="shared" ca="1" si="287"/>
        <v>5.8973305954825461</v>
      </c>
      <c r="BJ90" s="42">
        <f t="shared" ca="1" si="288"/>
        <v>5.9507186858316219</v>
      </c>
      <c r="BK90" s="42">
        <f t="shared" ca="1" si="289"/>
        <v>5.953456536618754</v>
      </c>
      <c r="BL90" s="42">
        <f t="shared" ca="1" si="290"/>
        <v>5.979466119096509</v>
      </c>
      <c r="BM90" s="150" t="e">
        <f t="shared" ca="1" si="291"/>
        <v>#DIV/0!</v>
      </c>
      <c r="BN90" s="42" t="e">
        <f t="shared" ca="1" si="292"/>
        <v>#DIV/0!</v>
      </c>
      <c r="BO90" s="293">
        <f t="shared" si="320"/>
        <v>20</v>
      </c>
      <c r="BP90" s="41">
        <f t="shared" si="293"/>
        <v>13</v>
      </c>
      <c r="BQ90" s="41">
        <f t="shared" si="294"/>
        <v>7</v>
      </c>
      <c r="BR90" s="305" t="str">
        <f t="shared" ca="1" si="295"/>
        <v/>
      </c>
      <c r="BS90" s="305" t="str">
        <f t="shared" ca="1" si="296"/>
        <v/>
      </c>
      <c r="BT90" s="307" t="str">
        <f t="shared" ca="1" si="297"/>
        <v/>
      </c>
      <c r="BU90" s="161" t="str">
        <f t="shared" ca="1" si="298"/>
        <v/>
      </c>
      <c r="BV90" s="161" t="str">
        <f t="shared" ca="1" si="299"/>
        <v/>
      </c>
      <c r="BW90" s="308" t="str">
        <f t="shared" ca="1" si="300"/>
        <v/>
      </c>
      <c r="BX90" s="309" t="str">
        <f t="shared" ca="1" si="301"/>
        <v/>
      </c>
      <c r="BY90" s="308" t="str">
        <f t="shared" ca="1" si="321"/>
        <v/>
      </c>
      <c r="BZ90" s="309" t="str">
        <f t="shared" ca="1" si="322"/>
        <v/>
      </c>
      <c r="CA90" s="154" t="str">
        <f t="shared" ca="1" si="302"/>
        <v/>
      </c>
      <c r="CB90" s="154" t="str">
        <f t="shared" ca="1" si="303"/>
        <v/>
      </c>
      <c r="CC90" s="154" t="str">
        <f t="shared" ca="1" si="304"/>
        <v/>
      </c>
      <c r="CD90" s="154" t="str">
        <f t="shared" ca="1" si="305"/>
        <v/>
      </c>
      <c r="CE90" s="310">
        <v>1</v>
      </c>
      <c r="CF90" s="162">
        <f ca="1">IF(BD90,_xll.xCrudeAPO(BU90,BV90,CA90,CB90,S91,S92,BI90,BL90,BP90,BQ90,0,Strike1,AO90,CE90,0,BL90,IF(OptControl=4,0,1),0,1),0)</f>
        <v>0</v>
      </c>
      <c r="CG90" s="163">
        <f ca="1">IF(BD90,_xll.xCrudeAPO(BU90,BV90,CA90,CB90,S91,S92,BI90,BL90,BP90,BQ90,0,Strike1,AO90,CE90,0,BL90,IF(OptControl=4,0,1),1,1)+_xll.xCrudeAPO(BU90,BV90,CA90,CB90,S91,S92,BI90,BL90,BP90,BQ90,0,Strike1,AO90,CE90,0,BL90,IF(OptControl=4,0,1),1,2)+IF(OR(VolSkewFlag=2,ABS(BS90)&lt;0.0001),0,IF(BS90&gt;0,-1,1)*CH90*Strike1/BR90^2*BY90/10%),0)</f>
        <v>0</v>
      </c>
      <c r="CH90" s="163">
        <f ca="1">IF(BD90,(_xll.xCrudeAPO(BU90,BV90,CA90,CB90,S91,S92,BI90,BL90,BP90,BQ90,0,Strike1,AO90,CE90,0,BL90,IF(OptControl=4,0,1),3,1)+_xll.xCrudeAPO(BU90,BV90,CA90,CB90,S91,S92,BI90,BL90,BP90,BQ90,0,Strike1,AO90,CE90,0,BL90,IF(OptControl=4,0,1),3,2))/100,0)</f>
        <v>0</v>
      </c>
      <c r="CI90" s="163">
        <f ca="1">IF(BD90,_xll.xCrudeAPO(BU90,BV90,CA90,CB90,S91,S92,BI90-DaysForThetaCalculation/365.25,BL90-DaysForThetaCalculation/365.25,BP90,BQ90,0,Strike1,AO90,CE90,0,BL90,IF(OptControl=4,0,1),0,1)-_xll.xCrudeAPO(BU90,BV90,CA90,CB90,S91,S92,BI90,BL90,BP90,BQ90,0,Strike1,AO90,CE90,0,BL90,IF(OptControl=4,0,1),0,1),0)</f>
        <v>0</v>
      </c>
      <c r="CJ90" s="311">
        <f ca="1">IF(BD90,_xll.xCrudeAPO(BU90,BV90,CC90,CD90,S91,S92,BI90,BL90,BP90,BQ90,0,Strike2,AO90,CE90,0,BL90,IF(OptControl=3,1,0),0,1),0)</f>
        <v>0</v>
      </c>
      <c r="CK90" s="163">
        <f ca="1">IF(BD90,_xll.xCrudeAPO(BU90,BV90,CC90,CD90,S91,S92,BI90,BL90,BP90,BQ90,0,Strike2,AO90,CE90,0,BL90,IF(OptControl=3,1,0),1,1)+_xll.xCrudeAPO(BU90,BV90,CC90,CD90,S91,S92,BI90,BL90,BP90,BQ90,0,Strike2,AO90,CE90,0,BL90,IF(OptControl=3,1,0),1,2)+IF(OR(VolSkewFlag=2,ABS(BT90)&lt;0.0001),0,IF(BT90&gt;0,-1,1)*CL90*Strike2/BR90^2*BZ90/10%),0)</f>
        <v>0</v>
      </c>
      <c r="CL90" s="163">
        <f ca="1">IF(BD90,(_xll.xCrudeAPO(BU90,BV90,CC90,CD90,S91,S92,BI90,BL90,BP90,BQ90,0,Strike2,AO90,CE90,0,BL90,IF(OptControl=3,1,0),3,1)+_xll.xCrudeAPO(BU90,BV90,CC90,CD90,S91,S92,BI90,BL90,BP90,BQ90,0,Strike2,AO90,CE90,0,BL90,IF(OptControl=3,1,0),3,2))/100,0)</f>
        <v>0</v>
      </c>
      <c r="CM90" s="164">
        <f ca="1">IF(BD90,_xll.xCrudeAPO(BU90,BV90,CC90,CD90,S91,S92,BI90-DaysForThetaCalculation/365.25,BL90-DaysForThetaCalculation/365.25,BP90,BQ90,0,Strike2,AO90,CE90,0,BL90,IF(OptControl=3,1,0),0,1)-_xll.xCrudeAPO(BU90,BV90,CC90,CD90,S91,S92,BI90,BL90,BP90,BQ90,0,Strike2,AO90,CE90,0,BL90,IF(OptControl=3,1,0),0,1),0)</f>
        <v>0</v>
      </c>
      <c r="CN90" s="53"/>
      <c r="CO90" s="796" t="str">
        <f t="shared" ca="1" si="323"/>
        <v/>
      </c>
      <c r="CP90" s="800" t="str">
        <f t="shared" ca="1" si="324"/>
        <v/>
      </c>
      <c r="CQ90" s="797" t="str">
        <f t="shared" ca="1" si="325"/>
        <v/>
      </c>
      <c r="CR90" s="797" t="str">
        <f t="shared" ca="1" si="326"/>
        <v/>
      </c>
      <c r="CS90" s="797" t="str">
        <f t="shared" ca="1" si="327"/>
        <v/>
      </c>
      <c r="CT90" s="797" t="str">
        <f t="shared" ca="1" si="328"/>
        <v/>
      </c>
      <c r="CU90" s="798" t="str">
        <f t="shared" ca="1" si="329"/>
        <v/>
      </c>
      <c r="CV90" s="799" t="str">
        <f t="shared" ca="1" si="330"/>
        <v/>
      </c>
      <c r="CW90" s="799" t="str">
        <f t="shared" ca="1" si="331"/>
        <v/>
      </c>
      <c r="CX90" s="163">
        <f ca="1">IF(BD90,_xll.EURO(CP90,Strike1,AO90,AO90,CV90,CO90,IF(OptControl=4,0,1),0),0)</f>
        <v>0</v>
      </c>
      <c r="CY90" s="163">
        <f ca="1">IF(BD90,_xll.EURO(CP90,Strike1,AO90,AO90,CV90,CO90,IF(OptControl=4,0,1),1)+IF(OR(VolSkewFlag=2,ABS(CQ90)&lt;0.0001),0,IF(CQ90&gt;0,-1,1)*CZ90*100*Strike1/CP90^2*CS90/10%),0)</f>
        <v>0</v>
      </c>
      <c r="CZ90" s="163">
        <f ca="1">IF(BD90,_xll.EURO(CP90,Strike1,AO90,AO90,CV90,CO90,IF(OptControl=4,0,1),3)/100,0)</f>
        <v>0</v>
      </c>
      <c r="DA90" s="163">
        <f ca="1">IF(BD90,_xll.EURO(CP90,Strike1,AO90,AO90,CV90,CO90,IF(OptControl=4,0,1),0)-_xll.EURO(CP90,Strike1,AO90,AO90,CV90,CO90-1,IF(OptControl=4,0,1),0),0)</f>
        <v>0</v>
      </c>
      <c r="DB90" s="163">
        <f ca="1">IF(BD90,_xll.EURO(CP90,Strike2,AO90,AO90,CW90,CO90,IF(OptControl=3,1,0),0),0)</f>
        <v>0</v>
      </c>
      <c r="DC90" s="163">
        <f ca="1">IF(BD90,_xll.EURO(CP90,Strike2,AO90,AO90,CW90,CO90,IF(OptControl=3,1,0),1)+IF(OR(VolSkewFlag=2,ABS(CR90)&lt;0.0001),0,IF(CR90&gt;0,-1,1)*DD90*100*Strike2/CP90^2*CT90/10%),0)</f>
        <v>0</v>
      </c>
      <c r="DD90" s="163">
        <f ca="1">IF(BD90,_xll.EURO(CP90,Strike2,AO90,AO90,CW90,CO90,IF(OptControl=3,1,0),3)/100,0)</f>
        <v>0</v>
      </c>
      <c r="DE90" s="164">
        <f ca="1">IF(BD90,_xll.EURO(CP90,Strike2,AO90,AO90,CW90,CO90,IF(OptControl=3,1,0),0)-_xll.EURO(CP90,Strike2,AO90,AO90,CW90,CO90-1,IF(OptControl=3,1,0),0),0)</f>
        <v>0</v>
      </c>
      <c r="DG90" s="667">
        <f t="shared" ca="1" si="332"/>
        <v>38687</v>
      </c>
      <c r="DH90" s="475">
        <v>18.32</v>
      </c>
      <c r="DI90" s="665">
        <v>18.318863636363634</v>
      </c>
      <c r="DJ90" s="666">
        <f t="shared" ca="1" si="306"/>
        <v>38687</v>
      </c>
      <c r="DK90" s="475">
        <v>17.171691991307593</v>
      </c>
      <c r="DL90" s="665">
        <v>17.154863636363633</v>
      </c>
      <c r="DM90" s="667">
        <f t="shared" ca="1" si="307"/>
        <v>38687</v>
      </c>
      <c r="DN90" s="668">
        <f t="shared" si="308"/>
        <v>17.221691991307594</v>
      </c>
      <c r="DO90" s="667">
        <f t="shared" ca="1" si="333"/>
        <v>38687</v>
      </c>
      <c r="DP90" s="579">
        <f t="shared" si="334"/>
        <v>17.154863636363633</v>
      </c>
      <c r="DQ90" s="821">
        <v>0</v>
      </c>
      <c r="DR90" s="666">
        <f t="shared" ca="1" si="309"/>
        <v>38687</v>
      </c>
      <c r="DS90" s="669">
        <v>0.19010000000000002</v>
      </c>
      <c r="DT90" s="606">
        <v>0.18496363636363639</v>
      </c>
      <c r="DU90" s="666">
        <f t="shared" ca="1" si="310"/>
        <v>38687</v>
      </c>
      <c r="DV90" s="669">
        <v>0.19010000000000002</v>
      </c>
      <c r="DW90" s="606">
        <v>0.18496363636363639</v>
      </c>
      <c r="DX90" s="667">
        <f t="shared" ca="1" si="311"/>
        <v>38687</v>
      </c>
      <c r="DY90" s="606">
        <v>0.35</v>
      </c>
      <c r="DZ90" s="667">
        <f t="shared" ca="1" si="335"/>
        <v>38687</v>
      </c>
      <c r="EA90" s="606">
        <f t="shared" si="336"/>
        <v>0.18496363636363639</v>
      </c>
      <c r="EB90" s="1"/>
      <c r="EC90" s="118" t="str">
        <f t="shared" ca="1" si="312"/>
        <v/>
      </c>
      <c r="ED90" s="119" t="str">
        <f t="shared" ca="1" si="313"/>
        <v/>
      </c>
      <c r="EE90" s="112" t="str">
        <f t="shared" ca="1" si="314"/>
        <v/>
      </c>
      <c r="EF90" s="120">
        <f ca="1">IF(BD90,_xll.xASN(BR90,Strike1,AO90,ED90,0,BO90,0,BI90,BL90,IF(OptControl=4,0,1),0),0)</f>
        <v>0</v>
      </c>
      <c r="EG90" s="111">
        <f ca="1">IF(BD90,_xll.xASN(BR90,Strike2,AO90,EE90,0,BO90,0,BI90,BL90,IF(OptControl=3,1,0),0),0)</f>
        <v>0</v>
      </c>
      <c r="EL90" s="55"/>
      <c r="EM90" s="1"/>
      <c r="EN90" s="697">
        <v>44197</v>
      </c>
      <c r="EO90" s="698">
        <v>49310</v>
      </c>
      <c r="EP90" s="1"/>
      <c r="EQ90" s="683" t="s">
        <v>303</v>
      </c>
      <c r="ES90" s="498">
        <v>71</v>
      </c>
      <c r="ET90" s="476">
        <f t="shared" ca="1" si="431"/>
        <v>5.8562628336755651</v>
      </c>
      <c r="EU90" s="842">
        <f t="shared" ca="1" si="337"/>
        <v>0</v>
      </c>
      <c r="EV90" s="815">
        <f t="shared" ca="1" si="427"/>
        <v>0.17761711888818016</v>
      </c>
      <c r="EW90" s="478" t="str">
        <f t="shared" ca="1" si="428"/>
        <v/>
      </c>
      <c r="EX90" s="477" t="str">
        <f t="shared" ca="1" si="429"/>
        <v/>
      </c>
      <c r="EY90" s="250">
        <v>0</v>
      </c>
      <c r="EZ90" s="605" t="str">
        <f ca="1">IF(OR(EW90="",EW91=""),"",SQRT(SUM(INDEX(FK90:ID90,SwaptionFirstMonthPosition+1):INDEX(FK90:ID90,FJ90))/SUM(INDEX($FK$15:$ID$15,SwaptionFirstMonthPosition+1):INDEX($FK$15:$ID$15,FJ90))))</f>
        <v/>
      </c>
      <c r="FA90" s="581" t="str">
        <f ca="1">IF(OR(EW90="",EW89=""),"",SQRT(SUM(INDEX(FK90:ID90,SwaptionFirstMonthPosition+1):INDEX(FK90:ID90,FJ90-1))/SUM(INDEX($FK$15:$ID$15,SwaptionFirstMonthPosition+1):INDEX($FK$15:$ID$15,FJ90-1))))</f>
        <v/>
      </c>
      <c r="FB90" s="578" t="str">
        <f t="shared" ca="1" si="338"/>
        <v/>
      </c>
      <c r="FC90" s="609" t="str">
        <f t="shared" ca="1" si="339"/>
        <v/>
      </c>
      <c r="FD90" s="579" t="str">
        <f t="shared" ca="1" si="340"/>
        <v/>
      </c>
      <c r="FE90" s="579" t="str">
        <f t="shared" ca="1" si="341"/>
        <v/>
      </c>
      <c r="FF90" s="579" t="str">
        <f t="shared" ca="1" si="342"/>
        <v/>
      </c>
      <c r="FG90" s="580" t="str">
        <f t="shared" ca="1" si="343"/>
        <v/>
      </c>
      <c r="FH90" s="606" t="str">
        <f t="shared" ca="1" si="344"/>
        <v/>
      </c>
      <c r="FI90" s="250"/>
      <c r="FJ90" s="673">
        <v>71</v>
      </c>
      <c r="FK90" s="460">
        <f t="shared" ca="1" si="345"/>
        <v>0</v>
      </c>
      <c r="FL90" s="460">
        <f t="shared" ca="1" si="346"/>
        <v>2.1912307743568839E-3</v>
      </c>
      <c r="FM90" s="460">
        <f t="shared" ca="1" si="347"/>
        <v>2.5468562118405175E-3</v>
      </c>
      <c r="FN90" s="460">
        <f t="shared" ca="1" si="348"/>
        <v>2.1436251440132476E-3</v>
      </c>
      <c r="FO90" s="460">
        <f t="shared" ca="1" si="349"/>
        <v>2.2297029137777597E-3</v>
      </c>
      <c r="FP90" s="460">
        <f t="shared" ca="1" si="350"/>
        <v>2.4707597291001981E-3</v>
      </c>
      <c r="FQ90" s="460">
        <f t="shared" ca="1" si="351"/>
        <v>2.0003576273774368E-3</v>
      </c>
      <c r="FR90" s="460">
        <f t="shared" ca="1" si="352"/>
        <v>2.0452961341021567E-3</v>
      </c>
      <c r="FS90" s="460">
        <f t="shared" ca="1" si="353"/>
        <v>2.3049255635251495E-3</v>
      </c>
      <c r="FT90" s="460">
        <f t="shared" ca="1" si="354"/>
        <v>2.0801361140570622E-3</v>
      </c>
      <c r="FU90" s="460">
        <f t="shared" ca="1" si="355"/>
        <v>1.9997899674310407E-3</v>
      </c>
      <c r="FV90" s="460">
        <f t="shared" ca="1" si="356"/>
        <v>2.1975933763021781E-3</v>
      </c>
      <c r="FW90" s="460">
        <f t="shared" ca="1" si="357"/>
        <v>2.0538955720049113E-3</v>
      </c>
      <c r="FX90" s="460">
        <f t="shared" ca="1" si="358"/>
        <v>2.1857734463383597E-3</v>
      </c>
      <c r="FY90" s="460">
        <f t="shared" ca="1" si="359"/>
        <v>2.0456419129513629E-3</v>
      </c>
      <c r="FZ90" s="460">
        <f t="shared" ca="1" si="360"/>
        <v>1.9068309248612976E-3</v>
      </c>
      <c r="GA90" s="460">
        <f t="shared" ca="1" si="361"/>
        <v>2.0411124332708418E-3</v>
      </c>
      <c r="GB90" s="460">
        <f t="shared" ca="1" si="362"/>
        <v>2.2436845045371383E-3</v>
      </c>
      <c r="GC90" s="460">
        <f t="shared" ca="1" si="363"/>
        <v>1.9707545910996158E-3</v>
      </c>
      <c r="GD90" s="460">
        <f t="shared" ca="1" si="364"/>
        <v>1.9700824234635738E-3</v>
      </c>
      <c r="GE90" s="460">
        <f t="shared" ca="1" si="365"/>
        <v>2.2413159496319514E-3</v>
      </c>
      <c r="GF90" s="460">
        <f t="shared" ca="1" si="366"/>
        <v>1.9693840604130754E-3</v>
      </c>
      <c r="GG90" s="460">
        <f t="shared" ca="1" si="367"/>
        <v>2.1729955612301397E-3</v>
      </c>
      <c r="GH90" s="460">
        <f t="shared" ca="1" si="368"/>
        <v>2.0372046128809655E-3</v>
      </c>
      <c r="GI90" s="460">
        <f t="shared" ca="1" si="369"/>
        <v>1.9694309993087281E-3</v>
      </c>
      <c r="GJ90" s="460">
        <f t="shared" ca="1" si="370"/>
        <v>2.2413471338354864E-3</v>
      </c>
      <c r="GK90" s="460">
        <f t="shared" ca="1" si="371"/>
        <v>2.0379394825699578E-3</v>
      </c>
      <c r="GL90" s="460">
        <f t="shared" ca="1" si="372"/>
        <v>1.9704513765750535E-3</v>
      </c>
      <c r="GM90" s="460">
        <f t="shared" ca="1" si="373"/>
        <v>2.1069358055240497E-3</v>
      </c>
      <c r="GN90" s="460">
        <f t="shared" ca="1" si="374"/>
        <v>2.1076552615207035E-3</v>
      </c>
      <c r="GO90" s="460">
        <f t="shared" ca="1" si="375"/>
        <v>2.1085178745540584E-3</v>
      </c>
      <c r="GP90" s="460">
        <f t="shared" ca="1" si="376"/>
        <v>1.9053935653688874E-3</v>
      </c>
      <c r="GQ90" s="460">
        <f t="shared" ca="1" si="377"/>
        <v>2.1107541076369539E-3</v>
      </c>
      <c r="GR90" s="460">
        <f t="shared" ca="1" si="378"/>
        <v>2.0440456443752155E-3</v>
      </c>
      <c r="GS90" s="460">
        <f t="shared" ca="1" si="379"/>
        <v>2.1138567138771639E-3</v>
      </c>
      <c r="GT90" s="460">
        <f t="shared" ca="1" si="380"/>
        <v>2.0475715887461983E-3</v>
      </c>
      <c r="GU90" s="460">
        <f t="shared" ca="1" si="381"/>
        <v>2.1181310916200779E-3</v>
      </c>
      <c r="GV90" s="460">
        <f t="shared" ca="1" si="382"/>
        <v>2.1208357104456014E-3</v>
      </c>
      <c r="GW90" s="460">
        <f t="shared" ca="1" si="383"/>
        <v>2.0554895148509954E-3</v>
      </c>
      <c r="GX90" s="460">
        <f t="shared" ca="1" si="384"/>
        <v>2.1277216377653552E-3</v>
      </c>
      <c r="GY90" s="460">
        <f t="shared" ca="1" si="385"/>
        <v>2.0633009904602907E-3</v>
      </c>
      <c r="GZ90" s="460">
        <f t="shared" ca="1" si="386"/>
        <v>2.1371855834439344E-3</v>
      </c>
      <c r="HA90" s="460">
        <f t="shared" ca="1" si="387"/>
        <v>2.1431771448309493E-3</v>
      </c>
      <c r="HB90" s="460">
        <f t="shared" ca="1" si="388"/>
        <v>2.0114851953541642E-3</v>
      </c>
      <c r="HC90" s="460">
        <f t="shared" ca="1" si="389"/>
        <v>2.1584638523204492E-3</v>
      </c>
      <c r="HD90" s="460">
        <f t="shared" ca="1" si="390"/>
        <v>2.0982223822069664E-3</v>
      </c>
      <c r="HE90" s="460">
        <f t="shared" ca="1" si="391"/>
        <v>2.1795671934982572E-3</v>
      </c>
      <c r="HF90" s="460">
        <f t="shared" ca="1" si="392"/>
        <v>2.1222460363889343E-3</v>
      </c>
      <c r="HG90" s="460">
        <f t="shared" ca="1" si="393"/>
        <v>2.2087971988618729E-3</v>
      </c>
      <c r="HH90" s="460">
        <f t="shared" ca="1" si="394"/>
        <v>2.227444186193792E-3</v>
      </c>
      <c r="HI90" s="460">
        <f t="shared" ca="1" si="395"/>
        <v>2.1769057256029677E-3</v>
      </c>
      <c r="HJ90" s="460">
        <f t="shared" ca="1" si="396"/>
        <v>2.2755280291627748E-3</v>
      </c>
      <c r="HK90" s="460">
        <f t="shared" ca="1" si="397"/>
        <v>2.2320192927562828E-3</v>
      </c>
      <c r="HL90" s="460">
        <f t="shared" ca="1" si="398"/>
        <v>2.3431258628481195E-3</v>
      </c>
      <c r="HM90" s="460">
        <f t="shared" ca="1" si="399"/>
        <v>2.3868580592210651E-3</v>
      </c>
      <c r="HN90" s="460">
        <f t="shared" ca="1" si="400"/>
        <v>2.2030823899020779E-3</v>
      </c>
      <c r="HO90" s="460">
        <f t="shared" ca="1" si="401"/>
        <v>2.501831734638102E-3</v>
      </c>
      <c r="HP90" s="460">
        <f t="shared" ca="1" si="402"/>
        <v>2.4942440191346982E-3</v>
      </c>
      <c r="HQ90" s="460">
        <f t="shared" ca="1" si="403"/>
        <v>2.6688897247561282E-3</v>
      </c>
      <c r="HR90" s="460">
        <f t="shared" ca="1" si="404"/>
        <v>2.6906933401187726E-3</v>
      </c>
      <c r="HS90" s="460">
        <f t="shared" ca="1" si="405"/>
        <v>2.9172016223949901E-3</v>
      </c>
      <c r="HT90" s="460">
        <f t="shared" ca="1" si="406"/>
        <v>3.0865106300762635E-3</v>
      </c>
      <c r="HU90" s="460">
        <f t="shared" ca="1" si="407"/>
        <v>3.1917178157194188E-3</v>
      </c>
      <c r="HV90" s="460">
        <f t="shared" ca="1" si="408"/>
        <v>3.5656682993339428E-3</v>
      </c>
      <c r="HW90" s="460">
        <f t="shared" ca="1" si="409"/>
        <v>3.7826229907656143E-3</v>
      </c>
      <c r="HX90" s="460">
        <f t="shared" ca="1" si="410"/>
        <v>4.3558243552639089E-3</v>
      </c>
      <c r="HY90" s="460">
        <f t="shared" ca="1" si="411"/>
        <v>4.9501120831542539E-3</v>
      </c>
      <c r="HZ90" s="460">
        <f t="shared" ca="1" si="412"/>
        <v>5.2014315381769555E-3</v>
      </c>
      <c r="IA90" s="460">
        <f t="shared" ca="1" si="413"/>
        <v>6.8903166890912811E-3</v>
      </c>
      <c r="IB90" s="460">
        <f t="shared" ca="1" si="414"/>
        <v>8.2533579239716676E-3</v>
      </c>
      <c r="IC90" s="460">
        <f t="shared" ca="1" si="415"/>
        <v>1.0999589328235195E-2</v>
      </c>
      <c r="ID90" s="674" t="str">
        <f t="shared" si="416"/>
        <v/>
      </c>
      <c r="IE90" s="250"/>
    </row>
    <row r="91" spans="8:239">
      <c r="H91" s="51">
        <f t="shared" ca="1" si="315"/>
        <v>0</v>
      </c>
      <c r="I91" s="379">
        <f t="shared" si="316"/>
        <v>38930</v>
      </c>
      <c r="J91" s="377"/>
      <c r="K91" s="104" t="s">
        <v>269</v>
      </c>
      <c r="L91" s="392">
        <f t="shared" si="317"/>
        <v>0</v>
      </c>
      <c r="M91" s="171"/>
      <c r="N91" s="382">
        <v>0</v>
      </c>
      <c r="O91" s="171">
        <f t="shared" si="272"/>
        <v>0</v>
      </c>
      <c r="P91" s="377"/>
      <c r="Q91" s="104" t="s">
        <v>268</v>
      </c>
      <c r="R91" s="377">
        <f t="shared" ca="1" si="417"/>
        <v>-1.3245026160860291</v>
      </c>
      <c r="S91" s="832">
        <f t="shared" si="164"/>
        <v>0.36000000007183702</v>
      </c>
      <c r="T91" s="831">
        <f t="shared" si="418"/>
        <v>0.99999834009044075</v>
      </c>
      <c r="U91" s="545">
        <f t="shared" si="419"/>
        <v>0.99999999997979583</v>
      </c>
      <c r="V91" s="389">
        <v>0</v>
      </c>
      <c r="W91" s="434">
        <f t="shared" si="273"/>
        <v>0</v>
      </c>
      <c r="X91" s="415">
        <f t="shared" si="274"/>
        <v>0</v>
      </c>
      <c r="Y91" s="322">
        <f t="shared" si="275"/>
        <v>-1.2154</v>
      </c>
      <c r="Z91" s="322">
        <f t="shared" ca="1" si="276"/>
        <v>-1.2154</v>
      </c>
      <c r="AA91" s="429">
        <f t="shared" si="277"/>
        <v>1.2154</v>
      </c>
      <c r="AB91" s="433">
        <f t="shared" ca="1" si="278"/>
        <v>1.2154</v>
      </c>
      <c r="AC91" s="229">
        <v>38918</v>
      </c>
      <c r="AD91" s="229">
        <v>38914</v>
      </c>
      <c r="AE91" s="229">
        <v>38913</v>
      </c>
      <c r="AF91" s="229">
        <v>38909</v>
      </c>
      <c r="AG91" s="249" t="s">
        <v>90</v>
      </c>
      <c r="AH91" s="247" t="s">
        <v>499</v>
      </c>
      <c r="AI91" s="146">
        <v>23</v>
      </c>
      <c r="AJ91" s="41">
        <v>14</v>
      </c>
      <c r="AK91" s="41">
        <v>9</v>
      </c>
      <c r="AL91" s="293">
        <v>23</v>
      </c>
      <c r="AM91" s="41">
        <v>10</v>
      </c>
      <c r="AN91" s="147">
        <v>13</v>
      </c>
      <c r="AO91" s="374"/>
      <c r="AP91" s="153">
        <f t="shared" ca="1" si="318"/>
        <v>1</v>
      </c>
      <c r="AQ91" s="374"/>
      <c r="AR91" s="153">
        <f t="shared" ca="1" si="420"/>
        <v>1</v>
      </c>
      <c r="AS91" s="272">
        <f t="shared" si="279"/>
        <v>0</v>
      </c>
      <c r="AT91" s="157">
        <f t="shared" si="319"/>
        <v>0</v>
      </c>
      <c r="AU91" s="157">
        <f t="shared" si="280"/>
        <v>0</v>
      </c>
      <c r="AV91" s="271">
        <f t="shared" ca="1" si="430"/>
        <v>9.9999999999999995E-7</v>
      </c>
      <c r="AW91" s="158" t="str">
        <f t="shared" ca="1" si="281"/>
        <v/>
      </c>
      <c r="AX91" s="157">
        <f t="shared" ca="1" si="421"/>
        <v>2.3254167119296774E-3</v>
      </c>
      <c r="AY91" s="157">
        <f t="shared" ca="1" si="422"/>
        <v>1.121294162640532E-3</v>
      </c>
      <c r="AZ91" s="157">
        <f t="shared" ca="1" si="423"/>
        <v>2.4194948571883636E-4</v>
      </c>
      <c r="BA91" s="157">
        <f t="shared" ca="1" si="424"/>
        <v>3.0243685714854546E-5</v>
      </c>
      <c r="BB91" s="157">
        <f t="shared" ca="1" si="425"/>
        <v>5.8607643493059399E-6</v>
      </c>
      <c r="BC91" s="157">
        <f t="shared" ca="1" si="426"/>
        <v>1.8293610512377874E-6</v>
      </c>
      <c r="BD91" s="151">
        <f t="shared" ca="1" si="282"/>
        <v>0</v>
      </c>
      <c r="BE91" s="152">
        <f t="shared" ca="1" si="283"/>
        <v>0</v>
      </c>
      <c r="BF91" s="40">
        <f t="shared" si="284"/>
        <v>2006</v>
      </c>
      <c r="BG91" s="144">
        <f t="shared" si="285"/>
        <v>8</v>
      </c>
      <c r="BH91" s="145">
        <f t="shared" ca="1" si="286"/>
        <v>2169</v>
      </c>
      <c r="BI91" s="313">
        <f t="shared" ca="1" si="287"/>
        <v>5.9822039698836411</v>
      </c>
      <c r="BJ91" s="42">
        <f t="shared" ca="1" si="288"/>
        <v>6.0321995059964877</v>
      </c>
      <c r="BK91" s="42">
        <f t="shared" ca="1" si="289"/>
        <v>6.0349373567836198</v>
      </c>
      <c r="BL91" s="42">
        <f t="shared" ca="1" si="290"/>
        <v>6.064339493497604</v>
      </c>
      <c r="BM91" s="150" t="e">
        <f t="shared" ca="1" si="291"/>
        <v>#DIV/0!</v>
      </c>
      <c r="BN91" s="42" t="e">
        <f t="shared" ca="1" si="292"/>
        <v>#DIV/0!</v>
      </c>
      <c r="BO91" s="293">
        <f t="shared" si="320"/>
        <v>23</v>
      </c>
      <c r="BP91" s="41">
        <f t="shared" si="293"/>
        <v>14</v>
      </c>
      <c r="BQ91" s="41">
        <f t="shared" si="294"/>
        <v>9</v>
      </c>
      <c r="BR91" s="305" t="str">
        <f t="shared" ca="1" si="295"/>
        <v/>
      </c>
      <c r="BS91" s="305" t="str">
        <f t="shared" ca="1" si="296"/>
        <v/>
      </c>
      <c r="BT91" s="307" t="str">
        <f t="shared" ca="1" si="297"/>
        <v/>
      </c>
      <c r="BU91" s="161" t="str">
        <f t="shared" ca="1" si="298"/>
        <v/>
      </c>
      <c r="BV91" s="161" t="str">
        <f t="shared" ca="1" si="299"/>
        <v/>
      </c>
      <c r="BW91" s="308" t="str">
        <f t="shared" ca="1" si="300"/>
        <v/>
      </c>
      <c r="BX91" s="309" t="str">
        <f t="shared" ca="1" si="301"/>
        <v/>
      </c>
      <c r="BY91" s="308" t="str">
        <f t="shared" ca="1" si="321"/>
        <v/>
      </c>
      <c r="BZ91" s="309" t="str">
        <f t="shared" ca="1" si="322"/>
        <v/>
      </c>
      <c r="CA91" s="154" t="str">
        <f t="shared" ca="1" si="302"/>
        <v/>
      </c>
      <c r="CB91" s="154" t="str">
        <f t="shared" ca="1" si="303"/>
        <v/>
      </c>
      <c r="CC91" s="154" t="str">
        <f t="shared" ca="1" si="304"/>
        <v/>
      </c>
      <c r="CD91" s="154" t="str">
        <f t="shared" ca="1" si="305"/>
        <v/>
      </c>
      <c r="CE91" s="310">
        <v>1</v>
      </c>
      <c r="CF91" s="162">
        <f ca="1">IF(BD91,_xll.xCrudeAPO(BU91,BV91,CA91,CB91,S92,S93,BI91,BL91,BP91,BQ91,0,Strike1,AO91,CE91,0,BL91,IF(OptControl=4,0,1),0,1),0)</f>
        <v>0</v>
      </c>
      <c r="CG91" s="163">
        <f ca="1">IF(BD91,_xll.xCrudeAPO(BU91,BV91,CA91,CB91,S92,S93,BI91,BL91,BP91,BQ91,0,Strike1,AO91,CE91,0,BL91,IF(OptControl=4,0,1),1,1)+_xll.xCrudeAPO(BU91,BV91,CA91,CB91,S92,S93,BI91,BL91,BP91,BQ91,0,Strike1,AO91,CE91,0,BL91,IF(OptControl=4,0,1),1,2)+IF(OR(VolSkewFlag=2,ABS(BS91)&lt;0.0001),0,IF(BS91&gt;0,-1,1)*CH91*Strike1/BR91^2*BY91/10%),0)</f>
        <v>0</v>
      </c>
      <c r="CH91" s="163">
        <f ca="1">IF(BD91,(_xll.xCrudeAPO(BU91,BV91,CA91,CB91,S92,S93,BI91,BL91,BP91,BQ91,0,Strike1,AO91,CE91,0,BL91,IF(OptControl=4,0,1),3,1)+_xll.xCrudeAPO(BU91,BV91,CA91,CB91,S92,S93,BI91,BL91,BP91,BQ91,0,Strike1,AO91,CE91,0,BL91,IF(OptControl=4,0,1),3,2))/100,0)</f>
        <v>0</v>
      </c>
      <c r="CI91" s="163">
        <f ca="1">IF(BD91,_xll.xCrudeAPO(BU91,BV91,CA91,CB91,S92,S93,BI91-DaysForThetaCalculation/365.25,BL91-DaysForThetaCalculation/365.25,BP91,BQ91,0,Strike1,AO91,CE91,0,BL91,IF(OptControl=4,0,1),0,1)-_xll.xCrudeAPO(BU91,BV91,CA91,CB91,S92,S93,BI91,BL91,BP91,BQ91,0,Strike1,AO91,CE91,0,BL91,IF(OptControl=4,0,1),0,1),0)</f>
        <v>0</v>
      </c>
      <c r="CJ91" s="311">
        <f ca="1">IF(BD91,_xll.xCrudeAPO(BU91,BV91,CC91,CD91,S92,S93,BI91,BL91,BP91,BQ91,0,Strike2,AO91,CE91,0,BL91,IF(OptControl=3,1,0),0,1),0)</f>
        <v>0</v>
      </c>
      <c r="CK91" s="163">
        <f ca="1">IF(BD91,_xll.xCrudeAPO(BU91,BV91,CC91,CD91,S92,S93,BI91,BL91,BP91,BQ91,0,Strike2,AO91,CE91,0,BL91,IF(OptControl=3,1,0),1,1)+_xll.xCrudeAPO(BU91,BV91,CC91,CD91,S92,S93,BI91,BL91,BP91,BQ91,0,Strike2,AO91,CE91,0,BL91,IF(OptControl=3,1,0),1,2)+IF(OR(VolSkewFlag=2,ABS(BT91)&lt;0.0001),0,IF(BT91&gt;0,-1,1)*CL91*Strike2/BR91^2*BZ91/10%),0)</f>
        <v>0</v>
      </c>
      <c r="CL91" s="163">
        <f ca="1">IF(BD91,(_xll.xCrudeAPO(BU91,BV91,CC91,CD91,S92,S93,BI91,BL91,BP91,BQ91,0,Strike2,AO91,CE91,0,BL91,IF(OptControl=3,1,0),3,1)+_xll.xCrudeAPO(BU91,BV91,CC91,CD91,S92,S93,BI91,BL91,BP91,BQ91,0,Strike2,AO91,CE91,0,BL91,IF(OptControl=3,1,0),3,2))/100,0)</f>
        <v>0</v>
      </c>
      <c r="CM91" s="164">
        <f ca="1">IF(BD91,_xll.xCrudeAPO(BU91,BV91,CC91,CD91,S92,S93,BI91-DaysForThetaCalculation/365.25,BL91-DaysForThetaCalculation/365.25,BP91,BQ91,0,Strike2,AO91,CE91,0,BL91,IF(OptControl=3,1,0),0,1)-_xll.xCrudeAPO(BU91,BV91,CC91,CD91,S92,S93,BI91,BL91,BP91,BQ91,0,Strike2,AO91,CE91,0,BL91,IF(OptControl=3,1,0),0,1),0)</f>
        <v>0</v>
      </c>
      <c r="CN91" s="53"/>
      <c r="CO91" s="796" t="str">
        <f t="shared" ca="1" si="323"/>
        <v/>
      </c>
      <c r="CP91" s="800" t="str">
        <f t="shared" ca="1" si="324"/>
        <v/>
      </c>
      <c r="CQ91" s="797" t="str">
        <f t="shared" ca="1" si="325"/>
        <v/>
      </c>
      <c r="CR91" s="797" t="str">
        <f t="shared" ca="1" si="326"/>
        <v/>
      </c>
      <c r="CS91" s="797" t="str">
        <f t="shared" ca="1" si="327"/>
        <v/>
      </c>
      <c r="CT91" s="797" t="str">
        <f t="shared" ca="1" si="328"/>
        <v/>
      </c>
      <c r="CU91" s="798" t="str">
        <f t="shared" ca="1" si="329"/>
        <v/>
      </c>
      <c r="CV91" s="799" t="str">
        <f t="shared" ca="1" si="330"/>
        <v/>
      </c>
      <c r="CW91" s="799" t="str">
        <f t="shared" ca="1" si="331"/>
        <v/>
      </c>
      <c r="CX91" s="163">
        <f ca="1">IF(BD91,_xll.EURO(CP91,Strike1,AO91,AO91,CV91,CO91,IF(OptControl=4,0,1),0),0)</f>
        <v>0</v>
      </c>
      <c r="CY91" s="163">
        <f ca="1">IF(BD91,_xll.EURO(CP91,Strike1,AO91,AO91,CV91,CO91,IF(OptControl=4,0,1),1)+IF(OR(VolSkewFlag=2,ABS(CQ91)&lt;0.0001),0,IF(CQ91&gt;0,-1,1)*CZ91*100*Strike1/CP91^2*CS91/10%),0)</f>
        <v>0</v>
      </c>
      <c r="CZ91" s="163">
        <f ca="1">IF(BD91,_xll.EURO(CP91,Strike1,AO91,AO91,CV91,CO91,IF(OptControl=4,0,1),3)/100,0)</f>
        <v>0</v>
      </c>
      <c r="DA91" s="163">
        <f ca="1">IF(BD91,_xll.EURO(CP91,Strike1,AO91,AO91,CV91,CO91,IF(OptControl=4,0,1),0)-_xll.EURO(CP91,Strike1,AO91,AO91,CV91,CO91-1,IF(OptControl=4,0,1),0),0)</f>
        <v>0</v>
      </c>
      <c r="DB91" s="163">
        <f ca="1">IF(BD91,_xll.EURO(CP91,Strike2,AO91,AO91,CW91,CO91,IF(OptControl=3,1,0),0),0)</f>
        <v>0</v>
      </c>
      <c r="DC91" s="163">
        <f ca="1">IF(BD91,_xll.EURO(CP91,Strike2,AO91,AO91,CW91,CO91,IF(OptControl=3,1,0),1)+IF(OR(VolSkewFlag=2,ABS(CR91)&lt;0.0001),0,IF(CR91&gt;0,-1,1)*DD91*100*Strike2/CP91^2*CT91/10%),0)</f>
        <v>0</v>
      </c>
      <c r="DD91" s="163">
        <f ca="1">IF(BD91,_xll.EURO(CP91,Strike2,AO91,AO91,CW91,CO91,IF(OptControl=3,1,0),3)/100,0)</f>
        <v>0</v>
      </c>
      <c r="DE91" s="164">
        <f ca="1">IF(BD91,_xll.EURO(CP91,Strike2,AO91,AO91,CW91,CO91,IF(OptControl=3,1,0),0)-_xll.EURO(CP91,Strike2,AO91,AO91,CW91,CO91-1,IF(OptControl=3,1,0),0),0)</f>
        <v>0</v>
      </c>
      <c r="DG91" s="667">
        <f t="shared" ca="1" si="332"/>
        <v>38718</v>
      </c>
      <c r="DH91" s="475">
        <v>18.319166666666668</v>
      </c>
      <c r="DI91" s="665">
        <v>18.31806818181818</v>
      </c>
      <c r="DJ91" s="666">
        <f t="shared" ca="1" si="306"/>
        <v>38718</v>
      </c>
      <c r="DK91" s="475">
        <v>17.142367785021445</v>
      </c>
      <c r="DL91" s="665">
        <v>17.159068181818181</v>
      </c>
      <c r="DM91" s="667">
        <f t="shared" ca="1" si="307"/>
        <v>38718</v>
      </c>
      <c r="DN91" s="668">
        <f t="shared" si="308"/>
        <v>17.192367785021446</v>
      </c>
      <c r="DO91" s="667">
        <f t="shared" ca="1" si="333"/>
        <v>38718</v>
      </c>
      <c r="DP91" s="579">
        <f t="shared" si="334"/>
        <v>17.159068181818181</v>
      </c>
      <c r="DQ91" s="821">
        <v>0</v>
      </c>
      <c r="DR91" s="666">
        <f t="shared" ca="1" si="309"/>
        <v>38718</v>
      </c>
      <c r="DS91" s="669">
        <v>0.187</v>
      </c>
      <c r="DT91" s="606">
        <v>0.1812090909090909</v>
      </c>
      <c r="DU91" s="666">
        <f t="shared" ca="1" si="310"/>
        <v>38718</v>
      </c>
      <c r="DV91" s="669">
        <v>0.187</v>
      </c>
      <c r="DW91" s="606">
        <v>0.1812090909090909</v>
      </c>
      <c r="DX91" s="667">
        <f t="shared" ca="1" si="311"/>
        <v>38718</v>
      </c>
      <c r="DY91" s="606">
        <v>0.35</v>
      </c>
      <c r="DZ91" s="667">
        <f t="shared" ca="1" si="335"/>
        <v>38718</v>
      </c>
      <c r="EA91" s="606">
        <f t="shared" si="336"/>
        <v>0.1812090909090909</v>
      </c>
      <c r="EB91" s="1"/>
      <c r="EC91" s="118" t="str">
        <f t="shared" ca="1" si="312"/>
        <v/>
      </c>
      <c r="ED91" s="119" t="str">
        <f t="shared" ca="1" si="313"/>
        <v/>
      </c>
      <c r="EE91" s="112" t="str">
        <f t="shared" ca="1" si="314"/>
        <v/>
      </c>
      <c r="EF91" s="120">
        <f ca="1">IF(BD91,_xll.xASN(BR91,Strike1,AO91,ED91,0,BO91,0,BI91,BL91,IF(OptControl=4,0,1),0),0)</f>
        <v>0</v>
      </c>
      <c r="EG91" s="111">
        <f ca="1">IF(BD91,_xll.xASN(BR91,Strike2,AO91,EE91,0,BO91,0,BI91,BL91,IF(OptControl=3,1,0),0),0)</f>
        <v>0</v>
      </c>
      <c r="EL91" s="55"/>
      <c r="EM91" s="1"/>
      <c r="EN91" s="697">
        <v>44381</v>
      </c>
      <c r="EO91" s="698">
        <v>49668</v>
      </c>
      <c r="EP91" s="1"/>
      <c r="EQ91" s="683" t="s">
        <v>304</v>
      </c>
      <c r="ES91" s="498">
        <v>72</v>
      </c>
      <c r="ET91" s="476">
        <f t="shared" ca="1" si="431"/>
        <v>5.938398357289528</v>
      </c>
      <c r="EU91" s="842">
        <f t="shared" ca="1" si="337"/>
        <v>0</v>
      </c>
      <c r="EV91" s="815">
        <f t="shared" ca="1" si="427"/>
        <v>0.17729435865083487</v>
      </c>
      <c r="EW91" s="478" t="str">
        <f t="shared" ca="1" si="428"/>
        <v/>
      </c>
      <c r="EX91" s="477" t="str">
        <f t="shared" ca="1" si="429"/>
        <v/>
      </c>
      <c r="EY91" s="250">
        <v>0</v>
      </c>
      <c r="EZ91" s="605" t="str">
        <f ca="1">IF(OR(EW91="",EW92=""),"",SQRT(SUM(INDEX(FK91:ID91,SwaptionFirstMonthPosition+1):INDEX(FK91:ID91,FJ91))/SUM(INDEX($FK$15:$ID$15,SwaptionFirstMonthPosition+1):INDEX($FK$15:$ID$15,FJ91))))</f>
        <v/>
      </c>
      <c r="FA91" s="581" t="str">
        <f ca="1">IF(OR(EW91="",EW90=""),"",SQRT(SUM(INDEX(FK91:ID91,SwaptionFirstMonthPosition+1):INDEX(FK91:ID91,FJ91-1))/SUM(INDEX($FK$15:$ID$15,SwaptionFirstMonthPosition+1):INDEX($FK$15:$ID$15,FJ91-1))))</f>
        <v/>
      </c>
      <c r="FB91" s="578" t="str">
        <f t="shared" ca="1" si="338"/>
        <v/>
      </c>
      <c r="FC91" s="609" t="str">
        <f t="shared" ca="1" si="339"/>
        <v/>
      </c>
      <c r="FD91" s="579" t="str">
        <f t="shared" ca="1" si="340"/>
        <v/>
      </c>
      <c r="FE91" s="579" t="str">
        <f t="shared" ca="1" si="341"/>
        <v/>
      </c>
      <c r="FF91" s="579" t="str">
        <f t="shared" ca="1" si="342"/>
        <v/>
      </c>
      <c r="FG91" s="580" t="str">
        <f t="shared" ca="1" si="343"/>
        <v/>
      </c>
      <c r="FH91" s="606" t="str">
        <f t="shared" ca="1" si="344"/>
        <v/>
      </c>
      <c r="FI91" s="250"/>
      <c r="FJ91" s="675">
        <v>72</v>
      </c>
      <c r="FK91" s="676">
        <f t="shared" ca="1" si="345"/>
        <v>0</v>
      </c>
      <c r="FL91" s="676">
        <f t="shared" ca="1" si="346"/>
        <v>2.1912208233435693E-3</v>
      </c>
      <c r="FM91" s="676">
        <f t="shared" ca="1" si="347"/>
        <v>2.5468426843418272E-3</v>
      </c>
      <c r="FN91" s="676">
        <f t="shared" ca="1" si="348"/>
        <v>2.1436118273382163E-3</v>
      </c>
      <c r="FO91" s="676">
        <f t="shared" ca="1" si="349"/>
        <v>2.2296867132991205E-3</v>
      </c>
      <c r="FP91" s="676">
        <f t="shared" ca="1" si="350"/>
        <v>2.4707387326805687E-3</v>
      </c>
      <c r="FQ91" s="676">
        <f t="shared" ca="1" si="351"/>
        <v>2.0003377455517627E-3</v>
      </c>
      <c r="FR91" s="676">
        <f t="shared" ca="1" si="352"/>
        <v>2.0452723581073206E-3</v>
      </c>
      <c r="FS91" s="676">
        <f t="shared" ca="1" si="353"/>
        <v>2.3048942253798255E-3</v>
      </c>
      <c r="FT91" s="676">
        <f t="shared" ca="1" si="354"/>
        <v>2.0801030358451717E-3</v>
      </c>
      <c r="FU91" s="676">
        <f t="shared" ca="1" si="355"/>
        <v>1.9997527738031856E-3</v>
      </c>
      <c r="FV91" s="676">
        <f t="shared" ca="1" si="356"/>
        <v>2.1975455721765774E-3</v>
      </c>
      <c r="FW91" s="676">
        <f t="shared" ca="1" si="357"/>
        <v>2.0538433167121466E-3</v>
      </c>
      <c r="FX91" s="676">
        <f t="shared" ca="1" si="358"/>
        <v>2.1857084047770914E-3</v>
      </c>
      <c r="FY91" s="676">
        <f t="shared" ca="1" si="359"/>
        <v>2.0455707179815007E-3</v>
      </c>
      <c r="FZ91" s="676">
        <f t="shared" ca="1" si="360"/>
        <v>1.9067533062677336E-3</v>
      </c>
      <c r="GA91" s="676">
        <f t="shared" ca="1" si="361"/>
        <v>2.0410152583051617E-3</v>
      </c>
      <c r="GB91" s="676">
        <f t="shared" ca="1" si="362"/>
        <v>2.243559569818923E-3</v>
      </c>
      <c r="GC91" s="676">
        <f t="shared" ca="1" si="363"/>
        <v>1.9706262434898226E-3</v>
      </c>
      <c r="GD91" s="676">
        <f t="shared" ca="1" si="364"/>
        <v>1.9699323604996911E-3</v>
      </c>
      <c r="GE91" s="676">
        <f t="shared" ca="1" si="365"/>
        <v>2.2411162735297085E-3</v>
      </c>
      <c r="GF91" s="676">
        <f t="shared" ca="1" si="366"/>
        <v>1.9691788557088092E-3</v>
      </c>
      <c r="GG91" s="676">
        <f t="shared" ca="1" si="367"/>
        <v>2.1727307419391021E-3</v>
      </c>
      <c r="GH91" s="676">
        <f t="shared" ca="1" si="368"/>
        <v>2.0369142378189745E-3</v>
      </c>
      <c r="GI91" s="676">
        <f t="shared" ca="1" si="369"/>
        <v>1.9691026778116119E-3</v>
      </c>
      <c r="GJ91" s="676">
        <f t="shared" ca="1" si="370"/>
        <v>2.2409101135873418E-3</v>
      </c>
      <c r="GK91" s="676">
        <f t="shared" ca="1" si="371"/>
        <v>2.0374747344904867E-3</v>
      </c>
      <c r="GL91" s="676">
        <f t="shared" ca="1" si="372"/>
        <v>1.9699258121890781E-3</v>
      </c>
      <c r="GM91" s="676">
        <f t="shared" ca="1" si="373"/>
        <v>2.1062785331259289E-3</v>
      </c>
      <c r="GN91" s="676">
        <f t="shared" ca="1" si="374"/>
        <v>2.1068862593720226E-3</v>
      </c>
      <c r="GO91" s="676">
        <f t="shared" ca="1" si="375"/>
        <v>2.1076180887260811E-3</v>
      </c>
      <c r="GP91" s="676">
        <f t="shared" ca="1" si="376"/>
        <v>1.9044425655350477E-3</v>
      </c>
      <c r="GQ91" s="676">
        <f t="shared" ca="1" si="377"/>
        <v>2.1095219471570711E-3</v>
      </c>
      <c r="GR91" s="676">
        <f t="shared" ca="1" si="378"/>
        <v>2.0426500663998891E-3</v>
      </c>
      <c r="GS91" s="676">
        <f t="shared" ca="1" si="379"/>
        <v>2.1121687119104791E-3</v>
      </c>
      <c r="GT91" s="676">
        <f t="shared" ca="1" si="380"/>
        <v>2.0456592255248722E-3</v>
      </c>
      <c r="GU91" s="676">
        <f t="shared" ca="1" si="381"/>
        <v>2.1158173332205673E-3</v>
      </c>
      <c r="GV91" s="676">
        <f t="shared" ca="1" si="382"/>
        <v>2.118126104816662E-3</v>
      </c>
      <c r="GW91" s="676">
        <f t="shared" ca="1" si="383"/>
        <v>2.0524180311894164E-3</v>
      </c>
      <c r="GX91" s="676">
        <f t="shared" ca="1" si="384"/>
        <v>2.1240030191492245E-3</v>
      </c>
      <c r="GY91" s="676">
        <f t="shared" ca="1" si="385"/>
        <v>2.0590834107343525E-3</v>
      </c>
      <c r="GZ91" s="676">
        <f t="shared" ca="1" si="386"/>
        <v>2.1320761018915764E-3</v>
      </c>
      <c r="HA91" s="676">
        <f t="shared" ca="1" si="387"/>
        <v>2.1371843894015985E-3</v>
      </c>
      <c r="HB91" s="676">
        <f t="shared" ca="1" si="388"/>
        <v>2.0049068115116559E-3</v>
      </c>
      <c r="HC91" s="676">
        <f t="shared" ca="1" si="389"/>
        <v>2.1502076365333346E-3</v>
      </c>
      <c r="HD91" s="676">
        <f t="shared" ca="1" si="390"/>
        <v>2.0888354937756591E-3</v>
      </c>
      <c r="HE91" s="676">
        <f t="shared" ca="1" si="391"/>
        <v>2.1681627450016593E-3</v>
      </c>
      <c r="HF91" s="676">
        <f t="shared" ca="1" si="392"/>
        <v>2.1092582947036561E-3</v>
      </c>
      <c r="HG91" s="676">
        <f t="shared" ca="1" si="393"/>
        <v>2.1929873528723823E-3</v>
      </c>
      <c r="HH91" s="676">
        <f t="shared" ca="1" si="394"/>
        <v>2.2087970341357105E-3</v>
      </c>
      <c r="HI91" s="676">
        <f t="shared" ca="1" si="395"/>
        <v>2.1555910273607813E-3</v>
      </c>
      <c r="HJ91" s="676">
        <f t="shared" ca="1" si="396"/>
        <v>2.2494691554250643E-3</v>
      </c>
      <c r="HK91" s="676">
        <f t="shared" ca="1" si="397"/>
        <v>2.2021238299058735E-3</v>
      </c>
      <c r="HL91" s="676">
        <f t="shared" ca="1" si="398"/>
        <v>2.306419881424179E-3</v>
      </c>
      <c r="HM91" s="676">
        <f t="shared" ca="1" si="399"/>
        <v>2.3431258213805289E-3</v>
      </c>
      <c r="HN91" s="676">
        <f t="shared" ca="1" si="400"/>
        <v>2.1558717668102422E-3</v>
      </c>
      <c r="HO91" s="676">
        <f t="shared" ca="1" si="401"/>
        <v>2.4391269073960999E-3</v>
      </c>
      <c r="HP91" s="676">
        <f t="shared" ca="1" si="402"/>
        <v>2.4211274670571624E-3</v>
      </c>
      <c r="HQ91" s="676">
        <f t="shared" ca="1" si="403"/>
        <v>2.5773854720067936E-3</v>
      </c>
      <c r="HR91" s="676">
        <f t="shared" ca="1" si="404"/>
        <v>2.5827964969815089E-3</v>
      </c>
      <c r="HS91" s="676">
        <f t="shared" ca="1" si="405"/>
        <v>2.7803831093651246E-3</v>
      </c>
      <c r="HT91" s="676">
        <f t="shared" ca="1" si="406"/>
        <v>2.9172016155035721E-3</v>
      </c>
      <c r="HU91" s="676">
        <f t="shared" ca="1" si="407"/>
        <v>2.9869457657494161E-3</v>
      </c>
      <c r="HV91" s="676">
        <f t="shared" ca="1" si="408"/>
        <v>3.2981084051941895E-3</v>
      </c>
      <c r="HW91" s="676">
        <f t="shared" ca="1" si="409"/>
        <v>3.4506467378519227E-3</v>
      </c>
      <c r="HX91" s="676">
        <f t="shared" ca="1" si="410"/>
        <v>3.9087104208695355E-3</v>
      </c>
      <c r="HY91" s="676">
        <f t="shared" ca="1" si="411"/>
        <v>4.355824352822061E-3</v>
      </c>
      <c r="HZ91" s="676">
        <f t="shared" ca="1" si="412"/>
        <v>4.4710689764530373E-3</v>
      </c>
      <c r="IA91" s="676">
        <f t="shared" ca="1" si="413"/>
        <v>5.7587277725942732E-3</v>
      </c>
      <c r="IB91" s="676">
        <f t="shared" ca="1" si="414"/>
        <v>6.6680484072210201E-3</v>
      </c>
      <c r="IC91" s="676">
        <f t="shared" ca="1" si="415"/>
        <v>8.5284698532580687E-3</v>
      </c>
      <c r="ID91" s="677">
        <f t="shared" ca="1" si="416"/>
        <v>1.0644763864617861E-2</v>
      </c>
      <c r="IE91" s="250"/>
    </row>
    <row r="92" spans="8:239">
      <c r="H92" s="51">
        <f t="shared" ca="1" si="315"/>
        <v>0</v>
      </c>
      <c r="I92" s="379">
        <f t="shared" si="316"/>
        <v>38961</v>
      </c>
      <c r="J92" s="377"/>
      <c r="K92" s="104" t="s">
        <v>269</v>
      </c>
      <c r="L92" s="392">
        <f t="shared" si="317"/>
        <v>0</v>
      </c>
      <c r="M92" s="171"/>
      <c r="N92" s="382">
        <v>0</v>
      </c>
      <c r="O92" s="171">
        <f t="shared" si="272"/>
        <v>0</v>
      </c>
      <c r="P92" s="377"/>
      <c r="Q92" s="104" t="s">
        <v>268</v>
      </c>
      <c r="R92" s="377">
        <f t="shared" ca="1" si="417"/>
        <v>-1.1162158035581555</v>
      </c>
      <c r="S92" s="832">
        <f t="shared" si="164"/>
        <v>0.36000000005387778</v>
      </c>
      <c r="T92" s="831">
        <f t="shared" si="418"/>
        <v>0.9999985807785583</v>
      </c>
      <c r="U92" s="545">
        <f t="shared" si="419"/>
        <v>0.9999999999848469</v>
      </c>
      <c r="V92" s="389">
        <v>0</v>
      </c>
      <c r="W92" s="434">
        <f t="shared" si="273"/>
        <v>0</v>
      </c>
      <c r="X92" s="415">
        <f t="shared" si="274"/>
        <v>0</v>
      </c>
      <c r="Y92" s="322">
        <f t="shared" si="275"/>
        <v>-1.2154</v>
      </c>
      <c r="Z92" s="322">
        <f t="shared" ca="1" si="276"/>
        <v>-1.2154</v>
      </c>
      <c r="AA92" s="429">
        <f t="shared" si="277"/>
        <v>1.2154</v>
      </c>
      <c r="AB92" s="433">
        <f t="shared" ca="1" si="278"/>
        <v>1.2154</v>
      </c>
      <c r="AC92" s="229">
        <v>38949</v>
      </c>
      <c r="AD92" s="229">
        <v>38945</v>
      </c>
      <c r="AE92" s="229">
        <v>38944</v>
      </c>
      <c r="AF92" s="229">
        <v>38940</v>
      </c>
      <c r="AG92" s="249" t="s">
        <v>90</v>
      </c>
      <c r="AH92" s="247" t="s">
        <v>499</v>
      </c>
      <c r="AI92" s="146">
        <v>21</v>
      </c>
      <c r="AJ92" s="41">
        <v>14</v>
      </c>
      <c r="AK92" s="41">
        <v>7</v>
      </c>
      <c r="AL92" s="293">
        <v>21</v>
      </c>
      <c r="AM92" s="41">
        <v>10</v>
      </c>
      <c r="AN92" s="147">
        <v>11</v>
      </c>
      <c r="AO92" s="374"/>
      <c r="AP92" s="153">
        <f t="shared" ca="1" si="318"/>
        <v>1</v>
      </c>
      <c r="AQ92" s="374"/>
      <c r="AR92" s="153">
        <f t="shared" ca="1" si="420"/>
        <v>1</v>
      </c>
      <c r="AS92" s="272">
        <f t="shared" si="279"/>
        <v>0</v>
      </c>
      <c r="AT92" s="157">
        <f t="shared" si="319"/>
        <v>0</v>
      </c>
      <c r="AU92" s="157">
        <f t="shared" si="280"/>
        <v>0</v>
      </c>
      <c r="AV92" s="271">
        <f t="shared" ca="1" si="430"/>
        <v>9.9999999999999995E-7</v>
      </c>
      <c r="AW92" s="158" t="str">
        <f t="shared" ca="1" si="281"/>
        <v/>
      </c>
      <c r="AX92" s="157">
        <f t="shared" ca="1" si="421"/>
        <v>2.2481563827853272E-3</v>
      </c>
      <c r="AY92" s="157">
        <f t="shared" ca="1" si="422"/>
        <v>1.0768332262844204E-3</v>
      </c>
      <c r="AZ92" s="157">
        <f t="shared" ca="1" si="423"/>
        <v>2.2836990453655589E-4</v>
      </c>
      <c r="BA92" s="157">
        <f t="shared" ca="1" si="424"/>
        <v>2.8546238067069487E-5</v>
      </c>
      <c r="BB92" s="157">
        <f t="shared" ca="1" si="425"/>
        <v>5.3480339429159475E-6</v>
      </c>
      <c r="BC92" s="157">
        <f t="shared" ca="1" si="426"/>
        <v>1.6297754155636074E-6</v>
      </c>
      <c r="BD92" s="151">
        <f t="shared" ca="1" si="282"/>
        <v>0</v>
      </c>
      <c r="BE92" s="152">
        <f t="shared" ca="1" si="283"/>
        <v>0</v>
      </c>
      <c r="BF92" s="40">
        <f t="shared" si="284"/>
        <v>2006</v>
      </c>
      <c r="BG92" s="144">
        <f t="shared" si="285"/>
        <v>9</v>
      </c>
      <c r="BH92" s="145">
        <f t="shared" ca="1" si="286"/>
        <v>2200</v>
      </c>
      <c r="BI92" s="313">
        <f t="shared" ca="1" si="287"/>
        <v>6.0670773442847361</v>
      </c>
      <c r="BJ92" s="42">
        <f t="shared" ca="1" si="288"/>
        <v>6.1200091261692906</v>
      </c>
      <c r="BK92" s="42">
        <f t="shared" ca="1" si="289"/>
        <v>6.1227469769564227</v>
      </c>
      <c r="BL92" s="42">
        <f t="shared" ca="1" si="290"/>
        <v>6.1464750171115679</v>
      </c>
      <c r="BM92" s="150" t="e">
        <f t="shared" ca="1" si="291"/>
        <v>#DIV/0!</v>
      </c>
      <c r="BN92" s="42" t="e">
        <f t="shared" ca="1" si="292"/>
        <v>#DIV/0!</v>
      </c>
      <c r="BO92" s="293">
        <f t="shared" si="320"/>
        <v>21</v>
      </c>
      <c r="BP92" s="41">
        <f t="shared" si="293"/>
        <v>14</v>
      </c>
      <c r="BQ92" s="41">
        <f t="shared" si="294"/>
        <v>7</v>
      </c>
      <c r="BR92" s="305" t="str">
        <f t="shared" ca="1" si="295"/>
        <v/>
      </c>
      <c r="BS92" s="305" t="str">
        <f t="shared" ca="1" si="296"/>
        <v/>
      </c>
      <c r="BT92" s="307" t="str">
        <f t="shared" ca="1" si="297"/>
        <v/>
      </c>
      <c r="BU92" s="161" t="str">
        <f t="shared" ca="1" si="298"/>
        <v/>
      </c>
      <c r="BV92" s="161" t="str">
        <f t="shared" ca="1" si="299"/>
        <v/>
      </c>
      <c r="BW92" s="308" t="str">
        <f t="shared" ca="1" si="300"/>
        <v/>
      </c>
      <c r="BX92" s="309" t="str">
        <f t="shared" ca="1" si="301"/>
        <v/>
      </c>
      <c r="BY92" s="308" t="str">
        <f t="shared" ca="1" si="321"/>
        <v/>
      </c>
      <c r="BZ92" s="309" t="str">
        <f t="shared" ca="1" si="322"/>
        <v/>
      </c>
      <c r="CA92" s="154" t="str">
        <f t="shared" ca="1" si="302"/>
        <v/>
      </c>
      <c r="CB92" s="154" t="str">
        <f t="shared" ca="1" si="303"/>
        <v/>
      </c>
      <c r="CC92" s="154" t="str">
        <f t="shared" ca="1" si="304"/>
        <v/>
      </c>
      <c r="CD92" s="154" t="str">
        <f t="shared" ca="1" si="305"/>
        <v/>
      </c>
      <c r="CE92" s="310">
        <v>1</v>
      </c>
      <c r="CF92" s="162">
        <f ca="1">IF(BD92,_xll.xCrudeAPO(BU92,BV92,CA92,CB92,S93,S94,BI92,BL92,BP92,BQ92,0,Strike1,AO92,CE92,0,BL92,IF(OptControl=4,0,1),0,1),0)</f>
        <v>0</v>
      </c>
      <c r="CG92" s="163">
        <f ca="1">IF(BD92,_xll.xCrudeAPO(BU92,BV92,CA92,CB92,S93,S94,BI92,BL92,BP92,BQ92,0,Strike1,AO92,CE92,0,BL92,IF(OptControl=4,0,1),1,1)+_xll.xCrudeAPO(BU92,BV92,CA92,CB92,S93,S94,BI92,BL92,BP92,BQ92,0,Strike1,AO92,CE92,0,BL92,IF(OptControl=4,0,1),1,2)+IF(OR(VolSkewFlag=2,ABS(BS92)&lt;0.0001),0,IF(BS92&gt;0,-1,1)*CH92*Strike1/BR92^2*BY92/10%),0)</f>
        <v>0</v>
      </c>
      <c r="CH92" s="163">
        <f ca="1">IF(BD92,(_xll.xCrudeAPO(BU92,BV92,CA92,CB92,S93,S94,BI92,BL92,BP92,BQ92,0,Strike1,AO92,CE92,0,BL92,IF(OptControl=4,0,1),3,1)+_xll.xCrudeAPO(BU92,BV92,CA92,CB92,S93,S94,BI92,BL92,BP92,BQ92,0,Strike1,AO92,CE92,0,BL92,IF(OptControl=4,0,1),3,2))/100,0)</f>
        <v>0</v>
      </c>
      <c r="CI92" s="163">
        <f ca="1">IF(BD92,_xll.xCrudeAPO(BU92,BV92,CA92,CB92,S93,S94,BI92-DaysForThetaCalculation/365.25,BL92-DaysForThetaCalculation/365.25,BP92,BQ92,0,Strike1,AO92,CE92,0,BL92,IF(OptControl=4,0,1),0,1)-_xll.xCrudeAPO(BU92,BV92,CA92,CB92,S93,S94,BI92,BL92,BP92,BQ92,0,Strike1,AO92,CE92,0,BL92,IF(OptControl=4,0,1),0,1),0)</f>
        <v>0</v>
      </c>
      <c r="CJ92" s="311">
        <f ca="1">IF(BD92,_xll.xCrudeAPO(BU92,BV92,CC92,CD92,S93,S94,BI92,BL92,BP92,BQ92,0,Strike2,AO92,CE92,0,BL92,IF(OptControl=3,1,0),0,1),0)</f>
        <v>0</v>
      </c>
      <c r="CK92" s="163">
        <f ca="1">IF(BD92,_xll.xCrudeAPO(BU92,BV92,CC92,CD92,S93,S94,BI92,BL92,BP92,BQ92,0,Strike2,AO92,CE92,0,BL92,IF(OptControl=3,1,0),1,1)+_xll.xCrudeAPO(BU92,BV92,CC92,CD92,S93,S94,BI92,BL92,BP92,BQ92,0,Strike2,AO92,CE92,0,BL92,IF(OptControl=3,1,0),1,2)+IF(OR(VolSkewFlag=2,ABS(BT92)&lt;0.0001),0,IF(BT92&gt;0,-1,1)*CL92*Strike2/BR92^2*BZ92/10%),0)</f>
        <v>0</v>
      </c>
      <c r="CL92" s="163">
        <f ca="1">IF(BD92,(_xll.xCrudeAPO(BU92,BV92,CC92,CD92,S93,S94,BI92,BL92,BP92,BQ92,0,Strike2,AO92,CE92,0,BL92,IF(OptControl=3,1,0),3,1)+_xll.xCrudeAPO(BU92,BV92,CC92,CD92,S93,S94,BI92,BL92,BP92,BQ92,0,Strike2,AO92,CE92,0,BL92,IF(OptControl=3,1,0),3,2))/100,0)</f>
        <v>0</v>
      </c>
      <c r="CM92" s="164">
        <f ca="1">IF(BD92,_xll.xCrudeAPO(BU92,BV92,CC92,CD92,S93,S94,BI92-DaysForThetaCalculation/365.25,BL92-DaysForThetaCalculation/365.25,BP92,BQ92,0,Strike2,AO92,CE92,0,BL92,IF(OptControl=3,1,0),0,1)-_xll.xCrudeAPO(BU92,BV92,CC92,CD92,S93,S94,BI92,BL92,BP92,BQ92,0,Strike2,AO92,CE92,0,BL92,IF(OptControl=3,1,0),0,1),0)</f>
        <v>0</v>
      </c>
      <c r="CN92" s="53"/>
      <c r="CO92" s="796" t="str">
        <f t="shared" ca="1" si="323"/>
        <v/>
      </c>
      <c r="CP92" s="800" t="str">
        <f t="shared" ca="1" si="324"/>
        <v/>
      </c>
      <c r="CQ92" s="797" t="str">
        <f t="shared" ca="1" si="325"/>
        <v/>
      </c>
      <c r="CR92" s="797" t="str">
        <f t="shared" ca="1" si="326"/>
        <v/>
      </c>
      <c r="CS92" s="797" t="str">
        <f t="shared" ca="1" si="327"/>
        <v/>
      </c>
      <c r="CT92" s="797" t="str">
        <f t="shared" ca="1" si="328"/>
        <v/>
      </c>
      <c r="CU92" s="798" t="str">
        <f t="shared" ca="1" si="329"/>
        <v/>
      </c>
      <c r="CV92" s="799" t="str">
        <f t="shared" ca="1" si="330"/>
        <v/>
      </c>
      <c r="CW92" s="799" t="str">
        <f t="shared" ca="1" si="331"/>
        <v/>
      </c>
      <c r="CX92" s="163">
        <f ca="1">IF(BD92,_xll.EURO(CP92,Strike1,AO92,AO92,CV92,CO92,IF(OptControl=4,0,1),0),0)</f>
        <v>0</v>
      </c>
      <c r="CY92" s="163">
        <f ca="1">IF(BD92,_xll.EURO(CP92,Strike1,AO92,AO92,CV92,CO92,IF(OptControl=4,0,1),1)+IF(OR(VolSkewFlag=2,ABS(CQ92)&lt;0.0001),0,IF(CQ92&gt;0,-1,1)*CZ92*100*Strike1/CP92^2*CS92/10%),0)</f>
        <v>0</v>
      </c>
      <c r="CZ92" s="163">
        <f ca="1">IF(BD92,_xll.EURO(CP92,Strike1,AO92,AO92,CV92,CO92,IF(OptControl=4,0,1),3)/100,0)</f>
        <v>0</v>
      </c>
      <c r="DA92" s="163">
        <f ca="1">IF(BD92,_xll.EURO(CP92,Strike1,AO92,AO92,CV92,CO92,IF(OptControl=4,0,1),0)-_xll.EURO(CP92,Strike1,AO92,AO92,CV92,CO92-1,IF(OptControl=4,0,1),0),0)</f>
        <v>0</v>
      </c>
      <c r="DB92" s="163">
        <f ca="1">IF(BD92,_xll.EURO(CP92,Strike2,AO92,AO92,CW92,CO92,IF(OptControl=3,1,0),0),0)</f>
        <v>0</v>
      </c>
      <c r="DC92" s="163">
        <f ca="1">IF(BD92,_xll.EURO(CP92,Strike2,AO92,AO92,CW92,CO92,IF(OptControl=3,1,0),1)+IF(OR(VolSkewFlag=2,ABS(CR92)&lt;0.0001),0,IF(CR92&gt;0,-1,1)*DD92*100*Strike2/CP92^2*CT92/10%),0)</f>
        <v>0</v>
      </c>
      <c r="DD92" s="163">
        <f ca="1">IF(BD92,_xll.EURO(CP92,Strike2,AO92,AO92,CW92,CO92,IF(OptControl=3,1,0),3)/100,0)</f>
        <v>0</v>
      </c>
      <c r="DE92" s="164">
        <f ca="1">IF(BD92,_xll.EURO(CP92,Strike2,AO92,AO92,CW92,CO92,IF(OptControl=3,1,0),0)-_xll.EURO(CP92,Strike2,AO92,AO92,CW92,CO92-1,IF(OptControl=3,1,0),0),0)</f>
        <v>0</v>
      </c>
      <c r="DG92" s="667">
        <f t="shared" ca="1" si="332"/>
        <v>38749</v>
      </c>
      <c r="DH92" s="475">
        <v>18.318333333333332</v>
      </c>
      <c r="DI92" s="665">
        <v>18.317250000000001</v>
      </c>
      <c r="DJ92" s="666">
        <f t="shared" ca="1" si="306"/>
        <v>38749</v>
      </c>
      <c r="DK92" s="475">
        <v>17.165276845815455</v>
      </c>
      <c r="DL92" s="665">
        <v>17.158250000000002</v>
      </c>
      <c r="DM92" s="667">
        <f t="shared" ca="1" si="307"/>
        <v>38749</v>
      </c>
      <c r="DN92" s="668">
        <f t="shared" si="308"/>
        <v>17.215276845815456</v>
      </c>
      <c r="DO92" s="667">
        <f t="shared" ca="1" si="333"/>
        <v>38749</v>
      </c>
      <c r="DP92" s="579">
        <f t="shared" si="334"/>
        <v>17.158250000000002</v>
      </c>
      <c r="DQ92" s="821">
        <v>0</v>
      </c>
      <c r="DR92" s="666">
        <f t="shared" ca="1" si="309"/>
        <v>38749</v>
      </c>
      <c r="DS92" s="669">
        <v>0.18140000000000001</v>
      </c>
      <c r="DT92" s="606">
        <v>0.18062</v>
      </c>
      <c r="DU92" s="666">
        <f t="shared" ca="1" si="310"/>
        <v>38749</v>
      </c>
      <c r="DV92" s="669">
        <v>0.18140000000000001</v>
      </c>
      <c r="DW92" s="606">
        <v>0.18062</v>
      </c>
      <c r="DX92" s="667">
        <f t="shared" ca="1" si="311"/>
        <v>38749</v>
      </c>
      <c r="DY92" s="606">
        <v>0.35</v>
      </c>
      <c r="DZ92" s="667">
        <f t="shared" ca="1" si="335"/>
        <v>38749</v>
      </c>
      <c r="EA92" s="606">
        <f t="shared" si="336"/>
        <v>0.18062</v>
      </c>
      <c r="EB92" s="1"/>
      <c r="EC92" s="118" t="str">
        <f t="shared" ca="1" si="312"/>
        <v/>
      </c>
      <c r="ED92" s="119" t="str">
        <f t="shared" ca="1" si="313"/>
        <v/>
      </c>
      <c r="EE92" s="112" t="str">
        <f t="shared" ca="1" si="314"/>
        <v/>
      </c>
      <c r="EF92" s="120">
        <f ca="1">IF(BD92,_xll.xASN(BR92,Strike1,AO92,ED92,0,BO92,0,BI92,BL92,IF(OptControl=4,0,1),0),0)</f>
        <v>0</v>
      </c>
      <c r="EG92" s="111">
        <f ca="1">IF(BD92,_xll.xASN(BR92,Strike2,AO92,EE92,0,BO92,0,BI92,BL92,IF(OptControl=3,1,0),0),0)</f>
        <v>0</v>
      </c>
      <c r="EL92" s="55"/>
      <c r="EM92" s="1"/>
      <c r="EN92" s="697">
        <v>44555</v>
      </c>
      <c r="EO92" s="698">
        <v>49675</v>
      </c>
      <c r="EP92" s="1"/>
      <c r="EQ92" s="683" t="s">
        <v>305</v>
      </c>
      <c r="ES92" s="498">
        <v>73</v>
      </c>
      <c r="ET92" s="476">
        <f t="shared" ca="1" si="431"/>
        <v>6.023271731690623</v>
      </c>
      <c r="EU92" s="842">
        <f t="shared" ca="1" si="337"/>
        <v>0</v>
      </c>
      <c r="EV92" s="475"/>
      <c r="EW92" s="456"/>
      <c r="EX92" s="456"/>
      <c r="EY92" s="250"/>
      <c r="EZ92" s="250"/>
      <c r="FA92" s="250"/>
      <c r="FB92" s="250"/>
      <c r="FC92" s="250"/>
      <c r="FD92" s="250"/>
      <c r="FE92" s="250"/>
      <c r="FF92" s="250"/>
      <c r="FG92" s="250"/>
      <c r="FH92" s="250"/>
      <c r="FI92" s="250"/>
      <c r="FJ92" s="250"/>
      <c r="FK92" s="250"/>
      <c r="FL92" s="250"/>
      <c r="FM92" s="250"/>
      <c r="FN92" s="250"/>
      <c r="FO92" s="250"/>
      <c r="FP92" s="250"/>
      <c r="FQ92" s="250"/>
      <c r="FR92" s="250"/>
      <c r="FS92" s="250"/>
      <c r="FT92" s="250"/>
      <c r="FU92" s="250"/>
      <c r="FV92" s="250"/>
      <c r="FW92" s="250"/>
      <c r="FX92" s="250"/>
      <c r="FY92" s="250"/>
      <c r="FZ92" s="250"/>
      <c r="GA92" s="250"/>
      <c r="GB92" s="250"/>
      <c r="GC92" s="250"/>
      <c r="GD92" s="250"/>
      <c r="GE92" s="250"/>
      <c r="GF92" s="250"/>
      <c r="GG92" s="250"/>
      <c r="GH92" s="250"/>
      <c r="GI92" s="250"/>
      <c r="GJ92" s="250"/>
      <c r="GK92" s="250"/>
      <c r="GL92" s="250"/>
      <c r="GM92" s="250"/>
      <c r="GN92" s="250"/>
      <c r="GO92" s="250"/>
      <c r="GP92" s="250"/>
      <c r="GQ92" s="250"/>
      <c r="GR92" s="250"/>
      <c r="GS92" s="250"/>
      <c r="GT92" s="250"/>
      <c r="GU92" s="250"/>
      <c r="GV92" s="250"/>
      <c r="GW92" s="250"/>
      <c r="GX92" s="250"/>
      <c r="GY92" s="250"/>
      <c r="GZ92" s="250"/>
      <c r="HA92" s="250"/>
      <c r="HB92" s="250"/>
      <c r="HC92" s="250"/>
      <c r="HD92" s="250"/>
      <c r="HE92" s="250"/>
      <c r="HF92" s="250"/>
      <c r="HG92" s="250"/>
      <c r="HH92" s="250"/>
      <c r="HI92" s="250"/>
      <c r="HJ92" s="250"/>
      <c r="HK92" s="250"/>
      <c r="HL92" s="250"/>
      <c r="HM92" s="250"/>
      <c r="HN92" s="250"/>
      <c r="HO92" s="250"/>
      <c r="HP92" s="250"/>
      <c r="HQ92" s="250"/>
      <c r="HR92" s="250"/>
      <c r="HS92" s="250"/>
      <c r="HT92" s="250"/>
      <c r="HU92" s="250"/>
      <c r="HV92" s="250"/>
      <c r="HW92" s="250"/>
      <c r="HX92" s="250"/>
      <c r="HY92" s="250"/>
      <c r="HZ92" s="250"/>
      <c r="IA92" s="250"/>
      <c r="IB92" s="250"/>
      <c r="IC92" s="250"/>
      <c r="ID92" s="250"/>
      <c r="IE92" s="250"/>
    </row>
    <row r="93" spans="8:239" ht="13.8" thickBot="1">
      <c r="H93" s="51">
        <f t="shared" ca="1" si="315"/>
        <v>0</v>
      </c>
      <c r="I93" s="379">
        <f t="shared" si="316"/>
        <v>38991</v>
      </c>
      <c r="J93" s="377"/>
      <c r="K93" s="104" t="s">
        <v>269</v>
      </c>
      <c r="L93" s="392">
        <f t="shared" si="317"/>
        <v>0</v>
      </c>
      <c r="M93" s="171"/>
      <c r="N93" s="382">
        <v>0</v>
      </c>
      <c r="O93" s="171">
        <f t="shared" si="272"/>
        <v>0</v>
      </c>
      <c r="P93" s="377"/>
      <c r="Q93" s="104" t="s">
        <v>268</v>
      </c>
      <c r="R93" s="377">
        <f t="shared" ca="1" si="417"/>
        <v>-1.2916955357244957</v>
      </c>
      <c r="S93" s="832">
        <f t="shared" si="164"/>
        <v>0.36000000004040833</v>
      </c>
      <c r="T93" s="831">
        <f t="shared" si="418"/>
        <v>0.99999878656658769</v>
      </c>
      <c r="U93" s="545">
        <f t="shared" si="419"/>
        <v>0.9999999999886352</v>
      </c>
      <c r="V93" s="389">
        <v>0</v>
      </c>
      <c r="W93" s="434">
        <f t="shared" si="273"/>
        <v>0</v>
      </c>
      <c r="X93" s="415">
        <f t="shared" si="274"/>
        <v>0</v>
      </c>
      <c r="Y93" s="322">
        <f t="shared" si="275"/>
        <v>-1.1445999999999998</v>
      </c>
      <c r="Z93" s="322">
        <f t="shared" ca="1" si="276"/>
        <v>-1.1445999999999998</v>
      </c>
      <c r="AA93" s="429">
        <f t="shared" si="277"/>
        <v>1.1445999999999998</v>
      </c>
      <c r="AB93" s="433">
        <f t="shared" ca="1" si="278"/>
        <v>1.1445999999999998</v>
      </c>
      <c r="AC93" s="229">
        <v>38980</v>
      </c>
      <c r="AD93" s="229">
        <v>38976</v>
      </c>
      <c r="AE93" s="229">
        <v>38975</v>
      </c>
      <c r="AF93" s="229">
        <v>38971</v>
      </c>
      <c r="AG93" s="249" t="s">
        <v>90</v>
      </c>
      <c r="AH93" s="247" t="s">
        <v>499</v>
      </c>
      <c r="AI93" s="146">
        <v>22</v>
      </c>
      <c r="AJ93" s="41">
        <v>15</v>
      </c>
      <c r="AK93" s="41">
        <v>7</v>
      </c>
      <c r="AL93" s="293">
        <v>22</v>
      </c>
      <c r="AM93" s="41">
        <v>10</v>
      </c>
      <c r="AN93" s="147">
        <v>12</v>
      </c>
      <c r="AO93" s="374"/>
      <c r="AP93" s="153">
        <f t="shared" ca="1" si="318"/>
        <v>1</v>
      </c>
      <c r="AQ93" s="374"/>
      <c r="AR93" s="153">
        <f t="shared" ca="1" si="420"/>
        <v>1</v>
      </c>
      <c r="AS93" s="272">
        <f t="shared" si="279"/>
        <v>0</v>
      </c>
      <c r="AT93" s="157">
        <f t="shared" si="319"/>
        <v>0</v>
      </c>
      <c r="AU93" s="157">
        <f t="shared" si="280"/>
        <v>0</v>
      </c>
      <c r="AV93" s="271">
        <f t="shared" ca="1" si="430"/>
        <v>9.9999999999999995E-7</v>
      </c>
      <c r="AW93" s="158" t="str">
        <f t="shared" ca="1" si="281"/>
        <v/>
      </c>
      <c r="AX93" s="157">
        <f t="shared" ca="1" si="421"/>
        <v>2.1734629735520924E-3</v>
      </c>
      <c r="AY93" s="157">
        <f t="shared" ca="1" si="422"/>
        <v>1.0341352304014913E-3</v>
      </c>
      <c r="AZ93" s="157">
        <f t="shared" ca="1" si="423"/>
        <v>2.1555248668162565E-4</v>
      </c>
      <c r="BA93" s="157">
        <f t="shared" ca="1" si="424"/>
        <v>2.6944060835203206E-5</v>
      </c>
      <c r="BB93" s="157">
        <f t="shared" ca="1" si="425"/>
        <v>4.8801598818707362E-6</v>
      </c>
      <c r="BC93" s="157">
        <f t="shared" ca="1" si="426"/>
        <v>1.4519648285822557E-6</v>
      </c>
      <c r="BD93" s="151">
        <f t="shared" ca="1" si="282"/>
        <v>0</v>
      </c>
      <c r="BE93" s="152">
        <f t="shared" ca="1" si="283"/>
        <v>0</v>
      </c>
      <c r="BF93" s="40">
        <f t="shared" si="284"/>
        <v>2006</v>
      </c>
      <c r="BG93" s="144">
        <f t="shared" si="285"/>
        <v>10</v>
      </c>
      <c r="BH93" s="145">
        <f t="shared" ca="1" si="286"/>
        <v>2231</v>
      </c>
      <c r="BI93" s="313">
        <f t="shared" ca="1" si="287"/>
        <v>6.1492128678986999</v>
      </c>
      <c r="BJ93" s="42">
        <f t="shared" ca="1" si="288"/>
        <v>6.2052143612718567</v>
      </c>
      <c r="BK93" s="42">
        <f t="shared" ca="1" si="289"/>
        <v>6.2079522120589887</v>
      </c>
      <c r="BL93" s="42">
        <f t="shared" ca="1" si="290"/>
        <v>6.2313483915126628</v>
      </c>
      <c r="BM93" s="150" t="e">
        <f t="shared" ca="1" si="291"/>
        <v>#DIV/0!</v>
      </c>
      <c r="BN93" s="42" t="e">
        <f t="shared" ca="1" si="292"/>
        <v>#DIV/0!</v>
      </c>
      <c r="BO93" s="293">
        <f t="shared" si="320"/>
        <v>22</v>
      </c>
      <c r="BP93" s="41">
        <f t="shared" si="293"/>
        <v>15</v>
      </c>
      <c r="BQ93" s="41">
        <f t="shared" si="294"/>
        <v>7</v>
      </c>
      <c r="BR93" s="305" t="str">
        <f t="shared" ca="1" si="295"/>
        <v/>
      </c>
      <c r="BS93" s="305" t="str">
        <f t="shared" ca="1" si="296"/>
        <v/>
      </c>
      <c r="BT93" s="307" t="str">
        <f t="shared" ca="1" si="297"/>
        <v/>
      </c>
      <c r="BU93" s="161" t="str">
        <f t="shared" ca="1" si="298"/>
        <v/>
      </c>
      <c r="BV93" s="161" t="str">
        <f t="shared" ca="1" si="299"/>
        <v/>
      </c>
      <c r="BW93" s="308" t="str">
        <f t="shared" ca="1" si="300"/>
        <v/>
      </c>
      <c r="BX93" s="309" t="str">
        <f t="shared" ca="1" si="301"/>
        <v/>
      </c>
      <c r="BY93" s="308" t="str">
        <f t="shared" ca="1" si="321"/>
        <v/>
      </c>
      <c r="BZ93" s="309" t="str">
        <f t="shared" ca="1" si="322"/>
        <v/>
      </c>
      <c r="CA93" s="154" t="str">
        <f t="shared" ca="1" si="302"/>
        <v/>
      </c>
      <c r="CB93" s="154" t="str">
        <f t="shared" ca="1" si="303"/>
        <v/>
      </c>
      <c r="CC93" s="154" t="str">
        <f t="shared" ca="1" si="304"/>
        <v/>
      </c>
      <c r="CD93" s="154" t="str">
        <f t="shared" ca="1" si="305"/>
        <v/>
      </c>
      <c r="CE93" s="310">
        <v>1</v>
      </c>
      <c r="CF93" s="162">
        <f ca="1">IF(BD93,_xll.xCrudeAPO(BU93,BV93,CA93,CB93,S94,S95,BI93,BL93,BP93,BQ93,0,Strike1,AO93,CE93,0,BL93,IF(OptControl=4,0,1),0,1),0)</f>
        <v>0</v>
      </c>
      <c r="CG93" s="163">
        <f ca="1">IF(BD93,_xll.xCrudeAPO(BU93,BV93,CA93,CB93,S94,S95,BI93,BL93,BP93,BQ93,0,Strike1,AO93,CE93,0,BL93,IF(OptControl=4,0,1),1,1)+_xll.xCrudeAPO(BU93,BV93,CA93,CB93,S94,S95,BI93,BL93,BP93,BQ93,0,Strike1,AO93,CE93,0,BL93,IF(OptControl=4,0,1),1,2)+IF(OR(VolSkewFlag=2,ABS(BS93)&lt;0.0001),0,IF(BS93&gt;0,-1,1)*CH93*Strike1/BR93^2*BY93/10%),0)</f>
        <v>0</v>
      </c>
      <c r="CH93" s="163">
        <f ca="1">IF(BD93,(_xll.xCrudeAPO(BU93,BV93,CA93,CB93,S94,S95,BI93,BL93,BP93,BQ93,0,Strike1,AO93,CE93,0,BL93,IF(OptControl=4,0,1),3,1)+_xll.xCrudeAPO(BU93,BV93,CA93,CB93,S94,S95,BI93,BL93,BP93,BQ93,0,Strike1,AO93,CE93,0,BL93,IF(OptControl=4,0,1),3,2))/100,0)</f>
        <v>0</v>
      </c>
      <c r="CI93" s="163">
        <f ca="1">IF(BD93,_xll.xCrudeAPO(BU93,BV93,CA93,CB93,S94,S95,BI93-DaysForThetaCalculation/365.25,BL93-DaysForThetaCalculation/365.25,BP93,BQ93,0,Strike1,AO93,CE93,0,BL93,IF(OptControl=4,0,1),0,1)-_xll.xCrudeAPO(BU93,BV93,CA93,CB93,S94,S95,BI93,BL93,BP93,BQ93,0,Strike1,AO93,CE93,0,BL93,IF(OptControl=4,0,1),0,1),0)</f>
        <v>0</v>
      </c>
      <c r="CJ93" s="311">
        <f ca="1">IF(BD93,_xll.xCrudeAPO(BU93,BV93,CC93,CD93,S94,S95,BI93,BL93,BP93,BQ93,0,Strike2,AO93,CE93,0,BL93,IF(OptControl=3,1,0),0,1),0)</f>
        <v>0</v>
      </c>
      <c r="CK93" s="163">
        <f ca="1">IF(BD93,_xll.xCrudeAPO(BU93,BV93,CC93,CD93,S94,S95,BI93,BL93,BP93,BQ93,0,Strike2,AO93,CE93,0,BL93,IF(OptControl=3,1,0),1,1)+_xll.xCrudeAPO(BU93,BV93,CC93,CD93,S94,S95,BI93,BL93,BP93,BQ93,0,Strike2,AO93,CE93,0,BL93,IF(OptControl=3,1,0),1,2)+IF(OR(VolSkewFlag=2,ABS(BT93)&lt;0.0001),0,IF(BT93&gt;0,-1,1)*CL93*Strike2/BR93^2*BZ93/10%),0)</f>
        <v>0</v>
      </c>
      <c r="CL93" s="163">
        <f ca="1">IF(BD93,(_xll.xCrudeAPO(BU93,BV93,CC93,CD93,S94,S95,BI93,BL93,BP93,BQ93,0,Strike2,AO93,CE93,0,BL93,IF(OptControl=3,1,0),3,1)+_xll.xCrudeAPO(BU93,BV93,CC93,CD93,S94,S95,BI93,BL93,BP93,BQ93,0,Strike2,AO93,CE93,0,BL93,IF(OptControl=3,1,0),3,2))/100,0)</f>
        <v>0</v>
      </c>
      <c r="CM93" s="164">
        <f ca="1">IF(BD93,_xll.xCrudeAPO(BU93,BV93,CC93,CD93,S94,S95,BI93-DaysForThetaCalculation/365.25,BL93-DaysForThetaCalculation/365.25,BP93,BQ93,0,Strike2,AO93,CE93,0,BL93,IF(OptControl=3,1,0),0,1)-_xll.xCrudeAPO(BU93,BV93,CC93,CD93,S94,S95,BI93,BL93,BP93,BQ93,0,Strike2,AO93,CE93,0,BL93,IF(OptControl=3,1,0),0,1),0)</f>
        <v>0</v>
      </c>
      <c r="CN93" s="53"/>
      <c r="CO93" s="796" t="str">
        <f t="shared" ca="1" si="323"/>
        <v/>
      </c>
      <c r="CP93" s="800" t="str">
        <f t="shared" ca="1" si="324"/>
        <v/>
      </c>
      <c r="CQ93" s="797" t="str">
        <f t="shared" ca="1" si="325"/>
        <v/>
      </c>
      <c r="CR93" s="797" t="str">
        <f t="shared" ca="1" si="326"/>
        <v/>
      </c>
      <c r="CS93" s="797" t="str">
        <f t="shared" ca="1" si="327"/>
        <v/>
      </c>
      <c r="CT93" s="797" t="str">
        <f t="shared" ca="1" si="328"/>
        <v/>
      </c>
      <c r="CU93" s="798" t="str">
        <f t="shared" ca="1" si="329"/>
        <v/>
      </c>
      <c r="CV93" s="799" t="str">
        <f t="shared" ca="1" si="330"/>
        <v/>
      </c>
      <c r="CW93" s="799" t="str">
        <f t="shared" ca="1" si="331"/>
        <v/>
      </c>
      <c r="CX93" s="163">
        <f ca="1">IF(BD93,_xll.EURO(CP93,Strike1,AO93,AO93,CV93,CO93,IF(OptControl=4,0,1),0),0)</f>
        <v>0</v>
      </c>
      <c r="CY93" s="163">
        <f ca="1">IF(BD93,_xll.EURO(CP93,Strike1,AO93,AO93,CV93,CO93,IF(OptControl=4,0,1),1)+IF(OR(VolSkewFlag=2,ABS(CQ93)&lt;0.0001),0,IF(CQ93&gt;0,-1,1)*CZ93*100*Strike1/CP93^2*CS93/10%),0)</f>
        <v>0</v>
      </c>
      <c r="CZ93" s="163">
        <f ca="1">IF(BD93,_xll.EURO(CP93,Strike1,AO93,AO93,CV93,CO93,IF(OptControl=4,0,1),3)/100,0)</f>
        <v>0</v>
      </c>
      <c r="DA93" s="163">
        <f ca="1">IF(BD93,_xll.EURO(CP93,Strike1,AO93,AO93,CV93,CO93,IF(OptControl=4,0,1),0)-_xll.EURO(CP93,Strike1,AO93,AO93,CV93,CO93-1,IF(OptControl=4,0,1),0),0)</f>
        <v>0</v>
      </c>
      <c r="DB93" s="163">
        <f ca="1">IF(BD93,_xll.EURO(CP93,Strike2,AO93,AO93,CW93,CO93,IF(OptControl=3,1,0),0),0)</f>
        <v>0</v>
      </c>
      <c r="DC93" s="163">
        <f ca="1">IF(BD93,_xll.EURO(CP93,Strike2,AO93,AO93,CW93,CO93,IF(OptControl=3,1,0),1)+IF(OR(VolSkewFlag=2,ABS(CR93)&lt;0.0001),0,IF(CR93&gt;0,-1,1)*DD93*100*Strike2/CP93^2*CT93/10%),0)</f>
        <v>0</v>
      </c>
      <c r="DD93" s="163">
        <f ca="1">IF(BD93,_xll.EURO(CP93,Strike2,AO93,AO93,CW93,CO93,IF(OptControl=3,1,0),3)/100,0)</f>
        <v>0</v>
      </c>
      <c r="DE93" s="164">
        <f ca="1">IF(BD93,_xll.EURO(CP93,Strike2,AO93,AO93,CW93,CO93,IF(OptControl=3,1,0),0)-_xll.EURO(CP93,Strike2,AO93,AO93,CW93,CO93-1,IF(OptControl=3,1,0),0),0)</f>
        <v>0</v>
      </c>
      <c r="DG93" s="667">
        <f t="shared" ca="1" si="332"/>
        <v>38777</v>
      </c>
      <c r="DH93" s="475">
        <v>18.317499999999999</v>
      </c>
      <c r="DI93" s="665">
        <v>18.316340579710147</v>
      </c>
      <c r="DJ93" s="666">
        <f t="shared" ca="1" si="306"/>
        <v>38777</v>
      </c>
      <c r="DK93" s="475">
        <v>17.153894295153787</v>
      </c>
      <c r="DL93" s="665">
        <v>17.157340579710148</v>
      </c>
      <c r="DM93" s="667">
        <f t="shared" ca="1" si="307"/>
        <v>38777</v>
      </c>
      <c r="DN93" s="668">
        <f t="shared" si="308"/>
        <v>17.203894295153788</v>
      </c>
      <c r="DO93" s="667">
        <f t="shared" ca="1" si="333"/>
        <v>38777</v>
      </c>
      <c r="DP93" s="579">
        <f t="shared" si="334"/>
        <v>17.157340579710148</v>
      </c>
      <c r="DQ93" s="821">
        <v>0</v>
      </c>
      <c r="DR93" s="666">
        <f t="shared" ca="1" si="309"/>
        <v>38777</v>
      </c>
      <c r="DS93" s="669">
        <v>0.18080000000000002</v>
      </c>
      <c r="DT93" s="606">
        <v>0.17996521739130439</v>
      </c>
      <c r="DU93" s="666">
        <f t="shared" ca="1" si="310"/>
        <v>38777</v>
      </c>
      <c r="DV93" s="669">
        <v>0.18080000000000002</v>
      </c>
      <c r="DW93" s="606">
        <v>0.17996521739130439</v>
      </c>
      <c r="DX93" s="667">
        <f t="shared" ca="1" si="311"/>
        <v>38777</v>
      </c>
      <c r="DY93" s="606">
        <v>0.35</v>
      </c>
      <c r="DZ93" s="667">
        <f t="shared" ca="1" si="335"/>
        <v>38777</v>
      </c>
      <c r="EA93" s="606">
        <f t="shared" si="336"/>
        <v>0.17996521739130439</v>
      </c>
      <c r="EB93" s="1"/>
      <c r="EC93" s="118" t="str">
        <f t="shared" ca="1" si="312"/>
        <v/>
      </c>
      <c r="ED93" s="119" t="str">
        <f t="shared" ca="1" si="313"/>
        <v/>
      </c>
      <c r="EE93" s="112" t="str">
        <f t="shared" ca="1" si="314"/>
        <v/>
      </c>
      <c r="EF93" s="120">
        <f ca="1">IF(BD93,_xll.xASN(BR93,Strike1,AO93,ED93,0,BO93,0,BI93,BL93,IF(OptControl=4,0,1),0),0)</f>
        <v>0</v>
      </c>
      <c r="EG93" s="111">
        <f ca="1">IF(BD93,_xll.xASN(BR93,Strike2,AO93,EE93,0,BO93,0,BI93,BL93,IF(OptControl=3,1,0),0),0)</f>
        <v>0</v>
      </c>
      <c r="EL93" s="55"/>
      <c r="EM93" s="1"/>
      <c r="EN93" s="697">
        <v>44562</v>
      </c>
      <c r="EO93" s="698">
        <v>50034</v>
      </c>
      <c r="EP93" s="1"/>
      <c r="EQ93" s="683" t="s">
        <v>306</v>
      </c>
      <c r="ES93" s="498">
        <v>74</v>
      </c>
      <c r="ET93" s="476">
        <f t="shared" ca="1" si="431"/>
        <v>6.108145106091718</v>
      </c>
      <c r="EU93" s="843">
        <f t="shared" ca="1" si="337"/>
        <v>0</v>
      </c>
      <c r="EV93" s="475"/>
      <c r="EW93" s="456"/>
      <c r="EX93" s="456"/>
      <c r="EY93" s="250"/>
      <c r="EZ93" s="250"/>
      <c r="FA93" s="250"/>
      <c r="FB93" s="250"/>
      <c r="FC93" s="250"/>
      <c r="FD93" s="250"/>
      <c r="FE93" s="250"/>
      <c r="FF93" s="250"/>
      <c r="FG93" s="250"/>
      <c r="FH93" s="250"/>
      <c r="FI93" s="250"/>
      <c r="FJ93" s="467" t="s">
        <v>237</v>
      </c>
      <c r="FK93" s="250"/>
      <c r="FL93" s="250"/>
      <c r="FM93" s="250"/>
      <c r="FN93" s="250"/>
      <c r="FO93" s="250"/>
      <c r="FP93" s="250"/>
      <c r="FQ93" s="250"/>
      <c r="FR93" s="250"/>
      <c r="FS93" s="250"/>
      <c r="FT93" s="250"/>
      <c r="FU93" s="250"/>
      <c r="FV93" s="250"/>
      <c r="FW93" s="250"/>
      <c r="FX93" s="250"/>
      <c r="FY93" s="250"/>
      <c r="FZ93" s="250"/>
      <c r="GA93" s="250"/>
      <c r="GB93" s="250"/>
      <c r="GC93" s="250"/>
      <c r="GD93" s="250"/>
      <c r="GE93" s="250"/>
      <c r="GF93" s="250"/>
      <c r="GG93" s="250"/>
      <c r="GH93" s="250"/>
      <c r="GI93" s="250"/>
      <c r="GJ93" s="250"/>
      <c r="GK93" s="250"/>
      <c r="GL93" s="250"/>
      <c r="GM93" s="250"/>
      <c r="GN93" s="250"/>
      <c r="GO93" s="250"/>
      <c r="GP93" s="250"/>
      <c r="GQ93" s="250"/>
      <c r="GR93" s="250"/>
      <c r="GS93" s="250"/>
      <c r="GT93" s="250"/>
      <c r="GU93" s="250"/>
      <c r="GV93" s="250"/>
      <c r="GW93" s="250"/>
      <c r="GX93" s="250"/>
      <c r="GY93" s="250"/>
      <c r="GZ93" s="250"/>
      <c r="HA93" s="250"/>
      <c r="HB93" s="250"/>
      <c r="HC93" s="250"/>
      <c r="HD93" s="250"/>
      <c r="HE93" s="250"/>
      <c r="HF93" s="250"/>
      <c r="HG93" s="250"/>
      <c r="HH93" s="250"/>
      <c r="HI93" s="250"/>
      <c r="HJ93" s="250"/>
      <c r="HK93" s="250"/>
      <c r="HL93" s="250"/>
      <c r="HM93" s="250"/>
      <c r="HN93" s="250"/>
      <c r="HO93" s="250"/>
      <c r="HP93" s="250"/>
      <c r="HQ93" s="250"/>
      <c r="HR93" s="250"/>
      <c r="HS93" s="250"/>
      <c r="HT93" s="250"/>
      <c r="HU93" s="250"/>
      <c r="HV93" s="250"/>
      <c r="HW93" s="250"/>
      <c r="HX93" s="250"/>
      <c r="HY93" s="250"/>
      <c r="HZ93" s="250"/>
      <c r="IA93" s="250"/>
      <c r="IB93" s="250"/>
      <c r="IC93" s="250"/>
      <c r="ID93" s="250"/>
      <c r="IE93" s="250"/>
    </row>
    <row r="94" spans="8:239">
      <c r="H94" s="51">
        <f t="shared" ca="1" si="315"/>
        <v>0</v>
      </c>
      <c r="I94" s="379">
        <f t="shared" si="316"/>
        <v>39022</v>
      </c>
      <c r="J94" s="377"/>
      <c r="K94" s="104" t="s">
        <v>269</v>
      </c>
      <c r="L94" s="392">
        <f t="shared" si="317"/>
        <v>0</v>
      </c>
      <c r="M94" s="171"/>
      <c r="N94" s="382">
        <v>0</v>
      </c>
      <c r="O94" s="171">
        <f t="shared" si="272"/>
        <v>0</v>
      </c>
      <c r="P94" s="377"/>
      <c r="Q94" s="104" t="s">
        <v>268</v>
      </c>
      <c r="R94" s="377">
        <f t="shared" ca="1" si="417"/>
        <v>-1.1460404220686404</v>
      </c>
      <c r="S94" s="832">
        <f t="shared" si="164"/>
        <v>0.36000000003030624</v>
      </c>
      <c r="T94" s="831">
        <f t="shared" si="418"/>
        <v>0.99999896251512033</v>
      </c>
      <c r="U94" s="545">
        <f t="shared" si="419"/>
        <v>0.99999999999147637</v>
      </c>
      <c r="V94" s="389">
        <v>0</v>
      </c>
      <c r="W94" s="434">
        <f t="shared" si="273"/>
        <v>0</v>
      </c>
      <c r="X94" s="415">
        <f t="shared" si="274"/>
        <v>0</v>
      </c>
      <c r="Y94" s="322">
        <f t="shared" si="275"/>
        <v>-1.1445999999999998</v>
      </c>
      <c r="Z94" s="322">
        <f t="shared" ca="1" si="276"/>
        <v>-1.1445999999999998</v>
      </c>
      <c r="AA94" s="429">
        <f t="shared" si="277"/>
        <v>1.1445999999999998</v>
      </c>
      <c r="AB94" s="433">
        <f t="shared" ca="1" si="278"/>
        <v>1.1445999999999998</v>
      </c>
      <c r="AC94" s="229">
        <v>39010</v>
      </c>
      <c r="AD94" s="229">
        <v>39006</v>
      </c>
      <c r="AE94" s="229">
        <v>39005</v>
      </c>
      <c r="AF94" s="229">
        <v>39001</v>
      </c>
      <c r="AG94" s="249" t="s">
        <v>90</v>
      </c>
      <c r="AH94" s="247" t="s">
        <v>499</v>
      </c>
      <c r="AI94" s="146">
        <v>22</v>
      </c>
      <c r="AJ94" s="41">
        <v>14</v>
      </c>
      <c r="AK94" s="41">
        <v>8</v>
      </c>
      <c r="AL94" s="293">
        <v>22</v>
      </c>
      <c r="AM94" s="41">
        <v>10</v>
      </c>
      <c r="AN94" s="147">
        <v>12</v>
      </c>
      <c r="AO94" s="374"/>
      <c r="AP94" s="153">
        <f t="shared" ca="1" si="318"/>
        <v>1</v>
      </c>
      <c r="AQ94" s="374"/>
      <c r="AR94" s="153">
        <f t="shared" ca="1" si="420"/>
        <v>1</v>
      </c>
      <c r="AS94" s="272">
        <f t="shared" si="279"/>
        <v>0</v>
      </c>
      <c r="AT94" s="157">
        <f t="shared" si="319"/>
        <v>0</v>
      </c>
      <c r="AU94" s="157">
        <f t="shared" si="280"/>
        <v>0</v>
      </c>
      <c r="AV94" s="271">
        <f t="shared" ca="1" si="430"/>
        <v>9.9999999999999995E-7</v>
      </c>
      <c r="AW94" s="158" t="str">
        <f t="shared" ca="1" si="281"/>
        <v/>
      </c>
      <c r="AX94" s="157">
        <f t="shared" ca="1" si="421"/>
        <v>2.1012512001274712E-3</v>
      </c>
      <c r="AY94" s="157">
        <f t="shared" ca="1" si="422"/>
        <v>9.9313027185054473E-4</v>
      </c>
      <c r="AZ94" s="157">
        <f t="shared" ca="1" si="423"/>
        <v>2.0345445521344929E-4</v>
      </c>
      <c r="BA94" s="157">
        <f t="shared" ca="1" si="424"/>
        <v>2.5431806901681161E-5</v>
      </c>
      <c r="BB94" s="157">
        <f t="shared" ca="1" si="425"/>
        <v>4.4532178977972698E-6</v>
      </c>
      <c r="BC94" s="157">
        <f t="shared" ca="1" si="426"/>
        <v>1.2935536045687882E-6</v>
      </c>
      <c r="BD94" s="151">
        <f t="shared" ca="1" si="282"/>
        <v>0</v>
      </c>
      <c r="BE94" s="152">
        <f t="shared" ca="1" si="283"/>
        <v>0</v>
      </c>
      <c r="BF94" s="40">
        <f t="shared" si="284"/>
        <v>2006</v>
      </c>
      <c r="BG94" s="144">
        <f t="shared" si="285"/>
        <v>11</v>
      </c>
      <c r="BH94" s="145">
        <f t="shared" ca="1" si="286"/>
        <v>2261</v>
      </c>
      <c r="BI94" s="313">
        <f t="shared" ca="1" si="287"/>
        <v>6.2340862422997949</v>
      </c>
      <c r="BJ94" s="42">
        <f t="shared" ca="1" si="288"/>
        <v>6.2846120340986875</v>
      </c>
      <c r="BK94" s="42">
        <f t="shared" ca="1" si="289"/>
        <v>6.2873498848858196</v>
      </c>
      <c r="BL94" s="42">
        <f t="shared" ca="1" si="290"/>
        <v>6.3134839151266258</v>
      </c>
      <c r="BM94" s="150" t="e">
        <f t="shared" ca="1" si="291"/>
        <v>#DIV/0!</v>
      </c>
      <c r="BN94" s="42" t="e">
        <f t="shared" ca="1" si="292"/>
        <v>#DIV/0!</v>
      </c>
      <c r="BO94" s="293">
        <f t="shared" si="320"/>
        <v>22</v>
      </c>
      <c r="BP94" s="41">
        <f t="shared" si="293"/>
        <v>14</v>
      </c>
      <c r="BQ94" s="41">
        <f t="shared" si="294"/>
        <v>8</v>
      </c>
      <c r="BR94" s="305" t="str">
        <f t="shared" ca="1" si="295"/>
        <v/>
      </c>
      <c r="BS94" s="305" t="str">
        <f t="shared" ca="1" si="296"/>
        <v/>
      </c>
      <c r="BT94" s="307" t="str">
        <f t="shared" ca="1" si="297"/>
        <v/>
      </c>
      <c r="BU94" s="161" t="str">
        <f t="shared" ca="1" si="298"/>
        <v/>
      </c>
      <c r="BV94" s="161" t="str">
        <f t="shared" ca="1" si="299"/>
        <v/>
      </c>
      <c r="BW94" s="308" t="str">
        <f t="shared" ca="1" si="300"/>
        <v/>
      </c>
      <c r="BX94" s="309" t="str">
        <f t="shared" ca="1" si="301"/>
        <v/>
      </c>
      <c r="BY94" s="308" t="str">
        <f t="shared" ca="1" si="321"/>
        <v/>
      </c>
      <c r="BZ94" s="309" t="str">
        <f t="shared" ca="1" si="322"/>
        <v/>
      </c>
      <c r="CA94" s="154" t="str">
        <f t="shared" ca="1" si="302"/>
        <v/>
      </c>
      <c r="CB94" s="154" t="str">
        <f t="shared" ca="1" si="303"/>
        <v/>
      </c>
      <c r="CC94" s="154" t="str">
        <f t="shared" ca="1" si="304"/>
        <v/>
      </c>
      <c r="CD94" s="154" t="str">
        <f t="shared" ca="1" si="305"/>
        <v/>
      </c>
      <c r="CE94" s="310">
        <v>1</v>
      </c>
      <c r="CF94" s="162">
        <f ca="1">IF(BD94,_xll.xCrudeAPO(BU94,BV94,CA94,CB94,S95,S96,BI94,BL94,BP94,BQ94,0,Strike1,AO94,CE94,0,BL94,IF(OptControl=4,0,1),0,1),0)</f>
        <v>0</v>
      </c>
      <c r="CG94" s="163">
        <f ca="1">IF(BD94,_xll.xCrudeAPO(BU94,BV94,CA94,CB94,S95,S96,BI94,BL94,BP94,BQ94,0,Strike1,AO94,CE94,0,BL94,IF(OptControl=4,0,1),1,1)+_xll.xCrudeAPO(BU94,BV94,CA94,CB94,S95,S96,BI94,BL94,BP94,BQ94,0,Strike1,AO94,CE94,0,BL94,IF(OptControl=4,0,1),1,2)+IF(OR(VolSkewFlag=2,ABS(BS94)&lt;0.0001),0,IF(BS94&gt;0,-1,1)*CH94*Strike1/BR94^2*BY94/10%),0)</f>
        <v>0</v>
      </c>
      <c r="CH94" s="163">
        <f ca="1">IF(BD94,(_xll.xCrudeAPO(BU94,BV94,CA94,CB94,S95,S96,BI94,BL94,BP94,BQ94,0,Strike1,AO94,CE94,0,BL94,IF(OptControl=4,0,1),3,1)+_xll.xCrudeAPO(BU94,BV94,CA94,CB94,S95,S96,BI94,BL94,BP94,BQ94,0,Strike1,AO94,CE94,0,BL94,IF(OptControl=4,0,1),3,2))/100,0)</f>
        <v>0</v>
      </c>
      <c r="CI94" s="163">
        <f ca="1">IF(BD94,_xll.xCrudeAPO(BU94,BV94,CA94,CB94,S95,S96,BI94-DaysForThetaCalculation/365.25,BL94-DaysForThetaCalculation/365.25,BP94,BQ94,0,Strike1,AO94,CE94,0,BL94,IF(OptControl=4,0,1),0,1)-_xll.xCrudeAPO(BU94,BV94,CA94,CB94,S95,S96,BI94,BL94,BP94,BQ94,0,Strike1,AO94,CE94,0,BL94,IF(OptControl=4,0,1),0,1),0)</f>
        <v>0</v>
      </c>
      <c r="CJ94" s="311">
        <f ca="1">IF(BD94,_xll.xCrudeAPO(BU94,BV94,CC94,CD94,S95,S96,BI94,BL94,BP94,BQ94,0,Strike2,AO94,CE94,0,BL94,IF(OptControl=3,1,0),0,1),0)</f>
        <v>0</v>
      </c>
      <c r="CK94" s="163">
        <f ca="1">IF(BD94,_xll.xCrudeAPO(BU94,BV94,CC94,CD94,S95,S96,BI94,BL94,BP94,BQ94,0,Strike2,AO94,CE94,0,BL94,IF(OptControl=3,1,0),1,1)+_xll.xCrudeAPO(BU94,BV94,CC94,CD94,S95,S96,BI94,BL94,BP94,BQ94,0,Strike2,AO94,CE94,0,BL94,IF(OptControl=3,1,0),1,2)+IF(OR(VolSkewFlag=2,ABS(BT94)&lt;0.0001),0,IF(BT94&gt;0,-1,1)*CL94*Strike2/BR94^2*BZ94/10%),0)</f>
        <v>0</v>
      </c>
      <c r="CL94" s="163">
        <f ca="1">IF(BD94,(_xll.xCrudeAPO(BU94,BV94,CC94,CD94,S95,S96,BI94,BL94,BP94,BQ94,0,Strike2,AO94,CE94,0,BL94,IF(OptControl=3,1,0),3,1)+_xll.xCrudeAPO(BU94,BV94,CC94,CD94,S95,S96,BI94,BL94,BP94,BQ94,0,Strike2,AO94,CE94,0,BL94,IF(OptControl=3,1,0),3,2))/100,0)</f>
        <v>0</v>
      </c>
      <c r="CM94" s="164">
        <f ca="1">IF(BD94,_xll.xCrudeAPO(BU94,BV94,CC94,CD94,S95,S96,BI94-DaysForThetaCalculation/365.25,BL94-DaysForThetaCalculation/365.25,BP94,BQ94,0,Strike2,AO94,CE94,0,BL94,IF(OptControl=3,1,0),0,1)-_xll.xCrudeAPO(BU94,BV94,CC94,CD94,S95,S96,BI94,BL94,BP94,BQ94,0,Strike2,AO94,CE94,0,BL94,IF(OptControl=3,1,0),0,1),0)</f>
        <v>0</v>
      </c>
      <c r="CN94" s="53"/>
      <c r="CO94" s="796" t="str">
        <f t="shared" ca="1" si="323"/>
        <v/>
      </c>
      <c r="CP94" s="800" t="str">
        <f t="shared" ca="1" si="324"/>
        <v/>
      </c>
      <c r="CQ94" s="797" t="str">
        <f t="shared" ca="1" si="325"/>
        <v/>
      </c>
      <c r="CR94" s="797" t="str">
        <f t="shared" ca="1" si="326"/>
        <v/>
      </c>
      <c r="CS94" s="797" t="str">
        <f t="shared" ca="1" si="327"/>
        <v/>
      </c>
      <c r="CT94" s="797" t="str">
        <f t="shared" ca="1" si="328"/>
        <v/>
      </c>
      <c r="CU94" s="798" t="str">
        <f t="shared" ca="1" si="329"/>
        <v/>
      </c>
      <c r="CV94" s="799" t="str">
        <f t="shared" ca="1" si="330"/>
        <v/>
      </c>
      <c r="CW94" s="799" t="str">
        <f t="shared" ca="1" si="331"/>
        <v/>
      </c>
      <c r="CX94" s="163">
        <f ca="1">IF(BD94,_xll.EURO(CP94,Strike1,AO94,AO94,CV94,CO94,IF(OptControl=4,0,1),0),0)</f>
        <v>0</v>
      </c>
      <c r="CY94" s="163">
        <f ca="1">IF(BD94,_xll.EURO(CP94,Strike1,AO94,AO94,CV94,CO94,IF(OptControl=4,0,1),1)+IF(OR(VolSkewFlag=2,ABS(CQ94)&lt;0.0001),0,IF(CQ94&gt;0,-1,1)*CZ94*100*Strike1/CP94^2*CS94/10%),0)</f>
        <v>0</v>
      </c>
      <c r="CZ94" s="163">
        <f ca="1">IF(BD94,_xll.EURO(CP94,Strike1,AO94,AO94,CV94,CO94,IF(OptControl=4,0,1),3)/100,0)</f>
        <v>0</v>
      </c>
      <c r="DA94" s="163">
        <f ca="1">IF(BD94,_xll.EURO(CP94,Strike1,AO94,AO94,CV94,CO94,IF(OptControl=4,0,1),0)-_xll.EURO(CP94,Strike1,AO94,AO94,CV94,CO94-1,IF(OptControl=4,0,1),0),0)</f>
        <v>0</v>
      </c>
      <c r="DB94" s="163">
        <f ca="1">IF(BD94,_xll.EURO(CP94,Strike2,AO94,AO94,CW94,CO94,IF(OptControl=3,1,0),0),0)</f>
        <v>0</v>
      </c>
      <c r="DC94" s="163">
        <f ca="1">IF(BD94,_xll.EURO(CP94,Strike2,AO94,AO94,CW94,CO94,IF(OptControl=3,1,0),1)+IF(OR(VolSkewFlag=2,ABS(CR94)&lt;0.0001),0,IF(CR94&gt;0,-1,1)*DD94*100*Strike2/CP94^2*CT94/10%),0)</f>
        <v>0</v>
      </c>
      <c r="DD94" s="163">
        <f ca="1">IF(BD94,_xll.EURO(CP94,Strike2,AO94,AO94,CW94,CO94,IF(OptControl=3,1,0),3)/100,0)</f>
        <v>0</v>
      </c>
      <c r="DE94" s="164">
        <f ca="1">IF(BD94,_xll.EURO(CP94,Strike2,AO94,AO94,CW94,CO94,IF(OptControl=3,1,0),0)-_xll.EURO(CP94,Strike2,AO94,AO94,CW94,CO94-1,IF(OptControl=3,1,0),0),0)</f>
        <v>0</v>
      </c>
      <c r="DG94" s="667">
        <f t="shared" ca="1" si="332"/>
        <v>38808</v>
      </c>
      <c r="DH94" s="475">
        <v>18.316666666666666</v>
      </c>
      <c r="DI94" s="665">
        <v>18.315583333333336</v>
      </c>
      <c r="DJ94" s="666">
        <f t="shared" ca="1" si="306"/>
        <v>38808</v>
      </c>
      <c r="DK94" s="475">
        <v>17.162605704846221</v>
      </c>
      <c r="DL94" s="665">
        <v>17.034583333333337</v>
      </c>
      <c r="DM94" s="667">
        <f t="shared" ca="1" si="307"/>
        <v>38808</v>
      </c>
      <c r="DN94" s="668">
        <f t="shared" si="308"/>
        <v>17.212605704846222</v>
      </c>
      <c r="DO94" s="667">
        <f t="shared" ca="1" si="333"/>
        <v>38808</v>
      </c>
      <c r="DP94" s="579">
        <f t="shared" si="334"/>
        <v>17.034583333333337</v>
      </c>
      <c r="DQ94" s="821">
        <v>0</v>
      </c>
      <c r="DR94" s="666">
        <f t="shared" ca="1" si="309"/>
        <v>38808</v>
      </c>
      <c r="DS94" s="669">
        <v>0.1802</v>
      </c>
      <c r="DT94" s="606">
        <v>0.17942</v>
      </c>
      <c r="DU94" s="666">
        <f t="shared" ca="1" si="310"/>
        <v>38808</v>
      </c>
      <c r="DV94" s="669">
        <v>0.1802</v>
      </c>
      <c r="DW94" s="606">
        <v>0.17942</v>
      </c>
      <c r="DX94" s="667">
        <f t="shared" ca="1" si="311"/>
        <v>38808</v>
      </c>
      <c r="DY94" s="606">
        <v>0.35</v>
      </c>
      <c r="DZ94" s="667">
        <f t="shared" ca="1" si="335"/>
        <v>38808</v>
      </c>
      <c r="EA94" s="606">
        <f t="shared" si="336"/>
        <v>0.17942</v>
      </c>
      <c r="EB94" s="1"/>
      <c r="EC94" s="118" t="str">
        <f t="shared" ca="1" si="312"/>
        <v/>
      </c>
      <c r="ED94" s="119" t="str">
        <f t="shared" ca="1" si="313"/>
        <v/>
      </c>
      <c r="EE94" s="112" t="str">
        <f t="shared" ca="1" si="314"/>
        <v/>
      </c>
      <c r="EF94" s="120">
        <f ca="1">IF(BD94,_xll.xASN(BR94,Strike1,AO94,ED94,0,BO94,0,BI94,BL94,IF(OptControl=4,0,1),0),0)</f>
        <v>0</v>
      </c>
      <c r="EG94" s="111">
        <f ca="1">IF(BD94,_xll.xASN(BR94,Strike2,AO94,EE94,0,BO94,0,BI94,BL94,IF(OptControl=3,1,0),0),0)</f>
        <v>0</v>
      </c>
      <c r="EL94" s="55"/>
      <c r="EM94" s="1"/>
      <c r="EN94" s="697">
        <v>44746</v>
      </c>
      <c r="EO94" s="698">
        <v>50041</v>
      </c>
      <c r="EP94" s="1"/>
      <c r="EQ94" s="683" t="s">
        <v>307</v>
      </c>
      <c r="ES94" s="455"/>
      <c r="ET94" s="36"/>
      <c r="EU94" s="107"/>
      <c r="EV94" s="475"/>
      <c r="EW94" s="456"/>
      <c r="EX94" s="456"/>
      <c r="EY94" s="250"/>
      <c r="EZ94" s="250"/>
      <c r="FA94" s="250"/>
      <c r="FB94" s="250"/>
      <c r="FC94" s="250"/>
      <c r="FD94" s="250"/>
      <c r="FE94" s="250"/>
      <c r="FF94" s="250"/>
      <c r="FG94" s="250"/>
      <c r="FH94" s="250"/>
      <c r="FI94" s="250"/>
      <c r="FJ94" s="670"/>
      <c r="FK94" s="671">
        <v>1</v>
      </c>
      <c r="FL94" s="671">
        <v>2</v>
      </c>
      <c r="FM94" s="671">
        <v>3</v>
      </c>
      <c r="FN94" s="671">
        <v>4</v>
      </c>
      <c r="FO94" s="671">
        <v>5</v>
      </c>
      <c r="FP94" s="671">
        <v>6</v>
      </c>
      <c r="FQ94" s="671">
        <v>7</v>
      </c>
      <c r="FR94" s="671">
        <v>8</v>
      </c>
      <c r="FS94" s="671">
        <v>9</v>
      </c>
      <c r="FT94" s="671">
        <v>10</v>
      </c>
      <c r="FU94" s="671">
        <v>11</v>
      </c>
      <c r="FV94" s="671">
        <v>12</v>
      </c>
      <c r="FW94" s="671">
        <v>13</v>
      </c>
      <c r="FX94" s="671">
        <v>14</v>
      </c>
      <c r="FY94" s="671">
        <v>15</v>
      </c>
      <c r="FZ94" s="671">
        <v>16</v>
      </c>
      <c r="GA94" s="671">
        <v>17</v>
      </c>
      <c r="GB94" s="671">
        <v>18</v>
      </c>
      <c r="GC94" s="671">
        <v>19</v>
      </c>
      <c r="GD94" s="671">
        <v>20</v>
      </c>
      <c r="GE94" s="671">
        <v>21</v>
      </c>
      <c r="GF94" s="671">
        <v>22</v>
      </c>
      <c r="GG94" s="671">
        <v>23</v>
      </c>
      <c r="GH94" s="671">
        <v>24</v>
      </c>
      <c r="GI94" s="671">
        <v>25</v>
      </c>
      <c r="GJ94" s="671">
        <v>26</v>
      </c>
      <c r="GK94" s="671">
        <v>27</v>
      </c>
      <c r="GL94" s="671">
        <v>28</v>
      </c>
      <c r="GM94" s="671">
        <v>29</v>
      </c>
      <c r="GN94" s="671">
        <v>30</v>
      </c>
      <c r="GO94" s="671">
        <v>31</v>
      </c>
      <c r="GP94" s="671">
        <v>32</v>
      </c>
      <c r="GQ94" s="671">
        <v>33</v>
      </c>
      <c r="GR94" s="671">
        <v>34</v>
      </c>
      <c r="GS94" s="671">
        <v>35</v>
      </c>
      <c r="GT94" s="671">
        <v>36</v>
      </c>
      <c r="GU94" s="671">
        <v>37</v>
      </c>
      <c r="GV94" s="671">
        <v>38</v>
      </c>
      <c r="GW94" s="671">
        <v>39</v>
      </c>
      <c r="GX94" s="671">
        <v>40</v>
      </c>
      <c r="GY94" s="671">
        <v>41</v>
      </c>
      <c r="GZ94" s="671">
        <v>42</v>
      </c>
      <c r="HA94" s="671">
        <v>43</v>
      </c>
      <c r="HB94" s="671">
        <v>44</v>
      </c>
      <c r="HC94" s="671">
        <v>45</v>
      </c>
      <c r="HD94" s="671">
        <v>46</v>
      </c>
      <c r="HE94" s="671">
        <v>47</v>
      </c>
      <c r="HF94" s="671">
        <v>48</v>
      </c>
      <c r="HG94" s="671">
        <v>49</v>
      </c>
      <c r="HH94" s="671">
        <v>50</v>
      </c>
      <c r="HI94" s="671">
        <v>51</v>
      </c>
      <c r="HJ94" s="671">
        <v>52</v>
      </c>
      <c r="HK94" s="671">
        <v>53</v>
      </c>
      <c r="HL94" s="671">
        <v>54</v>
      </c>
      <c r="HM94" s="671">
        <v>55</v>
      </c>
      <c r="HN94" s="671">
        <v>56</v>
      </c>
      <c r="HO94" s="671">
        <v>57</v>
      </c>
      <c r="HP94" s="671">
        <v>58</v>
      </c>
      <c r="HQ94" s="671">
        <v>59</v>
      </c>
      <c r="HR94" s="671">
        <v>60</v>
      </c>
      <c r="HS94" s="671">
        <v>61</v>
      </c>
      <c r="HT94" s="671">
        <v>62</v>
      </c>
      <c r="HU94" s="671">
        <v>63</v>
      </c>
      <c r="HV94" s="671">
        <v>64</v>
      </c>
      <c r="HW94" s="671">
        <v>65</v>
      </c>
      <c r="HX94" s="671">
        <v>66</v>
      </c>
      <c r="HY94" s="671">
        <v>67</v>
      </c>
      <c r="HZ94" s="671">
        <v>68</v>
      </c>
      <c r="IA94" s="671">
        <v>69</v>
      </c>
      <c r="IB94" s="671">
        <v>70</v>
      </c>
      <c r="IC94" s="671">
        <v>71</v>
      </c>
      <c r="ID94" s="672">
        <v>72</v>
      </c>
      <c r="IE94" s="250"/>
    </row>
    <row r="95" spans="8:239">
      <c r="H95" s="51">
        <f t="shared" ca="1" si="315"/>
        <v>0</v>
      </c>
      <c r="I95" s="379">
        <f t="shared" si="316"/>
        <v>39052</v>
      </c>
      <c r="J95" s="377"/>
      <c r="K95" s="104" t="s">
        <v>269</v>
      </c>
      <c r="L95" s="392">
        <f t="shared" si="317"/>
        <v>0</v>
      </c>
      <c r="M95" s="171"/>
      <c r="N95" s="382">
        <v>0</v>
      </c>
      <c r="O95" s="171">
        <f t="shared" si="272"/>
        <v>0</v>
      </c>
      <c r="P95" s="377"/>
      <c r="Q95" s="104" t="s">
        <v>268</v>
      </c>
      <c r="R95" s="377">
        <f t="shared" ca="1" si="417"/>
        <v>-1.1433996482761326</v>
      </c>
      <c r="S95" s="832">
        <f t="shared" si="164"/>
        <v>0.36000000002272969</v>
      </c>
      <c r="T95" s="831">
        <f t="shared" si="418"/>
        <v>0.99999911295094213</v>
      </c>
      <c r="U95" s="545">
        <f t="shared" si="419"/>
        <v>0.99999999999360734</v>
      </c>
      <c r="V95" s="389">
        <v>0</v>
      </c>
      <c r="W95" s="434">
        <f t="shared" si="273"/>
        <v>0</v>
      </c>
      <c r="X95" s="415">
        <f t="shared" si="274"/>
        <v>1.125E-2</v>
      </c>
      <c r="Y95" s="322">
        <f t="shared" si="275"/>
        <v>-1.1445999999999998</v>
      </c>
      <c r="Z95" s="322">
        <f t="shared" ca="1" si="276"/>
        <v>-1.1333499999999999</v>
      </c>
      <c r="AA95" s="429">
        <f t="shared" si="277"/>
        <v>1.1445999999999998</v>
      </c>
      <c r="AB95" s="433">
        <f t="shared" ca="1" si="278"/>
        <v>1.1445999999999998</v>
      </c>
      <c r="AC95" s="229">
        <v>39041</v>
      </c>
      <c r="AD95" s="229">
        <v>39037</v>
      </c>
      <c r="AE95" s="229">
        <v>39036</v>
      </c>
      <c r="AF95" s="229">
        <v>39032</v>
      </c>
      <c r="AG95" s="249" t="s">
        <v>497</v>
      </c>
      <c r="AH95" s="247" t="s">
        <v>499</v>
      </c>
      <c r="AI95" s="146">
        <v>20</v>
      </c>
      <c r="AJ95" s="41">
        <v>14</v>
      </c>
      <c r="AK95" s="41">
        <v>6</v>
      </c>
      <c r="AL95" s="293">
        <v>20</v>
      </c>
      <c r="AM95" s="41">
        <v>10</v>
      </c>
      <c r="AN95" s="147">
        <v>10</v>
      </c>
      <c r="AO95" s="374"/>
      <c r="AP95" s="153">
        <f t="shared" ca="1" si="318"/>
        <v>1</v>
      </c>
      <c r="AQ95" s="374"/>
      <c r="AR95" s="153">
        <f t="shared" ca="1" si="420"/>
        <v>1</v>
      </c>
      <c r="AS95" s="272">
        <f t="shared" si="279"/>
        <v>0</v>
      </c>
      <c r="AT95" s="157">
        <f t="shared" si="319"/>
        <v>0</v>
      </c>
      <c r="AU95" s="157">
        <f t="shared" si="280"/>
        <v>0</v>
      </c>
      <c r="AV95" s="271">
        <f t="shared" ca="1" si="430"/>
        <v>9.9999999999999995E-7</v>
      </c>
      <c r="AW95" s="158" t="str">
        <f t="shared" ca="1" si="281"/>
        <v/>
      </c>
      <c r="AX95" s="157">
        <f t="shared" ca="1" si="421"/>
        <v>2.0314386119130797E-3</v>
      </c>
      <c r="AY95" s="157">
        <f t="shared" ca="1" si="422"/>
        <v>9.5375121925109739E-4</v>
      </c>
      <c r="AZ95" s="157">
        <f t="shared" ca="1" si="423"/>
        <v>1.9203543407662283E-4</v>
      </c>
      <c r="BA95" s="157">
        <f t="shared" ca="1" si="424"/>
        <v>2.4004429259577854E-5</v>
      </c>
      <c r="BB95" s="157">
        <f t="shared" ca="1" si="425"/>
        <v>4.0636270379035123E-6</v>
      </c>
      <c r="BC95" s="157">
        <f t="shared" ca="1" si="426"/>
        <v>1.1524252481561478E-6</v>
      </c>
      <c r="BD95" s="151">
        <f t="shared" ca="1" si="282"/>
        <v>0</v>
      </c>
      <c r="BE95" s="152">
        <f t="shared" ca="1" si="283"/>
        <v>0</v>
      </c>
      <c r="BF95" s="40">
        <f t="shared" si="284"/>
        <v>2006</v>
      </c>
      <c r="BG95" s="144">
        <f t="shared" si="285"/>
        <v>12</v>
      </c>
      <c r="BH95" s="145">
        <f t="shared" ca="1" si="286"/>
        <v>2292</v>
      </c>
      <c r="BI95" s="313">
        <f t="shared" ca="1" si="287"/>
        <v>6.3162217659137578</v>
      </c>
      <c r="BJ95" s="42">
        <f t="shared" ca="1" si="288"/>
        <v>6.3737166324435321</v>
      </c>
      <c r="BK95" s="42">
        <f t="shared" ca="1" si="289"/>
        <v>6.3764544832306642</v>
      </c>
      <c r="BL95" s="42">
        <f t="shared" ca="1" si="290"/>
        <v>6.3983572895277208</v>
      </c>
      <c r="BM95" s="150" t="e">
        <f t="shared" ca="1" si="291"/>
        <v>#DIV/0!</v>
      </c>
      <c r="BN95" s="42" t="e">
        <f t="shared" ca="1" si="292"/>
        <v>#DIV/0!</v>
      </c>
      <c r="BO95" s="293">
        <f t="shared" si="320"/>
        <v>20</v>
      </c>
      <c r="BP95" s="41">
        <f t="shared" si="293"/>
        <v>14</v>
      </c>
      <c r="BQ95" s="41">
        <f t="shared" si="294"/>
        <v>6</v>
      </c>
      <c r="BR95" s="305" t="str">
        <f t="shared" ca="1" si="295"/>
        <v/>
      </c>
      <c r="BS95" s="305" t="str">
        <f t="shared" ca="1" si="296"/>
        <v/>
      </c>
      <c r="BT95" s="307" t="str">
        <f t="shared" ca="1" si="297"/>
        <v/>
      </c>
      <c r="BU95" s="161" t="str">
        <f t="shared" ca="1" si="298"/>
        <v/>
      </c>
      <c r="BV95" s="161" t="str">
        <f t="shared" ca="1" si="299"/>
        <v/>
      </c>
      <c r="BW95" s="308" t="str">
        <f t="shared" ca="1" si="300"/>
        <v/>
      </c>
      <c r="BX95" s="309" t="str">
        <f t="shared" ca="1" si="301"/>
        <v/>
      </c>
      <c r="BY95" s="308" t="str">
        <f t="shared" ca="1" si="321"/>
        <v/>
      </c>
      <c r="BZ95" s="309" t="str">
        <f t="shared" ca="1" si="322"/>
        <v/>
      </c>
      <c r="CA95" s="154" t="str">
        <f t="shared" ca="1" si="302"/>
        <v/>
      </c>
      <c r="CB95" s="154" t="str">
        <f t="shared" ca="1" si="303"/>
        <v/>
      </c>
      <c r="CC95" s="154" t="str">
        <f t="shared" ca="1" si="304"/>
        <v/>
      </c>
      <c r="CD95" s="154" t="str">
        <f t="shared" ca="1" si="305"/>
        <v/>
      </c>
      <c r="CE95" s="310">
        <v>1</v>
      </c>
      <c r="CF95" s="162">
        <f ca="1">IF(BD95,_xll.xCrudeAPO(BU95,BV95,CA95,CB95,S96,S97,BI95,BL95,BP95,BQ95,0,Strike1,AO95,CE95,0,BL95,IF(OptControl=4,0,1),0,1),0)</f>
        <v>0</v>
      </c>
      <c r="CG95" s="163">
        <f ca="1">IF(BD95,_xll.xCrudeAPO(BU95,BV95,CA95,CB95,S96,S97,BI95,BL95,BP95,BQ95,0,Strike1,AO95,CE95,0,BL95,IF(OptControl=4,0,1),1,1)+_xll.xCrudeAPO(BU95,BV95,CA95,CB95,S96,S97,BI95,BL95,BP95,BQ95,0,Strike1,AO95,CE95,0,BL95,IF(OptControl=4,0,1),1,2)+IF(OR(VolSkewFlag=2,ABS(BS95)&lt;0.0001),0,IF(BS95&gt;0,-1,1)*CH95*Strike1/BR95^2*BY95/10%),0)</f>
        <v>0</v>
      </c>
      <c r="CH95" s="163">
        <f ca="1">IF(BD95,(_xll.xCrudeAPO(BU95,BV95,CA95,CB95,S96,S97,BI95,BL95,BP95,BQ95,0,Strike1,AO95,CE95,0,BL95,IF(OptControl=4,0,1),3,1)+_xll.xCrudeAPO(BU95,BV95,CA95,CB95,S96,S97,BI95,BL95,BP95,BQ95,0,Strike1,AO95,CE95,0,BL95,IF(OptControl=4,0,1),3,2))/100,0)</f>
        <v>0</v>
      </c>
      <c r="CI95" s="163">
        <f ca="1">IF(BD95,_xll.xCrudeAPO(BU95,BV95,CA95,CB95,S96,S97,BI95-DaysForThetaCalculation/365.25,BL95-DaysForThetaCalculation/365.25,BP95,BQ95,0,Strike1,AO95,CE95,0,BL95,IF(OptControl=4,0,1),0,1)-_xll.xCrudeAPO(BU95,BV95,CA95,CB95,S96,S97,BI95,BL95,BP95,BQ95,0,Strike1,AO95,CE95,0,BL95,IF(OptControl=4,0,1),0,1),0)</f>
        <v>0</v>
      </c>
      <c r="CJ95" s="311">
        <f ca="1">IF(BD95,_xll.xCrudeAPO(BU95,BV95,CC95,CD95,S96,S97,BI95,BL95,BP95,BQ95,0,Strike2,AO95,CE95,0,BL95,IF(OptControl=3,1,0),0,1),0)</f>
        <v>0</v>
      </c>
      <c r="CK95" s="163">
        <f ca="1">IF(BD95,_xll.xCrudeAPO(BU95,BV95,CC95,CD95,S96,S97,BI95,BL95,BP95,BQ95,0,Strike2,AO95,CE95,0,BL95,IF(OptControl=3,1,0),1,1)+_xll.xCrudeAPO(BU95,BV95,CC95,CD95,S96,S97,BI95,BL95,BP95,BQ95,0,Strike2,AO95,CE95,0,BL95,IF(OptControl=3,1,0),1,2)+IF(OR(VolSkewFlag=2,ABS(BT95)&lt;0.0001),0,IF(BT95&gt;0,-1,1)*CL95*Strike2/BR95^2*BZ95/10%),0)</f>
        <v>0</v>
      </c>
      <c r="CL95" s="163">
        <f ca="1">IF(BD95,(_xll.xCrudeAPO(BU95,BV95,CC95,CD95,S96,S97,BI95,BL95,BP95,BQ95,0,Strike2,AO95,CE95,0,BL95,IF(OptControl=3,1,0),3,1)+_xll.xCrudeAPO(BU95,BV95,CC95,CD95,S96,S97,BI95,BL95,BP95,BQ95,0,Strike2,AO95,CE95,0,BL95,IF(OptControl=3,1,0),3,2))/100,0)</f>
        <v>0</v>
      </c>
      <c r="CM95" s="164">
        <f ca="1">IF(BD95,_xll.xCrudeAPO(BU95,BV95,CC95,CD95,S96,S97,BI95-DaysForThetaCalculation/365.25,BL95-DaysForThetaCalculation/365.25,BP95,BQ95,0,Strike2,AO95,CE95,0,BL95,IF(OptControl=3,1,0),0,1)-_xll.xCrudeAPO(BU95,BV95,CC95,CD95,S96,S97,BI95,BL95,BP95,BQ95,0,Strike2,AO95,CE95,0,BL95,IF(OptControl=3,1,0),0,1),0)</f>
        <v>0</v>
      </c>
      <c r="CN95" s="53"/>
      <c r="CO95" s="796" t="str">
        <f t="shared" ca="1" si="323"/>
        <v/>
      </c>
      <c r="CP95" s="800" t="str">
        <f t="shared" ca="1" si="324"/>
        <v/>
      </c>
      <c r="CQ95" s="797" t="str">
        <f t="shared" ca="1" si="325"/>
        <v/>
      </c>
      <c r="CR95" s="797" t="str">
        <f t="shared" ca="1" si="326"/>
        <v/>
      </c>
      <c r="CS95" s="797" t="str">
        <f t="shared" ca="1" si="327"/>
        <v/>
      </c>
      <c r="CT95" s="797" t="str">
        <f t="shared" ca="1" si="328"/>
        <v/>
      </c>
      <c r="CU95" s="798" t="str">
        <f t="shared" ca="1" si="329"/>
        <v/>
      </c>
      <c r="CV95" s="799" t="str">
        <f t="shared" ca="1" si="330"/>
        <v/>
      </c>
      <c r="CW95" s="799" t="str">
        <f t="shared" ca="1" si="331"/>
        <v/>
      </c>
      <c r="CX95" s="163">
        <f ca="1">IF(BD95,_xll.EURO(CP95,Strike1,AO95,AO95,CV95,CO95,IF(OptControl=4,0,1),0),0)</f>
        <v>0</v>
      </c>
      <c r="CY95" s="163">
        <f ca="1">IF(BD95,_xll.EURO(CP95,Strike1,AO95,AO95,CV95,CO95,IF(OptControl=4,0,1),1)+IF(OR(VolSkewFlag=2,ABS(CQ95)&lt;0.0001),0,IF(CQ95&gt;0,-1,1)*CZ95*100*Strike1/CP95^2*CS95/10%),0)</f>
        <v>0</v>
      </c>
      <c r="CZ95" s="163">
        <f ca="1">IF(BD95,_xll.EURO(CP95,Strike1,AO95,AO95,CV95,CO95,IF(OptControl=4,0,1),3)/100,0)</f>
        <v>0</v>
      </c>
      <c r="DA95" s="163">
        <f ca="1">IF(BD95,_xll.EURO(CP95,Strike1,AO95,AO95,CV95,CO95,IF(OptControl=4,0,1),0)-_xll.EURO(CP95,Strike1,AO95,AO95,CV95,CO95-1,IF(OptControl=4,0,1),0),0)</f>
        <v>0</v>
      </c>
      <c r="DB95" s="163">
        <f ca="1">IF(BD95,_xll.EURO(CP95,Strike2,AO95,AO95,CW95,CO95,IF(OptControl=3,1,0),0),0)</f>
        <v>0</v>
      </c>
      <c r="DC95" s="163">
        <f ca="1">IF(BD95,_xll.EURO(CP95,Strike2,AO95,AO95,CW95,CO95,IF(OptControl=3,1,0),1)+IF(OR(VolSkewFlag=2,ABS(CR95)&lt;0.0001),0,IF(CR95&gt;0,-1,1)*DD95*100*Strike2/CP95^2*CT95/10%),0)</f>
        <v>0</v>
      </c>
      <c r="DD95" s="163">
        <f ca="1">IF(BD95,_xll.EURO(CP95,Strike2,AO95,AO95,CW95,CO95,IF(OptControl=3,1,0),3)/100,0)</f>
        <v>0</v>
      </c>
      <c r="DE95" s="164">
        <f ca="1">IF(BD95,_xll.EURO(CP95,Strike2,AO95,AO95,CW95,CO95,IF(OptControl=3,1,0),0)-_xll.EURO(CP95,Strike2,AO95,AO95,CW95,CO95-1,IF(OptControl=3,1,0),0),0)</f>
        <v>0</v>
      </c>
      <c r="DG95" s="667">
        <f t="shared" ca="1" si="332"/>
        <v>38838</v>
      </c>
      <c r="DH95" s="475">
        <v>18.315833333333334</v>
      </c>
      <c r="DI95" s="665">
        <v>18.314710144927538</v>
      </c>
      <c r="DJ95" s="666">
        <f t="shared" ca="1" si="306"/>
        <v>38838</v>
      </c>
      <c r="DK95" s="475">
        <v>17.153290483451631</v>
      </c>
      <c r="DL95" s="665">
        <v>17.033710144927539</v>
      </c>
      <c r="DM95" s="667">
        <f t="shared" ca="1" si="307"/>
        <v>38838</v>
      </c>
      <c r="DN95" s="668">
        <f t="shared" si="308"/>
        <v>17.203290483451632</v>
      </c>
      <c r="DO95" s="667">
        <f t="shared" ca="1" si="333"/>
        <v>38838</v>
      </c>
      <c r="DP95" s="579">
        <f t="shared" si="334"/>
        <v>17.033710144927539</v>
      </c>
      <c r="DQ95" s="821">
        <v>0</v>
      </c>
      <c r="DR95" s="666">
        <f t="shared" ca="1" si="309"/>
        <v>38838</v>
      </c>
      <c r="DS95" s="669">
        <v>0.17960000000000001</v>
      </c>
      <c r="DT95" s="606">
        <v>0.17879130434782611</v>
      </c>
      <c r="DU95" s="666">
        <f t="shared" ca="1" si="310"/>
        <v>38838</v>
      </c>
      <c r="DV95" s="669">
        <v>0.17960000000000001</v>
      </c>
      <c r="DW95" s="606">
        <v>0.17879130434782611</v>
      </c>
      <c r="DX95" s="667">
        <f t="shared" ca="1" si="311"/>
        <v>38838</v>
      </c>
      <c r="DY95" s="606">
        <v>0.35</v>
      </c>
      <c r="DZ95" s="667">
        <f t="shared" ca="1" si="335"/>
        <v>38838</v>
      </c>
      <c r="EA95" s="606">
        <f t="shared" si="336"/>
        <v>0.17879130434782611</v>
      </c>
      <c r="EB95" s="1"/>
      <c r="EC95" s="118" t="str">
        <f t="shared" ca="1" si="312"/>
        <v/>
      </c>
      <c r="ED95" s="119" t="str">
        <f t="shared" ca="1" si="313"/>
        <v/>
      </c>
      <c r="EE95" s="112" t="str">
        <f t="shared" ca="1" si="314"/>
        <v/>
      </c>
      <c r="EF95" s="120">
        <f ca="1">IF(BD95,_xll.xASN(BR95,Strike1,AO95,ED95,0,BO95,0,BI95,BL95,IF(OptControl=4,0,1),0),0)</f>
        <v>0</v>
      </c>
      <c r="EG95" s="111">
        <f ca="1">IF(BD95,_xll.xASN(BR95,Strike2,AO95,EE95,0,BO95,0,BI95,BL95,IF(OptControl=3,1,0),0),0)</f>
        <v>0</v>
      </c>
      <c r="EL95" s="55"/>
      <c r="EM95" s="1"/>
      <c r="EN95" s="697">
        <v>44920</v>
      </c>
      <c r="EO95" s="698">
        <v>50399</v>
      </c>
      <c r="EP95" s="1"/>
      <c r="EQ95" s="683" t="s">
        <v>308</v>
      </c>
      <c r="ES95" s="455"/>
      <c r="ET95" s="36"/>
      <c r="EU95" s="107"/>
      <c r="EV95" s="475"/>
      <c r="EW95" s="456"/>
      <c r="EX95" s="456"/>
      <c r="EY95" s="250"/>
      <c r="EZ95" s="250"/>
      <c r="FA95" s="250"/>
      <c r="FB95" s="250"/>
      <c r="FC95" s="250"/>
      <c r="FD95" s="250"/>
      <c r="FE95" s="250"/>
      <c r="FF95" s="250"/>
      <c r="FG95" s="250"/>
      <c r="FH95" s="250"/>
      <c r="FI95" s="250"/>
      <c r="FJ95" s="673">
        <v>1</v>
      </c>
      <c r="FK95" s="460">
        <f t="shared" ref="FK95:FK126" ca="1" si="432">IF($FJ20&lt;FK$94,"",SQRT(FK20/FK$15))</f>
        <v>0</v>
      </c>
      <c r="FL95" s="460" t="str">
        <f t="shared" ref="FL95:HW96" si="433">IF($FJ20&lt;FL$94,"",SQRT(FL20/FL$15))</f>
        <v/>
      </c>
      <c r="FM95" s="460" t="str">
        <f t="shared" si="433"/>
        <v/>
      </c>
      <c r="FN95" s="460" t="str">
        <f t="shared" si="433"/>
        <v/>
      </c>
      <c r="FO95" s="460" t="str">
        <f t="shared" si="433"/>
        <v/>
      </c>
      <c r="FP95" s="460" t="str">
        <f t="shared" si="433"/>
        <v/>
      </c>
      <c r="FQ95" s="460" t="str">
        <f t="shared" si="433"/>
        <v/>
      </c>
      <c r="FR95" s="460" t="str">
        <f t="shared" si="433"/>
        <v/>
      </c>
      <c r="FS95" s="460" t="str">
        <f t="shared" si="433"/>
        <v/>
      </c>
      <c r="FT95" s="460" t="str">
        <f t="shared" si="433"/>
        <v/>
      </c>
      <c r="FU95" s="460" t="str">
        <f t="shared" si="433"/>
        <v/>
      </c>
      <c r="FV95" s="460" t="str">
        <f t="shared" si="433"/>
        <v/>
      </c>
      <c r="FW95" s="460" t="str">
        <f t="shared" si="433"/>
        <v/>
      </c>
      <c r="FX95" s="460" t="str">
        <f t="shared" si="433"/>
        <v/>
      </c>
      <c r="FY95" s="460" t="str">
        <f t="shared" si="433"/>
        <v/>
      </c>
      <c r="FZ95" s="460" t="str">
        <f t="shared" si="433"/>
        <v/>
      </c>
      <c r="GA95" s="460" t="str">
        <f t="shared" si="433"/>
        <v/>
      </c>
      <c r="GB95" s="460" t="str">
        <f t="shared" si="433"/>
        <v/>
      </c>
      <c r="GC95" s="460" t="str">
        <f t="shared" si="433"/>
        <v/>
      </c>
      <c r="GD95" s="460" t="str">
        <f t="shared" si="433"/>
        <v/>
      </c>
      <c r="GE95" s="460" t="str">
        <f t="shared" si="433"/>
        <v/>
      </c>
      <c r="GF95" s="460" t="str">
        <f t="shared" si="433"/>
        <v/>
      </c>
      <c r="GG95" s="460" t="str">
        <f t="shared" si="433"/>
        <v/>
      </c>
      <c r="GH95" s="460" t="str">
        <f t="shared" si="433"/>
        <v/>
      </c>
      <c r="GI95" s="460" t="str">
        <f t="shared" si="433"/>
        <v/>
      </c>
      <c r="GJ95" s="460" t="str">
        <f t="shared" si="433"/>
        <v/>
      </c>
      <c r="GK95" s="460" t="str">
        <f t="shared" si="433"/>
        <v/>
      </c>
      <c r="GL95" s="460" t="str">
        <f t="shared" si="433"/>
        <v/>
      </c>
      <c r="GM95" s="460" t="str">
        <f t="shared" si="433"/>
        <v/>
      </c>
      <c r="GN95" s="460" t="str">
        <f t="shared" si="433"/>
        <v/>
      </c>
      <c r="GO95" s="460" t="str">
        <f t="shared" si="433"/>
        <v/>
      </c>
      <c r="GP95" s="460" t="str">
        <f t="shared" si="433"/>
        <v/>
      </c>
      <c r="GQ95" s="460" t="str">
        <f t="shared" si="433"/>
        <v/>
      </c>
      <c r="GR95" s="460" t="str">
        <f t="shared" si="433"/>
        <v/>
      </c>
      <c r="GS95" s="460" t="str">
        <f t="shared" si="433"/>
        <v/>
      </c>
      <c r="GT95" s="460" t="str">
        <f t="shared" si="433"/>
        <v/>
      </c>
      <c r="GU95" s="460" t="str">
        <f t="shared" si="433"/>
        <v/>
      </c>
      <c r="GV95" s="460" t="str">
        <f t="shared" si="433"/>
        <v/>
      </c>
      <c r="GW95" s="460" t="str">
        <f t="shared" si="433"/>
        <v/>
      </c>
      <c r="GX95" s="460" t="str">
        <f t="shared" si="433"/>
        <v/>
      </c>
      <c r="GY95" s="460" t="str">
        <f t="shared" si="433"/>
        <v/>
      </c>
      <c r="GZ95" s="460" t="str">
        <f t="shared" si="433"/>
        <v/>
      </c>
      <c r="HA95" s="460" t="str">
        <f t="shared" si="433"/>
        <v/>
      </c>
      <c r="HB95" s="460" t="str">
        <f t="shared" si="433"/>
        <v/>
      </c>
      <c r="HC95" s="460" t="str">
        <f t="shared" si="433"/>
        <v/>
      </c>
      <c r="HD95" s="460" t="str">
        <f t="shared" si="433"/>
        <v/>
      </c>
      <c r="HE95" s="460" t="str">
        <f t="shared" si="433"/>
        <v/>
      </c>
      <c r="HF95" s="460" t="str">
        <f t="shared" si="433"/>
        <v/>
      </c>
      <c r="HG95" s="460" t="str">
        <f t="shared" si="433"/>
        <v/>
      </c>
      <c r="HH95" s="460" t="str">
        <f t="shared" si="433"/>
        <v/>
      </c>
      <c r="HI95" s="460" t="str">
        <f t="shared" si="433"/>
        <v/>
      </c>
      <c r="HJ95" s="460" t="str">
        <f t="shared" si="433"/>
        <v/>
      </c>
      <c r="HK95" s="460" t="str">
        <f t="shared" si="433"/>
        <v/>
      </c>
      <c r="HL95" s="460" t="str">
        <f t="shared" si="433"/>
        <v/>
      </c>
      <c r="HM95" s="460" t="str">
        <f t="shared" si="433"/>
        <v/>
      </c>
      <c r="HN95" s="460" t="str">
        <f t="shared" si="433"/>
        <v/>
      </c>
      <c r="HO95" s="460" t="str">
        <f t="shared" si="433"/>
        <v/>
      </c>
      <c r="HP95" s="460" t="str">
        <f t="shared" si="433"/>
        <v/>
      </c>
      <c r="HQ95" s="460" t="str">
        <f t="shared" si="433"/>
        <v/>
      </c>
      <c r="HR95" s="460" t="str">
        <f t="shared" si="433"/>
        <v/>
      </c>
      <c r="HS95" s="460" t="str">
        <f t="shared" si="433"/>
        <v/>
      </c>
      <c r="HT95" s="460" t="str">
        <f t="shared" si="433"/>
        <v/>
      </c>
      <c r="HU95" s="460" t="str">
        <f t="shared" si="433"/>
        <v/>
      </c>
      <c r="HV95" s="460" t="str">
        <f t="shared" si="433"/>
        <v/>
      </c>
      <c r="HW95" s="460" t="str">
        <f t="shared" si="433"/>
        <v/>
      </c>
      <c r="HX95" s="460" t="str">
        <f t="shared" ref="HX95:ID99" si="434">IF($FJ20&lt;HX$94,"",SQRT(HX20/HX$15))</f>
        <v/>
      </c>
      <c r="HY95" s="460" t="str">
        <f t="shared" si="434"/>
        <v/>
      </c>
      <c r="HZ95" s="460" t="str">
        <f t="shared" si="434"/>
        <v/>
      </c>
      <c r="IA95" s="460" t="str">
        <f t="shared" si="434"/>
        <v/>
      </c>
      <c r="IB95" s="460" t="str">
        <f t="shared" si="434"/>
        <v/>
      </c>
      <c r="IC95" s="460" t="str">
        <f t="shared" si="434"/>
        <v/>
      </c>
      <c r="ID95" s="674" t="str">
        <f t="shared" si="434"/>
        <v/>
      </c>
      <c r="IE95" s="250"/>
    </row>
    <row r="96" spans="8:239">
      <c r="H96" s="51">
        <f t="shared" ca="1" si="315"/>
        <v>0</v>
      </c>
      <c r="I96" s="379">
        <f t="shared" si="316"/>
        <v>39083</v>
      </c>
      <c r="J96" s="377"/>
      <c r="K96" s="104">
        <v>0</v>
      </c>
      <c r="L96" s="392">
        <f t="shared" si="317"/>
        <v>0</v>
      </c>
      <c r="M96" s="171"/>
      <c r="N96" s="382">
        <v>0</v>
      </c>
      <c r="O96" s="171">
        <f t="shared" si="272"/>
        <v>0</v>
      </c>
      <c r="P96" s="377"/>
      <c r="Q96" s="104" t="s">
        <v>268</v>
      </c>
      <c r="R96" s="377">
        <f t="shared" ca="1" si="417"/>
        <v>-1.1456002931032225</v>
      </c>
      <c r="S96" s="832">
        <f t="shared" ref="S96:S159" si="435">S$19+(S95-S$19)*S$18</f>
        <v>0.36000000001704724</v>
      </c>
      <c r="T96" s="831">
        <f t="shared" si="418"/>
        <v>0.99999924157343989</v>
      </c>
      <c r="U96" s="545">
        <f t="shared" si="419"/>
        <v>0.9999999999952055</v>
      </c>
      <c r="V96" s="389">
        <v>0</v>
      </c>
      <c r="W96" s="434">
        <f t="shared" si="273"/>
        <v>0</v>
      </c>
      <c r="X96" s="415">
        <f t="shared" si="274"/>
        <v>5.113636363636364E-2</v>
      </c>
      <c r="Y96" s="322">
        <f t="shared" si="275"/>
        <v>-1.1304999999999998</v>
      </c>
      <c r="Z96" s="322">
        <f t="shared" ca="1" si="276"/>
        <v>-1.0793636363636363</v>
      </c>
      <c r="AA96" s="429">
        <f t="shared" si="277"/>
        <v>1.1304999999999998</v>
      </c>
      <c r="AB96" s="433">
        <f t="shared" ca="1" si="278"/>
        <v>1.1304999999999998</v>
      </c>
      <c r="AC96" s="229">
        <v>39071</v>
      </c>
      <c r="AD96" s="229">
        <v>39067</v>
      </c>
      <c r="AE96" s="229">
        <v>39066</v>
      </c>
      <c r="AF96" s="229">
        <v>39062</v>
      </c>
      <c r="AG96" s="249" t="s">
        <v>499</v>
      </c>
      <c r="AH96" s="247" t="s">
        <v>499</v>
      </c>
      <c r="AI96" s="146">
        <v>22</v>
      </c>
      <c r="AJ96" s="41">
        <v>14</v>
      </c>
      <c r="AK96" s="41">
        <v>8</v>
      </c>
      <c r="AL96" s="293">
        <v>22</v>
      </c>
      <c r="AM96" s="41">
        <v>9</v>
      </c>
      <c r="AN96" s="147">
        <v>13</v>
      </c>
      <c r="AO96" s="374"/>
      <c r="AP96" s="153">
        <f t="shared" ca="1" si="318"/>
        <v>1</v>
      </c>
      <c r="AQ96" s="374"/>
      <c r="AR96" s="153">
        <f t="shared" ca="1" si="420"/>
        <v>1</v>
      </c>
      <c r="AS96" s="272">
        <f t="shared" si="279"/>
        <v>0</v>
      </c>
      <c r="AT96" s="157">
        <f t="shared" si="319"/>
        <v>0</v>
      </c>
      <c r="AU96" s="157">
        <f t="shared" si="280"/>
        <v>0</v>
      </c>
      <c r="AV96" s="271">
        <f t="shared" ca="1" si="430"/>
        <v>9.9999999999999995E-7</v>
      </c>
      <c r="AW96" s="158" t="str">
        <f t="shared" ca="1" si="281"/>
        <v/>
      </c>
      <c r="AX96" s="157">
        <f t="shared" ca="1" si="421"/>
        <v>1.9639454976734783E-3</v>
      </c>
      <c r="AY96" s="157">
        <f t="shared" ca="1" si="422"/>
        <v>9.1593360307905909E-4</v>
      </c>
      <c r="AZ96" s="157">
        <f t="shared" ca="1" si="423"/>
        <v>1.8125731334960301E-4</v>
      </c>
      <c r="BA96" s="157">
        <f t="shared" ca="1" si="424"/>
        <v>2.2657164168700376E-5</v>
      </c>
      <c r="BB96" s="157">
        <f t="shared" ca="1" si="425"/>
        <v>3.7081196299306305E-6</v>
      </c>
      <c r="BC96" s="157">
        <f t="shared" ca="1" si="426"/>
        <v>1.0266941763348737E-6</v>
      </c>
      <c r="BD96" s="151">
        <f t="shared" ca="1" si="282"/>
        <v>0</v>
      </c>
      <c r="BE96" s="152">
        <f t="shared" ca="1" si="283"/>
        <v>0</v>
      </c>
      <c r="BF96" s="40">
        <f t="shared" si="284"/>
        <v>2007</v>
      </c>
      <c r="BG96" s="144">
        <f t="shared" si="285"/>
        <v>1</v>
      </c>
      <c r="BH96" s="145">
        <f t="shared" ca="1" si="286"/>
        <v>2322</v>
      </c>
      <c r="BI96" s="313">
        <f t="shared" ca="1" si="287"/>
        <v>6.4010951403148528</v>
      </c>
      <c r="BJ96" s="42">
        <f t="shared" ca="1" si="288"/>
        <v>6.4533632007964652</v>
      </c>
      <c r="BK96" s="42">
        <f t="shared" ca="1" si="289"/>
        <v>6.4561010515835973</v>
      </c>
      <c r="BL96" s="42">
        <f t="shared" ca="1" si="290"/>
        <v>6.4832306639288158</v>
      </c>
      <c r="BM96" s="150" t="e">
        <f t="shared" ca="1" si="291"/>
        <v>#DIV/0!</v>
      </c>
      <c r="BN96" s="42" t="e">
        <f t="shared" ca="1" si="292"/>
        <v>#DIV/0!</v>
      </c>
      <c r="BO96" s="293">
        <f t="shared" si="320"/>
        <v>22</v>
      </c>
      <c r="BP96" s="41">
        <f t="shared" si="293"/>
        <v>14</v>
      </c>
      <c r="BQ96" s="41">
        <f t="shared" si="294"/>
        <v>8</v>
      </c>
      <c r="BR96" s="305" t="str">
        <f t="shared" ca="1" si="295"/>
        <v/>
      </c>
      <c r="BS96" s="305" t="str">
        <f t="shared" ca="1" si="296"/>
        <v/>
      </c>
      <c r="BT96" s="307" t="str">
        <f t="shared" ca="1" si="297"/>
        <v/>
      </c>
      <c r="BU96" s="161" t="str">
        <f t="shared" ca="1" si="298"/>
        <v/>
      </c>
      <c r="BV96" s="161" t="str">
        <f t="shared" ca="1" si="299"/>
        <v/>
      </c>
      <c r="BW96" s="308" t="str">
        <f t="shared" ca="1" si="300"/>
        <v/>
      </c>
      <c r="BX96" s="309" t="str">
        <f t="shared" ca="1" si="301"/>
        <v/>
      </c>
      <c r="BY96" s="308" t="str">
        <f t="shared" ca="1" si="321"/>
        <v/>
      </c>
      <c r="BZ96" s="309" t="str">
        <f t="shared" ca="1" si="322"/>
        <v/>
      </c>
      <c r="CA96" s="154" t="str">
        <f t="shared" ca="1" si="302"/>
        <v/>
      </c>
      <c r="CB96" s="154" t="str">
        <f t="shared" ca="1" si="303"/>
        <v/>
      </c>
      <c r="CC96" s="154" t="str">
        <f t="shared" ca="1" si="304"/>
        <v/>
      </c>
      <c r="CD96" s="154" t="str">
        <f t="shared" ca="1" si="305"/>
        <v/>
      </c>
      <c r="CE96" s="310">
        <v>1</v>
      </c>
      <c r="CF96" s="162">
        <f ca="1">IF(BD96,_xll.xCrudeAPO(BU96,BV96,CA96,CB96,S97,S98,BI96,BL96,BP96,BQ96,0,Strike1,AO96,CE96,0,BL96,IF(OptControl=4,0,1),0,1),0)</f>
        <v>0</v>
      </c>
      <c r="CG96" s="163">
        <f ca="1">IF(BD96,_xll.xCrudeAPO(BU96,BV96,CA96,CB96,S97,S98,BI96,BL96,BP96,BQ96,0,Strike1,AO96,CE96,0,BL96,IF(OptControl=4,0,1),1,1)+_xll.xCrudeAPO(BU96,BV96,CA96,CB96,S97,S98,BI96,BL96,BP96,BQ96,0,Strike1,AO96,CE96,0,BL96,IF(OptControl=4,0,1),1,2)+IF(OR(VolSkewFlag=2,ABS(BS96)&lt;0.0001),0,IF(BS96&gt;0,-1,1)*CH96*Strike1/BR96^2*BY96/10%),0)</f>
        <v>0</v>
      </c>
      <c r="CH96" s="163">
        <f ca="1">IF(BD96,(_xll.xCrudeAPO(BU96,BV96,CA96,CB96,S97,S98,BI96,BL96,BP96,BQ96,0,Strike1,AO96,CE96,0,BL96,IF(OptControl=4,0,1),3,1)+_xll.xCrudeAPO(BU96,BV96,CA96,CB96,S97,S98,BI96,BL96,BP96,BQ96,0,Strike1,AO96,CE96,0,BL96,IF(OptControl=4,0,1),3,2))/100,0)</f>
        <v>0</v>
      </c>
      <c r="CI96" s="163">
        <f ca="1">IF(BD96,_xll.xCrudeAPO(BU96,BV96,CA96,CB96,S97,S98,BI96-DaysForThetaCalculation/365.25,BL96-DaysForThetaCalculation/365.25,BP96,BQ96,0,Strike1,AO96,CE96,0,BL96,IF(OptControl=4,0,1),0,1)-_xll.xCrudeAPO(BU96,BV96,CA96,CB96,S97,S98,BI96,BL96,BP96,BQ96,0,Strike1,AO96,CE96,0,BL96,IF(OptControl=4,0,1),0,1),0)</f>
        <v>0</v>
      </c>
      <c r="CJ96" s="311">
        <f ca="1">IF(BD96,_xll.xCrudeAPO(BU96,BV96,CC96,CD96,S97,S98,BI96,BL96,BP96,BQ96,0,Strike2,AO96,CE96,0,BL96,IF(OptControl=3,1,0),0,1),0)</f>
        <v>0</v>
      </c>
      <c r="CK96" s="163">
        <f ca="1">IF(BD96,_xll.xCrudeAPO(BU96,BV96,CC96,CD96,S97,S98,BI96,BL96,BP96,BQ96,0,Strike2,AO96,CE96,0,BL96,IF(OptControl=3,1,0),1,1)+_xll.xCrudeAPO(BU96,BV96,CC96,CD96,S97,S98,BI96,BL96,BP96,BQ96,0,Strike2,AO96,CE96,0,BL96,IF(OptControl=3,1,0),1,2)+IF(OR(VolSkewFlag=2,ABS(BT96)&lt;0.0001),0,IF(BT96&gt;0,-1,1)*CL96*Strike2/BR96^2*BZ96/10%),0)</f>
        <v>0</v>
      </c>
      <c r="CL96" s="163">
        <f ca="1">IF(BD96,(_xll.xCrudeAPO(BU96,BV96,CC96,CD96,S97,S98,BI96,BL96,BP96,BQ96,0,Strike2,AO96,CE96,0,BL96,IF(OptControl=3,1,0),3,1)+_xll.xCrudeAPO(BU96,BV96,CC96,CD96,S97,S98,BI96,BL96,BP96,BQ96,0,Strike2,AO96,CE96,0,BL96,IF(OptControl=3,1,0),3,2))/100,0)</f>
        <v>0</v>
      </c>
      <c r="CM96" s="164">
        <f ca="1">IF(BD96,_xll.xCrudeAPO(BU96,BV96,CC96,CD96,S97,S98,BI96-DaysForThetaCalculation/365.25,BL96-DaysForThetaCalculation/365.25,BP96,BQ96,0,Strike2,AO96,CE96,0,BL96,IF(OptControl=3,1,0),0,1)-_xll.xCrudeAPO(BU96,BV96,CC96,CD96,S97,S98,BI96,BL96,BP96,BQ96,0,Strike2,AO96,CE96,0,BL96,IF(OptControl=3,1,0),0,1),0)</f>
        <v>0</v>
      </c>
      <c r="CN96" s="53"/>
      <c r="CO96" s="796" t="str">
        <f t="shared" ca="1" si="323"/>
        <v/>
      </c>
      <c r="CP96" s="800" t="str">
        <f t="shared" ca="1" si="324"/>
        <v/>
      </c>
      <c r="CQ96" s="797" t="str">
        <f t="shared" ca="1" si="325"/>
        <v/>
      </c>
      <c r="CR96" s="797" t="str">
        <f t="shared" ca="1" si="326"/>
        <v/>
      </c>
      <c r="CS96" s="797" t="str">
        <f t="shared" ca="1" si="327"/>
        <v/>
      </c>
      <c r="CT96" s="797" t="str">
        <f t="shared" ca="1" si="328"/>
        <v/>
      </c>
      <c r="CU96" s="798" t="str">
        <f t="shared" ca="1" si="329"/>
        <v/>
      </c>
      <c r="CV96" s="799" t="str">
        <f t="shared" ca="1" si="330"/>
        <v/>
      </c>
      <c r="CW96" s="799" t="str">
        <f t="shared" ca="1" si="331"/>
        <v/>
      </c>
      <c r="CX96" s="163">
        <f ca="1">IF(BD96,_xll.EURO(CP96,Strike1,AO96,AO96,CV96,CO96,IF(OptControl=4,0,1),0),0)</f>
        <v>0</v>
      </c>
      <c r="CY96" s="163">
        <f ca="1">IF(BD96,_xll.EURO(CP96,Strike1,AO96,AO96,CV96,CO96,IF(OptControl=4,0,1),1)+IF(OR(VolSkewFlag=2,ABS(CQ96)&lt;0.0001),0,IF(CQ96&gt;0,-1,1)*CZ96*100*Strike1/CP96^2*CS96/10%),0)</f>
        <v>0</v>
      </c>
      <c r="CZ96" s="163">
        <f ca="1">IF(BD96,_xll.EURO(CP96,Strike1,AO96,AO96,CV96,CO96,IF(OptControl=4,0,1),3)/100,0)</f>
        <v>0</v>
      </c>
      <c r="DA96" s="163">
        <f ca="1">IF(BD96,_xll.EURO(CP96,Strike1,AO96,AO96,CV96,CO96,IF(OptControl=4,0,1),0)-_xll.EURO(CP96,Strike1,AO96,AO96,CV96,CO96-1,IF(OptControl=4,0,1),0),0)</f>
        <v>0</v>
      </c>
      <c r="DB96" s="163">
        <f ca="1">IF(BD96,_xll.EURO(CP96,Strike2,AO96,AO96,CW96,CO96,IF(OptControl=3,1,0),0),0)</f>
        <v>0</v>
      </c>
      <c r="DC96" s="163">
        <f ca="1">IF(BD96,_xll.EURO(CP96,Strike2,AO96,AO96,CW96,CO96,IF(OptControl=3,1,0),1)+IF(OR(VolSkewFlag=2,ABS(CR96)&lt;0.0001),0,IF(CR96&gt;0,-1,1)*DD96*100*Strike2/CP96^2*CT96/10%),0)</f>
        <v>0</v>
      </c>
      <c r="DD96" s="163">
        <f ca="1">IF(BD96,_xll.EURO(CP96,Strike2,AO96,AO96,CW96,CO96,IF(OptControl=3,1,0),3)/100,0)</f>
        <v>0</v>
      </c>
      <c r="DE96" s="164">
        <f ca="1">IF(BD96,_xll.EURO(CP96,Strike2,AO96,AO96,CW96,CO96,IF(OptControl=3,1,0),0)-_xll.EURO(CP96,Strike2,AO96,AO96,CW96,CO96-1,IF(OptControl=3,1,0),0),0)</f>
        <v>0</v>
      </c>
      <c r="DG96" s="667">
        <f t="shared" ca="1" si="332"/>
        <v>38869</v>
      </c>
      <c r="DH96" s="475">
        <v>18.315000000000001</v>
      </c>
      <c r="DI96" s="665">
        <v>18.313863636363639</v>
      </c>
      <c r="DJ96" s="666">
        <f t="shared" ca="1" si="306"/>
        <v>38869</v>
      </c>
      <c r="DK96" s="475">
        <v>16.91587618321504</v>
      </c>
      <c r="DL96" s="665">
        <v>17.03286363636364</v>
      </c>
      <c r="DM96" s="667">
        <f t="shared" ca="1" si="307"/>
        <v>38869</v>
      </c>
      <c r="DN96" s="668">
        <f t="shared" si="308"/>
        <v>16.965876183215041</v>
      </c>
      <c r="DO96" s="667">
        <f t="shared" ca="1" si="333"/>
        <v>38869</v>
      </c>
      <c r="DP96" s="579">
        <f t="shared" si="334"/>
        <v>17.03286363636364</v>
      </c>
      <c r="DQ96" s="821">
        <v>0</v>
      </c>
      <c r="DR96" s="666">
        <f t="shared" ca="1" si="309"/>
        <v>38869</v>
      </c>
      <c r="DS96" s="669">
        <v>0.17900000000000002</v>
      </c>
      <c r="DT96" s="606">
        <v>0.17818181818181819</v>
      </c>
      <c r="DU96" s="666">
        <f t="shared" ca="1" si="310"/>
        <v>38869</v>
      </c>
      <c r="DV96" s="669">
        <v>0.17900000000000002</v>
      </c>
      <c r="DW96" s="606">
        <v>0.17818181818181819</v>
      </c>
      <c r="DX96" s="667">
        <f t="shared" ca="1" si="311"/>
        <v>38869</v>
      </c>
      <c r="DY96" s="606">
        <v>0.35</v>
      </c>
      <c r="DZ96" s="667">
        <f t="shared" ca="1" si="335"/>
        <v>38869</v>
      </c>
      <c r="EA96" s="606">
        <f t="shared" si="336"/>
        <v>0.17818181818181819</v>
      </c>
      <c r="EB96" s="1"/>
      <c r="EC96" s="118" t="str">
        <f t="shared" ca="1" si="312"/>
        <v/>
      </c>
      <c r="ED96" s="119" t="str">
        <f t="shared" ca="1" si="313"/>
        <v/>
      </c>
      <c r="EE96" s="112" t="str">
        <f t="shared" ca="1" si="314"/>
        <v/>
      </c>
      <c r="EF96" s="120">
        <f ca="1">IF(BD96,_xll.xASN(BR96,Strike1,AO96,ED96,0,BO96,0,BI96,BL96,IF(OptControl=4,0,1),0),0)</f>
        <v>0</v>
      </c>
      <c r="EG96" s="111">
        <f ca="1">IF(BD96,_xll.xASN(BR96,Strike2,AO96,EE96,0,BO96,0,BI96,BL96,IF(OptControl=3,1,0),0),0)</f>
        <v>0</v>
      </c>
      <c r="EL96" s="55"/>
      <c r="EM96" s="1"/>
      <c r="EN96" s="697">
        <v>44927</v>
      </c>
      <c r="EO96" s="698">
        <v>50406</v>
      </c>
      <c r="EP96" s="1"/>
      <c r="EQ96" s="683" t="s">
        <v>309</v>
      </c>
      <c r="ES96" s="455"/>
      <c r="ET96" s="36"/>
      <c r="EU96" s="107"/>
      <c r="EV96" s="475"/>
      <c r="EW96" s="456"/>
      <c r="EX96" s="456"/>
      <c r="EY96" s="250"/>
      <c r="EZ96" s="250"/>
      <c r="FA96" s="250"/>
      <c r="FB96" s="250"/>
      <c r="FC96" s="250"/>
      <c r="FD96" s="250"/>
      <c r="FE96" s="250"/>
      <c r="FF96" s="250"/>
      <c r="FG96" s="250"/>
      <c r="FH96" s="250"/>
      <c r="FI96" s="250"/>
      <c r="FJ96" s="673">
        <v>2</v>
      </c>
      <c r="FK96" s="460">
        <f t="shared" ca="1" si="432"/>
        <v>0</v>
      </c>
      <c r="FL96" s="460">
        <f t="shared" ref="FL96:FZ96" ca="1" si="436">IF($FJ21&lt;FL$94,"",SQRT(FL21/FL$15))</f>
        <v>0.38</v>
      </c>
      <c r="FM96" s="460" t="str">
        <f t="shared" si="436"/>
        <v/>
      </c>
      <c r="FN96" s="460" t="str">
        <f t="shared" si="436"/>
        <v/>
      </c>
      <c r="FO96" s="460" t="str">
        <f t="shared" si="436"/>
        <v/>
      </c>
      <c r="FP96" s="460" t="str">
        <f t="shared" si="436"/>
        <v/>
      </c>
      <c r="FQ96" s="460" t="str">
        <f t="shared" si="436"/>
        <v/>
      </c>
      <c r="FR96" s="460" t="str">
        <f t="shared" si="436"/>
        <v/>
      </c>
      <c r="FS96" s="460" t="str">
        <f t="shared" si="436"/>
        <v/>
      </c>
      <c r="FT96" s="460" t="str">
        <f t="shared" si="436"/>
        <v/>
      </c>
      <c r="FU96" s="460" t="str">
        <f t="shared" si="436"/>
        <v/>
      </c>
      <c r="FV96" s="460" t="str">
        <f t="shared" si="436"/>
        <v/>
      </c>
      <c r="FW96" s="460" t="str">
        <f t="shared" si="436"/>
        <v/>
      </c>
      <c r="FX96" s="460" t="str">
        <f t="shared" si="436"/>
        <v/>
      </c>
      <c r="FY96" s="460" t="str">
        <f t="shared" si="436"/>
        <v/>
      </c>
      <c r="FZ96" s="460" t="str">
        <f t="shared" si="436"/>
        <v/>
      </c>
      <c r="GA96" s="460" t="str">
        <f t="shared" si="433"/>
        <v/>
      </c>
      <c r="GB96" s="460" t="str">
        <f t="shared" si="433"/>
        <v/>
      </c>
      <c r="GC96" s="460" t="str">
        <f t="shared" si="433"/>
        <v/>
      </c>
      <c r="GD96" s="460" t="str">
        <f t="shared" si="433"/>
        <v/>
      </c>
      <c r="GE96" s="460" t="str">
        <f t="shared" si="433"/>
        <v/>
      </c>
      <c r="GF96" s="460" t="str">
        <f t="shared" si="433"/>
        <v/>
      </c>
      <c r="GG96" s="460" t="str">
        <f t="shared" si="433"/>
        <v/>
      </c>
      <c r="GH96" s="460" t="str">
        <f t="shared" si="433"/>
        <v/>
      </c>
      <c r="GI96" s="460" t="str">
        <f t="shared" si="433"/>
        <v/>
      </c>
      <c r="GJ96" s="460" t="str">
        <f t="shared" si="433"/>
        <v/>
      </c>
      <c r="GK96" s="460" t="str">
        <f t="shared" si="433"/>
        <v/>
      </c>
      <c r="GL96" s="460" t="str">
        <f t="shared" si="433"/>
        <v/>
      </c>
      <c r="GM96" s="460" t="str">
        <f t="shared" si="433"/>
        <v/>
      </c>
      <c r="GN96" s="460" t="str">
        <f t="shared" si="433"/>
        <v/>
      </c>
      <c r="GO96" s="460" t="str">
        <f t="shared" si="433"/>
        <v/>
      </c>
      <c r="GP96" s="460" t="str">
        <f t="shared" si="433"/>
        <v/>
      </c>
      <c r="GQ96" s="460" t="str">
        <f t="shared" si="433"/>
        <v/>
      </c>
      <c r="GR96" s="460" t="str">
        <f t="shared" si="433"/>
        <v/>
      </c>
      <c r="GS96" s="460" t="str">
        <f t="shared" si="433"/>
        <v/>
      </c>
      <c r="GT96" s="460" t="str">
        <f t="shared" si="433"/>
        <v/>
      </c>
      <c r="GU96" s="460" t="str">
        <f t="shared" si="433"/>
        <v/>
      </c>
      <c r="GV96" s="460" t="str">
        <f t="shared" si="433"/>
        <v/>
      </c>
      <c r="GW96" s="460" t="str">
        <f t="shared" si="433"/>
        <v/>
      </c>
      <c r="GX96" s="460" t="str">
        <f t="shared" si="433"/>
        <v/>
      </c>
      <c r="GY96" s="460" t="str">
        <f t="shared" si="433"/>
        <v/>
      </c>
      <c r="GZ96" s="460" t="str">
        <f t="shared" si="433"/>
        <v/>
      </c>
      <c r="HA96" s="460" t="str">
        <f t="shared" si="433"/>
        <v/>
      </c>
      <c r="HB96" s="460" t="str">
        <f t="shared" si="433"/>
        <v/>
      </c>
      <c r="HC96" s="460" t="str">
        <f t="shared" si="433"/>
        <v/>
      </c>
      <c r="HD96" s="460" t="str">
        <f t="shared" si="433"/>
        <v/>
      </c>
      <c r="HE96" s="460" t="str">
        <f t="shared" si="433"/>
        <v/>
      </c>
      <c r="HF96" s="460" t="str">
        <f t="shared" si="433"/>
        <v/>
      </c>
      <c r="HG96" s="460" t="str">
        <f t="shared" si="433"/>
        <v/>
      </c>
      <c r="HH96" s="460" t="str">
        <f t="shared" si="433"/>
        <v/>
      </c>
      <c r="HI96" s="460" t="str">
        <f t="shared" si="433"/>
        <v/>
      </c>
      <c r="HJ96" s="460" t="str">
        <f t="shared" si="433"/>
        <v/>
      </c>
      <c r="HK96" s="460" t="str">
        <f t="shared" si="433"/>
        <v/>
      </c>
      <c r="HL96" s="460" t="str">
        <f t="shared" si="433"/>
        <v/>
      </c>
      <c r="HM96" s="460" t="str">
        <f t="shared" si="433"/>
        <v/>
      </c>
      <c r="HN96" s="460" t="str">
        <f t="shared" si="433"/>
        <v/>
      </c>
      <c r="HO96" s="460" t="str">
        <f t="shared" si="433"/>
        <v/>
      </c>
      <c r="HP96" s="460" t="str">
        <f t="shared" si="433"/>
        <v/>
      </c>
      <c r="HQ96" s="460" t="str">
        <f t="shared" si="433"/>
        <v/>
      </c>
      <c r="HR96" s="460" t="str">
        <f t="shared" si="433"/>
        <v/>
      </c>
      <c r="HS96" s="460" t="str">
        <f t="shared" si="433"/>
        <v/>
      </c>
      <c r="HT96" s="460" t="str">
        <f t="shared" si="433"/>
        <v/>
      </c>
      <c r="HU96" s="460" t="str">
        <f t="shared" si="433"/>
        <v/>
      </c>
      <c r="HV96" s="460" t="str">
        <f t="shared" si="433"/>
        <v/>
      </c>
      <c r="HW96" s="460" t="str">
        <f t="shared" si="433"/>
        <v/>
      </c>
      <c r="HX96" s="460" t="str">
        <f t="shared" si="434"/>
        <v/>
      </c>
      <c r="HY96" s="460" t="str">
        <f t="shared" si="434"/>
        <v/>
      </c>
      <c r="HZ96" s="460" t="str">
        <f t="shared" si="434"/>
        <v/>
      </c>
      <c r="IA96" s="460" t="str">
        <f t="shared" si="434"/>
        <v/>
      </c>
      <c r="IB96" s="460" t="str">
        <f t="shared" si="434"/>
        <v/>
      </c>
      <c r="IC96" s="460" t="str">
        <f t="shared" si="434"/>
        <v/>
      </c>
      <c r="ID96" s="674" t="str">
        <f t="shared" si="434"/>
        <v/>
      </c>
      <c r="IE96" s="250"/>
    </row>
    <row r="97" spans="8:239" ht="13.8" thickBot="1">
      <c r="H97" s="51">
        <f t="shared" ca="1" si="315"/>
        <v>0</v>
      </c>
      <c r="I97" s="379">
        <f t="shared" si="316"/>
        <v>39114</v>
      </c>
      <c r="J97" s="377"/>
      <c r="K97" s="104" t="s">
        <v>268</v>
      </c>
      <c r="L97" s="392">
        <f t="shared" si="317"/>
        <v>3.7499999999999999E-2</v>
      </c>
      <c r="M97" s="171"/>
      <c r="N97" s="382">
        <v>0</v>
      </c>
      <c r="O97" s="171">
        <f t="shared" si="272"/>
        <v>0</v>
      </c>
      <c r="P97" s="377"/>
      <c r="Q97" s="104" t="s">
        <v>268</v>
      </c>
      <c r="R97" s="377">
        <f t="shared" ca="1" si="417"/>
        <v>-1.1210997068967772</v>
      </c>
      <c r="S97" s="832">
        <f t="shared" si="435"/>
        <v>0.36000000001278543</v>
      </c>
      <c r="T97" s="831">
        <f t="shared" si="418"/>
        <v>0.99999935154557851</v>
      </c>
      <c r="U97" s="545">
        <f t="shared" si="419"/>
        <v>0.9999999999964041</v>
      </c>
      <c r="V97" s="389">
        <v>0</v>
      </c>
      <c r="W97" s="434">
        <f t="shared" si="273"/>
        <v>0</v>
      </c>
      <c r="X97" s="415">
        <f t="shared" si="274"/>
        <v>8.6250000000000007E-2</v>
      </c>
      <c r="Y97" s="322">
        <f t="shared" si="275"/>
        <v>-1.1304999999999998</v>
      </c>
      <c r="Z97" s="322">
        <f t="shared" ca="1" si="276"/>
        <v>-1.0442499999999999</v>
      </c>
      <c r="AA97" s="429">
        <f t="shared" si="277"/>
        <v>1.1304999999999998</v>
      </c>
      <c r="AB97" s="433">
        <f t="shared" ca="1" si="278"/>
        <v>1.1304999999999998</v>
      </c>
      <c r="AC97" s="229">
        <v>39102</v>
      </c>
      <c r="AD97" s="229">
        <v>39098</v>
      </c>
      <c r="AE97" s="229">
        <v>39097</v>
      </c>
      <c r="AF97" s="229">
        <v>39093</v>
      </c>
      <c r="AG97" s="249" t="s">
        <v>499</v>
      </c>
      <c r="AH97" s="247" t="s">
        <v>499</v>
      </c>
      <c r="AI97" s="146">
        <v>20</v>
      </c>
      <c r="AJ97" s="41">
        <v>14</v>
      </c>
      <c r="AK97" s="41">
        <v>6</v>
      </c>
      <c r="AL97" s="293">
        <v>20</v>
      </c>
      <c r="AM97" s="41">
        <v>10</v>
      </c>
      <c r="AN97" s="147">
        <v>10</v>
      </c>
      <c r="AO97" s="374"/>
      <c r="AP97" s="153">
        <f t="shared" ca="1" si="318"/>
        <v>1</v>
      </c>
      <c r="AQ97" s="374"/>
      <c r="AR97" s="153">
        <f t="shared" ca="1" si="420"/>
        <v>1</v>
      </c>
      <c r="AS97" s="272">
        <f t="shared" si="279"/>
        <v>0</v>
      </c>
      <c r="AT97" s="157">
        <f t="shared" si="319"/>
        <v>0</v>
      </c>
      <c r="AU97" s="157">
        <f t="shared" si="280"/>
        <v>0</v>
      </c>
      <c r="AV97" s="271">
        <f t="shared" ca="1" si="430"/>
        <v>9.9999999999999995E-7</v>
      </c>
      <c r="AW97" s="158" t="str">
        <f t="shared" ca="1" si="281"/>
        <v/>
      </c>
      <c r="AX97" s="157">
        <f t="shared" ca="1" si="421"/>
        <v>1.8986947945227703E-3</v>
      </c>
      <c r="AY97" s="157">
        <f t="shared" ca="1" si="422"/>
        <v>8.7961551012027397E-4</v>
      </c>
      <c r="AZ97" s="157">
        <f t="shared" ca="1" si="423"/>
        <v>1.7108412205638687E-4</v>
      </c>
      <c r="BA97" s="157">
        <f t="shared" ca="1" si="424"/>
        <v>2.1385515257048358E-5</v>
      </c>
      <c r="BB97" s="157">
        <f t="shared" ca="1" si="425"/>
        <v>3.3837138747287177E-6</v>
      </c>
      <c r="BC97" s="157">
        <f t="shared" ca="1" si="426"/>
        <v>9.1468052561888979E-7</v>
      </c>
      <c r="BD97" s="151">
        <f t="shared" ca="1" si="282"/>
        <v>0</v>
      </c>
      <c r="BE97" s="152">
        <f t="shared" ca="1" si="283"/>
        <v>0</v>
      </c>
      <c r="BF97" s="40">
        <f t="shared" si="284"/>
        <v>2007</v>
      </c>
      <c r="BG97" s="144">
        <f t="shared" si="285"/>
        <v>2</v>
      </c>
      <c r="BH97" s="145">
        <f t="shared" ca="1" si="286"/>
        <v>2353</v>
      </c>
      <c r="BI97" s="313">
        <f t="shared" ca="1" si="287"/>
        <v>6.4859685147159478</v>
      </c>
      <c r="BJ97" s="42">
        <f t="shared" ca="1" si="288"/>
        <v>6.5377138945927449</v>
      </c>
      <c r="BK97" s="42">
        <f t="shared" ca="1" si="289"/>
        <v>6.5404517453798769</v>
      </c>
      <c r="BL97" s="42">
        <f t="shared" ca="1" si="290"/>
        <v>6.5598904859685145</v>
      </c>
      <c r="BM97" s="150" t="e">
        <f t="shared" ca="1" si="291"/>
        <v>#DIV/0!</v>
      </c>
      <c r="BN97" s="42" t="e">
        <f t="shared" ca="1" si="292"/>
        <v>#DIV/0!</v>
      </c>
      <c r="BO97" s="293">
        <f t="shared" si="320"/>
        <v>20</v>
      </c>
      <c r="BP97" s="41">
        <f t="shared" si="293"/>
        <v>14</v>
      </c>
      <c r="BQ97" s="41">
        <f t="shared" si="294"/>
        <v>6</v>
      </c>
      <c r="BR97" s="305" t="str">
        <f t="shared" ca="1" si="295"/>
        <v/>
      </c>
      <c r="BS97" s="305" t="str">
        <f t="shared" ca="1" si="296"/>
        <v/>
      </c>
      <c r="BT97" s="307" t="str">
        <f t="shared" ca="1" si="297"/>
        <v/>
      </c>
      <c r="BU97" s="161" t="str">
        <f t="shared" ca="1" si="298"/>
        <v/>
      </c>
      <c r="BV97" s="161" t="str">
        <f t="shared" ca="1" si="299"/>
        <v/>
      </c>
      <c r="BW97" s="308" t="str">
        <f t="shared" ca="1" si="300"/>
        <v/>
      </c>
      <c r="BX97" s="309" t="str">
        <f t="shared" ca="1" si="301"/>
        <v/>
      </c>
      <c r="BY97" s="308" t="str">
        <f t="shared" ca="1" si="321"/>
        <v/>
      </c>
      <c r="BZ97" s="309" t="str">
        <f t="shared" ca="1" si="322"/>
        <v/>
      </c>
      <c r="CA97" s="154" t="str">
        <f t="shared" ca="1" si="302"/>
        <v/>
      </c>
      <c r="CB97" s="154" t="str">
        <f t="shared" ca="1" si="303"/>
        <v/>
      </c>
      <c r="CC97" s="154" t="str">
        <f t="shared" ca="1" si="304"/>
        <v/>
      </c>
      <c r="CD97" s="154" t="str">
        <f t="shared" ca="1" si="305"/>
        <v/>
      </c>
      <c r="CE97" s="310">
        <v>1</v>
      </c>
      <c r="CF97" s="162">
        <f ca="1">IF(BD97,_xll.xCrudeAPO(BU97,BV97,CA97,CB97,S98,S99,BI97,BL97,BP97,BQ97,0,Strike1,AO97,CE97,0,BL97,IF(OptControl=4,0,1),0,1),0)</f>
        <v>0</v>
      </c>
      <c r="CG97" s="163">
        <f ca="1">IF(BD97,_xll.xCrudeAPO(BU97,BV97,CA97,CB97,S98,S99,BI97,BL97,BP97,BQ97,0,Strike1,AO97,CE97,0,BL97,IF(OptControl=4,0,1),1,1)+_xll.xCrudeAPO(BU97,BV97,CA97,CB97,S98,S99,BI97,BL97,BP97,BQ97,0,Strike1,AO97,CE97,0,BL97,IF(OptControl=4,0,1),1,2)+IF(OR(VolSkewFlag=2,ABS(BS97)&lt;0.0001),0,IF(BS97&gt;0,-1,1)*CH97*Strike1/BR97^2*BY97/10%),0)</f>
        <v>0</v>
      </c>
      <c r="CH97" s="163">
        <f ca="1">IF(BD97,(_xll.xCrudeAPO(BU97,BV97,CA97,CB97,S98,S99,BI97,BL97,BP97,BQ97,0,Strike1,AO97,CE97,0,BL97,IF(OptControl=4,0,1),3,1)+_xll.xCrudeAPO(BU97,BV97,CA97,CB97,S98,S99,BI97,BL97,BP97,BQ97,0,Strike1,AO97,CE97,0,BL97,IF(OptControl=4,0,1),3,2))/100,0)</f>
        <v>0</v>
      </c>
      <c r="CI97" s="163">
        <f ca="1">IF(BD97,_xll.xCrudeAPO(BU97,BV97,CA97,CB97,S98,S99,BI97-DaysForThetaCalculation/365.25,BL97-DaysForThetaCalculation/365.25,BP97,BQ97,0,Strike1,AO97,CE97,0,BL97,IF(OptControl=4,0,1),0,1)-_xll.xCrudeAPO(BU97,BV97,CA97,CB97,S98,S99,BI97,BL97,BP97,BQ97,0,Strike1,AO97,CE97,0,BL97,IF(OptControl=4,0,1),0,1),0)</f>
        <v>0</v>
      </c>
      <c r="CJ97" s="311">
        <f ca="1">IF(BD97,_xll.xCrudeAPO(BU97,BV97,CC97,CD97,S98,S99,BI97,BL97,BP97,BQ97,0,Strike2,AO97,CE97,0,BL97,IF(OptControl=3,1,0),0,1),0)</f>
        <v>0</v>
      </c>
      <c r="CK97" s="163">
        <f ca="1">IF(BD97,_xll.xCrudeAPO(BU97,BV97,CC97,CD97,S98,S99,BI97,BL97,BP97,BQ97,0,Strike2,AO97,CE97,0,BL97,IF(OptControl=3,1,0),1,1)+_xll.xCrudeAPO(BU97,BV97,CC97,CD97,S98,S99,BI97,BL97,BP97,BQ97,0,Strike2,AO97,CE97,0,BL97,IF(OptControl=3,1,0),1,2)+IF(OR(VolSkewFlag=2,ABS(BT97)&lt;0.0001),0,IF(BT97&gt;0,-1,1)*CL97*Strike2/BR97^2*BZ97/10%),0)</f>
        <v>0</v>
      </c>
      <c r="CL97" s="163">
        <f ca="1">IF(BD97,(_xll.xCrudeAPO(BU97,BV97,CC97,CD97,S98,S99,BI97,BL97,BP97,BQ97,0,Strike2,AO97,CE97,0,BL97,IF(OptControl=3,1,0),3,1)+_xll.xCrudeAPO(BU97,BV97,CC97,CD97,S98,S99,BI97,BL97,BP97,BQ97,0,Strike2,AO97,CE97,0,BL97,IF(OptControl=3,1,0),3,2))/100,0)</f>
        <v>0</v>
      </c>
      <c r="CM97" s="164">
        <f ca="1">IF(BD97,_xll.xCrudeAPO(BU97,BV97,CC97,CD97,S98,S99,BI97-DaysForThetaCalculation/365.25,BL97-DaysForThetaCalculation/365.25,BP97,BQ97,0,Strike2,AO97,CE97,0,BL97,IF(OptControl=3,1,0),0,1)-_xll.xCrudeAPO(BU97,BV97,CC97,CD97,S98,S99,BI97,BL97,BP97,BQ97,0,Strike2,AO97,CE97,0,BL97,IF(OptControl=3,1,0),0,1),0)</f>
        <v>0</v>
      </c>
      <c r="CN97" s="53"/>
      <c r="CO97" s="796" t="str">
        <f t="shared" ca="1" si="323"/>
        <v/>
      </c>
      <c r="CP97" s="800" t="str">
        <f t="shared" ca="1" si="324"/>
        <v/>
      </c>
      <c r="CQ97" s="797" t="str">
        <f t="shared" ca="1" si="325"/>
        <v/>
      </c>
      <c r="CR97" s="797" t="str">
        <f t="shared" ca="1" si="326"/>
        <v/>
      </c>
      <c r="CS97" s="797" t="str">
        <f t="shared" ca="1" si="327"/>
        <v/>
      </c>
      <c r="CT97" s="797" t="str">
        <f t="shared" ca="1" si="328"/>
        <v/>
      </c>
      <c r="CU97" s="798" t="str">
        <f t="shared" ca="1" si="329"/>
        <v/>
      </c>
      <c r="CV97" s="799" t="str">
        <f t="shared" ca="1" si="330"/>
        <v/>
      </c>
      <c r="CW97" s="799" t="str">
        <f t="shared" ca="1" si="331"/>
        <v/>
      </c>
      <c r="CX97" s="163">
        <f ca="1">IF(BD97,_xll.EURO(CP97,Strike1,AO97,AO97,CV97,CO97,IF(OptControl=4,0,1),0),0)</f>
        <v>0</v>
      </c>
      <c r="CY97" s="163">
        <f ca="1">IF(BD97,_xll.EURO(CP97,Strike1,AO97,AO97,CV97,CO97,IF(OptControl=4,0,1),1)+IF(OR(VolSkewFlag=2,ABS(CQ97)&lt;0.0001),0,IF(CQ97&gt;0,-1,1)*CZ97*100*Strike1/CP97^2*CS97/10%),0)</f>
        <v>0</v>
      </c>
      <c r="CZ97" s="163">
        <f ca="1">IF(BD97,_xll.EURO(CP97,Strike1,AO97,AO97,CV97,CO97,IF(OptControl=4,0,1),3)/100,0)</f>
        <v>0</v>
      </c>
      <c r="DA97" s="163">
        <f ca="1">IF(BD97,_xll.EURO(CP97,Strike1,AO97,AO97,CV97,CO97,IF(OptControl=4,0,1),0)-_xll.EURO(CP97,Strike1,AO97,AO97,CV97,CO97-1,IF(OptControl=4,0,1),0),0)</f>
        <v>0</v>
      </c>
      <c r="DB97" s="163">
        <f ca="1">IF(BD97,_xll.EURO(CP97,Strike2,AO97,AO97,CW97,CO97,IF(OptControl=3,1,0),0),0)</f>
        <v>0</v>
      </c>
      <c r="DC97" s="163">
        <f ca="1">IF(BD97,_xll.EURO(CP97,Strike2,AO97,AO97,CW97,CO97,IF(OptControl=3,1,0),1)+IF(OR(VolSkewFlag=2,ABS(CR97)&lt;0.0001),0,IF(CR97&gt;0,-1,1)*DD97*100*Strike2/CP97^2*CT97/10%),0)</f>
        <v>0</v>
      </c>
      <c r="DD97" s="163">
        <f ca="1">IF(BD97,_xll.EURO(CP97,Strike2,AO97,AO97,CW97,CO97,IF(OptControl=3,1,0),3)/100,0)</f>
        <v>0</v>
      </c>
      <c r="DE97" s="164">
        <f ca="1">IF(BD97,_xll.EURO(CP97,Strike2,AO97,AO97,CW97,CO97,IF(OptControl=3,1,0),0)-_xll.EURO(CP97,Strike2,AO97,AO97,CW97,CO97-1,IF(OptControl=3,1,0),0),0)</f>
        <v>0</v>
      </c>
      <c r="DG97" s="667">
        <f t="shared" ca="1" si="332"/>
        <v>38899</v>
      </c>
      <c r="DH97" s="475">
        <v>18.314166666666669</v>
      </c>
      <c r="DI97" s="665">
        <v>18.31304166666667</v>
      </c>
      <c r="DJ97" s="666">
        <f t="shared" ca="1" si="306"/>
        <v>38899</v>
      </c>
      <c r="DK97" s="475">
        <v>17.124351653937154</v>
      </c>
      <c r="DL97" s="665">
        <v>17.056441666666672</v>
      </c>
      <c r="DM97" s="667">
        <f t="shared" ca="1" si="307"/>
        <v>38899</v>
      </c>
      <c r="DN97" s="668">
        <f t="shared" si="308"/>
        <v>17.174351653937155</v>
      </c>
      <c r="DO97" s="667">
        <f t="shared" ca="1" si="333"/>
        <v>38899</v>
      </c>
      <c r="DP97" s="579">
        <f t="shared" si="334"/>
        <v>17.056441666666672</v>
      </c>
      <c r="DQ97" s="821">
        <v>0</v>
      </c>
      <c r="DR97" s="666">
        <f t="shared" ca="1" si="309"/>
        <v>38899</v>
      </c>
      <c r="DS97" s="669">
        <v>0.1784</v>
      </c>
      <c r="DT97" s="606">
        <v>0.17759</v>
      </c>
      <c r="DU97" s="666">
        <f t="shared" ca="1" si="310"/>
        <v>38899</v>
      </c>
      <c r="DV97" s="669">
        <v>0.1784</v>
      </c>
      <c r="DW97" s="606">
        <v>0.17759</v>
      </c>
      <c r="DX97" s="667">
        <f t="shared" ca="1" si="311"/>
        <v>38899</v>
      </c>
      <c r="DY97" s="606">
        <v>0.35</v>
      </c>
      <c r="DZ97" s="667">
        <f t="shared" ca="1" si="335"/>
        <v>38899</v>
      </c>
      <c r="EA97" s="606">
        <f t="shared" si="336"/>
        <v>0.17759</v>
      </c>
      <c r="EB97" s="1"/>
      <c r="EC97" s="118" t="str">
        <f t="shared" ca="1" si="312"/>
        <v/>
      </c>
      <c r="ED97" s="119" t="str">
        <f t="shared" ca="1" si="313"/>
        <v/>
      </c>
      <c r="EE97" s="112" t="str">
        <f t="shared" ca="1" si="314"/>
        <v/>
      </c>
      <c r="EF97" s="120">
        <f ca="1">IF(BD97,_xll.xASN(BR97,Strike1,AO97,ED97,0,BO97,0,BI97,BL97,IF(OptControl=4,0,1),0),0)</f>
        <v>0</v>
      </c>
      <c r="EG97" s="111">
        <f ca="1">IF(BD97,_xll.xASN(BR97,Strike2,AO97,EE97,0,BO97,0,BI97,BL97,IF(OptControl=3,1,0),0),0)</f>
        <v>0</v>
      </c>
      <c r="EL97" s="55"/>
      <c r="EM97" s="1"/>
      <c r="EN97" s="699">
        <v>45842</v>
      </c>
      <c r="EO97" s="700">
        <v>50764</v>
      </c>
      <c r="EP97" s="1"/>
      <c r="EQ97" s="683" t="s">
        <v>310</v>
      </c>
      <c r="ES97" s="455"/>
      <c r="ET97" s="36"/>
      <c r="EU97" s="107"/>
      <c r="EV97" s="475"/>
      <c r="EW97" s="456"/>
      <c r="EX97" s="456"/>
      <c r="EY97" s="250"/>
      <c r="EZ97" s="250"/>
      <c r="FA97" s="250"/>
      <c r="FB97" s="250"/>
      <c r="FC97" s="250"/>
      <c r="FD97" s="250"/>
      <c r="FE97" s="250"/>
      <c r="FF97" s="250"/>
      <c r="FG97" s="250"/>
      <c r="FH97" s="250"/>
      <c r="FI97" s="250"/>
      <c r="FJ97" s="673">
        <v>3</v>
      </c>
      <c r="FK97" s="460">
        <f t="shared" ca="1" si="432"/>
        <v>0</v>
      </c>
      <c r="FL97" s="460">
        <f t="shared" ref="FL97:HW100" ca="1" si="437">IF($FJ22&lt;FL$94,"",SQRT(FL22/FL$15))</f>
        <v>0.33460383977449615</v>
      </c>
      <c r="FM97" s="460">
        <f t="shared" ca="1" si="437"/>
        <v>0.39</v>
      </c>
      <c r="FN97" s="460" t="str">
        <f t="shared" si="437"/>
        <v/>
      </c>
      <c r="FO97" s="460" t="str">
        <f t="shared" si="437"/>
        <v/>
      </c>
      <c r="FP97" s="460" t="str">
        <f t="shared" si="437"/>
        <v/>
      </c>
      <c r="FQ97" s="460" t="str">
        <f t="shared" si="437"/>
        <v/>
      </c>
      <c r="FR97" s="460" t="str">
        <f t="shared" si="437"/>
        <v/>
      </c>
      <c r="FS97" s="460" t="str">
        <f t="shared" si="437"/>
        <v/>
      </c>
      <c r="FT97" s="460" t="str">
        <f t="shared" si="437"/>
        <v/>
      </c>
      <c r="FU97" s="460" t="str">
        <f t="shared" si="437"/>
        <v/>
      </c>
      <c r="FV97" s="460" t="str">
        <f t="shared" si="437"/>
        <v/>
      </c>
      <c r="FW97" s="460" t="str">
        <f t="shared" si="437"/>
        <v/>
      </c>
      <c r="FX97" s="460" t="str">
        <f t="shared" si="437"/>
        <v/>
      </c>
      <c r="FY97" s="460" t="str">
        <f t="shared" si="437"/>
        <v/>
      </c>
      <c r="FZ97" s="460" t="str">
        <f t="shared" si="437"/>
        <v/>
      </c>
      <c r="GA97" s="460" t="str">
        <f t="shared" si="437"/>
        <v/>
      </c>
      <c r="GB97" s="460" t="str">
        <f t="shared" si="437"/>
        <v/>
      </c>
      <c r="GC97" s="460" t="str">
        <f t="shared" si="437"/>
        <v/>
      </c>
      <c r="GD97" s="460" t="str">
        <f t="shared" si="437"/>
        <v/>
      </c>
      <c r="GE97" s="460" t="str">
        <f t="shared" si="437"/>
        <v/>
      </c>
      <c r="GF97" s="460" t="str">
        <f t="shared" si="437"/>
        <v/>
      </c>
      <c r="GG97" s="460" t="str">
        <f t="shared" si="437"/>
        <v/>
      </c>
      <c r="GH97" s="460" t="str">
        <f t="shared" si="437"/>
        <v/>
      </c>
      <c r="GI97" s="460" t="str">
        <f t="shared" si="437"/>
        <v/>
      </c>
      <c r="GJ97" s="460" t="str">
        <f t="shared" si="437"/>
        <v/>
      </c>
      <c r="GK97" s="460" t="str">
        <f t="shared" si="437"/>
        <v/>
      </c>
      <c r="GL97" s="460" t="str">
        <f t="shared" si="437"/>
        <v/>
      </c>
      <c r="GM97" s="460" t="str">
        <f t="shared" si="437"/>
        <v/>
      </c>
      <c r="GN97" s="460" t="str">
        <f t="shared" si="437"/>
        <v/>
      </c>
      <c r="GO97" s="460" t="str">
        <f t="shared" si="437"/>
        <v/>
      </c>
      <c r="GP97" s="460" t="str">
        <f t="shared" si="437"/>
        <v/>
      </c>
      <c r="GQ97" s="460" t="str">
        <f t="shared" si="437"/>
        <v/>
      </c>
      <c r="GR97" s="460" t="str">
        <f t="shared" si="437"/>
        <v/>
      </c>
      <c r="GS97" s="460" t="str">
        <f t="shared" si="437"/>
        <v/>
      </c>
      <c r="GT97" s="460" t="str">
        <f t="shared" si="437"/>
        <v/>
      </c>
      <c r="GU97" s="460" t="str">
        <f t="shared" si="437"/>
        <v/>
      </c>
      <c r="GV97" s="460" t="str">
        <f t="shared" si="437"/>
        <v/>
      </c>
      <c r="GW97" s="460" t="str">
        <f t="shared" si="437"/>
        <v/>
      </c>
      <c r="GX97" s="460" t="str">
        <f t="shared" si="437"/>
        <v/>
      </c>
      <c r="GY97" s="460" t="str">
        <f t="shared" si="437"/>
        <v/>
      </c>
      <c r="GZ97" s="460" t="str">
        <f t="shared" si="437"/>
        <v/>
      </c>
      <c r="HA97" s="460" t="str">
        <f t="shared" si="437"/>
        <v/>
      </c>
      <c r="HB97" s="460" t="str">
        <f t="shared" si="437"/>
        <v/>
      </c>
      <c r="HC97" s="460" t="str">
        <f t="shared" si="437"/>
        <v/>
      </c>
      <c r="HD97" s="460" t="str">
        <f t="shared" si="437"/>
        <v/>
      </c>
      <c r="HE97" s="460" t="str">
        <f t="shared" si="437"/>
        <v/>
      </c>
      <c r="HF97" s="460" t="str">
        <f t="shared" si="437"/>
        <v/>
      </c>
      <c r="HG97" s="460" t="str">
        <f t="shared" si="437"/>
        <v/>
      </c>
      <c r="HH97" s="460" t="str">
        <f t="shared" si="437"/>
        <v/>
      </c>
      <c r="HI97" s="460" t="str">
        <f t="shared" si="437"/>
        <v/>
      </c>
      <c r="HJ97" s="460" t="str">
        <f t="shared" si="437"/>
        <v/>
      </c>
      <c r="HK97" s="460" t="str">
        <f t="shared" si="437"/>
        <v/>
      </c>
      <c r="HL97" s="460" t="str">
        <f t="shared" si="437"/>
        <v/>
      </c>
      <c r="HM97" s="460" t="str">
        <f t="shared" si="437"/>
        <v/>
      </c>
      <c r="HN97" s="460" t="str">
        <f t="shared" si="437"/>
        <v/>
      </c>
      <c r="HO97" s="460" t="str">
        <f t="shared" si="437"/>
        <v/>
      </c>
      <c r="HP97" s="460" t="str">
        <f t="shared" si="437"/>
        <v/>
      </c>
      <c r="HQ97" s="460" t="str">
        <f t="shared" si="437"/>
        <v/>
      </c>
      <c r="HR97" s="460" t="str">
        <f t="shared" si="437"/>
        <v/>
      </c>
      <c r="HS97" s="460" t="str">
        <f t="shared" si="437"/>
        <v/>
      </c>
      <c r="HT97" s="460" t="str">
        <f t="shared" si="437"/>
        <v/>
      </c>
      <c r="HU97" s="460" t="str">
        <f t="shared" si="437"/>
        <v/>
      </c>
      <c r="HV97" s="460" t="str">
        <f t="shared" si="437"/>
        <v/>
      </c>
      <c r="HW97" s="460" t="str">
        <f t="shared" si="437"/>
        <v/>
      </c>
      <c r="HX97" s="460" t="str">
        <f t="shared" si="434"/>
        <v/>
      </c>
      <c r="HY97" s="460" t="str">
        <f t="shared" si="434"/>
        <v/>
      </c>
      <c r="HZ97" s="460" t="str">
        <f t="shared" si="434"/>
        <v/>
      </c>
      <c r="IA97" s="460" t="str">
        <f t="shared" si="434"/>
        <v/>
      </c>
      <c r="IB97" s="460" t="str">
        <f t="shared" si="434"/>
        <v/>
      </c>
      <c r="IC97" s="460" t="str">
        <f t="shared" si="434"/>
        <v/>
      </c>
      <c r="ID97" s="674" t="str">
        <f t="shared" si="434"/>
        <v/>
      </c>
      <c r="IE97" s="250"/>
    </row>
    <row r="98" spans="8:239">
      <c r="H98" s="51">
        <f t="shared" ca="1" si="315"/>
        <v>0</v>
      </c>
      <c r="I98" s="379">
        <f t="shared" si="316"/>
        <v>39142</v>
      </c>
      <c r="J98" s="377"/>
      <c r="K98" s="104" t="s">
        <v>268</v>
      </c>
      <c r="L98" s="392">
        <f t="shared" si="317"/>
        <v>7.4999999999999997E-2</v>
      </c>
      <c r="M98" s="171"/>
      <c r="N98" s="382">
        <v>0</v>
      </c>
      <c r="O98" s="171">
        <f t="shared" si="272"/>
        <v>0</v>
      </c>
      <c r="P98" s="377"/>
      <c r="Q98" s="104" t="s">
        <v>268</v>
      </c>
      <c r="R98" s="377">
        <f t="shared" ca="1" si="417"/>
        <v>-1.0504694336868465</v>
      </c>
      <c r="S98" s="832">
        <f t="shared" si="435"/>
        <v>0.36000000000958909</v>
      </c>
      <c r="T98" s="831">
        <f t="shared" si="418"/>
        <v>0.99999944557168441</v>
      </c>
      <c r="U98" s="545">
        <f t="shared" si="419"/>
        <v>0.99999999999730305</v>
      </c>
      <c r="V98" s="389">
        <v>0</v>
      </c>
      <c r="W98" s="434">
        <f t="shared" si="273"/>
        <v>0</v>
      </c>
      <c r="X98" s="415">
        <f t="shared" si="274"/>
        <v>0.1261363636363636</v>
      </c>
      <c r="Y98" s="322">
        <f t="shared" si="275"/>
        <v>-1.1304999999999998</v>
      </c>
      <c r="Z98" s="322">
        <f t="shared" ca="1" si="276"/>
        <v>-1.0043636363636361</v>
      </c>
      <c r="AA98" s="429">
        <f t="shared" si="277"/>
        <v>1.1304999999999998</v>
      </c>
      <c r="AB98" s="433">
        <f t="shared" ca="1" si="278"/>
        <v>1.1304999999999998</v>
      </c>
      <c r="AC98" s="229">
        <v>39133</v>
      </c>
      <c r="AD98" s="229">
        <v>39129</v>
      </c>
      <c r="AE98" s="229">
        <v>39128</v>
      </c>
      <c r="AF98" s="229">
        <v>39124</v>
      </c>
      <c r="AG98" s="249" t="s">
        <v>499</v>
      </c>
      <c r="AH98" s="247" t="s">
        <v>499</v>
      </c>
      <c r="AI98" s="146">
        <v>22</v>
      </c>
      <c r="AJ98" s="41">
        <v>14</v>
      </c>
      <c r="AK98" s="41">
        <v>8</v>
      </c>
      <c r="AL98" s="293">
        <v>22</v>
      </c>
      <c r="AM98" s="41">
        <v>10</v>
      </c>
      <c r="AN98" s="147">
        <v>12</v>
      </c>
      <c r="AO98" s="374"/>
      <c r="AP98" s="153">
        <f t="shared" ca="1" si="318"/>
        <v>1</v>
      </c>
      <c r="AQ98" s="374"/>
      <c r="AR98" s="153">
        <f t="shared" ca="1" si="420"/>
        <v>1</v>
      </c>
      <c r="AS98" s="272">
        <f t="shared" si="279"/>
        <v>0</v>
      </c>
      <c r="AT98" s="157">
        <f t="shared" si="319"/>
        <v>0</v>
      </c>
      <c r="AU98" s="157">
        <f t="shared" si="280"/>
        <v>0</v>
      </c>
      <c r="AV98" s="271">
        <f t="shared" ca="1" si="430"/>
        <v>9.9999999999999995E-7</v>
      </c>
      <c r="AW98" s="158" t="str">
        <f t="shared" ca="1" si="281"/>
        <v/>
      </c>
      <c r="AX98" s="157">
        <f t="shared" ca="1" si="421"/>
        <v>1.8356119999350573E-3</v>
      </c>
      <c r="AY98" s="157">
        <f t="shared" ca="1" si="422"/>
        <v>8.4473748210913237E-4</v>
      </c>
      <c r="AZ98" s="157">
        <f t="shared" ca="1" si="423"/>
        <v>1.6148190811672309E-4</v>
      </c>
      <c r="BA98" s="157">
        <f t="shared" ca="1" si="424"/>
        <v>2.0185238514590386E-5</v>
      </c>
      <c r="BB98" s="157">
        <f t="shared" ca="1" si="425"/>
        <v>3.0876888365777521E-6</v>
      </c>
      <c r="BC98" s="157">
        <f t="shared" ca="1" si="426"/>
        <v>8.1488770778180009E-7</v>
      </c>
      <c r="BD98" s="151">
        <f t="shared" ca="1" si="282"/>
        <v>0</v>
      </c>
      <c r="BE98" s="152">
        <f t="shared" ca="1" si="283"/>
        <v>0</v>
      </c>
      <c r="BF98" s="40">
        <f t="shared" si="284"/>
        <v>2007</v>
      </c>
      <c r="BG98" s="144">
        <f t="shared" si="285"/>
        <v>3</v>
      </c>
      <c r="BH98" s="145">
        <f t="shared" ca="1" si="286"/>
        <v>2384</v>
      </c>
      <c r="BI98" s="313">
        <f t="shared" ca="1" si="287"/>
        <v>6.5626283367556466</v>
      </c>
      <c r="BJ98" s="42">
        <f t="shared" ca="1" si="288"/>
        <v>6.614896397237259</v>
      </c>
      <c r="BK98" s="42">
        <f t="shared" ca="1" si="289"/>
        <v>6.617634248024391</v>
      </c>
      <c r="BL98" s="42">
        <f t="shared" ca="1" si="290"/>
        <v>6.6447638603696095</v>
      </c>
      <c r="BM98" s="150" t="e">
        <f t="shared" ca="1" si="291"/>
        <v>#DIV/0!</v>
      </c>
      <c r="BN98" s="42" t="e">
        <f t="shared" ca="1" si="292"/>
        <v>#DIV/0!</v>
      </c>
      <c r="BO98" s="293">
        <f t="shared" si="320"/>
        <v>22</v>
      </c>
      <c r="BP98" s="41">
        <f t="shared" si="293"/>
        <v>14</v>
      </c>
      <c r="BQ98" s="41">
        <f t="shared" si="294"/>
        <v>8</v>
      </c>
      <c r="BR98" s="305" t="str">
        <f t="shared" ca="1" si="295"/>
        <v/>
      </c>
      <c r="BS98" s="305" t="str">
        <f t="shared" ca="1" si="296"/>
        <v/>
      </c>
      <c r="BT98" s="307" t="str">
        <f t="shared" ca="1" si="297"/>
        <v/>
      </c>
      <c r="BU98" s="161" t="str">
        <f t="shared" ca="1" si="298"/>
        <v/>
      </c>
      <c r="BV98" s="161" t="str">
        <f t="shared" ca="1" si="299"/>
        <v/>
      </c>
      <c r="BW98" s="308" t="str">
        <f t="shared" ca="1" si="300"/>
        <v/>
      </c>
      <c r="BX98" s="309" t="str">
        <f t="shared" ca="1" si="301"/>
        <v/>
      </c>
      <c r="BY98" s="308" t="str">
        <f t="shared" ca="1" si="321"/>
        <v/>
      </c>
      <c r="BZ98" s="309" t="str">
        <f t="shared" ca="1" si="322"/>
        <v/>
      </c>
      <c r="CA98" s="154" t="str">
        <f t="shared" ca="1" si="302"/>
        <v/>
      </c>
      <c r="CB98" s="154" t="str">
        <f t="shared" ca="1" si="303"/>
        <v/>
      </c>
      <c r="CC98" s="154" t="str">
        <f t="shared" ca="1" si="304"/>
        <v/>
      </c>
      <c r="CD98" s="154" t="str">
        <f t="shared" ca="1" si="305"/>
        <v/>
      </c>
      <c r="CE98" s="310">
        <v>1</v>
      </c>
      <c r="CF98" s="162">
        <f ca="1">IF(BD98,_xll.xCrudeAPO(BU98,BV98,CA98,CB98,S99,S100,BI98,BL98,BP98,BQ98,0,Strike1,AO98,CE98,0,BL98,IF(OptControl=4,0,1),0,1),0)</f>
        <v>0</v>
      </c>
      <c r="CG98" s="163">
        <f ca="1">IF(BD98,_xll.xCrudeAPO(BU98,BV98,CA98,CB98,S99,S100,BI98,BL98,BP98,BQ98,0,Strike1,AO98,CE98,0,BL98,IF(OptControl=4,0,1),1,1)+_xll.xCrudeAPO(BU98,BV98,CA98,CB98,S99,S100,BI98,BL98,BP98,BQ98,0,Strike1,AO98,CE98,0,BL98,IF(OptControl=4,0,1),1,2)+IF(OR(VolSkewFlag=2,ABS(BS98)&lt;0.0001),0,IF(BS98&gt;0,-1,1)*CH98*Strike1/BR98^2*BY98/10%),0)</f>
        <v>0</v>
      </c>
      <c r="CH98" s="163">
        <f ca="1">IF(BD98,(_xll.xCrudeAPO(BU98,BV98,CA98,CB98,S99,S100,BI98,BL98,BP98,BQ98,0,Strike1,AO98,CE98,0,BL98,IF(OptControl=4,0,1),3,1)+_xll.xCrudeAPO(BU98,BV98,CA98,CB98,S99,S100,BI98,BL98,BP98,BQ98,0,Strike1,AO98,CE98,0,BL98,IF(OptControl=4,0,1),3,2))/100,0)</f>
        <v>0</v>
      </c>
      <c r="CI98" s="163">
        <f ca="1">IF(BD98,_xll.xCrudeAPO(BU98,BV98,CA98,CB98,S99,S100,BI98-DaysForThetaCalculation/365.25,BL98-DaysForThetaCalculation/365.25,BP98,BQ98,0,Strike1,AO98,CE98,0,BL98,IF(OptControl=4,0,1),0,1)-_xll.xCrudeAPO(BU98,BV98,CA98,CB98,S99,S100,BI98,BL98,BP98,BQ98,0,Strike1,AO98,CE98,0,BL98,IF(OptControl=4,0,1),0,1),0)</f>
        <v>0</v>
      </c>
      <c r="CJ98" s="311">
        <f ca="1">IF(BD98,_xll.xCrudeAPO(BU98,BV98,CC98,CD98,S99,S100,BI98,BL98,BP98,BQ98,0,Strike2,AO98,CE98,0,BL98,IF(OptControl=3,1,0),0,1),0)</f>
        <v>0</v>
      </c>
      <c r="CK98" s="163">
        <f ca="1">IF(BD98,_xll.xCrudeAPO(BU98,BV98,CC98,CD98,S99,S100,BI98,BL98,BP98,BQ98,0,Strike2,AO98,CE98,0,BL98,IF(OptControl=3,1,0),1,1)+_xll.xCrudeAPO(BU98,BV98,CC98,CD98,S99,S100,BI98,BL98,BP98,BQ98,0,Strike2,AO98,CE98,0,BL98,IF(OptControl=3,1,0),1,2)+IF(OR(VolSkewFlag=2,ABS(BT98)&lt;0.0001),0,IF(BT98&gt;0,-1,1)*CL98*Strike2/BR98^2*BZ98/10%),0)</f>
        <v>0</v>
      </c>
      <c r="CL98" s="163">
        <f ca="1">IF(BD98,(_xll.xCrudeAPO(BU98,BV98,CC98,CD98,S99,S100,BI98,BL98,BP98,BQ98,0,Strike2,AO98,CE98,0,BL98,IF(OptControl=3,1,0),3,1)+_xll.xCrudeAPO(BU98,BV98,CC98,CD98,S99,S100,BI98,BL98,BP98,BQ98,0,Strike2,AO98,CE98,0,BL98,IF(OptControl=3,1,0),3,2))/100,0)</f>
        <v>0</v>
      </c>
      <c r="CM98" s="164">
        <f ca="1">IF(BD98,_xll.xCrudeAPO(BU98,BV98,CC98,CD98,S99,S100,BI98-DaysForThetaCalculation/365.25,BL98-DaysForThetaCalculation/365.25,BP98,BQ98,0,Strike2,AO98,CE98,0,BL98,IF(OptControl=3,1,0),0,1)-_xll.xCrudeAPO(BU98,BV98,CC98,CD98,S99,S100,BI98,BL98,BP98,BQ98,0,Strike2,AO98,CE98,0,BL98,IF(OptControl=3,1,0),0,1),0)</f>
        <v>0</v>
      </c>
      <c r="CN98" s="53"/>
      <c r="CO98" s="796" t="str">
        <f t="shared" ca="1" si="323"/>
        <v/>
      </c>
      <c r="CP98" s="800" t="str">
        <f t="shared" ca="1" si="324"/>
        <v/>
      </c>
      <c r="CQ98" s="797" t="str">
        <f t="shared" ca="1" si="325"/>
        <v/>
      </c>
      <c r="CR98" s="797" t="str">
        <f t="shared" ca="1" si="326"/>
        <v/>
      </c>
      <c r="CS98" s="797" t="str">
        <f t="shared" ca="1" si="327"/>
        <v/>
      </c>
      <c r="CT98" s="797" t="str">
        <f t="shared" ca="1" si="328"/>
        <v/>
      </c>
      <c r="CU98" s="798" t="str">
        <f t="shared" ca="1" si="329"/>
        <v/>
      </c>
      <c r="CV98" s="799" t="str">
        <f t="shared" ca="1" si="330"/>
        <v/>
      </c>
      <c r="CW98" s="799" t="str">
        <f t="shared" ca="1" si="331"/>
        <v/>
      </c>
      <c r="CX98" s="163">
        <f ca="1">IF(BD98,_xll.EURO(CP98,Strike1,AO98,AO98,CV98,CO98,IF(OptControl=4,0,1),0),0)</f>
        <v>0</v>
      </c>
      <c r="CY98" s="163">
        <f ca="1">IF(BD98,_xll.EURO(CP98,Strike1,AO98,AO98,CV98,CO98,IF(OptControl=4,0,1),1)+IF(OR(VolSkewFlag=2,ABS(CQ98)&lt;0.0001),0,IF(CQ98&gt;0,-1,1)*CZ98*100*Strike1/CP98^2*CS98/10%),0)</f>
        <v>0</v>
      </c>
      <c r="CZ98" s="163">
        <f ca="1">IF(BD98,_xll.EURO(CP98,Strike1,AO98,AO98,CV98,CO98,IF(OptControl=4,0,1),3)/100,0)</f>
        <v>0</v>
      </c>
      <c r="DA98" s="163">
        <f ca="1">IF(BD98,_xll.EURO(CP98,Strike1,AO98,AO98,CV98,CO98,IF(OptControl=4,0,1),0)-_xll.EURO(CP98,Strike1,AO98,AO98,CV98,CO98-1,IF(OptControl=4,0,1),0),0)</f>
        <v>0</v>
      </c>
      <c r="DB98" s="163">
        <f ca="1">IF(BD98,_xll.EURO(CP98,Strike2,AO98,AO98,CW98,CO98,IF(OptControl=3,1,0),0),0)</f>
        <v>0</v>
      </c>
      <c r="DC98" s="163">
        <f ca="1">IF(BD98,_xll.EURO(CP98,Strike2,AO98,AO98,CW98,CO98,IF(OptControl=3,1,0),1)+IF(OR(VolSkewFlag=2,ABS(CR98)&lt;0.0001),0,IF(CR98&gt;0,-1,1)*DD98*100*Strike2/CP98^2*CT98/10%),0)</f>
        <v>0</v>
      </c>
      <c r="DD98" s="163">
        <f ca="1">IF(BD98,_xll.EURO(CP98,Strike2,AO98,AO98,CW98,CO98,IF(OptControl=3,1,0),3)/100,0)</f>
        <v>0</v>
      </c>
      <c r="DE98" s="164">
        <f ca="1">IF(BD98,_xll.EURO(CP98,Strike2,AO98,AO98,CW98,CO98,IF(OptControl=3,1,0),0)-_xll.EURO(CP98,Strike2,AO98,AO98,CW98,CO98-1,IF(OptControl=3,1,0),0),0)</f>
        <v>0</v>
      </c>
      <c r="DG98" s="667">
        <f t="shared" ca="1" si="332"/>
        <v>38930</v>
      </c>
      <c r="DH98" s="475">
        <v>18.313333333333336</v>
      </c>
      <c r="DI98" s="665">
        <v>18.31217391304348</v>
      </c>
      <c r="DJ98" s="666">
        <f t="shared" ca="1" si="306"/>
        <v>38930</v>
      </c>
      <c r="DK98" s="475">
        <v>16.956623621719043</v>
      </c>
      <c r="DL98" s="665">
        <v>17.055573913043482</v>
      </c>
      <c r="DM98" s="667">
        <f t="shared" ca="1" si="307"/>
        <v>38930</v>
      </c>
      <c r="DN98" s="668">
        <f t="shared" si="308"/>
        <v>17.006623621719044</v>
      </c>
      <c r="DO98" s="667">
        <f t="shared" ca="1" si="333"/>
        <v>38930</v>
      </c>
      <c r="DP98" s="579">
        <f t="shared" si="334"/>
        <v>17.055573913043482</v>
      </c>
      <c r="DQ98" s="821">
        <v>0</v>
      </c>
      <c r="DR98" s="666">
        <f t="shared" ca="1" si="309"/>
        <v>38930</v>
      </c>
      <c r="DS98" s="669">
        <v>0.17780000000000001</v>
      </c>
      <c r="DT98" s="606">
        <v>0.17696521739130433</v>
      </c>
      <c r="DU98" s="666">
        <f t="shared" ca="1" si="310"/>
        <v>38930</v>
      </c>
      <c r="DV98" s="669">
        <v>0.17780000000000001</v>
      </c>
      <c r="DW98" s="606">
        <v>0.17696521739130433</v>
      </c>
      <c r="DX98" s="667">
        <f t="shared" ca="1" si="311"/>
        <v>38930</v>
      </c>
      <c r="DY98" s="606">
        <v>0.35</v>
      </c>
      <c r="DZ98" s="667">
        <f t="shared" ca="1" si="335"/>
        <v>38930</v>
      </c>
      <c r="EA98" s="606">
        <f t="shared" si="336"/>
        <v>0.17696521739130433</v>
      </c>
      <c r="EB98" s="1"/>
      <c r="EC98" s="118" t="str">
        <f t="shared" ca="1" si="312"/>
        <v/>
      </c>
      <c r="ED98" s="119" t="str">
        <f t="shared" ca="1" si="313"/>
        <v/>
      </c>
      <c r="EE98" s="112" t="str">
        <f t="shared" ca="1" si="314"/>
        <v/>
      </c>
      <c r="EF98" s="120">
        <f ca="1">IF(BD98,_xll.xASN(BR98,Strike1,AO98,ED98,0,BO98,0,BI98,BL98,IF(OptControl=4,0,1),0),0)</f>
        <v>0</v>
      </c>
      <c r="EG98" s="111">
        <f ca="1">IF(BD98,_xll.xASN(BR98,Strike2,AO98,EE98,0,BO98,0,BI98,BL98,IF(OptControl=3,1,0),0),0)</f>
        <v>0</v>
      </c>
      <c r="EL98" s="55"/>
      <c r="EM98" s="1"/>
      <c r="EN98" s="106"/>
      <c r="EO98" s="106"/>
      <c r="EP98" s="1"/>
      <c r="EQ98" s="683" t="s">
        <v>311</v>
      </c>
      <c r="ES98" s="455"/>
      <c r="ET98" s="36"/>
      <c r="EU98" s="107"/>
      <c r="EV98" s="475"/>
      <c r="EW98" s="456"/>
      <c r="EX98" s="456"/>
      <c r="EY98" s="250"/>
      <c r="EZ98" s="250"/>
      <c r="FA98" s="250"/>
      <c r="FB98" s="250"/>
      <c r="FC98" s="250"/>
      <c r="FD98" s="250"/>
      <c r="FE98" s="250"/>
      <c r="FF98" s="250"/>
      <c r="FG98" s="250"/>
      <c r="FH98" s="250"/>
      <c r="FI98" s="250"/>
      <c r="FJ98" s="673">
        <v>4</v>
      </c>
      <c r="FK98" s="460">
        <f t="shared" ca="1" si="432"/>
        <v>0</v>
      </c>
      <c r="FL98" s="460">
        <f t="shared" ca="1" si="437"/>
        <v>0.3007564518432686</v>
      </c>
      <c r="FM98" s="460">
        <f t="shared" ca="1" si="437"/>
        <v>0.3434092039790882</v>
      </c>
      <c r="FN98" s="460">
        <f t="shared" ca="1" si="437"/>
        <v>0.38250000000000001</v>
      </c>
      <c r="FO98" s="460" t="str">
        <f t="shared" si="437"/>
        <v/>
      </c>
      <c r="FP98" s="460" t="str">
        <f t="shared" si="437"/>
        <v/>
      </c>
      <c r="FQ98" s="460" t="str">
        <f t="shared" si="437"/>
        <v/>
      </c>
      <c r="FR98" s="460" t="str">
        <f t="shared" si="437"/>
        <v/>
      </c>
      <c r="FS98" s="460" t="str">
        <f t="shared" si="437"/>
        <v/>
      </c>
      <c r="FT98" s="460" t="str">
        <f t="shared" si="437"/>
        <v/>
      </c>
      <c r="FU98" s="460" t="str">
        <f t="shared" si="437"/>
        <v/>
      </c>
      <c r="FV98" s="460" t="str">
        <f t="shared" si="437"/>
        <v/>
      </c>
      <c r="FW98" s="460" t="str">
        <f t="shared" si="437"/>
        <v/>
      </c>
      <c r="FX98" s="460" t="str">
        <f t="shared" si="437"/>
        <v/>
      </c>
      <c r="FY98" s="460" t="str">
        <f t="shared" si="437"/>
        <v/>
      </c>
      <c r="FZ98" s="460" t="str">
        <f t="shared" si="437"/>
        <v/>
      </c>
      <c r="GA98" s="460" t="str">
        <f t="shared" si="437"/>
        <v/>
      </c>
      <c r="GB98" s="460" t="str">
        <f t="shared" si="437"/>
        <v/>
      </c>
      <c r="GC98" s="460" t="str">
        <f t="shared" si="437"/>
        <v/>
      </c>
      <c r="GD98" s="460" t="str">
        <f t="shared" si="437"/>
        <v/>
      </c>
      <c r="GE98" s="460" t="str">
        <f t="shared" si="437"/>
        <v/>
      </c>
      <c r="GF98" s="460" t="str">
        <f t="shared" si="437"/>
        <v/>
      </c>
      <c r="GG98" s="460" t="str">
        <f t="shared" si="437"/>
        <v/>
      </c>
      <c r="GH98" s="460" t="str">
        <f t="shared" si="437"/>
        <v/>
      </c>
      <c r="GI98" s="460" t="str">
        <f t="shared" si="437"/>
        <v/>
      </c>
      <c r="GJ98" s="460" t="str">
        <f t="shared" si="437"/>
        <v/>
      </c>
      <c r="GK98" s="460" t="str">
        <f t="shared" si="437"/>
        <v/>
      </c>
      <c r="GL98" s="460" t="str">
        <f t="shared" si="437"/>
        <v/>
      </c>
      <c r="GM98" s="460" t="str">
        <f t="shared" si="437"/>
        <v/>
      </c>
      <c r="GN98" s="460" t="str">
        <f t="shared" si="437"/>
        <v/>
      </c>
      <c r="GO98" s="460" t="str">
        <f t="shared" si="437"/>
        <v/>
      </c>
      <c r="GP98" s="460" t="str">
        <f t="shared" si="437"/>
        <v/>
      </c>
      <c r="GQ98" s="460" t="str">
        <f t="shared" si="437"/>
        <v/>
      </c>
      <c r="GR98" s="460" t="str">
        <f t="shared" si="437"/>
        <v/>
      </c>
      <c r="GS98" s="460" t="str">
        <f t="shared" si="437"/>
        <v/>
      </c>
      <c r="GT98" s="460" t="str">
        <f t="shared" si="437"/>
        <v/>
      </c>
      <c r="GU98" s="460" t="str">
        <f t="shared" si="437"/>
        <v/>
      </c>
      <c r="GV98" s="460" t="str">
        <f t="shared" si="437"/>
        <v/>
      </c>
      <c r="GW98" s="460" t="str">
        <f t="shared" si="437"/>
        <v/>
      </c>
      <c r="GX98" s="460" t="str">
        <f t="shared" si="437"/>
        <v/>
      </c>
      <c r="GY98" s="460" t="str">
        <f t="shared" si="437"/>
        <v/>
      </c>
      <c r="GZ98" s="460" t="str">
        <f t="shared" si="437"/>
        <v/>
      </c>
      <c r="HA98" s="460" t="str">
        <f t="shared" si="437"/>
        <v/>
      </c>
      <c r="HB98" s="460" t="str">
        <f t="shared" si="437"/>
        <v/>
      </c>
      <c r="HC98" s="460" t="str">
        <f t="shared" si="437"/>
        <v/>
      </c>
      <c r="HD98" s="460" t="str">
        <f t="shared" si="437"/>
        <v/>
      </c>
      <c r="HE98" s="460" t="str">
        <f t="shared" si="437"/>
        <v/>
      </c>
      <c r="HF98" s="460" t="str">
        <f t="shared" si="437"/>
        <v/>
      </c>
      <c r="HG98" s="460" t="str">
        <f t="shared" si="437"/>
        <v/>
      </c>
      <c r="HH98" s="460" t="str">
        <f t="shared" si="437"/>
        <v/>
      </c>
      <c r="HI98" s="460" t="str">
        <f t="shared" si="437"/>
        <v/>
      </c>
      <c r="HJ98" s="460" t="str">
        <f t="shared" si="437"/>
        <v/>
      </c>
      <c r="HK98" s="460" t="str">
        <f t="shared" si="437"/>
        <v/>
      </c>
      <c r="HL98" s="460" t="str">
        <f t="shared" si="437"/>
        <v/>
      </c>
      <c r="HM98" s="460" t="str">
        <f t="shared" si="437"/>
        <v/>
      </c>
      <c r="HN98" s="460" t="str">
        <f t="shared" si="437"/>
        <v/>
      </c>
      <c r="HO98" s="460" t="str">
        <f t="shared" si="437"/>
        <v/>
      </c>
      <c r="HP98" s="460" t="str">
        <f t="shared" si="437"/>
        <v/>
      </c>
      <c r="HQ98" s="460" t="str">
        <f t="shared" si="437"/>
        <v/>
      </c>
      <c r="HR98" s="460" t="str">
        <f t="shared" si="437"/>
        <v/>
      </c>
      <c r="HS98" s="460" t="str">
        <f t="shared" si="437"/>
        <v/>
      </c>
      <c r="HT98" s="460" t="str">
        <f t="shared" si="437"/>
        <v/>
      </c>
      <c r="HU98" s="460" t="str">
        <f t="shared" si="437"/>
        <v/>
      </c>
      <c r="HV98" s="460" t="str">
        <f t="shared" si="437"/>
        <v/>
      </c>
      <c r="HW98" s="460" t="str">
        <f t="shared" si="437"/>
        <v/>
      </c>
      <c r="HX98" s="460" t="str">
        <f t="shared" si="434"/>
        <v/>
      </c>
      <c r="HY98" s="460" t="str">
        <f t="shared" si="434"/>
        <v/>
      </c>
      <c r="HZ98" s="460" t="str">
        <f t="shared" si="434"/>
        <v/>
      </c>
      <c r="IA98" s="460" t="str">
        <f t="shared" si="434"/>
        <v/>
      </c>
      <c r="IB98" s="460" t="str">
        <f t="shared" si="434"/>
        <v/>
      </c>
      <c r="IC98" s="460" t="str">
        <f t="shared" si="434"/>
        <v/>
      </c>
      <c r="ID98" s="674" t="str">
        <f t="shared" si="434"/>
        <v/>
      </c>
      <c r="IE98" s="250"/>
    </row>
    <row r="99" spans="8:239">
      <c r="H99" s="51">
        <f t="shared" ca="1" si="315"/>
        <v>0</v>
      </c>
      <c r="I99" s="379">
        <f t="shared" si="316"/>
        <v>39173</v>
      </c>
      <c r="J99" s="377"/>
      <c r="K99" s="104" t="s">
        <v>268</v>
      </c>
      <c r="L99" s="392">
        <f t="shared" si="317"/>
        <v>0.11249999999999999</v>
      </c>
      <c r="M99" s="171"/>
      <c r="N99" s="382">
        <v>0</v>
      </c>
      <c r="O99" s="171">
        <f t="shared" si="272"/>
        <v>0</v>
      </c>
      <c r="P99" s="377"/>
      <c r="Q99" s="104" t="s">
        <v>268</v>
      </c>
      <c r="R99" s="377">
        <f t="shared" ca="1" si="417"/>
        <v>-1.0380305663131533</v>
      </c>
      <c r="S99" s="832">
        <f t="shared" si="435"/>
        <v>0.36000000000719179</v>
      </c>
      <c r="T99" s="831">
        <f t="shared" si="418"/>
        <v>0.99999952596395081</v>
      </c>
      <c r="U99" s="545">
        <f t="shared" si="419"/>
        <v>0.99999999999797728</v>
      </c>
      <c r="V99" s="389">
        <v>0</v>
      </c>
      <c r="W99" s="434">
        <f t="shared" si="273"/>
        <v>0</v>
      </c>
      <c r="X99" s="415">
        <f t="shared" si="274"/>
        <v>0.16071428571428573</v>
      </c>
      <c r="Y99" s="322">
        <f t="shared" si="275"/>
        <v>-1.2495000000000001</v>
      </c>
      <c r="Z99" s="322">
        <f t="shared" ca="1" si="276"/>
        <v>-1.0887857142857142</v>
      </c>
      <c r="AA99" s="429">
        <f t="shared" si="277"/>
        <v>1.2495000000000001</v>
      </c>
      <c r="AB99" s="433">
        <f t="shared" ca="1" si="278"/>
        <v>1.2495000000000001</v>
      </c>
      <c r="AC99" s="229">
        <v>39161</v>
      </c>
      <c r="AD99" s="229">
        <v>39157</v>
      </c>
      <c r="AE99" s="229">
        <v>39156</v>
      </c>
      <c r="AF99" s="229">
        <v>39152</v>
      </c>
      <c r="AG99" s="249" t="s">
        <v>499</v>
      </c>
      <c r="AH99" s="247" t="s">
        <v>499</v>
      </c>
      <c r="AI99" s="146">
        <v>21</v>
      </c>
      <c r="AJ99" s="41">
        <v>15</v>
      </c>
      <c r="AK99" s="41">
        <v>6</v>
      </c>
      <c r="AL99" s="293">
        <v>21</v>
      </c>
      <c r="AM99" s="41">
        <v>10</v>
      </c>
      <c r="AN99" s="147">
        <v>11</v>
      </c>
      <c r="AO99" s="374"/>
      <c r="AP99" s="153">
        <f t="shared" ca="1" si="318"/>
        <v>1</v>
      </c>
      <c r="AQ99" s="374"/>
      <c r="AR99" s="153">
        <f t="shared" ca="1" si="420"/>
        <v>1</v>
      </c>
      <c r="AS99" s="272">
        <f t="shared" si="279"/>
        <v>0</v>
      </c>
      <c r="AT99" s="157">
        <f t="shared" si="319"/>
        <v>0</v>
      </c>
      <c r="AU99" s="157">
        <f t="shared" si="280"/>
        <v>0</v>
      </c>
      <c r="AV99" s="271">
        <f t="shared" ca="1" si="430"/>
        <v>9.9999999999999995E-7</v>
      </c>
      <c r="AW99" s="158" t="str">
        <f t="shared" ca="1" si="281"/>
        <v/>
      </c>
      <c r="AX99" s="157">
        <f t="shared" ca="1" si="421"/>
        <v>1.7746250866782854E-3</v>
      </c>
      <c r="AY99" s="157">
        <f t="shared" ca="1" si="422"/>
        <v>8.1124241838630769E-4</v>
      </c>
      <c r="AZ99" s="157">
        <f t="shared" ca="1" si="423"/>
        <v>1.5241862503420037E-4</v>
      </c>
      <c r="BA99" s="157">
        <f t="shared" ca="1" si="424"/>
        <v>1.9052328129275046E-5</v>
      </c>
      <c r="BB99" s="157">
        <f t="shared" ca="1" si="425"/>
        <v>2.8175616214864582E-6</v>
      </c>
      <c r="BC99" s="157">
        <f t="shared" ca="1" si="426"/>
        <v>7.2598241429112455E-7</v>
      </c>
      <c r="BD99" s="151">
        <f t="shared" ca="1" si="282"/>
        <v>0</v>
      </c>
      <c r="BE99" s="152">
        <f t="shared" ca="1" si="283"/>
        <v>0</v>
      </c>
      <c r="BF99" s="40">
        <f t="shared" si="284"/>
        <v>2007</v>
      </c>
      <c r="BG99" s="144">
        <f t="shared" si="285"/>
        <v>4</v>
      </c>
      <c r="BH99" s="145">
        <f t="shared" ca="1" si="286"/>
        <v>2412</v>
      </c>
      <c r="BI99" s="313">
        <f t="shared" ca="1" si="287"/>
        <v>6.6475017111567416</v>
      </c>
      <c r="BJ99" s="42">
        <f t="shared" ca="1" si="288"/>
        <v>6.7042143346044778</v>
      </c>
      <c r="BK99" s="42">
        <f t="shared" ca="1" si="289"/>
        <v>6.7069521853916099</v>
      </c>
      <c r="BL99" s="42">
        <f t="shared" ca="1" si="290"/>
        <v>6.7268993839835725</v>
      </c>
      <c r="BM99" s="150" t="e">
        <f t="shared" ca="1" si="291"/>
        <v>#DIV/0!</v>
      </c>
      <c r="BN99" s="42" t="e">
        <f t="shared" ca="1" si="292"/>
        <v>#DIV/0!</v>
      </c>
      <c r="BO99" s="293">
        <f t="shared" si="320"/>
        <v>21</v>
      </c>
      <c r="BP99" s="41">
        <f t="shared" si="293"/>
        <v>15</v>
      </c>
      <c r="BQ99" s="41">
        <f t="shared" si="294"/>
        <v>6</v>
      </c>
      <c r="BR99" s="305" t="str">
        <f t="shared" ca="1" si="295"/>
        <v/>
      </c>
      <c r="BS99" s="305" t="str">
        <f t="shared" ca="1" si="296"/>
        <v/>
      </c>
      <c r="BT99" s="307" t="str">
        <f t="shared" ca="1" si="297"/>
        <v/>
      </c>
      <c r="BU99" s="161" t="str">
        <f t="shared" ca="1" si="298"/>
        <v/>
      </c>
      <c r="BV99" s="161" t="str">
        <f t="shared" ca="1" si="299"/>
        <v/>
      </c>
      <c r="BW99" s="308" t="str">
        <f t="shared" ca="1" si="300"/>
        <v/>
      </c>
      <c r="BX99" s="309" t="str">
        <f t="shared" ca="1" si="301"/>
        <v/>
      </c>
      <c r="BY99" s="308" t="str">
        <f t="shared" ca="1" si="321"/>
        <v/>
      </c>
      <c r="BZ99" s="309" t="str">
        <f t="shared" ca="1" si="322"/>
        <v/>
      </c>
      <c r="CA99" s="154" t="str">
        <f t="shared" ca="1" si="302"/>
        <v/>
      </c>
      <c r="CB99" s="154" t="str">
        <f t="shared" ca="1" si="303"/>
        <v/>
      </c>
      <c r="CC99" s="154" t="str">
        <f t="shared" ca="1" si="304"/>
        <v/>
      </c>
      <c r="CD99" s="154" t="str">
        <f t="shared" ca="1" si="305"/>
        <v/>
      </c>
      <c r="CE99" s="310">
        <v>1</v>
      </c>
      <c r="CF99" s="162">
        <f ca="1">IF(BD99,_xll.xCrudeAPO(BU99,BV99,CA99,CB99,S100,S101,BI99,BL99,BP99,BQ99,0,Strike1,AO99,CE99,0,BL99,IF(OptControl=4,0,1),0,1),0)</f>
        <v>0</v>
      </c>
      <c r="CG99" s="163">
        <f ca="1">IF(BD99,_xll.xCrudeAPO(BU99,BV99,CA99,CB99,S100,S101,BI99,BL99,BP99,BQ99,0,Strike1,AO99,CE99,0,BL99,IF(OptControl=4,0,1),1,1)+_xll.xCrudeAPO(BU99,BV99,CA99,CB99,S100,S101,BI99,BL99,BP99,BQ99,0,Strike1,AO99,CE99,0,BL99,IF(OptControl=4,0,1),1,2)+IF(OR(VolSkewFlag=2,ABS(BS99)&lt;0.0001),0,IF(BS99&gt;0,-1,1)*CH99*Strike1/BR99^2*BY99/10%),0)</f>
        <v>0</v>
      </c>
      <c r="CH99" s="163">
        <f ca="1">IF(BD99,(_xll.xCrudeAPO(BU99,BV99,CA99,CB99,S100,S101,BI99,BL99,BP99,BQ99,0,Strike1,AO99,CE99,0,BL99,IF(OptControl=4,0,1),3,1)+_xll.xCrudeAPO(BU99,BV99,CA99,CB99,S100,S101,BI99,BL99,BP99,BQ99,0,Strike1,AO99,CE99,0,BL99,IF(OptControl=4,0,1),3,2))/100,0)</f>
        <v>0</v>
      </c>
      <c r="CI99" s="163">
        <f ca="1">IF(BD99,_xll.xCrudeAPO(BU99,BV99,CA99,CB99,S100,S101,BI99-DaysForThetaCalculation/365.25,BL99-DaysForThetaCalculation/365.25,BP99,BQ99,0,Strike1,AO99,CE99,0,BL99,IF(OptControl=4,0,1),0,1)-_xll.xCrudeAPO(BU99,BV99,CA99,CB99,S100,S101,BI99,BL99,BP99,BQ99,0,Strike1,AO99,CE99,0,BL99,IF(OptControl=4,0,1),0,1),0)</f>
        <v>0</v>
      </c>
      <c r="CJ99" s="311">
        <f ca="1">IF(BD99,_xll.xCrudeAPO(BU99,BV99,CC99,CD99,S100,S101,BI99,BL99,BP99,BQ99,0,Strike2,AO99,CE99,0,BL99,IF(OptControl=3,1,0),0,1),0)</f>
        <v>0</v>
      </c>
      <c r="CK99" s="163">
        <f ca="1">IF(BD99,_xll.xCrudeAPO(BU99,BV99,CC99,CD99,S100,S101,BI99,BL99,BP99,BQ99,0,Strike2,AO99,CE99,0,BL99,IF(OptControl=3,1,0),1,1)+_xll.xCrudeAPO(BU99,BV99,CC99,CD99,S100,S101,BI99,BL99,BP99,BQ99,0,Strike2,AO99,CE99,0,BL99,IF(OptControl=3,1,0),1,2)+IF(OR(VolSkewFlag=2,ABS(BT99)&lt;0.0001),0,IF(BT99&gt;0,-1,1)*CL99*Strike2/BR99^2*BZ99/10%),0)</f>
        <v>0</v>
      </c>
      <c r="CL99" s="163">
        <f ca="1">IF(BD99,(_xll.xCrudeAPO(BU99,BV99,CC99,CD99,S100,S101,BI99,BL99,BP99,BQ99,0,Strike2,AO99,CE99,0,BL99,IF(OptControl=3,1,0),3,1)+_xll.xCrudeAPO(BU99,BV99,CC99,CD99,S100,S101,BI99,BL99,BP99,BQ99,0,Strike2,AO99,CE99,0,BL99,IF(OptControl=3,1,0),3,2))/100,0)</f>
        <v>0</v>
      </c>
      <c r="CM99" s="164">
        <f ca="1">IF(BD99,_xll.xCrudeAPO(BU99,BV99,CC99,CD99,S100,S101,BI99-DaysForThetaCalculation/365.25,BL99-DaysForThetaCalculation/365.25,BP99,BQ99,0,Strike2,AO99,CE99,0,BL99,IF(OptControl=3,1,0),0,1)-_xll.xCrudeAPO(BU99,BV99,CC99,CD99,S100,S101,BI99,BL99,BP99,BQ99,0,Strike2,AO99,CE99,0,BL99,IF(OptControl=3,1,0),0,1),0)</f>
        <v>0</v>
      </c>
      <c r="CN99" s="53"/>
      <c r="CO99" s="796" t="str">
        <f t="shared" ca="1" si="323"/>
        <v/>
      </c>
      <c r="CP99" s="800" t="str">
        <f t="shared" ca="1" si="324"/>
        <v/>
      </c>
      <c r="CQ99" s="797" t="str">
        <f t="shared" ca="1" si="325"/>
        <v/>
      </c>
      <c r="CR99" s="797" t="str">
        <f t="shared" ca="1" si="326"/>
        <v/>
      </c>
      <c r="CS99" s="797" t="str">
        <f t="shared" ca="1" si="327"/>
        <v/>
      </c>
      <c r="CT99" s="797" t="str">
        <f t="shared" ca="1" si="328"/>
        <v/>
      </c>
      <c r="CU99" s="798" t="str">
        <f t="shared" ca="1" si="329"/>
        <v/>
      </c>
      <c r="CV99" s="799" t="str">
        <f t="shared" ca="1" si="330"/>
        <v/>
      </c>
      <c r="CW99" s="799" t="str">
        <f t="shared" ca="1" si="331"/>
        <v/>
      </c>
      <c r="CX99" s="163">
        <f ca="1">IF(BD99,_xll.EURO(CP99,Strike1,AO99,AO99,CV99,CO99,IF(OptControl=4,0,1),0),0)</f>
        <v>0</v>
      </c>
      <c r="CY99" s="163">
        <f ca="1">IF(BD99,_xll.EURO(CP99,Strike1,AO99,AO99,CV99,CO99,IF(OptControl=4,0,1),1)+IF(OR(VolSkewFlag=2,ABS(CQ99)&lt;0.0001),0,IF(CQ99&gt;0,-1,1)*CZ99*100*Strike1/CP99^2*CS99/10%),0)</f>
        <v>0</v>
      </c>
      <c r="CZ99" s="163">
        <f ca="1">IF(BD99,_xll.EURO(CP99,Strike1,AO99,AO99,CV99,CO99,IF(OptControl=4,0,1),3)/100,0)</f>
        <v>0</v>
      </c>
      <c r="DA99" s="163">
        <f ca="1">IF(BD99,_xll.EURO(CP99,Strike1,AO99,AO99,CV99,CO99,IF(OptControl=4,0,1),0)-_xll.EURO(CP99,Strike1,AO99,AO99,CV99,CO99-1,IF(OptControl=4,0,1),0),0)</f>
        <v>0</v>
      </c>
      <c r="DB99" s="163">
        <f ca="1">IF(BD99,_xll.EURO(CP99,Strike2,AO99,AO99,CW99,CO99,IF(OptControl=3,1,0),0),0)</f>
        <v>0</v>
      </c>
      <c r="DC99" s="163">
        <f ca="1">IF(BD99,_xll.EURO(CP99,Strike2,AO99,AO99,CW99,CO99,IF(OptControl=3,1,0),1)+IF(OR(VolSkewFlag=2,ABS(CR99)&lt;0.0001),0,IF(CR99&gt;0,-1,1)*DD99*100*Strike2/CP99^2*CT99/10%),0)</f>
        <v>0</v>
      </c>
      <c r="DD99" s="163">
        <f ca="1">IF(BD99,_xll.EURO(CP99,Strike2,AO99,AO99,CW99,CO99,IF(OptControl=3,1,0),3)/100,0)</f>
        <v>0</v>
      </c>
      <c r="DE99" s="164">
        <f ca="1">IF(BD99,_xll.EURO(CP99,Strike2,AO99,AO99,CW99,CO99,IF(OptControl=3,1,0),0)-_xll.EURO(CP99,Strike2,AO99,AO99,CW99,CO99-1,IF(OptControl=3,1,0),0),0)</f>
        <v>0</v>
      </c>
      <c r="DG99" s="667">
        <f t="shared" ca="1" si="332"/>
        <v>38961</v>
      </c>
      <c r="DH99" s="475">
        <v>18.3125</v>
      </c>
      <c r="DI99" s="665">
        <v>18.311388888888889</v>
      </c>
      <c r="DJ99" s="666">
        <f t="shared" ca="1" si="306"/>
        <v>38961</v>
      </c>
      <c r="DK99" s="475">
        <v>17.147185343891788</v>
      </c>
      <c r="DL99" s="665">
        <v>17.05478888888889</v>
      </c>
      <c r="DM99" s="667">
        <f t="shared" ca="1" si="307"/>
        <v>38961</v>
      </c>
      <c r="DN99" s="668">
        <f t="shared" si="308"/>
        <v>17.197185343891789</v>
      </c>
      <c r="DO99" s="667">
        <f t="shared" ca="1" si="333"/>
        <v>38961</v>
      </c>
      <c r="DP99" s="579">
        <f t="shared" si="334"/>
        <v>17.05478888888889</v>
      </c>
      <c r="DQ99" s="821">
        <v>0</v>
      </c>
      <c r="DR99" s="666">
        <f t="shared" ca="1" si="309"/>
        <v>38961</v>
      </c>
      <c r="DS99" s="669">
        <v>0.1772</v>
      </c>
      <c r="DT99" s="606">
        <v>0.1764</v>
      </c>
      <c r="DU99" s="666">
        <f t="shared" ca="1" si="310"/>
        <v>38961</v>
      </c>
      <c r="DV99" s="669">
        <v>0.1772</v>
      </c>
      <c r="DW99" s="606">
        <v>0.1764</v>
      </c>
      <c r="DX99" s="667">
        <f t="shared" ca="1" si="311"/>
        <v>38961</v>
      </c>
      <c r="DY99" s="606">
        <v>0.35</v>
      </c>
      <c r="DZ99" s="667">
        <f t="shared" ca="1" si="335"/>
        <v>38961</v>
      </c>
      <c r="EA99" s="606">
        <f t="shared" si="336"/>
        <v>0.1764</v>
      </c>
      <c r="EB99" s="1"/>
      <c r="EC99" s="118" t="str">
        <f t="shared" ca="1" si="312"/>
        <v/>
      </c>
      <c r="ED99" s="119" t="str">
        <f t="shared" ca="1" si="313"/>
        <v/>
      </c>
      <c r="EE99" s="112" t="str">
        <f t="shared" ca="1" si="314"/>
        <v/>
      </c>
      <c r="EF99" s="120">
        <f ca="1">IF(BD99,_xll.xASN(BR99,Strike1,AO99,ED99,0,BO99,0,BI99,BL99,IF(OptControl=4,0,1),0),0)</f>
        <v>0</v>
      </c>
      <c r="EG99" s="111">
        <f ca="1">IF(BD99,_xll.xASN(BR99,Strike2,AO99,EE99,0,BO99,0,BI99,BL99,IF(OptControl=3,1,0),0),0)</f>
        <v>0</v>
      </c>
      <c r="EL99" s="55"/>
      <c r="EM99" s="1"/>
      <c r="EN99" s="106"/>
      <c r="EO99" s="106"/>
      <c r="EP99" s="1"/>
      <c r="EQ99" s="683" t="s">
        <v>312</v>
      </c>
      <c r="ES99" s="455"/>
      <c r="ET99" s="36"/>
      <c r="EU99" s="107"/>
      <c r="EV99" s="475"/>
      <c r="EW99" s="456"/>
      <c r="EX99" s="456"/>
      <c r="EY99" s="250"/>
      <c r="EZ99" s="250"/>
      <c r="FA99" s="250"/>
      <c r="FB99" s="250"/>
      <c r="FC99" s="250"/>
      <c r="FD99" s="250"/>
      <c r="FE99" s="250"/>
      <c r="FF99" s="250"/>
      <c r="FG99" s="250"/>
      <c r="FH99" s="250"/>
      <c r="FI99" s="250"/>
      <c r="FJ99" s="673">
        <v>5</v>
      </c>
      <c r="FK99" s="460">
        <f t="shared" ca="1" si="432"/>
        <v>0</v>
      </c>
      <c r="FL99" s="460">
        <f t="shared" ca="1" si="437"/>
        <v>0.27495310947016471</v>
      </c>
      <c r="FM99" s="460">
        <f t="shared" ca="1" si="437"/>
        <v>0.30867109531282833</v>
      </c>
      <c r="FN99" s="460">
        <f t="shared" ca="1" si="437"/>
        <v>0.3368051808256442</v>
      </c>
      <c r="FO99" s="460">
        <f t="shared" ca="1" si="437"/>
        <v>0.37687500000000002</v>
      </c>
      <c r="FP99" s="460" t="str">
        <f t="shared" si="437"/>
        <v/>
      </c>
      <c r="FQ99" s="460" t="str">
        <f t="shared" si="437"/>
        <v/>
      </c>
      <c r="FR99" s="460" t="str">
        <f t="shared" si="437"/>
        <v/>
      </c>
      <c r="FS99" s="460" t="str">
        <f t="shared" si="437"/>
        <v/>
      </c>
      <c r="FT99" s="460" t="str">
        <f t="shared" si="437"/>
        <v/>
      </c>
      <c r="FU99" s="460" t="str">
        <f t="shared" si="437"/>
        <v/>
      </c>
      <c r="FV99" s="460" t="str">
        <f t="shared" si="437"/>
        <v/>
      </c>
      <c r="FW99" s="460" t="str">
        <f t="shared" si="437"/>
        <v/>
      </c>
      <c r="FX99" s="460" t="str">
        <f t="shared" si="437"/>
        <v/>
      </c>
      <c r="FY99" s="460" t="str">
        <f t="shared" si="437"/>
        <v/>
      </c>
      <c r="FZ99" s="460" t="str">
        <f t="shared" si="437"/>
        <v/>
      </c>
      <c r="GA99" s="460" t="str">
        <f t="shared" si="437"/>
        <v/>
      </c>
      <c r="GB99" s="460" t="str">
        <f t="shared" si="437"/>
        <v/>
      </c>
      <c r="GC99" s="460" t="str">
        <f t="shared" si="437"/>
        <v/>
      </c>
      <c r="GD99" s="460" t="str">
        <f t="shared" si="437"/>
        <v/>
      </c>
      <c r="GE99" s="460" t="str">
        <f t="shared" si="437"/>
        <v/>
      </c>
      <c r="GF99" s="460" t="str">
        <f t="shared" si="437"/>
        <v/>
      </c>
      <c r="GG99" s="460" t="str">
        <f t="shared" si="437"/>
        <v/>
      </c>
      <c r="GH99" s="460" t="str">
        <f t="shared" si="437"/>
        <v/>
      </c>
      <c r="GI99" s="460" t="str">
        <f t="shared" si="437"/>
        <v/>
      </c>
      <c r="GJ99" s="460" t="str">
        <f t="shared" si="437"/>
        <v/>
      </c>
      <c r="GK99" s="460" t="str">
        <f t="shared" si="437"/>
        <v/>
      </c>
      <c r="GL99" s="460" t="str">
        <f t="shared" si="437"/>
        <v/>
      </c>
      <c r="GM99" s="460" t="str">
        <f t="shared" si="437"/>
        <v/>
      </c>
      <c r="GN99" s="460" t="str">
        <f t="shared" si="437"/>
        <v/>
      </c>
      <c r="GO99" s="460" t="str">
        <f t="shared" si="437"/>
        <v/>
      </c>
      <c r="GP99" s="460" t="str">
        <f t="shared" si="437"/>
        <v/>
      </c>
      <c r="GQ99" s="460" t="str">
        <f t="shared" si="437"/>
        <v/>
      </c>
      <c r="GR99" s="460" t="str">
        <f t="shared" si="437"/>
        <v/>
      </c>
      <c r="GS99" s="460" t="str">
        <f t="shared" si="437"/>
        <v/>
      </c>
      <c r="GT99" s="460" t="str">
        <f t="shared" si="437"/>
        <v/>
      </c>
      <c r="GU99" s="460" t="str">
        <f t="shared" si="437"/>
        <v/>
      </c>
      <c r="GV99" s="460" t="str">
        <f t="shared" si="437"/>
        <v/>
      </c>
      <c r="GW99" s="460" t="str">
        <f t="shared" si="437"/>
        <v/>
      </c>
      <c r="GX99" s="460" t="str">
        <f t="shared" si="437"/>
        <v/>
      </c>
      <c r="GY99" s="460" t="str">
        <f t="shared" si="437"/>
        <v/>
      </c>
      <c r="GZ99" s="460" t="str">
        <f t="shared" si="437"/>
        <v/>
      </c>
      <c r="HA99" s="460" t="str">
        <f t="shared" si="437"/>
        <v/>
      </c>
      <c r="HB99" s="460" t="str">
        <f t="shared" si="437"/>
        <v/>
      </c>
      <c r="HC99" s="460" t="str">
        <f t="shared" si="437"/>
        <v/>
      </c>
      <c r="HD99" s="460" t="str">
        <f t="shared" si="437"/>
        <v/>
      </c>
      <c r="HE99" s="460" t="str">
        <f t="shared" si="437"/>
        <v/>
      </c>
      <c r="HF99" s="460" t="str">
        <f t="shared" si="437"/>
        <v/>
      </c>
      <c r="HG99" s="460" t="str">
        <f t="shared" si="437"/>
        <v/>
      </c>
      <c r="HH99" s="460" t="str">
        <f t="shared" si="437"/>
        <v/>
      </c>
      <c r="HI99" s="460" t="str">
        <f t="shared" si="437"/>
        <v/>
      </c>
      <c r="HJ99" s="460" t="str">
        <f t="shared" si="437"/>
        <v/>
      </c>
      <c r="HK99" s="460" t="str">
        <f t="shared" si="437"/>
        <v/>
      </c>
      <c r="HL99" s="460" t="str">
        <f t="shared" si="437"/>
        <v/>
      </c>
      <c r="HM99" s="460" t="str">
        <f t="shared" si="437"/>
        <v/>
      </c>
      <c r="HN99" s="460" t="str">
        <f t="shared" si="437"/>
        <v/>
      </c>
      <c r="HO99" s="460" t="str">
        <f t="shared" si="437"/>
        <v/>
      </c>
      <c r="HP99" s="460" t="str">
        <f t="shared" si="437"/>
        <v/>
      </c>
      <c r="HQ99" s="460" t="str">
        <f t="shared" si="437"/>
        <v/>
      </c>
      <c r="HR99" s="460" t="str">
        <f t="shared" si="437"/>
        <v/>
      </c>
      <c r="HS99" s="460" t="str">
        <f t="shared" si="437"/>
        <v/>
      </c>
      <c r="HT99" s="460" t="str">
        <f t="shared" si="437"/>
        <v/>
      </c>
      <c r="HU99" s="460" t="str">
        <f t="shared" si="437"/>
        <v/>
      </c>
      <c r="HV99" s="460" t="str">
        <f t="shared" si="437"/>
        <v/>
      </c>
      <c r="HW99" s="460" t="str">
        <f t="shared" si="437"/>
        <v/>
      </c>
      <c r="HX99" s="460" t="str">
        <f t="shared" si="434"/>
        <v/>
      </c>
      <c r="HY99" s="460" t="str">
        <f t="shared" si="434"/>
        <v/>
      </c>
      <c r="HZ99" s="460" t="str">
        <f t="shared" si="434"/>
        <v/>
      </c>
      <c r="IA99" s="460" t="str">
        <f t="shared" si="434"/>
        <v/>
      </c>
      <c r="IB99" s="460" t="str">
        <f t="shared" si="434"/>
        <v/>
      </c>
      <c r="IC99" s="460" t="str">
        <f t="shared" si="434"/>
        <v/>
      </c>
      <c r="ID99" s="674" t="str">
        <f t="shared" si="434"/>
        <v/>
      </c>
      <c r="IE99" s="250"/>
    </row>
    <row r="100" spans="8:239">
      <c r="H100" s="51">
        <f t="shared" ca="1" si="315"/>
        <v>0</v>
      </c>
      <c r="I100" s="379">
        <f t="shared" si="316"/>
        <v>39203</v>
      </c>
      <c r="J100" s="377"/>
      <c r="K100" s="104" t="s">
        <v>268</v>
      </c>
      <c r="L100" s="392">
        <f t="shared" si="317"/>
        <v>0.15</v>
      </c>
      <c r="M100" s="171"/>
      <c r="N100" s="382">
        <v>0</v>
      </c>
      <c r="O100" s="171">
        <f t="shared" si="272"/>
        <v>0</v>
      </c>
      <c r="P100" s="377"/>
      <c r="Q100" s="104" t="s">
        <v>268</v>
      </c>
      <c r="R100" s="377">
        <f t="shared" ca="1" si="417"/>
        <v>-0.97630786140570525</v>
      </c>
      <c r="S100" s="832">
        <f t="shared" si="435"/>
        <v>0.36000000000539384</v>
      </c>
      <c r="T100" s="831">
        <f t="shared" si="418"/>
        <v>0.99999959469929811</v>
      </c>
      <c r="U100" s="545">
        <f t="shared" si="419"/>
        <v>0.99999999999848299</v>
      </c>
      <c r="V100" s="389">
        <v>0</v>
      </c>
      <c r="W100" s="434">
        <f t="shared" si="273"/>
        <v>0</v>
      </c>
      <c r="X100" s="415">
        <f t="shared" si="274"/>
        <v>0.20217391304347829</v>
      </c>
      <c r="Y100" s="322">
        <f t="shared" si="275"/>
        <v>-1.2495000000000001</v>
      </c>
      <c r="Z100" s="322">
        <f t="shared" ca="1" si="276"/>
        <v>-1.0473260869565217</v>
      </c>
      <c r="AA100" s="429">
        <f t="shared" si="277"/>
        <v>1.2495000000000001</v>
      </c>
      <c r="AB100" s="433">
        <f t="shared" ca="1" si="278"/>
        <v>1.2495000000000001</v>
      </c>
      <c r="AC100" s="229">
        <v>39192</v>
      </c>
      <c r="AD100" s="229">
        <v>39188</v>
      </c>
      <c r="AE100" s="229">
        <v>39187</v>
      </c>
      <c r="AF100" s="229">
        <v>39183</v>
      </c>
      <c r="AG100" s="249" t="s">
        <v>499</v>
      </c>
      <c r="AH100" s="247" t="s">
        <v>499</v>
      </c>
      <c r="AI100" s="146">
        <v>23</v>
      </c>
      <c r="AJ100" s="41">
        <v>14</v>
      </c>
      <c r="AK100" s="41">
        <v>9</v>
      </c>
      <c r="AL100" s="293">
        <v>23</v>
      </c>
      <c r="AM100" s="41">
        <v>10</v>
      </c>
      <c r="AN100" s="147">
        <v>13</v>
      </c>
      <c r="AO100" s="374"/>
      <c r="AP100" s="153">
        <f t="shared" ca="1" si="318"/>
        <v>1</v>
      </c>
      <c r="AQ100" s="374"/>
      <c r="AR100" s="153">
        <f t="shared" ca="1" si="420"/>
        <v>1</v>
      </c>
      <c r="AS100" s="272">
        <f t="shared" si="279"/>
        <v>0</v>
      </c>
      <c r="AT100" s="157">
        <f t="shared" si="319"/>
        <v>0</v>
      </c>
      <c r="AU100" s="157">
        <f t="shared" si="280"/>
        <v>0</v>
      </c>
      <c r="AV100" s="271">
        <f t="shared" ca="1" si="430"/>
        <v>9.9999999999999995E-7</v>
      </c>
      <c r="AW100" s="158" t="str">
        <f t="shared" ca="1" si="281"/>
        <v/>
      </c>
      <c r="AX100" s="157">
        <f t="shared" ca="1" si="421"/>
        <v>1.7156644205743544E-3</v>
      </c>
      <c r="AY100" s="157">
        <f t="shared" ca="1" si="422"/>
        <v>7.7907548241625522E-4</v>
      </c>
      <c r="AZ100" s="157">
        <f t="shared" ca="1" si="423"/>
        <v>1.4386402494404464E-4</v>
      </c>
      <c r="BA100" s="157">
        <f t="shared" ca="1" si="424"/>
        <v>1.798300311800558E-5</v>
      </c>
      <c r="BB100" s="157">
        <f t="shared" ca="1" si="425"/>
        <v>2.5710665520532915E-6</v>
      </c>
      <c r="BC100" s="157">
        <f t="shared" ca="1" si="426"/>
        <v>6.4677680228439112E-7</v>
      </c>
      <c r="BD100" s="151">
        <f t="shared" ca="1" si="282"/>
        <v>0</v>
      </c>
      <c r="BE100" s="152">
        <f t="shared" ca="1" si="283"/>
        <v>0</v>
      </c>
      <c r="BF100" s="40">
        <f t="shared" si="284"/>
        <v>2007</v>
      </c>
      <c r="BG100" s="144">
        <f t="shared" si="285"/>
        <v>5</v>
      </c>
      <c r="BH100" s="145">
        <f t="shared" ca="1" si="286"/>
        <v>2443</v>
      </c>
      <c r="BI100" s="313">
        <f t="shared" ca="1" si="287"/>
        <v>6.7296372347707054</v>
      </c>
      <c r="BJ100" s="42">
        <f t="shared" ca="1" si="288"/>
        <v>6.779632770883552</v>
      </c>
      <c r="BK100" s="42">
        <f t="shared" ca="1" si="289"/>
        <v>6.7823706216706841</v>
      </c>
      <c r="BL100" s="42">
        <f t="shared" ca="1" si="290"/>
        <v>6.8117727583846683</v>
      </c>
      <c r="BM100" s="150" t="e">
        <f t="shared" ca="1" si="291"/>
        <v>#DIV/0!</v>
      </c>
      <c r="BN100" s="42" t="e">
        <f t="shared" ca="1" si="292"/>
        <v>#DIV/0!</v>
      </c>
      <c r="BO100" s="293">
        <f t="shared" si="320"/>
        <v>23</v>
      </c>
      <c r="BP100" s="41">
        <f t="shared" si="293"/>
        <v>14</v>
      </c>
      <c r="BQ100" s="41">
        <f t="shared" si="294"/>
        <v>9</v>
      </c>
      <c r="BR100" s="305" t="str">
        <f t="shared" ca="1" si="295"/>
        <v/>
      </c>
      <c r="BS100" s="305" t="str">
        <f t="shared" ca="1" si="296"/>
        <v/>
      </c>
      <c r="BT100" s="307" t="str">
        <f t="shared" ca="1" si="297"/>
        <v/>
      </c>
      <c r="BU100" s="161" t="str">
        <f t="shared" ca="1" si="298"/>
        <v/>
      </c>
      <c r="BV100" s="161" t="str">
        <f t="shared" ca="1" si="299"/>
        <v/>
      </c>
      <c r="BW100" s="308" t="str">
        <f t="shared" ca="1" si="300"/>
        <v/>
      </c>
      <c r="BX100" s="309" t="str">
        <f t="shared" ca="1" si="301"/>
        <v/>
      </c>
      <c r="BY100" s="308" t="str">
        <f t="shared" ca="1" si="321"/>
        <v/>
      </c>
      <c r="BZ100" s="309" t="str">
        <f t="shared" ca="1" si="322"/>
        <v/>
      </c>
      <c r="CA100" s="154" t="str">
        <f t="shared" ca="1" si="302"/>
        <v/>
      </c>
      <c r="CB100" s="154" t="str">
        <f t="shared" ca="1" si="303"/>
        <v/>
      </c>
      <c r="CC100" s="154" t="str">
        <f t="shared" ca="1" si="304"/>
        <v/>
      </c>
      <c r="CD100" s="154" t="str">
        <f t="shared" ca="1" si="305"/>
        <v/>
      </c>
      <c r="CE100" s="310">
        <v>1</v>
      </c>
      <c r="CF100" s="162">
        <f ca="1">IF(BD100,_xll.xCrudeAPO(BU100,BV100,CA100,CB100,S101,S102,BI100,BL100,BP100,BQ100,0,Strike1,AO100,CE100,0,BL100,IF(OptControl=4,0,1),0,1),0)</f>
        <v>0</v>
      </c>
      <c r="CG100" s="163">
        <f ca="1">IF(BD100,_xll.xCrudeAPO(BU100,BV100,CA100,CB100,S101,S102,BI100,BL100,BP100,BQ100,0,Strike1,AO100,CE100,0,BL100,IF(OptControl=4,0,1),1,1)+_xll.xCrudeAPO(BU100,BV100,CA100,CB100,S101,S102,BI100,BL100,BP100,BQ100,0,Strike1,AO100,CE100,0,BL100,IF(OptControl=4,0,1),1,2)+IF(OR(VolSkewFlag=2,ABS(BS100)&lt;0.0001),0,IF(BS100&gt;0,-1,1)*CH100*Strike1/BR100^2*BY100/10%),0)</f>
        <v>0</v>
      </c>
      <c r="CH100" s="163">
        <f ca="1">IF(BD100,(_xll.xCrudeAPO(BU100,BV100,CA100,CB100,S101,S102,BI100,BL100,BP100,BQ100,0,Strike1,AO100,CE100,0,BL100,IF(OptControl=4,0,1),3,1)+_xll.xCrudeAPO(BU100,BV100,CA100,CB100,S101,S102,BI100,BL100,BP100,BQ100,0,Strike1,AO100,CE100,0,BL100,IF(OptControl=4,0,1),3,2))/100,0)</f>
        <v>0</v>
      </c>
      <c r="CI100" s="163">
        <f ca="1">IF(BD100,_xll.xCrudeAPO(BU100,BV100,CA100,CB100,S101,S102,BI100-DaysForThetaCalculation/365.25,BL100-DaysForThetaCalculation/365.25,BP100,BQ100,0,Strike1,AO100,CE100,0,BL100,IF(OptControl=4,0,1),0,1)-_xll.xCrudeAPO(BU100,BV100,CA100,CB100,S101,S102,BI100,BL100,BP100,BQ100,0,Strike1,AO100,CE100,0,BL100,IF(OptControl=4,0,1),0,1),0)</f>
        <v>0</v>
      </c>
      <c r="CJ100" s="311">
        <f ca="1">IF(BD100,_xll.xCrudeAPO(BU100,BV100,CC100,CD100,S101,S102,BI100,BL100,BP100,BQ100,0,Strike2,AO100,CE100,0,BL100,IF(OptControl=3,1,0),0,1),0)</f>
        <v>0</v>
      </c>
      <c r="CK100" s="163">
        <f ca="1">IF(BD100,_xll.xCrudeAPO(BU100,BV100,CC100,CD100,S101,S102,BI100,BL100,BP100,BQ100,0,Strike2,AO100,CE100,0,BL100,IF(OptControl=3,1,0),1,1)+_xll.xCrudeAPO(BU100,BV100,CC100,CD100,S101,S102,BI100,BL100,BP100,BQ100,0,Strike2,AO100,CE100,0,BL100,IF(OptControl=3,1,0),1,2)+IF(OR(VolSkewFlag=2,ABS(BT100)&lt;0.0001),0,IF(BT100&gt;0,-1,1)*CL100*Strike2/BR100^2*BZ100/10%),0)</f>
        <v>0</v>
      </c>
      <c r="CL100" s="163">
        <f ca="1">IF(BD100,(_xll.xCrudeAPO(BU100,BV100,CC100,CD100,S101,S102,BI100,BL100,BP100,BQ100,0,Strike2,AO100,CE100,0,BL100,IF(OptControl=3,1,0),3,1)+_xll.xCrudeAPO(BU100,BV100,CC100,CD100,S101,S102,BI100,BL100,BP100,BQ100,0,Strike2,AO100,CE100,0,BL100,IF(OptControl=3,1,0),3,2))/100,0)</f>
        <v>0</v>
      </c>
      <c r="CM100" s="164">
        <f ca="1">IF(BD100,_xll.xCrudeAPO(BU100,BV100,CC100,CD100,S101,S102,BI100-DaysForThetaCalculation/365.25,BL100-DaysForThetaCalculation/365.25,BP100,BQ100,0,Strike2,AO100,CE100,0,BL100,IF(OptControl=3,1,0),0,1)-_xll.xCrudeAPO(BU100,BV100,CC100,CD100,S101,S102,BI100,BL100,BP100,BQ100,0,Strike2,AO100,CE100,0,BL100,IF(OptControl=3,1,0),0,1),0)</f>
        <v>0</v>
      </c>
      <c r="CN100" s="53"/>
      <c r="CO100" s="796" t="str">
        <f t="shared" ca="1" si="323"/>
        <v/>
      </c>
      <c r="CP100" s="800" t="str">
        <f t="shared" ca="1" si="324"/>
        <v/>
      </c>
      <c r="CQ100" s="797" t="str">
        <f t="shared" ca="1" si="325"/>
        <v/>
      </c>
      <c r="CR100" s="797" t="str">
        <f t="shared" ca="1" si="326"/>
        <v/>
      </c>
      <c r="CS100" s="797" t="str">
        <f t="shared" ca="1" si="327"/>
        <v/>
      </c>
      <c r="CT100" s="797" t="str">
        <f t="shared" ca="1" si="328"/>
        <v/>
      </c>
      <c r="CU100" s="798" t="str">
        <f t="shared" ca="1" si="329"/>
        <v/>
      </c>
      <c r="CV100" s="799" t="str">
        <f t="shared" ca="1" si="330"/>
        <v/>
      </c>
      <c r="CW100" s="799" t="str">
        <f t="shared" ca="1" si="331"/>
        <v/>
      </c>
      <c r="CX100" s="163">
        <f ca="1">IF(BD100,_xll.EURO(CP100,Strike1,AO100,AO100,CV100,CO100,IF(OptControl=4,0,1),0),0)</f>
        <v>0</v>
      </c>
      <c r="CY100" s="163">
        <f ca="1">IF(BD100,_xll.EURO(CP100,Strike1,AO100,AO100,CV100,CO100,IF(OptControl=4,0,1),1)+IF(OR(VolSkewFlag=2,ABS(CQ100)&lt;0.0001),0,IF(CQ100&gt;0,-1,1)*CZ100*100*Strike1/CP100^2*CS100/10%),0)</f>
        <v>0</v>
      </c>
      <c r="CZ100" s="163">
        <f ca="1">IF(BD100,_xll.EURO(CP100,Strike1,AO100,AO100,CV100,CO100,IF(OptControl=4,0,1),3)/100,0)</f>
        <v>0</v>
      </c>
      <c r="DA100" s="163">
        <f ca="1">IF(BD100,_xll.EURO(CP100,Strike1,AO100,AO100,CV100,CO100,IF(OptControl=4,0,1),0)-_xll.EURO(CP100,Strike1,AO100,AO100,CV100,CO100-1,IF(OptControl=4,0,1),0),0)</f>
        <v>0</v>
      </c>
      <c r="DB100" s="163">
        <f ca="1">IF(BD100,_xll.EURO(CP100,Strike2,AO100,AO100,CW100,CO100,IF(OptControl=3,1,0),0),0)</f>
        <v>0</v>
      </c>
      <c r="DC100" s="163">
        <f ca="1">IF(BD100,_xll.EURO(CP100,Strike2,AO100,AO100,CW100,CO100,IF(OptControl=3,1,0),1)+IF(OR(VolSkewFlag=2,ABS(CR100)&lt;0.0001),0,IF(CR100&gt;0,-1,1)*DD100*100*Strike2/CP100^2*CT100/10%),0)</f>
        <v>0</v>
      </c>
      <c r="DD100" s="163">
        <f ca="1">IF(BD100,_xll.EURO(CP100,Strike2,AO100,AO100,CW100,CO100,IF(OptControl=3,1,0),3)/100,0)</f>
        <v>0</v>
      </c>
      <c r="DE100" s="164">
        <f ca="1">IF(BD100,_xll.EURO(CP100,Strike2,AO100,AO100,CW100,CO100,IF(OptControl=3,1,0),0)-_xll.EURO(CP100,Strike2,AO100,AO100,CW100,CO100-1,IF(OptControl=3,1,0),0),0)</f>
        <v>0</v>
      </c>
      <c r="DG100" s="667">
        <f t="shared" ca="1" si="332"/>
        <v>38991</v>
      </c>
      <c r="DH100" s="475">
        <v>18.311666666666667</v>
      </c>
      <c r="DI100" s="665">
        <v>18.310568181818184</v>
      </c>
      <c r="DJ100" s="666">
        <f t="shared" ca="1" si="306"/>
        <v>38991</v>
      </c>
      <c r="DK100" s="475">
        <v>16.985103581621708</v>
      </c>
      <c r="DL100" s="665">
        <v>17.127168181818185</v>
      </c>
      <c r="DM100" s="667">
        <f t="shared" ca="1" si="307"/>
        <v>38991</v>
      </c>
      <c r="DN100" s="668">
        <f t="shared" si="308"/>
        <v>17.035103581621708</v>
      </c>
      <c r="DO100" s="667">
        <f t="shared" ca="1" si="333"/>
        <v>38991</v>
      </c>
      <c r="DP100" s="579">
        <f t="shared" si="334"/>
        <v>17.127168181818185</v>
      </c>
      <c r="DQ100" s="821">
        <v>0</v>
      </c>
      <c r="DR100" s="666">
        <f t="shared" ca="1" si="309"/>
        <v>38991</v>
      </c>
      <c r="DS100" s="669">
        <v>0.17660000000000001</v>
      </c>
      <c r="DT100" s="606">
        <v>0.17580909090909091</v>
      </c>
      <c r="DU100" s="666">
        <f t="shared" ca="1" si="310"/>
        <v>38991</v>
      </c>
      <c r="DV100" s="669">
        <v>0.17660000000000001</v>
      </c>
      <c r="DW100" s="606">
        <v>0.17580909090909091</v>
      </c>
      <c r="DX100" s="667">
        <f t="shared" ca="1" si="311"/>
        <v>38991</v>
      </c>
      <c r="DY100" s="606">
        <v>0.35</v>
      </c>
      <c r="DZ100" s="667">
        <f t="shared" ca="1" si="335"/>
        <v>38991</v>
      </c>
      <c r="EA100" s="606">
        <f t="shared" si="336"/>
        <v>0.17580909090909091</v>
      </c>
      <c r="EB100" s="1"/>
      <c r="EC100" s="118" t="str">
        <f t="shared" ca="1" si="312"/>
        <v/>
      </c>
      <c r="ED100" s="119" t="str">
        <f t="shared" ca="1" si="313"/>
        <v/>
      </c>
      <c r="EE100" s="112" t="str">
        <f t="shared" ca="1" si="314"/>
        <v/>
      </c>
      <c r="EF100" s="120">
        <f ca="1">IF(BD100,_xll.xASN(BR100,Strike1,AO100,ED100,0,BO100,0,BI100,BL100,IF(OptControl=4,0,1),0),0)</f>
        <v>0</v>
      </c>
      <c r="EG100" s="111">
        <f ca="1">IF(BD100,_xll.xASN(BR100,Strike2,AO100,EE100,0,BO100,0,BI100,BL100,IF(OptControl=3,1,0),0),0)</f>
        <v>0</v>
      </c>
      <c r="EL100" s="55"/>
      <c r="EM100" s="1"/>
      <c r="EN100" s="106"/>
      <c r="EO100" s="106"/>
      <c r="EP100" s="1"/>
      <c r="EQ100" s="683" t="s">
        <v>313</v>
      </c>
      <c r="ES100" s="455"/>
      <c r="ET100" s="36"/>
      <c r="EU100" s="107"/>
      <c r="EV100" s="475"/>
      <c r="EW100" s="456"/>
      <c r="EX100" s="456"/>
      <c r="EY100" s="250"/>
      <c r="EZ100" s="250"/>
      <c r="FA100" s="250"/>
      <c r="FB100" s="250"/>
      <c r="FC100" s="250"/>
      <c r="FD100" s="250"/>
      <c r="FE100" s="250"/>
      <c r="FF100" s="250"/>
      <c r="FG100" s="250"/>
      <c r="FH100" s="250"/>
      <c r="FI100" s="250"/>
      <c r="FJ100" s="673">
        <v>6</v>
      </c>
      <c r="FK100" s="460">
        <f t="shared" ca="1" si="432"/>
        <v>0</v>
      </c>
      <c r="FL100" s="460">
        <f t="shared" ca="1" si="437"/>
        <v>0.25491939386215401</v>
      </c>
      <c r="FM100" s="460">
        <f t="shared" ca="1" si="437"/>
        <v>0.28218871761411646</v>
      </c>
      <c r="FN100" s="460">
        <f t="shared" ca="1" si="437"/>
        <v>0.3027351127106585</v>
      </c>
      <c r="FO100" s="460">
        <f t="shared" ca="1" si="437"/>
        <v>0.33185216346056118</v>
      </c>
      <c r="FP100" s="460">
        <f t="shared" ca="1" si="437"/>
        <v>0.37265625000000002</v>
      </c>
      <c r="FQ100" s="460" t="str">
        <f t="shared" si="437"/>
        <v/>
      </c>
      <c r="FR100" s="460" t="str">
        <f t="shared" si="437"/>
        <v/>
      </c>
      <c r="FS100" s="460" t="str">
        <f t="shared" si="437"/>
        <v/>
      </c>
      <c r="FT100" s="460" t="str">
        <f t="shared" si="437"/>
        <v/>
      </c>
      <c r="FU100" s="460" t="str">
        <f t="shared" si="437"/>
        <v/>
      </c>
      <c r="FV100" s="460" t="str">
        <f t="shared" si="437"/>
        <v/>
      </c>
      <c r="FW100" s="460" t="str">
        <f t="shared" si="437"/>
        <v/>
      </c>
      <c r="FX100" s="460" t="str">
        <f t="shared" si="437"/>
        <v/>
      </c>
      <c r="FY100" s="460" t="str">
        <f t="shared" si="437"/>
        <v/>
      </c>
      <c r="FZ100" s="460" t="str">
        <f t="shared" si="437"/>
        <v/>
      </c>
      <c r="GA100" s="460" t="str">
        <f t="shared" si="437"/>
        <v/>
      </c>
      <c r="GB100" s="460" t="str">
        <f t="shared" si="437"/>
        <v/>
      </c>
      <c r="GC100" s="460" t="str">
        <f t="shared" si="437"/>
        <v/>
      </c>
      <c r="GD100" s="460" t="str">
        <f t="shared" si="437"/>
        <v/>
      </c>
      <c r="GE100" s="460" t="str">
        <f t="shared" si="437"/>
        <v/>
      </c>
      <c r="GF100" s="460" t="str">
        <f t="shared" si="437"/>
        <v/>
      </c>
      <c r="GG100" s="460" t="str">
        <f t="shared" si="437"/>
        <v/>
      </c>
      <c r="GH100" s="460" t="str">
        <f t="shared" si="437"/>
        <v/>
      </c>
      <c r="GI100" s="460" t="str">
        <f t="shared" si="437"/>
        <v/>
      </c>
      <c r="GJ100" s="460" t="str">
        <f t="shared" si="437"/>
        <v/>
      </c>
      <c r="GK100" s="460" t="str">
        <f t="shared" si="437"/>
        <v/>
      </c>
      <c r="GL100" s="460" t="str">
        <f t="shared" si="437"/>
        <v/>
      </c>
      <c r="GM100" s="460" t="str">
        <f t="shared" si="437"/>
        <v/>
      </c>
      <c r="GN100" s="460" t="str">
        <f t="shared" si="437"/>
        <v/>
      </c>
      <c r="GO100" s="460" t="str">
        <f t="shared" si="437"/>
        <v/>
      </c>
      <c r="GP100" s="460" t="str">
        <f t="shared" si="437"/>
        <v/>
      </c>
      <c r="GQ100" s="460" t="str">
        <f t="shared" si="437"/>
        <v/>
      </c>
      <c r="GR100" s="460" t="str">
        <f t="shared" si="437"/>
        <v/>
      </c>
      <c r="GS100" s="460" t="str">
        <f t="shared" si="437"/>
        <v/>
      </c>
      <c r="GT100" s="460" t="str">
        <f t="shared" si="437"/>
        <v/>
      </c>
      <c r="GU100" s="460" t="str">
        <f t="shared" si="437"/>
        <v/>
      </c>
      <c r="GV100" s="460" t="str">
        <f t="shared" si="437"/>
        <v/>
      </c>
      <c r="GW100" s="460" t="str">
        <f t="shared" si="437"/>
        <v/>
      </c>
      <c r="GX100" s="460" t="str">
        <f t="shared" si="437"/>
        <v/>
      </c>
      <c r="GY100" s="460" t="str">
        <f t="shared" si="437"/>
        <v/>
      </c>
      <c r="GZ100" s="460" t="str">
        <f t="shared" si="437"/>
        <v/>
      </c>
      <c r="HA100" s="460" t="str">
        <f t="shared" si="437"/>
        <v/>
      </c>
      <c r="HB100" s="460" t="str">
        <f t="shared" si="437"/>
        <v/>
      </c>
      <c r="HC100" s="460" t="str">
        <f t="shared" si="437"/>
        <v/>
      </c>
      <c r="HD100" s="460" t="str">
        <f t="shared" si="437"/>
        <v/>
      </c>
      <c r="HE100" s="460" t="str">
        <f t="shared" si="437"/>
        <v/>
      </c>
      <c r="HF100" s="460" t="str">
        <f t="shared" si="437"/>
        <v/>
      </c>
      <c r="HG100" s="460" t="str">
        <f t="shared" si="437"/>
        <v/>
      </c>
      <c r="HH100" s="460" t="str">
        <f t="shared" si="437"/>
        <v/>
      </c>
      <c r="HI100" s="460" t="str">
        <f t="shared" si="437"/>
        <v/>
      </c>
      <c r="HJ100" s="460" t="str">
        <f t="shared" si="437"/>
        <v/>
      </c>
      <c r="HK100" s="460" t="str">
        <f t="shared" si="437"/>
        <v/>
      </c>
      <c r="HL100" s="460" t="str">
        <f t="shared" si="437"/>
        <v/>
      </c>
      <c r="HM100" s="460" t="str">
        <f t="shared" si="437"/>
        <v/>
      </c>
      <c r="HN100" s="460" t="str">
        <f t="shared" si="437"/>
        <v/>
      </c>
      <c r="HO100" s="460" t="str">
        <f t="shared" si="437"/>
        <v/>
      </c>
      <c r="HP100" s="460" t="str">
        <f t="shared" si="437"/>
        <v/>
      </c>
      <c r="HQ100" s="460" t="str">
        <f t="shared" si="437"/>
        <v/>
      </c>
      <c r="HR100" s="460" t="str">
        <f t="shared" si="437"/>
        <v/>
      </c>
      <c r="HS100" s="460" t="str">
        <f t="shared" si="437"/>
        <v/>
      </c>
      <c r="HT100" s="460" t="str">
        <f t="shared" si="437"/>
        <v/>
      </c>
      <c r="HU100" s="460" t="str">
        <f t="shared" si="437"/>
        <v/>
      </c>
      <c r="HV100" s="460" t="str">
        <f t="shared" si="437"/>
        <v/>
      </c>
      <c r="HW100" s="460" t="str">
        <f t="shared" ref="HW100:ID103" si="438">IF($FJ25&lt;HW$94,"",SQRT(HW25/HW$15))</f>
        <v/>
      </c>
      <c r="HX100" s="460" t="str">
        <f t="shared" si="438"/>
        <v/>
      </c>
      <c r="HY100" s="460" t="str">
        <f t="shared" si="438"/>
        <v/>
      </c>
      <c r="HZ100" s="460" t="str">
        <f t="shared" si="438"/>
        <v/>
      </c>
      <c r="IA100" s="460" t="str">
        <f t="shared" si="438"/>
        <v/>
      </c>
      <c r="IB100" s="460" t="str">
        <f t="shared" si="438"/>
        <v/>
      </c>
      <c r="IC100" s="460" t="str">
        <f t="shared" si="438"/>
        <v/>
      </c>
      <c r="ID100" s="674" t="str">
        <f t="shared" si="438"/>
        <v/>
      </c>
      <c r="IE100" s="250"/>
    </row>
    <row r="101" spans="8:239">
      <c r="H101" s="51">
        <f t="shared" ca="1" si="315"/>
        <v>0</v>
      </c>
      <c r="I101" s="379">
        <f t="shared" si="316"/>
        <v>39234</v>
      </c>
      <c r="J101" s="377"/>
      <c r="K101" s="104" t="s">
        <v>268</v>
      </c>
      <c r="L101" s="392">
        <f t="shared" si="317"/>
        <v>0.1875</v>
      </c>
      <c r="M101" s="171"/>
      <c r="N101" s="382">
        <v>0</v>
      </c>
      <c r="O101" s="171">
        <f t="shared" si="272"/>
        <v>0</v>
      </c>
      <c r="P101" s="377"/>
      <c r="Q101" s="104" t="s">
        <v>268</v>
      </c>
      <c r="R101" s="377">
        <f t="shared" ca="1" si="417"/>
        <v>-1.1910383078129951</v>
      </c>
      <c r="S101" s="832">
        <f t="shared" si="435"/>
        <v>0.36000000000404536</v>
      </c>
      <c r="T101" s="831">
        <f t="shared" si="418"/>
        <v>0.99999965346798969</v>
      </c>
      <c r="U101" s="545">
        <f t="shared" si="419"/>
        <v>0.99999999999886224</v>
      </c>
      <c r="V101" s="389">
        <v>0</v>
      </c>
      <c r="W101" s="434">
        <f t="shared" si="273"/>
        <v>0</v>
      </c>
      <c r="X101" s="415">
        <f t="shared" si="274"/>
        <v>0.23749999999999999</v>
      </c>
      <c r="Y101" s="322">
        <f t="shared" si="275"/>
        <v>-1.2495000000000001</v>
      </c>
      <c r="Z101" s="322">
        <f t="shared" ca="1" si="276"/>
        <v>-1.012</v>
      </c>
      <c r="AA101" s="429">
        <f t="shared" si="277"/>
        <v>1.2495000000000001</v>
      </c>
      <c r="AB101" s="433">
        <f t="shared" ca="1" si="278"/>
        <v>1.2495000000000001</v>
      </c>
      <c r="AC101" s="229">
        <v>39222</v>
      </c>
      <c r="AD101" s="229">
        <v>39218</v>
      </c>
      <c r="AE101" s="229">
        <v>39217</v>
      </c>
      <c r="AF101" s="229">
        <v>39213</v>
      </c>
      <c r="AG101" s="249" t="s">
        <v>499</v>
      </c>
      <c r="AH101" s="247" t="s">
        <v>499</v>
      </c>
      <c r="AI101" s="146">
        <v>21</v>
      </c>
      <c r="AJ101" s="41">
        <v>14</v>
      </c>
      <c r="AK101" s="41">
        <v>7</v>
      </c>
      <c r="AL101" s="293">
        <v>21</v>
      </c>
      <c r="AM101" s="41">
        <v>10</v>
      </c>
      <c r="AN101" s="147">
        <v>11</v>
      </c>
      <c r="AO101" s="374"/>
      <c r="AP101" s="153">
        <f t="shared" ca="1" si="318"/>
        <v>1</v>
      </c>
      <c r="AQ101" s="374"/>
      <c r="AR101" s="153">
        <f t="shared" ca="1" si="420"/>
        <v>1</v>
      </c>
      <c r="AS101" s="272">
        <f t="shared" si="279"/>
        <v>0</v>
      </c>
      <c r="AT101" s="157">
        <f t="shared" si="319"/>
        <v>0</v>
      </c>
      <c r="AU101" s="157">
        <f t="shared" si="280"/>
        <v>0</v>
      </c>
      <c r="AV101" s="271">
        <f t="shared" ca="1" si="430"/>
        <v>9.9999999999999995E-7</v>
      </c>
      <c r="AW101" s="158" t="str">
        <f t="shared" ca="1" si="281"/>
        <v/>
      </c>
      <c r="AX101" s="157">
        <f t="shared" ca="1" si="421"/>
        <v>1.6586626809915886E-3</v>
      </c>
      <c r="AY101" s="157">
        <f t="shared" ca="1" si="422"/>
        <v>7.481840120114276E-4</v>
      </c>
      <c r="AZ101" s="157">
        <f t="shared" ca="1" si="423"/>
        <v>1.3578955766368214E-4</v>
      </c>
      <c r="BA101" s="157">
        <f t="shared" ca="1" si="424"/>
        <v>1.6973694707960268E-5</v>
      </c>
      <c r="BB101" s="157">
        <f t="shared" ca="1" si="425"/>
        <v>2.346136164219815E-6</v>
      </c>
      <c r="BC101" s="157">
        <f t="shared" ca="1" si="426"/>
        <v>5.7621262407807128E-7</v>
      </c>
      <c r="BD101" s="151">
        <f t="shared" ca="1" si="282"/>
        <v>0</v>
      </c>
      <c r="BE101" s="152">
        <f t="shared" ca="1" si="283"/>
        <v>0</v>
      </c>
      <c r="BF101" s="40">
        <f t="shared" si="284"/>
        <v>2007</v>
      </c>
      <c r="BG101" s="144">
        <f t="shared" si="285"/>
        <v>6</v>
      </c>
      <c r="BH101" s="145">
        <f t="shared" ca="1" si="286"/>
        <v>2473</v>
      </c>
      <c r="BI101" s="313">
        <f t="shared" ref="BI101:BI164" ca="1" si="439">(I101-DateToday+1)/365.25</f>
        <v>6.8145106091718004</v>
      </c>
      <c r="BJ101" s="42">
        <f t="shared" ca="1" si="288"/>
        <v>6.867442391056354</v>
      </c>
      <c r="BK101" s="42">
        <f t="shared" ca="1" si="289"/>
        <v>6.8701802418434861</v>
      </c>
      <c r="BL101" s="42">
        <f t="shared" ref="BL101:BL164" ca="1" si="440">(I102-DateToday)/365.25</f>
        <v>6.8939082819986313</v>
      </c>
      <c r="BM101" s="150" t="e">
        <f t="shared" ca="1" si="291"/>
        <v>#DIV/0!</v>
      </c>
      <c r="BN101" s="42" t="e">
        <f t="shared" ca="1" si="292"/>
        <v>#DIV/0!</v>
      </c>
      <c r="BO101" s="293">
        <f t="shared" ref="BO101:BO164" si="441">CHOOSE(Underlying,AI101,AL101)</f>
        <v>21</v>
      </c>
      <c r="BP101" s="41">
        <f t="shared" ref="BP101:BP164" si="442">CHOOSE(Underlying,AJ101,AM101)</f>
        <v>14</v>
      </c>
      <c r="BQ101" s="41">
        <f t="shared" ref="BQ101:BQ164" si="443">CHOOSE(Underlying,AK101,AN101)</f>
        <v>7</v>
      </c>
      <c r="BR101" s="305" t="str">
        <f t="shared" ca="1" si="295"/>
        <v/>
      </c>
      <c r="BS101" s="305" t="str">
        <f t="shared" ref="BS101:BS164" ca="1" si="444">IF(BD101,Strike1/BR101-1,"")</f>
        <v/>
      </c>
      <c r="BT101" s="307" t="str">
        <f t="shared" ref="BT101:BT164" ca="1" si="445">IF(BD101,Strike2/BR101-1,"")</f>
        <v/>
      </c>
      <c r="BU101" s="161" t="str">
        <f t="shared" ca="1" si="298"/>
        <v/>
      </c>
      <c r="BV101" s="161" t="str">
        <f t="shared" ca="1" si="299"/>
        <v/>
      </c>
      <c r="BW101" s="308" t="str">
        <f t="shared" ca="1" si="300"/>
        <v/>
      </c>
      <c r="BX101" s="309" t="str">
        <f t="shared" ca="1" si="301"/>
        <v/>
      </c>
      <c r="BY101" s="308" t="str">
        <f t="shared" ref="BY101:BY164" ca="1" si="446">IF(BD101,IF(BS101&gt;0,IF(BS101&gt;0.2,BC101-BB101,IF(BS101&gt;0.1,BB101-BA101,BA101)),IF(BS101&lt;-0.2,AX101-AY101,IF(BS101&lt;-0.1,AY101-AZ101,AZ101))),"")</f>
        <v/>
      </c>
      <c r="BZ101" s="309" t="str">
        <f t="shared" ref="BZ101:BZ164" ca="1" si="447">IF(BD101,IF(BT101&gt;0,IF(BT101&gt;0.2,BC101-BB101,IF(BT101&gt;0.1,BB101-BA101,BA101)),IF(BT101&lt;-0.2,AX101-AY101,IF(BT101&lt;-0.1,AY101-AZ101,AZ101))),"")</f>
        <v/>
      </c>
      <c r="CA101" s="154" t="str">
        <f t="shared" ca="1" si="302"/>
        <v/>
      </c>
      <c r="CB101" s="154" t="str">
        <f t="shared" ca="1" si="303"/>
        <v/>
      </c>
      <c r="CC101" s="154" t="str">
        <f t="shared" ca="1" si="304"/>
        <v/>
      </c>
      <c r="CD101" s="154" t="str">
        <f t="shared" ca="1" si="305"/>
        <v/>
      </c>
      <c r="CE101" s="310">
        <v>1</v>
      </c>
      <c r="CF101" s="162">
        <f ca="1">IF(BD101,_xll.xCrudeAPO(BU101,BV101,CA101,CB101,S102,S103,BI101,BL101,BP101,BQ101,0,Strike1,AO101,CE101,0,BL101,IF(OptControl=4,0,1),0,1),0)</f>
        <v>0</v>
      </c>
      <c r="CG101" s="163">
        <f ca="1">IF(BD101,_xll.xCrudeAPO(BU101,BV101,CA101,CB101,S102,S103,BI101,BL101,BP101,BQ101,0,Strike1,AO101,CE101,0,BL101,IF(OptControl=4,0,1),1,1)+_xll.xCrudeAPO(BU101,BV101,CA101,CB101,S102,S103,BI101,BL101,BP101,BQ101,0,Strike1,AO101,CE101,0,BL101,IF(OptControl=4,0,1),1,2)+IF(OR(VolSkewFlag=2,ABS(BS101)&lt;0.0001),0,IF(BS101&gt;0,-1,1)*CH101*Strike1/BR101^2*BY101/10%),0)</f>
        <v>0</v>
      </c>
      <c r="CH101" s="163">
        <f ca="1">IF(BD101,(_xll.xCrudeAPO(BU101,BV101,CA101,CB101,S102,S103,BI101,BL101,BP101,BQ101,0,Strike1,AO101,CE101,0,BL101,IF(OptControl=4,0,1),3,1)+_xll.xCrudeAPO(BU101,BV101,CA101,CB101,S102,S103,BI101,BL101,BP101,BQ101,0,Strike1,AO101,CE101,0,BL101,IF(OptControl=4,0,1),3,2))/100,0)</f>
        <v>0</v>
      </c>
      <c r="CI101" s="163">
        <f ca="1">IF(BD101,_xll.xCrudeAPO(BU101,BV101,CA101,CB101,S102,S103,BI101-DaysForThetaCalculation/365.25,BL101-DaysForThetaCalculation/365.25,BP101,BQ101,0,Strike1,AO101,CE101,0,BL101,IF(OptControl=4,0,1),0,1)-_xll.xCrudeAPO(BU101,BV101,CA101,CB101,S102,S103,BI101,BL101,BP101,BQ101,0,Strike1,AO101,CE101,0,BL101,IF(OptControl=4,0,1),0,1),0)</f>
        <v>0</v>
      </c>
      <c r="CJ101" s="311">
        <f ca="1">IF(BD101,_xll.xCrudeAPO(BU101,BV101,CC101,CD101,S102,S103,BI101,BL101,BP101,BQ101,0,Strike2,AO101,CE101,0,BL101,IF(OptControl=3,1,0),0,1),0)</f>
        <v>0</v>
      </c>
      <c r="CK101" s="163">
        <f ca="1">IF(BD101,_xll.xCrudeAPO(BU101,BV101,CC101,CD101,S102,S103,BI101,BL101,BP101,BQ101,0,Strike2,AO101,CE101,0,BL101,IF(OptControl=3,1,0),1,1)+_xll.xCrudeAPO(BU101,BV101,CC101,CD101,S102,S103,BI101,BL101,BP101,BQ101,0,Strike2,AO101,CE101,0,BL101,IF(OptControl=3,1,0),1,2)+IF(OR(VolSkewFlag=2,ABS(BT101)&lt;0.0001),0,IF(BT101&gt;0,-1,1)*CL101*Strike2/BR101^2*BZ101/10%),0)</f>
        <v>0</v>
      </c>
      <c r="CL101" s="163">
        <f ca="1">IF(BD101,(_xll.xCrudeAPO(BU101,BV101,CC101,CD101,S102,S103,BI101,BL101,BP101,BQ101,0,Strike2,AO101,CE101,0,BL101,IF(OptControl=3,1,0),3,1)+_xll.xCrudeAPO(BU101,BV101,CC101,CD101,S102,S103,BI101,BL101,BP101,BQ101,0,Strike2,AO101,CE101,0,BL101,IF(OptControl=3,1,0),3,2))/100,0)</f>
        <v>0</v>
      </c>
      <c r="CM101" s="164">
        <f ca="1">IF(BD101,_xll.xCrudeAPO(BU101,BV101,CC101,CD101,S102,S103,BI101-DaysForThetaCalculation/365.25,BL101-DaysForThetaCalculation/365.25,BP101,BQ101,0,Strike2,AO101,CE101,0,BL101,IF(OptControl=3,1,0),0,1)-_xll.xCrudeAPO(BU101,BV101,CC101,CD101,S102,S103,BI101,BL101,BP101,BQ101,0,Strike2,AO101,CE101,0,BL101,IF(OptControl=3,1,0),0,1),0)</f>
        <v>0</v>
      </c>
      <c r="CN101" s="53"/>
      <c r="CO101" s="796" t="str">
        <f t="shared" ca="1" si="323"/>
        <v/>
      </c>
      <c r="CP101" s="800" t="str">
        <f t="shared" ca="1" si="324"/>
        <v/>
      </c>
      <c r="CQ101" s="797" t="str">
        <f t="shared" ca="1" si="325"/>
        <v/>
      </c>
      <c r="CR101" s="797" t="str">
        <f t="shared" ca="1" si="326"/>
        <v/>
      </c>
      <c r="CS101" s="797" t="str">
        <f t="shared" ca="1" si="327"/>
        <v/>
      </c>
      <c r="CT101" s="797" t="str">
        <f t="shared" ca="1" si="328"/>
        <v/>
      </c>
      <c r="CU101" s="798" t="str">
        <f t="shared" ca="1" si="329"/>
        <v/>
      </c>
      <c r="CV101" s="799" t="str">
        <f t="shared" ca="1" si="330"/>
        <v/>
      </c>
      <c r="CW101" s="799" t="str">
        <f t="shared" ca="1" si="331"/>
        <v/>
      </c>
      <c r="CX101" s="163">
        <f ca="1">IF(BD101,_xll.EURO(CP101,Strike1,AO101,AO101,CV101,CO101,IF(OptControl=4,0,1),0),0)</f>
        <v>0</v>
      </c>
      <c r="CY101" s="163">
        <f ca="1">IF(BD101,_xll.EURO(CP101,Strike1,AO101,AO101,CV101,CO101,IF(OptControl=4,0,1),1)+IF(OR(VolSkewFlag=2,ABS(CQ101)&lt;0.0001),0,IF(CQ101&gt;0,-1,1)*CZ101*100*Strike1/CP101^2*CS101/10%),0)</f>
        <v>0</v>
      </c>
      <c r="CZ101" s="163">
        <f ca="1">IF(BD101,_xll.EURO(CP101,Strike1,AO101,AO101,CV101,CO101,IF(OptControl=4,0,1),3)/100,0)</f>
        <v>0</v>
      </c>
      <c r="DA101" s="163">
        <f ca="1">IF(BD101,_xll.EURO(CP101,Strike1,AO101,AO101,CV101,CO101,IF(OptControl=4,0,1),0)-_xll.EURO(CP101,Strike1,AO101,AO101,CV101,CO101-1,IF(OptControl=4,0,1),0),0)</f>
        <v>0</v>
      </c>
      <c r="DB101" s="163">
        <f ca="1">IF(BD101,_xll.EURO(CP101,Strike2,AO101,AO101,CW101,CO101,IF(OptControl=3,1,0),0),0)</f>
        <v>0</v>
      </c>
      <c r="DC101" s="163">
        <f ca="1">IF(BD101,_xll.EURO(CP101,Strike2,AO101,AO101,CW101,CO101,IF(OptControl=3,1,0),1)+IF(OR(VolSkewFlag=2,ABS(CR101)&lt;0.0001),0,IF(CR101&gt;0,-1,1)*DD101*100*Strike2/CP101^2*CT101/10%),0)</f>
        <v>0</v>
      </c>
      <c r="DD101" s="163">
        <f ca="1">IF(BD101,_xll.EURO(CP101,Strike2,AO101,AO101,CW101,CO101,IF(OptControl=3,1,0),3)/100,0)</f>
        <v>0</v>
      </c>
      <c r="DE101" s="164">
        <f ca="1">IF(BD101,_xll.EURO(CP101,Strike2,AO101,AO101,CW101,CO101,IF(OptControl=3,1,0),0)-_xll.EURO(CP101,Strike2,AO101,AO101,CW101,CO101-1,IF(OptControl=3,1,0),0),0)</f>
        <v>0</v>
      </c>
      <c r="DG101" s="667">
        <f t="shared" ca="1" si="332"/>
        <v>39022</v>
      </c>
      <c r="DH101" s="475">
        <v>18.310833333333335</v>
      </c>
      <c r="DI101" s="665">
        <v>18.326666666666668</v>
      </c>
      <c r="DJ101" s="666">
        <f t="shared" ca="1" si="306"/>
        <v>39022</v>
      </c>
      <c r="DK101" s="475">
        <v>17.118139168222694</v>
      </c>
      <c r="DL101" s="665">
        <v>17.143266666666669</v>
      </c>
      <c r="DM101" s="667">
        <f t="shared" ca="1" si="307"/>
        <v>39022</v>
      </c>
      <c r="DN101" s="668">
        <f t="shared" si="308"/>
        <v>17.168139168222694</v>
      </c>
      <c r="DO101" s="667">
        <f t="shared" ca="1" si="333"/>
        <v>39022</v>
      </c>
      <c r="DP101" s="579">
        <f t="shared" si="334"/>
        <v>17.143266666666669</v>
      </c>
      <c r="DQ101" s="821">
        <v>0</v>
      </c>
      <c r="DR101" s="666">
        <f t="shared" ca="1" si="309"/>
        <v>39022</v>
      </c>
      <c r="DS101" s="669">
        <v>0.17600000000000002</v>
      </c>
      <c r="DT101" s="606">
        <v>0.17518181818181819</v>
      </c>
      <c r="DU101" s="666">
        <f t="shared" ca="1" si="310"/>
        <v>39022</v>
      </c>
      <c r="DV101" s="669">
        <v>0.17600000000000002</v>
      </c>
      <c r="DW101" s="606">
        <v>0.17518181818181819</v>
      </c>
      <c r="DX101" s="667">
        <f t="shared" ca="1" si="311"/>
        <v>39022</v>
      </c>
      <c r="DY101" s="606">
        <v>0.35</v>
      </c>
      <c r="DZ101" s="667">
        <f t="shared" ca="1" si="335"/>
        <v>39022</v>
      </c>
      <c r="EA101" s="606">
        <f t="shared" si="336"/>
        <v>0.17518181818181819</v>
      </c>
      <c r="EB101" s="1"/>
      <c r="EC101" s="118" t="str">
        <f t="shared" ca="1" si="312"/>
        <v/>
      </c>
      <c r="ED101" s="119" t="str">
        <f t="shared" ca="1" si="313"/>
        <v/>
      </c>
      <c r="EE101" s="112" t="str">
        <f t="shared" ca="1" si="314"/>
        <v/>
      </c>
      <c r="EF101" s="120">
        <f ca="1">IF(BD101,_xll.xASN(BR101,Strike1,AO101,ED101,0,BO101,0,BI101,BL101,IF(OptControl=4,0,1),0),0)</f>
        <v>0</v>
      </c>
      <c r="EG101" s="111">
        <f ca="1">IF(BD101,_xll.xASN(BR101,Strike2,AO101,EE101,0,BO101,0,BI101,BL101,IF(OptControl=3,1,0),0),0)</f>
        <v>0</v>
      </c>
      <c r="EL101" s="55"/>
      <c r="EM101" s="1"/>
      <c r="EN101" s="106"/>
      <c r="EO101" s="106"/>
      <c r="EP101" s="1"/>
      <c r="EQ101" s="683" t="s">
        <v>314</v>
      </c>
      <c r="ES101" s="455"/>
      <c r="ET101" s="36"/>
      <c r="EU101" s="107"/>
      <c r="EV101" s="475"/>
      <c r="EW101" s="456"/>
      <c r="EX101" s="456"/>
      <c r="EY101" s="250"/>
      <c r="EZ101" s="250"/>
      <c r="FA101" s="250"/>
      <c r="FB101" s="250"/>
      <c r="FC101" s="250"/>
      <c r="FD101" s="250"/>
      <c r="FE101" s="250"/>
      <c r="FF101" s="250"/>
      <c r="FG101" s="250"/>
      <c r="FH101" s="250"/>
      <c r="FI101" s="250"/>
      <c r="FJ101" s="673">
        <v>7</v>
      </c>
      <c r="FK101" s="460">
        <f t="shared" ca="1" si="432"/>
        <v>0</v>
      </c>
      <c r="FL101" s="460">
        <f t="shared" ref="FL101:HW104" ca="1" si="448">IF($FJ26&lt;FL$94,"",SQRT(FL26/FL$15))</f>
        <v>0.23912805982479879</v>
      </c>
      <c r="FM101" s="460">
        <f t="shared" ca="1" si="448"/>
        <v>0.26162779896378968</v>
      </c>
      <c r="FN101" s="460">
        <f t="shared" ca="1" si="448"/>
        <v>0.27676201150615265</v>
      </c>
      <c r="FO101" s="460">
        <f t="shared" ca="1" si="448"/>
        <v>0.29828312575903115</v>
      </c>
      <c r="FP101" s="460">
        <f t="shared" ca="1" si="448"/>
        <v>0.32813740043674894</v>
      </c>
      <c r="FQ101" s="460">
        <f t="shared" ca="1" si="448"/>
        <v>0.36949218750000001</v>
      </c>
      <c r="FR101" s="460" t="str">
        <f t="shared" si="448"/>
        <v/>
      </c>
      <c r="FS101" s="460" t="str">
        <f t="shared" si="448"/>
        <v/>
      </c>
      <c r="FT101" s="460" t="str">
        <f t="shared" si="448"/>
        <v/>
      </c>
      <c r="FU101" s="460" t="str">
        <f t="shared" si="448"/>
        <v/>
      </c>
      <c r="FV101" s="460" t="str">
        <f t="shared" si="448"/>
        <v/>
      </c>
      <c r="FW101" s="460" t="str">
        <f t="shared" si="448"/>
        <v/>
      </c>
      <c r="FX101" s="460" t="str">
        <f t="shared" si="448"/>
        <v/>
      </c>
      <c r="FY101" s="460" t="str">
        <f t="shared" si="448"/>
        <v/>
      </c>
      <c r="FZ101" s="460" t="str">
        <f t="shared" si="448"/>
        <v/>
      </c>
      <c r="GA101" s="460" t="str">
        <f t="shared" si="448"/>
        <v/>
      </c>
      <c r="GB101" s="460" t="str">
        <f t="shared" si="448"/>
        <v/>
      </c>
      <c r="GC101" s="460" t="str">
        <f t="shared" si="448"/>
        <v/>
      </c>
      <c r="GD101" s="460" t="str">
        <f t="shared" si="448"/>
        <v/>
      </c>
      <c r="GE101" s="460" t="str">
        <f t="shared" si="448"/>
        <v/>
      </c>
      <c r="GF101" s="460" t="str">
        <f t="shared" si="448"/>
        <v/>
      </c>
      <c r="GG101" s="460" t="str">
        <f t="shared" si="448"/>
        <v/>
      </c>
      <c r="GH101" s="460" t="str">
        <f t="shared" si="448"/>
        <v/>
      </c>
      <c r="GI101" s="460" t="str">
        <f t="shared" si="448"/>
        <v/>
      </c>
      <c r="GJ101" s="460" t="str">
        <f t="shared" si="448"/>
        <v/>
      </c>
      <c r="GK101" s="460" t="str">
        <f t="shared" si="448"/>
        <v/>
      </c>
      <c r="GL101" s="460" t="str">
        <f t="shared" si="448"/>
        <v/>
      </c>
      <c r="GM101" s="460" t="str">
        <f t="shared" si="448"/>
        <v/>
      </c>
      <c r="GN101" s="460" t="str">
        <f t="shared" si="448"/>
        <v/>
      </c>
      <c r="GO101" s="460" t="str">
        <f t="shared" si="448"/>
        <v/>
      </c>
      <c r="GP101" s="460" t="str">
        <f t="shared" si="448"/>
        <v/>
      </c>
      <c r="GQ101" s="460" t="str">
        <f t="shared" si="448"/>
        <v/>
      </c>
      <c r="GR101" s="460" t="str">
        <f t="shared" si="448"/>
        <v/>
      </c>
      <c r="GS101" s="460" t="str">
        <f t="shared" si="448"/>
        <v/>
      </c>
      <c r="GT101" s="460" t="str">
        <f t="shared" si="448"/>
        <v/>
      </c>
      <c r="GU101" s="460" t="str">
        <f t="shared" si="448"/>
        <v/>
      </c>
      <c r="GV101" s="460" t="str">
        <f t="shared" si="448"/>
        <v/>
      </c>
      <c r="GW101" s="460" t="str">
        <f t="shared" si="448"/>
        <v/>
      </c>
      <c r="GX101" s="460" t="str">
        <f t="shared" si="448"/>
        <v/>
      </c>
      <c r="GY101" s="460" t="str">
        <f t="shared" si="448"/>
        <v/>
      </c>
      <c r="GZ101" s="460" t="str">
        <f t="shared" si="448"/>
        <v/>
      </c>
      <c r="HA101" s="460" t="str">
        <f t="shared" si="448"/>
        <v/>
      </c>
      <c r="HB101" s="460" t="str">
        <f t="shared" si="448"/>
        <v/>
      </c>
      <c r="HC101" s="460" t="str">
        <f t="shared" si="448"/>
        <v/>
      </c>
      <c r="HD101" s="460" t="str">
        <f t="shared" si="448"/>
        <v/>
      </c>
      <c r="HE101" s="460" t="str">
        <f t="shared" si="448"/>
        <v/>
      </c>
      <c r="HF101" s="460" t="str">
        <f t="shared" si="448"/>
        <v/>
      </c>
      <c r="HG101" s="460" t="str">
        <f t="shared" si="448"/>
        <v/>
      </c>
      <c r="HH101" s="460" t="str">
        <f t="shared" si="448"/>
        <v/>
      </c>
      <c r="HI101" s="460" t="str">
        <f t="shared" si="448"/>
        <v/>
      </c>
      <c r="HJ101" s="460" t="str">
        <f t="shared" si="448"/>
        <v/>
      </c>
      <c r="HK101" s="460" t="str">
        <f t="shared" si="448"/>
        <v/>
      </c>
      <c r="HL101" s="460" t="str">
        <f t="shared" si="448"/>
        <v/>
      </c>
      <c r="HM101" s="460" t="str">
        <f t="shared" si="448"/>
        <v/>
      </c>
      <c r="HN101" s="460" t="str">
        <f t="shared" si="448"/>
        <v/>
      </c>
      <c r="HO101" s="460" t="str">
        <f t="shared" si="448"/>
        <v/>
      </c>
      <c r="HP101" s="460" t="str">
        <f t="shared" si="448"/>
        <v/>
      </c>
      <c r="HQ101" s="460" t="str">
        <f t="shared" si="448"/>
        <v/>
      </c>
      <c r="HR101" s="460" t="str">
        <f t="shared" si="448"/>
        <v/>
      </c>
      <c r="HS101" s="460" t="str">
        <f t="shared" si="448"/>
        <v/>
      </c>
      <c r="HT101" s="460" t="str">
        <f t="shared" si="448"/>
        <v/>
      </c>
      <c r="HU101" s="460" t="str">
        <f t="shared" si="448"/>
        <v/>
      </c>
      <c r="HV101" s="460" t="str">
        <f t="shared" si="448"/>
        <v/>
      </c>
      <c r="HW101" s="460" t="str">
        <f t="shared" si="448"/>
        <v/>
      </c>
      <c r="HX101" s="460" t="str">
        <f t="shared" si="438"/>
        <v/>
      </c>
      <c r="HY101" s="460" t="str">
        <f t="shared" si="438"/>
        <v/>
      </c>
      <c r="HZ101" s="460" t="str">
        <f t="shared" si="438"/>
        <v/>
      </c>
      <c r="IA101" s="460" t="str">
        <f t="shared" si="438"/>
        <v/>
      </c>
      <c r="IB101" s="460" t="str">
        <f t="shared" si="438"/>
        <v/>
      </c>
      <c r="IC101" s="460" t="str">
        <f t="shared" si="438"/>
        <v/>
      </c>
      <c r="ID101" s="674" t="str">
        <f t="shared" si="438"/>
        <v/>
      </c>
      <c r="IE101" s="250"/>
    </row>
    <row r="102" spans="8:239">
      <c r="H102" s="51">
        <f t="shared" ca="1" si="315"/>
        <v>0</v>
      </c>
      <c r="I102" s="379">
        <f t="shared" si="316"/>
        <v>39264</v>
      </c>
      <c r="J102" s="377"/>
      <c r="K102" s="104" t="s">
        <v>268</v>
      </c>
      <c r="L102" s="392">
        <f t="shared" si="317"/>
        <v>0.22500000000000001</v>
      </c>
      <c r="M102" s="171"/>
      <c r="N102" s="382">
        <v>0</v>
      </c>
      <c r="O102" s="171">
        <f t="shared" si="272"/>
        <v>0</v>
      </c>
      <c r="P102" s="377"/>
      <c r="Q102" s="104" t="s">
        <v>268</v>
      </c>
      <c r="R102" s="377">
        <f t="shared" ca="1" si="417"/>
        <v>-0.93677822475923445</v>
      </c>
      <c r="S102" s="832">
        <f t="shared" si="435"/>
        <v>0.360000000003034</v>
      </c>
      <c r="T102" s="831">
        <f t="shared" si="418"/>
        <v>0.99999970371519842</v>
      </c>
      <c r="U102" s="545">
        <f t="shared" si="419"/>
        <v>0.99999999999914668</v>
      </c>
      <c r="V102" s="389">
        <v>0</v>
      </c>
      <c r="W102" s="434">
        <f t="shared" si="273"/>
        <v>0</v>
      </c>
      <c r="X102" s="415">
        <f t="shared" si="274"/>
        <v>0.27500000000000002</v>
      </c>
      <c r="Y102" s="322">
        <f t="shared" si="275"/>
        <v>-1.2257</v>
      </c>
      <c r="Z102" s="322">
        <f t="shared" ca="1" si="276"/>
        <v>-0.95069999999999999</v>
      </c>
      <c r="AA102" s="429">
        <f t="shared" si="277"/>
        <v>1.2257</v>
      </c>
      <c r="AB102" s="433">
        <f t="shared" ca="1" si="278"/>
        <v>1.2257</v>
      </c>
      <c r="AC102" s="229">
        <v>39253</v>
      </c>
      <c r="AD102" s="229">
        <v>39249</v>
      </c>
      <c r="AE102" s="229">
        <v>39248</v>
      </c>
      <c r="AF102" s="229">
        <v>39244</v>
      </c>
      <c r="AG102" s="249" t="s">
        <v>499</v>
      </c>
      <c r="AH102" s="247" t="s">
        <v>499</v>
      </c>
      <c r="AI102" s="146">
        <v>21</v>
      </c>
      <c r="AJ102" s="41">
        <v>14</v>
      </c>
      <c r="AK102" s="41">
        <v>7</v>
      </c>
      <c r="AL102" s="293">
        <v>22</v>
      </c>
      <c r="AM102" s="41">
        <v>10</v>
      </c>
      <c r="AN102" s="147">
        <v>12</v>
      </c>
      <c r="AO102" s="374"/>
      <c r="AP102" s="153">
        <f t="shared" ca="1" si="318"/>
        <v>1</v>
      </c>
      <c r="AQ102" s="374"/>
      <c r="AR102" s="153">
        <f t="shared" ca="1" si="420"/>
        <v>1</v>
      </c>
      <c r="AS102" s="272">
        <f t="shared" si="279"/>
        <v>0</v>
      </c>
      <c r="AT102" s="157">
        <f t="shared" si="319"/>
        <v>0</v>
      </c>
      <c r="AU102" s="157">
        <f t="shared" si="280"/>
        <v>0</v>
      </c>
      <c r="AV102" s="271">
        <f t="shared" ca="1" si="430"/>
        <v>9.9999999999999995E-7</v>
      </c>
      <c r="AW102" s="158" t="str">
        <f t="shared" ca="1" si="281"/>
        <v/>
      </c>
      <c r="AX102" s="157">
        <f t="shared" ca="1" si="421"/>
        <v>1.6035547839787897E-3</v>
      </c>
      <c r="AY102" s="157">
        <f t="shared" ca="1" si="422"/>
        <v>7.1851743311622974E-4</v>
      </c>
      <c r="AZ102" s="157">
        <f t="shared" ca="1" si="423"/>
        <v>1.2816827540915917E-4</v>
      </c>
      <c r="BA102" s="157">
        <f t="shared" ca="1" si="424"/>
        <v>1.6021034426144896E-5</v>
      </c>
      <c r="BB102" s="157">
        <f t="shared" ca="1" si="425"/>
        <v>2.1408838665277674E-6</v>
      </c>
      <c r="BC102" s="157">
        <f t="shared" ca="1" si="426"/>
        <v>5.1334708816743454E-7</v>
      </c>
      <c r="BD102" s="151">
        <f t="shared" ca="1" si="282"/>
        <v>0</v>
      </c>
      <c r="BE102" s="152">
        <f t="shared" ca="1" si="283"/>
        <v>0</v>
      </c>
      <c r="BF102" s="40">
        <f t="shared" si="284"/>
        <v>2007</v>
      </c>
      <c r="BG102" s="144">
        <f t="shared" si="285"/>
        <v>7</v>
      </c>
      <c r="BH102" s="145">
        <f t="shared" ca="1" si="286"/>
        <v>2504</v>
      </c>
      <c r="BI102" s="313">
        <f t="shared" ca="1" si="439"/>
        <v>6.8966461327857633</v>
      </c>
      <c r="BJ102" s="42">
        <f t="shared" ca="1" si="288"/>
        <v>6.9514031485284056</v>
      </c>
      <c r="BK102" s="42">
        <f t="shared" ca="1" si="289"/>
        <v>6.9541409993155376</v>
      </c>
      <c r="BL102" s="42">
        <f t="shared" ca="1" si="440"/>
        <v>6.9787816563997263</v>
      </c>
      <c r="BM102" s="150" t="e">
        <f t="shared" ca="1" si="291"/>
        <v>#DIV/0!</v>
      </c>
      <c r="BN102" s="42" t="e">
        <f t="shared" ca="1" si="292"/>
        <v>#DIV/0!</v>
      </c>
      <c r="BO102" s="293">
        <f t="shared" si="441"/>
        <v>21</v>
      </c>
      <c r="BP102" s="41">
        <f t="shared" si="442"/>
        <v>14</v>
      </c>
      <c r="BQ102" s="41">
        <f t="shared" si="443"/>
        <v>7</v>
      </c>
      <c r="BR102" s="305" t="str">
        <f t="shared" ca="1" si="295"/>
        <v/>
      </c>
      <c r="BS102" s="305" t="str">
        <f t="shared" ca="1" si="444"/>
        <v/>
      </c>
      <c r="BT102" s="307" t="str">
        <f t="shared" ca="1" si="445"/>
        <v/>
      </c>
      <c r="BU102" s="161" t="str">
        <f t="shared" ca="1" si="298"/>
        <v/>
      </c>
      <c r="BV102" s="161" t="str">
        <f t="shared" ca="1" si="299"/>
        <v/>
      </c>
      <c r="BW102" s="308" t="str">
        <f t="shared" ca="1" si="300"/>
        <v/>
      </c>
      <c r="BX102" s="309" t="str">
        <f t="shared" ca="1" si="301"/>
        <v/>
      </c>
      <c r="BY102" s="308" t="str">
        <f t="shared" ca="1" si="446"/>
        <v/>
      </c>
      <c r="BZ102" s="309" t="str">
        <f t="shared" ca="1" si="447"/>
        <v/>
      </c>
      <c r="CA102" s="154" t="str">
        <f t="shared" ca="1" si="302"/>
        <v/>
      </c>
      <c r="CB102" s="154" t="str">
        <f t="shared" ca="1" si="303"/>
        <v/>
      </c>
      <c r="CC102" s="154" t="str">
        <f t="shared" ca="1" si="304"/>
        <v/>
      </c>
      <c r="CD102" s="154" t="str">
        <f t="shared" ca="1" si="305"/>
        <v/>
      </c>
      <c r="CE102" s="310">
        <v>1</v>
      </c>
      <c r="CF102" s="162">
        <f ca="1">IF(BD102,_xll.xCrudeAPO(BU102,BV102,CA102,CB102,S103,S104,BI102,BL102,BP102,BQ102,0,Strike1,AO102,CE102,0,BL102,IF(OptControl=4,0,1),0,1),0)</f>
        <v>0</v>
      </c>
      <c r="CG102" s="163">
        <f ca="1">IF(BD102,_xll.xCrudeAPO(BU102,BV102,CA102,CB102,S103,S104,BI102,BL102,BP102,BQ102,0,Strike1,AO102,CE102,0,BL102,IF(OptControl=4,0,1),1,1)+_xll.xCrudeAPO(BU102,BV102,CA102,CB102,S103,S104,BI102,BL102,BP102,BQ102,0,Strike1,AO102,CE102,0,BL102,IF(OptControl=4,0,1),1,2)+IF(OR(VolSkewFlag=2,ABS(BS102)&lt;0.0001),0,IF(BS102&gt;0,-1,1)*CH102*Strike1/BR102^2*BY102/10%),0)</f>
        <v>0</v>
      </c>
      <c r="CH102" s="163">
        <f ca="1">IF(BD102,(_xll.xCrudeAPO(BU102,BV102,CA102,CB102,S103,S104,BI102,BL102,BP102,BQ102,0,Strike1,AO102,CE102,0,BL102,IF(OptControl=4,0,1),3,1)+_xll.xCrudeAPO(BU102,BV102,CA102,CB102,S103,S104,BI102,BL102,BP102,BQ102,0,Strike1,AO102,CE102,0,BL102,IF(OptControl=4,0,1),3,2))/100,0)</f>
        <v>0</v>
      </c>
      <c r="CI102" s="163">
        <f ca="1">IF(BD102,_xll.xCrudeAPO(BU102,BV102,CA102,CB102,S103,S104,BI102-DaysForThetaCalculation/365.25,BL102-DaysForThetaCalculation/365.25,BP102,BQ102,0,Strike1,AO102,CE102,0,BL102,IF(OptControl=4,0,1),0,1)-_xll.xCrudeAPO(BU102,BV102,CA102,CB102,S103,S104,BI102,BL102,BP102,BQ102,0,Strike1,AO102,CE102,0,BL102,IF(OptControl=4,0,1),0,1),0)</f>
        <v>0</v>
      </c>
      <c r="CJ102" s="311">
        <f ca="1">IF(BD102,_xll.xCrudeAPO(BU102,BV102,CC102,CD102,S103,S104,BI102,BL102,BP102,BQ102,0,Strike2,AO102,CE102,0,BL102,IF(OptControl=3,1,0),0,1),0)</f>
        <v>0</v>
      </c>
      <c r="CK102" s="163">
        <f ca="1">IF(BD102,_xll.xCrudeAPO(BU102,BV102,CC102,CD102,S103,S104,BI102,BL102,BP102,BQ102,0,Strike2,AO102,CE102,0,BL102,IF(OptControl=3,1,0),1,1)+_xll.xCrudeAPO(BU102,BV102,CC102,CD102,S103,S104,BI102,BL102,BP102,BQ102,0,Strike2,AO102,CE102,0,BL102,IF(OptControl=3,1,0),1,2)+IF(OR(VolSkewFlag=2,ABS(BT102)&lt;0.0001),0,IF(BT102&gt;0,-1,1)*CL102*Strike2/BR102^2*BZ102/10%),0)</f>
        <v>0</v>
      </c>
      <c r="CL102" s="163">
        <f ca="1">IF(BD102,(_xll.xCrudeAPO(BU102,BV102,CC102,CD102,S103,S104,BI102,BL102,BP102,BQ102,0,Strike2,AO102,CE102,0,BL102,IF(OptControl=3,1,0),3,1)+_xll.xCrudeAPO(BU102,BV102,CC102,CD102,S103,S104,BI102,BL102,BP102,BQ102,0,Strike2,AO102,CE102,0,BL102,IF(OptControl=3,1,0),3,2))/100,0)</f>
        <v>0</v>
      </c>
      <c r="CM102" s="164">
        <f ca="1">IF(BD102,_xll.xCrudeAPO(BU102,BV102,CC102,CD102,S103,S104,BI102-DaysForThetaCalculation/365.25,BL102-DaysForThetaCalculation/365.25,BP102,BQ102,0,Strike2,AO102,CE102,0,BL102,IF(OptControl=3,1,0),0,1)-_xll.xCrudeAPO(BU102,BV102,CC102,CD102,S103,S104,BI102,BL102,BP102,BQ102,0,Strike2,AO102,CE102,0,BL102,IF(OptControl=3,1,0),0,1),0)</f>
        <v>0</v>
      </c>
      <c r="CN102" s="53"/>
      <c r="CO102" s="796" t="str">
        <f t="shared" ca="1" si="323"/>
        <v/>
      </c>
      <c r="CP102" s="800" t="str">
        <f t="shared" ca="1" si="324"/>
        <v/>
      </c>
      <c r="CQ102" s="797" t="str">
        <f t="shared" ca="1" si="325"/>
        <v/>
      </c>
      <c r="CR102" s="797" t="str">
        <f t="shared" ca="1" si="326"/>
        <v/>
      </c>
      <c r="CS102" s="797" t="str">
        <f t="shared" ca="1" si="327"/>
        <v/>
      </c>
      <c r="CT102" s="797" t="str">
        <f t="shared" ca="1" si="328"/>
        <v/>
      </c>
      <c r="CU102" s="798" t="str">
        <f t="shared" ca="1" si="329"/>
        <v/>
      </c>
      <c r="CV102" s="799" t="str">
        <f t="shared" ca="1" si="330"/>
        <v/>
      </c>
      <c r="CW102" s="799" t="str">
        <f t="shared" ca="1" si="331"/>
        <v/>
      </c>
      <c r="CX102" s="163">
        <f ca="1">IF(BD102,_xll.EURO(CP102,Strike1,AO102,AO102,CV102,CO102,IF(OptControl=4,0,1),0),0)</f>
        <v>0</v>
      </c>
      <c r="CY102" s="163">
        <f ca="1">IF(BD102,_xll.EURO(CP102,Strike1,AO102,AO102,CV102,CO102,IF(OptControl=4,0,1),1)+IF(OR(VolSkewFlag=2,ABS(CQ102)&lt;0.0001),0,IF(CQ102&gt;0,-1,1)*CZ102*100*Strike1/CP102^2*CS102/10%),0)</f>
        <v>0</v>
      </c>
      <c r="CZ102" s="163">
        <f ca="1">IF(BD102,_xll.EURO(CP102,Strike1,AO102,AO102,CV102,CO102,IF(OptControl=4,0,1),3)/100,0)</f>
        <v>0</v>
      </c>
      <c r="DA102" s="163">
        <f ca="1">IF(BD102,_xll.EURO(CP102,Strike1,AO102,AO102,CV102,CO102,IF(OptControl=4,0,1),0)-_xll.EURO(CP102,Strike1,AO102,AO102,CV102,CO102-1,IF(OptControl=4,0,1),0),0)</f>
        <v>0</v>
      </c>
      <c r="DB102" s="163">
        <f ca="1">IF(BD102,_xll.EURO(CP102,Strike2,AO102,AO102,CW102,CO102,IF(OptControl=3,1,0),0),0)</f>
        <v>0</v>
      </c>
      <c r="DC102" s="163">
        <f ca="1">IF(BD102,_xll.EURO(CP102,Strike2,AO102,AO102,CW102,CO102,IF(OptControl=3,1,0),1)+IF(OR(VolSkewFlag=2,ABS(CR102)&lt;0.0001),0,IF(CR102&gt;0,-1,1)*DD102*100*Strike2/CP102^2*CT102/10%),0)</f>
        <v>0</v>
      </c>
      <c r="DD102" s="163">
        <f ca="1">IF(BD102,_xll.EURO(CP102,Strike2,AO102,AO102,CW102,CO102,IF(OptControl=3,1,0),3)/100,0)</f>
        <v>0</v>
      </c>
      <c r="DE102" s="164">
        <f ca="1">IF(BD102,_xll.EURO(CP102,Strike2,AO102,AO102,CW102,CO102,IF(OptControl=3,1,0),0)-_xll.EURO(CP102,Strike2,AO102,AO102,CW102,CO102-1,IF(OptControl=3,1,0),0),0)</f>
        <v>0</v>
      </c>
      <c r="DG102" s="667">
        <f t="shared" ca="1" si="332"/>
        <v>39052</v>
      </c>
      <c r="DH102" s="475">
        <v>18.309999999999999</v>
      </c>
      <c r="DI102" s="665">
        <v>18.369583333333335</v>
      </c>
      <c r="DJ102" s="666">
        <f t="shared" ca="1" si="306"/>
        <v>39052</v>
      </c>
      <c r="DK102" s="475">
        <v>17.134692359814427</v>
      </c>
      <c r="DL102" s="665">
        <v>17.186183333333336</v>
      </c>
      <c r="DM102" s="667">
        <f t="shared" ca="1" si="307"/>
        <v>39052</v>
      </c>
      <c r="DN102" s="668">
        <f t="shared" si="308"/>
        <v>17.184692359814427</v>
      </c>
      <c r="DO102" s="667">
        <f t="shared" ca="1" si="333"/>
        <v>39052</v>
      </c>
      <c r="DP102" s="579">
        <f t="shared" si="334"/>
        <v>17.186183333333336</v>
      </c>
      <c r="DQ102" s="821">
        <v>0</v>
      </c>
      <c r="DR102" s="666">
        <f t="shared" ca="1" si="309"/>
        <v>39052</v>
      </c>
      <c r="DS102" s="669">
        <v>0.1754</v>
      </c>
      <c r="DT102" s="606">
        <v>0.17462</v>
      </c>
      <c r="DU102" s="666">
        <f t="shared" ca="1" si="310"/>
        <v>39052</v>
      </c>
      <c r="DV102" s="669">
        <v>0.1754</v>
      </c>
      <c r="DW102" s="606">
        <v>0.17462</v>
      </c>
      <c r="DX102" s="667">
        <f t="shared" ca="1" si="311"/>
        <v>39052</v>
      </c>
      <c r="DY102" s="606">
        <v>0.35</v>
      </c>
      <c r="DZ102" s="667">
        <f t="shared" ca="1" si="335"/>
        <v>39052</v>
      </c>
      <c r="EA102" s="606">
        <f t="shared" si="336"/>
        <v>0.17462</v>
      </c>
      <c r="EB102" s="1"/>
      <c r="EC102" s="118" t="str">
        <f t="shared" ca="1" si="312"/>
        <v/>
      </c>
      <c r="ED102" s="119" t="str">
        <f t="shared" ca="1" si="313"/>
        <v/>
      </c>
      <c r="EE102" s="112" t="str">
        <f t="shared" ca="1" si="314"/>
        <v/>
      </c>
      <c r="EF102" s="120">
        <f ca="1">IF(BD102,_xll.xASN(BR102,Strike1,AO102,ED102,0,BO102,0,BI102,BL102,IF(OptControl=4,0,1),0),0)</f>
        <v>0</v>
      </c>
      <c r="EG102" s="111">
        <f ca="1">IF(BD102,_xll.xASN(BR102,Strike2,AO102,EE102,0,BO102,0,BI102,BL102,IF(OptControl=3,1,0),0),0)</f>
        <v>0</v>
      </c>
      <c r="EL102" s="55"/>
      <c r="EM102" s="1"/>
      <c r="EN102" s="106"/>
      <c r="EO102" s="106"/>
      <c r="EP102" s="1"/>
      <c r="EQ102" s="683" t="s">
        <v>315</v>
      </c>
      <c r="ES102" s="455"/>
      <c r="ET102" s="36"/>
      <c r="EU102" s="107"/>
      <c r="EV102" s="475"/>
      <c r="EW102" s="456"/>
      <c r="EX102" s="456"/>
      <c r="EY102" s="250"/>
      <c r="EZ102" s="250"/>
      <c r="FA102" s="250"/>
      <c r="FB102" s="250"/>
      <c r="FC102" s="250"/>
      <c r="FD102" s="250"/>
      <c r="FE102" s="250"/>
      <c r="FF102" s="250"/>
      <c r="FG102" s="250"/>
      <c r="FH102" s="250"/>
      <c r="FI102" s="250"/>
      <c r="FJ102" s="673">
        <v>8</v>
      </c>
      <c r="FK102" s="460">
        <f t="shared" ca="1" si="432"/>
        <v>0</v>
      </c>
      <c r="FL102" s="460">
        <f t="shared" ca="1" si="448"/>
        <v>0.22652289799043696</v>
      </c>
      <c r="FM102" s="460">
        <f t="shared" ca="1" si="448"/>
        <v>0.24542090350439874</v>
      </c>
      <c r="FN102" s="460">
        <f t="shared" ca="1" si="448"/>
        <v>0.25659649513756294</v>
      </c>
      <c r="FO102" s="460">
        <f t="shared" ca="1" si="448"/>
        <v>0.27269198192517979</v>
      </c>
      <c r="FP102" s="460">
        <f t="shared" ca="1" si="448"/>
        <v>0.29494413554531068</v>
      </c>
      <c r="FQ102" s="460">
        <f t="shared" ca="1" si="448"/>
        <v>0.32535132816888973</v>
      </c>
      <c r="FR102" s="460">
        <f t="shared" ca="1" si="448"/>
        <v>0.36711914062500001</v>
      </c>
      <c r="FS102" s="460" t="str">
        <f t="shared" si="448"/>
        <v/>
      </c>
      <c r="FT102" s="460" t="str">
        <f t="shared" si="448"/>
        <v/>
      </c>
      <c r="FU102" s="460" t="str">
        <f t="shared" si="448"/>
        <v/>
      </c>
      <c r="FV102" s="460" t="str">
        <f t="shared" si="448"/>
        <v/>
      </c>
      <c r="FW102" s="460" t="str">
        <f t="shared" si="448"/>
        <v/>
      </c>
      <c r="FX102" s="460" t="str">
        <f t="shared" si="448"/>
        <v/>
      </c>
      <c r="FY102" s="460" t="str">
        <f t="shared" si="448"/>
        <v/>
      </c>
      <c r="FZ102" s="460" t="str">
        <f t="shared" si="448"/>
        <v/>
      </c>
      <c r="GA102" s="460" t="str">
        <f t="shared" si="448"/>
        <v/>
      </c>
      <c r="GB102" s="460" t="str">
        <f t="shared" si="448"/>
        <v/>
      </c>
      <c r="GC102" s="460" t="str">
        <f t="shared" si="448"/>
        <v/>
      </c>
      <c r="GD102" s="460" t="str">
        <f t="shared" si="448"/>
        <v/>
      </c>
      <c r="GE102" s="460" t="str">
        <f t="shared" si="448"/>
        <v/>
      </c>
      <c r="GF102" s="460" t="str">
        <f t="shared" si="448"/>
        <v/>
      </c>
      <c r="GG102" s="460" t="str">
        <f t="shared" si="448"/>
        <v/>
      </c>
      <c r="GH102" s="460" t="str">
        <f t="shared" si="448"/>
        <v/>
      </c>
      <c r="GI102" s="460" t="str">
        <f t="shared" si="448"/>
        <v/>
      </c>
      <c r="GJ102" s="460" t="str">
        <f t="shared" si="448"/>
        <v/>
      </c>
      <c r="GK102" s="460" t="str">
        <f t="shared" si="448"/>
        <v/>
      </c>
      <c r="GL102" s="460" t="str">
        <f t="shared" si="448"/>
        <v/>
      </c>
      <c r="GM102" s="460" t="str">
        <f t="shared" si="448"/>
        <v/>
      </c>
      <c r="GN102" s="460" t="str">
        <f t="shared" si="448"/>
        <v/>
      </c>
      <c r="GO102" s="460" t="str">
        <f t="shared" si="448"/>
        <v/>
      </c>
      <c r="GP102" s="460" t="str">
        <f t="shared" si="448"/>
        <v/>
      </c>
      <c r="GQ102" s="460" t="str">
        <f t="shared" si="448"/>
        <v/>
      </c>
      <c r="GR102" s="460" t="str">
        <f t="shared" si="448"/>
        <v/>
      </c>
      <c r="GS102" s="460" t="str">
        <f t="shared" si="448"/>
        <v/>
      </c>
      <c r="GT102" s="460" t="str">
        <f t="shared" si="448"/>
        <v/>
      </c>
      <c r="GU102" s="460" t="str">
        <f t="shared" si="448"/>
        <v/>
      </c>
      <c r="GV102" s="460" t="str">
        <f t="shared" si="448"/>
        <v/>
      </c>
      <c r="GW102" s="460" t="str">
        <f t="shared" si="448"/>
        <v/>
      </c>
      <c r="GX102" s="460" t="str">
        <f t="shared" si="448"/>
        <v/>
      </c>
      <c r="GY102" s="460" t="str">
        <f t="shared" si="448"/>
        <v/>
      </c>
      <c r="GZ102" s="460" t="str">
        <f t="shared" si="448"/>
        <v/>
      </c>
      <c r="HA102" s="460" t="str">
        <f t="shared" si="448"/>
        <v/>
      </c>
      <c r="HB102" s="460" t="str">
        <f t="shared" si="448"/>
        <v/>
      </c>
      <c r="HC102" s="460" t="str">
        <f t="shared" si="448"/>
        <v/>
      </c>
      <c r="HD102" s="460" t="str">
        <f t="shared" si="448"/>
        <v/>
      </c>
      <c r="HE102" s="460" t="str">
        <f t="shared" si="448"/>
        <v/>
      </c>
      <c r="HF102" s="460" t="str">
        <f t="shared" si="448"/>
        <v/>
      </c>
      <c r="HG102" s="460" t="str">
        <f t="shared" si="448"/>
        <v/>
      </c>
      <c r="HH102" s="460" t="str">
        <f t="shared" si="448"/>
        <v/>
      </c>
      <c r="HI102" s="460" t="str">
        <f t="shared" si="448"/>
        <v/>
      </c>
      <c r="HJ102" s="460" t="str">
        <f t="shared" si="448"/>
        <v/>
      </c>
      <c r="HK102" s="460" t="str">
        <f t="shared" si="448"/>
        <v/>
      </c>
      <c r="HL102" s="460" t="str">
        <f t="shared" si="448"/>
        <v/>
      </c>
      <c r="HM102" s="460" t="str">
        <f t="shared" si="448"/>
        <v/>
      </c>
      <c r="HN102" s="460" t="str">
        <f t="shared" si="448"/>
        <v/>
      </c>
      <c r="HO102" s="460" t="str">
        <f t="shared" si="448"/>
        <v/>
      </c>
      <c r="HP102" s="460" t="str">
        <f t="shared" si="448"/>
        <v/>
      </c>
      <c r="HQ102" s="460" t="str">
        <f t="shared" si="448"/>
        <v/>
      </c>
      <c r="HR102" s="460" t="str">
        <f t="shared" si="448"/>
        <v/>
      </c>
      <c r="HS102" s="460" t="str">
        <f t="shared" si="448"/>
        <v/>
      </c>
      <c r="HT102" s="460" t="str">
        <f t="shared" si="448"/>
        <v/>
      </c>
      <c r="HU102" s="460" t="str">
        <f t="shared" si="448"/>
        <v/>
      </c>
      <c r="HV102" s="460" t="str">
        <f t="shared" si="448"/>
        <v/>
      </c>
      <c r="HW102" s="460" t="str">
        <f t="shared" si="448"/>
        <v/>
      </c>
      <c r="HX102" s="460" t="str">
        <f t="shared" si="438"/>
        <v/>
      </c>
      <c r="HY102" s="460" t="str">
        <f t="shared" si="438"/>
        <v/>
      </c>
      <c r="HZ102" s="460" t="str">
        <f t="shared" si="438"/>
        <v/>
      </c>
      <c r="IA102" s="460" t="str">
        <f t="shared" si="438"/>
        <v/>
      </c>
      <c r="IB102" s="460" t="str">
        <f t="shared" si="438"/>
        <v/>
      </c>
      <c r="IC102" s="460" t="str">
        <f t="shared" si="438"/>
        <v/>
      </c>
      <c r="ID102" s="674" t="str">
        <f t="shared" si="438"/>
        <v/>
      </c>
      <c r="IE102" s="250"/>
    </row>
    <row r="103" spans="8:239">
      <c r="H103" s="51">
        <f t="shared" ca="1" si="315"/>
        <v>0</v>
      </c>
      <c r="I103" s="379">
        <f t="shared" si="316"/>
        <v>39295</v>
      </c>
      <c r="J103" s="377"/>
      <c r="K103" s="104" t="s">
        <v>268</v>
      </c>
      <c r="L103" s="392">
        <f t="shared" si="317"/>
        <v>0.26250000000000001</v>
      </c>
      <c r="M103" s="171"/>
      <c r="N103" s="382">
        <v>0</v>
      </c>
      <c r="O103" s="171">
        <f t="shared" si="272"/>
        <v>0</v>
      </c>
      <c r="P103" s="377"/>
      <c r="Q103" s="104" t="s">
        <v>268</v>
      </c>
      <c r="R103" s="377">
        <f t="shared" ca="1" si="417"/>
        <v>-1.0803834320370596</v>
      </c>
      <c r="S103" s="832">
        <f t="shared" si="435"/>
        <v>0.3600000000022755</v>
      </c>
      <c r="T103" s="831">
        <f t="shared" si="418"/>
        <v>0.9999997466765449</v>
      </c>
      <c r="U103" s="545">
        <f t="shared" si="419"/>
        <v>0.99999999999936007</v>
      </c>
      <c r="V103" s="389">
        <v>0</v>
      </c>
      <c r="W103" s="434">
        <f t="shared" si="273"/>
        <v>0</v>
      </c>
      <c r="X103" s="415">
        <f t="shared" si="274"/>
        <v>0.31467391304347825</v>
      </c>
      <c r="Y103" s="322">
        <f t="shared" si="275"/>
        <v>-1.2257</v>
      </c>
      <c r="Z103" s="322">
        <f t="shared" ca="1" si="276"/>
        <v>-0.91102608695652176</v>
      </c>
      <c r="AA103" s="429">
        <f t="shared" si="277"/>
        <v>1.2257</v>
      </c>
      <c r="AB103" s="433">
        <f t="shared" ca="1" si="278"/>
        <v>1.2257</v>
      </c>
      <c r="AC103" s="229">
        <v>39283</v>
      </c>
      <c r="AD103" s="229">
        <v>39279</v>
      </c>
      <c r="AE103" s="229">
        <v>39278</v>
      </c>
      <c r="AF103" s="229">
        <v>39274</v>
      </c>
      <c r="AG103" s="249" t="s">
        <v>499</v>
      </c>
      <c r="AH103" s="247" t="s">
        <v>499</v>
      </c>
      <c r="AI103" s="146">
        <v>23</v>
      </c>
      <c r="AJ103" s="41">
        <v>14</v>
      </c>
      <c r="AK103" s="41">
        <v>9</v>
      </c>
      <c r="AL103" s="293">
        <v>23</v>
      </c>
      <c r="AM103" s="41">
        <v>10</v>
      </c>
      <c r="AN103" s="147">
        <v>13</v>
      </c>
      <c r="AO103" s="374"/>
      <c r="AP103" s="153">
        <f t="shared" ca="1" si="318"/>
        <v>1</v>
      </c>
      <c r="AQ103" s="374"/>
      <c r="AR103" s="153">
        <f t="shared" ca="1" si="420"/>
        <v>1</v>
      </c>
      <c r="AS103" s="272">
        <f t="shared" si="279"/>
        <v>0</v>
      </c>
      <c r="AT103" s="157">
        <f t="shared" si="319"/>
        <v>0</v>
      </c>
      <c r="AU103" s="157">
        <f t="shared" si="280"/>
        <v>0</v>
      </c>
      <c r="AV103" s="271">
        <f t="shared" ca="1" si="430"/>
        <v>9.9999999999999995E-7</v>
      </c>
      <c r="AW103" s="158" t="str">
        <f t="shared" ca="1" si="281"/>
        <v/>
      </c>
      <c r="AX103" s="157">
        <f t="shared" ca="1" si="421"/>
        <v>1.5502778079531066E-3</v>
      </c>
      <c r="AY103" s="157">
        <f t="shared" ca="1" si="422"/>
        <v>6.9002717700956484E-4</v>
      </c>
      <c r="AZ103" s="157">
        <f t="shared" ca="1" si="423"/>
        <v>1.209747428594181E-4</v>
      </c>
      <c r="BA103" s="157">
        <f t="shared" ca="1" si="424"/>
        <v>1.5121842857427263E-5</v>
      </c>
      <c r="BB103" s="157">
        <f t="shared" ca="1" si="425"/>
        <v>1.9535881164352808E-6</v>
      </c>
      <c r="BC103" s="157">
        <f t="shared" ca="1" si="426"/>
        <v>4.5734026280944283E-7</v>
      </c>
      <c r="BD103" s="151">
        <f t="shared" ca="1" si="282"/>
        <v>0</v>
      </c>
      <c r="BE103" s="152">
        <f t="shared" ca="1" si="283"/>
        <v>0</v>
      </c>
      <c r="BF103" s="40">
        <f t="shared" si="284"/>
        <v>2007</v>
      </c>
      <c r="BG103" s="144">
        <f t="shared" si="285"/>
        <v>8</v>
      </c>
      <c r="BH103" s="145">
        <f t="shared" ca="1" si="286"/>
        <v>2534</v>
      </c>
      <c r="BI103" s="313">
        <f t="shared" ca="1" si="439"/>
        <v>6.9815195071868583</v>
      </c>
      <c r="BJ103" s="42">
        <f t="shared" ca="1" si="288"/>
        <v>7.0315150432997049</v>
      </c>
      <c r="BK103" s="42">
        <f t="shared" ca="1" si="289"/>
        <v>7.034252894086837</v>
      </c>
      <c r="BL103" s="42">
        <f t="shared" ca="1" si="440"/>
        <v>7.0636550308008212</v>
      </c>
      <c r="BM103" s="150" t="e">
        <f t="shared" ca="1" si="291"/>
        <v>#DIV/0!</v>
      </c>
      <c r="BN103" s="42" t="e">
        <f t="shared" ca="1" si="292"/>
        <v>#DIV/0!</v>
      </c>
      <c r="BO103" s="293">
        <f t="shared" si="441"/>
        <v>23</v>
      </c>
      <c r="BP103" s="41">
        <f t="shared" si="442"/>
        <v>14</v>
      </c>
      <c r="BQ103" s="41">
        <f t="shared" si="443"/>
        <v>9</v>
      </c>
      <c r="BR103" s="305" t="str">
        <f t="shared" ca="1" si="295"/>
        <v/>
      </c>
      <c r="BS103" s="305" t="str">
        <f t="shared" ca="1" si="444"/>
        <v/>
      </c>
      <c r="BT103" s="307" t="str">
        <f t="shared" ca="1" si="445"/>
        <v/>
      </c>
      <c r="BU103" s="161" t="str">
        <f t="shared" ca="1" si="298"/>
        <v/>
      </c>
      <c r="BV103" s="161" t="str">
        <f t="shared" ca="1" si="299"/>
        <v/>
      </c>
      <c r="BW103" s="308" t="str">
        <f t="shared" ca="1" si="300"/>
        <v/>
      </c>
      <c r="BX103" s="309" t="str">
        <f t="shared" ca="1" si="301"/>
        <v/>
      </c>
      <c r="BY103" s="308" t="str">
        <f t="shared" ca="1" si="446"/>
        <v/>
      </c>
      <c r="BZ103" s="309" t="str">
        <f t="shared" ca="1" si="447"/>
        <v/>
      </c>
      <c r="CA103" s="154" t="str">
        <f t="shared" ca="1" si="302"/>
        <v/>
      </c>
      <c r="CB103" s="154" t="str">
        <f t="shared" ca="1" si="303"/>
        <v/>
      </c>
      <c r="CC103" s="154" t="str">
        <f t="shared" ca="1" si="304"/>
        <v/>
      </c>
      <c r="CD103" s="154" t="str">
        <f t="shared" ca="1" si="305"/>
        <v/>
      </c>
      <c r="CE103" s="310">
        <v>1</v>
      </c>
      <c r="CF103" s="162">
        <f ca="1">IF(BD103,_xll.xCrudeAPO(BU103,BV103,CA103,CB103,S104,S105,BI103,BL103,BP103,BQ103,0,Strike1,AO103,CE103,0,BL103,IF(OptControl=4,0,1),0,1),0)</f>
        <v>0</v>
      </c>
      <c r="CG103" s="163">
        <f ca="1">IF(BD103,_xll.xCrudeAPO(BU103,BV103,CA103,CB103,S104,S105,BI103,BL103,BP103,BQ103,0,Strike1,AO103,CE103,0,BL103,IF(OptControl=4,0,1),1,1)+_xll.xCrudeAPO(BU103,BV103,CA103,CB103,S104,S105,BI103,BL103,BP103,BQ103,0,Strike1,AO103,CE103,0,BL103,IF(OptControl=4,0,1),1,2)+IF(OR(VolSkewFlag=2,ABS(BS103)&lt;0.0001),0,IF(BS103&gt;0,-1,1)*CH103*Strike1/BR103^2*BY103/10%),0)</f>
        <v>0</v>
      </c>
      <c r="CH103" s="163">
        <f ca="1">IF(BD103,(_xll.xCrudeAPO(BU103,BV103,CA103,CB103,S104,S105,BI103,BL103,BP103,BQ103,0,Strike1,AO103,CE103,0,BL103,IF(OptControl=4,0,1),3,1)+_xll.xCrudeAPO(BU103,BV103,CA103,CB103,S104,S105,BI103,BL103,BP103,BQ103,0,Strike1,AO103,CE103,0,BL103,IF(OptControl=4,0,1),3,2))/100,0)</f>
        <v>0</v>
      </c>
      <c r="CI103" s="163">
        <f ca="1">IF(BD103,_xll.xCrudeAPO(BU103,BV103,CA103,CB103,S104,S105,BI103-DaysForThetaCalculation/365.25,BL103-DaysForThetaCalculation/365.25,BP103,BQ103,0,Strike1,AO103,CE103,0,BL103,IF(OptControl=4,0,1),0,1)-_xll.xCrudeAPO(BU103,BV103,CA103,CB103,S104,S105,BI103,BL103,BP103,BQ103,0,Strike1,AO103,CE103,0,BL103,IF(OptControl=4,0,1),0,1),0)</f>
        <v>0</v>
      </c>
      <c r="CJ103" s="311">
        <f ca="1">IF(BD103,_xll.xCrudeAPO(BU103,BV103,CC103,CD103,S104,S105,BI103,BL103,BP103,BQ103,0,Strike2,AO103,CE103,0,BL103,IF(OptControl=3,1,0),0,1),0)</f>
        <v>0</v>
      </c>
      <c r="CK103" s="163">
        <f ca="1">IF(BD103,_xll.xCrudeAPO(BU103,BV103,CC103,CD103,S104,S105,BI103,BL103,BP103,BQ103,0,Strike2,AO103,CE103,0,BL103,IF(OptControl=3,1,0),1,1)+_xll.xCrudeAPO(BU103,BV103,CC103,CD103,S104,S105,BI103,BL103,BP103,BQ103,0,Strike2,AO103,CE103,0,BL103,IF(OptControl=3,1,0),1,2)+IF(OR(VolSkewFlag=2,ABS(BT103)&lt;0.0001),0,IF(BT103&gt;0,-1,1)*CL103*Strike2/BR103^2*BZ103/10%),0)</f>
        <v>0</v>
      </c>
      <c r="CL103" s="163">
        <f ca="1">IF(BD103,(_xll.xCrudeAPO(BU103,BV103,CC103,CD103,S104,S105,BI103,BL103,BP103,BQ103,0,Strike2,AO103,CE103,0,BL103,IF(OptControl=3,1,0),3,1)+_xll.xCrudeAPO(BU103,BV103,CC103,CD103,S104,S105,BI103,BL103,BP103,BQ103,0,Strike2,AO103,CE103,0,BL103,IF(OptControl=3,1,0),3,2))/100,0)</f>
        <v>0</v>
      </c>
      <c r="CM103" s="164">
        <f ca="1">IF(BD103,_xll.xCrudeAPO(BU103,BV103,CC103,CD103,S104,S105,BI103-DaysForThetaCalculation/365.25,BL103-DaysForThetaCalculation/365.25,BP103,BQ103,0,Strike2,AO103,CE103,0,BL103,IF(OptControl=3,1,0),0,1)-_xll.xCrudeAPO(BU103,BV103,CC103,CD103,S104,S105,BI103,BL103,BP103,BQ103,0,Strike2,AO103,CE103,0,BL103,IF(OptControl=3,1,0),0,1),0)</f>
        <v>0</v>
      </c>
      <c r="CN103" s="53"/>
      <c r="CO103" s="796" t="str">
        <f t="shared" ca="1" si="323"/>
        <v/>
      </c>
      <c r="CP103" s="800" t="str">
        <f t="shared" ca="1" si="324"/>
        <v/>
      </c>
      <c r="CQ103" s="797" t="str">
        <f t="shared" ca="1" si="325"/>
        <v/>
      </c>
      <c r="CR103" s="797" t="str">
        <f t="shared" ca="1" si="326"/>
        <v/>
      </c>
      <c r="CS103" s="797" t="str">
        <f t="shared" ca="1" si="327"/>
        <v/>
      </c>
      <c r="CT103" s="797" t="str">
        <f t="shared" ca="1" si="328"/>
        <v/>
      </c>
      <c r="CU103" s="798" t="str">
        <f t="shared" ca="1" si="329"/>
        <v/>
      </c>
      <c r="CV103" s="799" t="str">
        <f t="shared" ca="1" si="330"/>
        <v/>
      </c>
      <c r="CW103" s="799" t="str">
        <f t="shared" ca="1" si="331"/>
        <v/>
      </c>
      <c r="CX103" s="163">
        <f ca="1">IF(BD103,_xll.EURO(CP103,Strike1,AO103,AO103,CV103,CO103,IF(OptControl=4,0,1),0),0)</f>
        <v>0</v>
      </c>
      <c r="CY103" s="163">
        <f ca="1">IF(BD103,_xll.EURO(CP103,Strike1,AO103,AO103,CV103,CO103,IF(OptControl=4,0,1),1)+IF(OR(VolSkewFlag=2,ABS(CQ103)&lt;0.0001),0,IF(CQ103&gt;0,-1,1)*CZ103*100*Strike1/CP103^2*CS103/10%),0)</f>
        <v>0</v>
      </c>
      <c r="CZ103" s="163">
        <f ca="1">IF(BD103,_xll.EURO(CP103,Strike1,AO103,AO103,CV103,CO103,IF(OptControl=4,0,1),3)/100,0)</f>
        <v>0</v>
      </c>
      <c r="DA103" s="163">
        <f ca="1">IF(BD103,_xll.EURO(CP103,Strike1,AO103,AO103,CV103,CO103,IF(OptControl=4,0,1),0)-_xll.EURO(CP103,Strike1,AO103,AO103,CV103,CO103-1,IF(OptControl=4,0,1),0),0)</f>
        <v>0</v>
      </c>
      <c r="DB103" s="163">
        <f ca="1">IF(BD103,_xll.EURO(CP103,Strike2,AO103,AO103,CW103,CO103,IF(OptControl=3,1,0),0),0)</f>
        <v>0</v>
      </c>
      <c r="DC103" s="163">
        <f ca="1">IF(BD103,_xll.EURO(CP103,Strike2,AO103,AO103,CW103,CO103,IF(OptControl=3,1,0),1)+IF(OR(VolSkewFlag=2,ABS(CR103)&lt;0.0001),0,IF(CR103&gt;0,-1,1)*DD103*100*Strike2/CP103^2*CT103/10%),0)</f>
        <v>0</v>
      </c>
      <c r="DD103" s="163">
        <f ca="1">IF(BD103,_xll.EURO(CP103,Strike2,AO103,AO103,CW103,CO103,IF(OptControl=3,1,0),3)/100,0)</f>
        <v>0</v>
      </c>
      <c r="DE103" s="164">
        <f ca="1">IF(BD103,_xll.EURO(CP103,Strike2,AO103,AO103,CW103,CO103,IF(OptControl=3,1,0),0)-_xll.EURO(CP103,Strike2,AO103,AO103,CW103,CO103-1,IF(OptControl=3,1,0),0),0)</f>
        <v>0</v>
      </c>
      <c r="DG103" s="667">
        <f t="shared" ca="1" si="332"/>
        <v>39083</v>
      </c>
      <c r="DH103" s="475">
        <v>18.355833333333337</v>
      </c>
      <c r="DI103" s="665">
        <v>18.418333333333337</v>
      </c>
      <c r="DJ103" s="666">
        <f t="shared" ca="1" si="306"/>
        <v>39083</v>
      </c>
      <c r="DK103" s="475">
        <v>17.150411922376872</v>
      </c>
      <c r="DL103" s="665">
        <v>17.249833333333335</v>
      </c>
      <c r="DM103" s="667">
        <f t="shared" ca="1" si="307"/>
        <v>39083</v>
      </c>
      <c r="DN103" s="668">
        <f t="shared" si="308"/>
        <v>17.200411922376873</v>
      </c>
      <c r="DO103" s="667">
        <f t="shared" ca="1" si="333"/>
        <v>39083</v>
      </c>
      <c r="DP103" s="579">
        <f t="shared" si="334"/>
        <v>17.249833333333335</v>
      </c>
      <c r="DQ103" s="821">
        <v>0</v>
      </c>
      <c r="DR103" s="666">
        <f t="shared" ca="1" si="309"/>
        <v>39083</v>
      </c>
      <c r="DS103" s="669">
        <v>0.17480000000000001</v>
      </c>
      <c r="DT103" s="606">
        <v>0.17398181818181821</v>
      </c>
      <c r="DU103" s="666">
        <f t="shared" ca="1" si="310"/>
        <v>39083</v>
      </c>
      <c r="DV103" s="669">
        <v>0.17480000000000001</v>
      </c>
      <c r="DW103" s="606">
        <v>0.17398181818181821</v>
      </c>
      <c r="DX103" s="667">
        <f t="shared" ca="1" si="311"/>
        <v>39083</v>
      </c>
      <c r="DY103" s="606">
        <v>0.35</v>
      </c>
      <c r="DZ103" s="667">
        <f t="shared" ca="1" si="335"/>
        <v>39083</v>
      </c>
      <c r="EA103" s="606">
        <f t="shared" si="336"/>
        <v>0.17398181818181821</v>
      </c>
      <c r="EB103" s="1"/>
      <c r="EC103" s="118" t="str">
        <f t="shared" ca="1" si="312"/>
        <v/>
      </c>
      <c r="ED103" s="119" t="str">
        <f t="shared" ca="1" si="313"/>
        <v/>
      </c>
      <c r="EE103" s="112" t="str">
        <f t="shared" ca="1" si="314"/>
        <v/>
      </c>
      <c r="EF103" s="120">
        <f ca="1">IF(BD103,_xll.xASN(BR103,Strike1,AO103,ED103,0,BO103,0,BI103,BL103,IF(OptControl=4,0,1),0),0)</f>
        <v>0</v>
      </c>
      <c r="EG103" s="111">
        <f ca="1">IF(BD103,_xll.xASN(BR103,Strike2,AO103,EE103,0,BO103,0,BI103,BL103,IF(OptControl=3,1,0),0),0)</f>
        <v>0</v>
      </c>
      <c r="EL103" s="55"/>
      <c r="EM103" s="1"/>
      <c r="EN103" s="106"/>
      <c r="EO103" s="106"/>
      <c r="EP103" s="1"/>
      <c r="EQ103" s="683" t="s">
        <v>316</v>
      </c>
      <c r="ES103" s="455"/>
      <c r="ET103" s="36"/>
      <c r="EU103" s="107"/>
      <c r="EV103" s="475"/>
      <c r="EW103" s="456"/>
      <c r="EX103" s="456"/>
      <c r="EY103" s="250"/>
      <c r="EZ103" s="250"/>
      <c r="FA103" s="250"/>
      <c r="FB103" s="250"/>
      <c r="FC103" s="250"/>
      <c r="FD103" s="250"/>
      <c r="FE103" s="250"/>
      <c r="FF103" s="250"/>
      <c r="FG103" s="250"/>
      <c r="FH103" s="250"/>
      <c r="FI103" s="250"/>
      <c r="FJ103" s="673">
        <v>9</v>
      </c>
      <c r="FK103" s="460">
        <f t="shared" ca="1" si="432"/>
        <v>0</v>
      </c>
      <c r="FL103" s="460">
        <f t="shared" ca="1" si="448"/>
        <v>0.21635444905432058</v>
      </c>
      <c r="FM103" s="460">
        <f t="shared" ca="1" si="448"/>
        <v>0.23248402688492215</v>
      </c>
      <c r="FN103" s="460">
        <f t="shared" ca="1" si="448"/>
        <v>0.24070127074469874</v>
      </c>
      <c r="FO103" s="460">
        <f t="shared" ca="1" si="448"/>
        <v>0.25282301726789291</v>
      </c>
      <c r="FP103" s="460">
        <f t="shared" ca="1" si="448"/>
        <v>0.26963945973945019</v>
      </c>
      <c r="FQ103" s="460">
        <f t="shared" ca="1" si="448"/>
        <v>0.29243989288502031</v>
      </c>
      <c r="FR103" s="460">
        <f t="shared" ca="1" si="448"/>
        <v>0.32326177396799533</v>
      </c>
      <c r="FS103" s="460">
        <f t="shared" ca="1" si="448"/>
        <v>0.36533935546875002</v>
      </c>
      <c r="FT103" s="460" t="str">
        <f t="shared" si="448"/>
        <v/>
      </c>
      <c r="FU103" s="460" t="str">
        <f t="shared" si="448"/>
        <v/>
      </c>
      <c r="FV103" s="460" t="str">
        <f t="shared" si="448"/>
        <v/>
      </c>
      <c r="FW103" s="460" t="str">
        <f t="shared" si="448"/>
        <v/>
      </c>
      <c r="FX103" s="460" t="str">
        <f t="shared" si="448"/>
        <v/>
      </c>
      <c r="FY103" s="460" t="str">
        <f t="shared" si="448"/>
        <v/>
      </c>
      <c r="FZ103" s="460" t="str">
        <f t="shared" si="448"/>
        <v/>
      </c>
      <c r="GA103" s="460" t="str">
        <f t="shared" si="448"/>
        <v/>
      </c>
      <c r="GB103" s="460" t="str">
        <f t="shared" si="448"/>
        <v/>
      </c>
      <c r="GC103" s="460" t="str">
        <f t="shared" si="448"/>
        <v/>
      </c>
      <c r="GD103" s="460" t="str">
        <f t="shared" si="448"/>
        <v/>
      </c>
      <c r="GE103" s="460" t="str">
        <f t="shared" si="448"/>
        <v/>
      </c>
      <c r="GF103" s="460" t="str">
        <f t="shared" si="448"/>
        <v/>
      </c>
      <c r="GG103" s="460" t="str">
        <f t="shared" si="448"/>
        <v/>
      </c>
      <c r="GH103" s="460" t="str">
        <f t="shared" si="448"/>
        <v/>
      </c>
      <c r="GI103" s="460" t="str">
        <f t="shared" si="448"/>
        <v/>
      </c>
      <c r="GJ103" s="460" t="str">
        <f t="shared" si="448"/>
        <v/>
      </c>
      <c r="GK103" s="460" t="str">
        <f t="shared" si="448"/>
        <v/>
      </c>
      <c r="GL103" s="460" t="str">
        <f t="shared" si="448"/>
        <v/>
      </c>
      <c r="GM103" s="460" t="str">
        <f t="shared" si="448"/>
        <v/>
      </c>
      <c r="GN103" s="460" t="str">
        <f t="shared" si="448"/>
        <v/>
      </c>
      <c r="GO103" s="460" t="str">
        <f t="shared" si="448"/>
        <v/>
      </c>
      <c r="GP103" s="460" t="str">
        <f t="shared" si="448"/>
        <v/>
      </c>
      <c r="GQ103" s="460" t="str">
        <f t="shared" si="448"/>
        <v/>
      </c>
      <c r="GR103" s="460" t="str">
        <f t="shared" si="448"/>
        <v/>
      </c>
      <c r="GS103" s="460" t="str">
        <f t="shared" si="448"/>
        <v/>
      </c>
      <c r="GT103" s="460" t="str">
        <f t="shared" si="448"/>
        <v/>
      </c>
      <c r="GU103" s="460" t="str">
        <f t="shared" si="448"/>
        <v/>
      </c>
      <c r="GV103" s="460" t="str">
        <f t="shared" si="448"/>
        <v/>
      </c>
      <c r="GW103" s="460" t="str">
        <f t="shared" si="448"/>
        <v/>
      </c>
      <c r="GX103" s="460" t="str">
        <f t="shared" si="448"/>
        <v/>
      </c>
      <c r="GY103" s="460" t="str">
        <f t="shared" si="448"/>
        <v/>
      </c>
      <c r="GZ103" s="460" t="str">
        <f t="shared" si="448"/>
        <v/>
      </c>
      <c r="HA103" s="460" t="str">
        <f t="shared" si="448"/>
        <v/>
      </c>
      <c r="HB103" s="460" t="str">
        <f t="shared" si="448"/>
        <v/>
      </c>
      <c r="HC103" s="460" t="str">
        <f t="shared" si="448"/>
        <v/>
      </c>
      <c r="HD103" s="460" t="str">
        <f t="shared" si="448"/>
        <v/>
      </c>
      <c r="HE103" s="460" t="str">
        <f t="shared" si="448"/>
        <v/>
      </c>
      <c r="HF103" s="460" t="str">
        <f t="shared" si="448"/>
        <v/>
      </c>
      <c r="HG103" s="460" t="str">
        <f t="shared" si="448"/>
        <v/>
      </c>
      <c r="HH103" s="460" t="str">
        <f t="shared" si="448"/>
        <v/>
      </c>
      <c r="HI103" s="460" t="str">
        <f t="shared" si="448"/>
        <v/>
      </c>
      <c r="HJ103" s="460" t="str">
        <f t="shared" si="448"/>
        <v/>
      </c>
      <c r="HK103" s="460" t="str">
        <f t="shared" si="448"/>
        <v/>
      </c>
      <c r="HL103" s="460" t="str">
        <f t="shared" si="448"/>
        <v/>
      </c>
      <c r="HM103" s="460" t="str">
        <f t="shared" si="448"/>
        <v/>
      </c>
      <c r="HN103" s="460" t="str">
        <f t="shared" si="448"/>
        <v/>
      </c>
      <c r="HO103" s="460" t="str">
        <f t="shared" si="448"/>
        <v/>
      </c>
      <c r="HP103" s="460" t="str">
        <f t="shared" si="448"/>
        <v/>
      </c>
      <c r="HQ103" s="460" t="str">
        <f t="shared" si="448"/>
        <v/>
      </c>
      <c r="HR103" s="460" t="str">
        <f t="shared" si="448"/>
        <v/>
      </c>
      <c r="HS103" s="460" t="str">
        <f t="shared" si="448"/>
        <v/>
      </c>
      <c r="HT103" s="460" t="str">
        <f t="shared" si="448"/>
        <v/>
      </c>
      <c r="HU103" s="460" t="str">
        <f t="shared" si="448"/>
        <v/>
      </c>
      <c r="HV103" s="460" t="str">
        <f t="shared" si="448"/>
        <v/>
      </c>
      <c r="HW103" s="460" t="str">
        <f t="shared" si="448"/>
        <v/>
      </c>
      <c r="HX103" s="460" t="str">
        <f t="shared" si="438"/>
        <v/>
      </c>
      <c r="HY103" s="460" t="str">
        <f t="shared" si="438"/>
        <v/>
      </c>
      <c r="HZ103" s="460" t="str">
        <f t="shared" si="438"/>
        <v/>
      </c>
      <c r="IA103" s="460" t="str">
        <f t="shared" si="438"/>
        <v/>
      </c>
      <c r="IB103" s="460" t="str">
        <f t="shared" si="438"/>
        <v/>
      </c>
      <c r="IC103" s="460" t="str">
        <f t="shared" si="438"/>
        <v/>
      </c>
      <c r="ID103" s="674" t="str">
        <f t="shared" si="438"/>
        <v/>
      </c>
      <c r="IE103" s="250"/>
    </row>
    <row r="104" spans="8:239">
      <c r="H104" s="51">
        <f t="shared" ca="1" si="315"/>
        <v>0</v>
      </c>
      <c r="I104" s="379">
        <f t="shared" si="316"/>
        <v>39326</v>
      </c>
      <c r="J104" s="377"/>
      <c r="K104" s="104" t="s">
        <v>268</v>
      </c>
      <c r="L104" s="392">
        <f t="shared" si="317"/>
        <v>0.3</v>
      </c>
      <c r="M104" s="171"/>
      <c r="N104" s="382">
        <v>0</v>
      </c>
      <c r="O104" s="171">
        <f t="shared" si="272"/>
        <v>0</v>
      </c>
      <c r="P104" s="377"/>
      <c r="Q104" s="104" t="s">
        <v>268</v>
      </c>
      <c r="R104" s="377">
        <f t="shared" ca="1" si="417"/>
        <v>-0.84263047330245022</v>
      </c>
      <c r="S104" s="832">
        <f t="shared" si="435"/>
        <v>0.36000000000170662</v>
      </c>
      <c r="T104" s="831">
        <f t="shared" si="418"/>
        <v>0.9999997834084835</v>
      </c>
      <c r="U104" s="545">
        <f t="shared" si="419"/>
        <v>0.99999999999952005</v>
      </c>
      <c r="V104" s="389">
        <v>0</v>
      </c>
      <c r="W104" s="434">
        <f t="shared" si="273"/>
        <v>0</v>
      </c>
      <c r="X104" s="415">
        <f t="shared" si="274"/>
        <v>0.34875</v>
      </c>
      <c r="Y104" s="322">
        <f t="shared" si="275"/>
        <v>-1.2257</v>
      </c>
      <c r="Z104" s="322">
        <f t="shared" ca="1" si="276"/>
        <v>-0.87695000000000001</v>
      </c>
      <c r="AA104" s="429">
        <f t="shared" si="277"/>
        <v>1.2257</v>
      </c>
      <c r="AB104" s="433">
        <f t="shared" ca="1" si="278"/>
        <v>1.2257</v>
      </c>
      <c r="AC104" s="229">
        <v>39314</v>
      </c>
      <c r="AD104" s="229">
        <v>39310</v>
      </c>
      <c r="AE104" s="229">
        <v>39309</v>
      </c>
      <c r="AF104" s="229">
        <v>39305</v>
      </c>
      <c r="AG104" s="249" t="s">
        <v>499</v>
      </c>
      <c r="AH104" s="247" t="s">
        <v>499</v>
      </c>
      <c r="AI104" s="146">
        <v>20</v>
      </c>
      <c r="AJ104" s="41">
        <v>14</v>
      </c>
      <c r="AK104" s="41">
        <v>6</v>
      </c>
      <c r="AL104" s="293">
        <v>20</v>
      </c>
      <c r="AM104" s="41">
        <v>10</v>
      </c>
      <c r="AN104" s="147">
        <v>10</v>
      </c>
      <c r="AO104" s="374"/>
      <c r="AP104" s="153">
        <f t="shared" ca="1" si="318"/>
        <v>1</v>
      </c>
      <c r="AQ104" s="374"/>
      <c r="AR104" s="153">
        <f t="shared" ca="1" si="420"/>
        <v>1</v>
      </c>
      <c r="AS104" s="272">
        <f t="shared" si="279"/>
        <v>0</v>
      </c>
      <c r="AT104" s="157">
        <f t="shared" si="319"/>
        <v>0</v>
      </c>
      <c r="AU104" s="157">
        <f t="shared" si="280"/>
        <v>0</v>
      </c>
      <c r="AV104" s="271">
        <f t="shared" ca="1" si="430"/>
        <v>9.9999999999999995E-7</v>
      </c>
      <c r="AW104" s="158" t="str">
        <f t="shared" ca="1" si="281"/>
        <v/>
      </c>
      <c r="AX104" s="157">
        <f t="shared" ca="1" si="421"/>
        <v>1.4987709218568729E-3</v>
      </c>
      <c r="AY104" s="157">
        <f t="shared" ca="1" si="422"/>
        <v>6.6266660079041916E-4</v>
      </c>
      <c r="AZ104" s="157">
        <f t="shared" ca="1" si="423"/>
        <v>1.1418495226827787E-4</v>
      </c>
      <c r="BA104" s="157">
        <f t="shared" ca="1" si="424"/>
        <v>1.4273119033534733E-5</v>
      </c>
      <c r="BB104" s="157">
        <f t="shared" ca="1" si="425"/>
        <v>1.7826779809719528E-6</v>
      </c>
      <c r="BC104" s="157">
        <f t="shared" ca="1" si="426"/>
        <v>4.0744385389089819E-7</v>
      </c>
      <c r="BD104" s="151">
        <f t="shared" ca="1" si="282"/>
        <v>0</v>
      </c>
      <c r="BE104" s="152">
        <f t="shared" ca="1" si="283"/>
        <v>0</v>
      </c>
      <c r="BF104" s="40">
        <f t="shared" si="284"/>
        <v>2007</v>
      </c>
      <c r="BG104" s="144">
        <f t="shared" si="285"/>
        <v>9</v>
      </c>
      <c r="BH104" s="145">
        <f t="shared" ca="1" si="286"/>
        <v>2565</v>
      </c>
      <c r="BI104" s="313">
        <f t="shared" ca="1" si="439"/>
        <v>7.0663928815879533</v>
      </c>
      <c r="BJ104" s="42">
        <f t="shared" ca="1" si="288"/>
        <v>7.1219712525667349</v>
      </c>
      <c r="BK104" s="42">
        <f t="shared" ca="1" si="289"/>
        <v>7.124709103353867</v>
      </c>
      <c r="BL104" s="42">
        <f t="shared" ca="1" si="440"/>
        <v>7.1457905544147842</v>
      </c>
      <c r="BM104" s="150" t="e">
        <f t="shared" ca="1" si="291"/>
        <v>#DIV/0!</v>
      </c>
      <c r="BN104" s="42" t="e">
        <f t="shared" ca="1" si="292"/>
        <v>#DIV/0!</v>
      </c>
      <c r="BO104" s="293">
        <f t="shared" si="441"/>
        <v>20</v>
      </c>
      <c r="BP104" s="41">
        <f t="shared" si="442"/>
        <v>14</v>
      </c>
      <c r="BQ104" s="41">
        <f t="shared" si="443"/>
        <v>6</v>
      </c>
      <c r="BR104" s="305" t="str">
        <f t="shared" ca="1" si="295"/>
        <v/>
      </c>
      <c r="BS104" s="305" t="str">
        <f t="shared" ca="1" si="444"/>
        <v/>
      </c>
      <c r="BT104" s="307" t="str">
        <f t="shared" ca="1" si="445"/>
        <v/>
      </c>
      <c r="BU104" s="161" t="str">
        <f t="shared" ca="1" si="298"/>
        <v/>
      </c>
      <c r="BV104" s="161" t="str">
        <f t="shared" ca="1" si="299"/>
        <v/>
      </c>
      <c r="BW104" s="308" t="str">
        <f t="shared" ca="1" si="300"/>
        <v/>
      </c>
      <c r="BX104" s="309" t="str">
        <f t="shared" ca="1" si="301"/>
        <v/>
      </c>
      <c r="BY104" s="308" t="str">
        <f t="shared" ca="1" si="446"/>
        <v/>
      </c>
      <c r="BZ104" s="309" t="str">
        <f t="shared" ca="1" si="447"/>
        <v/>
      </c>
      <c r="CA104" s="154" t="str">
        <f t="shared" ca="1" si="302"/>
        <v/>
      </c>
      <c r="CB104" s="154" t="str">
        <f t="shared" ca="1" si="303"/>
        <v/>
      </c>
      <c r="CC104" s="154" t="str">
        <f t="shared" ca="1" si="304"/>
        <v/>
      </c>
      <c r="CD104" s="154" t="str">
        <f t="shared" ca="1" si="305"/>
        <v/>
      </c>
      <c r="CE104" s="310">
        <v>1</v>
      </c>
      <c r="CF104" s="162">
        <f ca="1">IF(BD104,_xll.xCrudeAPO(BU104,BV104,CA104,CB104,S105,S106,BI104,BL104,BP104,BQ104,0,Strike1,AO104,CE104,0,BL104,IF(OptControl=4,0,1),0,1),0)</f>
        <v>0</v>
      </c>
      <c r="CG104" s="163">
        <f ca="1">IF(BD104,_xll.xCrudeAPO(BU104,BV104,CA104,CB104,S105,S106,BI104,BL104,BP104,BQ104,0,Strike1,AO104,CE104,0,BL104,IF(OptControl=4,0,1),1,1)+_xll.xCrudeAPO(BU104,BV104,CA104,CB104,S105,S106,BI104,BL104,BP104,BQ104,0,Strike1,AO104,CE104,0,BL104,IF(OptControl=4,0,1),1,2)+IF(OR(VolSkewFlag=2,ABS(BS104)&lt;0.0001),0,IF(BS104&gt;0,-1,1)*CH104*Strike1/BR104^2*BY104/10%),0)</f>
        <v>0</v>
      </c>
      <c r="CH104" s="163">
        <f ca="1">IF(BD104,(_xll.xCrudeAPO(BU104,BV104,CA104,CB104,S105,S106,BI104,BL104,BP104,BQ104,0,Strike1,AO104,CE104,0,BL104,IF(OptControl=4,0,1),3,1)+_xll.xCrudeAPO(BU104,BV104,CA104,CB104,S105,S106,BI104,BL104,BP104,BQ104,0,Strike1,AO104,CE104,0,BL104,IF(OptControl=4,0,1),3,2))/100,0)</f>
        <v>0</v>
      </c>
      <c r="CI104" s="163">
        <f ca="1">IF(BD104,_xll.xCrudeAPO(BU104,BV104,CA104,CB104,S105,S106,BI104-DaysForThetaCalculation/365.25,BL104-DaysForThetaCalculation/365.25,BP104,BQ104,0,Strike1,AO104,CE104,0,BL104,IF(OptControl=4,0,1),0,1)-_xll.xCrudeAPO(BU104,BV104,CA104,CB104,S105,S106,BI104,BL104,BP104,BQ104,0,Strike1,AO104,CE104,0,BL104,IF(OptControl=4,0,1),0,1),0)</f>
        <v>0</v>
      </c>
      <c r="CJ104" s="311">
        <f ca="1">IF(BD104,_xll.xCrudeAPO(BU104,BV104,CC104,CD104,S105,S106,BI104,BL104,BP104,BQ104,0,Strike2,AO104,CE104,0,BL104,IF(OptControl=3,1,0),0,1),0)</f>
        <v>0</v>
      </c>
      <c r="CK104" s="163">
        <f ca="1">IF(BD104,_xll.xCrudeAPO(BU104,BV104,CC104,CD104,S105,S106,BI104,BL104,BP104,BQ104,0,Strike2,AO104,CE104,0,BL104,IF(OptControl=3,1,0),1,1)+_xll.xCrudeAPO(BU104,BV104,CC104,CD104,S105,S106,BI104,BL104,BP104,BQ104,0,Strike2,AO104,CE104,0,BL104,IF(OptControl=3,1,0),1,2)+IF(OR(VolSkewFlag=2,ABS(BT104)&lt;0.0001),0,IF(BT104&gt;0,-1,1)*CL104*Strike2/BR104^2*BZ104/10%),0)</f>
        <v>0</v>
      </c>
      <c r="CL104" s="163">
        <f ca="1">IF(BD104,(_xll.xCrudeAPO(BU104,BV104,CC104,CD104,S105,S106,BI104,BL104,BP104,BQ104,0,Strike2,AO104,CE104,0,BL104,IF(OptControl=3,1,0),3,1)+_xll.xCrudeAPO(BU104,BV104,CC104,CD104,S105,S106,BI104,BL104,BP104,BQ104,0,Strike2,AO104,CE104,0,BL104,IF(OptControl=3,1,0),3,2))/100,0)</f>
        <v>0</v>
      </c>
      <c r="CM104" s="164">
        <f ca="1">IF(BD104,_xll.xCrudeAPO(BU104,BV104,CC104,CD104,S105,S106,BI104-DaysForThetaCalculation/365.25,BL104-DaysForThetaCalculation/365.25,BP104,BQ104,0,Strike2,AO104,CE104,0,BL104,IF(OptControl=3,1,0),0,1)-_xll.xCrudeAPO(BU104,BV104,CC104,CD104,S105,S106,BI104,BL104,BP104,BQ104,0,Strike2,AO104,CE104,0,BL104,IF(OptControl=3,1,0),0,1),0)</f>
        <v>0</v>
      </c>
      <c r="CN104" s="53"/>
      <c r="CO104" s="796" t="str">
        <f t="shared" ca="1" si="323"/>
        <v/>
      </c>
      <c r="CP104" s="800" t="str">
        <f t="shared" ca="1" si="324"/>
        <v/>
      </c>
      <c r="CQ104" s="797" t="str">
        <f t="shared" ca="1" si="325"/>
        <v/>
      </c>
      <c r="CR104" s="797" t="str">
        <f t="shared" ca="1" si="326"/>
        <v/>
      </c>
      <c r="CS104" s="797" t="str">
        <f t="shared" ca="1" si="327"/>
        <v/>
      </c>
      <c r="CT104" s="797" t="str">
        <f t="shared" ca="1" si="328"/>
        <v/>
      </c>
      <c r="CU104" s="798" t="str">
        <f t="shared" ca="1" si="329"/>
        <v/>
      </c>
      <c r="CV104" s="799" t="str">
        <f t="shared" ca="1" si="330"/>
        <v/>
      </c>
      <c r="CW104" s="799" t="str">
        <f t="shared" ca="1" si="331"/>
        <v/>
      </c>
      <c r="CX104" s="163">
        <f ca="1">IF(BD104,_xll.EURO(CP104,Strike1,AO104,AO104,CV104,CO104,IF(OptControl=4,0,1),0),0)</f>
        <v>0</v>
      </c>
      <c r="CY104" s="163">
        <f ca="1">IF(BD104,_xll.EURO(CP104,Strike1,AO104,AO104,CV104,CO104,IF(OptControl=4,0,1),1)+IF(OR(VolSkewFlag=2,ABS(CQ104)&lt;0.0001),0,IF(CQ104&gt;0,-1,1)*CZ104*100*Strike1/CP104^2*CS104/10%),0)</f>
        <v>0</v>
      </c>
      <c r="CZ104" s="163">
        <f ca="1">IF(BD104,_xll.EURO(CP104,Strike1,AO104,AO104,CV104,CO104,IF(OptControl=4,0,1),3)/100,0)</f>
        <v>0</v>
      </c>
      <c r="DA104" s="163">
        <f ca="1">IF(BD104,_xll.EURO(CP104,Strike1,AO104,AO104,CV104,CO104,IF(OptControl=4,0,1),0)-_xll.EURO(CP104,Strike1,AO104,AO104,CV104,CO104-1,IF(OptControl=4,0,1),0),0)</f>
        <v>0</v>
      </c>
      <c r="DB104" s="163">
        <f ca="1">IF(BD104,_xll.EURO(CP104,Strike2,AO104,AO104,CW104,CO104,IF(OptControl=3,1,0),0),0)</f>
        <v>0</v>
      </c>
      <c r="DC104" s="163">
        <f ca="1">IF(BD104,_xll.EURO(CP104,Strike2,AO104,AO104,CW104,CO104,IF(OptControl=3,1,0),1)+IF(OR(VolSkewFlag=2,ABS(CR104)&lt;0.0001),0,IF(CR104&gt;0,-1,1)*DD104*100*Strike2/CP104^2*CT104/10%),0)</f>
        <v>0</v>
      </c>
      <c r="DD104" s="163">
        <f ca="1">IF(BD104,_xll.EURO(CP104,Strike2,AO104,AO104,CW104,CO104,IF(OptControl=3,1,0),3)/100,0)</f>
        <v>0</v>
      </c>
      <c r="DE104" s="164">
        <f ca="1">IF(BD104,_xll.EURO(CP104,Strike2,AO104,AO104,CW104,CO104,IF(OptControl=3,1,0),0)-_xll.EURO(CP104,Strike2,AO104,AO104,CW104,CO104-1,IF(OptControl=3,1,0),0),0)</f>
        <v>0</v>
      </c>
      <c r="DG104" s="667">
        <f t="shared" ca="1" si="332"/>
        <v>39114</v>
      </c>
      <c r="DH104" s="475">
        <v>18.401666666666671</v>
      </c>
      <c r="DI104" s="665">
        <v>18.46125</v>
      </c>
      <c r="DJ104" s="666">
        <f t="shared" ca="1" si="306"/>
        <v>39114</v>
      </c>
      <c r="DK104" s="475">
        <v>17.221954744289796</v>
      </c>
      <c r="DL104" s="665">
        <v>17.292750000000005</v>
      </c>
      <c r="DM104" s="667">
        <f t="shared" ca="1" si="307"/>
        <v>39114</v>
      </c>
      <c r="DN104" s="668">
        <f t="shared" si="308"/>
        <v>17.271954744289797</v>
      </c>
      <c r="DO104" s="667">
        <f t="shared" ca="1" si="333"/>
        <v>39114</v>
      </c>
      <c r="DP104" s="579">
        <f t="shared" si="334"/>
        <v>17.292750000000005</v>
      </c>
      <c r="DQ104" s="821">
        <v>0</v>
      </c>
      <c r="DR104" s="666">
        <f t="shared" ca="1" si="309"/>
        <v>39114</v>
      </c>
      <c r="DS104" s="669">
        <v>0.17420000000000002</v>
      </c>
      <c r="DT104" s="606">
        <v>0.17341999999999999</v>
      </c>
      <c r="DU104" s="666">
        <f t="shared" ca="1" si="310"/>
        <v>39114</v>
      </c>
      <c r="DV104" s="669">
        <v>0.17420000000000002</v>
      </c>
      <c r="DW104" s="606">
        <v>0.17341999999999999</v>
      </c>
      <c r="DX104" s="667">
        <f t="shared" ca="1" si="311"/>
        <v>39114</v>
      </c>
      <c r="DY104" s="606">
        <v>0.35</v>
      </c>
      <c r="DZ104" s="667">
        <f t="shared" ca="1" si="335"/>
        <v>39114</v>
      </c>
      <c r="EA104" s="606">
        <f t="shared" si="336"/>
        <v>0.17341999999999999</v>
      </c>
      <c r="EB104" s="1"/>
      <c r="EC104" s="118" t="str">
        <f t="shared" ca="1" si="312"/>
        <v/>
      </c>
      <c r="ED104" s="119" t="str">
        <f t="shared" ca="1" si="313"/>
        <v/>
      </c>
      <c r="EE104" s="112" t="str">
        <f t="shared" ca="1" si="314"/>
        <v/>
      </c>
      <c r="EF104" s="120">
        <f ca="1">IF(BD104,_xll.xASN(BR104,Strike1,AO104,ED104,0,BO104,0,BI104,BL104,IF(OptControl=4,0,1),0),0)</f>
        <v>0</v>
      </c>
      <c r="EG104" s="111">
        <f ca="1">IF(BD104,_xll.xASN(BR104,Strike2,AO104,EE104,0,BO104,0,BI104,BL104,IF(OptControl=3,1,0),0),0)</f>
        <v>0</v>
      </c>
      <c r="EL104" s="55"/>
      <c r="EM104" s="1"/>
      <c r="EN104" s="106"/>
      <c r="EO104" s="106"/>
      <c r="EP104" s="1"/>
      <c r="EQ104" s="683" t="s">
        <v>317</v>
      </c>
      <c r="ES104" s="455"/>
      <c r="ET104" s="36"/>
      <c r="EU104" s="107"/>
      <c r="EV104" s="475"/>
      <c r="EW104" s="456"/>
      <c r="EX104" s="456"/>
      <c r="EY104" s="250"/>
      <c r="EZ104" s="250"/>
      <c r="FA104" s="250"/>
      <c r="FB104" s="250"/>
      <c r="FC104" s="250"/>
      <c r="FD104" s="250"/>
      <c r="FE104" s="250"/>
      <c r="FF104" s="250"/>
      <c r="FG104" s="250"/>
      <c r="FH104" s="250"/>
      <c r="FI104" s="250"/>
      <c r="FJ104" s="673">
        <v>10</v>
      </c>
      <c r="FK104" s="460">
        <f t="shared" ca="1" si="432"/>
        <v>0</v>
      </c>
      <c r="FL104" s="460">
        <f t="shared" ca="1" si="448"/>
        <v>0.2080787946978386</v>
      </c>
      <c r="FM104" s="460">
        <f t="shared" ca="1" si="448"/>
        <v>0.22204798718732899</v>
      </c>
      <c r="FN104" s="460">
        <f t="shared" ca="1" si="448"/>
        <v>0.22801318021405825</v>
      </c>
      <c r="FO104" s="460">
        <f t="shared" ca="1" si="448"/>
        <v>0.2371615461749238</v>
      </c>
      <c r="FP104" s="460">
        <f t="shared" ca="1" si="448"/>
        <v>0.24999290886564038</v>
      </c>
      <c r="FQ104" s="460">
        <f t="shared" ca="1" si="448"/>
        <v>0.26735006810015299</v>
      </c>
      <c r="FR104" s="460">
        <f t="shared" ca="1" si="448"/>
        <v>0.29056171088980254</v>
      </c>
      <c r="FS104" s="460">
        <f t="shared" ca="1" si="448"/>
        <v>0.32169460831732455</v>
      </c>
      <c r="FT104" s="460">
        <f t="shared" ca="1" si="448"/>
        <v>0.36400451660156252</v>
      </c>
      <c r="FU104" s="460" t="str">
        <f t="shared" si="448"/>
        <v/>
      </c>
      <c r="FV104" s="460" t="str">
        <f t="shared" si="448"/>
        <v/>
      </c>
      <c r="FW104" s="460" t="str">
        <f t="shared" si="448"/>
        <v/>
      </c>
      <c r="FX104" s="460" t="str">
        <f t="shared" si="448"/>
        <v/>
      </c>
      <c r="FY104" s="460" t="str">
        <f t="shared" si="448"/>
        <v/>
      </c>
      <c r="FZ104" s="460" t="str">
        <f t="shared" si="448"/>
        <v/>
      </c>
      <c r="GA104" s="460" t="str">
        <f t="shared" si="448"/>
        <v/>
      </c>
      <c r="GB104" s="460" t="str">
        <f t="shared" si="448"/>
        <v/>
      </c>
      <c r="GC104" s="460" t="str">
        <f t="shared" si="448"/>
        <v/>
      </c>
      <c r="GD104" s="460" t="str">
        <f t="shared" si="448"/>
        <v/>
      </c>
      <c r="GE104" s="460" t="str">
        <f t="shared" si="448"/>
        <v/>
      </c>
      <c r="GF104" s="460" t="str">
        <f t="shared" si="448"/>
        <v/>
      </c>
      <c r="GG104" s="460" t="str">
        <f t="shared" si="448"/>
        <v/>
      </c>
      <c r="GH104" s="460" t="str">
        <f t="shared" si="448"/>
        <v/>
      </c>
      <c r="GI104" s="460" t="str">
        <f t="shared" si="448"/>
        <v/>
      </c>
      <c r="GJ104" s="460" t="str">
        <f t="shared" si="448"/>
        <v/>
      </c>
      <c r="GK104" s="460" t="str">
        <f t="shared" si="448"/>
        <v/>
      </c>
      <c r="GL104" s="460" t="str">
        <f t="shared" si="448"/>
        <v/>
      </c>
      <c r="GM104" s="460" t="str">
        <f t="shared" si="448"/>
        <v/>
      </c>
      <c r="GN104" s="460" t="str">
        <f t="shared" si="448"/>
        <v/>
      </c>
      <c r="GO104" s="460" t="str">
        <f t="shared" si="448"/>
        <v/>
      </c>
      <c r="GP104" s="460" t="str">
        <f t="shared" si="448"/>
        <v/>
      </c>
      <c r="GQ104" s="460" t="str">
        <f t="shared" si="448"/>
        <v/>
      </c>
      <c r="GR104" s="460" t="str">
        <f t="shared" si="448"/>
        <v/>
      </c>
      <c r="GS104" s="460" t="str">
        <f t="shared" si="448"/>
        <v/>
      </c>
      <c r="GT104" s="460" t="str">
        <f t="shared" si="448"/>
        <v/>
      </c>
      <c r="GU104" s="460" t="str">
        <f t="shared" si="448"/>
        <v/>
      </c>
      <c r="GV104" s="460" t="str">
        <f t="shared" si="448"/>
        <v/>
      </c>
      <c r="GW104" s="460" t="str">
        <f t="shared" si="448"/>
        <v/>
      </c>
      <c r="GX104" s="460" t="str">
        <f t="shared" si="448"/>
        <v/>
      </c>
      <c r="GY104" s="460" t="str">
        <f t="shared" si="448"/>
        <v/>
      </c>
      <c r="GZ104" s="460" t="str">
        <f t="shared" si="448"/>
        <v/>
      </c>
      <c r="HA104" s="460" t="str">
        <f t="shared" si="448"/>
        <v/>
      </c>
      <c r="HB104" s="460" t="str">
        <f t="shared" si="448"/>
        <v/>
      </c>
      <c r="HC104" s="460" t="str">
        <f t="shared" si="448"/>
        <v/>
      </c>
      <c r="HD104" s="460" t="str">
        <f t="shared" si="448"/>
        <v/>
      </c>
      <c r="HE104" s="460" t="str">
        <f t="shared" si="448"/>
        <v/>
      </c>
      <c r="HF104" s="460" t="str">
        <f t="shared" si="448"/>
        <v/>
      </c>
      <c r="HG104" s="460" t="str">
        <f t="shared" si="448"/>
        <v/>
      </c>
      <c r="HH104" s="460" t="str">
        <f t="shared" si="448"/>
        <v/>
      </c>
      <c r="HI104" s="460" t="str">
        <f t="shared" si="448"/>
        <v/>
      </c>
      <c r="HJ104" s="460" t="str">
        <f t="shared" si="448"/>
        <v/>
      </c>
      <c r="HK104" s="460" t="str">
        <f t="shared" si="448"/>
        <v/>
      </c>
      <c r="HL104" s="460" t="str">
        <f t="shared" si="448"/>
        <v/>
      </c>
      <c r="HM104" s="460" t="str">
        <f t="shared" si="448"/>
        <v/>
      </c>
      <c r="HN104" s="460" t="str">
        <f t="shared" si="448"/>
        <v/>
      </c>
      <c r="HO104" s="460" t="str">
        <f t="shared" si="448"/>
        <v/>
      </c>
      <c r="HP104" s="460" t="str">
        <f t="shared" si="448"/>
        <v/>
      </c>
      <c r="HQ104" s="460" t="str">
        <f t="shared" si="448"/>
        <v/>
      </c>
      <c r="HR104" s="460" t="str">
        <f t="shared" si="448"/>
        <v/>
      </c>
      <c r="HS104" s="460" t="str">
        <f t="shared" si="448"/>
        <v/>
      </c>
      <c r="HT104" s="460" t="str">
        <f t="shared" si="448"/>
        <v/>
      </c>
      <c r="HU104" s="460" t="str">
        <f t="shared" si="448"/>
        <v/>
      </c>
      <c r="HV104" s="460" t="str">
        <f t="shared" si="448"/>
        <v/>
      </c>
      <c r="HW104" s="460" t="str">
        <f t="shared" ref="HW104:ID107" si="449">IF($FJ29&lt;HW$94,"",SQRT(HW29/HW$15))</f>
        <v/>
      </c>
      <c r="HX104" s="460" t="str">
        <f t="shared" si="449"/>
        <v/>
      </c>
      <c r="HY104" s="460" t="str">
        <f t="shared" si="449"/>
        <v/>
      </c>
      <c r="HZ104" s="460" t="str">
        <f t="shared" si="449"/>
        <v/>
      </c>
      <c r="IA104" s="460" t="str">
        <f t="shared" si="449"/>
        <v/>
      </c>
      <c r="IB104" s="460" t="str">
        <f t="shared" si="449"/>
        <v/>
      </c>
      <c r="IC104" s="460" t="str">
        <f t="shared" si="449"/>
        <v/>
      </c>
      <c r="ID104" s="674" t="str">
        <f t="shared" si="449"/>
        <v/>
      </c>
      <c r="IE104" s="250"/>
    </row>
    <row r="105" spans="8:239">
      <c r="H105" s="51">
        <f t="shared" ca="1" si="315"/>
        <v>0</v>
      </c>
      <c r="I105" s="379">
        <f t="shared" si="316"/>
        <v>39356</v>
      </c>
      <c r="J105" s="377"/>
      <c r="K105" s="104" t="s">
        <v>268</v>
      </c>
      <c r="L105" s="392">
        <f t="shared" si="317"/>
        <v>0.33749999999999997</v>
      </c>
      <c r="M105" s="171"/>
      <c r="N105" s="382">
        <v>0</v>
      </c>
      <c r="O105" s="171">
        <f t="shared" si="272"/>
        <v>0</v>
      </c>
      <c r="P105" s="377"/>
      <c r="Q105" s="104" t="s">
        <v>268</v>
      </c>
      <c r="R105" s="377">
        <f t="shared" ca="1" si="417"/>
        <v>-0.9636380974596539</v>
      </c>
      <c r="S105" s="832">
        <f t="shared" si="435"/>
        <v>0.36000000000127996</v>
      </c>
      <c r="T105" s="831">
        <f t="shared" si="418"/>
        <v>0.99999981481428157</v>
      </c>
      <c r="U105" s="545">
        <f t="shared" si="419"/>
        <v>0.99999999999964007</v>
      </c>
      <c r="V105" s="389">
        <v>0</v>
      </c>
      <c r="W105" s="434">
        <f t="shared" si="273"/>
        <v>0</v>
      </c>
      <c r="X105" s="415">
        <f t="shared" si="274"/>
        <v>0.38804347826086955</v>
      </c>
      <c r="Y105" s="322">
        <f t="shared" si="275"/>
        <v>-1.1542999999999999</v>
      </c>
      <c r="Z105" s="322">
        <f t="shared" ca="1" si="276"/>
        <v>-0.76625652173913039</v>
      </c>
      <c r="AA105" s="429">
        <f t="shared" si="277"/>
        <v>1.1542999999999999</v>
      </c>
      <c r="AB105" s="433">
        <f t="shared" ca="1" si="278"/>
        <v>1.1542999999999999</v>
      </c>
      <c r="AC105" s="229">
        <v>39345</v>
      </c>
      <c r="AD105" s="229">
        <v>39341</v>
      </c>
      <c r="AE105" s="229">
        <v>39340</v>
      </c>
      <c r="AF105" s="229">
        <v>39336</v>
      </c>
      <c r="AG105" s="249" t="s">
        <v>499</v>
      </c>
      <c r="AH105" s="247" t="s">
        <v>499</v>
      </c>
      <c r="AI105" s="146">
        <v>23</v>
      </c>
      <c r="AJ105" s="41">
        <v>15</v>
      </c>
      <c r="AK105" s="41">
        <v>8</v>
      </c>
      <c r="AL105" s="293">
        <v>23</v>
      </c>
      <c r="AM105" s="41">
        <v>10</v>
      </c>
      <c r="AN105" s="147">
        <v>13</v>
      </c>
      <c r="AO105" s="374"/>
      <c r="AP105" s="153">
        <f t="shared" ca="1" si="318"/>
        <v>1</v>
      </c>
      <c r="AQ105" s="374"/>
      <c r="AR105" s="153">
        <f t="shared" ca="1" si="420"/>
        <v>1</v>
      </c>
      <c r="AS105" s="272">
        <f t="shared" si="279"/>
        <v>0</v>
      </c>
      <c r="AT105" s="157">
        <f t="shared" si="319"/>
        <v>0</v>
      </c>
      <c r="AU105" s="157">
        <f t="shared" si="280"/>
        <v>0</v>
      </c>
      <c r="AV105" s="271">
        <f t="shared" ca="1" si="430"/>
        <v>9.9999999999999995E-7</v>
      </c>
      <c r="AW105" s="158" t="str">
        <f t="shared" ca="1" si="281"/>
        <v/>
      </c>
      <c r="AX105" s="157">
        <f t="shared" ca="1" si="421"/>
        <v>1.4489753157013829E-3</v>
      </c>
      <c r="AY105" s="157">
        <f t="shared" ca="1" si="422"/>
        <v>6.3639091101630886E-4</v>
      </c>
      <c r="AZ105" s="157">
        <f t="shared" ca="1" si="423"/>
        <v>1.0777624334081274E-4</v>
      </c>
      <c r="BA105" s="157">
        <f t="shared" ca="1" si="424"/>
        <v>1.3472030417601593E-5</v>
      </c>
      <c r="BB105" s="157">
        <f t="shared" ca="1" si="425"/>
        <v>1.6267199606235516E-6</v>
      </c>
      <c r="BC105" s="157">
        <f t="shared" ca="1" si="426"/>
        <v>3.6299120714556063E-7</v>
      </c>
      <c r="BD105" s="151">
        <f t="shared" ca="1" si="282"/>
        <v>0</v>
      </c>
      <c r="BE105" s="152">
        <f t="shared" ca="1" si="283"/>
        <v>0</v>
      </c>
      <c r="BF105" s="40">
        <f t="shared" si="284"/>
        <v>2007</v>
      </c>
      <c r="BG105" s="144">
        <f t="shared" si="285"/>
        <v>10</v>
      </c>
      <c r="BH105" s="145">
        <f t="shared" ca="1" si="286"/>
        <v>2596</v>
      </c>
      <c r="BI105" s="313">
        <f t="shared" ca="1" si="439"/>
        <v>7.1485284052019162</v>
      </c>
      <c r="BJ105" s="42">
        <f t="shared" ca="1" si="288"/>
        <v>7.2020950510371096</v>
      </c>
      <c r="BK105" s="42">
        <f t="shared" ca="1" si="289"/>
        <v>7.2048329018242416</v>
      </c>
      <c r="BL105" s="42">
        <f t="shared" ca="1" si="440"/>
        <v>7.2306639288158792</v>
      </c>
      <c r="BM105" s="150" t="e">
        <f t="shared" ca="1" si="291"/>
        <v>#DIV/0!</v>
      </c>
      <c r="BN105" s="42" t="e">
        <f t="shared" ca="1" si="292"/>
        <v>#DIV/0!</v>
      </c>
      <c r="BO105" s="293">
        <f t="shared" si="441"/>
        <v>23</v>
      </c>
      <c r="BP105" s="41">
        <f t="shared" si="442"/>
        <v>15</v>
      </c>
      <c r="BQ105" s="41">
        <f t="shared" si="443"/>
        <v>8</v>
      </c>
      <c r="BR105" s="305" t="str">
        <f t="shared" ca="1" si="295"/>
        <v/>
      </c>
      <c r="BS105" s="305" t="str">
        <f t="shared" ca="1" si="444"/>
        <v/>
      </c>
      <c r="BT105" s="307" t="str">
        <f t="shared" ca="1" si="445"/>
        <v/>
      </c>
      <c r="BU105" s="161" t="str">
        <f t="shared" ca="1" si="298"/>
        <v/>
      </c>
      <c r="BV105" s="161" t="str">
        <f t="shared" ca="1" si="299"/>
        <v/>
      </c>
      <c r="BW105" s="308" t="str">
        <f t="shared" ca="1" si="300"/>
        <v/>
      </c>
      <c r="BX105" s="309" t="str">
        <f t="shared" ca="1" si="301"/>
        <v/>
      </c>
      <c r="BY105" s="308" t="str">
        <f t="shared" ca="1" si="446"/>
        <v/>
      </c>
      <c r="BZ105" s="309" t="str">
        <f t="shared" ca="1" si="447"/>
        <v/>
      </c>
      <c r="CA105" s="154" t="str">
        <f t="shared" ca="1" si="302"/>
        <v/>
      </c>
      <c r="CB105" s="154" t="str">
        <f t="shared" ca="1" si="303"/>
        <v/>
      </c>
      <c r="CC105" s="154" t="str">
        <f t="shared" ca="1" si="304"/>
        <v/>
      </c>
      <c r="CD105" s="154" t="str">
        <f t="shared" ca="1" si="305"/>
        <v/>
      </c>
      <c r="CE105" s="310">
        <v>1</v>
      </c>
      <c r="CF105" s="162">
        <f ca="1">IF(BD105,_xll.xCrudeAPO(BU105,BV105,CA105,CB105,S106,S107,BI105,BL105,BP105,BQ105,0,Strike1,AO105,CE105,0,BL105,IF(OptControl=4,0,1),0,1),0)</f>
        <v>0</v>
      </c>
      <c r="CG105" s="163">
        <f ca="1">IF(BD105,_xll.xCrudeAPO(BU105,BV105,CA105,CB105,S106,S107,BI105,BL105,BP105,BQ105,0,Strike1,AO105,CE105,0,BL105,IF(OptControl=4,0,1),1,1)+_xll.xCrudeAPO(BU105,BV105,CA105,CB105,S106,S107,BI105,BL105,BP105,BQ105,0,Strike1,AO105,CE105,0,BL105,IF(OptControl=4,0,1),1,2)+IF(OR(VolSkewFlag=2,ABS(BS105)&lt;0.0001),0,IF(BS105&gt;0,-1,1)*CH105*Strike1/BR105^2*BY105/10%),0)</f>
        <v>0</v>
      </c>
      <c r="CH105" s="163">
        <f ca="1">IF(BD105,(_xll.xCrudeAPO(BU105,BV105,CA105,CB105,S106,S107,BI105,BL105,BP105,BQ105,0,Strike1,AO105,CE105,0,BL105,IF(OptControl=4,0,1),3,1)+_xll.xCrudeAPO(BU105,BV105,CA105,CB105,S106,S107,BI105,BL105,BP105,BQ105,0,Strike1,AO105,CE105,0,BL105,IF(OptControl=4,0,1),3,2))/100,0)</f>
        <v>0</v>
      </c>
      <c r="CI105" s="163">
        <f ca="1">IF(BD105,_xll.xCrudeAPO(BU105,BV105,CA105,CB105,S106,S107,BI105-DaysForThetaCalculation/365.25,BL105-DaysForThetaCalculation/365.25,BP105,BQ105,0,Strike1,AO105,CE105,0,BL105,IF(OptControl=4,0,1),0,1)-_xll.xCrudeAPO(BU105,BV105,CA105,CB105,S106,S107,BI105,BL105,BP105,BQ105,0,Strike1,AO105,CE105,0,BL105,IF(OptControl=4,0,1),0,1),0)</f>
        <v>0</v>
      </c>
      <c r="CJ105" s="311">
        <f ca="1">IF(BD105,_xll.xCrudeAPO(BU105,BV105,CC105,CD105,S106,S107,BI105,BL105,BP105,BQ105,0,Strike2,AO105,CE105,0,BL105,IF(OptControl=3,1,0),0,1),0)</f>
        <v>0</v>
      </c>
      <c r="CK105" s="163">
        <f ca="1">IF(BD105,_xll.xCrudeAPO(BU105,BV105,CC105,CD105,S106,S107,BI105,BL105,BP105,BQ105,0,Strike2,AO105,CE105,0,BL105,IF(OptControl=3,1,0),1,1)+_xll.xCrudeAPO(BU105,BV105,CC105,CD105,S106,S107,BI105,BL105,BP105,BQ105,0,Strike2,AO105,CE105,0,BL105,IF(OptControl=3,1,0),1,2)+IF(OR(VolSkewFlag=2,ABS(BT105)&lt;0.0001),0,IF(BT105&gt;0,-1,1)*CL105*Strike2/BR105^2*BZ105/10%),0)</f>
        <v>0</v>
      </c>
      <c r="CL105" s="163">
        <f ca="1">IF(BD105,(_xll.xCrudeAPO(BU105,BV105,CC105,CD105,S106,S107,BI105,BL105,BP105,BQ105,0,Strike2,AO105,CE105,0,BL105,IF(OptControl=3,1,0),3,1)+_xll.xCrudeAPO(BU105,BV105,CC105,CD105,S106,S107,BI105,BL105,BP105,BQ105,0,Strike2,AO105,CE105,0,BL105,IF(OptControl=3,1,0),3,2))/100,0)</f>
        <v>0</v>
      </c>
      <c r="CM105" s="164">
        <f ca="1">IF(BD105,_xll.xCrudeAPO(BU105,BV105,CC105,CD105,S106,S107,BI105-DaysForThetaCalculation/365.25,BL105-DaysForThetaCalculation/365.25,BP105,BQ105,0,Strike2,AO105,CE105,0,BL105,IF(OptControl=3,1,0),0,1)-_xll.xCrudeAPO(BU105,BV105,CC105,CD105,S106,S107,BI105,BL105,BP105,BQ105,0,Strike2,AO105,CE105,0,BL105,IF(OptControl=3,1,0),0,1),0)</f>
        <v>0</v>
      </c>
      <c r="CN105" s="53"/>
      <c r="CO105" s="796" t="str">
        <f t="shared" ca="1" si="323"/>
        <v/>
      </c>
      <c r="CP105" s="800" t="str">
        <f t="shared" ca="1" si="324"/>
        <v/>
      </c>
      <c r="CQ105" s="797" t="str">
        <f t="shared" ca="1" si="325"/>
        <v/>
      </c>
      <c r="CR105" s="797" t="str">
        <f t="shared" ca="1" si="326"/>
        <v/>
      </c>
      <c r="CS105" s="797" t="str">
        <f t="shared" ca="1" si="327"/>
        <v/>
      </c>
      <c r="CT105" s="797" t="str">
        <f t="shared" ca="1" si="328"/>
        <v/>
      </c>
      <c r="CU105" s="798" t="str">
        <f t="shared" ca="1" si="329"/>
        <v/>
      </c>
      <c r="CV105" s="799" t="str">
        <f t="shared" ca="1" si="330"/>
        <v/>
      </c>
      <c r="CW105" s="799" t="str">
        <f t="shared" ca="1" si="331"/>
        <v/>
      </c>
      <c r="CX105" s="163">
        <f ca="1">IF(BD105,_xll.EURO(CP105,Strike1,AO105,AO105,CV105,CO105,IF(OptControl=4,0,1),0),0)</f>
        <v>0</v>
      </c>
      <c r="CY105" s="163">
        <f ca="1">IF(BD105,_xll.EURO(CP105,Strike1,AO105,AO105,CV105,CO105,IF(OptControl=4,0,1),1)+IF(OR(VolSkewFlag=2,ABS(CQ105)&lt;0.0001),0,IF(CQ105&gt;0,-1,1)*CZ105*100*Strike1/CP105^2*CS105/10%),0)</f>
        <v>0</v>
      </c>
      <c r="CZ105" s="163">
        <f ca="1">IF(BD105,_xll.EURO(CP105,Strike1,AO105,AO105,CV105,CO105,IF(OptControl=4,0,1),3)/100,0)</f>
        <v>0</v>
      </c>
      <c r="DA105" s="163">
        <f ca="1">IF(BD105,_xll.EURO(CP105,Strike1,AO105,AO105,CV105,CO105,IF(OptControl=4,0,1),0)-_xll.EURO(CP105,Strike1,AO105,AO105,CV105,CO105-1,IF(OptControl=4,0,1),0),0)</f>
        <v>0</v>
      </c>
      <c r="DB105" s="163">
        <f ca="1">IF(BD105,_xll.EURO(CP105,Strike2,AO105,AO105,CW105,CO105,IF(OptControl=3,1,0),0),0)</f>
        <v>0</v>
      </c>
      <c r="DC105" s="163">
        <f ca="1">IF(BD105,_xll.EURO(CP105,Strike2,AO105,AO105,CW105,CO105,IF(OptControl=3,1,0),1)+IF(OR(VolSkewFlag=2,ABS(CR105)&lt;0.0001),0,IF(CR105&gt;0,-1,1)*DD105*100*Strike2/CP105^2*CT105/10%),0)</f>
        <v>0</v>
      </c>
      <c r="DD105" s="163">
        <f ca="1">IF(BD105,_xll.EURO(CP105,Strike2,AO105,AO105,CW105,CO105,IF(OptControl=3,1,0),3)/100,0)</f>
        <v>0</v>
      </c>
      <c r="DE105" s="164">
        <f ca="1">IF(BD105,_xll.EURO(CP105,Strike2,AO105,AO105,CW105,CO105,IF(OptControl=3,1,0),0)-_xll.EURO(CP105,Strike2,AO105,AO105,CW105,CO105-1,IF(OptControl=3,1,0),0),0)</f>
        <v>0</v>
      </c>
      <c r="DG105" s="667">
        <f t="shared" ca="1" si="332"/>
        <v>39142</v>
      </c>
      <c r="DH105" s="475">
        <v>18.447500000000002</v>
      </c>
      <c r="DI105" s="665">
        <v>18.510000000000002</v>
      </c>
      <c r="DJ105" s="666">
        <f t="shared" ca="1" si="306"/>
        <v>39142</v>
      </c>
      <c r="DK105" s="475">
        <v>17.269133894978861</v>
      </c>
      <c r="DL105" s="665">
        <v>17.341500000000003</v>
      </c>
      <c r="DM105" s="667">
        <f t="shared" ca="1" si="307"/>
        <v>39142</v>
      </c>
      <c r="DN105" s="668">
        <f t="shared" si="308"/>
        <v>17.319133894978862</v>
      </c>
      <c r="DO105" s="667">
        <f t="shared" ca="1" si="333"/>
        <v>39142</v>
      </c>
      <c r="DP105" s="579">
        <f t="shared" si="334"/>
        <v>17.341500000000003</v>
      </c>
      <c r="DQ105" s="821">
        <v>0</v>
      </c>
      <c r="DR105" s="666">
        <f t="shared" ca="1" si="309"/>
        <v>39142</v>
      </c>
      <c r="DS105" s="669">
        <v>0.1736</v>
      </c>
      <c r="DT105" s="606">
        <v>0.1727818181818182</v>
      </c>
      <c r="DU105" s="666">
        <f t="shared" ca="1" si="310"/>
        <v>39142</v>
      </c>
      <c r="DV105" s="669">
        <v>0.1736</v>
      </c>
      <c r="DW105" s="606">
        <v>0.1727818181818182</v>
      </c>
      <c r="DX105" s="667">
        <f t="shared" ca="1" si="311"/>
        <v>39142</v>
      </c>
      <c r="DY105" s="606">
        <v>0.35</v>
      </c>
      <c r="DZ105" s="667">
        <f t="shared" ca="1" si="335"/>
        <v>39142</v>
      </c>
      <c r="EA105" s="606">
        <f t="shared" si="336"/>
        <v>0.1727818181818182</v>
      </c>
      <c r="EB105" s="1"/>
      <c r="EC105" s="118" t="str">
        <f t="shared" ca="1" si="312"/>
        <v/>
      </c>
      <c r="ED105" s="119" t="str">
        <f t="shared" ca="1" si="313"/>
        <v/>
      </c>
      <c r="EE105" s="112" t="str">
        <f t="shared" ca="1" si="314"/>
        <v/>
      </c>
      <c r="EF105" s="120">
        <f ca="1">IF(BD105,_xll.xASN(BR105,Strike1,AO105,ED105,0,BO105,0,BI105,BL105,IF(OptControl=4,0,1),0),0)</f>
        <v>0</v>
      </c>
      <c r="EG105" s="111">
        <f ca="1">IF(BD105,_xll.xASN(BR105,Strike2,AO105,EE105,0,BO105,0,BI105,BL105,IF(OptControl=3,1,0),0),0)</f>
        <v>0</v>
      </c>
      <c r="EL105" s="55"/>
      <c r="EM105" s="1"/>
      <c r="EN105" s="106"/>
      <c r="EO105" s="106"/>
      <c r="EP105" s="1"/>
      <c r="EQ105" s="683" t="s">
        <v>318</v>
      </c>
      <c r="ES105" s="455"/>
      <c r="ET105" s="36"/>
      <c r="EU105" s="107"/>
      <c r="EV105" s="475"/>
      <c r="EW105" s="456"/>
      <c r="EX105" s="456"/>
      <c r="EY105" s="250"/>
      <c r="EZ105" s="250"/>
      <c r="FA105" s="250"/>
      <c r="FB105" s="250"/>
      <c r="FC105" s="250"/>
      <c r="FD105" s="250"/>
      <c r="FE105" s="250"/>
      <c r="FF105" s="250"/>
      <c r="FG105" s="250"/>
      <c r="FH105" s="250"/>
      <c r="FI105" s="250"/>
      <c r="FJ105" s="673">
        <v>11</v>
      </c>
      <c r="FK105" s="460">
        <f t="shared" ca="1" si="432"/>
        <v>0</v>
      </c>
      <c r="FL105" s="460">
        <f t="shared" ref="FL105:HW108" ca="1" si="450">IF($FJ30&lt;FL$94,"",SQRT(FL30/FL$15))</f>
        <v>0.20129326684812246</v>
      </c>
      <c r="FM105" s="460">
        <f t="shared" ca="1" si="450"/>
        <v>0.21355455245304486</v>
      </c>
      <c r="FN105" s="460">
        <f t="shared" ca="1" si="450"/>
        <v>0.21777783358757269</v>
      </c>
      <c r="FO105" s="460">
        <f t="shared" ca="1" si="450"/>
        <v>0.22466004521091035</v>
      </c>
      <c r="FP105" s="460">
        <f t="shared" ca="1" si="450"/>
        <v>0.23450675274759256</v>
      </c>
      <c r="FQ105" s="460">
        <f t="shared" ca="1" si="450"/>
        <v>0.247870327563951</v>
      </c>
      <c r="FR105" s="460">
        <f t="shared" ca="1" si="450"/>
        <v>0.26563302437068004</v>
      </c>
      <c r="FS105" s="460">
        <f t="shared" ca="1" si="450"/>
        <v>0.28915307439338922</v>
      </c>
      <c r="FT105" s="460">
        <f t="shared" ca="1" si="450"/>
        <v>0.32051923407932148</v>
      </c>
      <c r="FU105" s="460">
        <f t="shared" ca="1" si="450"/>
        <v>0.36300338745117189</v>
      </c>
      <c r="FV105" s="460" t="str">
        <f t="shared" si="450"/>
        <v/>
      </c>
      <c r="FW105" s="460" t="str">
        <f t="shared" si="450"/>
        <v/>
      </c>
      <c r="FX105" s="460" t="str">
        <f t="shared" si="450"/>
        <v/>
      </c>
      <c r="FY105" s="460" t="str">
        <f t="shared" si="450"/>
        <v/>
      </c>
      <c r="FZ105" s="460" t="str">
        <f t="shared" si="450"/>
        <v/>
      </c>
      <c r="GA105" s="460" t="str">
        <f t="shared" si="450"/>
        <v/>
      </c>
      <c r="GB105" s="460" t="str">
        <f t="shared" si="450"/>
        <v/>
      </c>
      <c r="GC105" s="460" t="str">
        <f t="shared" si="450"/>
        <v/>
      </c>
      <c r="GD105" s="460" t="str">
        <f t="shared" si="450"/>
        <v/>
      </c>
      <c r="GE105" s="460" t="str">
        <f t="shared" si="450"/>
        <v/>
      </c>
      <c r="GF105" s="460" t="str">
        <f t="shared" si="450"/>
        <v/>
      </c>
      <c r="GG105" s="460" t="str">
        <f t="shared" si="450"/>
        <v/>
      </c>
      <c r="GH105" s="460" t="str">
        <f t="shared" si="450"/>
        <v/>
      </c>
      <c r="GI105" s="460" t="str">
        <f t="shared" si="450"/>
        <v/>
      </c>
      <c r="GJ105" s="460" t="str">
        <f t="shared" si="450"/>
        <v/>
      </c>
      <c r="GK105" s="460" t="str">
        <f t="shared" si="450"/>
        <v/>
      </c>
      <c r="GL105" s="460" t="str">
        <f t="shared" si="450"/>
        <v/>
      </c>
      <c r="GM105" s="460" t="str">
        <f t="shared" si="450"/>
        <v/>
      </c>
      <c r="GN105" s="460" t="str">
        <f t="shared" si="450"/>
        <v/>
      </c>
      <c r="GO105" s="460" t="str">
        <f t="shared" si="450"/>
        <v/>
      </c>
      <c r="GP105" s="460" t="str">
        <f t="shared" si="450"/>
        <v/>
      </c>
      <c r="GQ105" s="460" t="str">
        <f t="shared" si="450"/>
        <v/>
      </c>
      <c r="GR105" s="460" t="str">
        <f t="shared" si="450"/>
        <v/>
      </c>
      <c r="GS105" s="460" t="str">
        <f t="shared" si="450"/>
        <v/>
      </c>
      <c r="GT105" s="460" t="str">
        <f t="shared" si="450"/>
        <v/>
      </c>
      <c r="GU105" s="460" t="str">
        <f t="shared" si="450"/>
        <v/>
      </c>
      <c r="GV105" s="460" t="str">
        <f t="shared" si="450"/>
        <v/>
      </c>
      <c r="GW105" s="460" t="str">
        <f t="shared" si="450"/>
        <v/>
      </c>
      <c r="GX105" s="460" t="str">
        <f t="shared" si="450"/>
        <v/>
      </c>
      <c r="GY105" s="460" t="str">
        <f t="shared" si="450"/>
        <v/>
      </c>
      <c r="GZ105" s="460" t="str">
        <f t="shared" si="450"/>
        <v/>
      </c>
      <c r="HA105" s="460" t="str">
        <f t="shared" si="450"/>
        <v/>
      </c>
      <c r="HB105" s="460" t="str">
        <f t="shared" si="450"/>
        <v/>
      </c>
      <c r="HC105" s="460" t="str">
        <f t="shared" si="450"/>
        <v/>
      </c>
      <c r="HD105" s="460" t="str">
        <f t="shared" si="450"/>
        <v/>
      </c>
      <c r="HE105" s="460" t="str">
        <f t="shared" si="450"/>
        <v/>
      </c>
      <c r="HF105" s="460" t="str">
        <f t="shared" si="450"/>
        <v/>
      </c>
      <c r="HG105" s="460" t="str">
        <f t="shared" si="450"/>
        <v/>
      </c>
      <c r="HH105" s="460" t="str">
        <f t="shared" si="450"/>
        <v/>
      </c>
      <c r="HI105" s="460" t="str">
        <f t="shared" si="450"/>
        <v/>
      </c>
      <c r="HJ105" s="460" t="str">
        <f t="shared" si="450"/>
        <v/>
      </c>
      <c r="HK105" s="460" t="str">
        <f t="shared" si="450"/>
        <v/>
      </c>
      <c r="HL105" s="460" t="str">
        <f t="shared" si="450"/>
        <v/>
      </c>
      <c r="HM105" s="460" t="str">
        <f t="shared" si="450"/>
        <v/>
      </c>
      <c r="HN105" s="460" t="str">
        <f t="shared" si="450"/>
        <v/>
      </c>
      <c r="HO105" s="460" t="str">
        <f t="shared" si="450"/>
        <v/>
      </c>
      <c r="HP105" s="460" t="str">
        <f t="shared" si="450"/>
        <v/>
      </c>
      <c r="HQ105" s="460" t="str">
        <f t="shared" si="450"/>
        <v/>
      </c>
      <c r="HR105" s="460" t="str">
        <f t="shared" si="450"/>
        <v/>
      </c>
      <c r="HS105" s="460" t="str">
        <f t="shared" si="450"/>
        <v/>
      </c>
      <c r="HT105" s="460" t="str">
        <f t="shared" si="450"/>
        <v/>
      </c>
      <c r="HU105" s="460" t="str">
        <f t="shared" si="450"/>
        <v/>
      </c>
      <c r="HV105" s="460" t="str">
        <f t="shared" si="450"/>
        <v/>
      </c>
      <c r="HW105" s="460" t="str">
        <f t="shared" si="450"/>
        <v/>
      </c>
      <c r="HX105" s="460" t="str">
        <f t="shared" si="449"/>
        <v/>
      </c>
      <c r="HY105" s="460" t="str">
        <f t="shared" si="449"/>
        <v/>
      </c>
      <c r="HZ105" s="460" t="str">
        <f t="shared" si="449"/>
        <v/>
      </c>
      <c r="IA105" s="460" t="str">
        <f t="shared" si="449"/>
        <v/>
      </c>
      <c r="IB105" s="460" t="str">
        <f t="shared" si="449"/>
        <v/>
      </c>
      <c r="IC105" s="460" t="str">
        <f t="shared" si="449"/>
        <v/>
      </c>
      <c r="ID105" s="674" t="str">
        <f t="shared" si="449"/>
        <v/>
      </c>
      <c r="IE105" s="250"/>
    </row>
    <row r="106" spans="8:239">
      <c r="H106" s="51">
        <f t="shared" ca="1" si="315"/>
        <v>0</v>
      </c>
      <c r="I106" s="379">
        <f t="shared" si="316"/>
        <v>39387</v>
      </c>
      <c r="J106" s="377"/>
      <c r="K106" s="104" t="s">
        <v>268</v>
      </c>
      <c r="L106" s="392">
        <f t="shared" si="317"/>
        <v>0.37499999999999994</v>
      </c>
      <c r="M106" s="171"/>
      <c r="N106" s="382">
        <v>0</v>
      </c>
      <c r="O106" s="171">
        <f t="shared" si="272"/>
        <v>0</v>
      </c>
      <c r="P106" s="377"/>
      <c r="Q106" s="104" t="s">
        <v>268</v>
      </c>
      <c r="R106" s="377">
        <f t="shared" ca="1" si="417"/>
        <v>-0.79026190254034623</v>
      </c>
      <c r="S106" s="832">
        <f t="shared" si="435"/>
        <v>0.36000000000096</v>
      </c>
      <c r="T106" s="831">
        <f t="shared" si="418"/>
        <v>0.99999984166623179</v>
      </c>
      <c r="U106" s="545">
        <f t="shared" si="419"/>
        <v>0.99999999999972999</v>
      </c>
      <c r="V106" s="389">
        <v>0</v>
      </c>
      <c r="W106" s="434">
        <f t="shared" si="273"/>
        <v>0</v>
      </c>
      <c r="X106" s="415">
        <f t="shared" si="274"/>
        <v>0.42613636363636354</v>
      </c>
      <c r="Y106" s="322">
        <f t="shared" si="275"/>
        <v>-1.1542999999999999</v>
      </c>
      <c r="Z106" s="322">
        <f t="shared" ca="1" si="276"/>
        <v>-0.72816363636363635</v>
      </c>
      <c r="AA106" s="429">
        <f t="shared" si="277"/>
        <v>1.1542999999999999</v>
      </c>
      <c r="AB106" s="433">
        <f t="shared" ca="1" si="278"/>
        <v>1.1542999999999999</v>
      </c>
      <c r="AC106" s="229">
        <v>39375</v>
      </c>
      <c r="AD106" s="229">
        <v>39371</v>
      </c>
      <c r="AE106" s="229">
        <v>39370</v>
      </c>
      <c r="AF106" s="229">
        <v>39366</v>
      </c>
      <c r="AG106" s="249" t="s">
        <v>499</v>
      </c>
      <c r="AH106" s="247" t="s">
        <v>499</v>
      </c>
      <c r="AI106" s="146">
        <v>22</v>
      </c>
      <c r="AJ106" s="41">
        <v>14</v>
      </c>
      <c r="AK106" s="41">
        <v>8</v>
      </c>
      <c r="AL106" s="293">
        <v>22</v>
      </c>
      <c r="AM106" s="41">
        <v>10</v>
      </c>
      <c r="AN106" s="147">
        <v>12</v>
      </c>
      <c r="AO106" s="374"/>
      <c r="AP106" s="153">
        <f t="shared" ca="1" si="318"/>
        <v>1</v>
      </c>
      <c r="AQ106" s="374"/>
      <c r="AR106" s="153">
        <f t="shared" ca="1" si="420"/>
        <v>1</v>
      </c>
      <c r="AS106" s="272">
        <f t="shared" si="279"/>
        <v>0</v>
      </c>
      <c r="AT106" s="157">
        <f t="shared" si="319"/>
        <v>0</v>
      </c>
      <c r="AU106" s="157">
        <f t="shared" si="280"/>
        <v>0</v>
      </c>
      <c r="AV106" s="271">
        <f t="shared" ca="1" si="430"/>
        <v>9.9999999999999995E-7</v>
      </c>
      <c r="AW106" s="158" t="str">
        <f t="shared" ca="1" si="281"/>
        <v/>
      </c>
      <c r="AX106" s="157">
        <f t="shared" ca="1" si="421"/>
        <v>1.4008341334183019E-3</v>
      </c>
      <c r="AY106" s="157">
        <f t="shared" ca="1" si="422"/>
        <v>6.1115709036957237E-4</v>
      </c>
      <c r="AZ106" s="157">
        <f t="shared" ca="1" si="423"/>
        <v>1.0172722760672458E-4</v>
      </c>
      <c r="BA106" s="157">
        <f t="shared" ca="1" si="424"/>
        <v>1.2715903450840572E-5</v>
      </c>
      <c r="BB106" s="157">
        <f t="shared" ca="1" si="425"/>
        <v>1.4844059659323983E-6</v>
      </c>
      <c r="BC106" s="157">
        <f t="shared" ca="1" si="426"/>
        <v>3.2338840114219413E-7</v>
      </c>
      <c r="BD106" s="151">
        <f t="shared" ca="1" si="282"/>
        <v>0</v>
      </c>
      <c r="BE106" s="152">
        <f t="shared" ca="1" si="283"/>
        <v>0</v>
      </c>
      <c r="BF106" s="40">
        <f t="shared" si="284"/>
        <v>2007</v>
      </c>
      <c r="BG106" s="144">
        <f t="shared" si="285"/>
        <v>11</v>
      </c>
      <c r="BH106" s="145">
        <f t="shared" ca="1" si="286"/>
        <v>2626</v>
      </c>
      <c r="BI106" s="313">
        <f t="shared" ca="1" si="439"/>
        <v>7.2334017796030112</v>
      </c>
      <c r="BJ106" s="42">
        <f t="shared" ca="1" si="288"/>
        <v>7.2839275714019038</v>
      </c>
      <c r="BK106" s="42">
        <f t="shared" ca="1" si="289"/>
        <v>7.2866654221890359</v>
      </c>
      <c r="BL106" s="42">
        <f t="shared" ca="1" si="440"/>
        <v>7.312799452429843</v>
      </c>
      <c r="BM106" s="150" t="e">
        <f t="shared" ca="1" si="291"/>
        <v>#DIV/0!</v>
      </c>
      <c r="BN106" s="42" t="e">
        <f t="shared" ca="1" si="292"/>
        <v>#DIV/0!</v>
      </c>
      <c r="BO106" s="293">
        <f t="shared" si="441"/>
        <v>22</v>
      </c>
      <c r="BP106" s="41">
        <f t="shared" si="442"/>
        <v>14</v>
      </c>
      <c r="BQ106" s="41">
        <f t="shared" si="443"/>
        <v>8</v>
      </c>
      <c r="BR106" s="305" t="str">
        <f t="shared" ca="1" si="295"/>
        <v/>
      </c>
      <c r="BS106" s="305" t="str">
        <f t="shared" ca="1" si="444"/>
        <v/>
      </c>
      <c r="BT106" s="307" t="str">
        <f t="shared" ca="1" si="445"/>
        <v/>
      </c>
      <c r="BU106" s="161" t="str">
        <f t="shared" ca="1" si="298"/>
        <v/>
      </c>
      <c r="BV106" s="161" t="str">
        <f t="shared" ca="1" si="299"/>
        <v/>
      </c>
      <c r="BW106" s="308" t="str">
        <f t="shared" ca="1" si="300"/>
        <v/>
      </c>
      <c r="BX106" s="309" t="str">
        <f t="shared" ca="1" si="301"/>
        <v/>
      </c>
      <c r="BY106" s="308" t="str">
        <f t="shared" ca="1" si="446"/>
        <v/>
      </c>
      <c r="BZ106" s="309" t="str">
        <f t="shared" ca="1" si="447"/>
        <v/>
      </c>
      <c r="CA106" s="154" t="str">
        <f t="shared" ca="1" si="302"/>
        <v/>
      </c>
      <c r="CB106" s="154" t="str">
        <f t="shared" ca="1" si="303"/>
        <v/>
      </c>
      <c r="CC106" s="154" t="str">
        <f t="shared" ca="1" si="304"/>
        <v/>
      </c>
      <c r="CD106" s="154" t="str">
        <f t="shared" ca="1" si="305"/>
        <v/>
      </c>
      <c r="CE106" s="310">
        <v>1</v>
      </c>
      <c r="CF106" s="162">
        <f ca="1">IF(BD106,_xll.xCrudeAPO(BU106,BV106,CA106,CB106,S107,S108,BI106,BL106,BP106,BQ106,0,Strike1,AO106,CE106,0,BL106,IF(OptControl=4,0,1),0,1),0)</f>
        <v>0</v>
      </c>
      <c r="CG106" s="163">
        <f ca="1">IF(BD106,_xll.xCrudeAPO(BU106,BV106,CA106,CB106,S107,S108,BI106,BL106,BP106,BQ106,0,Strike1,AO106,CE106,0,BL106,IF(OptControl=4,0,1),1,1)+_xll.xCrudeAPO(BU106,BV106,CA106,CB106,S107,S108,BI106,BL106,BP106,BQ106,0,Strike1,AO106,CE106,0,BL106,IF(OptControl=4,0,1),1,2)+IF(OR(VolSkewFlag=2,ABS(BS106)&lt;0.0001),0,IF(BS106&gt;0,-1,1)*CH106*Strike1/BR106^2*BY106/10%),0)</f>
        <v>0</v>
      </c>
      <c r="CH106" s="163">
        <f ca="1">IF(BD106,(_xll.xCrudeAPO(BU106,BV106,CA106,CB106,S107,S108,BI106,BL106,BP106,BQ106,0,Strike1,AO106,CE106,0,BL106,IF(OptControl=4,0,1),3,1)+_xll.xCrudeAPO(BU106,BV106,CA106,CB106,S107,S108,BI106,BL106,BP106,BQ106,0,Strike1,AO106,CE106,0,BL106,IF(OptControl=4,0,1),3,2))/100,0)</f>
        <v>0</v>
      </c>
      <c r="CI106" s="163">
        <f ca="1">IF(BD106,_xll.xCrudeAPO(BU106,BV106,CA106,CB106,S107,S108,BI106-DaysForThetaCalculation/365.25,BL106-DaysForThetaCalculation/365.25,BP106,BQ106,0,Strike1,AO106,CE106,0,BL106,IF(OptControl=4,0,1),0,1)-_xll.xCrudeAPO(BU106,BV106,CA106,CB106,S107,S108,BI106,BL106,BP106,BQ106,0,Strike1,AO106,CE106,0,BL106,IF(OptControl=4,0,1),0,1),0)</f>
        <v>0</v>
      </c>
      <c r="CJ106" s="311">
        <f ca="1">IF(BD106,_xll.xCrudeAPO(BU106,BV106,CC106,CD106,S107,S108,BI106,BL106,BP106,BQ106,0,Strike2,AO106,CE106,0,BL106,IF(OptControl=3,1,0),0,1),0)</f>
        <v>0</v>
      </c>
      <c r="CK106" s="163">
        <f ca="1">IF(BD106,_xll.xCrudeAPO(BU106,BV106,CC106,CD106,S107,S108,BI106,BL106,BP106,BQ106,0,Strike2,AO106,CE106,0,BL106,IF(OptControl=3,1,0),1,1)+_xll.xCrudeAPO(BU106,BV106,CC106,CD106,S107,S108,BI106,BL106,BP106,BQ106,0,Strike2,AO106,CE106,0,BL106,IF(OptControl=3,1,0),1,2)+IF(OR(VolSkewFlag=2,ABS(BT106)&lt;0.0001),0,IF(BT106&gt;0,-1,1)*CL106*Strike2/BR106^2*BZ106/10%),0)</f>
        <v>0</v>
      </c>
      <c r="CL106" s="163">
        <f ca="1">IF(BD106,(_xll.xCrudeAPO(BU106,BV106,CC106,CD106,S107,S108,BI106,BL106,BP106,BQ106,0,Strike2,AO106,CE106,0,BL106,IF(OptControl=3,1,0),3,1)+_xll.xCrudeAPO(BU106,BV106,CC106,CD106,S107,S108,BI106,BL106,BP106,BQ106,0,Strike2,AO106,CE106,0,BL106,IF(OptControl=3,1,0),3,2))/100,0)</f>
        <v>0</v>
      </c>
      <c r="CM106" s="164">
        <f ca="1">IF(BD106,_xll.xCrudeAPO(BU106,BV106,CC106,CD106,S107,S108,BI106-DaysForThetaCalculation/365.25,BL106-DaysForThetaCalculation/365.25,BP106,BQ106,0,Strike2,AO106,CE106,0,BL106,IF(OptControl=3,1,0),0,1)-_xll.xCrudeAPO(BU106,BV106,CC106,CD106,S107,S108,BI106,BL106,BP106,BQ106,0,Strike2,AO106,CE106,0,BL106,IF(OptControl=3,1,0),0,1),0)</f>
        <v>0</v>
      </c>
      <c r="CN106" s="53"/>
      <c r="CO106" s="796" t="str">
        <f t="shared" ca="1" si="323"/>
        <v/>
      </c>
      <c r="CP106" s="800" t="str">
        <f t="shared" ca="1" si="324"/>
        <v/>
      </c>
      <c r="CQ106" s="797" t="str">
        <f t="shared" ca="1" si="325"/>
        <v/>
      </c>
      <c r="CR106" s="797" t="str">
        <f t="shared" ca="1" si="326"/>
        <v/>
      </c>
      <c r="CS106" s="797" t="str">
        <f t="shared" ca="1" si="327"/>
        <v/>
      </c>
      <c r="CT106" s="797" t="str">
        <f t="shared" ca="1" si="328"/>
        <v/>
      </c>
      <c r="CU106" s="798" t="str">
        <f t="shared" ca="1" si="329"/>
        <v/>
      </c>
      <c r="CV106" s="799" t="str">
        <f t="shared" ca="1" si="330"/>
        <v/>
      </c>
      <c r="CW106" s="799" t="str">
        <f t="shared" ca="1" si="331"/>
        <v/>
      </c>
      <c r="CX106" s="163">
        <f ca="1">IF(BD106,_xll.EURO(CP106,Strike1,AO106,AO106,CV106,CO106,IF(OptControl=4,0,1),0),0)</f>
        <v>0</v>
      </c>
      <c r="CY106" s="163">
        <f ca="1">IF(BD106,_xll.EURO(CP106,Strike1,AO106,AO106,CV106,CO106,IF(OptControl=4,0,1),1)+IF(OR(VolSkewFlag=2,ABS(CQ106)&lt;0.0001),0,IF(CQ106&gt;0,-1,1)*CZ106*100*Strike1/CP106^2*CS106/10%),0)</f>
        <v>0</v>
      </c>
      <c r="CZ106" s="163">
        <f ca="1">IF(BD106,_xll.EURO(CP106,Strike1,AO106,AO106,CV106,CO106,IF(OptControl=4,0,1),3)/100,0)</f>
        <v>0</v>
      </c>
      <c r="DA106" s="163">
        <f ca="1">IF(BD106,_xll.EURO(CP106,Strike1,AO106,AO106,CV106,CO106,IF(OptControl=4,0,1),0)-_xll.EURO(CP106,Strike1,AO106,AO106,CV106,CO106-1,IF(OptControl=4,0,1),0),0)</f>
        <v>0</v>
      </c>
      <c r="DB106" s="163">
        <f ca="1">IF(BD106,_xll.EURO(CP106,Strike2,AO106,AO106,CW106,CO106,IF(OptControl=3,1,0),0),0)</f>
        <v>0</v>
      </c>
      <c r="DC106" s="163">
        <f ca="1">IF(BD106,_xll.EURO(CP106,Strike2,AO106,AO106,CW106,CO106,IF(OptControl=3,1,0),1)+IF(OR(VolSkewFlag=2,ABS(CR106)&lt;0.0001),0,IF(CR106&gt;0,-1,1)*DD106*100*Strike2/CP106^2*CT106/10%),0)</f>
        <v>0</v>
      </c>
      <c r="DD106" s="163">
        <f ca="1">IF(BD106,_xll.EURO(CP106,Strike2,AO106,AO106,CW106,CO106,IF(OptControl=3,1,0),3)/100,0)</f>
        <v>0</v>
      </c>
      <c r="DE106" s="164">
        <f ca="1">IF(BD106,_xll.EURO(CP106,Strike2,AO106,AO106,CW106,CO106,IF(OptControl=3,1,0),0)-_xll.EURO(CP106,Strike2,AO106,AO106,CW106,CO106-1,IF(OptControl=3,1,0),0),0)</f>
        <v>0</v>
      </c>
      <c r="DG106" s="667">
        <f t="shared" ca="1" si="332"/>
        <v>39173</v>
      </c>
      <c r="DH106" s="475">
        <v>18.493333333333339</v>
      </c>
      <c r="DI106" s="665">
        <v>18.552261904761913</v>
      </c>
      <c r="DJ106" s="666">
        <f t="shared" ca="1" si="306"/>
        <v>39173</v>
      </c>
      <c r="DK106" s="475">
        <v>17.316366105021153</v>
      </c>
      <c r="DL106" s="665">
        <v>17.260761904761914</v>
      </c>
      <c r="DM106" s="667">
        <f t="shared" ca="1" si="307"/>
        <v>39173</v>
      </c>
      <c r="DN106" s="668">
        <f t="shared" si="308"/>
        <v>17.366366105021154</v>
      </c>
      <c r="DO106" s="667">
        <f t="shared" ca="1" si="333"/>
        <v>39173</v>
      </c>
      <c r="DP106" s="579">
        <f t="shared" si="334"/>
        <v>17.260761904761914</v>
      </c>
      <c r="DQ106" s="821">
        <v>0</v>
      </c>
      <c r="DR106" s="666">
        <f t="shared" ca="1" si="309"/>
        <v>39173</v>
      </c>
      <c r="DS106" s="669">
        <v>0.17300000000000001</v>
      </c>
      <c r="DT106" s="606">
        <v>0.17222857142857145</v>
      </c>
      <c r="DU106" s="666">
        <f t="shared" ca="1" si="310"/>
        <v>39173</v>
      </c>
      <c r="DV106" s="669">
        <v>0.17300000000000001</v>
      </c>
      <c r="DW106" s="606">
        <v>0.17222857142857145</v>
      </c>
      <c r="DX106" s="667">
        <f t="shared" ca="1" si="311"/>
        <v>39173</v>
      </c>
      <c r="DY106" s="606">
        <v>0.35</v>
      </c>
      <c r="DZ106" s="667">
        <f t="shared" ca="1" si="335"/>
        <v>39173</v>
      </c>
      <c r="EA106" s="606">
        <f t="shared" si="336"/>
        <v>0.17222857142857145</v>
      </c>
      <c r="EB106" s="1"/>
      <c r="EC106" s="118" t="str">
        <f t="shared" ca="1" si="312"/>
        <v/>
      </c>
      <c r="ED106" s="119" t="str">
        <f t="shared" ca="1" si="313"/>
        <v/>
      </c>
      <c r="EE106" s="112" t="str">
        <f t="shared" ca="1" si="314"/>
        <v/>
      </c>
      <c r="EF106" s="120">
        <f ca="1">IF(BD106,_xll.xASN(BR106,Strike1,AO106,ED106,0,BO106,0,BI106,BL106,IF(OptControl=4,0,1),0),0)</f>
        <v>0</v>
      </c>
      <c r="EG106" s="111">
        <f ca="1">IF(BD106,_xll.xASN(BR106,Strike2,AO106,EE106,0,BO106,0,BI106,BL106,IF(OptControl=3,1,0),0),0)</f>
        <v>0</v>
      </c>
      <c r="EL106" s="55"/>
      <c r="EM106" s="1"/>
      <c r="EN106" s="106"/>
      <c r="EO106" s="106"/>
      <c r="EP106" s="1"/>
      <c r="EQ106" s="683" t="s">
        <v>319</v>
      </c>
      <c r="ES106" s="455"/>
      <c r="ET106" s="36"/>
      <c r="EU106" s="107"/>
      <c r="EV106" s="475"/>
      <c r="EW106" s="456"/>
      <c r="EX106" s="456"/>
      <c r="EY106" s="250"/>
      <c r="EZ106" s="250"/>
      <c r="FA106" s="250"/>
      <c r="FB106" s="250"/>
      <c r="FC106" s="250"/>
      <c r="FD106" s="250"/>
      <c r="FE106" s="250"/>
      <c r="FF106" s="250"/>
      <c r="FG106" s="250"/>
      <c r="FH106" s="250"/>
      <c r="FI106" s="250"/>
      <c r="FJ106" s="673">
        <v>12</v>
      </c>
      <c r="FK106" s="460">
        <f t="shared" ca="1" si="432"/>
        <v>0</v>
      </c>
      <c r="FL106" s="460">
        <f t="shared" ca="1" si="450"/>
        <v>0.19569448306880374</v>
      </c>
      <c r="FM106" s="460">
        <f t="shared" ca="1" si="450"/>
        <v>0.20659045808096779</v>
      </c>
      <c r="FN106" s="460">
        <f t="shared" ca="1" si="450"/>
        <v>0.20944773413664014</v>
      </c>
      <c r="FO106" s="460">
        <f t="shared" ca="1" si="450"/>
        <v>0.21457521838775545</v>
      </c>
      <c r="FP106" s="460">
        <f t="shared" ca="1" si="450"/>
        <v>0.22214519395854943</v>
      </c>
      <c r="FQ106" s="460">
        <f t="shared" ca="1" si="450"/>
        <v>0.23251565767709415</v>
      </c>
      <c r="FR106" s="460">
        <f t="shared" ca="1" si="450"/>
        <v>0.24627839158768391</v>
      </c>
      <c r="FS106" s="460">
        <f t="shared" ca="1" si="450"/>
        <v>0.26434524157357542</v>
      </c>
      <c r="FT106" s="460">
        <f t="shared" ca="1" si="450"/>
        <v>0.28809659702107926</v>
      </c>
      <c r="FU106" s="460">
        <f t="shared" ca="1" si="450"/>
        <v>0.3196377034008191</v>
      </c>
      <c r="FV106" s="460">
        <f t="shared" ca="1" si="450"/>
        <v>0.36225254058837891</v>
      </c>
      <c r="FW106" s="460" t="str">
        <f t="shared" si="450"/>
        <v/>
      </c>
      <c r="FX106" s="460" t="str">
        <f t="shared" si="450"/>
        <v/>
      </c>
      <c r="FY106" s="460" t="str">
        <f t="shared" si="450"/>
        <v/>
      </c>
      <c r="FZ106" s="460" t="str">
        <f t="shared" si="450"/>
        <v/>
      </c>
      <c r="GA106" s="460" t="str">
        <f t="shared" si="450"/>
        <v/>
      </c>
      <c r="GB106" s="460" t="str">
        <f t="shared" si="450"/>
        <v/>
      </c>
      <c r="GC106" s="460" t="str">
        <f t="shared" si="450"/>
        <v/>
      </c>
      <c r="GD106" s="460" t="str">
        <f t="shared" si="450"/>
        <v/>
      </c>
      <c r="GE106" s="460" t="str">
        <f t="shared" si="450"/>
        <v/>
      </c>
      <c r="GF106" s="460" t="str">
        <f t="shared" si="450"/>
        <v/>
      </c>
      <c r="GG106" s="460" t="str">
        <f t="shared" si="450"/>
        <v/>
      </c>
      <c r="GH106" s="460" t="str">
        <f t="shared" si="450"/>
        <v/>
      </c>
      <c r="GI106" s="460" t="str">
        <f t="shared" si="450"/>
        <v/>
      </c>
      <c r="GJ106" s="460" t="str">
        <f t="shared" si="450"/>
        <v/>
      </c>
      <c r="GK106" s="460" t="str">
        <f t="shared" si="450"/>
        <v/>
      </c>
      <c r="GL106" s="460" t="str">
        <f t="shared" si="450"/>
        <v/>
      </c>
      <c r="GM106" s="460" t="str">
        <f t="shared" si="450"/>
        <v/>
      </c>
      <c r="GN106" s="460" t="str">
        <f t="shared" si="450"/>
        <v/>
      </c>
      <c r="GO106" s="460" t="str">
        <f t="shared" si="450"/>
        <v/>
      </c>
      <c r="GP106" s="460" t="str">
        <f t="shared" si="450"/>
        <v/>
      </c>
      <c r="GQ106" s="460" t="str">
        <f t="shared" si="450"/>
        <v/>
      </c>
      <c r="GR106" s="460" t="str">
        <f t="shared" si="450"/>
        <v/>
      </c>
      <c r="GS106" s="460" t="str">
        <f t="shared" si="450"/>
        <v/>
      </c>
      <c r="GT106" s="460" t="str">
        <f t="shared" si="450"/>
        <v/>
      </c>
      <c r="GU106" s="460" t="str">
        <f t="shared" si="450"/>
        <v/>
      </c>
      <c r="GV106" s="460" t="str">
        <f t="shared" si="450"/>
        <v/>
      </c>
      <c r="GW106" s="460" t="str">
        <f t="shared" si="450"/>
        <v/>
      </c>
      <c r="GX106" s="460" t="str">
        <f t="shared" si="450"/>
        <v/>
      </c>
      <c r="GY106" s="460" t="str">
        <f t="shared" si="450"/>
        <v/>
      </c>
      <c r="GZ106" s="460" t="str">
        <f t="shared" si="450"/>
        <v/>
      </c>
      <c r="HA106" s="460" t="str">
        <f t="shared" si="450"/>
        <v/>
      </c>
      <c r="HB106" s="460" t="str">
        <f t="shared" si="450"/>
        <v/>
      </c>
      <c r="HC106" s="460" t="str">
        <f t="shared" si="450"/>
        <v/>
      </c>
      <c r="HD106" s="460" t="str">
        <f t="shared" si="450"/>
        <v/>
      </c>
      <c r="HE106" s="460" t="str">
        <f t="shared" si="450"/>
        <v/>
      </c>
      <c r="HF106" s="460" t="str">
        <f t="shared" si="450"/>
        <v/>
      </c>
      <c r="HG106" s="460" t="str">
        <f t="shared" si="450"/>
        <v/>
      </c>
      <c r="HH106" s="460" t="str">
        <f t="shared" si="450"/>
        <v/>
      </c>
      <c r="HI106" s="460" t="str">
        <f t="shared" si="450"/>
        <v/>
      </c>
      <c r="HJ106" s="460" t="str">
        <f t="shared" si="450"/>
        <v/>
      </c>
      <c r="HK106" s="460" t="str">
        <f t="shared" si="450"/>
        <v/>
      </c>
      <c r="HL106" s="460" t="str">
        <f t="shared" si="450"/>
        <v/>
      </c>
      <c r="HM106" s="460" t="str">
        <f t="shared" si="450"/>
        <v/>
      </c>
      <c r="HN106" s="460" t="str">
        <f t="shared" si="450"/>
        <v/>
      </c>
      <c r="HO106" s="460" t="str">
        <f t="shared" si="450"/>
        <v/>
      </c>
      <c r="HP106" s="460" t="str">
        <f t="shared" si="450"/>
        <v/>
      </c>
      <c r="HQ106" s="460" t="str">
        <f t="shared" si="450"/>
        <v/>
      </c>
      <c r="HR106" s="460" t="str">
        <f t="shared" si="450"/>
        <v/>
      </c>
      <c r="HS106" s="460" t="str">
        <f t="shared" si="450"/>
        <v/>
      </c>
      <c r="HT106" s="460" t="str">
        <f t="shared" si="450"/>
        <v/>
      </c>
      <c r="HU106" s="460" t="str">
        <f t="shared" si="450"/>
        <v/>
      </c>
      <c r="HV106" s="460" t="str">
        <f t="shared" si="450"/>
        <v/>
      </c>
      <c r="HW106" s="460" t="str">
        <f t="shared" si="450"/>
        <v/>
      </c>
      <c r="HX106" s="460" t="str">
        <f t="shared" si="449"/>
        <v/>
      </c>
      <c r="HY106" s="460" t="str">
        <f t="shared" si="449"/>
        <v/>
      </c>
      <c r="HZ106" s="460" t="str">
        <f t="shared" si="449"/>
        <v/>
      </c>
      <c r="IA106" s="460" t="str">
        <f t="shared" si="449"/>
        <v/>
      </c>
      <c r="IB106" s="460" t="str">
        <f t="shared" si="449"/>
        <v/>
      </c>
      <c r="IC106" s="460" t="str">
        <f t="shared" si="449"/>
        <v/>
      </c>
      <c r="ID106" s="674" t="str">
        <f t="shared" si="449"/>
        <v/>
      </c>
      <c r="IE106" s="250"/>
    </row>
    <row r="107" spans="8:239">
      <c r="H107" s="51">
        <f t="shared" ca="1" si="315"/>
        <v>0</v>
      </c>
      <c r="I107" s="379">
        <f t="shared" si="316"/>
        <v>39417</v>
      </c>
      <c r="J107" s="377"/>
      <c r="K107" s="104" t="s">
        <v>268</v>
      </c>
      <c r="L107" s="392">
        <f t="shared" si="317"/>
        <v>0.41249999999999992</v>
      </c>
      <c r="M107" s="171"/>
      <c r="N107" s="382">
        <v>0</v>
      </c>
      <c r="O107" s="171">
        <f t="shared" si="272"/>
        <v>0</v>
      </c>
      <c r="P107" s="377"/>
      <c r="Q107" s="104" t="s">
        <v>268</v>
      </c>
      <c r="R107" s="377">
        <f t="shared" ca="1" si="417"/>
        <v>-0.74779084419973363</v>
      </c>
      <c r="S107" s="832">
        <f t="shared" si="435"/>
        <v>0.36000000000071997</v>
      </c>
      <c r="T107" s="831">
        <f t="shared" si="418"/>
        <v>0.99999986462464385</v>
      </c>
      <c r="U107" s="545">
        <f t="shared" si="419"/>
        <v>0.9999999999997975</v>
      </c>
      <c r="V107" s="389">
        <v>0</v>
      </c>
      <c r="W107" s="434">
        <f t="shared" si="273"/>
        <v>0</v>
      </c>
      <c r="X107" s="415">
        <f t="shared" si="274"/>
        <v>0.46124999999999988</v>
      </c>
      <c r="Y107" s="322">
        <f t="shared" si="275"/>
        <v>-1.1542999999999999</v>
      </c>
      <c r="Z107" s="322">
        <f t="shared" ca="1" si="276"/>
        <v>-0.69304999999999994</v>
      </c>
      <c r="AA107" s="429">
        <f t="shared" si="277"/>
        <v>1.1542999999999999</v>
      </c>
      <c r="AB107" s="433">
        <f t="shared" ca="1" si="278"/>
        <v>1.1542999999999999</v>
      </c>
      <c r="AC107" s="229">
        <v>39406</v>
      </c>
      <c r="AD107" s="229">
        <v>39402</v>
      </c>
      <c r="AE107" s="229">
        <v>39401</v>
      </c>
      <c r="AF107" s="229">
        <v>39397</v>
      </c>
      <c r="AG107" s="249" t="s">
        <v>499</v>
      </c>
      <c r="AH107" s="247" t="s">
        <v>499</v>
      </c>
      <c r="AI107" s="146">
        <v>20</v>
      </c>
      <c r="AJ107" s="41">
        <v>14</v>
      </c>
      <c r="AK107" s="41">
        <v>6</v>
      </c>
      <c r="AL107" s="293">
        <v>20</v>
      </c>
      <c r="AM107" s="41">
        <v>10</v>
      </c>
      <c r="AN107" s="147">
        <v>10</v>
      </c>
      <c r="AO107" s="374"/>
      <c r="AP107" s="153">
        <f t="shared" ca="1" si="318"/>
        <v>1</v>
      </c>
      <c r="AQ107" s="374"/>
      <c r="AR107" s="153">
        <f t="shared" ca="1" si="420"/>
        <v>1</v>
      </c>
      <c r="AS107" s="272">
        <f t="shared" si="279"/>
        <v>0</v>
      </c>
      <c r="AT107" s="157">
        <f t="shared" si="319"/>
        <v>0</v>
      </c>
      <c r="AU107" s="157">
        <f t="shared" si="280"/>
        <v>0</v>
      </c>
      <c r="AV107" s="271">
        <f t="shared" ca="1" si="430"/>
        <v>9.9999999999999995E-7</v>
      </c>
      <c r="AW107" s="158" t="str">
        <f t="shared" ca="1" si="281"/>
        <v/>
      </c>
      <c r="AX107" s="157">
        <f t="shared" ca="1" si="421"/>
        <v>1.3542924079420408E-3</v>
      </c>
      <c r="AY107" s="157">
        <f t="shared" ca="1" si="422"/>
        <v>5.8692382723145081E-4</v>
      </c>
      <c r="AZ107" s="157">
        <f t="shared" ca="1" si="423"/>
        <v>9.6017717038311362E-5</v>
      </c>
      <c r="BA107" s="157">
        <f t="shared" ca="1" si="424"/>
        <v>1.200221462978892E-5</v>
      </c>
      <c r="BB107" s="157">
        <f t="shared" ca="1" si="425"/>
        <v>1.3545423459678144E-6</v>
      </c>
      <c r="BC107" s="157">
        <f t="shared" ca="1" si="426"/>
        <v>2.8810631203903437E-7</v>
      </c>
      <c r="BD107" s="151">
        <f t="shared" ca="1" si="282"/>
        <v>0</v>
      </c>
      <c r="BE107" s="152">
        <f t="shared" ca="1" si="283"/>
        <v>0</v>
      </c>
      <c r="BF107" s="40">
        <f t="shared" si="284"/>
        <v>2007</v>
      </c>
      <c r="BG107" s="144">
        <f t="shared" si="285"/>
        <v>12</v>
      </c>
      <c r="BH107" s="145">
        <f t="shared" ca="1" si="286"/>
        <v>2657</v>
      </c>
      <c r="BI107" s="313">
        <f t="shared" ca="1" si="439"/>
        <v>7.315537303216975</v>
      </c>
      <c r="BJ107" s="42">
        <f t="shared" ca="1" si="288"/>
        <v>7.3730321697467494</v>
      </c>
      <c r="BK107" s="42">
        <f t="shared" ca="1" si="289"/>
        <v>7.3757700205338814</v>
      </c>
      <c r="BL107" s="42">
        <f t="shared" ca="1" si="440"/>
        <v>7.397672826830938</v>
      </c>
      <c r="BM107" s="150" t="e">
        <f t="shared" ca="1" si="291"/>
        <v>#DIV/0!</v>
      </c>
      <c r="BN107" s="42" t="e">
        <f t="shared" ca="1" si="292"/>
        <v>#DIV/0!</v>
      </c>
      <c r="BO107" s="293">
        <f t="shared" si="441"/>
        <v>20</v>
      </c>
      <c r="BP107" s="41">
        <f t="shared" si="442"/>
        <v>14</v>
      </c>
      <c r="BQ107" s="41">
        <f t="shared" si="443"/>
        <v>6</v>
      </c>
      <c r="BR107" s="305" t="str">
        <f t="shared" ca="1" si="295"/>
        <v/>
      </c>
      <c r="BS107" s="305" t="str">
        <f t="shared" ca="1" si="444"/>
        <v/>
      </c>
      <c r="BT107" s="307" t="str">
        <f t="shared" ca="1" si="445"/>
        <v/>
      </c>
      <c r="BU107" s="161" t="str">
        <f t="shared" ca="1" si="298"/>
        <v/>
      </c>
      <c r="BV107" s="161" t="str">
        <f t="shared" ca="1" si="299"/>
        <v/>
      </c>
      <c r="BW107" s="308" t="str">
        <f t="shared" ca="1" si="300"/>
        <v/>
      </c>
      <c r="BX107" s="309" t="str">
        <f t="shared" ca="1" si="301"/>
        <v/>
      </c>
      <c r="BY107" s="308" t="str">
        <f t="shared" ca="1" si="446"/>
        <v/>
      </c>
      <c r="BZ107" s="309" t="str">
        <f t="shared" ca="1" si="447"/>
        <v/>
      </c>
      <c r="CA107" s="154" t="str">
        <f t="shared" ca="1" si="302"/>
        <v/>
      </c>
      <c r="CB107" s="154" t="str">
        <f t="shared" ca="1" si="303"/>
        <v/>
      </c>
      <c r="CC107" s="154" t="str">
        <f t="shared" ca="1" si="304"/>
        <v/>
      </c>
      <c r="CD107" s="154" t="str">
        <f t="shared" ca="1" si="305"/>
        <v/>
      </c>
      <c r="CE107" s="310">
        <v>1</v>
      </c>
      <c r="CF107" s="162">
        <f ca="1">IF(BD107,_xll.xCrudeAPO(BU107,BV107,CA107,CB107,S108,S109,BI107,BL107,BP107,BQ107,0,Strike1,AO107,CE107,0,BL107,IF(OptControl=4,0,1),0,1),0)</f>
        <v>0</v>
      </c>
      <c r="CG107" s="163">
        <f ca="1">IF(BD107,_xll.xCrudeAPO(BU107,BV107,CA107,CB107,S108,S109,BI107,BL107,BP107,BQ107,0,Strike1,AO107,CE107,0,BL107,IF(OptControl=4,0,1),1,1)+_xll.xCrudeAPO(BU107,BV107,CA107,CB107,S108,S109,BI107,BL107,BP107,BQ107,0,Strike1,AO107,CE107,0,BL107,IF(OptControl=4,0,1),1,2)+IF(OR(VolSkewFlag=2,ABS(BS107)&lt;0.0001),0,IF(BS107&gt;0,-1,1)*CH107*Strike1/BR107^2*BY107/10%),0)</f>
        <v>0</v>
      </c>
      <c r="CH107" s="163">
        <f ca="1">IF(BD107,(_xll.xCrudeAPO(BU107,BV107,CA107,CB107,S108,S109,BI107,BL107,BP107,BQ107,0,Strike1,AO107,CE107,0,BL107,IF(OptControl=4,0,1),3,1)+_xll.xCrudeAPO(BU107,BV107,CA107,CB107,S108,S109,BI107,BL107,BP107,BQ107,0,Strike1,AO107,CE107,0,BL107,IF(OptControl=4,0,1),3,2))/100,0)</f>
        <v>0</v>
      </c>
      <c r="CI107" s="163">
        <f ca="1">IF(BD107,_xll.xCrudeAPO(BU107,BV107,CA107,CB107,S108,S109,BI107-DaysForThetaCalculation/365.25,BL107-DaysForThetaCalculation/365.25,BP107,BQ107,0,Strike1,AO107,CE107,0,BL107,IF(OptControl=4,0,1),0,1)-_xll.xCrudeAPO(BU107,BV107,CA107,CB107,S108,S109,BI107,BL107,BP107,BQ107,0,Strike1,AO107,CE107,0,BL107,IF(OptControl=4,0,1),0,1),0)</f>
        <v>0</v>
      </c>
      <c r="CJ107" s="311">
        <f ca="1">IF(BD107,_xll.xCrudeAPO(BU107,BV107,CC107,CD107,S108,S109,BI107,BL107,BP107,BQ107,0,Strike2,AO107,CE107,0,BL107,IF(OptControl=3,1,0),0,1),0)</f>
        <v>0</v>
      </c>
      <c r="CK107" s="163">
        <f ca="1">IF(BD107,_xll.xCrudeAPO(BU107,BV107,CC107,CD107,S108,S109,BI107,BL107,BP107,BQ107,0,Strike2,AO107,CE107,0,BL107,IF(OptControl=3,1,0),1,1)+_xll.xCrudeAPO(BU107,BV107,CC107,CD107,S108,S109,BI107,BL107,BP107,BQ107,0,Strike2,AO107,CE107,0,BL107,IF(OptControl=3,1,0),1,2)+IF(OR(VolSkewFlag=2,ABS(BT107)&lt;0.0001),0,IF(BT107&gt;0,-1,1)*CL107*Strike2/BR107^2*BZ107/10%),0)</f>
        <v>0</v>
      </c>
      <c r="CL107" s="163">
        <f ca="1">IF(BD107,(_xll.xCrudeAPO(BU107,BV107,CC107,CD107,S108,S109,BI107,BL107,BP107,BQ107,0,Strike2,AO107,CE107,0,BL107,IF(OptControl=3,1,0),3,1)+_xll.xCrudeAPO(BU107,BV107,CC107,CD107,S108,S109,BI107,BL107,BP107,BQ107,0,Strike2,AO107,CE107,0,BL107,IF(OptControl=3,1,0),3,2))/100,0)</f>
        <v>0</v>
      </c>
      <c r="CM107" s="164">
        <f ca="1">IF(BD107,_xll.xCrudeAPO(BU107,BV107,CC107,CD107,S108,S109,BI107-DaysForThetaCalculation/365.25,BL107-DaysForThetaCalculation/365.25,BP107,BQ107,0,Strike2,AO107,CE107,0,BL107,IF(OptControl=3,1,0),0,1)-_xll.xCrudeAPO(BU107,BV107,CC107,CD107,S108,S109,BI107,BL107,BP107,BQ107,0,Strike2,AO107,CE107,0,BL107,IF(OptControl=3,1,0),0,1),0)</f>
        <v>0</v>
      </c>
      <c r="CN107" s="53"/>
      <c r="CO107" s="796" t="str">
        <f t="shared" ca="1" si="323"/>
        <v/>
      </c>
      <c r="CP107" s="800" t="str">
        <f t="shared" ca="1" si="324"/>
        <v/>
      </c>
      <c r="CQ107" s="797" t="str">
        <f t="shared" ca="1" si="325"/>
        <v/>
      </c>
      <c r="CR107" s="797" t="str">
        <f t="shared" ca="1" si="326"/>
        <v/>
      </c>
      <c r="CS107" s="797" t="str">
        <f t="shared" ca="1" si="327"/>
        <v/>
      </c>
      <c r="CT107" s="797" t="str">
        <f t="shared" ca="1" si="328"/>
        <v/>
      </c>
      <c r="CU107" s="798" t="str">
        <f t="shared" ca="1" si="329"/>
        <v/>
      </c>
      <c r="CV107" s="799" t="str">
        <f t="shared" ca="1" si="330"/>
        <v/>
      </c>
      <c r="CW107" s="799" t="str">
        <f t="shared" ca="1" si="331"/>
        <v/>
      </c>
      <c r="CX107" s="163">
        <f ca="1">IF(BD107,_xll.EURO(CP107,Strike1,AO107,AO107,CV107,CO107,IF(OptControl=4,0,1),0),0)</f>
        <v>0</v>
      </c>
      <c r="CY107" s="163">
        <f ca="1">IF(BD107,_xll.EURO(CP107,Strike1,AO107,AO107,CV107,CO107,IF(OptControl=4,0,1),1)+IF(OR(VolSkewFlag=2,ABS(CQ107)&lt;0.0001),0,IF(CQ107&gt;0,-1,1)*CZ107*100*Strike1/CP107^2*CS107/10%),0)</f>
        <v>0</v>
      </c>
      <c r="CZ107" s="163">
        <f ca="1">IF(BD107,_xll.EURO(CP107,Strike1,AO107,AO107,CV107,CO107,IF(OptControl=4,0,1),3)/100,0)</f>
        <v>0</v>
      </c>
      <c r="DA107" s="163">
        <f ca="1">IF(BD107,_xll.EURO(CP107,Strike1,AO107,AO107,CV107,CO107,IF(OptControl=4,0,1),0)-_xll.EURO(CP107,Strike1,AO107,AO107,CV107,CO107-1,IF(OptControl=4,0,1),0),0)</f>
        <v>0</v>
      </c>
      <c r="DB107" s="163">
        <f ca="1">IF(BD107,_xll.EURO(CP107,Strike2,AO107,AO107,CW107,CO107,IF(OptControl=3,1,0),0),0)</f>
        <v>0</v>
      </c>
      <c r="DC107" s="163">
        <f ca="1">IF(BD107,_xll.EURO(CP107,Strike2,AO107,AO107,CW107,CO107,IF(OptControl=3,1,0),1)+IF(OR(VolSkewFlag=2,ABS(CR107)&lt;0.0001),0,IF(CR107&gt;0,-1,1)*DD107*100*Strike2/CP107^2*CT107/10%),0)</f>
        <v>0</v>
      </c>
      <c r="DD107" s="163">
        <f ca="1">IF(BD107,_xll.EURO(CP107,Strike2,AO107,AO107,CW107,CO107,IF(OptControl=3,1,0),3)/100,0)</f>
        <v>0</v>
      </c>
      <c r="DE107" s="164">
        <f ca="1">IF(BD107,_xll.EURO(CP107,Strike2,AO107,AO107,CW107,CO107,IF(OptControl=3,1,0),0)-_xll.EURO(CP107,Strike2,AO107,AO107,CW107,CO107-1,IF(OptControl=3,1,0),0),0)</f>
        <v>0</v>
      </c>
      <c r="DG107" s="667">
        <f t="shared" ca="1" si="332"/>
        <v>39203</v>
      </c>
      <c r="DH107" s="475">
        <v>18.539166666666674</v>
      </c>
      <c r="DI107" s="665">
        <v>18.602934782608703</v>
      </c>
      <c r="DJ107" s="666">
        <f t="shared" ca="1" si="306"/>
        <v>39203</v>
      </c>
      <c r="DK107" s="475">
        <v>17.362444912482378</v>
      </c>
      <c r="DL107" s="665">
        <v>17.311434782608703</v>
      </c>
      <c r="DM107" s="667">
        <f t="shared" ca="1" si="307"/>
        <v>39203</v>
      </c>
      <c r="DN107" s="668">
        <f t="shared" si="308"/>
        <v>17.412444912482378</v>
      </c>
      <c r="DO107" s="667">
        <f t="shared" ca="1" si="333"/>
        <v>39203</v>
      </c>
      <c r="DP107" s="579">
        <f t="shared" si="334"/>
        <v>17.311434782608703</v>
      </c>
      <c r="DQ107" s="821">
        <v>0</v>
      </c>
      <c r="DR107" s="666">
        <f t="shared" ca="1" si="309"/>
        <v>39203</v>
      </c>
      <c r="DS107" s="669">
        <v>0.17240000000000003</v>
      </c>
      <c r="DT107" s="606">
        <v>0.17156521739130437</v>
      </c>
      <c r="DU107" s="666">
        <f t="shared" ca="1" si="310"/>
        <v>39203</v>
      </c>
      <c r="DV107" s="669">
        <v>0.17240000000000003</v>
      </c>
      <c r="DW107" s="606">
        <v>0.17156521739130437</v>
      </c>
      <c r="DX107" s="667">
        <f t="shared" ca="1" si="311"/>
        <v>39203</v>
      </c>
      <c r="DY107" s="606">
        <v>0.35</v>
      </c>
      <c r="DZ107" s="667">
        <f t="shared" ca="1" si="335"/>
        <v>39203</v>
      </c>
      <c r="EA107" s="606">
        <f t="shared" si="336"/>
        <v>0.17156521739130437</v>
      </c>
      <c r="EB107" s="1"/>
      <c r="EC107" s="118" t="str">
        <f t="shared" ca="1" si="312"/>
        <v/>
      </c>
      <c r="ED107" s="119" t="str">
        <f t="shared" ca="1" si="313"/>
        <v/>
      </c>
      <c r="EE107" s="112" t="str">
        <f t="shared" ca="1" si="314"/>
        <v/>
      </c>
      <c r="EF107" s="120">
        <f ca="1">IF(BD107,_xll.xASN(BR107,Strike1,AO107,ED107,0,BO107,0,BI107,BL107,IF(OptControl=4,0,1),0),0)</f>
        <v>0</v>
      </c>
      <c r="EG107" s="111">
        <f ca="1">IF(BD107,_xll.xASN(BR107,Strike2,AO107,EE107,0,BO107,0,BI107,BL107,IF(OptControl=3,1,0),0),0)</f>
        <v>0</v>
      </c>
      <c r="EL107" s="55"/>
      <c r="EM107" s="1"/>
      <c r="EN107" s="106"/>
      <c r="EO107" s="106"/>
      <c r="EP107" s="1"/>
      <c r="EQ107" s="683" t="s">
        <v>320</v>
      </c>
      <c r="ES107" s="455"/>
      <c r="ET107" s="36"/>
      <c r="EU107" s="107"/>
      <c r="EV107" s="475"/>
      <c r="EW107" s="456"/>
      <c r="EX107" s="456"/>
      <c r="EY107" s="250"/>
      <c r="EZ107" s="250"/>
      <c r="FA107" s="250"/>
      <c r="FB107" s="250"/>
      <c r="FC107" s="250"/>
      <c r="FD107" s="250"/>
      <c r="FE107" s="250"/>
      <c r="FF107" s="250"/>
      <c r="FG107" s="250"/>
      <c r="FH107" s="250"/>
      <c r="FI107" s="250"/>
      <c r="FJ107" s="673">
        <v>13</v>
      </c>
      <c r="FK107" s="460">
        <f t="shared" ca="1" si="432"/>
        <v>0</v>
      </c>
      <c r="FL107" s="460">
        <f t="shared" ca="1" si="450"/>
        <v>0.19105028063021431</v>
      </c>
      <c r="FM107" s="460">
        <f t="shared" ca="1" si="450"/>
        <v>0.20084433788640385</v>
      </c>
      <c r="FN107" s="460">
        <f t="shared" ca="1" si="450"/>
        <v>0.20261756465633379</v>
      </c>
      <c r="FO107" s="460">
        <f t="shared" ca="1" si="450"/>
        <v>0.20636762039933665</v>
      </c>
      <c r="FP107" s="460">
        <f t="shared" ca="1" si="450"/>
        <v>0.21217325698789249</v>
      </c>
      <c r="FQ107" s="460">
        <f t="shared" ca="1" si="450"/>
        <v>0.22025905551927871</v>
      </c>
      <c r="FR107" s="460">
        <f t="shared" ca="1" si="450"/>
        <v>0.23102233637422026</v>
      </c>
      <c r="FS107" s="460">
        <f t="shared" ca="1" si="450"/>
        <v>0.24508443960548368</v>
      </c>
      <c r="FT107" s="460">
        <f t="shared" ca="1" si="450"/>
        <v>0.26337940447574687</v>
      </c>
      <c r="FU107" s="460">
        <f t="shared" ca="1" si="450"/>
        <v>0.28730423899184671</v>
      </c>
      <c r="FV107" s="460">
        <f t="shared" ca="1" si="450"/>
        <v>0.31897655539194236</v>
      </c>
      <c r="FW107" s="460">
        <f t="shared" ca="1" si="450"/>
        <v>0.3616894054412842</v>
      </c>
      <c r="FX107" s="460" t="str">
        <f t="shared" si="450"/>
        <v/>
      </c>
      <c r="FY107" s="460" t="str">
        <f t="shared" si="450"/>
        <v/>
      </c>
      <c r="FZ107" s="460" t="str">
        <f t="shared" si="450"/>
        <v/>
      </c>
      <c r="GA107" s="460" t="str">
        <f t="shared" si="450"/>
        <v/>
      </c>
      <c r="GB107" s="460" t="str">
        <f t="shared" si="450"/>
        <v/>
      </c>
      <c r="GC107" s="460" t="str">
        <f t="shared" si="450"/>
        <v/>
      </c>
      <c r="GD107" s="460" t="str">
        <f t="shared" si="450"/>
        <v/>
      </c>
      <c r="GE107" s="460" t="str">
        <f t="shared" si="450"/>
        <v/>
      </c>
      <c r="GF107" s="460" t="str">
        <f t="shared" si="450"/>
        <v/>
      </c>
      <c r="GG107" s="460" t="str">
        <f t="shared" si="450"/>
        <v/>
      </c>
      <c r="GH107" s="460" t="str">
        <f t="shared" si="450"/>
        <v/>
      </c>
      <c r="GI107" s="460" t="str">
        <f t="shared" si="450"/>
        <v/>
      </c>
      <c r="GJ107" s="460" t="str">
        <f t="shared" si="450"/>
        <v/>
      </c>
      <c r="GK107" s="460" t="str">
        <f t="shared" si="450"/>
        <v/>
      </c>
      <c r="GL107" s="460" t="str">
        <f t="shared" si="450"/>
        <v/>
      </c>
      <c r="GM107" s="460" t="str">
        <f t="shared" si="450"/>
        <v/>
      </c>
      <c r="GN107" s="460" t="str">
        <f t="shared" si="450"/>
        <v/>
      </c>
      <c r="GO107" s="460" t="str">
        <f t="shared" si="450"/>
        <v/>
      </c>
      <c r="GP107" s="460" t="str">
        <f t="shared" si="450"/>
        <v/>
      </c>
      <c r="GQ107" s="460" t="str">
        <f t="shared" si="450"/>
        <v/>
      </c>
      <c r="GR107" s="460" t="str">
        <f t="shared" si="450"/>
        <v/>
      </c>
      <c r="GS107" s="460" t="str">
        <f t="shared" si="450"/>
        <v/>
      </c>
      <c r="GT107" s="460" t="str">
        <f t="shared" si="450"/>
        <v/>
      </c>
      <c r="GU107" s="460" t="str">
        <f t="shared" si="450"/>
        <v/>
      </c>
      <c r="GV107" s="460" t="str">
        <f t="shared" si="450"/>
        <v/>
      </c>
      <c r="GW107" s="460" t="str">
        <f t="shared" si="450"/>
        <v/>
      </c>
      <c r="GX107" s="460" t="str">
        <f t="shared" si="450"/>
        <v/>
      </c>
      <c r="GY107" s="460" t="str">
        <f t="shared" si="450"/>
        <v/>
      </c>
      <c r="GZ107" s="460" t="str">
        <f t="shared" si="450"/>
        <v/>
      </c>
      <c r="HA107" s="460" t="str">
        <f t="shared" si="450"/>
        <v/>
      </c>
      <c r="HB107" s="460" t="str">
        <f t="shared" si="450"/>
        <v/>
      </c>
      <c r="HC107" s="460" t="str">
        <f t="shared" si="450"/>
        <v/>
      </c>
      <c r="HD107" s="460" t="str">
        <f t="shared" si="450"/>
        <v/>
      </c>
      <c r="HE107" s="460" t="str">
        <f t="shared" si="450"/>
        <v/>
      </c>
      <c r="HF107" s="460" t="str">
        <f t="shared" si="450"/>
        <v/>
      </c>
      <c r="HG107" s="460" t="str">
        <f t="shared" si="450"/>
        <v/>
      </c>
      <c r="HH107" s="460" t="str">
        <f t="shared" si="450"/>
        <v/>
      </c>
      <c r="HI107" s="460" t="str">
        <f t="shared" si="450"/>
        <v/>
      </c>
      <c r="HJ107" s="460" t="str">
        <f t="shared" si="450"/>
        <v/>
      </c>
      <c r="HK107" s="460" t="str">
        <f t="shared" si="450"/>
        <v/>
      </c>
      <c r="HL107" s="460" t="str">
        <f t="shared" si="450"/>
        <v/>
      </c>
      <c r="HM107" s="460" t="str">
        <f t="shared" si="450"/>
        <v/>
      </c>
      <c r="HN107" s="460" t="str">
        <f t="shared" si="450"/>
        <v/>
      </c>
      <c r="HO107" s="460" t="str">
        <f t="shared" si="450"/>
        <v/>
      </c>
      <c r="HP107" s="460" t="str">
        <f t="shared" si="450"/>
        <v/>
      </c>
      <c r="HQ107" s="460" t="str">
        <f t="shared" si="450"/>
        <v/>
      </c>
      <c r="HR107" s="460" t="str">
        <f t="shared" si="450"/>
        <v/>
      </c>
      <c r="HS107" s="460" t="str">
        <f t="shared" si="450"/>
        <v/>
      </c>
      <c r="HT107" s="460" t="str">
        <f t="shared" si="450"/>
        <v/>
      </c>
      <c r="HU107" s="460" t="str">
        <f t="shared" si="450"/>
        <v/>
      </c>
      <c r="HV107" s="460" t="str">
        <f t="shared" si="450"/>
        <v/>
      </c>
      <c r="HW107" s="460" t="str">
        <f t="shared" si="450"/>
        <v/>
      </c>
      <c r="HX107" s="460" t="str">
        <f t="shared" si="449"/>
        <v/>
      </c>
      <c r="HY107" s="460" t="str">
        <f t="shared" si="449"/>
        <v/>
      </c>
      <c r="HZ107" s="460" t="str">
        <f t="shared" si="449"/>
        <v/>
      </c>
      <c r="IA107" s="460" t="str">
        <f t="shared" si="449"/>
        <v/>
      </c>
      <c r="IB107" s="460" t="str">
        <f t="shared" si="449"/>
        <v/>
      </c>
      <c r="IC107" s="460" t="str">
        <f t="shared" si="449"/>
        <v/>
      </c>
      <c r="ID107" s="674" t="str">
        <f t="shared" si="449"/>
        <v/>
      </c>
      <c r="IE107" s="250"/>
    </row>
    <row r="108" spans="8:239">
      <c r="H108" s="51">
        <f t="shared" ca="1" si="315"/>
        <v>0</v>
      </c>
      <c r="I108" s="379">
        <f t="shared" si="316"/>
        <v>39448</v>
      </c>
      <c r="J108" s="377"/>
      <c r="K108" s="104" t="s">
        <v>268</v>
      </c>
      <c r="L108" s="392">
        <f t="shared" si="317"/>
        <v>0.4499999999999999</v>
      </c>
      <c r="M108" s="171"/>
      <c r="N108" s="382">
        <v>0</v>
      </c>
      <c r="O108" s="171">
        <f t="shared" si="272"/>
        <v>0</v>
      </c>
      <c r="P108" s="377"/>
      <c r="Q108" s="104" t="s">
        <v>268</v>
      </c>
      <c r="R108" s="377">
        <f t="shared" ca="1" si="417"/>
        <v>-0.71180762983355539</v>
      </c>
      <c r="S108" s="832">
        <f t="shared" si="435"/>
        <v>0.36000000000054</v>
      </c>
      <c r="T108" s="831">
        <f t="shared" si="418"/>
        <v>0.99999988425408226</v>
      </c>
      <c r="U108" s="545">
        <f t="shared" si="419"/>
        <v>0.99999999999984812</v>
      </c>
      <c r="V108" s="389">
        <v>0</v>
      </c>
      <c r="W108" s="434">
        <f t="shared" si="273"/>
        <v>0</v>
      </c>
      <c r="X108" s="415">
        <f t="shared" si="274"/>
        <v>0.50284090909090906</v>
      </c>
      <c r="Y108" s="322">
        <f t="shared" si="275"/>
        <v>-1.159</v>
      </c>
      <c r="Z108" s="322">
        <f t="shared" ca="1" si="276"/>
        <v>-0.65615909090909097</v>
      </c>
      <c r="AA108" s="429">
        <f t="shared" si="277"/>
        <v>1.159</v>
      </c>
      <c r="AB108" s="433">
        <f t="shared" ca="1" si="278"/>
        <v>1.159</v>
      </c>
      <c r="AC108" s="229">
        <v>39436</v>
      </c>
      <c r="AD108" s="229">
        <v>39432</v>
      </c>
      <c r="AE108" s="229">
        <v>39431</v>
      </c>
      <c r="AF108" s="229">
        <v>39427</v>
      </c>
      <c r="AG108" s="249" t="s">
        <v>499</v>
      </c>
      <c r="AH108" s="247" t="s">
        <v>499</v>
      </c>
      <c r="AI108" s="146">
        <v>22</v>
      </c>
      <c r="AJ108" s="41">
        <v>13</v>
      </c>
      <c r="AK108" s="41">
        <v>9</v>
      </c>
      <c r="AL108" s="293">
        <v>22</v>
      </c>
      <c r="AM108" s="41">
        <v>9</v>
      </c>
      <c r="AN108" s="147">
        <v>13</v>
      </c>
      <c r="AO108" s="374"/>
      <c r="AP108" s="153">
        <f t="shared" ca="1" si="318"/>
        <v>1</v>
      </c>
      <c r="AQ108" s="374"/>
      <c r="AR108" s="153">
        <f t="shared" ca="1" si="420"/>
        <v>1</v>
      </c>
      <c r="AS108" s="272">
        <f t="shared" si="279"/>
        <v>0</v>
      </c>
      <c r="AT108" s="157">
        <f t="shared" si="319"/>
        <v>0</v>
      </c>
      <c r="AU108" s="157">
        <f t="shared" si="280"/>
        <v>0</v>
      </c>
      <c r="AV108" s="271">
        <f t="shared" ca="1" si="430"/>
        <v>9.9999999999999995E-7</v>
      </c>
      <c r="AW108" s="158" t="str">
        <f t="shared" ca="1" si="281"/>
        <v/>
      </c>
      <c r="AX108" s="157">
        <f t="shared" ca="1" si="421"/>
        <v>1.3092969984489732E-3</v>
      </c>
      <c r="AY108" s="157">
        <f t="shared" ca="1" si="422"/>
        <v>5.6365144804865783E-4</v>
      </c>
      <c r="AZ108" s="157">
        <f t="shared" ca="1" si="423"/>
        <v>9.0628656674801477E-5</v>
      </c>
      <c r="BA108" s="157">
        <f t="shared" ca="1" si="424"/>
        <v>1.1328582084350185E-5</v>
      </c>
      <c r="BB108" s="157">
        <f t="shared" ca="1" si="425"/>
        <v>1.2360398766435224E-6</v>
      </c>
      <c r="BC108" s="157">
        <f t="shared" ca="1" si="426"/>
        <v>2.566735440837161E-7</v>
      </c>
      <c r="BD108" s="151">
        <f t="shared" ca="1" si="282"/>
        <v>0</v>
      </c>
      <c r="BE108" s="152">
        <f t="shared" ca="1" si="283"/>
        <v>0</v>
      </c>
      <c r="BF108" s="40">
        <f t="shared" si="284"/>
        <v>2008</v>
      </c>
      <c r="BG108" s="144">
        <f t="shared" si="285"/>
        <v>1</v>
      </c>
      <c r="BH108" s="145">
        <f t="shared" ca="1" si="286"/>
        <v>2687</v>
      </c>
      <c r="BI108" s="313">
        <f t="shared" ca="1" si="439"/>
        <v>7.40041067761807</v>
      </c>
      <c r="BJ108" s="42">
        <f t="shared" ca="1" si="288"/>
        <v>7.4489453052081389</v>
      </c>
      <c r="BK108" s="42">
        <f t="shared" ca="1" si="289"/>
        <v>7.451683155995271</v>
      </c>
      <c r="BL108" s="42">
        <f t="shared" ca="1" si="440"/>
        <v>7.482546201232033</v>
      </c>
      <c r="BM108" s="150" t="e">
        <f t="shared" ca="1" si="291"/>
        <v>#DIV/0!</v>
      </c>
      <c r="BN108" s="42" t="e">
        <f t="shared" ca="1" si="292"/>
        <v>#DIV/0!</v>
      </c>
      <c r="BO108" s="293">
        <f t="shared" si="441"/>
        <v>22</v>
      </c>
      <c r="BP108" s="41">
        <f t="shared" si="442"/>
        <v>13</v>
      </c>
      <c r="BQ108" s="41">
        <f t="shared" si="443"/>
        <v>9</v>
      </c>
      <c r="BR108" s="305" t="str">
        <f t="shared" ca="1" si="295"/>
        <v/>
      </c>
      <c r="BS108" s="305" t="str">
        <f t="shared" ca="1" si="444"/>
        <v/>
      </c>
      <c r="BT108" s="307" t="str">
        <f t="shared" ca="1" si="445"/>
        <v/>
      </c>
      <c r="BU108" s="161" t="str">
        <f t="shared" ca="1" si="298"/>
        <v/>
      </c>
      <c r="BV108" s="161" t="str">
        <f t="shared" ca="1" si="299"/>
        <v/>
      </c>
      <c r="BW108" s="308" t="str">
        <f t="shared" ca="1" si="300"/>
        <v/>
      </c>
      <c r="BX108" s="309" t="str">
        <f t="shared" ca="1" si="301"/>
        <v/>
      </c>
      <c r="BY108" s="308" t="str">
        <f t="shared" ca="1" si="446"/>
        <v/>
      </c>
      <c r="BZ108" s="309" t="str">
        <f t="shared" ca="1" si="447"/>
        <v/>
      </c>
      <c r="CA108" s="154" t="str">
        <f t="shared" ca="1" si="302"/>
        <v/>
      </c>
      <c r="CB108" s="154" t="str">
        <f t="shared" ca="1" si="303"/>
        <v/>
      </c>
      <c r="CC108" s="154" t="str">
        <f t="shared" ca="1" si="304"/>
        <v/>
      </c>
      <c r="CD108" s="154" t="str">
        <f t="shared" ca="1" si="305"/>
        <v/>
      </c>
      <c r="CE108" s="310">
        <v>1</v>
      </c>
      <c r="CF108" s="162">
        <f ca="1">IF(BD108,_xll.xCrudeAPO(BU108,BV108,CA108,CB108,S109,S110,BI108,BL108,BP108,BQ108,0,Strike1,AO108,CE108,0,BL108,IF(OptControl=4,0,1),0,1),0)</f>
        <v>0</v>
      </c>
      <c r="CG108" s="163">
        <f ca="1">IF(BD108,_xll.xCrudeAPO(BU108,BV108,CA108,CB108,S109,S110,BI108,BL108,BP108,BQ108,0,Strike1,AO108,CE108,0,BL108,IF(OptControl=4,0,1),1,1)+_xll.xCrudeAPO(BU108,BV108,CA108,CB108,S109,S110,BI108,BL108,BP108,BQ108,0,Strike1,AO108,CE108,0,BL108,IF(OptControl=4,0,1),1,2)+IF(OR(VolSkewFlag=2,ABS(BS108)&lt;0.0001),0,IF(BS108&gt;0,-1,1)*CH108*Strike1/BR108^2*BY108/10%),0)</f>
        <v>0</v>
      </c>
      <c r="CH108" s="163">
        <f ca="1">IF(BD108,(_xll.xCrudeAPO(BU108,BV108,CA108,CB108,S109,S110,BI108,BL108,BP108,BQ108,0,Strike1,AO108,CE108,0,BL108,IF(OptControl=4,0,1),3,1)+_xll.xCrudeAPO(BU108,BV108,CA108,CB108,S109,S110,BI108,BL108,BP108,BQ108,0,Strike1,AO108,CE108,0,BL108,IF(OptControl=4,0,1),3,2))/100,0)</f>
        <v>0</v>
      </c>
      <c r="CI108" s="163">
        <f ca="1">IF(BD108,_xll.xCrudeAPO(BU108,BV108,CA108,CB108,S109,S110,BI108-DaysForThetaCalculation/365.25,BL108-DaysForThetaCalculation/365.25,BP108,BQ108,0,Strike1,AO108,CE108,0,BL108,IF(OptControl=4,0,1),0,1)-_xll.xCrudeAPO(BU108,BV108,CA108,CB108,S109,S110,BI108,BL108,BP108,BQ108,0,Strike1,AO108,CE108,0,BL108,IF(OptControl=4,0,1),0,1),0)</f>
        <v>0</v>
      </c>
      <c r="CJ108" s="311">
        <f ca="1">IF(BD108,_xll.xCrudeAPO(BU108,BV108,CC108,CD108,S109,S110,BI108,BL108,BP108,BQ108,0,Strike2,AO108,CE108,0,BL108,IF(OptControl=3,1,0),0,1),0)</f>
        <v>0</v>
      </c>
      <c r="CK108" s="163">
        <f ca="1">IF(BD108,_xll.xCrudeAPO(BU108,BV108,CC108,CD108,S109,S110,BI108,BL108,BP108,BQ108,0,Strike2,AO108,CE108,0,BL108,IF(OptControl=3,1,0),1,1)+_xll.xCrudeAPO(BU108,BV108,CC108,CD108,S109,S110,BI108,BL108,BP108,BQ108,0,Strike2,AO108,CE108,0,BL108,IF(OptControl=3,1,0),1,2)+IF(OR(VolSkewFlag=2,ABS(BT108)&lt;0.0001),0,IF(BT108&gt;0,-1,1)*CL108*Strike2/BR108^2*BZ108/10%),0)</f>
        <v>0</v>
      </c>
      <c r="CL108" s="163">
        <f ca="1">IF(BD108,(_xll.xCrudeAPO(BU108,BV108,CC108,CD108,S109,S110,BI108,BL108,BP108,BQ108,0,Strike2,AO108,CE108,0,BL108,IF(OptControl=3,1,0),3,1)+_xll.xCrudeAPO(BU108,BV108,CC108,CD108,S109,S110,BI108,BL108,BP108,BQ108,0,Strike2,AO108,CE108,0,BL108,IF(OptControl=3,1,0),3,2))/100,0)</f>
        <v>0</v>
      </c>
      <c r="CM108" s="164">
        <f ca="1">IF(BD108,_xll.xCrudeAPO(BU108,BV108,CC108,CD108,S109,S110,BI108-DaysForThetaCalculation/365.25,BL108-DaysForThetaCalculation/365.25,BP108,BQ108,0,Strike2,AO108,CE108,0,BL108,IF(OptControl=3,1,0),0,1)-_xll.xCrudeAPO(BU108,BV108,CC108,CD108,S109,S110,BI108,BL108,BP108,BQ108,0,Strike2,AO108,CE108,0,BL108,IF(OptControl=3,1,0),0,1),0)</f>
        <v>0</v>
      </c>
      <c r="CN108" s="53"/>
      <c r="CO108" s="796" t="str">
        <f t="shared" ca="1" si="323"/>
        <v/>
      </c>
      <c r="CP108" s="800" t="str">
        <f t="shared" ca="1" si="324"/>
        <v/>
      </c>
      <c r="CQ108" s="797" t="str">
        <f t="shared" ca="1" si="325"/>
        <v/>
      </c>
      <c r="CR108" s="797" t="str">
        <f t="shared" ca="1" si="326"/>
        <v/>
      </c>
      <c r="CS108" s="797" t="str">
        <f t="shared" ca="1" si="327"/>
        <v/>
      </c>
      <c r="CT108" s="797" t="str">
        <f t="shared" ca="1" si="328"/>
        <v/>
      </c>
      <c r="CU108" s="798" t="str">
        <f t="shared" ca="1" si="329"/>
        <v/>
      </c>
      <c r="CV108" s="799" t="str">
        <f t="shared" ca="1" si="330"/>
        <v/>
      </c>
      <c r="CW108" s="799" t="str">
        <f t="shared" ca="1" si="331"/>
        <v/>
      </c>
      <c r="CX108" s="163">
        <f ca="1">IF(BD108,_xll.EURO(CP108,Strike1,AO108,AO108,CV108,CO108,IF(OptControl=4,0,1),0),0)</f>
        <v>0</v>
      </c>
      <c r="CY108" s="163">
        <f ca="1">IF(BD108,_xll.EURO(CP108,Strike1,AO108,AO108,CV108,CO108,IF(OptControl=4,0,1),1)+IF(OR(VolSkewFlag=2,ABS(CQ108)&lt;0.0001),0,IF(CQ108&gt;0,-1,1)*CZ108*100*Strike1/CP108^2*CS108/10%),0)</f>
        <v>0</v>
      </c>
      <c r="CZ108" s="163">
        <f ca="1">IF(BD108,_xll.EURO(CP108,Strike1,AO108,AO108,CV108,CO108,IF(OptControl=4,0,1),3)/100,0)</f>
        <v>0</v>
      </c>
      <c r="DA108" s="163">
        <f ca="1">IF(BD108,_xll.EURO(CP108,Strike1,AO108,AO108,CV108,CO108,IF(OptControl=4,0,1),0)-_xll.EURO(CP108,Strike1,AO108,AO108,CV108,CO108-1,IF(OptControl=4,0,1),0),0)</f>
        <v>0</v>
      </c>
      <c r="DB108" s="163">
        <f ca="1">IF(BD108,_xll.EURO(CP108,Strike2,AO108,AO108,CW108,CO108,IF(OptControl=3,1,0),0),0)</f>
        <v>0</v>
      </c>
      <c r="DC108" s="163">
        <f ca="1">IF(BD108,_xll.EURO(CP108,Strike2,AO108,AO108,CW108,CO108,IF(OptControl=3,1,0),1)+IF(OR(VolSkewFlag=2,ABS(CR108)&lt;0.0001),0,IF(CR108&gt;0,-1,1)*DD108*100*Strike2/CP108^2*CT108/10%),0)</f>
        <v>0</v>
      </c>
      <c r="DD108" s="163">
        <f ca="1">IF(BD108,_xll.EURO(CP108,Strike2,AO108,AO108,CW108,CO108,IF(OptControl=3,1,0),3)/100,0)</f>
        <v>0</v>
      </c>
      <c r="DE108" s="164">
        <f ca="1">IF(BD108,_xll.EURO(CP108,Strike2,AO108,AO108,CW108,CO108,IF(OptControl=3,1,0),0)-_xll.EURO(CP108,Strike2,AO108,AO108,CW108,CO108-1,IF(OptControl=3,1,0),0),0)</f>
        <v>0</v>
      </c>
      <c r="DG108" s="667">
        <f t="shared" ca="1" si="332"/>
        <v>39234</v>
      </c>
      <c r="DH108" s="475">
        <v>18.585000000000001</v>
      </c>
      <c r="DI108" s="665">
        <v>18.646111111111122</v>
      </c>
      <c r="DJ108" s="666">
        <f t="shared" ca="1" si="306"/>
        <v>39234</v>
      </c>
      <c r="DK108" s="475">
        <v>17.168322806834219</v>
      </c>
      <c r="DL108" s="665">
        <v>17.354611111111122</v>
      </c>
      <c r="DM108" s="667">
        <f t="shared" ca="1" si="307"/>
        <v>39234</v>
      </c>
      <c r="DN108" s="668">
        <f t="shared" si="308"/>
        <v>17.21832280683422</v>
      </c>
      <c r="DO108" s="667">
        <f t="shared" ca="1" si="333"/>
        <v>39234</v>
      </c>
      <c r="DP108" s="579">
        <f t="shared" si="334"/>
        <v>17.354611111111122</v>
      </c>
      <c r="DQ108" s="821">
        <v>0</v>
      </c>
      <c r="DR108" s="666">
        <f t="shared" ca="1" si="309"/>
        <v>39234</v>
      </c>
      <c r="DS108" s="669">
        <v>0.17180000000000001</v>
      </c>
      <c r="DT108" s="606">
        <v>0.17100000000000001</v>
      </c>
      <c r="DU108" s="666">
        <f t="shared" ca="1" si="310"/>
        <v>39234</v>
      </c>
      <c r="DV108" s="669">
        <v>0.17180000000000001</v>
      </c>
      <c r="DW108" s="606">
        <v>0.17100000000000001</v>
      </c>
      <c r="DX108" s="667">
        <f t="shared" ca="1" si="311"/>
        <v>39234</v>
      </c>
      <c r="DY108" s="606">
        <v>0.35</v>
      </c>
      <c r="DZ108" s="667">
        <f t="shared" ca="1" si="335"/>
        <v>39234</v>
      </c>
      <c r="EA108" s="606">
        <f t="shared" si="336"/>
        <v>0.17100000000000001</v>
      </c>
      <c r="EB108" s="1"/>
      <c r="EC108" s="118" t="str">
        <f t="shared" ca="1" si="312"/>
        <v/>
      </c>
      <c r="ED108" s="119" t="str">
        <f t="shared" ca="1" si="313"/>
        <v/>
      </c>
      <c r="EE108" s="112" t="str">
        <f t="shared" ca="1" si="314"/>
        <v/>
      </c>
      <c r="EF108" s="120">
        <f ca="1">IF(BD108,_xll.xASN(BR108,Strike1,AO108,ED108,0,BO108,0,BI108,BL108,IF(OptControl=4,0,1),0),0)</f>
        <v>0</v>
      </c>
      <c r="EG108" s="111">
        <f ca="1">IF(BD108,_xll.xASN(BR108,Strike2,AO108,EE108,0,BO108,0,BI108,BL108,IF(OptControl=3,1,0),0),0)</f>
        <v>0</v>
      </c>
      <c r="EL108" s="55"/>
      <c r="EM108" s="1"/>
      <c r="EN108" s="106"/>
      <c r="EO108" s="106"/>
      <c r="EP108" s="1"/>
      <c r="EQ108" s="683" t="s">
        <v>321</v>
      </c>
      <c r="ES108" s="455"/>
      <c r="ET108" s="36"/>
      <c r="EU108" s="107"/>
      <c r="EV108" s="475"/>
      <c r="EW108" s="456"/>
      <c r="EX108" s="456"/>
      <c r="EY108" s="250"/>
      <c r="EZ108" s="250"/>
      <c r="FA108" s="250"/>
      <c r="FB108" s="250"/>
      <c r="FC108" s="250"/>
      <c r="FD108" s="250"/>
      <c r="FE108" s="250"/>
      <c r="FF108" s="250"/>
      <c r="FG108" s="250"/>
      <c r="FH108" s="250"/>
      <c r="FI108" s="250"/>
      <c r="FJ108" s="673">
        <v>14</v>
      </c>
      <c r="FK108" s="460">
        <f t="shared" ca="1" si="432"/>
        <v>0</v>
      </c>
      <c r="FL108" s="460">
        <f t="shared" ca="1" si="450"/>
        <v>0.18718052989947565</v>
      </c>
      <c r="FM108" s="460">
        <f t="shared" ca="1" si="450"/>
        <v>0.19607791959416734</v>
      </c>
      <c r="FN108" s="460">
        <f t="shared" ca="1" si="450"/>
        <v>0.19698194677320374</v>
      </c>
      <c r="FO108" s="460">
        <f t="shared" ca="1" si="450"/>
        <v>0.19963789458785833</v>
      </c>
      <c r="FP108" s="460">
        <f t="shared" ca="1" si="450"/>
        <v>0.20405753509635896</v>
      </c>
      <c r="FQ108" s="460">
        <f t="shared" ca="1" si="450"/>
        <v>0.21037178593799533</v>
      </c>
      <c r="FR108" s="460">
        <f t="shared" ca="1" si="450"/>
        <v>0.21884445168982566</v>
      </c>
      <c r="FS108" s="460">
        <f t="shared" ca="1" si="450"/>
        <v>0.22990234539706497</v>
      </c>
      <c r="FT108" s="460">
        <f t="shared" ca="1" si="450"/>
        <v>0.24418897561883346</v>
      </c>
      <c r="FU108" s="460">
        <f t="shared" ca="1" si="450"/>
        <v>0.26265502665237545</v>
      </c>
      <c r="FV108" s="460">
        <f t="shared" ca="1" si="450"/>
        <v>0.2867099704699223</v>
      </c>
      <c r="FW108" s="460">
        <f t="shared" ca="1" si="450"/>
        <v>0.31848069438528481</v>
      </c>
      <c r="FX108" s="460">
        <f t="shared" ca="1" si="450"/>
        <v>0.36126705408096316</v>
      </c>
      <c r="FY108" s="460" t="str">
        <f t="shared" si="450"/>
        <v/>
      </c>
      <c r="FZ108" s="460" t="str">
        <f t="shared" si="450"/>
        <v/>
      </c>
      <c r="GA108" s="460" t="str">
        <f t="shared" si="450"/>
        <v/>
      </c>
      <c r="GB108" s="460" t="str">
        <f t="shared" si="450"/>
        <v/>
      </c>
      <c r="GC108" s="460" t="str">
        <f t="shared" si="450"/>
        <v/>
      </c>
      <c r="GD108" s="460" t="str">
        <f t="shared" si="450"/>
        <v/>
      </c>
      <c r="GE108" s="460" t="str">
        <f t="shared" si="450"/>
        <v/>
      </c>
      <c r="GF108" s="460" t="str">
        <f t="shared" si="450"/>
        <v/>
      </c>
      <c r="GG108" s="460" t="str">
        <f t="shared" si="450"/>
        <v/>
      </c>
      <c r="GH108" s="460" t="str">
        <f t="shared" si="450"/>
        <v/>
      </c>
      <c r="GI108" s="460" t="str">
        <f t="shared" si="450"/>
        <v/>
      </c>
      <c r="GJ108" s="460" t="str">
        <f t="shared" si="450"/>
        <v/>
      </c>
      <c r="GK108" s="460" t="str">
        <f t="shared" si="450"/>
        <v/>
      </c>
      <c r="GL108" s="460" t="str">
        <f t="shared" si="450"/>
        <v/>
      </c>
      <c r="GM108" s="460" t="str">
        <f t="shared" si="450"/>
        <v/>
      </c>
      <c r="GN108" s="460" t="str">
        <f t="shared" si="450"/>
        <v/>
      </c>
      <c r="GO108" s="460" t="str">
        <f t="shared" si="450"/>
        <v/>
      </c>
      <c r="GP108" s="460" t="str">
        <f t="shared" si="450"/>
        <v/>
      </c>
      <c r="GQ108" s="460" t="str">
        <f t="shared" si="450"/>
        <v/>
      </c>
      <c r="GR108" s="460" t="str">
        <f t="shared" si="450"/>
        <v/>
      </c>
      <c r="GS108" s="460" t="str">
        <f t="shared" si="450"/>
        <v/>
      </c>
      <c r="GT108" s="460" t="str">
        <f t="shared" si="450"/>
        <v/>
      </c>
      <c r="GU108" s="460" t="str">
        <f t="shared" si="450"/>
        <v/>
      </c>
      <c r="GV108" s="460" t="str">
        <f t="shared" si="450"/>
        <v/>
      </c>
      <c r="GW108" s="460" t="str">
        <f t="shared" si="450"/>
        <v/>
      </c>
      <c r="GX108" s="460" t="str">
        <f t="shared" si="450"/>
        <v/>
      </c>
      <c r="GY108" s="460" t="str">
        <f t="shared" si="450"/>
        <v/>
      </c>
      <c r="GZ108" s="460" t="str">
        <f t="shared" si="450"/>
        <v/>
      </c>
      <c r="HA108" s="460" t="str">
        <f t="shared" si="450"/>
        <v/>
      </c>
      <c r="HB108" s="460" t="str">
        <f t="shared" si="450"/>
        <v/>
      </c>
      <c r="HC108" s="460" t="str">
        <f t="shared" si="450"/>
        <v/>
      </c>
      <c r="HD108" s="460" t="str">
        <f t="shared" si="450"/>
        <v/>
      </c>
      <c r="HE108" s="460" t="str">
        <f t="shared" si="450"/>
        <v/>
      </c>
      <c r="HF108" s="460" t="str">
        <f t="shared" si="450"/>
        <v/>
      </c>
      <c r="HG108" s="460" t="str">
        <f t="shared" si="450"/>
        <v/>
      </c>
      <c r="HH108" s="460" t="str">
        <f t="shared" si="450"/>
        <v/>
      </c>
      <c r="HI108" s="460" t="str">
        <f t="shared" si="450"/>
        <v/>
      </c>
      <c r="HJ108" s="460" t="str">
        <f t="shared" si="450"/>
        <v/>
      </c>
      <c r="HK108" s="460" t="str">
        <f t="shared" si="450"/>
        <v/>
      </c>
      <c r="HL108" s="460" t="str">
        <f t="shared" si="450"/>
        <v/>
      </c>
      <c r="HM108" s="460" t="str">
        <f t="shared" si="450"/>
        <v/>
      </c>
      <c r="HN108" s="460" t="str">
        <f t="shared" si="450"/>
        <v/>
      </c>
      <c r="HO108" s="460" t="str">
        <f t="shared" si="450"/>
        <v/>
      </c>
      <c r="HP108" s="460" t="str">
        <f t="shared" si="450"/>
        <v/>
      </c>
      <c r="HQ108" s="460" t="str">
        <f t="shared" si="450"/>
        <v/>
      </c>
      <c r="HR108" s="460" t="str">
        <f t="shared" si="450"/>
        <v/>
      </c>
      <c r="HS108" s="460" t="str">
        <f t="shared" si="450"/>
        <v/>
      </c>
      <c r="HT108" s="460" t="str">
        <f t="shared" si="450"/>
        <v/>
      </c>
      <c r="HU108" s="460" t="str">
        <f t="shared" si="450"/>
        <v/>
      </c>
      <c r="HV108" s="460" t="str">
        <f t="shared" si="450"/>
        <v/>
      </c>
      <c r="HW108" s="460" t="str">
        <f t="shared" ref="HW108:ID111" si="451">IF($FJ33&lt;HW$94,"",SQRT(HW33/HW$15))</f>
        <v/>
      </c>
      <c r="HX108" s="460" t="str">
        <f t="shared" si="451"/>
        <v/>
      </c>
      <c r="HY108" s="460" t="str">
        <f t="shared" si="451"/>
        <v/>
      </c>
      <c r="HZ108" s="460" t="str">
        <f t="shared" si="451"/>
        <v/>
      </c>
      <c r="IA108" s="460" t="str">
        <f t="shared" si="451"/>
        <v/>
      </c>
      <c r="IB108" s="460" t="str">
        <f t="shared" si="451"/>
        <v/>
      </c>
      <c r="IC108" s="460" t="str">
        <f t="shared" si="451"/>
        <v/>
      </c>
      <c r="ID108" s="674" t="str">
        <f t="shared" si="451"/>
        <v/>
      </c>
      <c r="IE108" s="250"/>
    </row>
    <row r="109" spans="8:239">
      <c r="H109" s="51">
        <f t="shared" ca="1" si="315"/>
        <v>0</v>
      </c>
      <c r="I109" s="379">
        <f t="shared" si="316"/>
        <v>39479</v>
      </c>
      <c r="J109" s="377"/>
      <c r="K109" s="104" t="s">
        <v>268</v>
      </c>
      <c r="L109" s="392">
        <f t="shared" si="317"/>
        <v>0.48749999999999988</v>
      </c>
      <c r="M109" s="171"/>
      <c r="N109" s="382">
        <v>0</v>
      </c>
      <c r="O109" s="171">
        <f t="shared" si="272"/>
        <v>0</v>
      </c>
      <c r="P109" s="377"/>
      <c r="Q109" s="104" t="s">
        <v>268</v>
      </c>
      <c r="R109" s="377">
        <f t="shared" ca="1" si="417"/>
        <v>-0.6742923701664445</v>
      </c>
      <c r="S109" s="832">
        <f t="shared" si="435"/>
        <v>0.360000000000405</v>
      </c>
      <c r="T109" s="831">
        <f t="shared" si="418"/>
        <v>0.99999990103724912</v>
      </c>
      <c r="U109" s="545">
        <f t="shared" si="419"/>
        <v>0.99999999999988609</v>
      </c>
      <c r="V109" s="389">
        <v>0</v>
      </c>
      <c r="W109" s="434">
        <f t="shared" si="273"/>
        <v>0</v>
      </c>
      <c r="X109" s="415">
        <f t="shared" si="274"/>
        <v>0.53749999999999987</v>
      </c>
      <c r="Y109" s="322">
        <f t="shared" si="275"/>
        <v>-1.159</v>
      </c>
      <c r="Z109" s="322">
        <f t="shared" ca="1" si="276"/>
        <v>-0.62150000000000016</v>
      </c>
      <c r="AA109" s="429">
        <f t="shared" si="277"/>
        <v>1.159</v>
      </c>
      <c r="AB109" s="433">
        <f t="shared" ca="1" si="278"/>
        <v>1.159</v>
      </c>
      <c r="AC109" s="229">
        <v>39467</v>
      </c>
      <c r="AD109" s="229">
        <v>39463</v>
      </c>
      <c r="AE109" s="229">
        <v>39462</v>
      </c>
      <c r="AF109" s="229">
        <v>39458</v>
      </c>
      <c r="AG109" s="249" t="s">
        <v>499</v>
      </c>
      <c r="AH109" s="247" t="s">
        <v>499</v>
      </c>
      <c r="AI109" s="146">
        <v>21</v>
      </c>
      <c r="AJ109" s="41">
        <v>14</v>
      </c>
      <c r="AK109" s="41">
        <v>7</v>
      </c>
      <c r="AL109" s="293">
        <v>21</v>
      </c>
      <c r="AM109" s="41">
        <v>10</v>
      </c>
      <c r="AN109" s="147">
        <v>11</v>
      </c>
      <c r="AO109" s="374"/>
      <c r="AP109" s="153">
        <f t="shared" ca="1" si="318"/>
        <v>1</v>
      </c>
      <c r="AQ109" s="374"/>
      <c r="AR109" s="153">
        <f t="shared" ca="1" si="420"/>
        <v>1</v>
      </c>
      <c r="AS109" s="272">
        <f t="shared" si="279"/>
        <v>0</v>
      </c>
      <c r="AT109" s="157">
        <f t="shared" si="319"/>
        <v>0</v>
      </c>
      <c r="AU109" s="157">
        <f t="shared" si="280"/>
        <v>0</v>
      </c>
      <c r="AV109" s="271">
        <f t="shared" ca="1" si="430"/>
        <v>9.9999999999999995E-7</v>
      </c>
      <c r="AW109" s="158" t="str">
        <f t="shared" ca="1" si="281"/>
        <v/>
      </c>
      <c r="AX109" s="157">
        <f t="shared" ca="1" si="421"/>
        <v>1.2657965296818344E-3</v>
      </c>
      <c r="AY109" s="157">
        <f t="shared" ca="1" si="422"/>
        <v>5.4130185238171306E-4</v>
      </c>
      <c r="AZ109" s="157">
        <f t="shared" ca="1" si="423"/>
        <v>8.5542061028193433E-5</v>
      </c>
      <c r="BA109" s="157">
        <f t="shared" ca="1" si="424"/>
        <v>1.0692757628524179E-5</v>
      </c>
      <c r="BB109" s="157">
        <f t="shared" ca="1" si="425"/>
        <v>1.1279046249095534E-6</v>
      </c>
      <c r="BC109" s="157">
        <f t="shared" ca="1" si="426"/>
        <v>2.2867013140472036E-7</v>
      </c>
      <c r="BD109" s="151">
        <f t="shared" ca="1" si="282"/>
        <v>0</v>
      </c>
      <c r="BE109" s="152">
        <f t="shared" ca="1" si="283"/>
        <v>0</v>
      </c>
      <c r="BF109" s="40">
        <f t="shared" si="284"/>
        <v>2008</v>
      </c>
      <c r="BG109" s="144">
        <f t="shared" si="285"/>
        <v>2</v>
      </c>
      <c r="BH109" s="145">
        <f t="shared" ca="1" si="286"/>
        <v>2718</v>
      </c>
      <c r="BI109" s="313">
        <f t="shared" ca="1" si="439"/>
        <v>7.485284052019165</v>
      </c>
      <c r="BJ109" s="42">
        <f t="shared" ca="1" si="288"/>
        <v>7.5363906000456309</v>
      </c>
      <c r="BK109" s="42">
        <f t="shared" ca="1" si="289"/>
        <v>7.539128450832763</v>
      </c>
      <c r="BL109" s="42">
        <f t="shared" ca="1" si="440"/>
        <v>7.5619438740588638</v>
      </c>
      <c r="BM109" s="150" t="e">
        <f t="shared" ca="1" si="291"/>
        <v>#DIV/0!</v>
      </c>
      <c r="BN109" s="42" t="e">
        <f t="shared" ca="1" si="292"/>
        <v>#DIV/0!</v>
      </c>
      <c r="BO109" s="293">
        <f t="shared" si="441"/>
        <v>21</v>
      </c>
      <c r="BP109" s="41">
        <f t="shared" si="442"/>
        <v>14</v>
      </c>
      <c r="BQ109" s="41">
        <f t="shared" si="443"/>
        <v>7</v>
      </c>
      <c r="BR109" s="305" t="str">
        <f t="shared" ca="1" si="295"/>
        <v/>
      </c>
      <c r="BS109" s="305" t="str">
        <f t="shared" ca="1" si="444"/>
        <v/>
      </c>
      <c r="BT109" s="307" t="str">
        <f t="shared" ca="1" si="445"/>
        <v/>
      </c>
      <c r="BU109" s="161" t="str">
        <f t="shared" ca="1" si="298"/>
        <v/>
      </c>
      <c r="BV109" s="161" t="str">
        <f t="shared" ca="1" si="299"/>
        <v/>
      </c>
      <c r="BW109" s="308" t="str">
        <f t="shared" ca="1" si="300"/>
        <v/>
      </c>
      <c r="BX109" s="309" t="str">
        <f t="shared" ca="1" si="301"/>
        <v/>
      </c>
      <c r="BY109" s="308" t="str">
        <f t="shared" ca="1" si="446"/>
        <v/>
      </c>
      <c r="BZ109" s="309" t="str">
        <f t="shared" ca="1" si="447"/>
        <v/>
      </c>
      <c r="CA109" s="154" t="str">
        <f t="shared" ca="1" si="302"/>
        <v/>
      </c>
      <c r="CB109" s="154" t="str">
        <f t="shared" ca="1" si="303"/>
        <v/>
      </c>
      <c r="CC109" s="154" t="str">
        <f t="shared" ca="1" si="304"/>
        <v/>
      </c>
      <c r="CD109" s="154" t="str">
        <f t="shared" ca="1" si="305"/>
        <v/>
      </c>
      <c r="CE109" s="310">
        <v>1</v>
      </c>
      <c r="CF109" s="162">
        <f ca="1">IF(BD109,_xll.xCrudeAPO(BU109,BV109,CA109,CB109,S110,S111,BI109,BL109,BP109,BQ109,0,Strike1,AO109,CE109,0,BL109,IF(OptControl=4,0,1),0,1),0)</f>
        <v>0</v>
      </c>
      <c r="CG109" s="163">
        <f ca="1">IF(BD109,_xll.xCrudeAPO(BU109,BV109,CA109,CB109,S110,S111,BI109,BL109,BP109,BQ109,0,Strike1,AO109,CE109,0,BL109,IF(OptControl=4,0,1),1,1)+_xll.xCrudeAPO(BU109,BV109,CA109,CB109,S110,S111,BI109,BL109,BP109,BQ109,0,Strike1,AO109,CE109,0,BL109,IF(OptControl=4,0,1),1,2)+IF(OR(VolSkewFlag=2,ABS(BS109)&lt;0.0001),0,IF(BS109&gt;0,-1,1)*CH109*Strike1/BR109^2*BY109/10%),0)</f>
        <v>0</v>
      </c>
      <c r="CH109" s="163">
        <f ca="1">IF(BD109,(_xll.xCrudeAPO(BU109,BV109,CA109,CB109,S110,S111,BI109,BL109,BP109,BQ109,0,Strike1,AO109,CE109,0,BL109,IF(OptControl=4,0,1),3,1)+_xll.xCrudeAPO(BU109,BV109,CA109,CB109,S110,S111,BI109,BL109,BP109,BQ109,0,Strike1,AO109,CE109,0,BL109,IF(OptControl=4,0,1),3,2))/100,0)</f>
        <v>0</v>
      </c>
      <c r="CI109" s="163">
        <f ca="1">IF(BD109,_xll.xCrudeAPO(BU109,BV109,CA109,CB109,S110,S111,BI109-DaysForThetaCalculation/365.25,BL109-DaysForThetaCalculation/365.25,BP109,BQ109,0,Strike1,AO109,CE109,0,BL109,IF(OptControl=4,0,1),0,1)-_xll.xCrudeAPO(BU109,BV109,CA109,CB109,S110,S111,BI109,BL109,BP109,BQ109,0,Strike1,AO109,CE109,0,BL109,IF(OptControl=4,0,1),0,1),0)</f>
        <v>0</v>
      </c>
      <c r="CJ109" s="311">
        <f ca="1">IF(BD109,_xll.xCrudeAPO(BU109,BV109,CC109,CD109,S110,S111,BI109,BL109,BP109,BQ109,0,Strike2,AO109,CE109,0,BL109,IF(OptControl=3,1,0),0,1),0)</f>
        <v>0</v>
      </c>
      <c r="CK109" s="163">
        <f ca="1">IF(BD109,_xll.xCrudeAPO(BU109,BV109,CC109,CD109,S110,S111,BI109,BL109,BP109,BQ109,0,Strike2,AO109,CE109,0,BL109,IF(OptControl=3,1,0),1,1)+_xll.xCrudeAPO(BU109,BV109,CC109,CD109,S110,S111,BI109,BL109,BP109,BQ109,0,Strike2,AO109,CE109,0,BL109,IF(OptControl=3,1,0),1,2)+IF(OR(VolSkewFlag=2,ABS(BT109)&lt;0.0001),0,IF(BT109&gt;0,-1,1)*CL109*Strike2/BR109^2*BZ109/10%),0)</f>
        <v>0</v>
      </c>
      <c r="CL109" s="163">
        <f ca="1">IF(BD109,(_xll.xCrudeAPO(BU109,BV109,CC109,CD109,S110,S111,BI109,BL109,BP109,BQ109,0,Strike2,AO109,CE109,0,BL109,IF(OptControl=3,1,0),3,1)+_xll.xCrudeAPO(BU109,BV109,CC109,CD109,S110,S111,BI109,BL109,BP109,BQ109,0,Strike2,AO109,CE109,0,BL109,IF(OptControl=3,1,0),3,2))/100,0)</f>
        <v>0</v>
      </c>
      <c r="CM109" s="164">
        <f ca="1">IF(BD109,_xll.xCrudeAPO(BU109,BV109,CC109,CD109,S110,S111,BI109-DaysForThetaCalculation/365.25,BL109-DaysForThetaCalculation/365.25,BP109,BQ109,0,Strike2,AO109,CE109,0,BL109,IF(OptControl=3,1,0),0,1)-_xll.xCrudeAPO(BU109,BV109,CC109,CD109,S110,S111,BI109,BL109,BP109,BQ109,0,Strike2,AO109,CE109,0,BL109,IF(OptControl=3,1,0),0,1),0)</f>
        <v>0</v>
      </c>
      <c r="CN109" s="53"/>
      <c r="CO109" s="796" t="str">
        <f t="shared" ca="1" si="323"/>
        <v/>
      </c>
      <c r="CP109" s="800" t="str">
        <f t="shared" ca="1" si="324"/>
        <v/>
      </c>
      <c r="CQ109" s="797" t="str">
        <f t="shared" ca="1" si="325"/>
        <v/>
      </c>
      <c r="CR109" s="797" t="str">
        <f t="shared" ca="1" si="326"/>
        <v/>
      </c>
      <c r="CS109" s="797" t="str">
        <f t="shared" ca="1" si="327"/>
        <v/>
      </c>
      <c r="CT109" s="797" t="str">
        <f t="shared" ca="1" si="328"/>
        <v/>
      </c>
      <c r="CU109" s="798" t="str">
        <f t="shared" ca="1" si="329"/>
        <v/>
      </c>
      <c r="CV109" s="799" t="str">
        <f t="shared" ca="1" si="330"/>
        <v/>
      </c>
      <c r="CW109" s="799" t="str">
        <f t="shared" ca="1" si="331"/>
        <v/>
      </c>
      <c r="CX109" s="163">
        <f ca="1">IF(BD109,_xll.EURO(CP109,Strike1,AO109,AO109,CV109,CO109,IF(OptControl=4,0,1),0),0)</f>
        <v>0</v>
      </c>
      <c r="CY109" s="163">
        <f ca="1">IF(BD109,_xll.EURO(CP109,Strike1,AO109,AO109,CV109,CO109,IF(OptControl=4,0,1),1)+IF(OR(VolSkewFlag=2,ABS(CQ109)&lt;0.0001),0,IF(CQ109&gt;0,-1,1)*CZ109*100*Strike1/CP109^2*CS109/10%),0)</f>
        <v>0</v>
      </c>
      <c r="CZ109" s="163">
        <f ca="1">IF(BD109,_xll.EURO(CP109,Strike1,AO109,AO109,CV109,CO109,IF(OptControl=4,0,1),3)/100,0)</f>
        <v>0</v>
      </c>
      <c r="DA109" s="163">
        <f ca="1">IF(BD109,_xll.EURO(CP109,Strike1,AO109,AO109,CV109,CO109,IF(OptControl=4,0,1),0)-_xll.EURO(CP109,Strike1,AO109,AO109,CV109,CO109-1,IF(OptControl=4,0,1),0),0)</f>
        <v>0</v>
      </c>
      <c r="DB109" s="163">
        <f ca="1">IF(BD109,_xll.EURO(CP109,Strike2,AO109,AO109,CW109,CO109,IF(OptControl=3,1,0),0),0)</f>
        <v>0</v>
      </c>
      <c r="DC109" s="163">
        <f ca="1">IF(BD109,_xll.EURO(CP109,Strike2,AO109,AO109,CW109,CO109,IF(OptControl=3,1,0),1)+IF(OR(VolSkewFlag=2,ABS(CR109)&lt;0.0001),0,IF(CR109&gt;0,-1,1)*DD109*100*Strike2/CP109^2*CT109/10%),0)</f>
        <v>0</v>
      </c>
      <c r="DD109" s="163">
        <f ca="1">IF(BD109,_xll.EURO(CP109,Strike2,AO109,AO109,CW109,CO109,IF(OptControl=3,1,0),3)/100,0)</f>
        <v>0</v>
      </c>
      <c r="DE109" s="164">
        <f ca="1">IF(BD109,_xll.EURO(CP109,Strike2,AO109,AO109,CW109,CO109,IF(OptControl=3,1,0),0)-_xll.EURO(CP109,Strike2,AO109,AO109,CW109,CO109-1,IF(OptControl=3,1,0),0),0)</f>
        <v>0</v>
      </c>
      <c r="DG109" s="667">
        <f t="shared" ca="1" si="332"/>
        <v>39264</v>
      </c>
      <c r="DH109" s="475">
        <v>18.630833333333342</v>
      </c>
      <c r="DI109" s="665">
        <v>18.691944444444452</v>
      </c>
      <c r="DJ109" s="666">
        <f t="shared" ca="1" si="306"/>
        <v>39264</v>
      </c>
      <c r="DK109" s="475">
        <v>17.421520917819844</v>
      </c>
      <c r="DL109" s="665">
        <v>17.425044444444453</v>
      </c>
      <c r="DM109" s="667">
        <f t="shared" ca="1" si="307"/>
        <v>39264</v>
      </c>
      <c r="DN109" s="668">
        <f t="shared" si="308"/>
        <v>17.471520917819845</v>
      </c>
      <c r="DO109" s="667">
        <f t="shared" ca="1" si="333"/>
        <v>39264</v>
      </c>
      <c r="DP109" s="579">
        <f t="shared" si="334"/>
        <v>17.425044444444453</v>
      </c>
      <c r="DQ109" s="821">
        <v>0</v>
      </c>
      <c r="DR109" s="666">
        <f t="shared" ca="1" si="309"/>
        <v>39264</v>
      </c>
      <c r="DS109" s="669">
        <v>0.17120000000000002</v>
      </c>
      <c r="DT109" s="606">
        <v>0.17040000000000002</v>
      </c>
      <c r="DU109" s="666">
        <f t="shared" ca="1" si="310"/>
        <v>39264</v>
      </c>
      <c r="DV109" s="669">
        <v>0.17120000000000002</v>
      </c>
      <c r="DW109" s="606">
        <v>0.17040000000000002</v>
      </c>
      <c r="DX109" s="667">
        <f t="shared" ca="1" si="311"/>
        <v>39264</v>
      </c>
      <c r="DY109" s="606">
        <v>0.35</v>
      </c>
      <c r="DZ109" s="667">
        <f t="shared" ca="1" si="335"/>
        <v>39264</v>
      </c>
      <c r="EA109" s="606">
        <f t="shared" si="336"/>
        <v>0.17040000000000002</v>
      </c>
      <c r="EB109" s="1"/>
      <c r="EC109" s="118" t="str">
        <f t="shared" ca="1" si="312"/>
        <v/>
      </c>
      <c r="ED109" s="119" t="str">
        <f t="shared" ca="1" si="313"/>
        <v/>
      </c>
      <c r="EE109" s="112" t="str">
        <f t="shared" ca="1" si="314"/>
        <v/>
      </c>
      <c r="EF109" s="120">
        <f ca="1">IF(BD109,_xll.xASN(BR109,Strike1,AO109,ED109,0,BO109,0,BI109,BL109,IF(OptControl=4,0,1),0),0)</f>
        <v>0</v>
      </c>
      <c r="EG109" s="111">
        <f ca="1">IF(BD109,_xll.xASN(BR109,Strike2,AO109,EE109,0,BO109,0,BI109,BL109,IF(OptControl=3,1,0),0),0)</f>
        <v>0</v>
      </c>
      <c r="EL109" s="55"/>
      <c r="EM109" s="1"/>
      <c r="EN109" s="106"/>
      <c r="EO109" s="106"/>
      <c r="EP109" s="1"/>
      <c r="EQ109" s="683" t="s">
        <v>322</v>
      </c>
      <c r="ES109" s="455"/>
      <c r="ET109" s="36"/>
      <c r="EU109" s="107"/>
      <c r="EV109" s="475"/>
      <c r="EW109" s="456"/>
      <c r="EX109" s="456"/>
      <c r="EY109" s="250"/>
      <c r="EZ109" s="250"/>
      <c r="FA109" s="250"/>
      <c r="FB109" s="250"/>
      <c r="FC109" s="250"/>
      <c r="FD109" s="250"/>
      <c r="FE109" s="250"/>
      <c r="FF109" s="250"/>
      <c r="FG109" s="250"/>
      <c r="FH109" s="250"/>
      <c r="FI109" s="250"/>
      <c r="FJ109" s="673">
        <v>15</v>
      </c>
      <c r="FK109" s="460">
        <f t="shared" ca="1" si="432"/>
        <v>0</v>
      </c>
      <c r="FL109" s="460">
        <f t="shared" ref="FL109:HW112" ca="1" si="452">IF($FJ34&lt;FL$94,"",SQRT(FL34/FL$15))</f>
        <v>0.18394375407815328</v>
      </c>
      <c r="FM109" s="460">
        <f t="shared" ca="1" si="452"/>
        <v>0.1921063333178829</v>
      </c>
      <c r="FN109" s="460">
        <f t="shared" ca="1" si="452"/>
        <v>0.19230719037120259</v>
      </c>
      <c r="FO109" s="460">
        <f t="shared" ca="1" si="452"/>
        <v>0.19408515343830374</v>
      </c>
      <c r="FP109" s="460">
        <f t="shared" ca="1" si="452"/>
        <v>0.19740314203650169</v>
      </c>
      <c r="FQ109" s="460">
        <f t="shared" ca="1" si="452"/>
        <v>0.20232497111912576</v>
      </c>
      <c r="FR109" s="460">
        <f t="shared" ca="1" si="452"/>
        <v>0.20902068265057236</v>
      </c>
      <c r="FS109" s="460">
        <f t="shared" ca="1" si="452"/>
        <v>0.21778349881773595</v>
      </c>
      <c r="FT109" s="460">
        <f t="shared" ca="1" si="452"/>
        <v>0.22906235216419846</v>
      </c>
      <c r="FU109" s="460">
        <f t="shared" ca="1" si="452"/>
        <v>0.24351737762884576</v>
      </c>
      <c r="FV109" s="460">
        <f t="shared" ca="1" si="452"/>
        <v>0.26211174328484693</v>
      </c>
      <c r="FW109" s="460">
        <f t="shared" ca="1" si="452"/>
        <v>0.28626426907847907</v>
      </c>
      <c r="FX109" s="460">
        <f t="shared" ca="1" si="452"/>
        <v>0.31810879863029168</v>
      </c>
      <c r="FY109" s="460">
        <f t="shared" ca="1" si="452"/>
        <v>0.36095029056072236</v>
      </c>
      <c r="FZ109" s="460" t="str">
        <f t="shared" si="452"/>
        <v/>
      </c>
      <c r="GA109" s="460" t="str">
        <f t="shared" si="452"/>
        <v/>
      </c>
      <c r="GB109" s="460" t="str">
        <f t="shared" si="452"/>
        <v/>
      </c>
      <c r="GC109" s="460" t="str">
        <f t="shared" si="452"/>
        <v/>
      </c>
      <c r="GD109" s="460" t="str">
        <f t="shared" si="452"/>
        <v/>
      </c>
      <c r="GE109" s="460" t="str">
        <f t="shared" si="452"/>
        <v/>
      </c>
      <c r="GF109" s="460" t="str">
        <f t="shared" si="452"/>
        <v/>
      </c>
      <c r="GG109" s="460" t="str">
        <f t="shared" si="452"/>
        <v/>
      </c>
      <c r="GH109" s="460" t="str">
        <f t="shared" si="452"/>
        <v/>
      </c>
      <c r="GI109" s="460" t="str">
        <f t="shared" si="452"/>
        <v/>
      </c>
      <c r="GJ109" s="460" t="str">
        <f t="shared" si="452"/>
        <v/>
      </c>
      <c r="GK109" s="460" t="str">
        <f t="shared" si="452"/>
        <v/>
      </c>
      <c r="GL109" s="460" t="str">
        <f t="shared" si="452"/>
        <v/>
      </c>
      <c r="GM109" s="460" t="str">
        <f t="shared" si="452"/>
        <v/>
      </c>
      <c r="GN109" s="460" t="str">
        <f t="shared" si="452"/>
        <v/>
      </c>
      <c r="GO109" s="460" t="str">
        <f t="shared" si="452"/>
        <v/>
      </c>
      <c r="GP109" s="460" t="str">
        <f t="shared" si="452"/>
        <v/>
      </c>
      <c r="GQ109" s="460" t="str">
        <f t="shared" si="452"/>
        <v/>
      </c>
      <c r="GR109" s="460" t="str">
        <f t="shared" si="452"/>
        <v/>
      </c>
      <c r="GS109" s="460" t="str">
        <f t="shared" si="452"/>
        <v/>
      </c>
      <c r="GT109" s="460" t="str">
        <f t="shared" si="452"/>
        <v/>
      </c>
      <c r="GU109" s="460" t="str">
        <f t="shared" si="452"/>
        <v/>
      </c>
      <c r="GV109" s="460" t="str">
        <f t="shared" si="452"/>
        <v/>
      </c>
      <c r="GW109" s="460" t="str">
        <f t="shared" si="452"/>
        <v/>
      </c>
      <c r="GX109" s="460" t="str">
        <f t="shared" si="452"/>
        <v/>
      </c>
      <c r="GY109" s="460" t="str">
        <f t="shared" si="452"/>
        <v/>
      </c>
      <c r="GZ109" s="460" t="str">
        <f t="shared" si="452"/>
        <v/>
      </c>
      <c r="HA109" s="460" t="str">
        <f t="shared" si="452"/>
        <v/>
      </c>
      <c r="HB109" s="460" t="str">
        <f t="shared" si="452"/>
        <v/>
      </c>
      <c r="HC109" s="460" t="str">
        <f t="shared" si="452"/>
        <v/>
      </c>
      <c r="HD109" s="460" t="str">
        <f t="shared" si="452"/>
        <v/>
      </c>
      <c r="HE109" s="460" t="str">
        <f t="shared" si="452"/>
        <v/>
      </c>
      <c r="HF109" s="460" t="str">
        <f t="shared" si="452"/>
        <v/>
      </c>
      <c r="HG109" s="460" t="str">
        <f t="shared" si="452"/>
        <v/>
      </c>
      <c r="HH109" s="460" t="str">
        <f t="shared" si="452"/>
        <v/>
      </c>
      <c r="HI109" s="460" t="str">
        <f t="shared" si="452"/>
        <v/>
      </c>
      <c r="HJ109" s="460" t="str">
        <f t="shared" si="452"/>
        <v/>
      </c>
      <c r="HK109" s="460" t="str">
        <f t="shared" si="452"/>
        <v/>
      </c>
      <c r="HL109" s="460" t="str">
        <f t="shared" si="452"/>
        <v/>
      </c>
      <c r="HM109" s="460" t="str">
        <f t="shared" si="452"/>
        <v/>
      </c>
      <c r="HN109" s="460" t="str">
        <f t="shared" si="452"/>
        <v/>
      </c>
      <c r="HO109" s="460" t="str">
        <f t="shared" si="452"/>
        <v/>
      </c>
      <c r="HP109" s="460" t="str">
        <f t="shared" si="452"/>
        <v/>
      </c>
      <c r="HQ109" s="460" t="str">
        <f t="shared" si="452"/>
        <v/>
      </c>
      <c r="HR109" s="460" t="str">
        <f t="shared" si="452"/>
        <v/>
      </c>
      <c r="HS109" s="460" t="str">
        <f t="shared" si="452"/>
        <v/>
      </c>
      <c r="HT109" s="460" t="str">
        <f t="shared" si="452"/>
        <v/>
      </c>
      <c r="HU109" s="460" t="str">
        <f t="shared" si="452"/>
        <v/>
      </c>
      <c r="HV109" s="460" t="str">
        <f t="shared" si="452"/>
        <v/>
      </c>
      <c r="HW109" s="460" t="str">
        <f t="shared" si="452"/>
        <v/>
      </c>
      <c r="HX109" s="460" t="str">
        <f t="shared" si="451"/>
        <v/>
      </c>
      <c r="HY109" s="460" t="str">
        <f t="shared" si="451"/>
        <v/>
      </c>
      <c r="HZ109" s="460" t="str">
        <f t="shared" si="451"/>
        <v/>
      </c>
      <c r="IA109" s="460" t="str">
        <f t="shared" si="451"/>
        <v/>
      </c>
      <c r="IB109" s="460" t="str">
        <f t="shared" si="451"/>
        <v/>
      </c>
      <c r="IC109" s="460" t="str">
        <f t="shared" si="451"/>
        <v/>
      </c>
      <c r="ID109" s="674" t="str">
        <f t="shared" si="451"/>
        <v/>
      </c>
      <c r="IE109" s="250"/>
    </row>
    <row r="110" spans="8:239">
      <c r="H110" s="51">
        <f t="shared" ca="1" si="315"/>
        <v>0</v>
      </c>
      <c r="I110" s="379">
        <f t="shared" si="316"/>
        <v>39508</v>
      </c>
      <c r="J110" s="377"/>
      <c r="K110" s="104" t="s">
        <v>268</v>
      </c>
      <c r="L110" s="392">
        <f t="shared" si="317"/>
        <v>0.52499999999999991</v>
      </c>
      <c r="M110" s="171"/>
      <c r="N110" s="382">
        <v>0</v>
      </c>
      <c r="O110" s="171">
        <f t="shared" si="272"/>
        <v>0</v>
      </c>
      <c r="P110" s="377"/>
      <c r="Q110" s="104" t="s">
        <v>268</v>
      </c>
      <c r="R110" s="377">
        <f t="shared" ca="1" si="417"/>
        <v>-0.6436052821924616</v>
      </c>
      <c r="S110" s="832">
        <f t="shared" si="435"/>
        <v>0.36000000000030374</v>
      </c>
      <c r="T110" s="831">
        <f t="shared" si="418"/>
        <v>0.99999991538685451</v>
      </c>
      <c r="U110" s="545">
        <f t="shared" si="419"/>
        <v>0.99999999999991451</v>
      </c>
      <c r="V110" s="389">
        <v>0</v>
      </c>
      <c r="W110" s="434">
        <f t="shared" si="273"/>
        <v>0</v>
      </c>
      <c r="X110" s="415">
        <f t="shared" si="274"/>
        <v>0.57499999999999984</v>
      </c>
      <c r="Y110" s="322">
        <f t="shared" si="275"/>
        <v>-1.159</v>
      </c>
      <c r="Z110" s="322">
        <f t="shared" ca="1" si="276"/>
        <v>-0.58400000000000019</v>
      </c>
      <c r="AA110" s="429">
        <f t="shared" si="277"/>
        <v>1.159</v>
      </c>
      <c r="AB110" s="433">
        <f t="shared" ca="1" si="278"/>
        <v>1.159</v>
      </c>
      <c r="AC110" s="229">
        <v>39498</v>
      </c>
      <c r="AD110" s="229">
        <v>39494</v>
      </c>
      <c r="AE110" s="229">
        <v>39493</v>
      </c>
      <c r="AF110" s="229">
        <v>39489</v>
      </c>
      <c r="AG110" s="249" t="s">
        <v>499</v>
      </c>
      <c r="AH110" s="247" t="s">
        <v>499</v>
      </c>
      <c r="AI110" s="146">
        <v>21</v>
      </c>
      <c r="AJ110" s="41">
        <v>14</v>
      </c>
      <c r="AK110" s="41">
        <v>7</v>
      </c>
      <c r="AL110" s="293">
        <v>21</v>
      </c>
      <c r="AM110" s="41">
        <v>10</v>
      </c>
      <c r="AN110" s="147">
        <v>11</v>
      </c>
      <c r="AO110" s="374"/>
      <c r="AP110" s="153">
        <f t="shared" ca="1" si="318"/>
        <v>1</v>
      </c>
      <c r="AQ110" s="374"/>
      <c r="AR110" s="153">
        <f t="shared" ca="1" si="420"/>
        <v>1</v>
      </c>
      <c r="AS110" s="272">
        <f t="shared" si="279"/>
        <v>0</v>
      </c>
      <c r="AT110" s="157">
        <f t="shared" si="319"/>
        <v>0</v>
      </c>
      <c r="AU110" s="157">
        <f t="shared" si="280"/>
        <v>0</v>
      </c>
      <c r="AV110" s="271">
        <f t="shared" ca="1" si="430"/>
        <v>9.9999999999999995E-7</v>
      </c>
      <c r="AW110" s="158" t="str">
        <f t="shared" ca="1" si="281"/>
        <v/>
      </c>
      <c r="AX110" s="157">
        <f t="shared" ca="1" si="421"/>
        <v>1.2237413332900258E-3</v>
      </c>
      <c r="AY110" s="157">
        <f t="shared" ca="1" si="422"/>
        <v>5.1983845052870268E-4</v>
      </c>
      <c r="AZ110" s="157">
        <f t="shared" ca="1" si="423"/>
        <v>8.0740954058361572E-5</v>
      </c>
      <c r="BA110" s="157">
        <f t="shared" ca="1" si="424"/>
        <v>1.0092619257295197E-5</v>
      </c>
      <c r="BB110" s="157">
        <f t="shared" ca="1" si="425"/>
        <v>1.0292296121925665E-6</v>
      </c>
      <c r="BC110" s="157">
        <f t="shared" ca="1" si="426"/>
        <v>2.0372192694544814E-7</v>
      </c>
      <c r="BD110" s="151">
        <f t="shared" ca="1" si="282"/>
        <v>0</v>
      </c>
      <c r="BE110" s="152">
        <f t="shared" ca="1" si="283"/>
        <v>0</v>
      </c>
      <c r="BF110" s="40">
        <f t="shared" si="284"/>
        <v>2008</v>
      </c>
      <c r="BG110" s="144">
        <f t="shared" si="285"/>
        <v>3</v>
      </c>
      <c r="BH110" s="145">
        <f t="shared" ca="1" si="286"/>
        <v>2749</v>
      </c>
      <c r="BI110" s="313">
        <f t="shared" ca="1" si="439"/>
        <v>7.5646817248459959</v>
      </c>
      <c r="BJ110" s="42">
        <f t="shared" ca="1" si="288"/>
        <v>7.6194387405886381</v>
      </c>
      <c r="BK110" s="42">
        <f t="shared" ca="1" si="289"/>
        <v>7.6221765913757702</v>
      </c>
      <c r="BL110" s="42">
        <f t="shared" ca="1" si="440"/>
        <v>7.6468172484599588</v>
      </c>
      <c r="BM110" s="150" t="e">
        <f t="shared" ca="1" si="291"/>
        <v>#DIV/0!</v>
      </c>
      <c r="BN110" s="42" t="e">
        <f t="shared" ca="1" si="292"/>
        <v>#DIV/0!</v>
      </c>
      <c r="BO110" s="293">
        <f t="shared" si="441"/>
        <v>21</v>
      </c>
      <c r="BP110" s="41">
        <f t="shared" si="442"/>
        <v>14</v>
      </c>
      <c r="BQ110" s="41">
        <f t="shared" si="443"/>
        <v>7</v>
      </c>
      <c r="BR110" s="305" t="str">
        <f t="shared" ca="1" si="295"/>
        <v/>
      </c>
      <c r="BS110" s="305" t="str">
        <f t="shared" ca="1" si="444"/>
        <v/>
      </c>
      <c r="BT110" s="307" t="str">
        <f t="shared" ca="1" si="445"/>
        <v/>
      </c>
      <c r="BU110" s="161" t="str">
        <f t="shared" ca="1" si="298"/>
        <v/>
      </c>
      <c r="BV110" s="161" t="str">
        <f t="shared" ca="1" si="299"/>
        <v/>
      </c>
      <c r="BW110" s="308" t="str">
        <f t="shared" ca="1" si="300"/>
        <v/>
      </c>
      <c r="BX110" s="309" t="str">
        <f t="shared" ca="1" si="301"/>
        <v/>
      </c>
      <c r="BY110" s="308" t="str">
        <f t="shared" ca="1" si="446"/>
        <v/>
      </c>
      <c r="BZ110" s="309" t="str">
        <f t="shared" ca="1" si="447"/>
        <v/>
      </c>
      <c r="CA110" s="154" t="str">
        <f t="shared" ca="1" si="302"/>
        <v/>
      </c>
      <c r="CB110" s="154" t="str">
        <f t="shared" ca="1" si="303"/>
        <v/>
      </c>
      <c r="CC110" s="154" t="str">
        <f t="shared" ca="1" si="304"/>
        <v/>
      </c>
      <c r="CD110" s="154" t="str">
        <f t="shared" ca="1" si="305"/>
        <v/>
      </c>
      <c r="CE110" s="310">
        <v>1</v>
      </c>
      <c r="CF110" s="162">
        <f ca="1">IF(BD110,_xll.xCrudeAPO(BU110,BV110,CA110,CB110,S111,S112,BI110,BL110,BP110,BQ110,0,Strike1,AO110,CE110,0,BL110,IF(OptControl=4,0,1),0,1),0)</f>
        <v>0</v>
      </c>
      <c r="CG110" s="163">
        <f ca="1">IF(BD110,_xll.xCrudeAPO(BU110,BV110,CA110,CB110,S111,S112,BI110,BL110,BP110,BQ110,0,Strike1,AO110,CE110,0,BL110,IF(OptControl=4,0,1),1,1)+_xll.xCrudeAPO(BU110,BV110,CA110,CB110,S111,S112,BI110,BL110,BP110,BQ110,0,Strike1,AO110,CE110,0,BL110,IF(OptControl=4,0,1),1,2)+IF(OR(VolSkewFlag=2,ABS(BS110)&lt;0.0001),0,IF(BS110&gt;0,-1,1)*CH110*Strike1/BR110^2*BY110/10%),0)</f>
        <v>0</v>
      </c>
      <c r="CH110" s="163">
        <f ca="1">IF(BD110,(_xll.xCrudeAPO(BU110,BV110,CA110,CB110,S111,S112,BI110,BL110,BP110,BQ110,0,Strike1,AO110,CE110,0,BL110,IF(OptControl=4,0,1),3,1)+_xll.xCrudeAPO(BU110,BV110,CA110,CB110,S111,S112,BI110,BL110,BP110,BQ110,0,Strike1,AO110,CE110,0,BL110,IF(OptControl=4,0,1),3,2))/100,0)</f>
        <v>0</v>
      </c>
      <c r="CI110" s="163">
        <f ca="1">IF(BD110,_xll.xCrudeAPO(BU110,BV110,CA110,CB110,S111,S112,BI110-DaysForThetaCalculation/365.25,BL110-DaysForThetaCalculation/365.25,BP110,BQ110,0,Strike1,AO110,CE110,0,BL110,IF(OptControl=4,0,1),0,1)-_xll.xCrudeAPO(BU110,BV110,CA110,CB110,S111,S112,BI110,BL110,BP110,BQ110,0,Strike1,AO110,CE110,0,BL110,IF(OptControl=4,0,1),0,1),0)</f>
        <v>0</v>
      </c>
      <c r="CJ110" s="311">
        <f ca="1">IF(BD110,_xll.xCrudeAPO(BU110,BV110,CC110,CD110,S111,S112,BI110,BL110,BP110,BQ110,0,Strike2,AO110,CE110,0,BL110,IF(OptControl=3,1,0),0,1),0)</f>
        <v>0</v>
      </c>
      <c r="CK110" s="163">
        <f ca="1">IF(BD110,_xll.xCrudeAPO(BU110,BV110,CC110,CD110,S111,S112,BI110,BL110,BP110,BQ110,0,Strike2,AO110,CE110,0,BL110,IF(OptControl=3,1,0),1,1)+_xll.xCrudeAPO(BU110,BV110,CC110,CD110,S111,S112,BI110,BL110,BP110,BQ110,0,Strike2,AO110,CE110,0,BL110,IF(OptControl=3,1,0),1,2)+IF(OR(VolSkewFlag=2,ABS(BT110)&lt;0.0001),0,IF(BT110&gt;0,-1,1)*CL110*Strike2/BR110^2*BZ110/10%),0)</f>
        <v>0</v>
      </c>
      <c r="CL110" s="163">
        <f ca="1">IF(BD110,(_xll.xCrudeAPO(BU110,BV110,CC110,CD110,S111,S112,BI110,BL110,BP110,BQ110,0,Strike2,AO110,CE110,0,BL110,IF(OptControl=3,1,0),3,1)+_xll.xCrudeAPO(BU110,BV110,CC110,CD110,S111,S112,BI110,BL110,BP110,BQ110,0,Strike2,AO110,CE110,0,BL110,IF(OptControl=3,1,0),3,2))/100,0)</f>
        <v>0</v>
      </c>
      <c r="CM110" s="164">
        <f ca="1">IF(BD110,_xll.xCrudeAPO(BU110,BV110,CC110,CD110,S111,S112,BI110-DaysForThetaCalculation/365.25,BL110-DaysForThetaCalculation/365.25,BP110,BQ110,0,Strike2,AO110,CE110,0,BL110,IF(OptControl=3,1,0),0,1)-_xll.xCrudeAPO(BU110,BV110,CC110,CD110,S111,S112,BI110,BL110,BP110,BQ110,0,Strike2,AO110,CE110,0,BL110,IF(OptControl=3,1,0),0,1),0)</f>
        <v>0</v>
      </c>
      <c r="CN110" s="53"/>
      <c r="CO110" s="796" t="str">
        <f t="shared" ca="1" si="323"/>
        <v/>
      </c>
      <c r="CP110" s="800" t="str">
        <f t="shared" ca="1" si="324"/>
        <v/>
      </c>
      <c r="CQ110" s="797" t="str">
        <f t="shared" ca="1" si="325"/>
        <v/>
      </c>
      <c r="CR110" s="797" t="str">
        <f t="shared" ca="1" si="326"/>
        <v/>
      </c>
      <c r="CS110" s="797" t="str">
        <f t="shared" ca="1" si="327"/>
        <v/>
      </c>
      <c r="CT110" s="797" t="str">
        <f t="shared" ca="1" si="328"/>
        <v/>
      </c>
      <c r="CU110" s="798" t="str">
        <f t="shared" ca="1" si="329"/>
        <v/>
      </c>
      <c r="CV110" s="799" t="str">
        <f t="shared" ca="1" si="330"/>
        <v/>
      </c>
      <c r="CW110" s="799" t="str">
        <f t="shared" ca="1" si="331"/>
        <v/>
      </c>
      <c r="CX110" s="163">
        <f ca="1">IF(BD110,_xll.EURO(CP110,Strike1,AO110,AO110,CV110,CO110,IF(OptControl=4,0,1),0),0)</f>
        <v>0</v>
      </c>
      <c r="CY110" s="163">
        <f ca="1">IF(BD110,_xll.EURO(CP110,Strike1,AO110,AO110,CV110,CO110,IF(OptControl=4,0,1),1)+IF(OR(VolSkewFlag=2,ABS(CQ110)&lt;0.0001),0,IF(CQ110&gt;0,-1,1)*CZ110*100*Strike1/CP110^2*CS110/10%),0)</f>
        <v>0</v>
      </c>
      <c r="CZ110" s="163">
        <f ca="1">IF(BD110,_xll.EURO(CP110,Strike1,AO110,AO110,CV110,CO110,IF(OptControl=4,0,1),3)/100,0)</f>
        <v>0</v>
      </c>
      <c r="DA110" s="163">
        <f ca="1">IF(BD110,_xll.EURO(CP110,Strike1,AO110,AO110,CV110,CO110,IF(OptControl=4,0,1),0)-_xll.EURO(CP110,Strike1,AO110,AO110,CV110,CO110-1,IF(OptControl=4,0,1),0),0)</f>
        <v>0</v>
      </c>
      <c r="DB110" s="163">
        <f ca="1">IF(BD110,_xll.EURO(CP110,Strike2,AO110,AO110,CW110,CO110,IF(OptControl=3,1,0),0),0)</f>
        <v>0</v>
      </c>
      <c r="DC110" s="163">
        <f ca="1">IF(BD110,_xll.EURO(CP110,Strike2,AO110,AO110,CW110,CO110,IF(OptControl=3,1,0),1)+IF(OR(VolSkewFlag=2,ABS(CR110)&lt;0.0001),0,IF(CR110&gt;0,-1,1)*DD110*100*Strike2/CP110^2*CT110/10%),0)</f>
        <v>0</v>
      </c>
      <c r="DD110" s="163">
        <f ca="1">IF(BD110,_xll.EURO(CP110,Strike2,AO110,AO110,CW110,CO110,IF(OptControl=3,1,0),3)/100,0)</f>
        <v>0</v>
      </c>
      <c r="DE110" s="164">
        <f ca="1">IF(BD110,_xll.EURO(CP110,Strike2,AO110,AO110,CW110,CO110,IF(OptControl=3,1,0),0)-_xll.EURO(CP110,Strike2,AO110,AO110,CW110,CO110-1,IF(OptControl=3,1,0),0),0)</f>
        <v>0</v>
      </c>
      <c r="DG110" s="667">
        <f t="shared" ca="1" si="332"/>
        <v>39295</v>
      </c>
      <c r="DH110" s="475">
        <v>18.676666666666677</v>
      </c>
      <c r="DI110" s="665">
        <v>18.740434782608705</v>
      </c>
      <c r="DJ110" s="666">
        <f t="shared" ca="1" si="306"/>
        <v>39295</v>
      </c>
      <c r="DK110" s="475">
        <v>17.293784014103196</v>
      </c>
      <c r="DL110" s="665">
        <v>17.473534782608706</v>
      </c>
      <c r="DM110" s="667">
        <f t="shared" ca="1" si="307"/>
        <v>39295</v>
      </c>
      <c r="DN110" s="668">
        <f t="shared" si="308"/>
        <v>17.343784014103196</v>
      </c>
      <c r="DO110" s="667">
        <f t="shared" ca="1" si="333"/>
        <v>39295</v>
      </c>
      <c r="DP110" s="579">
        <f t="shared" si="334"/>
        <v>17.473534782608706</v>
      </c>
      <c r="DQ110" s="821">
        <v>0</v>
      </c>
      <c r="DR110" s="666">
        <f t="shared" ca="1" si="309"/>
        <v>39295</v>
      </c>
      <c r="DS110" s="669">
        <v>0.1706</v>
      </c>
      <c r="DT110" s="606">
        <v>0.16976521739130437</v>
      </c>
      <c r="DU110" s="666">
        <f t="shared" ca="1" si="310"/>
        <v>39295</v>
      </c>
      <c r="DV110" s="669">
        <v>0.1706</v>
      </c>
      <c r="DW110" s="606">
        <v>0.16976521739130437</v>
      </c>
      <c r="DX110" s="667">
        <f t="shared" ca="1" si="311"/>
        <v>39295</v>
      </c>
      <c r="DY110" s="606">
        <v>0.35</v>
      </c>
      <c r="DZ110" s="667">
        <f t="shared" ca="1" si="335"/>
        <v>39295</v>
      </c>
      <c r="EA110" s="606">
        <f t="shared" si="336"/>
        <v>0.16976521739130437</v>
      </c>
      <c r="EB110" s="1"/>
      <c r="EC110" s="118" t="str">
        <f t="shared" ca="1" si="312"/>
        <v/>
      </c>
      <c r="ED110" s="119" t="str">
        <f t="shared" ca="1" si="313"/>
        <v/>
      </c>
      <c r="EE110" s="112" t="str">
        <f t="shared" ca="1" si="314"/>
        <v/>
      </c>
      <c r="EF110" s="120">
        <f ca="1">IF(BD110,_xll.xASN(BR110,Strike1,AO110,ED110,0,BO110,0,BI110,BL110,IF(OptControl=4,0,1),0),0)</f>
        <v>0</v>
      </c>
      <c r="EG110" s="111">
        <f ca="1">IF(BD110,_xll.xASN(BR110,Strike2,AO110,EE110,0,BO110,0,BI110,BL110,IF(OptControl=3,1,0),0),0)</f>
        <v>0</v>
      </c>
      <c r="EL110" s="55"/>
      <c r="EM110" s="1"/>
      <c r="EN110" s="106"/>
      <c r="EO110" s="106"/>
      <c r="EP110" s="1"/>
      <c r="EQ110" s="683" t="s">
        <v>323</v>
      </c>
      <c r="ES110" s="455"/>
      <c r="ET110" s="36"/>
      <c r="EU110" s="107"/>
      <c r="EV110" s="475"/>
      <c r="EW110" s="456"/>
      <c r="EX110" s="456"/>
      <c r="EY110" s="250"/>
      <c r="EZ110" s="250"/>
      <c r="FA110" s="250"/>
      <c r="FB110" s="250"/>
      <c r="FC110" s="250"/>
      <c r="FD110" s="250"/>
      <c r="FE110" s="250"/>
      <c r="FF110" s="250"/>
      <c r="FG110" s="250"/>
      <c r="FH110" s="250"/>
      <c r="FI110" s="250"/>
      <c r="FJ110" s="673">
        <v>16</v>
      </c>
      <c r="FK110" s="460">
        <f t="shared" ca="1" si="432"/>
        <v>0</v>
      </c>
      <c r="FL110" s="460">
        <f t="shared" ca="1" si="452"/>
        <v>0.18122762677303286</v>
      </c>
      <c r="FM110" s="460">
        <f t="shared" ca="1" si="452"/>
        <v>0.18878437918547311</v>
      </c>
      <c r="FN110" s="460">
        <f t="shared" ca="1" si="452"/>
        <v>0.18841198075407747</v>
      </c>
      <c r="FO110" s="460">
        <f t="shared" ca="1" si="452"/>
        <v>0.18947914345397907</v>
      </c>
      <c r="FP110" s="460">
        <f t="shared" ca="1" si="452"/>
        <v>0.19191255843712868</v>
      </c>
      <c r="FQ110" s="460">
        <f t="shared" ca="1" si="452"/>
        <v>0.19572707762298425</v>
      </c>
      <c r="FR110" s="460">
        <f t="shared" ca="1" si="452"/>
        <v>0.2010255481362008</v>
      </c>
      <c r="FS110" s="460">
        <f t="shared" ca="1" si="452"/>
        <v>0.20800735518500527</v>
      </c>
      <c r="FT110" s="460">
        <f t="shared" ca="1" si="452"/>
        <v>0.21698778416366862</v>
      </c>
      <c r="FU110" s="460">
        <f t="shared" ca="1" si="452"/>
        <v>0.22843235723954852</v>
      </c>
      <c r="FV110" s="460">
        <f t="shared" ca="1" si="452"/>
        <v>0.24301367913635502</v>
      </c>
      <c r="FW110" s="460">
        <f t="shared" ca="1" si="452"/>
        <v>0.26170428075920049</v>
      </c>
      <c r="FX110" s="460">
        <f t="shared" ca="1" si="452"/>
        <v>0.28592999303489658</v>
      </c>
      <c r="FY110" s="460">
        <f t="shared" ca="1" si="452"/>
        <v>0.31782987681404679</v>
      </c>
      <c r="FZ110" s="460">
        <f t="shared" ca="1" si="452"/>
        <v>0.36071271792054177</v>
      </c>
      <c r="GA110" s="460" t="str">
        <f t="shared" si="452"/>
        <v/>
      </c>
      <c r="GB110" s="460" t="str">
        <f t="shared" si="452"/>
        <v/>
      </c>
      <c r="GC110" s="460" t="str">
        <f t="shared" si="452"/>
        <v/>
      </c>
      <c r="GD110" s="460" t="str">
        <f t="shared" si="452"/>
        <v/>
      </c>
      <c r="GE110" s="460" t="str">
        <f t="shared" si="452"/>
        <v/>
      </c>
      <c r="GF110" s="460" t="str">
        <f t="shared" si="452"/>
        <v/>
      </c>
      <c r="GG110" s="460" t="str">
        <f t="shared" si="452"/>
        <v/>
      </c>
      <c r="GH110" s="460" t="str">
        <f t="shared" si="452"/>
        <v/>
      </c>
      <c r="GI110" s="460" t="str">
        <f t="shared" si="452"/>
        <v/>
      </c>
      <c r="GJ110" s="460" t="str">
        <f t="shared" si="452"/>
        <v/>
      </c>
      <c r="GK110" s="460" t="str">
        <f t="shared" si="452"/>
        <v/>
      </c>
      <c r="GL110" s="460" t="str">
        <f t="shared" si="452"/>
        <v/>
      </c>
      <c r="GM110" s="460" t="str">
        <f t="shared" si="452"/>
        <v/>
      </c>
      <c r="GN110" s="460" t="str">
        <f t="shared" si="452"/>
        <v/>
      </c>
      <c r="GO110" s="460" t="str">
        <f t="shared" si="452"/>
        <v/>
      </c>
      <c r="GP110" s="460" t="str">
        <f t="shared" si="452"/>
        <v/>
      </c>
      <c r="GQ110" s="460" t="str">
        <f t="shared" si="452"/>
        <v/>
      </c>
      <c r="GR110" s="460" t="str">
        <f t="shared" si="452"/>
        <v/>
      </c>
      <c r="GS110" s="460" t="str">
        <f t="shared" si="452"/>
        <v/>
      </c>
      <c r="GT110" s="460" t="str">
        <f t="shared" si="452"/>
        <v/>
      </c>
      <c r="GU110" s="460" t="str">
        <f t="shared" si="452"/>
        <v/>
      </c>
      <c r="GV110" s="460" t="str">
        <f t="shared" si="452"/>
        <v/>
      </c>
      <c r="GW110" s="460" t="str">
        <f t="shared" si="452"/>
        <v/>
      </c>
      <c r="GX110" s="460" t="str">
        <f t="shared" si="452"/>
        <v/>
      </c>
      <c r="GY110" s="460" t="str">
        <f t="shared" si="452"/>
        <v/>
      </c>
      <c r="GZ110" s="460" t="str">
        <f t="shared" si="452"/>
        <v/>
      </c>
      <c r="HA110" s="460" t="str">
        <f t="shared" si="452"/>
        <v/>
      </c>
      <c r="HB110" s="460" t="str">
        <f t="shared" si="452"/>
        <v/>
      </c>
      <c r="HC110" s="460" t="str">
        <f t="shared" si="452"/>
        <v/>
      </c>
      <c r="HD110" s="460" t="str">
        <f t="shared" si="452"/>
        <v/>
      </c>
      <c r="HE110" s="460" t="str">
        <f t="shared" si="452"/>
        <v/>
      </c>
      <c r="HF110" s="460" t="str">
        <f t="shared" si="452"/>
        <v/>
      </c>
      <c r="HG110" s="460" t="str">
        <f t="shared" si="452"/>
        <v/>
      </c>
      <c r="HH110" s="460" t="str">
        <f t="shared" si="452"/>
        <v/>
      </c>
      <c r="HI110" s="460" t="str">
        <f t="shared" si="452"/>
        <v/>
      </c>
      <c r="HJ110" s="460" t="str">
        <f t="shared" si="452"/>
        <v/>
      </c>
      <c r="HK110" s="460" t="str">
        <f t="shared" si="452"/>
        <v/>
      </c>
      <c r="HL110" s="460" t="str">
        <f t="shared" si="452"/>
        <v/>
      </c>
      <c r="HM110" s="460" t="str">
        <f t="shared" si="452"/>
        <v/>
      </c>
      <c r="HN110" s="460" t="str">
        <f t="shared" si="452"/>
        <v/>
      </c>
      <c r="HO110" s="460" t="str">
        <f t="shared" si="452"/>
        <v/>
      </c>
      <c r="HP110" s="460" t="str">
        <f t="shared" si="452"/>
        <v/>
      </c>
      <c r="HQ110" s="460" t="str">
        <f t="shared" si="452"/>
        <v/>
      </c>
      <c r="HR110" s="460" t="str">
        <f t="shared" si="452"/>
        <v/>
      </c>
      <c r="HS110" s="460" t="str">
        <f t="shared" si="452"/>
        <v/>
      </c>
      <c r="HT110" s="460" t="str">
        <f t="shared" si="452"/>
        <v/>
      </c>
      <c r="HU110" s="460" t="str">
        <f t="shared" si="452"/>
        <v/>
      </c>
      <c r="HV110" s="460" t="str">
        <f t="shared" si="452"/>
        <v/>
      </c>
      <c r="HW110" s="460" t="str">
        <f t="shared" si="452"/>
        <v/>
      </c>
      <c r="HX110" s="460" t="str">
        <f t="shared" si="451"/>
        <v/>
      </c>
      <c r="HY110" s="460" t="str">
        <f t="shared" si="451"/>
        <v/>
      </c>
      <c r="HZ110" s="460" t="str">
        <f t="shared" si="451"/>
        <v/>
      </c>
      <c r="IA110" s="460" t="str">
        <f t="shared" si="451"/>
        <v/>
      </c>
      <c r="IB110" s="460" t="str">
        <f t="shared" si="451"/>
        <v/>
      </c>
      <c r="IC110" s="460" t="str">
        <f t="shared" si="451"/>
        <v/>
      </c>
      <c r="ID110" s="674" t="str">
        <f t="shared" si="451"/>
        <v/>
      </c>
      <c r="IE110" s="250"/>
    </row>
    <row r="111" spans="8:239">
      <c r="H111" s="51">
        <f t="shared" ca="1" si="315"/>
        <v>0</v>
      </c>
      <c r="I111" s="379">
        <f t="shared" si="316"/>
        <v>39539</v>
      </c>
      <c r="J111" s="377"/>
      <c r="K111" s="104" t="s">
        <v>268</v>
      </c>
      <c r="L111" s="392">
        <f t="shared" si="317"/>
        <v>0.56249999999999989</v>
      </c>
      <c r="M111" s="171"/>
      <c r="N111" s="382">
        <v>0</v>
      </c>
      <c r="O111" s="171">
        <f t="shared" si="272"/>
        <v>0</v>
      </c>
      <c r="P111" s="377"/>
      <c r="Q111" s="104" t="s">
        <v>268</v>
      </c>
      <c r="R111" s="377">
        <f t="shared" ca="1" si="417"/>
        <v>-0.60140428891594444</v>
      </c>
      <c r="S111" s="832">
        <f t="shared" si="435"/>
        <v>0.3600000000002278</v>
      </c>
      <c r="T111" s="831">
        <f t="shared" si="418"/>
        <v>0.99999992765576551</v>
      </c>
      <c r="U111" s="545">
        <f t="shared" si="419"/>
        <v>0.99999999999993583</v>
      </c>
      <c r="V111" s="389">
        <v>0</v>
      </c>
      <c r="W111" s="434">
        <f t="shared" si="273"/>
        <v>0</v>
      </c>
      <c r="X111" s="415">
        <f t="shared" si="274"/>
        <v>0.61363636363636342</v>
      </c>
      <c r="Y111" s="322">
        <f t="shared" si="275"/>
        <v>-1.2809999999999999</v>
      </c>
      <c r="Z111" s="322">
        <f t="shared" ca="1" si="276"/>
        <v>-0.66736363636363649</v>
      </c>
      <c r="AA111" s="429">
        <f t="shared" si="277"/>
        <v>1.2809999999999999</v>
      </c>
      <c r="AB111" s="433">
        <f t="shared" ca="1" si="278"/>
        <v>1.2809999999999999</v>
      </c>
      <c r="AC111" s="229">
        <v>39527</v>
      </c>
      <c r="AD111" s="229">
        <v>39523</v>
      </c>
      <c r="AE111" s="229">
        <v>39522</v>
      </c>
      <c r="AF111" s="229">
        <v>39518</v>
      </c>
      <c r="AG111" s="249" t="s">
        <v>499</v>
      </c>
      <c r="AH111" s="247" t="s">
        <v>499</v>
      </c>
      <c r="AI111" s="146">
        <v>22</v>
      </c>
      <c r="AJ111" s="41">
        <v>14</v>
      </c>
      <c r="AK111" s="41">
        <v>8</v>
      </c>
      <c r="AL111" s="293">
        <v>22</v>
      </c>
      <c r="AM111" s="41">
        <v>10</v>
      </c>
      <c r="AN111" s="147">
        <v>12</v>
      </c>
      <c r="AO111" s="374"/>
      <c r="AP111" s="153">
        <f t="shared" ca="1" si="318"/>
        <v>1</v>
      </c>
      <c r="AQ111" s="374"/>
      <c r="AR111" s="153">
        <f t="shared" ca="1" si="420"/>
        <v>1</v>
      </c>
      <c r="AS111" s="272">
        <f t="shared" si="279"/>
        <v>0</v>
      </c>
      <c r="AT111" s="157">
        <f t="shared" si="319"/>
        <v>0</v>
      </c>
      <c r="AU111" s="157">
        <f t="shared" si="280"/>
        <v>0</v>
      </c>
      <c r="AV111" s="271">
        <f t="shared" ca="1" si="430"/>
        <v>9.9999999999999995E-7</v>
      </c>
      <c r="AW111" s="158" t="str">
        <f t="shared" ca="1" si="281"/>
        <v/>
      </c>
      <c r="AX111" s="157">
        <f t="shared" ca="1" si="421"/>
        <v>1.1830833911188445E-3</v>
      </c>
      <c r="AY111" s="157">
        <f t="shared" ca="1" si="422"/>
        <v>4.9922610362234884E-4</v>
      </c>
      <c r="AZ111" s="157">
        <f t="shared" ca="1" si="423"/>
        <v>7.6209312517100226E-5</v>
      </c>
      <c r="BA111" s="157">
        <f t="shared" ca="1" si="424"/>
        <v>9.5261640646375283E-6</v>
      </c>
      <c r="BB111" s="157">
        <f t="shared" ca="1" si="425"/>
        <v>9.3918720716213663E-7</v>
      </c>
      <c r="BC111" s="157">
        <f t="shared" ca="1" si="426"/>
        <v>1.8149560357277944E-7</v>
      </c>
      <c r="BD111" s="151">
        <f t="shared" ca="1" si="282"/>
        <v>0</v>
      </c>
      <c r="BE111" s="152">
        <f t="shared" ca="1" si="283"/>
        <v>0</v>
      </c>
      <c r="BF111" s="40">
        <f t="shared" si="284"/>
        <v>2008</v>
      </c>
      <c r="BG111" s="144">
        <f t="shared" si="285"/>
        <v>4</v>
      </c>
      <c r="BH111" s="145">
        <f t="shared" ca="1" si="286"/>
        <v>2778</v>
      </c>
      <c r="BI111" s="313">
        <f t="shared" ca="1" si="439"/>
        <v>7.6495550992470909</v>
      </c>
      <c r="BJ111" s="42">
        <f t="shared" ca="1" si="288"/>
        <v>7.7000808910459835</v>
      </c>
      <c r="BK111" s="42">
        <f t="shared" ca="1" si="289"/>
        <v>7.7028187418331155</v>
      </c>
      <c r="BL111" s="42">
        <f t="shared" ca="1" si="440"/>
        <v>7.7289527720739217</v>
      </c>
      <c r="BM111" s="150" t="e">
        <f t="shared" ca="1" si="291"/>
        <v>#DIV/0!</v>
      </c>
      <c r="BN111" s="42" t="e">
        <f t="shared" ca="1" si="292"/>
        <v>#DIV/0!</v>
      </c>
      <c r="BO111" s="293">
        <f t="shared" si="441"/>
        <v>22</v>
      </c>
      <c r="BP111" s="41">
        <f t="shared" si="442"/>
        <v>14</v>
      </c>
      <c r="BQ111" s="41">
        <f t="shared" si="443"/>
        <v>8</v>
      </c>
      <c r="BR111" s="305" t="str">
        <f t="shared" ca="1" si="295"/>
        <v/>
      </c>
      <c r="BS111" s="305" t="str">
        <f t="shared" ca="1" si="444"/>
        <v/>
      </c>
      <c r="BT111" s="307" t="str">
        <f t="shared" ca="1" si="445"/>
        <v/>
      </c>
      <c r="BU111" s="161" t="str">
        <f t="shared" ca="1" si="298"/>
        <v/>
      </c>
      <c r="BV111" s="161" t="str">
        <f t="shared" ca="1" si="299"/>
        <v/>
      </c>
      <c r="BW111" s="308" t="str">
        <f t="shared" ca="1" si="300"/>
        <v/>
      </c>
      <c r="BX111" s="309" t="str">
        <f t="shared" ca="1" si="301"/>
        <v/>
      </c>
      <c r="BY111" s="308" t="str">
        <f t="shared" ca="1" si="446"/>
        <v/>
      </c>
      <c r="BZ111" s="309" t="str">
        <f t="shared" ca="1" si="447"/>
        <v/>
      </c>
      <c r="CA111" s="154" t="str">
        <f t="shared" ca="1" si="302"/>
        <v/>
      </c>
      <c r="CB111" s="154" t="str">
        <f t="shared" ca="1" si="303"/>
        <v/>
      </c>
      <c r="CC111" s="154" t="str">
        <f t="shared" ca="1" si="304"/>
        <v/>
      </c>
      <c r="CD111" s="154" t="str">
        <f t="shared" ca="1" si="305"/>
        <v/>
      </c>
      <c r="CE111" s="310">
        <v>1</v>
      </c>
      <c r="CF111" s="162">
        <f ca="1">IF(BD111,_xll.xCrudeAPO(BU111,BV111,CA111,CB111,S112,S113,BI111,BL111,BP111,BQ111,0,Strike1,AO111,CE111,0,BL111,IF(OptControl=4,0,1),0,1),0)</f>
        <v>0</v>
      </c>
      <c r="CG111" s="163">
        <f ca="1">IF(BD111,_xll.xCrudeAPO(BU111,BV111,CA111,CB111,S112,S113,BI111,BL111,BP111,BQ111,0,Strike1,AO111,CE111,0,BL111,IF(OptControl=4,0,1),1,1)+_xll.xCrudeAPO(BU111,BV111,CA111,CB111,S112,S113,BI111,BL111,BP111,BQ111,0,Strike1,AO111,CE111,0,BL111,IF(OptControl=4,0,1),1,2)+IF(OR(VolSkewFlag=2,ABS(BS111)&lt;0.0001),0,IF(BS111&gt;0,-1,1)*CH111*Strike1/BR111^2*BY111/10%),0)</f>
        <v>0</v>
      </c>
      <c r="CH111" s="163">
        <f ca="1">IF(BD111,(_xll.xCrudeAPO(BU111,BV111,CA111,CB111,S112,S113,BI111,BL111,BP111,BQ111,0,Strike1,AO111,CE111,0,BL111,IF(OptControl=4,0,1),3,1)+_xll.xCrudeAPO(BU111,BV111,CA111,CB111,S112,S113,BI111,BL111,BP111,BQ111,0,Strike1,AO111,CE111,0,BL111,IF(OptControl=4,0,1),3,2))/100,0)</f>
        <v>0</v>
      </c>
      <c r="CI111" s="163">
        <f ca="1">IF(BD111,_xll.xCrudeAPO(BU111,BV111,CA111,CB111,S112,S113,BI111-DaysForThetaCalculation/365.25,BL111-DaysForThetaCalculation/365.25,BP111,BQ111,0,Strike1,AO111,CE111,0,BL111,IF(OptControl=4,0,1),0,1)-_xll.xCrudeAPO(BU111,BV111,CA111,CB111,S112,S113,BI111,BL111,BP111,BQ111,0,Strike1,AO111,CE111,0,BL111,IF(OptControl=4,0,1),0,1),0)</f>
        <v>0</v>
      </c>
      <c r="CJ111" s="311">
        <f ca="1">IF(BD111,_xll.xCrudeAPO(BU111,BV111,CC111,CD111,S112,S113,BI111,BL111,BP111,BQ111,0,Strike2,AO111,CE111,0,BL111,IF(OptControl=3,1,0),0,1),0)</f>
        <v>0</v>
      </c>
      <c r="CK111" s="163">
        <f ca="1">IF(BD111,_xll.xCrudeAPO(BU111,BV111,CC111,CD111,S112,S113,BI111,BL111,BP111,BQ111,0,Strike2,AO111,CE111,0,BL111,IF(OptControl=3,1,0),1,1)+_xll.xCrudeAPO(BU111,BV111,CC111,CD111,S112,S113,BI111,BL111,BP111,BQ111,0,Strike2,AO111,CE111,0,BL111,IF(OptControl=3,1,0),1,2)+IF(OR(VolSkewFlag=2,ABS(BT111)&lt;0.0001),0,IF(BT111&gt;0,-1,1)*CL111*Strike2/BR111^2*BZ111/10%),0)</f>
        <v>0</v>
      </c>
      <c r="CL111" s="163">
        <f ca="1">IF(BD111,(_xll.xCrudeAPO(BU111,BV111,CC111,CD111,S112,S113,BI111,BL111,BP111,BQ111,0,Strike2,AO111,CE111,0,BL111,IF(OptControl=3,1,0),3,1)+_xll.xCrudeAPO(BU111,BV111,CC111,CD111,S112,S113,BI111,BL111,BP111,BQ111,0,Strike2,AO111,CE111,0,BL111,IF(OptControl=3,1,0),3,2))/100,0)</f>
        <v>0</v>
      </c>
      <c r="CM111" s="164">
        <f ca="1">IF(BD111,_xll.xCrudeAPO(BU111,BV111,CC111,CD111,S112,S113,BI111-DaysForThetaCalculation/365.25,BL111-DaysForThetaCalculation/365.25,BP111,BQ111,0,Strike2,AO111,CE111,0,BL111,IF(OptControl=3,1,0),0,1)-_xll.xCrudeAPO(BU111,BV111,CC111,CD111,S112,S113,BI111,BL111,BP111,BQ111,0,Strike2,AO111,CE111,0,BL111,IF(OptControl=3,1,0),0,1),0)</f>
        <v>0</v>
      </c>
      <c r="CN111" s="53"/>
      <c r="CO111" s="796" t="str">
        <f t="shared" ca="1" si="323"/>
        <v/>
      </c>
      <c r="CP111" s="800" t="str">
        <f t="shared" ca="1" si="324"/>
        <v/>
      </c>
      <c r="CQ111" s="797" t="str">
        <f t="shared" ca="1" si="325"/>
        <v/>
      </c>
      <c r="CR111" s="797" t="str">
        <f t="shared" ca="1" si="326"/>
        <v/>
      </c>
      <c r="CS111" s="797" t="str">
        <f t="shared" ca="1" si="327"/>
        <v/>
      </c>
      <c r="CT111" s="797" t="str">
        <f t="shared" ca="1" si="328"/>
        <v/>
      </c>
      <c r="CU111" s="798" t="str">
        <f t="shared" ca="1" si="329"/>
        <v/>
      </c>
      <c r="CV111" s="799" t="str">
        <f t="shared" ca="1" si="330"/>
        <v/>
      </c>
      <c r="CW111" s="799" t="str">
        <f t="shared" ca="1" si="331"/>
        <v/>
      </c>
      <c r="CX111" s="163">
        <f ca="1">IF(BD111,_xll.EURO(CP111,Strike1,AO111,AO111,CV111,CO111,IF(OptControl=4,0,1),0),0)</f>
        <v>0</v>
      </c>
      <c r="CY111" s="163">
        <f ca="1">IF(BD111,_xll.EURO(CP111,Strike1,AO111,AO111,CV111,CO111,IF(OptControl=4,0,1),1)+IF(OR(VolSkewFlag=2,ABS(CQ111)&lt;0.0001),0,IF(CQ111&gt;0,-1,1)*CZ111*100*Strike1/CP111^2*CS111/10%),0)</f>
        <v>0</v>
      </c>
      <c r="CZ111" s="163">
        <f ca="1">IF(BD111,_xll.EURO(CP111,Strike1,AO111,AO111,CV111,CO111,IF(OptControl=4,0,1),3)/100,0)</f>
        <v>0</v>
      </c>
      <c r="DA111" s="163">
        <f ca="1">IF(BD111,_xll.EURO(CP111,Strike1,AO111,AO111,CV111,CO111,IF(OptControl=4,0,1),0)-_xll.EURO(CP111,Strike1,AO111,AO111,CV111,CO111-1,IF(OptControl=4,0,1),0),0)</f>
        <v>0</v>
      </c>
      <c r="DB111" s="163">
        <f ca="1">IF(BD111,_xll.EURO(CP111,Strike2,AO111,AO111,CW111,CO111,IF(OptControl=3,1,0),0),0)</f>
        <v>0</v>
      </c>
      <c r="DC111" s="163">
        <f ca="1">IF(BD111,_xll.EURO(CP111,Strike2,AO111,AO111,CW111,CO111,IF(OptControl=3,1,0),1)+IF(OR(VolSkewFlag=2,ABS(CR111)&lt;0.0001),0,IF(CR111&gt;0,-1,1)*DD111*100*Strike2/CP111^2*CT111/10%),0)</f>
        <v>0</v>
      </c>
      <c r="DD111" s="163">
        <f ca="1">IF(BD111,_xll.EURO(CP111,Strike2,AO111,AO111,CW111,CO111,IF(OptControl=3,1,0),3)/100,0)</f>
        <v>0</v>
      </c>
      <c r="DE111" s="164">
        <f ca="1">IF(BD111,_xll.EURO(CP111,Strike2,AO111,AO111,CW111,CO111,IF(OptControl=3,1,0),0)-_xll.EURO(CP111,Strike2,AO111,AO111,CW111,CO111-1,IF(OptControl=3,1,0),0),0)</f>
        <v>0</v>
      </c>
      <c r="DG111" s="667">
        <f t="shared" ca="1" si="332"/>
        <v>39326</v>
      </c>
      <c r="DH111" s="475">
        <v>18.7225</v>
      </c>
      <c r="DI111" s="665">
        <v>18.782083333333343</v>
      </c>
      <c r="DJ111" s="666">
        <f t="shared" ca="1" si="306"/>
        <v>39326</v>
      </c>
      <c r="DK111" s="475">
        <v>17.534428136395501</v>
      </c>
      <c r="DL111" s="665">
        <v>17.515183333333344</v>
      </c>
      <c r="DM111" s="667">
        <f t="shared" ca="1" si="307"/>
        <v>39326</v>
      </c>
      <c r="DN111" s="668">
        <f t="shared" si="308"/>
        <v>17.584428136395502</v>
      </c>
      <c r="DO111" s="667">
        <f t="shared" ca="1" si="333"/>
        <v>39326</v>
      </c>
      <c r="DP111" s="579">
        <f t="shared" si="334"/>
        <v>17.515183333333344</v>
      </c>
      <c r="DQ111" s="821">
        <v>0</v>
      </c>
      <c r="DR111" s="666">
        <f t="shared" ca="1" si="309"/>
        <v>39326</v>
      </c>
      <c r="DS111" s="669">
        <v>0.17</v>
      </c>
      <c r="DT111" s="606">
        <v>0.16922000000000001</v>
      </c>
      <c r="DU111" s="666">
        <f t="shared" ca="1" si="310"/>
        <v>39326</v>
      </c>
      <c r="DV111" s="669">
        <v>0.17</v>
      </c>
      <c r="DW111" s="606">
        <v>0.16922000000000001</v>
      </c>
      <c r="DX111" s="667">
        <f t="shared" ca="1" si="311"/>
        <v>39326</v>
      </c>
      <c r="DY111" s="606">
        <v>0.35</v>
      </c>
      <c r="DZ111" s="667">
        <f t="shared" ca="1" si="335"/>
        <v>39326</v>
      </c>
      <c r="EA111" s="606">
        <f t="shared" si="336"/>
        <v>0.16922000000000001</v>
      </c>
      <c r="EB111" s="1"/>
      <c r="EC111" s="118" t="str">
        <f t="shared" ca="1" si="312"/>
        <v/>
      </c>
      <c r="ED111" s="119" t="str">
        <f t="shared" ca="1" si="313"/>
        <v/>
      </c>
      <c r="EE111" s="112" t="str">
        <f t="shared" ca="1" si="314"/>
        <v/>
      </c>
      <c r="EF111" s="120">
        <f ca="1">IF(BD111,_xll.xASN(BR111,Strike1,AO111,ED111,0,BO111,0,BI111,BL111,IF(OptControl=4,0,1),0),0)</f>
        <v>0</v>
      </c>
      <c r="EG111" s="111">
        <f ca="1">IF(BD111,_xll.xASN(BR111,Strike2,AO111,EE111,0,BO111,0,BI111,BL111,IF(OptControl=3,1,0),0),0)</f>
        <v>0</v>
      </c>
      <c r="EL111" s="55"/>
      <c r="EM111" s="1"/>
      <c r="EN111" s="106"/>
      <c r="EO111" s="106"/>
      <c r="EP111" s="1"/>
      <c r="EQ111" s="683" t="s">
        <v>324</v>
      </c>
      <c r="ES111" s="455"/>
      <c r="ET111" s="36"/>
      <c r="EU111" s="107"/>
      <c r="EV111" s="475"/>
      <c r="EW111" s="456"/>
      <c r="EX111" s="456"/>
      <c r="EY111" s="250"/>
      <c r="EZ111" s="250"/>
      <c r="FA111" s="250"/>
      <c r="FB111" s="250"/>
      <c r="FC111" s="250"/>
      <c r="FD111" s="250"/>
      <c r="FE111" s="250"/>
      <c r="FF111" s="250"/>
      <c r="FG111" s="250"/>
      <c r="FH111" s="250"/>
      <c r="FI111" s="250"/>
      <c r="FJ111" s="673">
        <v>17</v>
      </c>
      <c r="FK111" s="460">
        <f t="shared" ca="1" si="432"/>
        <v>0</v>
      </c>
      <c r="FL111" s="460">
        <f t="shared" ca="1" si="452"/>
        <v>0.17894210971483079</v>
      </c>
      <c r="FM111" s="460">
        <f t="shared" ca="1" si="452"/>
        <v>0.18599677484600743</v>
      </c>
      <c r="FN111" s="460">
        <f t="shared" ca="1" si="452"/>
        <v>0.18515391035498324</v>
      </c>
      <c r="FO111" s="460">
        <f t="shared" ca="1" si="452"/>
        <v>0.18564121633122341</v>
      </c>
      <c r="FP111" s="460">
        <f t="shared" ca="1" si="452"/>
        <v>0.18735810826606136</v>
      </c>
      <c r="FQ111" s="460">
        <f t="shared" ca="1" si="452"/>
        <v>0.19028311218624741</v>
      </c>
      <c r="FR111" s="460">
        <f t="shared" ca="1" si="452"/>
        <v>0.1944700293128461</v>
      </c>
      <c r="FS111" s="460">
        <f t="shared" ca="1" si="452"/>
        <v>0.20005098089900716</v>
      </c>
      <c r="FT111" s="460">
        <f t="shared" ca="1" si="452"/>
        <v>0.2072473595858299</v>
      </c>
      <c r="FU111" s="460">
        <f t="shared" ca="1" si="452"/>
        <v>0.21639099817311808</v>
      </c>
      <c r="FV111" s="460">
        <f t="shared" ca="1" si="452"/>
        <v>0.22795986104606114</v>
      </c>
      <c r="FW111" s="460">
        <f t="shared" ca="1" si="452"/>
        <v>0.24263590526698695</v>
      </c>
      <c r="FX111" s="460">
        <f t="shared" ca="1" si="452"/>
        <v>0.26139868386496573</v>
      </c>
      <c r="FY111" s="460">
        <f t="shared" ca="1" si="452"/>
        <v>0.28567928600220971</v>
      </c>
      <c r="FZ111" s="460">
        <f t="shared" ca="1" si="452"/>
        <v>0.31762068545186312</v>
      </c>
      <c r="GA111" s="460">
        <f t="shared" ca="1" si="452"/>
        <v>0.36053453844040634</v>
      </c>
      <c r="GB111" s="460" t="str">
        <f t="shared" si="452"/>
        <v/>
      </c>
      <c r="GC111" s="460" t="str">
        <f t="shared" si="452"/>
        <v/>
      </c>
      <c r="GD111" s="460" t="str">
        <f t="shared" si="452"/>
        <v/>
      </c>
      <c r="GE111" s="460" t="str">
        <f t="shared" si="452"/>
        <v/>
      </c>
      <c r="GF111" s="460" t="str">
        <f t="shared" si="452"/>
        <v/>
      </c>
      <c r="GG111" s="460" t="str">
        <f t="shared" si="452"/>
        <v/>
      </c>
      <c r="GH111" s="460" t="str">
        <f t="shared" si="452"/>
        <v/>
      </c>
      <c r="GI111" s="460" t="str">
        <f t="shared" si="452"/>
        <v/>
      </c>
      <c r="GJ111" s="460" t="str">
        <f t="shared" si="452"/>
        <v/>
      </c>
      <c r="GK111" s="460" t="str">
        <f t="shared" si="452"/>
        <v/>
      </c>
      <c r="GL111" s="460" t="str">
        <f t="shared" si="452"/>
        <v/>
      </c>
      <c r="GM111" s="460" t="str">
        <f t="shared" si="452"/>
        <v/>
      </c>
      <c r="GN111" s="460" t="str">
        <f t="shared" si="452"/>
        <v/>
      </c>
      <c r="GO111" s="460" t="str">
        <f t="shared" si="452"/>
        <v/>
      </c>
      <c r="GP111" s="460" t="str">
        <f t="shared" si="452"/>
        <v/>
      </c>
      <c r="GQ111" s="460" t="str">
        <f t="shared" si="452"/>
        <v/>
      </c>
      <c r="GR111" s="460" t="str">
        <f t="shared" si="452"/>
        <v/>
      </c>
      <c r="GS111" s="460" t="str">
        <f t="shared" si="452"/>
        <v/>
      </c>
      <c r="GT111" s="460" t="str">
        <f t="shared" si="452"/>
        <v/>
      </c>
      <c r="GU111" s="460" t="str">
        <f t="shared" si="452"/>
        <v/>
      </c>
      <c r="GV111" s="460" t="str">
        <f t="shared" si="452"/>
        <v/>
      </c>
      <c r="GW111" s="460" t="str">
        <f t="shared" si="452"/>
        <v/>
      </c>
      <c r="GX111" s="460" t="str">
        <f t="shared" si="452"/>
        <v/>
      </c>
      <c r="GY111" s="460" t="str">
        <f t="shared" si="452"/>
        <v/>
      </c>
      <c r="GZ111" s="460" t="str">
        <f t="shared" si="452"/>
        <v/>
      </c>
      <c r="HA111" s="460" t="str">
        <f t="shared" si="452"/>
        <v/>
      </c>
      <c r="HB111" s="460" t="str">
        <f t="shared" si="452"/>
        <v/>
      </c>
      <c r="HC111" s="460" t="str">
        <f t="shared" si="452"/>
        <v/>
      </c>
      <c r="HD111" s="460" t="str">
        <f t="shared" si="452"/>
        <v/>
      </c>
      <c r="HE111" s="460" t="str">
        <f t="shared" si="452"/>
        <v/>
      </c>
      <c r="HF111" s="460" t="str">
        <f t="shared" si="452"/>
        <v/>
      </c>
      <c r="HG111" s="460" t="str">
        <f t="shared" si="452"/>
        <v/>
      </c>
      <c r="HH111" s="460" t="str">
        <f t="shared" si="452"/>
        <v/>
      </c>
      <c r="HI111" s="460" t="str">
        <f t="shared" si="452"/>
        <v/>
      </c>
      <c r="HJ111" s="460" t="str">
        <f t="shared" si="452"/>
        <v/>
      </c>
      <c r="HK111" s="460" t="str">
        <f t="shared" si="452"/>
        <v/>
      </c>
      <c r="HL111" s="460" t="str">
        <f t="shared" si="452"/>
        <v/>
      </c>
      <c r="HM111" s="460" t="str">
        <f t="shared" si="452"/>
        <v/>
      </c>
      <c r="HN111" s="460" t="str">
        <f t="shared" si="452"/>
        <v/>
      </c>
      <c r="HO111" s="460" t="str">
        <f t="shared" si="452"/>
        <v/>
      </c>
      <c r="HP111" s="460" t="str">
        <f t="shared" si="452"/>
        <v/>
      </c>
      <c r="HQ111" s="460" t="str">
        <f t="shared" si="452"/>
        <v/>
      </c>
      <c r="HR111" s="460" t="str">
        <f t="shared" si="452"/>
        <v/>
      </c>
      <c r="HS111" s="460" t="str">
        <f t="shared" si="452"/>
        <v/>
      </c>
      <c r="HT111" s="460" t="str">
        <f t="shared" si="452"/>
        <v/>
      </c>
      <c r="HU111" s="460" t="str">
        <f t="shared" si="452"/>
        <v/>
      </c>
      <c r="HV111" s="460" t="str">
        <f t="shared" si="452"/>
        <v/>
      </c>
      <c r="HW111" s="460" t="str">
        <f t="shared" si="452"/>
        <v/>
      </c>
      <c r="HX111" s="460" t="str">
        <f t="shared" si="451"/>
        <v/>
      </c>
      <c r="HY111" s="460" t="str">
        <f t="shared" si="451"/>
        <v/>
      </c>
      <c r="HZ111" s="460" t="str">
        <f t="shared" si="451"/>
        <v/>
      </c>
      <c r="IA111" s="460" t="str">
        <f t="shared" si="451"/>
        <v/>
      </c>
      <c r="IB111" s="460" t="str">
        <f t="shared" si="451"/>
        <v/>
      </c>
      <c r="IC111" s="460" t="str">
        <f t="shared" si="451"/>
        <v/>
      </c>
      <c r="ID111" s="674" t="str">
        <f t="shared" si="451"/>
        <v/>
      </c>
      <c r="IE111" s="250"/>
    </row>
    <row r="112" spans="8:239">
      <c r="H112" s="51">
        <f t="shared" ca="1" si="315"/>
        <v>0</v>
      </c>
      <c r="I112" s="379">
        <f t="shared" si="316"/>
        <v>39569</v>
      </c>
      <c r="J112" s="377"/>
      <c r="K112" s="104" t="s">
        <v>268</v>
      </c>
      <c r="L112" s="392">
        <f t="shared" si="317"/>
        <v>0.59999999999999987</v>
      </c>
      <c r="M112" s="171"/>
      <c r="N112" s="382">
        <v>0</v>
      </c>
      <c r="O112" s="171">
        <f t="shared" si="272"/>
        <v>0</v>
      </c>
      <c r="P112" s="377"/>
      <c r="Q112" s="104" t="s">
        <v>268</v>
      </c>
      <c r="R112" s="377">
        <f t="shared" ca="1" si="417"/>
        <v>-0.56817791916732363</v>
      </c>
      <c r="S112" s="832">
        <f t="shared" si="435"/>
        <v>0.36000000000017085</v>
      </c>
      <c r="T112" s="831">
        <f t="shared" si="418"/>
        <v>0.99999993814568322</v>
      </c>
      <c r="U112" s="545">
        <f t="shared" si="419"/>
        <v>0.99999999999995182</v>
      </c>
      <c r="V112" s="389">
        <v>0</v>
      </c>
      <c r="W112" s="434">
        <f t="shared" si="273"/>
        <v>0</v>
      </c>
      <c r="X112" s="415">
        <f t="shared" si="274"/>
        <v>0.6511363636363634</v>
      </c>
      <c r="Y112" s="322">
        <f t="shared" si="275"/>
        <v>-1.2809999999999999</v>
      </c>
      <c r="Z112" s="322">
        <f t="shared" ca="1" si="276"/>
        <v>-0.62986363636363651</v>
      </c>
      <c r="AA112" s="429">
        <f t="shared" si="277"/>
        <v>1.2809999999999999</v>
      </c>
      <c r="AB112" s="433">
        <f t="shared" ca="1" si="278"/>
        <v>1.2809999999999999</v>
      </c>
      <c r="AC112" s="229">
        <v>39558</v>
      </c>
      <c r="AD112" s="229">
        <v>39554</v>
      </c>
      <c r="AE112" s="229">
        <v>39553</v>
      </c>
      <c r="AF112" s="229">
        <v>39549</v>
      </c>
      <c r="AG112" s="249" t="s">
        <v>499</v>
      </c>
      <c r="AH112" s="247" t="s">
        <v>499</v>
      </c>
      <c r="AI112" s="146">
        <v>22</v>
      </c>
      <c r="AJ112" s="41">
        <v>14</v>
      </c>
      <c r="AK112" s="41">
        <v>8</v>
      </c>
      <c r="AL112" s="293">
        <v>22</v>
      </c>
      <c r="AM112" s="41">
        <v>10</v>
      </c>
      <c r="AN112" s="147">
        <v>12</v>
      </c>
      <c r="AO112" s="374"/>
      <c r="AP112" s="153">
        <f t="shared" ca="1" si="318"/>
        <v>1</v>
      </c>
      <c r="AQ112" s="374"/>
      <c r="AR112" s="153">
        <f t="shared" ca="1" si="420"/>
        <v>1</v>
      </c>
      <c r="AS112" s="272">
        <f t="shared" si="279"/>
        <v>0</v>
      </c>
      <c r="AT112" s="157">
        <f t="shared" si="319"/>
        <v>0</v>
      </c>
      <c r="AU112" s="157">
        <f t="shared" si="280"/>
        <v>0</v>
      </c>
      <c r="AV112" s="271">
        <f t="shared" ca="1" si="430"/>
        <v>9.9999999999999995E-7</v>
      </c>
      <c r="AW112" s="158" t="str">
        <f t="shared" ca="1" si="281"/>
        <v/>
      </c>
      <c r="AX112" s="157">
        <f t="shared" ca="1" si="421"/>
        <v>1.1437762803828905E-3</v>
      </c>
      <c r="AY112" s="157">
        <f t="shared" ca="1" si="422"/>
        <v>4.7943106610231638E-4</v>
      </c>
      <c r="AZ112" s="157">
        <f t="shared" ca="1" si="423"/>
        <v>7.1932012472022359E-5</v>
      </c>
      <c r="BA112" s="157">
        <f t="shared" ca="1" si="424"/>
        <v>8.9915015590027948E-6</v>
      </c>
      <c r="BB112" s="157">
        <f t="shared" ca="1" si="425"/>
        <v>8.5702218401774906E-7</v>
      </c>
      <c r="BC112" s="157">
        <f t="shared" ca="1" si="426"/>
        <v>1.6169420057109624E-7</v>
      </c>
      <c r="BD112" s="151">
        <f t="shared" ca="1" si="282"/>
        <v>0</v>
      </c>
      <c r="BE112" s="152">
        <f t="shared" ca="1" si="283"/>
        <v>0</v>
      </c>
      <c r="BF112" s="40">
        <f t="shared" si="284"/>
        <v>2008</v>
      </c>
      <c r="BG112" s="144">
        <f t="shared" si="285"/>
        <v>5</v>
      </c>
      <c r="BH112" s="145">
        <f t="shared" ca="1" si="286"/>
        <v>2809</v>
      </c>
      <c r="BI112" s="313">
        <f t="shared" ca="1" si="439"/>
        <v>7.7316906228610538</v>
      </c>
      <c r="BJ112" s="42">
        <f t="shared" ca="1" si="288"/>
        <v>7.7839586833426662</v>
      </c>
      <c r="BK112" s="42">
        <f t="shared" ca="1" si="289"/>
        <v>7.7866965341297982</v>
      </c>
      <c r="BL112" s="42">
        <f t="shared" ca="1" si="440"/>
        <v>7.8138261464750167</v>
      </c>
      <c r="BM112" s="150" t="e">
        <f t="shared" ca="1" si="291"/>
        <v>#DIV/0!</v>
      </c>
      <c r="BN112" s="42" t="e">
        <f t="shared" ca="1" si="292"/>
        <v>#DIV/0!</v>
      </c>
      <c r="BO112" s="293">
        <f t="shared" si="441"/>
        <v>22</v>
      </c>
      <c r="BP112" s="41">
        <f t="shared" si="442"/>
        <v>14</v>
      </c>
      <c r="BQ112" s="41">
        <f t="shared" si="443"/>
        <v>8</v>
      </c>
      <c r="BR112" s="305" t="str">
        <f t="shared" ca="1" si="295"/>
        <v/>
      </c>
      <c r="BS112" s="305" t="str">
        <f t="shared" ca="1" si="444"/>
        <v/>
      </c>
      <c r="BT112" s="307" t="str">
        <f t="shared" ca="1" si="445"/>
        <v/>
      </c>
      <c r="BU112" s="161" t="str">
        <f t="shared" ca="1" si="298"/>
        <v/>
      </c>
      <c r="BV112" s="161" t="str">
        <f t="shared" ca="1" si="299"/>
        <v/>
      </c>
      <c r="BW112" s="308" t="str">
        <f t="shared" ca="1" si="300"/>
        <v/>
      </c>
      <c r="BX112" s="309" t="str">
        <f t="shared" ca="1" si="301"/>
        <v/>
      </c>
      <c r="BY112" s="308" t="str">
        <f t="shared" ca="1" si="446"/>
        <v/>
      </c>
      <c r="BZ112" s="309" t="str">
        <f t="shared" ca="1" si="447"/>
        <v/>
      </c>
      <c r="CA112" s="154" t="str">
        <f t="shared" ca="1" si="302"/>
        <v/>
      </c>
      <c r="CB112" s="154" t="str">
        <f t="shared" ca="1" si="303"/>
        <v/>
      </c>
      <c r="CC112" s="154" t="str">
        <f t="shared" ca="1" si="304"/>
        <v/>
      </c>
      <c r="CD112" s="154" t="str">
        <f t="shared" ca="1" si="305"/>
        <v/>
      </c>
      <c r="CE112" s="310">
        <v>1</v>
      </c>
      <c r="CF112" s="162">
        <f ca="1">IF(BD112,_xll.xCrudeAPO(BU112,BV112,CA112,CB112,S113,S114,BI112,BL112,BP112,BQ112,0,Strike1,AO112,CE112,0,BL112,IF(OptControl=4,0,1),0,1),0)</f>
        <v>0</v>
      </c>
      <c r="CG112" s="163">
        <f ca="1">IF(BD112,_xll.xCrudeAPO(BU112,BV112,CA112,CB112,S113,S114,BI112,BL112,BP112,BQ112,0,Strike1,AO112,CE112,0,BL112,IF(OptControl=4,0,1),1,1)+_xll.xCrudeAPO(BU112,BV112,CA112,CB112,S113,S114,BI112,BL112,BP112,BQ112,0,Strike1,AO112,CE112,0,BL112,IF(OptControl=4,0,1),1,2)+IF(OR(VolSkewFlag=2,ABS(BS112)&lt;0.0001),0,IF(BS112&gt;0,-1,1)*CH112*Strike1/BR112^2*BY112/10%),0)</f>
        <v>0</v>
      </c>
      <c r="CH112" s="163">
        <f ca="1">IF(BD112,(_xll.xCrudeAPO(BU112,BV112,CA112,CB112,S113,S114,BI112,BL112,BP112,BQ112,0,Strike1,AO112,CE112,0,BL112,IF(OptControl=4,0,1),3,1)+_xll.xCrudeAPO(BU112,BV112,CA112,CB112,S113,S114,BI112,BL112,BP112,BQ112,0,Strike1,AO112,CE112,0,BL112,IF(OptControl=4,0,1),3,2))/100,0)</f>
        <v>0</v>
      </c>
      <c r="CI112" s="163">
        <f ca="1">IF(BD112,_xll.xCrudeAPO(BU112,BV112,CA112,CB112,S113,S114,BI112-DaysForThetaCalculation/365.25,BL112-DaysForThetaCalculation/365.25,BP112,BQ112,0,Strike1,AO112,CE112,0,BL112,IF(OptControl=4,0,1),0,1)-_xll.xCrudeAPO(BU112,BV112,CA112,CB112,S113,S114,BI112,BL112,BP112,BQ112,0,Strike1,AO112,CE112,0,BL112,IF(OptControl=4,0,1),0,1),0)</f>
        <v>0</v>
      </c>
      <c r="CJ112" s="311">
        <f ca="1">IF(BD112,_xll.xCrudeAPO(BU112,BV112,CC112,CD112,S113,S114,BI112,BL112,BP112,BQ112,0,Strike2,AO112,CE112,0,BL112,IF(OptControl=3,1,0),0,1),0)</f>
        <v>0</v>
      </c>
      <c r="CK112" s="163">
        <f ca="1">IF(BD112,_xll.xCrudeAPO(BU112,BV112,CC112,CD112,S113,S114,BI112,BL112,BP112,BQ112,0,Strike2,AO112,CE112,0,BL112,IF(OptControl=3,1,0),1,1)+_xll.xCrudeAPO(BU112,BV112,CC112,CD112,S113,S114,BI112,BL112,BP112,BQ112,0,Strike2,AO112,CE112,0,BL112,IF(OptControl=3,1,0),1,2)+IF(OR(VolSkewFlag=2,ABS(BT112)&lt;0.0001),0,IF(BT112&gt;0,-1,1)*CL112*Strike2/BR112^2*BZ112/10%),0)</f>
        <v>0</v>
      </c>
      <c r="CL112" s="163">
        <f ca="1">IF(BD112,(_xll.xCrudeAPO(BU112,BV112,CC112,CD112,S113,S114,BI112,BL112,BP112,BQ112,0,Strike2,AO112,CE112,0,BL112,IF(OptControl=3,1,0),3,1)+_xll.xCrudeAPO(BU112,BV112,CC112,CD112,S113,S114,BI112,BL112,BP112,BQ112,0,Strike2,AO112,CE112,0,BL112,IF(OptControl=3,1,0),3,2))/100,0)</f>
        <v>0</v>
      </c>
      <c r="CM112" s="164">
        <f ca="1">IF(BD112,_xll.xCrudeAPO(BU112,BV112,CC112,CD112,S113,S114,BI112-DaysForThetaCalculation/365.25,BL112-DaysForThetaCalculation/365.25,BP112,BQ112,0,Strike2,AO112,CE112,0,BL112,IF(OptControl=3,1,0),0,1)-_xll.xCrudeAPO(BU112,BV112,CC112,CD112,S113,S114,BI112,BL112,BP112,BQ112,0,Strike2,AO112,CE112,0,BL112,IF(OptControl=3,1,0),0,1),0)</f>
        <v>0</v>
      </c>
      <c r="CN112" s="53"/>
      <c r="CO112" s="796" t="str">
        <f t="shared" ca="1" si="323"/>
        <v/>
      </c>
      <c r="CP112" s="800" t="str">
        <f t="shared" ca="1" si="324"/>
        <v/>
      </c>
      <c r="CQ112" s="797" t="str">
        <f t="shared" ca="1" si="325"/>
        <v/>
      </c>
      <c r="CR112" s="797" t="str">
        <f t="shared" ca="1" si="326"/>
        <v/>
      </c>
      <c r="CS112" s="797" t="str">
        <f t="shared" ca="1" si="327"/>
        <v/>
      </c>
      <c r="CT112" s="797" t="str">
        <f t="shared" ca="1" si="328"/>
        <v/>
      </c>
      <c r="CU112" s="798" t="str">
        <f t="shared" ca="1" si="329"/>
        <v/>
      </c>
      <c r="CV112" s="799" t="str">
        <f t="shared" ca="1" si="330"/>
        <v/>
      </c>
      <c r="CW112" s="799" t="str">
        <f t="shared" ca="1" si="331"/>
        <v/>
      </c>
      <c r="CX112" s="163">
        <f ca="1">IF(BD112,_xll.EURO(CP112,Strike1,AO112,AO112,CV112,CO112,IF(OptControl=4,0,1),0),0)</f>
        <v>0</v>
      </c>
      <c r="CY112" s="163">
        <f ca="1">IF(BD112,_xll.EURO(CP112,Strike1,AO112,AO112,CV112,CO112,IF(OptControl=4,0,1),1)+IF(OR(VolSkewFlag=2,ABS(CQ112)&lt;0.0001),0,IF(CQ112&gt;0,-1,1)*CZ112*100*Strike1/CP112^2*CS112/10%),0)</f>
        <v>0</v>
      </c>
      <c r="CZ112" s="163">
        <f ca="1">IF(BD112,_xll.EURO(CP112,Strike1,AO112,AO112,CV112,CO112,IF(OptControl=4,0,1),3)/100,0)</f>
        <v>0</v>
      </c>
      <c r="DA112" s="163">
        <f ca="1">IF(BD112,_xll.EURO(CP112,Strike1,AO112,AO112,CV112,CO112,IF(OptControl=4,0,1),0)-_xll.EURO(CP112,Strike1,AO112,AO112,CV112,CO112-1,IF(OptControl=4,0,1),0),0)</f>
        <v>0</v>
      </c>
      <c r="DB112" s="163">
        <f ca="1">IF(BD112,_xll.EURO(CP112,Strike2,AO112,AO112,CW112,CO112,IF(OptControl=3,1,0),0),0)</f>
        <v>0</v>
      </c>
      <c r="DC112" s="163">
        <f ca="1">IF(BD112,_xll.EURO(CP112,Strike2,AO112,AO112,CW112,CO112,IF(OptControl=3,1,0),1)+IF(OR(VolSkewFlag=2,ABS(CR112)&lt;0.0001),0,IF(CR112&gt;0,-1,1)*DD112*100*Strike2/CP112^2*CT112/10%),0)</f>
        <v>0</v>
      </c>
      <c r="DD112" s="163">
        <f ca="1">IF(BD112,_xll.EURO(CP112,Strike2,AO112,AO112,CW112,CO112,IF(OptControl=3,1,0),3)/100,0)</f>
        <v>0</v>
      </c>
      <c r="DE112" s="164">
        <f ca="1">IF(BD112,_xll.EURO(CP112,Strike2,AO112,AO112,CW112,CO112,IF(OptControl=3,1,0),0)-_xll.EURO(CP112,Strike2,AO112,AO112,CW112,CO112-1,IF(OptControl=3,1,0),0),0)</f>
        <v>0</v>
      </c>
      <c r="DG112" s="667">
        <f t="shared" ca="1" si="332"/>
        <v>39356</v>
      </c>
      <c r="DH112" s="475">
        <v>18.768333333333345</v>
      </c>
      <c r="DI112" s="665">
        <v>18.830108695652189</v>
      </c>
      <c r="DJ112" s="666">
        <f t="shared" ca="1" si="306"/>
        <v>39356</v>
      </c>
      <c r="DK112" s="475">
        <v>17.426693741234246</v>
      </c>
      <c r="DL112" s="665">
        <v>17.637008695652188</v>
      </c>
      <c r="DM112" s="667">
        <f t="shared" ca="1" si="307"/>
        <v>39356</v>
      </c>
      <c r="DN112" s="668">
        <f t="shared" si="308"/>
        <v>17.476693741234246</v>
      </c>
      <c r="DO112" s="667">
        <f t="shared" ca="1" si="333"/>
        <v>39356</v>
      </c>
      <c r="DP112" s="579">
        <f t="shared" si="334"/>
        <v>17.637008695652188</v>
      </c>
      <c r="DQ112" s="821">
        <v>0</v>
      </c>
      <c r="DR112" s="666">
        <f t="shared" ca="1" si="309"/>
        <v>39356</v>
      </c>
      <c r="DS112" s="669">
        <v>0.16940000000000002</v>
      </c>
      <c r="DT112" s="606">
        <v>0.1685913043478261</v>
      </c>
      <c r="DU112" s="666">
        <f t="shared" ca="1" si="310"/>
        <v>39356</v>
      </c>
      <c r="DV112" s="669">
        <v>0.16940000000000002</v>
      </c>
      <c r="DW112" s="606">
        <v>0.1685913043478261</v>
      </c>
      <c r="DX112" s="667">
        <f t="shared" ca="1" si="311"/>
        <v>39356</v>
      </c>
      <c r="DY112" s="606">
        <v>0.35</v>
      </c>
      <c r="DZ112" s="667">
        <f t="shared" ca="1" si="335"/>
        <v>39356</v>
      </c>
      <c r="EA112" s="606">
        <f t="shared" si="336"/>
        <v>0.1685913043478261</v>
      </c>
      <c r="EB112" s="1"/>
      <c r="EC112" s="118" t="str">
        <f t="shared" ca="1" si="312"/>
        <v/>
      </c>
      <c r="ED112" s="119" t="str">
        <f t="shared" ca="1" si="313"/>
        <v/>
      </c>
      <c r="EE112" s="112" t="str">
        <f t="shared" ca="1" si="314"/>
        <v/>
      </c>
      <c r="EF112" s="120">
        <f ca="1">IF(BD112,_xll.xASN(BR112,Strike1,AO112,ED112,0,BO112,0,BI112,BL112,IF(OptControl=4,0,1),0),0)</f>
        <v>0</v>
      </c>
      <c r="EG112" s="111">
        <f ca="1">IF(BD112,_xll.xASN(BR112,Strike2,AO112,EE112,0,BO112,0,BI112,BL112,IF(OptControl=3,1,0),0),0)</f>
        <v>0</v>
      </c>
      <c r="EL112" s="55"/>
      <c r="EM112" s="1"/>
      <c r="EN112" s="106"/>
      <c r="EO112" s="106"/>
      <c r="EP112" s="1"/>
      <c r="EQ112" s="683" t="s">
        <v>325</v>
      </c>
      <c r="ES112" s="455"/>
      <c r="ET112" s="36"/>
      <c r="EU112" s="107"/>
      <c r="EV112" s="475"/>
      <c r="EW112" s="456"/>
      <c r="EX112" s="456"/>
      <c r="EY112" s="250"/>
      <c r="EZ112" s="250"/>
      <c r="FA112" s="250"/>
      <c r="FB112" s="250"/>
      <c r="FC112" s="250"/>
      <c r="FD112" s="250"/>
      <c r="FE112" s="250"/>
      <c r="FF112" s="250"/>
      <c r="FG112" s="250"/>
      <c r="FH112" s="250"/>
      <c r="FI112" s="250"/>
      <c r="FJ112" s="673">
        <v>18</v>
      </c>
      <c r="FK112" s="460">
        <f t="shared" ca="1" si="432"/>
        <v>0</v>
      </c>
      <c r="FL112" s="460">
        <f t="shared" ca="1" si="452"/>
        <v>0.17701441997451206</v>
      </c>
      <c r="FM112" s="460">
        <f t="shared" ca="1" si="452"/>
        <v>0.18365111260206321</v>
      </c>
      <c r="FN112" s="460">
        <f t="shared" ca="1" si="452"/>
        <v>0.18241991379127653</v>
      </c>
      <c r="FO112" s="460">
        <f t="shared" ca="1" si="452"/>
        <v>0.18243105873211587</v>
      </c>
      <c r="FP112" s="460">
        <f t="shared" ca="1" si="452"/>
        <v>0.18356314301408286</v>
      </c>
      <c r="FQ112" s="460">
        <f t="shared" ca="1" si="452"/>
        <v>0.18576733187512312</v>
      </c>
      <c r="FR112" s="460">
        <f t="shared" ca="1" si="452"/>
        <v>0.18906102749808643</v>
      </c>
      <c r="FS112" s="460">
        <f t="shared" ca="1" si="452"/>
        <v>0.19352724308024261</v>
      </c>
      <c r="FT112" s="460">
        <f t="shared" ca="1" si="452"/>
        <v>0.1993200554711119</v>
      </c>
      <c r="FU112" s="460">
        <f t="shared" ca="1" si="452"/>
        <v>0.20667736288644831</v>
      </c>
      <c r="FV112" s="460">
        <f t="shared" ca="1" si="452"/>
        <v>0.21594340868020523</v>
      </c>
      <c r="FW112" s="460">
        <f t="shared" ca="1" si="452"/>
        <v>0.22760548890094554</v>
      </c>
      <c r="FX112" s="460">
        <f t="shared" ca="1" si="452"/>
        <v>0.24235257486496092</v>
      </c>
      <c r="FY112" s="460">
        <f t="shared" ca="1" si="452"/>
        <v>0.26116948619428965</v>
      </c>
      <c r="FZ112" s="460">
        <f t="shared" ca="1" si="452"/>
        <v>0.28549125572769457</v>
      </c>
      <c r="GA112" s="460">
        <f t="shared" ca="1" si="452"/>
        <v>0.31746379193022539</v>
      </c>
      <c r="GB112" s="460">
        <f t="shared" ca="1" si="452"/>
        <v>0.36040090383030476</v>
      </c>
      <c r="GC112" s="460" t="str">
        <f t="shared" si="452"/>
        <v/>
      </c>
      <c r="GD112" s="460" t="str">
        <f t="shared" si="452"/>
        <v/>
      </c>
      <c r="GE112" s="460" t="str">
        <f t="shared" si="452"/>
        <v/>
      </c>
      <c r="GF112" s="460" t="str">
        <f t="shared" si="452"/>
        <v/>
      </c>
      <c r="GG112" s="460" t="str">
        <f t="shared" si="452"/>
        <v/>
      </c>
      <c r="GH112" s="460" t="str">
        <f t="shared" si="452"/>
        <v/>
      </c>
      <c r="GI112" s="460" t="str">
        <f t="shared" si="452"/>
        <v/>
      </c>
      <c r="GJ112" s="460" t="str">
        <f t="shared" si="452"/>
        <v/>
      </c>
      <c r="GK112" s="460" t="str">
        <f t="shared" si="452"/>
        <v/>
      </c>
      <c r="GL112" s="460" t="str">
        <f t="shared" si="452"/>
        <v/>
      </c>
      <c r="GM112" s="460" t="str">
        <f t="shared" si="452"/>
        <v/>
      </c>
      <c r="GN112" s="460" t="str">
        <f t="shared" si="452"/>
        <v/>
      </c>
      <c r="GO112" s="460" t="str">
        <f t="shared" si="452"/>
        <v/>
      </c>
      <c r="GP112" s="460" t="str">
        <f t="shared" si="452"/>
        <v/>
      </c>
      <c r="GQ112" s="460" t="str">
        <f t="shared" si="452"/>
        <v/>
      </c>
      <c r="GR112" s="460" t="str">
        <f t="shared" si="452"/>
        <v/>
      </c>
      <c r="GS112" s="460" t="str">
        <f t="shared" si="452"/>
        <v/>
      </c>
      <c r="GT112" s="460" t="str">
        <f t="shared" si="452"/>
        <v/>
      </c>
      <c r="GU112" s="460" t="str">
        <f t="shared" si="452"/>
        <v/>
      </c>
      <c r="GV112" s="460" t="str">
        <f t="shared" si="452"/>
        <v/>
      </c>
      <c r="GW112" s="460" t="str">
        <f t="shared" si="452"/>
        <v/>
      </c>
      <c r="GX112" s="460" t="str">
        <f t="shared" si="452"/>
        <v/>
      </c>
      <c r="GY112" s="460" t="str">
        <f t="shared" si="452"/>
        <v/>
      </c>
      <c r="GZ112" s="460" t="str">
        <f t="shared" si="452"/>
        <v/>
      </c>
      <c r="HA112" s="460" t="str">
        <f t="shared" si="452"/>
        <v/>
      </c>
      <c r="HB112" s="460" t="str">
        <f t="shared" si="452"/>
        <v/>
      </c>
      <c r="HC112" s="460" t="str">
        <f t="shared" si="452"/>
        <v/>
      </c>
      <c r="HD112" s="460" t="str">
        <f t="shared" si="452"/>
        <v/>
      </c>
      <c r="HE112" s="460" t="str">
        <f t="shared" si="452"/>
        <v/>
      </c>
      <c r="HF112" s="460" t="str">
        <f t="shared" si="452"/>
        <v/>
      </c>
      <c r="HG112" s="460" t="str">
        <f t="shared" si="452"/>
        <v/>
      </c>
      <c r="HH112" s="460" t="str">
        <f t="shared" si="452"/>
        <v/>
      </c>
      <c r="HI112" s="460" t="str">
        <f t="shared" si="452"/>
        <v/>
      </c>
      <c r="HJ112" s="460" t="str">
        <f t="shared" si="452"/>
        <v/>
      </c>
      <c r="HK112" s="460" t="str">
        <f t="shared" si="452"/>
        <v/>
      </c>
      <c r="HL112" s="460" t="str">
        <f t="shared" si="452"/>
        <v/>
      </c>
      <c r="HM112" s="460" t="str">
        <f t="shared" si="452"/>
        <v/>
      </c>
      <c r="HN112" s="460" t="str">
        <f t="shared" si="452"/>
        <v/>
      </c>
      <c r="HO112" s="460" t="str">
        <f t="shared" si="452"/>
        <v/>
      </c>
      <c r="HP112" s="460" t="str">
        <f t="shared" si="452"/>
        <v/>
      </c>
      <c r="HQ112" s="460" t="str">
        <f t="shared" si="452"/>
        <v/>
      </c>
      <c r="HR112" s="460" t="str">
        <f t="shared" si="452"/>
        <v/>
      </c>
      <c r="HS112" s="460" t="str">
        <f t="shared" si="452"/>
        <v/>
      </c>
      <c r="HT112" s="460" t="str">
        <f t="shared" si="452"/>
        <v/>
      </c>
      <c r="HU112" s="460" t="str">
        <f t="shared" si="452"/>
        <v/>
      </c>
      <c r="HV112" s="460" t="str">
        <f t="shared" si="452"/>
        <v/>
      </c>
      <c r="HW112" s="460" t="str">
        <f t="shared" ref="HW112:ID115" si="453">IF($FJ37&lt;HW$94,"",SQRT(HW37/HW$15))</f>
        <v/>
      </c>
      <c r="HX112" s="460" t="str">
        <f t="shared" si="453"/>
        <v/>
      </c>
      <c r="HY112" s="460" t="str">
        <f t="shared" si="453"/>
        <v/>
      </c>
      <c r="HZ112" s="460" t="str">
        <f t="shared" si="453"/>
        <v/>
      </c>
      <c r="IA112" s="460" t="str">
        <f t="shared" si="453"/>
        <v/>
      </c>
      <c r="IB112" s="460" t="str">
        <f t="shared" si="453"/>
        <v/>
      </c>
      <c r="IC112" s="460" t="str">
        <f t="shared" si="453"/>
        <v/>
      </c>
      <c r="ID112" s="674" t="str">
        <f t="shared" si="453"/>
        <v/>
      </c>
      <c r="IE112" s="250"/>
    </row>
    <row r="113" spans="8:239">
      <c r="H113" s="51">
        <f t="shared" ca="1" si="315"/>
        <v>0</v>
      </c>
      <c r="I113" s="379">
        <f t="shared" si="316"/>
        <v>39600</v>
      </c>
      <c r="J113" s="377"/>
      <c r="K113" s="104" t="s">
        <v>268</v>
      </c>
      <c r="L113" s="392">
        <f t="shared" si="317"/>
        <v>0.63749999999999984</v>
      </c>
      <c r="M113" s="171"/>
      <c r="N113" s="382">
        <v>0</v>
      </c>
      <c r="O113" s="171">
        <f t="shared" si="272"/>
        <v>0</v>
      </c>
      <c r="P113" s="377"/>
      <c r="Q113" s="104" t="s">
        <v>268</v>
      </c>
      <c r="R113" s="377">
        <f t="shared" ca="1" si="417"/>
        <v>-0.75001840069389714</v>
      </c>
      <c r="S113" s="832">
        <f t="shared" si="435"/>
        <v>0.36000000000012811</v>
      </c>
      <c r="T113" s="831">
        <f t="shared" si="418"/>
        <v>0.99999994711456186</v>
      </c>
      <c r="U113" s="545">
        <f t="shared" si="419"/>
        <v>0.99999999999996381</v>
      </c>
      <c r="V113" s="389">
        <v>0</v>
      </c>
      <c r="W113" s="434">
        <f t="shared" si="273"/>
        <v>0</v>
      </c>
      <c r="X113" s="415">
        <f t="shared" si="274"/>
        <v>0.6857142857142855</v>
      </c>
      <c r="Y113" s="322">
        <f t="shared" si="275"/>
        <v>-1.2809999999999999</v>
      </c>
      <c r="Z113" s="322">
        <f t="shared" ca="1" si="276"/>
        <v>-0.59528571428571442</v>
      </c>
      <c r="AA113" s="429">
        <f t="shared" si="277"/>
        <v>1.2809999999999999</v>
      </c>
      <c r="AB113" s="433">
        <f t="shared" ca="1" si="278"/>
        <v>1.2809999999999999</v>
      </c>
      <c r="AC113" s="229">
        <v>39588</v>
      </c>
      <c r="AD113" s="229">
        <v>39584</v>
      </c>
      <c r="AE113" s="229">
        <v>39583</v>
      </c>
      <c r="AF113" s="229">
        <v>39579</v>
      </c>
      <c r="AG113" s="249" t="s">
        <v>499</v>
      </c>
      <c r="AH113" s="247" t="s">
        <v>499</v>
      </c>
      <c r="AI113" s="146">
        <v>21</v>
      </c>
      <c r="AJ113" s="41">
        <v>15</v>
      </c>
      <c r="AK113" s="41">
        <v>6</v>
      </c>
      <c r="AL113" s="293">
        <v>21</v>
      </c>
      <c r="AM113" s="41">
        <v>10</v>
      </c>
      <c r="AN113" s="147">
        <v>11</v>
      </c>
      <c r="AO113" s="374"/>
      <c r="AP113" s="153">
        <f t="shared" ca="1" si="318"/>
        <v>1</v>
      </c>
      <c r="AQ113" s="374"/>
      <c r="AR113" s="153">
        <f t="shared" ca="1" si="420"/>
        <v>1</v>
      </c>
      <c r="AS113" s="272">
        <f t="shared" si="279"/>
        <v>0</v>
      </c>
      <c r="AT113" s="157">
        <f t="shared" si="319"/>
        <v>0</v>
      </c>
      <c r="AU113" s="157">
        <f t="shared" si="280"/>
        <v>0</v>
      </c>
      <c r="AV113" s="271">
        <f t="shared" ca="1" si="430"/>
        <v>9.9999999999999995E-7</v>
      </c>
      <c r="AW113" s="158" t="str">
        <f t="shared" ca="1" si="281"/>
        <v/>
      </c>
      <c r="AX113" s="157">
        <f t="shared" ca="1" si="421"/>
        <v>1.1057751206610467E-3</v>
      </c>
      <c r="AY113" s="157">
        <f t="shared" ca="1" si="422"/>
        <v>4.6042093046857617E-4</v>
      </c>
      <c r="AZ113" s="157">
        <f t="shared" ca="1" si="423"/>
        <v>6.7894778831841112E-5</v>
      </c>
      <c r="BA113" s="157">
        <f t="shared" ca="1" si="424"/>
        <v>8.486847353980139E-6</v>
      </c>
      <c r="BB113" s="157">
        <f t="shared" ca="1" si="425"/>
        <v>7.8204538807325796E-7</v>
      </c>
      <c r="BC113" s="157">
        <f t="shared" ca="1" si="426"/>
        <v>1.4405315601951642E-7</v>
      </c>
      <c r="BD113" s="151">
        <f t="shared" ca="1" si="282"/>
        <v>0</v>
      </c>
      <c r="BE113" s="152">
        <f t="shared" ca="1" si="283"/>
        <v>0</v>
      </c>
      <c r="BF113" s="40">
        <f t="shared" si="284"/>
        <v>2008</v>
      </c>
      <c r="BG113" s="144">
        <f t="shared" si="285"/>
        <v>6</v>
      </c>
      <c r="BH113" s="145">
        <f t="shared" ca="1" si="286"/>
        <v>2839</v>
      </c>
      <c r="BI113" s="313">
        <f t="shared" ca="1" si="439"/>
        <v>7.8165639972621488</v>
      </c>
      <c r="BJ113" s="42">
        <f t="shared" ca="1" si="288"/>
        <v>7.8732766207098859</v>
      </c>
      <c r="BK113" s="42">
        <f t="shared" ca="1" si="289"/>
        <v>7.8760144714970179</v>
      </c>
      <c r="BL113" s="42">
        <f t="shared" ca="1" si="440"/>
        <v>7.8959616700889805</v>
      </c>
      <c r="BM113" s="150" t="e">
        <f t="shared" ca="1" si="291"/>
        <v>#DIV/0!</v>
      </c>
      <c r="BN113" s="42" t="e">
        <f t="shared" ca="1" si="292"/>
        <v>#DIV/0!</v>
      </c>
      <c r="BO113" s="293">
        <f t="shared" si="441"/>
        <v>21</v>
      </c>
      <c r="BP113" s="41">
        <f t="shared" si="442"/>
        <v>15</v>
      </c>
      <c r="BQ113" s="41">
        <f t="shared" si="443"/>
        <v>6</v>
      </c>
      <c r="BR113" s="305" t="str">
        <f t="shared" ca="1" si="295"/>
        <v/>
      </c>
      <c r="BS113" s="305" t="str">
        <f t="shared" ca="1" si="444"/>
        <v/>
      </c>
      <c r="BT113" s="307" t="str">
        <f t="shared" ca="1" si="445"/>
        <v/>
      </c>
      <c r="BU113" s="161" t="str">
        <f t="shared" ca="1" si="298"/>
        <v/>
      </c>
      <c r="BV113" s="161" t="str">
        <f t="shared" ca="1" si="299"/>
        <v/>
      </c>
      <c r="BW113" s="308" t="str">
        <f t="shared" ca="1" si="300"/>
        <v/>
      </c>
      <c r="BX113" s="309" t="str">
        <f t="shared" ca="1" si="301"/>
        <v/>
      </c>
      <c r="BY113" s="308" t="str">
        <f t="shared" ca="1" si="446"/>
        <v/>
      </c>
      <c r="BZ113" s="309" t="str">
        <f t="shared" ca="1" si="447"/>
        <v/>
      </c>
      <c r="CA113" s="154" t="str">
        <f t="shared" ca="1" si="302"/>
        <v/>
      </c>
      <c r="CB113" s="154" t="str">
        <f t="shared" ca="1" si="303"/>
        <v/>
      </c>
      <c r="CC113" s="154" t="str">
        <f t="shared" ca="1" si="304"/>
        <v/>
      </c>
      <c r="CD113" s="154" t="str">
        <f t="shared" ca="1" si="305"/>
        <v/>
      </c>
      <c r="CE113" s="310">
        <v>1</v>
      </c>
      <c r="CF113" s="162">
        <f ca="1">IF(BD113,_xll.xCrudeAPO(BU113,BV113,CA113,CB113,S114,S115,BI113,BL113,BP113,BQ113,0,Strike1,AO113,CE113,0,BL113,IF(OptControl=4,0,1),0,1),0)</f>
        <v>0</v>
      </c>
      <c r="CG113" s="163">
        <f ca="1">IF(BD113,_xll.xCrudeAPO(BU113,BV113,CA113,CB113,S114,S115,BI113,BL113,BP113,BQ113,0,Strike1,AO113,CE113,0,BL113,IF(OptControl=4,0,1),1,1)+_xll.xCrudeAPO(BU113,BV113,CA113,CB113,S114,S115,BI113,BL113,BP113,BQ113,0,Strike1,AO113,CE113,0,BL113,IF(OptControl=4,0,1),1,2)+IF(OR(VolSkewFlag=2,ABS(BS113)&lt;0.0001),0,IF(BS113&gt;0,-1,1)*CH113*Strike1/BR113^2*BY113/10%),0)</f>
        <v>0</v>
      </c>
      <c r="CH113" s="163">
        <f ca="1">IF(BD113,(_xll.xCrudeAPO(BU113,BV113,CA113,CB113,S114,S115,BI113,BL113,BP113,BQ113,0,Strike1,AO113,CE113,0,BL113,IF(OptControl=4,0,1),3,1)+_xll.xCrudeAPO(BU113,BV113,CA113,CB113,S114,S115,BI113,BL113,BP113,BQ113,0,Strike1,AO113,CE113,0,BL113,IF(OptControl=4,0,1),3,2))/100,0)</f>
        <v>0</v>
      </c>
      <c r="CI113" s="163">
        <f ca="1">IF(BD113,_xll.xCrudeAPO(BU113,BV113,CA113,CB113,S114,S115,BI113-DaysForThetaCalculation/365.25,BL113-DaysForThetaCalculation/365.25,BP113,BQ113,0,Strike1,AO113,CE113,0,BL113,IF(OptControl=4,0,1),0,1)-_xll.xCrudeAPO(BU113,BV113,CA113,CB113,S114,S115,BI113,BL113,BP113,BQ113,0,Strike1,AO113,CE113,0,BL113,IF(OptControl=4,0,1),0,1),0)</f>
        <v>0</v>
      </c>
      <c r="CJ113" s="311">
        <f ca="1">IF(BD113,_xll.xCrudeAPO(BU113,BV113,CC113,CD113,S114,S115,BI113,BL113,BP113,BQ113,0,Strike2,AO113,CE113,0,BL113,IF(OptControl=3,1,0),0,1),0)</f>
        <v>0</v>
      </c>
      <c r="CK113" s="163">
        <f ca="1">IF(BD113,_xll.xCrudeAPO(BU113,BV113,CC113,CD113,S114,S115,BI113,BL113,BP113,BQ113,0,Strike2,AO113,CE113,0,BL113,IF(OptControl=3,1,0),1,1)+_xll.xCrudeAPO(BU113,BV113,CC113,CD113,S114,S115,BI113,BL113,BP113,BQ113,0,Strike2,AO113,CE113,0,BL113,IF(OptControl=3,1,0),1,2)+IF(OR(VolSkewFlag=2,ABS(BT113)&lt;0.0001),0,IF(BT113&gt;0,-1,1)*CL113*Strike2/BR113^2*BZ113/10%),0)</f>
        <v>0</v>
      </c>
      <c r="CL113" s="163">
        <f ca="1">IF(BD113,(_xll.xCrudeAPO(BU113,BV113,CC113,CD113,S114,S115,BI113,BL113,BP113,BQ113,0,Strike2,AO113,CE113,0,BL113,IF(OptControl=3,1,0),3,1)+_xll.xCrudeAPO(BU113,BV113,CC113,CD113,S114,S115,BI113,BL113,BP113,BQ113,0,Strike2,AO113,CE113,0,BL113,IF(OptControl=3,1,0),3,2))/100,0)</f>
        <v>0</v>
      </c>
      <c r="CM113" s="164">
        <f ca="1">IF(BD113,_xll.xCrudeAPO(BU113,BV113,CC113,CD113,S114,S115,BI113-DaysForThetaCalculation/365.25,BL113-DaysForThetaCalculation/365.25,BP113,BQ113,0,Strike2,AO113,CE113,0,BL113,IF(OptControl=3,1,0),0,1)-_xll.xCrudeAPO(BU113,BV113,CC113,CD113,S114,S115,BI113,BL113,BP113,BQ113,0,Strike2,AO113,CE113,0,BL113,IF(OptControl=3,1,0),0,1),0)</f>
        <v>0</v>
      </c>
      <c r="CN113" s="53"/>
      <c r="CO113" s="796" t="str">
        <f t="shared" ca="1" si="323"/>
        <v/>
      </c>
      <c r="CP113" s="800" t="str">
        <f t="shared" ca="1" si="324"/>
        <v/>
      </c>
      <c r="CQ113" s="797" t="str">
        <f t="shared" ca="1" si="325"/>
        <v/>
      </c>
      <c r="CR113" s="797" t="str">
        <f t="shared" ca="1" si="326"/>
        <v/>
      </c>
      <c r="CS113" s="797" t="str">
        <f t="shared" ca="1" si="327"/>
        <v/>
      </c>
      <c r="CT113" s="797" t="str">
        <f t="shared" ca="1" si="328"/>
        <v/>
      </c>
      <c r="CU113" s="798" t="str">
        <f t="shared" ca="1" si="329"/>
        <v/>
      </c>
      <c r="CV113" s="799" t="str">
        <f t="shared" ca="1" si="330"/>
        <v/>
      </c>
      <c r="CW113" s="799" t="str">
        <f t="shared" ca="1" si="331"/>
        <v/>
      </c>
      <c r="CX113" s="163">
        <f ca="1">IF(BD113,_xll.EURO(CP113,Strike1,AO113,AO113,CV113,CO113,IF(OptControl=4,0,1),0),0)</f>
        <v>0</v>
      </c>
      <c r="CY113" s="163">
        <f ca="1">IF(BD113,_xll.EURO(CP113,Strike1,AO113,AO113,CV113,CO113,IF(OptControl=4,0,1),1)+IF(OR(VolSkewFlag=2,ABS(CQ113)&lt;0.0001),0,IF(CQ113&gt;0,-1,1)*CZ113*100*Strike1/CP113^2*CS113/10%),0)</f>
        <v>0</v>
      </c>
      <c r="CZ113" s="163">
        <f ca="1">IF(BD113,_xll.EURO(CP113,Strike1,AO113,AO113,CV113,CO113,IF(OptControl=4,0,1),3)/100,0)</f>
        <v>0</v>
      </c>
      <c r="DA113" s="163">
        <f ca="1">IF(BD113,_xll.EURO(CP113,Strike1,AO113,AO113,CV113,CO113,IF(OptControl=4,0,1),0)-_xll.EURO(CP113,Strike1,AO113,AO113,CV113,CO113-1,IF(OptControl=4,0,1),0),0)</f>
        <v>0</v>
      </c>
      <c r="DB113" s="163">
        <f ca="1">IF(BD113,_xll.EURO(CP113,Strike2,AO113,AO113,CW113,CO113,IF(OptControl=3,1,0),0),0)</f>
        <v>0</v>
      </c>
      <c r="DC113" s="163">
        <f ca="1">IF(BD113,_xll.EURO(CP113,Strike2,AO113,AO113,CW113,CO113,IF(OptControl=3,1,0),1)+IF(OR(VolSkewFlag=2,ABS(CR113)&lt;0.0001),0,IF(CR113&gt;0,-1,1)*DD113*100*Strike2/CP113^2*CT113/10%),0)</f>
        <v>0</v>
      </c>
      <c r="DD113" s="163">
        <f ca="1">IF(BD113,_xll.EURO(CP113,Strike2,AO113,AO113,CW113,CO113,IF(OptControl=3,1,0),3)/100,0)</f>
        <v>0</v>
      </c>
      <c r="DE113" s="164">
        <f ca="1">IF(BD113,_xll.EURO(CP113,Strike2,AO113,AO113,CW113,CO113,IF(OptControl=3,1,0),0)-_xll.EURO(CP113,Strike2,AO113,AO113,CW113,CO113-1,IF(OptControl=3,1,0),0),0)</f>
        <v>0</v>
      </c>
      <c r="DG113" s="667">
        <f t="shared" ca="1" si="332"/>
        <v>39387</v>
      </c>
      <c r="DH113" s="475">
        <v>18.814166666666679</v>
      </c>
      <c r="DI113" s="665">
        <v>18.878181818181829</v>
      </c>
      <c r="DJ113" s="666">
        <f t="shared" ca="1" si="306"/>
        <v>39387</v>
      </c>
      <c r="DK113" s="475">
        <v>17.603672925432441</v>
      </c>
      <c r="DL113" s="665">
        <v>17.685081818181828</v>
      </c>
      <c r="DM113" s="667">
        <f t="shared" ca="1" si="307"/>
        <v>39387</v>
      </c>
      <c r="DN113" s="668">
        <f t="shared" si="308"/>
        <v>17.653672925432442</v>
      </c>
      <c r="DO113" s="667">
        <f t="shared" ca="1" si="333"/>
        <v>39387</v>
      </c>
      <c r="DP113" s="579">
        <f t="shared" si="334"/>
        <v>17.685081818181828</v>
      </c>
      <c r="DQ113" s="821">
        <v>0</v>
      </c>
      <c r="DR113" s="666">
        <f t="shared" ca="1" si="309"/>
        <v>39387</v>
      </c>
      <c r="DS113" s="669">
        <v>0.16880000000000001</v>
      </c>
      <c r="DT113" s="606">
        <v>0.1679818181818182</v>
      </c>
      <c r="DU113" s="666">
        <f t="shared" ca="1" si="310"/>
        <v>39387</v>
      </c>
      <c r="DV113" s="669">
        <v>0.16880000000000001</v>
      </c>
      <c r="DW113" s="606">
        <v>0.1679818181818182</v>
      </c>
      <c r="DX113" s="667">
        <f t="shared" ca="1" si="311"/>
        <v>39387</v>
      </c>
      <c r="DY113" s="606">
        <v>0.35</v>
      </c>
      <c r="DZ113" s="667">
        <f t="shared" ca="1" si="335"/>
        <v>39387</v>
      </c>
      <c r="EA113" s="606">
        <f t="shared" si="336"/>
        <v>0.1679818181818182</v>
      </c>
      <c r="EB113" s="1"/>
      <c r="EC113" s="118" t="str">
        <f t="shared" ca="1" si="312"/>
        <v/>
      </c>
      <c r="ED113" s="119" t="str">
        <f t="shared" ca="1" si="313"/>
        <v/>
      </c>
      <c r="EE113" s="112" t="str">
        <f t="shared" ca="1" si="314"/>
        <v/>
      </c>
      <c r="EF113" s="120">
        <f ca="1">IF(BD113,_xll.xASN(BR113,Strike1,AO113,ED113,0,BO113,0,BI113,BL113,IF(OptControl=4,0,1),0),0)</f>
        <v>0</v>
      </c>
      <c r="EG113" s="111">
        <f ca="1">IF(BD113,_xll.xASN(BR113,Strike2,AO113,EE113,0,BO113,0,BI113,BL113,IF(OptControl=3,1,0),0),0)</f>
        <v>0</v>
      </c>
      <c r="EL113" s="55"/>
      <c r="EM113" s="1"/>
      <c r="EN113" s="106"/>
      <c r="EO113" s="106"/>
      <c r="EP113" s="1"/>
      <c r="EQ113" s="683" t="s">
        <v>326</v>
      </c>
      <c r="ES113" s="455"/>
      <c r="ET113" s="36"/>
      <c r="EU113" s="107"/>
      <c r="EV113" s="475"/>
      <c r="EW113" s="456"/>
      <c r="EX113" s="456"/>
      <c r="EY113" s="250"/>
      <c r="EZ113" s="250"/>
      <c r="FA113" s="250"/>
      <c r="FB113" s="250"/>
      <c r="FC113" s="250"/>
      <c r="FD113" s="250"/>
      <c r="FE113" s="250"/>
      <c r="FF113" s="250"/>
      <c r="FG113" s="250"/>
      <c r="FH113" s="250"/>
      <c r="FI113" s="250"/>
      <c r="FJ113" s="673">
        <v>19</v>
      </c>
      <c r="FK113" s="460">
        <f t="shared" ca="1" si="432"/>
        <v>0</v>
      </c>
      <c r="FL113" s="460">
        <f t="shared" ref="FL113:HW116" ca="1" si="454">IF($FJ38&lt;FL$94,"",SQRT(FL38/FL$15))</f>
        <v>0.17538528576368137</v>
      </c>
      <c r="FM113" s="460">
        <f t="shared" ca="1" si="454"/>
        <v>0.18167269418436766</v>
      </c>
      <c r="FN113" s="460">
        <f t="shared" ca="1" si="454"/>
        <v>0.18011936043663893</v>
      </c>
      <c r="FO113" s="460">
        <f t="shared" ca="1" si="454"/>
        <v>0.17973726800022838</v>
      </c>
      <c r="FP113" s="460">
        <f t="shared" ca="1" si="454"/>
        <v>0.18038892001496531</v>
      </c>
      <c r="FQ113" s="460">
        <f t="shared" ca="1" si="454"/>
        <v>0.18200458802622743</v>
      </c>
      <c r="FR113" s="460">
        <f t="shared" ca="1" si="454"/>
        <v>0.1845742495819194</v>
      </c>
      <c r="FS113" s="460">
        <f t="shared" ca="1" si="454"/>
        <v>0.18814446398196577</v>
      </c>
      <c r="FT113" s="460">
        <f t="shared" ca="1" si="454"/>
        <v>0.1928201534057899</v>
      </c>
      <c r="FU113" s="460">
        <f t="shared" ca="1" si="454"/>
        <v>0.19877186140019037</v>
      </c>
      <c r="FV113" s="460">
        <f t="shared" ca="1" si="454"/>
        <v>0.20624986536191217</v>
      </c>
      <c r="FW113" s="460">
        <f t="shared" ca="1" si="454"/>
        <v>0.21560771656052058</v>
      </c>
      <c r="FX113" s="460">
        <f t="shared" ca="1" si="454"/>
        <v>0.22733970979210888</v>
      </c>
      <c r="FY113" s="460">
        <f t="shared" ca="1" si="454"/>
        <v>0.24214007706344137</v>
      </c>
      <c r="FZ113" s="460">
        <f t="shared" ca="1" si="454"/>
        <v>0.26099758794128253</v>
      </c>
      <c r="GA113" s="460">
        <f t="shared" ca="1" si="454"/>
        <v>0.28535023302180823</v>
      </c>
      <c r="GB113" s="460">
        <f t="shared" ca="1" si="454"/>
        <v>0.31734612178899713</v>
      </c>
      <c r="GC113" s="460">
        <f t="shared" ca="1" si="454"/>
        <v>0.36030067787272857</v>
      </c>
      <c r="GD113" s="460" t="str">
        <f t="shared" si="454"/>
        <v/>
      </c>
      <c r="GE113" s="460" t="str">
        <f t="shared" si="454"/>
        <v/>
      </c>
      <c r="GF113" s="460" t="str">
        <f t="shared" si="454"/>
        <v/>
      </c>
      <c r="GG113" s="460" t="str">
        <f t="shared" si="454"/>
        <v/>
      </c>
      <c r="GH113" s="460" t="str">
        <f t="shared" si="454"/>
        <v/>
      </c>
      <c r="GI113" s="460" t="str">
        <f t="shared" si="454"/>
        <v/>
      </c>
      <c r="GJ113" s="460" t="str">
        <f t="shared" si="454"/>
        <v/>
      </c>
      <c r="GK113" s="460" t="str">
        <f t="shared" si="454"/>
        <v/>
      </c>
      <c r="GL113" s="460" t="str">
        <f t="shared" si="454"/>
        <v/>
      </c>
      <c r="GM113" s="460" t="str">
        <f t="shared" si="454"/>
        <v/>
      </c>
      <c r="GN113" s="460" t="str">
        <f t="shared" si="454"/>
        <v/>
      </c>
      <c r="GO113" s="460" t="str">
        <f t="shared" si="454"/>
        <v/>
      </c>
      <c r="GP113" s="460" t="str">
        <f t="shared" si="454"/>
        <v/>
      </c>
      <c r="GQ113" s="460" t="str">
        <f t="shared" si="454"/>
        <v/>
      </c>
      <c r="GR113" s="460" t="str">
        <f t="shared" si="454"/>
        <v/>
      </c>
      <c r="GS113" s="460" t="str">
        <f t="shared" si="454"/>
        <v/>
      </c>
      <c r="GT113" s="460" t="str">
        <f t="shared" si="454"/>
        <v/>
      </c>
      <c r="GU113" s="460" t="str">
        <f t="shared" si="454"/>
        <v/>
      </c>
      <c r="GV113" s="460" t="str">
        <f t="shared" si="454"/>
        <v/>
      </c>
      <c r="GW113" s="460" t="str">
        <f t="shared" si="454"/>
        <v/>
      </c>
      <c r="GX113" s="460" t="str">
        <f t="shared" si="454"/>
        <v/>
      </c>
      <c r="GY113" s="460" t="str">
        <f t="shared" si="454"/>
        <v/>
      </c>
      <c r="GZ113" s="460" t="str">
        <f t="shared" si="454"/>
        <v/>
      </c>
      <c r="HA113" s="460" t="str">
        <f t="shared" si="454"/>
        <v/>
      </c>
      <c r="HB113" s="460" t="str">
        <f t="shared" si="454"/>
        <v/>
      </c>
      <c r="HC113" s="460" t="str">
        <f t="shared" si="454"/>
        <v/>
      </c>
      <c r="HD113" s="460" t="str">
        <f t="shared" si="454"/>
        <v/>
      </c>
      <c r="HE113" s="460" t="str">
        <f t="shared" si="454"/>
        <v/>
      </c>
      <c r="HF113" s="460" t="str">
        <f t="shared" si="454"/>
        <v/>
      </c>
      <c r="HG113" s="460" t="str">
        <f t="shared" si="454"/>
        <v/>
      </c>
      <c r="HH113" s="460" t="str">
        <f t="shared" si="454"/>
        <v/>
      </c>
      <c r="HI113" s="460" t="str">
        <f t="shared" si="454"/>
        <v/>
      </c>
      <c r="HJ113" s="460" t="str">
        <f t="shared" si="454"/>
        <v/>
      </c>
      <c r="HK113" s="460" t="str">
        <f t="shared" si="454"/>
        <v/>
      </c>
      <c r="HL113" s="460" t="str">
        <f t="shared" si="454"/>
        <v/>
      </c>
      <c r="HM113" s="460" t="str">
        <f t="shared" si="454"/>
        <v/>
      </c>
      <c r="HN113" s="460" t="str">
        <f t="shared" si="454"/>
        <v/>
      </c>
      <c r="HO113" s="460" t="str">
        <f t="shared" si="454"/>
        <v/>
      </c>
      <c r="HP113" s="460" t="str">
        <f t="shared" si="454"/>
        <v/>
      </c>
      <c r="HQ113" s="460" t="str">
        <f t="shared" si="454"/>
        <v/>
      </c>
      <c r="HR113" s="460" t="str">
        <f t="shared" si="454"/>
        <v/>
      </c>
      <c r="HS113" s="460" t="str">
        <f t="shared" si="454"/>
        <v/>
      </c>
      <c r="HT113" s="460" t="str">
        <f t="shared" si="454"/>
        <v/>
      </c>
      <c r="HU113" s="460" t="str">
        <f t="shared" si="454"/>
        <v/>
      </c>
      <c r="HV113" s="460" t="str">
        <f t="shared" si="454"/>
        <v/>
      </c>
      <c r="HW113" s="460" t="str">
        <f t="shared" si="454"/>
        <v/>
      </c>
      <c r="HX113" s="460" t="str">
        <f t="shared" si="453"/>
        <v/>
      </c>
      <c r="HY113" s="460" t="str">
        <f t="shared" si="453"/>
        <v/>
      </c>
      <c r="HZ113" s="460" t="str">
        <f t="shared" si="453"/>
        <v/>
      </c>
      <c r="IA113" s="460" t="str">
        <f t="shared" si="453"/>
        <v/>
      </c>
      <c r="IB113" s="460" t="str">
        <f t="shared" si="453"/>
        <v/>
      </c>
      <c r="IC113" s="460" t="str">
        <f t="shared" si="453"/>
        <v/>
      </c>
      <c r="ID113" s="674" t="str">
        <f t="shared" si="453"/>
        <v/>
      </c>
      <c r="IE113" s="250"/>
    </row>
    <row r="114" spans="8:239">
      <c r="H114" s="51">
        <f t="shared" ca="1" si="315"/>
        <v>0</v>
      </c>
      <c r="I114" s="379">
        <f t="shared" si="316"/>
        <v>39630</v>
      </c>
      <c r="J114" s="377"/>
      <c r="K114" s="104" t="s">
        <v>268</v>
      </c>
      <c r="L114" s="392">
        <f t="shared" si="317"/>
        <v>0.67499999999999982</v>
      </c>
      <c r="M114" s="171"/>
      <c r="N114" s="382">
        <v>0</v>
      </c>
      <c r="O114" s="171">
        <f t="shared" si="272"/>
        <v>0</v>
      </c>
      <c r="P114" s="377"/>
      <c r="Q114" s="104" t="s">
        <v>268</v>
      </c>
      <c r="R114" s="377">
        <f t="shared" ca="1" si="417"/>
        <v>-0.52973466608841935</v>
      </c>
      <c r="S114" s="832">
        <f t="shared" si="435"/>
        <v>0.36000000000009608</v>
      </c>
      <c r="T114" s="831">
        <f t="shared" si="418"/>
        <v>0.99999995478295245</v>
      </c>
      <c r="U114" s="545">
        <f t="shared" si="419"/>
        <v>0.99999999999997291</v>
      </c>
      <c r="V114" s="389">
        <v>0</v>
      </c>
      <c r="W114" s="434">
        <f t="shared" si="273"/>
        <v>0</v>
      </c>
      <c r="X114" s="415">
        <f t="shared" si="274"/>
        <v>0.72784090909090893</v>
      </c>
      <c r="Y114" s="322">
        <f t="shared" si="275"/>
        <v>-1.2565999999999999</v>
      </c>
      <c r="Z114" s="322">
        <f t="shared" ca="1" si="276"/>
        <v>-0.52875909090909101</v>
      </c>
      <c r="AA114" s="429">
        <f t="shared" si="277"/>
        <v>1.2565999999999999</v>
      </c>
      <c r="AB114" s="433">
        <f t="shared" ca="1" si="278"/>
        <v>1.2565999999999999</v>
      </c>
      <c r="AC114" s="229">
        <v>39619</v>
      </c>
      <c r="AD114" s="229">
        <v>39615</v>
      </c>
      <c r="AE114" s="229">
        <v>39614</v>
      </c>
      <c r="AF114" s="229">
        <v>39610</v>
      </c>
      <c r="AG114" s="249" t="s">
        <v>499</v>
      </c>
      <c r="AH114" s="247" t="s">
        <v>499</v>
      </c>
      <c r="AI114" s="146">
        <v>22</v>
      </c>
      <c r="AJ114" s="41">
        <v>13</v>
      </c>
      <c r="AK114" s="41">
        <v>9</v>
      </c>
      <c r="AL114" s="293">
        <v>23</v>
      </c>
      <c r="AM114" s="41">
        <v>10</v>
      </c>
      <c r="AN114" s="147">
        <v>13</v>
      </c>
      <c r="AO114" s="374"/>
      <c r="AP114" s="153">
        <f t="shared" ca="1" si="318"/>
        <v>1</v>
      </c>
      <c r="AQ114" s="374"/>
      <c r="AR114" s="153">
        <f t="shared" ca="1" si="420"/>
        <v>1</v>
      </c>
      <c r="AS114" s="272">
        <f t="shared" si="279"/>
        <v>0</v>
      </c>
      <c r="AT114" s="157">
        <f t="shared" si="319"/>
        <v>0</v>
      </c>
      <c r="AU114" s="157">
        <f t="shared" si="280"/>
        <v>0</v>
      </c>
      <c r="AV114" s="271">
        <f t="shared" ca="1" si="430"/>
        <v>9.9999999999999995E-7</v>
      </c>
      <c r="AW114" s="158" t="str">
        <f t="shared" ca="1" si="281"/>
        <v/>
      </c>
      <c r="AX114" s="157">
        <f t="shared" ca="1" si="421"/>
        <v>1.0690365226525144E-3</v>
      </c>
      <c r="AY114" s="157">
        <f t="shared" ca="1" si="422"/>
        <v>4.4216457422537736E-4</v>
      </c>
      <c r="AZ114" s="157">
        <f t="shared" ca="1" si="423"/>
        <v>6.4084137704579624E-5</v>
      </c>
      <c r="BA114" s="157">
        <f t="shared" ca="1" si="424"/>
        <v>8.0105172130724529E-6</v>
      </c>
      <c r="BB114" s="157">
        <f t="shared" ca="1" si="425"/>
        <v>7.136279555092431E-7</v>
      </c>
      <c r="BC114" s="157">
        <f t="shared" ca="1" si="426"/>
        <v>1.2833677204185734E-7</v>
      </c>
      <c r="BD114" s="151">
        <f t="shared" ca="1" si="282"/>
        <v>0</v>
      </c>
      <c r="BE114" s="152">
        <f t="shared" ca="1" si="283"/>
        <v>0</v>
      </c>
      <c r="BF114" s="40">
        <f t="shared" si="284"/>
        <v>2008</v>
      </c>
      <c r="BG114" s="144">
        <f t="shared" si="285"/>
        <v>7</v>
      </c>
      <c r="BH114" s="145">
        <f t="shared" ca="1" si="286"/>
        <v>2870</v>
      </c>
      <c r="BI114" s="313">
        <f t="shared" ca="1" si="439"/>
        <v>7.8986995208761126</v>
      </c>
      <c r="BJ114" s="42">
        <f t="shared" ca="1" si="288"/>
        <v>7.9472341484661815</v>
      </c>
      <c r="BK114" s="42">
        <f t="shared" ca="1" si="289"/>
        <v>7.9499719992533135</v>
      </c>
      <c r="BL114" s="42">
        <f t="shared" ca="1" si="440"/>
        <v>7.9808350444900755</v>
      </c>
      <c r="BM114" s="150" t="e">
        <f t="shared" ca="1" si="291"/>
        <v>#DIV/0!</v>
      </c>
      <c r="BN114" s="42" t="e">
        <f t="shared" ca="1" si="292"/>
        <v>#DIV/0!</v>
      </c>
      <c r="BO114" s="293">
        <f t="shared" si="441"/>
        <v>22</v>
      </c>
      <c r="BP114" s="41">
        <f t="shared" si="442"/>
        <v>13</v>
      </c>
      <c r="BQ114" s="41">
        <f t="shared" si="443"/>
        <v>9</v>
      </c>
      <c r="BR114" s="305" t="str">
        <f t="shared" ca="1" si="295"/>
        <v/>
      </c>
      <c r="BS114" s="305" t="str">
        <f t="shared" ca="1" si="444"/>
        <v/>
      </c>
      <c r="BT114" s="307" t="str">
        <f t="shared" ca="1" si="445"/>
        <v/>
      </c>
      <c r="BU114" s="161" t="str">
        <f t="shared" ca="1" si="298"/>
        <v/>
      </c>
      <c r="BV114" s="161" t="str">
        <f t="shared" ca="1" si="299"/>
        <v/>
      </c>
      <c r="BW114" s="308" t="str">
        <f t="shared" ca="1" si="300"/>
        <v/>
      </c>
      <c r="BX114" s="309" t="str">
        <f t="shared" ca="1" si="301"/>
        <v/>
      </c>
      <c r="BY114" s="308" t="str">
        <f t="shared" ca="1" si="446"/>
        <v/>
      </c>
      <c r="BZ114" s="309" t="str">
        <f t="shared" ca="1" si="447"/>
        <v/>
      </c>
      <c r="CA114" s="154" t="str">
        <f t="shared" ca="1" si="302"/>
        <v/>
      </c>
      <c r="CB114" s="154" t="str">
        <f t="shared" ca="1" si="303"/>
        <v/>
      </c>
      <c r="CC114" s="154" t="str">
        <f t="shared" ca="1" si="304"/>
        <v/>
      </c>
      <c r="CD114" s="154" t="str">
        <f t="shared" ca="1" si="305"/>
        <v/>
      </c>
      <c r="CE114" s="310">
        <v>1</v>
      </c>
      <c r="CF114" s="162">
        <f ca="1">IF(BD114,_xll.xCrudeAPO(BU114,BV114,CA114,CB114,S115,S116,BI114,BL114,BP114,BQ114,0,Strike1,AO114,CE114,0,BL114,IF(OptControl=4,0,1),0,1),0)</f>
        <v>0</v>
      </c>
      <c r="CG114" s="163">
        <f ca="1">IF(BD114,_xll.xCrudeAPO(BU114,BV114,CA114,CB114,S115,S116,BI114,BL114,BP114,BQ114,0,Strike1,AO114,CE114,0,BL114,IF(OptControl=4,0,1),1,1)+_xll.xCrudeAPO(BU114,BV114,CA114,CB114,S115,S116,BI114,BL114,BP114,BQ114,0,Strike1,AO114,CE114,0,BL114,IF(OptControl=4,0,1),1,2)+IF(OR(VolSkewFlag=2,ABS(BS114)&lt;0.0001),0,IF(BS114&gt;0,-1,1)*CH114*Strike1/BR114^2*BY114/10%),0)</f>
        <v>0</v>
      </c>
      <c r="CH114" s="163">
        <f ca="1">IF(BD114,(_xll.xCrudeAPO(BU114,BV114,CA114,CB114,S115,S116,BI114,BL114,BP114,BQ114,0,Strike1,AO114,CE114,0,BL114,IF(OptControl=4,0,1),3,1)+_xll.xCrudeAPO(BU114,BV114,CA114,CB114,S115,S116,BI114,BL114,BP114,BQ114,0,Strike1,AO114,CE114,0,BL114,IF(OptControl=4,0,1),3,2))/100,0)</f>
        <v>0</v>
      </c>
      <c r="CI114" s="163">
        <f ca="1">IF(BD114,_xll.xCrudeAPO(BU114,BV114,CA114,CB114,S115,S116,BI114-DaysForThetaCalculation/365.25,BL114-DaysForThetaCalculation/365.25,BP114,BQ114,0,Strike1,AO114,CE114,0,BL114,IF(OptControl=4,0,1),0,1)-_xll.xCrudeAPO(BU114,BV114,CA114,CB114,S115,S116,BI114,BL114,BP114,BQ114,0,Strike1,AO114,CE114,0,BL114,IF(OptControl=4,0,1),0,1),0)</f>
        <v>0</v>
      </c>
      <c r="CJ114" s="311">
        <f ca="1">IF(BD114,_xll.xCrudeAPO(BU114,BV114,CC114,CD114,S115,S116,BI114,BL114,BP114,BQ114,0,Strike2,AO114,CE114,0,BL114,IF(OptControl=3,1,0),0,1),0)</f>
        <v>0</v>
      </c>
      <c r="CK114" s="163">
        <f ca="1">IF(BD114,_xll.xCrudeAPO(BU114,BV114,CC114,CD114,S115,S116,BI114,BL114,BP114,BQ114,0,Strike2,AO114,CE114,0,BL114,IF(OptControl=3,1,0),1,1)+_xll.xCrudeAPO(BU114,BV114,CC114,CD114,S115,S116,BI114,BL114,BP114,BQ114,0,Strike2,AO114,CE114,0,BL114,IF(OptControl=3,1,0),1,2)+IF(OR(VolSkewFlag=2,ABS(BT114)&lt;0.0001),0,IF(BT114&gt;0,-1,1)*CL114*Strike2/BR114^2*BZ114/10%),0)</f>
        <v>0</v>
      </c>
      <c r="CL114" s="163">
        <f ca="1">IF(BD114,(_xll.xCrudeAPO(BU114,BV114,CC114,CD114,S115,S116,BI114,BL114,BP114,BQ114,0,Strike2,AO114,CE114,0,BL114,IF(OptControl=3,1,0),3,1)+_xll.xCrudeAPO(BU114,BV114,CC114,CD114,S115,S116,BI114,BL114,BP114,BQ114,0,Strike2,AO114,CE114,0,BL114,IF(OptControl=3,1,0),3,2))/100,0)</f>
        <v>0</v>
      </c>
      <c r="CM114" s="164">
        <f ca="1">IF(BD114,_xll.xCrudeAPO(BU114,BV114,CC114,CD114,S115,S116,BI114-DaysForThetaCalculation/365.25,BL114-DaysForThetaCalculation/365.25,BP114,BQ114,0,Strike2,AO114,CE114,0,BL114,IF(OptControl=3,1,0),0,1)-_xll.xCrudeAPO(BU114,BV114,CC114,CD114,S115,S116,BI114,BL114,BP114,BQ114,0,Strike2,AO114,CE114,0,BL114,IF(OptControl=3,1,0),0,1),0)</f>
        <v>0</v>
      </c>
      <c r="CN114" s="53"/>
      <c r="CO114" s="796" t="str">
        <f t="shared" ca="1" si="323"/>
        <v/>
      </c>
      <c r="CP114" s="800" t="str">
        <f t="shared" ca="1" si="324"/>
        <v/>
      </c>
      <c r="CQ114" s="797" t="str">
        <f t="shared" ca="1" si="325"/>
        <v/>
      </c>
      <c r="CR114" s="797" t="str">
        <f t="shared" ca="1" si="326"/>
        <v/>
      </c>
      <c r="CS114" s="797" t="str">
        <f t="shared" ca="1" si="327"/>
        <v/>
      </c>
      <c r="CT114" s="797" t="str">
        <f t="shared" ca="1" si="328"/>
        <v/>
      </c>
      <c r="CU114" s="798" t="str">
        <f t="shared" ca="1" si="329"/>
        <v/>
      </c>
      <c r="CV114" s="799" t="str">
        <f t="shared" ca="1" si="330"/>
        <v/>
      </c>
      <c r="CW114" s="799" t="str">
        <f t="shared" ca="1" si="331"/>
        <v/>
      </c>
      <c r="CX114" s="163">
        <f ca="1">IF(BD114,_xll.EURO(CP114,Strike1,AO114,AO114,CV114,CO114,IF(OptControl=4,0,1),0),0)</f>
        <v>0</v>
      </c>
      <c r="CY114" s="163">
        <f ca="1">IF(BD114,_xll.EURO(CP114,Strike1,AO114,AO114,CV114,CO114,IF(OptControl=4,0,1),1)+IF(OR(VolSkewFlag=2,ABS(CQ114)&lt;0.0001),0,IF(CQ114&gt;0,-1,1)*CZ114*100*Strike1/CP114^2*CS114/10%),0)</f>
        <v>0</v>
      </c>
      <c r="CZ114" s="163">
        <f ca="1">IF(BD114,_xll.EURO(CP114,Strike1,AO114,AO114,CV114,CO114,IF(OptControl=4,0,1),3)/100,0)</f>
        <v>0</v>
      </c>
      <c r="DA114" s="163">
        <f ca="1">IF(BD114,_xll.EURO(CP114,Strike1,AO114,AO114,CV114,CO114,IF(OptControl=4,0,1),0)-_xll.EURO(CP114,Strike1,AO114,AO114,CV114,CO114-1,IF(OptControl=4,0,1),0),0)</f>
        <v>0</v>
      </c>
      <c r="DB114" s="163">
        <f ca="1">IF(BD114,_xll.EURO(CP114,Strike2,AO114,AO114,CW114,CO114,IF(OptControl=3,1,0),0),0)</f>
        <v>0</v>
      </c>
      <c r="DC114" s="163">
        <f ca="1">IF(BD114,_xll.EURO(CP114,Strike2,AO114,AO114,CW114,CO114,IF(OptControl=3,1,0),1)+IF(OR(VolSkewFlag=2,ABS(CR114)&lt;0.0001),0,IF(CR114&gt;0,-1,1)*DD114*100*Strike2/CP114^2*CT114/10%),0)</f>
        <v>0</v>
      </c>
      <c r="DD114" s="163">
        <f ca="1">IF(BD114,_xll.EURO(CP114,Strike2,AO114,AO114,CW114,CO114,IF(OptControl=3,1,0),3)/100,0)</f>
        <v>0</v>
      </c>
      <c r="DE114" s="164">
        <f ca="1">IF(BD114,_xll.EURO(CP114,Strike2,AO114,AO114,CW114,CO114,IF(OptControl=3,1,0),0)-_xll.EURO(CP114,Strike2,AO114,AO114,CW114,CO114-1,IF(OptControl=3,1,0),0),0)</f>
        <v>0</v>
      </c>
      <c r="DG114" s="667">
        <f t="shared" ca="1" si="332"/>
        <v>39417</v>
      </c>
      <c r="DH114" s="475">
        <v>18.86</v>
      </c>
      <c r="DI114" s="665">
        <v>18.925000000000001</v>
      </c>
      <c r="DJ114" s="666">
        <f t="shared" ca="1" si="306"/>
        <v>39417</v>
      </c>
      <c r="DK114" s="475">
        <v>17.66265159582122</v>
      </c>
      <c r="DL114" s="665">
        <v>17.731900000000014</v>
      </c>
      <c r="DM114" s="667">
        <f t="shared" ca="1" si="307"/>
        <v>39417</v>
      </c>
      <c r="DN114" s="668">
        <f t="shared" si="308"/>
        <v>17.712651595821221</v>
      </c>
      <c r="DO114" s="667">
        <f t="shared" ca="1" si="333"/>
        <v>39417</v>
      </c>
      <c r="DP114" s="579">
        <f t="shared" si="334"/>
        <v>17.731900000000014</v>
      </c>
      <c r="DQ114" s="821">
        <v>0</v>
      </c>
      <c r="DR114" s="666">
        <f t="shared" ca="1" si="309"/>
        <v>39417</v>
      </c>
      <c r="DS114" s="669">
        <v>0.16820000000000002</v>
      </c>
      <c r="DT114" s="606">
        <v>0.16742000000000004</v>
      </c>
      <c r="DU114" s="666">
        <f t="shared" ca="1" si="310"/>
        <v>39417</v>
      </c>
      <c r="DV114" s="669">
        <v>0.16820000000000002</v>
      </c>
      <c r="DW114" s="606">
        <v>0.16742000000000004</v>
      </c>
      <c r="DX114" s="667">
        <f t="shared" ca="1" si="311"/>
        <v>39417</v>
      </c>
      <c r="DY114" s="606">
        <v>0.35</v>
      </c>
      <c r="DZ114" s="667">
        <f t="shared" ca="1" si="335"/>
        <v>39417</v>
      </c>
      <c r="EA114" s="606">
        <f t="shared" si="336"/>
        <v>0.16742000000000004</v>
      </c>
      <c r="EB114" s="1"/>
      <c r="EC114" s="118" t="str">
        <f t="shared" ca="1" si="312"/>
        <v/>
      </c>
      <c r="ED114" s="119" t="str">
        <f t="shared" ca="1" si="313"/>
        <v/>
      </c>
      <c r="EE114" s="112" t="str">
        <f t="shared" ca="1" si="314"/>
        <v/>
      </c>
      <c r="EF114" s="120">
        <f ca="1">IF(BD114,_xll.xASN(BR114,Strike1,AO114,ED114,0,BO114,0,BI114,BL114,IF(OptControl=4,0,1),0),0)</f>
        <v>0</v>
      </c>
      <c r="EG114" s="111">
        <f ca="1">IF(BD114,_xll.xASN(BR114,Strike2,AO114,EE114,0,BO114,0,BI114,BL114,IF(OptControl=3,1,0),0),0)</f>
        <v>0</v>
      </c>
      <c r="EL114" s="55"/>
      <c r="EM114" s="1"/>
      <c r="EN114" s="106"/>
      <c r="EO114" s="106"/>
      <c r="EP114" s="1"/>
      <c r="EQ114" s="683" t="s">
        <v>327</v>
      </c>
      <c r="ES114" s="455"/>
      <c r="ET114" s="36"/>
      <c r="EU114" s="107"/>
      <c r="EV114" s="475"/>
      <c r="EW114" s="456"/>
      <c r="EX114" s="456"/>
      <c r="EY114" s="250"/>
      <c r="EZ114" s="250"/>
      <c r="FA114" s="250"/>
      <c r="FB114" s="250"/>
      <c r="FC114" s="250"/>
      <c r="FD114" s="250"/>
      <c r="FE114" s="250"/>
      <c r="FF114" s="250"/>
      <c r="FG114" s="250"/>
      <c r="FH114" s="250"/>
      <c r="FI114" s="250"/>
      <c r="FJ114" s="673">
        <v>20</v>
      </c>
      <c r="FK114" s="460">
        <f t="shared" ca="1" si="432"/>
        <v>0</v>
      </c>
      <c r="FL114" s="460">
        <f t="shared" ca="1" si="454"/>
        <v>0.17400612367801505</v>
      </c>
      <c r="FM114" s="460">
        <f t="shared" ca="1" si="454"/>
        <v>0.18000068802062036</v>
      </c>
      <c r="FN114" s="460">
        <f t="shared" ca="1" si="454"/>
        <v>0.17817898852697597</v>
      </c>
      <c r="FO114" s="460">
        <f t="shared" ca="1" si="454"/>
        <v>0.17747054631257075</v>
      </c>
      <c r="FP114" s="460">
        <f t="shared" ca="1" si="454"/>
        <v>0.17772528365694223</v>
      </c>
      <c r="FQ114" s="460">
        <f t="shared" ca="1" si="454"/>
        <v>0.17885731597710242</v>
      </c>
      <c r="FR114" s="460">
        <f t="shared" ca="1" si="454"/>
        <v>0.18083567178533583</v>
      </c>
      <c r="FS114" s="460">
        <f t="shared" ca="1" si="454"/>
        <v>0.18367943786201671</v>
      </c>
      <c r="FT114" s="460">
        <f t="shared" ca="1" si="454"/>
        <v>0.18745704134487523</v>
      </c>
      <c r="FU114" s="460">
        <f t="shared" ca="1" si="454"/>
        <v>0.19228983614995035</v>
      </c>
      <c r="FV114" s="460">
        <f t="shared" ca="1" si="454"/>
        <v>0.19836071584699932</v>
      </c>
      <c r="FW114" s="460">
        <f t="shared" ca="1" si="454"/>
        <v>0.20592924221851006</v>
      </c>
      <c r="FX114" s="460">
        <f t="shared" ca="1" si="454"/>
        <v>0.21535594747075706</v>
      </c>
      <c r="FY114" s="460">
        <f t="shared" ca="1" si="454"/>
        <v>0.22714037546048138</v>
      </c>
      <c r="FZ114" s="460">
        <f t="shared" ca="1" si="454"/>
        <v>0.24198070371230168</v>
      </c>
      <c r="GA114" s="460">
        <f t="shared" ca="1" si="454"/>
        <v>0.26086866425152722</v>
      </c>
      <c r="GB114" s="460">
        <f t="shared" ca="1" si="454"/>
        <v>0.2852444659923935</v>
      </c>
      <c r="GC114" s="460">
        <f t="shared" ca="1" si="454"/>
        <v>0.31725786918307586</v>
      </c>
      <c r="GD114" s="460">
        <f t="shared" ca="1" si="454"/>
        <v>0.36022550840454642</v>
      </c>
      <c r="GE114" s="460" t="str">
        <f t="shared" si="454"/>
        <v/>
      </c>
      <c r="GF114" s="460" t="str">
        <f t="shared" si="454"/>
        <v/>
      </c>
      <c r="GG114" s="460" t="str">
        <f t="shared" si="454"/>
        <v/>
      </c>
      <c r="GH114" s="460" t="str">
        <f t="shared" si="454"/>
        <v/>
      </c>
      <c r="GI114" s="460" t="str">
        <f t="shared" si="454"/>
        <v/>
      </c>
      <c r="GJ114" s="460" t="str">
        <f t="shared" si="454"/>
        <v/>
      </c>
      <c r="GK114" s="460" t="str">
        <f t="shared" si="454"/>
        <v/>
      </c>
      <c r="GL114" s="460" t="str">
        <f t="shared" si="454"/>
        <v/>
      </c>
      <c r="GM114" s="460" t="str">
        <f t="shared" si="454"/>
        <v/>
      </c>
      <c r="GN114" s="460" t="str">
        <f t="shared" si="454"/>
        <v/>
      </c>
      <c r="GO114" s="460" t="str">
        <f t="shared" si="454"/>
        <v/>
      </c>
      <c r="GP114" s="460" t="str">
        <f t="shared" si="454"/>
        <v/>
      </c>
      <c r="GQ114" s="460" t="str">
        <f t="shared" si="454"/>
        <v/>
      </c>
      <c r="GR114" s="460" t="str">
        <f t="shared" si="454"/>
        <v/>
      </c>
      <c r="GS114" s="460" t="str">
        <f t="shared" si="454"/>
        <v/>
      </c>
      <c r="GT114" s="460" t="str">
        <f t="shared" si="454"/>
        <v/>
      </c>
      <c r="GU114" s="460" t="str">
        <f t="shared" si="454"/>
        <v/>
      </c>
      <c r="GV114" s="460" t="str">
        <f t="shared" si="454"/>
        <v/>
      </c>
      <c r="GW114" s="460" t="str">
        <f t="shared" si="454"/>
        <v/>
      </c>
      <c r="GX114" s="460" t="str">
        <f t="shared" si="454"/>
        <v/>
      </c>
      <c r="GY114" s="460" t="str">
        <f t="shared" si="454"/>
        <v/>
      </c>
      <c r="GZ114" s="460" t="str">
        <f t="shared" si="454"/>
        <v/>
      </c>
      <c r="HA114" s="460" t="str">
        <f t="shared" si="454"/>
        <v/>
      </c>
      <c r="HB114" s="460" t="str">
        <f t="shared" si="454"/>
        <v/>
      </c>
      <c r="HC114" s="460" t="str">
        <f t="shared" si="454"/>
        <v/>
      </c>
      <c r="HD114" s="460" t="str">
        <f t="shared" si="454"/>
        <v/>
      </c>
      <c r="HE114" s="460" t="str">
        <f t="shared" si="454"/>
        <v/>
      </c>
      <c r="HF114" s="460" t="str">
        <f t="shared" si="454"/>
        <v/>
      </c>
      <c r="HG114" s="460" t="str">
        <f t="shared" si="454"/>
        <v/>
      </c>
      <c r="HH114" s="460" t="str">
        <f t="shared" si="454"/>
        <v/>
      </c>
      <c r="HI114" s="460" t="str">
        <f t="shared" si="454"/>
        <v/>
      </c>
      <c r="HJ114" s="460" t="str">
        <f t="shared" si="454"/>
        <v/>
      </c>
      <c r="HK114" s="460" t="str">
        <f t="shared" si="454"/>
        <v/>
      </c>
      <c r="HL114" s="460" t="str">
        <f t="shared" si="454"/>
        <v/>
      </c>
      <c r="HM114" s="460" t="str">
        <f t="shared" si="454"/>
        <v/>
      </c>
      <c r="HN114" s="460" t="str">
        <f t="shared" si="454"/>
        <v/>
      </c>
      <c r="HO114" s="460" t="str">
        <f t="shared" si="454"/>
        <v/>
      </c>
      <c r="HP114" s="460" t="str">
        <f t="shared" si="454"/>
        <v/>
      </c>
      <c r="HQ114" s="460" t="str">
        <f t="shared" si="454"/>
        <v/>
      </c>
      <c r="HR114" s="460" t="str">
        <f t="shared" si="454"/>
        <v/>
      </c>
      <c r="HS114" s="460" t="str">
        <f t="shared" si="454"/>
        <v/>
      </c>
      <c r="HT114" s="460" t="str">
        <f t="shared" si="454"/>
        <v/>
      </c>
      <c r="HU114" s="460" t="str">
        <f t="shared" si="454"/>
        <v/>
      </c>
      <c r="HV114" s="460" t="str">
        <f t="shared" si="454"/>
        <v/>
      </c>
      <c r="HW114" s="460" t="str">
        <f t="shared" si="454"/>
        <v/>
      </c>
      <c r="HX114" s="460" t="str">
        <f t="shared" si="453"/>
        <v/>
      </c>
      <c r="HY114" s="460" t="str">
        <f t="shared" si="453"/>
        <v/>
      </c>
      <c r="HZ114" s="460" t="str">
        <f t="shared" si="453"/>
        <v/>
      </c>
      <c r="IA114" s="460" t="str">
        <f t="shared" si="453"/>
        <v/>
      </c>
      <c r="IB114" s="460" t="str">
        <f t="shared" si="453"/>
        <v/>
      </c>
      <c r="IC114" s="460" t="str">
        <f t="shared" si="453"/>
        <v/>
      </c>
      <c r="ID114" s="674" t="str">
        <f t="shared" si="453"/>
        <v/>
      </c>
      <c r="IE114" s="250"/>
    </row>
    <row r="115" spans="8:239">
      <c r="H115" s="51">
        <f t="shared" ca="1" si="315"/>
        <v>0</v>
      </c>
      <c r="I115" s="379">
        <f t="shared" si="316"/>
        <v>39661</v>
      </c>
      <c r="J115" s="377"/>
      <c r="K115" s="104" t="s">
        <v>268</v>
      </c>
      <c r="L115" s="392">
        <f t="shared" si="317"/>
        <v>0.7124999999999998</v>
      </c>
      <c r="M115" s="171"/>
      <c r="N115" s="382">
        <v>0</v>
      </c>
      <c r="O115" s="171">
        <f t="shared" si="272"/>
        <v>0</v>
      </c>
      <c r="P115" s="377"/>
      <c r="Q115" s="104" t="s">
        <v>268</v>
      </c>
      <c r="R115" s="377">
        <f t="shared" ca="1" si="417"/>
        <v>-0.65487757628325538</v>
      </c>
      <c r="S115" s="832">
        <f t="shared" si="435"/>
        <v>0.36000000000007204</v>
      </c>
      <c r="T115" s="831">
        <f t="shared" si="418"/>
        <v>0.99999996133942592</v>
      </c>
      <c r="U115" s="545">
        <f t="shared" si="419"/>
        <v>0.99999999999997968</v>
      </c>
      <c r="V115" s="389">
        <v>0</v>
      </c>
      <c r="W115" s="434">
        <f t="shared" ref="W115:W146" si="455">(J116*AJ115+J117*AK115)/AI115</f>
        <v>0</v>
      </c>
      <c r="X115" s="415">
        <f t="shared" ref="X115:X146" si="456">(L116*AJ115+L117*AK115)/AI115</f>
        <v>0.76249999999999984</v>
      </c>
      <c r="Y115" s="322">
        <f t="shared" ref="Y115:Y146" si="457">IF(Q117="extra",W115-AA115,(P116*AM115+P117*AN115)/AL115)</f>
        <v>-1.2565999999999999</v>
      </c>
      <c r="Z115" s="322">
        <f t="shared" ref="Z115:Z146" ca="1" si="458">IF(Q117="extra",X115-AB115,(R116*AM115+R117*AN115)/AL115)</f>
        <v>-0.49410000000000009</v>
      </c>
      <c r="AA115" s="429">
        <f t="shared" si="277"/>
        <v>1.2565999999999999</v>
      </c>
      <c r="AB115" s="433">
        <f t="shared" ca="1" si="278"/>
        <v>1.2565999999999999</v>
      </c>
      <c r="AC115" s="229">
        <v>39649</v>
      </c>
      <c r="AD115" s="229">
        <v>39645</v>
      </c>
      <c r="AE115" s="229">
        <v>39644</v>
      </c>
      <c r="AF115" s="229">
        <v>39640</v>
      </c>
      <c r="AG115" s="249" t="s">
        <v>499</v>
      </c>
      <c r="AH115" s="247" t="s">
        <v>499</v>
      </c>
      <c r="AI115" s="146">
        <v>21</v>
      </c>
      <c r="AJ115" s="41">
        <v>14</v>
      </c>
      <c r="AK115" s="41">
        <v>7</v>
      </c>
      <c r="AL115" s="293">
        <v>21</v>
      </c>
      <c r="AM115" s="41">
        <v>10</v>
      </c>
      <c r="AN115" s="147">
        <v>11</v>
      </c>
      <c r="AO115" s="374"/>
      <c r="AP115" s="153">
        <f t="shared" ca="1" si="318"/>
        <v>1</v>
      </c>
      <c r="AQ115" s="374"/>
      <c r="AR115" s="153">
        <f t="shared" ca="1" si="420"/>
        <v>1</v>
      </c>
      <c r="AS115" s="272">
        <f t="shared" ref="AS115:AS146" si="459">(O116*AJ115+O117*AK115)/AI115</f>
        <v>0</v>
      </c>
      <c r="AT115" s="157">
        <f t="shared" si="319"/>
        <v>0</v>
      </c>
      <c r="AU115" s="157">
        <f t="shared" si="280"/>
        <v>0</v>
      </c>
      <c r="AV115" s="271">
        <f t="shared" ca="1" si="430"/>
        <v>9.9999999999999995E-7</v>
      </c>
      <c r="AW115" s="158" t="str">
        <f t="shared" ref="AW115:AW146" ca="1" si="460">IF($I115-DateToday+15&gt;=$T$8,"",IF($I115-DateToday+15&lt;$T$5,1,MATCH($I115-DateToday+15,$T$5:$T$8)))</f>
        <v/>
      </c>
      <c r="AX115" s="157">
        <f t="shared" ca="1" si="421"/>
        <v>1.0335185386353926E-3</v>
      </c>
      <c r="AY115" s="157">
        <f t="shared" ca="1" si="422"/>
        <v>4.2463210892896804E-4</v>
      </c>
      <c r="AZ115" s="157">
        <f t="shared" ca="1" si="423"/>
        <v>6.0487371429709091E-5</v>
      </c>
      <c r="BA115" s="157">
        <f t="shared" ca="1" si="424"/>
        <v>7.5609214287136364E-6</v>
      </c>
      <c r="BB115" s="157">
        <f t="shared" ca="1" si="425"/>
        <v>6.5119603881174855E-7</v>
      </c>
      <c r="BC115" s="157">
        <f t="shared" ca="1" si="426"/>
        <v>1.1433506570235952E-7</v>
      </c>
      <c r="BD115" s="151">
        <f t="shared" ref="BD115:BD146" ca="1" si="461">IF(OR(DateStart&gt;=I116,DateEnd&lt;I115),0,IF(VolumeOverrideFlag,V115,Volume))</f>
        <v>0</v>
      </c>
      <c r="BE115" s="152">
        <f t="shared" ref="BE115:BE146" ca="1" si="462">IF(OR(DateStart2&gt;=I116,DateEnd2&lt;I115),0,IF(VolumeOverrideFlag,V115,VolumeSwaption))</f>
        <v>0</v>
      </c>
      <c r="BF115" s="40">
        <f t="shared" ref="BF115:BF146" si="463">YEAR(I115)</f>
        <v>2008</v>
      </c>
      <c r="BG115" s="144">
        <f t="shared" ref="BG115:BG146" si="464">MONTH(I115)</f>
        <v>8</v>
      </c>
      <c r="BH115" s="145">
        <f t="shared" ref="BH115:BH146" ca="1" si="465">AD115-DateToday+1</f>
        <v>2900</v>
      </c>
      <c r="BI115" s="313">
        <f t="shared" ca="1" si="439"/>
        <v>7.9835728952772076</v>
      </c>
      <c r="BJ115" s="42">
        <f t="shared" ca="1" si="288"/>
        <v>8.038329911019849</v>
      </c>
      <c r="BK115" s="42">
        <f t="shared" ca="1" si="289"/>
        <v>8.0410677618069819</v>
      </c>
      <c r="BL115" s="42">
        <f t="shared" ca="1" si="440"/>
        <v>8.0657084188911696</v>
      </c>
      <c r="BM115" s="150" t="e">
        <f t="shared" ca="1" si="291"/>
        <v>#DIV/0!</v>
      </c>
      <c r="BN115" s="42" t="e">
        <f t="shared" ca="1" si="292"/>
        <v>#DIV/0!</v>
      </c>
      <c r="BO115" s="293">
        <f t="shared" si="441"/>
        <v>21</v>
      </c>
      <c r="BP115" s="41">
        <f t="shared" si="442"/>
        <v>14</v>
      </c>
      <c r="BQ115" s="41">
        <f t="shared" si="443"/>
        <v>7</v>
      </c>
      <c r="BR115" s="305" t="str">
        <f t="shared" ca="1" si="295"/>
        <v/>
      </c>
      <c r="BS115" s="305" t="str">
        <f t="shared" ca="1" si="444"/>
        <v/>
      </c>
      <c r="BT115" s="307" t="str">
        <f t="shared" ca="1" si="445"/>
        <v/>
      </c>
      <c r="BU115" s="161" t="str">
        <f t="shared" ca="1" si="298"/>
        <v/>
      </c>
      <c r="BV115" s="161" t="str">
        <f t="shared" ca="1" si="299"/>
        <v/>
      </c>
      <c r="BW115" s="308" t="str">
        <f t="shared" ca="1" si="300"/>
        <v/>
      </c>
      <c r="BX115" s="309" t="str">
        <f t="shared" ca="1" si="301"/>
        <v/>
      </c>
      <c r="BY115" s="308" t="str">
        <f t="shared" ca="1" si="446"/>
        <v/>
      </c>
      <c r="BZ115" s="309" t="str">
        <f t="shared" ca="1" si="447"/>
        <v/>
      </c>
      <c r="CA115" s="154" t="str">
        <f t="shared" ca="1" si="302"/>
        <v/>
      </c>
      <c r="CB115" s="154" t="str">
        <f t="shared" ca="1" si="303"/>
        <v/>
      </c>
      <c r="CC115" s="154" t="str">
        <f t="shared" ca="1" si="304"/>
        <v/>
      </c>
      <c r="CD115" s="154" t="str">
        <f t="shared" ca="1" si="305"/>
        <v/>
      </c>
      <c r="CE115" s="310">
        <v>1</v>
      </c>
      <c r="CF115" s="162">
        <f ca="1">IF(BD115,_xll.xCrudeAPO(BU115,BV115,CA115,CB115,S116,S117,BI115,BL115,BP115,BQ115,0,Strike1,AO115,CE115,0,BL115,IF(OptControl=4,0,1),0,1),0)</f>
        <v>0</v>
      </c>
      <c r="CG115" s="163">
        <f ca="1">IF(BD115,_xll.xCrudeAPO(BU115,BV115,CA115,CB115,S116,S117,BI115,BL115,BP115,BQ115,0,Strike1,AO115,CE115,0,BL115,IF(OptControl=4,0,1),1,1)+_xll.xCrudeAPO(BU115,BV115,CA115,CB115,S116,S117,BI115,BL115,BP115,BQ115,0,Strike1,AO115,CE115,0,BL115,IF(OptControl=4,0,1),1,2)+IF(OR(VolSkewFlag=2,ABS(BS115)&lt;0.0001),0,IF(BS115&gt;0,-1,1)*CH115*Strike1/BR115^2*BY115/10%),0)</f>
        <v>0</v>
      </c>
      <c r="CH115" s="163">
        <f ca="1">IF(BD115,(_xll.xCrudeAPO(BU115,BV115,CA115,CB115,S116,S117,BI115,BL115,BP115,BQ115,0,Strike1,AO115,CE115,0,BL115,IF(OptControl=4,0,1),3,1)+_xll.xCrudeAPO(BU115,BV115,CA115,CB115,S116,S117,BI115,BL115,BP115,BQ115,0,Strike1,AO115,CE115,0,BL115,IF(OptControl=4,0,1),3,2))/100,0)</f>
        <v>0</v>
      </c>
      <c r="CI115" s="163">
        <f ca="1">IF(BD115,_xll.xCrudeAPO(BU115,BV115,CA115,CB115,S116,S117,BI115-DaysForThetaCalculation/365.25,BL115-DaysForThetaCalculation/365.25,BP115,BQ115,0,Strike1,AO115,CE115,0,BL115,IF(OptControl=4,0,1),0,1)-_xll.xCrudeAPO(BU115,BV115,CA115,CB115,S116,S117,BI115,BL115,BP115,BQ115,0,Strike1,AO115,CE115,0,BL115,IF(OptControl=4,0,1),0,1),0)</f>
        <v>0</v>
      </c>
      <c r="CJ115" s="311">
        <f ca="1">IF(BD115,_xll.xCrudeAPO(BU115,BV115,CC115,CD115,S116,S117,BI115,BL115,BP115,BQ115,0,Strike2,AO115,CE115,0,BL115,IF(OptControl=3,1,0),0,1),0)</f>
        <v>0</v>
      </c>
      <c r="CK115" s="163">
        <f ca="1">IF(BD115,_xll.xCrudeAPO(BU115,BV115,CC115,CD115,S116,S117,BI115,BL115,BP115,BQ115,0,Strike2,AO115,CE115,0,BL115,IF(OptControl=3,1,0),1,1)+_xll.xCrudeAPO(BU115,BV115,CC115,CD115,S116,S117,BI115,BL115,BP115,BQ115,0,Strike2,AO115,CE115,0,BL115,IF(OptControl=3,1,0),1,2)+IF(OR(VolSkewFlag=2,ABS(BT115)&lt;0.0001),0,IF(BT115&gt;0,-1,1)*CL115*Strike2/BR115^2*BZ115/10%),0)</f>
        <v>0</v>
      </c>
      <c r="CL115" s="163">
        <f ca="1">IF(BD115,(_xll.xCrudeAPO(BU115,BV115,CC115,CD115,S116,S117,BI115,BL115,BP115,BQ115,0,Strike2,AO115,CE115,0,BL115,IF(OptControl=3,1,0),3,1)+_xll.xCrudeAPO(BU115,BV115,CC115,CD115,S116,S117,BI115,BL115,BP115,BQ115,0,Strike2,AO115,CE115,0,BL115,IF(OptControl=3,1,0),3,2))/100,0)</f>
        <v>0</v>
      </c>
      <c r="CM115" s="164">
        <f ca="1">IF(BD115,_xll.xCrudeAPO(BU115,BV115,CC115,CD115,S116,S117,BI115-DaysForThetaCalculation/365.25,BL115-DaysForThetaCalculation/365.25,BP115,BQ115,0,Strike2,AO115,CE115,0,BL115,IF(OptControl=3,1,0),0,1)-_xll.xCrudeAPO(BU115,BV115,CC115,CD115,S116,S117,BI115,BL115,BP115,BQ115,0,Strike2,AO115,CE115,0,BL115,IF(OptControl=3,1,0),0,1),0)</f>
        <v>0</v>
      </c>
      <c r="CN115" s="53"/>
      <c r="CO115" s="796" t="str">
        <f t="shared" ca="1" si="323"/>
        <v/>
      </c>
      <c r="CP115" s="800" t="str">
        <f t="shared" ca="1" si="324"/>
        <v/>
      </c>
      <c r="CQ115" s="797" t="str">
        <f t="shared" ca="1" si="325"/>
        <v/>
      </c>
      <c r="CR115" s="797" t="str">
        <f t="shared" ca="1" si="326"/>
        <v/>
      </c>
      <c r="CS115" s="797" t="str">
        <f t="shared" ca="1" si="327"/>
        <v/>
      </c>
      <c r="CT115" s="797" t="str">
        <f t="shared" ca="1" si="328"/>
        <v/>
      </c>
      <c r="CU115" s="798" t="str">
        <f t="shared" ca="1" si="329"/>
        <v/>
      </c>
      <c r="CV115" s="799" t="str">
        <f t="shared" ca="1" si="330"/>
        <v/>
      </c>
      <c r="CW115" s="799" t="str">
        <f t="shared" ca="1" si="331"/>
        <v/>
      </c>
      <c r="CX115" s="163">
        <f ca="1">IF(BD115,_xll.EURO(CP115,Strike1,AO115,AO115,CV115,CO115,IF(OptControl=4,0,1),0),0)</f>
        <v>0</v>
      </c>
      <c r="CY115" s="163">
        <f ca="1">IF(BD115,_xll.EURO(CP115,Strike1,AO115,AO115,CV115,CO115,IF(OptControl=4,0,1),1)+IF(OR(VolSkewFlag=2,ABS(CQ115)&lt;0.0001),0,IF(CQ115&gt;0,-1,1)*CZ115*100*Strike1/CP115^2*CS115/10%),0)</f>
        <v>0</v>
      </c>
      <c r="CZ115" s="163">
        <f ca="1">IF(BD115,_xll.EURO(CP115,Strike1,AO115,AO115,CV115,CO115,IF(OptControl=4,0,1),3)/100,0)</f>
        <v>0</v>
      </c>
      <c r="DA115" s="163">
        <f ca="1">IF(BD115,_xll.EURO(CP115,Strike1,AO115,AO115,CV115,CO115,IF(OptControl=4,0,1),0)-_xll.EURO(CP115,Strike1,AO115,AO115,CV115,CO115-1,IF(OptControl=4,0,1),0),0)</f>
        <v>0</v>
      </c>
      <c r="DB115" s="163">
        <f ca="1">IF(BD115,_xll.EURO(CP115,Strike2,AO115,AO115,CW115,CO115,IF(OptControl=3,1,0),0),0)</f>
        <v>0</v>
      </c>
      <c r="DC115" s="163">
        <f ca="1">IF(BD115,_xll.EURO(CP115,Strike2,AO115,AO115,CW115,CO115,IF(OptControl=3,1,0),1)+IF(OR(VolSkewFlag=2,ABS(CR115)&lt;0.0001),0,IF(CR115&gt;0,-1,1)*DD115*100*Strike2/CP115^2*CT115/10%),0)</f>
        <v>0</v>
      </c>
      <c r="DD115" s="163">
        <f ca="1">IF(BD115,_xll.EURO(CP115,Strike2,AO115,AO115,CW115,CO115,IF(OptControl=3,1,0),3)/100,0)</f>
        <v>0</v>
      </c>
      <c r="DE115" s="164">
        <f ca="1">IF(BD115,_xll.EURO(CP115,Strike2,AO115,AO115,CW115,CO115,IF(OptControl=3,1,0),0)-_xll.EURO(CP115,Strike2,AO115,AO115,CW115,CO115-1,IF(OptControl=3,1,0),0),0)</f>
        <v>0</v>
      </c>
      <c r="DG115" s="667">
        <f t="shared" ca="1" si="332"/>
        <v>39448</v>
      </c>
      <c r="DH115" s="475">
        <v>18.91</v>
      </c>
      <c r="DI115" s="665">
        <v>18.98045454545456</v>
      </c>
      <c r="DJ115" s="666">
        <f t="shared" ref="DJ115:DJ146" ca="1" si="466">DG115</f>
        <v>39448</v>
      </c>
      <c r="DK115" s="475">
        <v>17.703773670149001</v>
      </c>
      <c r="DL115" s="665">
        <v>17.811954545454562</v>
      </c>
      <c r="DM115" s="667">
        <f t="shared" ref="DM115:DM146" ca="1" si="467">DG115</f>
        <v>39448</v>
      </c>
      <c r="DN115" s="668">
        <f t="shared" ref="DN115:DN146" si="468">DK115+BrentPhyBrentSpread</f>
        <v>17.753773670149002</v>
      </c>
      <c r="DO115" s="667">
        <f t="shared" ca="1" si="333"/>
        <v>39448</v>
      </c>
      <c r="DP115" s="579">
        <f t="shared" si="334"/>
        <v>17.811954545454562</v>
      </c>
      <c r="DQ115" s="821">
        <v>0</v>
      </c>
      <c r="DR115" s="666">
        <f t="shared" ref="DR115:DR146" ca="1" si="469">DG115</f>
        <v>39448</v>
      </c>
      <c r="DS115" s="669">
        <v>0.16760000000000003</v>
      </c>
      <c r="DT115" s="606">
        <v>0.16675454545454549</v>
      </c>
      <c r="DU115" s="666">
        <f t="shared" ref="DU115:DU146" ca="1" si="470">DG115</f>
        <v>39448</v>
      </c>
      <c r="DV115" s="669">
        <v>0.16760000000000003</v>
      </c>
      <c r="DW115" s="606">
        <v>0.16675454545454549</v>
      </c>
      <c r="DX115" s="667">
        <f t="shared" ref="DX115:DX146" ca="1" si="471">DG115</f>
        <v>39448</v>
      </c>
      <c r="DY115" s="606">
        <v>0.35</v>
      </c>
      <c r="DZ115" s="667">
        <f t="shared" ca="1" si="335"/>
        <v>39448</v>
      </c>
      <c r="EA115" s="606">
        <f t="shared" si="336"/>
        <v>0.16675454545454549</v>
      </c>
      <c r="EB115" s="1"/>
      <c r="EC115" s="118" t="str">
        <f t="shared" ref="EC115:EC146" ca="1" si="472">IF(BD115,IF(Underlying=1,AS115,AU115),"")</f>
        <v/>
      </c>
      <c r="ED115" s="119" t="str">
        <f t="shared" ca="1" si="313"/>
        <v/>
      </c>
      <c r="EE115" s="112" t="str">
        <f t="shared" ca="1" si="314"/>
        <v/>
      </c>
      <c r="EF115" s="120">
        <f ca="1">IF(BD115,_xll.xASN(BR115,Strike1,AO115,ED115,0,BO115,0,BI115,BL115,IF(OptControl=4,0,1),0),0)</f>
        <v>0</v>
      </c>
      <c r="EG115" s="111">
        <f ca="1">IF(BD115,_xll.xASN(BR115,Strike2,AO115,EE115,0,BO115,0,BI115,BL115,IF(OptControl=3,1,0),0),0)</f>
        <v>0</v>
      </c>
      <c r="EL115" s="55"/>
      <c r="EM115" s="1"/>
      <c r="EN115" s="106"/>
      <c r="EO115" s="106"/>
      <c r="EP115" s="1"/>
      <c r="EQ115" s="683" t="s">
        <v>328</v>
      </c>
      <c r="ES115" s="455"/>
      <c r="ET115" s="36"/>
      <c r="EU115" s="107"/>
      <c r="EV115" s="475"/>
      <c r="EW115" s="456"/>
      <c r="EX115" s="456"/>
      <c r="EY115" s="250"/>
      <c r="EZ115" s="250"/>
      <c r="FA115" s="250"/>
      <c r="FB115" s="250"/>
      <c r="FC115" s="250"/>
      <c r="FD115" s="250"/>
      <c r="FE115" s="250"/>
      <c r="FF115" s="250"/>
      <c r="FG115" s="250"/>
      <c r="FH115" s="250"/>
      <c r="FI115" s="250"/>
      <c r="FJ115" s="673">
        <v>21</v>
      </c>
      <c r="FK115" s="460">
        <f t="shared" ca="1" si="432"/>
        <v>0</v>
      </c>
      <c r="FL115" s="460">
        <f t="shared" ca="1" si="454"/>
        <v>0.17283688423226357</v>
      </c>
      <c r="FM115" s="460">
        <f t="shared" ca="1" si="454"/>
        <v>0.17858523219585759</v>
      </c>
      <c r="FN115" s="460">
        <f t="shared" ca="1" si="454"/>
        <v>0.17653913632791615</v>
      </c>
      <c r="FO115" s="460">
        <f t="shared" ca="1" si="454"/>
        <v>0.17555870928393227</v>
      </c>
      <c r="FP115" s="460">
        <f t="shared" ca="1" si="454"/>
        <v>0.17548393571951956</v>
      </c>
      <c r="FQ115" s="460">
        <f t="shared" ca="1" si="454"/>
        <v>0.17621629539947764</v>
      </c>
      <c r="FR115" s="460">
        <f t="shared" ca="1" si="454"/>
        <v>0.17770861294870519</v>
      </c>
      <c r="FS115" s="460">
        <f t="shared" ca="1" si="454"/>
        <v>0.17995898460466722</v>
      </c>
      <c r="FT115" s="460">
        <f t="shared" ca="1" si="454"/>
        <v>0.18300832907208961</v>
      </c>
      <c r="FU115" s="460">
        <f t="shared" ca="1" si="454"/>
        <v>0.18694147436705727</v>
      </c>
      <c r="FV115" s="460">
        <f t="shared" ca="1" si="454"/>
        <v>0.19189209820807077</v>
      </c>
      <c r="FW115" s="460">
        <f t="shared" ca="1" si="454"/>
        <v>0.198052356682106</v>
      </c>
      <c r="FX115" s="460">
        <f t="shared" ca="1" si="454"/>
        <v>0.20568877486095846</v>
      </c>
      <c r="FY115" s="460">
        <f t="shared" ca="1" si="454"/>
        <v>0.21516712065343446</v>
      </c>
      <c r="FZ115" s="460">
        <f t="shared" ca="1" si="454"/>
        <v>0.22699087471176069</v>
      </c>
      <c r="GA115" s="460">
        <f t="shared" ca="1" si="454"/>
        <v>0.24186117369894697</v>
      </c>
      <c r="GB115" s="460">
        <f t="shared" ca="1" si="454"/>
        <v>0.26077197148421077</v>
      </c>
      <c r="GC115" s="460">
        <f t="shared" ca="1" si="454"/>
        <v>0.28516514072033244</v>
      </c>
      <c r="GD115" s="460">
        <f t="shared" ca="1" si="454"/>
        <v>0.31719167972863488</v>
      </c>
      <c r="GE115" s="460">
        <f t="shared" ca="1" si="454"/>
        <v>0.36016913130340983</v>
      </c>
      <c r="GF115" s="460" t="str">
        <f t="shared" si="454"/>
        <v/>
      </c>
      <c r="GG115" s="460" t="str">
        <f t="shared" si="454"/>
        <v/>
      </c>
      <c r="GH115" s="460" t="str">
        <f t="shared" si="454"/>
        <v/>
      </c>
      <c r="GI115" s="460" t="str">
        <f t="shared" si="454"/>
        <v/>
      </c>
      <c r="GJ115" s="460" t="str">
        <f t="shared" si="454"/>
        <v/>
      </c>
      <c r="GK115" s="460" t="str">
        <f t="shared" si="454"/>
        <v/>
      </c>
      <c r="GL115" s="460" t="str">
        <f t="shared" si="454"/>
        <v/>
      </c>
      <c r="GM115" s="460" t="str">
        <f t="shared" si="454"/>
        <v/>
      </c>
      <c r="GN115" s="460" t="str">
        <f t="shared" si="454"/>
        <v/>
      </c>
      <c r="GO115" s="460" t="str">
        <f t="shared" si="454"/>
        <v/>
      </c>
      <c r="GP115" s="460" t="str">
        <f t="shared" si="454"/>
        <v/>
      </c>
      <c r="GQ115" s="460" t="str">
        <f t="shared" si="454"/>
        <v/>
      </c>
      <c r="GR115" s="460" t="str">
        <f t="shared" si="454"/>
        <v/>
      </c>
      <c r="GS115" s="460" t="str">
        <f t="shared" si="454"/>
        <v/>
      </c>
      <c r="GT115" s="460" t="str">
        <f t="shared" si="454"/>
        <v/>
      </c>
      <c r="GU115" s="460" t="str">
        <f t="shared" si="454"/>
        <v/>
      </c>
      <c r="GV115" s="460" t="str">
        <f t="shared" si="454"/>
        <v/>
      </c>
      <c r="GW115" s="460" t="str">
        <f t="shared" si="454"/>
        <v/>
      </c>
      <c r="GX115" s="460" t="str">
        <f t="shared" si="454"/>
        <v/>
      </c>
      <c r="GY115" s="460" t="str">
        <f t="shared" si="454"/>
        <v/>
      </c>
      <c r="GZ115" s="460" t="str">
        <f t="shared" si="454"/>
        <v/>
      </c>
      <c r="HA115" s="460" t="str">
        <f t="shared" si="454"/>
        <v/>
      </c>
      <c r="HB115" s="460" t="str">
        <f t="shared" si="454"/>
        <v/>
      </c>
      <c r="HC115" s="460" t="str">
        <f t="shared" si="454"/>
        <v/>
      </c>
      <c r="HD115" s="460" t="str">
        <f t="shared" si="454"/>
        <v/>
      </c>
      <c r="HE115" s="460" t="str">
        <f t="shared" si="454"/>
        <v/>
      </c>
      <c r="HF115" s="460" t="str">
        <f t="shared" si="454"/>
        <v/>
      </c>
      <c r="HG115" s="460" t="str">
        <f t="shared" si="454"/>
        <v/>
      </c>
      <c r="HH115" s="460" t="str">
        <f t="shared" si="454"/>
        <v/>
      </c>
      <c r="HI115" s="460" t="str">
        <f t="shared" si="454"/>
        <v/>
      </c>
      <c r="HJ115" s="460" t="str">
        <f t="shared" si="454"/>
        <v/>
      </c>
      <c r="HK115" s="460" t="str">
        <f t="shared" si="454"/>
        <v/>
      </c>
      <c r="HL115" s="460" t="str">
        <f t="shared" si="454"/>
        <v/>
      </c>
      <c r="HM115" s="460" t="str">
        <f t="shared" si="454"/>
        <v/>
      </c>
      <c r="HN115" s="460" t="str">
        <f t="shared" si="454"/>
        <v/>
      </c>
      <c r="HO115" s="460" t="str">
        <f t="shared" si="454"/>
        <v/>
      </c>
      <c r="HP115" s="460" t="str">
        <f t="shared" si="454"/>
        <v/>
      </c>
      <c r="HQ115" s="460" t="str">
        <f t="shared" si="454"/>
        <v/>
      </c>
      <c r="HR115" s="460" t="str">
        <f t="shared" si="454"/>
        <v/>
      </c>
      <c r="HS115" s="460" t="str">
        <f t="shared" si="454"/>
        <v/>
      </c>
      <c r="HT115" s="460" t="str">
        <f t="shared" si="454"/>
        <v/>
      </c>
      <c r="HU115" s="460" t="str">
        <f t="shared" si="454"/>
        <v/>
      </c>
      <c r="HV115" s="460" t="str">
        <f t="shared" si="454"/>
        <v/>
      </c>
      <c r="HW115" s="460" t="str">
        <f t="shared" si="454"/>
        <v/>
      </c>
      <c r="HX115" s="460" t="str">
        <f t="shared" si="453"/>
        <v/>
      </c>
      <c r="HY115" s="460" t="str">
        <f t="shared" si="453"/>
        <v/>
      </c>
      <c r="HZ115" s="460" t="str">
        <f t="shared" si="453"/>
        <v/>
      </c>
      <c r="IA115" s="460" t="str">
        <f t="shared" si="453"/>
        <v/>
      </c>
      <c r="IB115" s="460" t="str">
        <f t="shared" si="453"/>
        <v/>
      </c>
      <c r="IC115" s="460" t="str">
        <f t="shared" si="453"/>
        <v/>
      </c>
      <c r="ID115" s="674" t="str">
        <f t="shared" si="453"/>
        <v/>
      </c>
      <c r="IE115" s="250"/>
    </row>
    <row r="116" spans="8:239">
      <c r="H116" s="51">
        <f t="shared" ca="1" si="315"/>
        <v>0</v>
      </c>
      <c r="I116" s="379">
        <f t="shared" si="316"/>
        <v>39692</v>
      </c>
      <c r="J116" s="377"/>
      <c r="K116" s="104" t="s">
        <v>268</v>
      </c>
      <c r="L116" s="392">
        <f t="shared" si="317"/>
        <v>0.74999999999999978</v>
      </c>
      <c r="M116" s="171"/>
      <c r="N116" s="382">
        <v>0</v>
      </c>
      <c r="O116" s="171">
        <f t="shared" si="272"/>
        <v>0</v>
      </c>
      <c r="P116" s="377"/>
      <c r="Q116" s="104" t="s">
        <v>268</v>
      </c>
      <c r="R116" s="377">
        <f t="shared" ca="1" si="417"/>
        <v>-0.43174487139050299</v>
      </c>
      <c r="S116" s="832">
        <f t="shared" si="435"/>
        <v>0.36000000000005405</v>
      </c>
      <c r="T116" s="831">
        <f t="shared" si="418"/>
        <v>0.99999996694521032</v>
      </c>
      <c r="U116" s="545">
        <f t="shared" si="419"/>
        <v>0.99999999999998479</v>
      </c>
      <c r="V116" s="389">
        <v>0</v>
      </c>
      <c r="W116" s="434">
        <f t="shared" si="455"/>
        <v>0</v>
      </c>
      <c r="X116" s="415">
        <f t="shared" si="456"/>
        <v>0.79943181818181797</v>
      </c>
      <c r="Y116" s="322">
        <f t="shared" si="457"/>
        <v>-1.2565999999999999</v>
      </c>
      <c r="Z116" s="322">
        <f t="shared" ca="1" si="458"/>
        <v>-0.45716818181818197</v>
      </c>
      <c r="AA116" s="429">
        <f t="shared" si="277"/>
        <v>1.2565999999999999</v>
      </c>
      <c r="AB116" s="433">
        <f t="shared" ca="1" si="278"/>
        <v>1.2565999999999999</v>
      </c>
      <c r="AC116" s="229">
        <v>39680</v>
      </c>
      <c r="AD116" s="229">
        <v>39676</v>
      </c>
      <c r="AE116" s="229">
        <v>39675</v>
      </c>
      <c r="AF116" s="229">
        <v>39671</v>
      </c>
      <c r="AG116" s="249" t="s">
        <v>499</v>
      </c>
      <c r="AH116" s="247" t="s">
        <v>499</v>
      </c>
      <c r="AI116" s="146">
        <v>22</v>
      </c>
      <c r="AJ116" s="41">
        <v>15</v>
      </c>
      <c r="AK116" s="41">
        <v>7</v>
      </c>
      <c r="AL116" s="293">
        <v>22</v>
      </c>
      <c r="AM116" s="41">
        <v>10</v>
      </c>
      <c r="AN116" s="147">
        <v>12</v>
      </c>
      <c r="AO116" s="374"/>
      <c r="AP116" s="153">
        <f t="shared" ca="1" si="318"/>
        <v>1</v>
      </c>
      <c r="AQ116" s="374"/>
      <c r="AR116" s="153">
        <f t="shared" ca="1" si="420"/>
        <v>1</v>
      </c>
      <c r="AS116" s="272">
        <f t="shared" si="459"/>
        <v>0</v>
      </c>
      <c r="AT116" s="157">
        <f t="shared" si="319"/>
        <v>0</v>
      </c>
      <c r="AU116" s="157">
        <f t="shared" si="280"/>
        <v>0</v>
      </c>
      <c r="AV116" s="271">
        <f t="shared" ca="1" si="430"/>
        <v>9.9999999999999995E-7</v>
      </c>
      <c r="AW116" s="158" t="str">
        <f t="shared" ca="1" si="460"/>
        <v/>
      </c>
      <c r="AX116" s="157">
        <f t="shared" ca="1" si="421"/>
        <v>9.991806145712369E-4</v>
      </c>
      <c r="AY116" s="157">
        <f t="shared" ca="1" si="422"/>
        <v>4.0779483125564749E-4</v>
      </c>
      <c r="AZ116" s="157">
        <f t="shared" ca="1" si="423"/>
        <v>5.7092476134138974E-5</v>
      </c>
      <c r="BA116" s="157">
        <f t="shared" ca="1" si="424"/>
        <v>7.1365595167673717E-6</v>
      </c>
      <c r="BB116" s="157">
        <f t="shared" ca="1" si="425"/>
        <v>5.942259936573069E-7</v>
      </c>
      <c r="BC116" s="157">
        <f t="shared" ca="1" si="426"/>
        <v>1.0186096347272345E-7</v>
      </c>
      <c r="BD116" s="151">
        <f t="shared" ca="1" si="461"/>
        <v>0</v>
      </c>
      <c r="BE116" s="152">
        <f t="shared" ca="1" si="462"/>
        <v>0</v>
      </c>
      <c r="BF116" s="40">
        <f t="shared" si="463"/>
        <v>2008</v>
      </c>
      <c r="BG116" s="144">
        <f t="shared" si="464"/>
        <v>9</v>
      </c>
      <c r="BH116" s="145">
        <f t="shared" ca="1" si="465"/>
        <v>2931</v>
      </c>
      <c r="BI116" s="313">
        <f t="shared" ca="1" si="439"/>
        <v>8.0684462696783026</v>
      </c>
      <c r="BJ116" s="42">
        <f t="shared" ca="1" si="288"/>
        <v>8.1225810466056867</v>
      </c>
      <c r="BK116" s="42">
        <f t="shared" ca="1" si="289"/>
        <v>8.1253188973928197</v>
      </c>
      <c r="BL116" s="42">
        <f t="shared" ca="1" si="440"/>
        <v>8.1478439425051334</v>
      </c>
      <c r="BM116" s="150" t="e">
        <f t="shared" ca="1" si="291"/>
        <v>#DIV/0!</v>
      </c>
      <c r="BN116" s="42" t="e">
        <f t="shared" ca="1" si="292"/>
        <v>#DIV/0!</v>
      </c>
      <c r="BO116" s="293">
        <f t="shared" si="441"/>
        <v>22</v>
      </c>
      <c r="BP116" s="41">
        <f t="shared" si="442"/>
        <v>15</v>
      </c>
      <c r="BQ116" s="41">
        <f t="shared" si="443"/>
        <v>7</v>
      </c>
      <c r="BR116" s="305" t="str">
        <f t="shared" ca="1" si="295"/>
        <v/>
      </c>
      <c r="BS116" s="305" t="str">
        <f t="shared" ca="1" si="444"/>
        <v/>
      </c>
      <c r="BT116" s="307" t="str">
        <f t="shared" ca="1" si="445"/>
        <v/>
      </c>
      <c r="BU116" s="161" t="str">
        <f t="shared" ca="1" si="298"/>
        <v/>
      </c>
      <c r="BV116" s="161" t="str">
        <f t="shared" ca="1" si="299"/>
        <v/>
      </c>
      <c r="BW116" s="308" t="str">
        <f t="shared" ca="1" si="300"/>
        <v/>
      </c>
      <c r="BX116" s="309" t="str">
        <f t="shared" ca="1" si="301"/>
        <v/>
      </c>
      <c r="BY116" s="308" t="str">
        <f t="shared" ca="1" si="446"/>
        <v/>
      </c>
      <c r="BZ116" s="309" t="str">
        <f t="shared" ca="1" si="447"/>
        <v/>
      </c>
      <c r="CA116" s="154" t="str">
        <f t="shared" ca="1" si="302"/>
        <v/>
      </c>
      <c r="CB116" s="154" t="str">
        <f t="shared" ca="1" si="303"/>
        <v/>
      </c>
      <c r="CC116" s="154" t="str">
        <f t="shared" ca="1" si="304"/>
        <v/>
      </c>
      <c r="CD116" s="154" t="str">
        <f t="shared" ca="1" si="305"/>
        <v/>
      </c>
      <c r="CE116" s="310">
        <v>1</v>
      </c>
      <c r="CF116" s="162">
        <f ca="1">IF(BD116,_xll.xCrudeAPO(BU116,BV116,CA116,CB116,S117,S118,BI116,BL116,BP116,BQ116,0,Strike1,AO116,CE116,0,BL116,IF(OptControl=4,0,1),0,1),0)</f>
        <v>0</v>
      </c>
      <c r="CG116" s="163">
        <f ca="1">IF(BD116,_xll.xCrudeAPO(BU116,BV116,CA116,CB116,S117,S118,BI116,BL116,BP116,BQ116,0,Strike1,AO116,CE116,0,BL116,IF(OptControl=4,0,1),1,1)+_xll.xCrudeAPO(BU116,BV116,CA116,CB116,S117,S118,BI116,BL116,BP116,BQ116,0,Strike1,AO116,CE116,0,BL116,IF(OptControl=4,0,1),1,2)+IF(OR(VolSkewFlag=2,ABS(BS116)&lt;0.0001),0,IF(BS116&gt;0,-1,1)*CH116*Strike1/BR116^2*BY116/10%),0)</f>
        <v>0</v>
      </c>
      <c r="CH116" s="163">
        <f ca="1">IF(BD116,(_xll.xCrudeAPO(BU116,BV116,CA116,CB116,S117,S118,BI116,BL116,BP116,BQ116,0,Strike1,AO116,CE116,0,BL116,IF(OptControl=4,0,1),3,1)+_xll.xCrudeAPO(BU116,BV116,CA116,CB116,S117,S118,BI116,BL116,BP116,BQ116,0,Strike1,AO116,CE116,0,BL116,IF(OptControl=4,0,1),3,2))/100,0)</f>
        <v>0</v>
      </c>
      <c r="CI116" s="163">
        <f ca="1">IF(BD116,_xll.xCrudeAPO(BU116,BV116,CA116,CB116,S117,S118,BI116-DaysForThetaCalculation/365.25,BL116-DaysForThetaCalculation/365.25,BP116,BQ116,0,Strike1,AO116,CE116,0,BL116,IF(OptControl=4,0,1),0,1)-_xll.xCrudeAPO(BU116,BV116,CA116,CB116,S117,S118,BI116,BL116,BP116,BQ116,0,Strike1,AO116,CE116,0,BL116,IF(OptControl=4,0,1),0,1),0)</f>
        <v>0</v>
      </c>
      <c r="CJ116" s="311">
        <f ca="1">IF(BD116,_xll.xCrudeAPO(BU116,BV116,CC116,CD116,S117,S118,BI116,BL116,BP116,BQ116,0,Strike2,AO116,CE116,0,BL116,IF(OptControl=3,1,0),0,1),0)</f>
        <v>0</v>
      </c>
      <c r="CK116" s="163">
        <f ca="1">IF(BD116,_xll.xCrudeAPO(BU116,BV116,CC116,CD116,S117,S118,BI116,BL116,BP116,BQ116,0,Strike2,AO116,CE116,0,BL116,IF(OptControl=3,1,0),1,1)+_xll.xCrudeAPO(BU116,BV116,CC116,CD116,S117,S118,BI116,BL116,BP116,BQ116,0,Strike2,AO116,CE116,0,BL116,IF(OptControl=3,1,0),1,2)+IF(OR(VolSkewFlag=2,ABS(BT116)&lt;0.0001),0,IF(BT116&gt;0,-1,1)*CL116*Strike2/BR116^2*BZ116/10%),0)</f>
        <v>0</v>
      </c>
      <c r="CL116" s="163">
        <f ca="1">IF(BD116,(_xll.xCrudeAPO(BU116,BV116,CC116,CD116,S117,S118,BI116,BL116,BP116,BQ116,0,Strike2,AO116,CE116,0,BL116,IF(OptControl=3,1,0),3,1)+_xll.xCrudeAPO(BU116,BV116,CC116,CD116,S117,S118,BI116,BL116,BP116,BQ116,0,Strike2,AO116,CE116,0,BL116,IF(OptControl=3,1,0),3,2))/100,0)</f>
        <v>0</v>
      </c>
      <c r="CM116" s="164">
        <f ca="1">IF(BD116,_xll.xCrudeAPO(BU116,BV116,CC116,CD116,S117,S118,BI116-DaysForThetaCalculation/365.25,BL116-DaysForThetaCalculation/365.25,BP116,BQ116,0,Strike2,AO116,CE116,0,BL116,IF(OptControl=3,1,0),0,1)-_xll.xCrudeAPO(BU116,BV116,CC116,CD116,S117,S118,BI116,BL116,BP116,BQ116,0,Strike2,AO116,CE116,0,BL116,IF(OptControl=3,1,0),0,1),0)</f>
        <v>0</v>
      </c>
      <c r="CN116" s="53"/>
      <c r="CO116" s="796" t="str">
        <f t="shared" ca="1" si="323"/>
        <v/>
      </c>
      <c r="CP116" s="800" t="str">
        <f t="shared" ca="1" si="324"/>
        <v/>
      </c>
      <c r="CQ116" s="797" t="str">
        <f t="shared" ca="1" si="325"/>
        <v/>
      </c>
      <c r="CR116" s="797" t="str">
        <f t="shared" ca="1" si="326"/>
        <v/>
      </c>
      <c r="CS116" s="797" t="str">
        <f t="shared" ca="1" si="327"/>
        <v/>
      </c>
      <c r="CT116" s="797" t="str">
        <f t="shared" ca="1" si="328"/>
        <v/>
      </c>
      <c r="CU116" s="798" t="str">
        <f t="shared" ca="1" si="329"/>
        <v/>
      </c>
      <c r="CV116" s="799" t="str">
        <f t="shared" ca="1" si="330"/>
        <v/>
      </c>
      <c r="CW116" s="799" t="str">
        <f t="shared" ca="1" si="331"/>
        <v/>
      </c>
      <c r="CX116" s="163">
        <f ca="1">IF(BD116,_xll.EURO(CP116,Strike1,AO116,AO116,CV116,CO116,IF(OptControl=4,0,1),0),0)</f>
        <v>0</v>
      </c>
      <c r="CY116" s="163">
        <f ca="1">IF(BD116,_xll.EURO(CP116,Strike1,AO116,AO116,CV116,CO116,IF(OptControl=4,0,1),1)+IF(OR(VolSkewFlag=2,ABS(CQ116)&lt;0.0001),0,IF(CQ116&gt;0,-1,1)*CZ116*100*Strike1/CP116^2*CS116/10%),0)</f>
        <v>0</v>
      </c>
      <c r="CZ116" s="163">
        <f ca="1">IF(BD116,_xll.EURO(CP116,Strike1,AO116,AO116,CV116,CO116,IF(OptControl=4,0,1),3)/100,0)</f>
        <v>0</v>
      </c>
      <c r="DA116" s="163">
        <f ca="1">IF(BD116,_xll.EURO(CP116,Strike1,AO116,AO116,CV116,CO116,IF(OptControl=4,0,1),0)-_xll.EURO(CP116,Strike1,AO116,AO116,CV116,CO116-1,IF(OptControl=4,0,1),0),0)</f>
        <v>0</v>
      </c>
      <c r="DB116" s="163">
        <f ca="1">IF(BD116,_xll.EURO(CP116,Strike2,AO116,AO116,CW116,CO116,IF(OptControl=3,1,0),0),0)</f>
        <v>0</v>
      </c>
      <c r="DC116" s="163">
        <f ca="1">IF(BD116,_xll.EURO(CP116,Strike2,AO116,AO116,CW116,CO116,IF(OptControl=3,1,0),1)+IF(OR(VolSkewFlag=2,ABS(CR116)&lt;0.0001),0,IF(CR116&gt;0,-1,1)*DD116*100*Strike2/CP116^2*CT116/10%),0)</f>
        <v>0</v>
      </c>
      <c r="DD116" s="163">
        <f ca="1">IF(BD116,_xll.EURO(CP116,Strike2,AO116,AO116,CW116,CO116,IF(OptControl=3,1,0),3)/100,0)</f>
        <v>0</v>
      </c>
      <c r="DE116" s="164">
        <f ca="1">IF(BD116,_xll.EURO(CP116,Strike2,AO116,AO116,CW116,CO116,IF(OptControl=3,1,0),0)-_xll.EURO(CP116,Strike2,AO116,AO116,CW116,CO116-1,IF(OptControl=3,1,0),0),0)</f>
        <v>0</v>
      </c>
      <c r="DG116" s="667">
        <f t="shared" ca="1" si="332"/>
        <v>39479</v>
      </c>
      <c r="DH116" s="475">
        <v>18.96</v>
      </c>
      <c r="DI116" s="665">
        <v>19.026666666666681</v>
      </c>
      <c r="DJ116" s="666">
        <f t="shared" ca="1" si="466"/>
        <v>39479</v>
      </c>
      <c r="DK116" s="475">
        <v>17.760026329851023</v>
      </c>
      <c r="DL116" s="665">
        <v>17.858166666666683</v>
      </c>
      <c r="DM116" s="667">
        <f t="shared" ca="1" si="467"/>
        <v>39479</v>
      </c>
      <c r="DN116" s="668">
        <f t="shared" si="468"/>
        <v>17.810026329851024</v>
      </c>
      <c r="DO116" s="667">
        <f t="shared" ca="1" si="333"/>
        <v>39479</v>
      </c>
      <c r="DP116" s="579">
        <f t="shared" si="334"/>
        <v>17.858166666666683</v>
      </c>
      <c r="DQ116" s="821">
        <v>0</v>
      </c>
      <c r="DR116" s="666">
        <f t="shared" ca="1" si="469"/>
        <v>39479</v>
      </c>
      <c r="DS116" s="669">
        <v>0.16700000000000001</v>
      </c>
      <c r="DT116" s="606">
        <v>0.16620000000000004</v>
      </c>
      <c r="DU116" s="666">
        <f t="shared" ca="1" si="470"/>
        <v>39479</v>
      </c>
      <c r="DV116" s="669">
        <v>0.16700000000000001</v>
      </c>
      <c r="DW116" s="606">
        <v>0.16620000000000004</v>
      </c>
      <c r="DX116" s="667">
        <f t="shared" ca="1" si="471"/>
        <v>39479</v>
      </c>
      <c r="DY116" s="606">
        <v>0.35</v>
      </c>
      <c r="DZ116" s="667">
        <f t="shared" ca="1" si="335"/>
        <v>39479</v>
      </c>
      <c r="EA116" s="606">
        <f t="shared" si="336"/>
        <v>0.16620000000000004</v>
      </c>
      <c r="EB116" s="1"/>
      <c r="EC116" s="118" t="str">
        <f t="shared" ca="1" si="472"/>
        <v/>
      </c>
      <c r="ED116" s="119" t="str">
        <f t="shared" ca="1" si="313"/>
        <v/>
      </c>
      <c r="EE116" s="112" t="str">
        <f t="shared" ca="1" si="314"/>
        <v/>
      </c>
      <c r="EF116" s="120">
        <f ca="1">IF(BD116,_xll.xASN(BR116,Strike1,AO116,ED116,0,BO116,0,BI116,BL116,IF(OptControl=4,0,1),0),0)</f>
        <v>0</v>
      </c>
      <c r="EG116" s="111">
        <f ca="1">IF(BD116,_xll.xASN(BR116,Strike2,AO116,EE116,0,BO116,0,BI116,BL116,IF(OptControl=3,1,0),0),0)</f>
        <v>0</v>
      </c>
      <c r="EL116" s="55"/>
      <c r="EM116" s="1"/>
      <c r="EN116" s="106"/>
      <c r="EO116" s="106"/>
      <c r="EP116" s="1"/>
      <c r="EQ116" s="683" t="s">
        <v>329</v>
      </c>
      <c r="ES116" s="455"/>
      <c r="ET116" s="36"/>
      <c r="EU116" s="107"/>
      <c r="EV116" s="475"/>
      <c r="EW116" s="456"/>
      <c r="EX116" s="456"/>
      <c r="EY116" s="250"/>
      <c r="EZ116" s="250"/>
      <c r="FA116" s="250"/>
      <c r="FB116" s="250"/>
      <c r="FC116" s="250"/>
      <c r="FD116" s="250"/>
      <c r="FE116" s="250"/>
      <c r="FF116" s="250"/>
      <c r="FG116" s="250"/>
      <c r="FH116" s="250"/>
      <c r="FI116" s="250"/>
      <c r="FJ116" s="673">
        <v>22</v>
      </c>
      <c r="FK116" s="460">
        <f t="shared" ca="1" si="432"/>
        <v>0</v>
      </c>
      <c r="FL116" s="460">
        <f t="shared" ca="1" si="454"/>
        <v>0.17184438856061657</v>
      </c>
      <c r="FM116" s="460">
        <f t="shared" ca="1" si="454"/>
        <v>0.17738522329100737</v>
      </c>
      <c r="FN116" s="460">
        <f t="shared" ca="1" si="454"/>
        <v>0.17515090080747572</v>
      </c>
      <c r="FO116" s="460">
        <f t="shared" ca="1" si="454"/>
        <v>0.173942972558388</v>
      </c>
      <c r="FP116" s="460">
        <f t="shared" ca="1" si="454"/>
        <v>0.17359349985164943</v>
      </c>
      <c r="FQ116" s="460">
        <f t="shared" ca="1" si="454"/>
        <v>0.17399397777473119</v>
      </c>
      <c r="FR116" s="460">
        <f t="shared" ca="1" si="454"/>
        <v>0.17508455420637914</v>
      </c>
      <c r="FS116" s="460">
        <f t="shared" ca="1" si="454"/>
        <v>0.17684708567740737</v>
      </c>
      <c r="FT116" s="460">
        <f t="shared" ca="1" si="454"/>
        <v>0.1793014692191657</v>
      </c>
      <c r="FU116" s="460">
        <f t="shared" ca="1" si="454"/>
        <v>0.18250499747964424</v>
      </c>
      <c r="FV116" s="460">
        <f t="shared" ca="1" si="454"/>
        <v>0.18655479913369388</v>
      </c>
      <c r="FW116" s="460">
        <f t="shared" ca="1" si="454"/>
        <v>0.19159379475166102</v>
      </c>
      <c r="FX116" s="460">
        <f t="shared" ca="1" si="454"/>
        <v>0.19782108730843601</v>
      </c>
      <c r="FY116" s="460">
        <f t="shared" ca="1" si="454"/>
        <v>0.20550842434279479</v>
      </c>
      <c r="FZ116" s="460">
        <f t="shared" ca="1" si="454"/>
        <v>0.21502550054044248</v>
      </c>
      <c r="GA116" s="460">
        <f t="shared" ca="1" si="454"/>
        <v>0.22687874915022024</v>
      </c>
      <c r="GB116" s="460">
        <f t="shared" ca="1" si="454"/>
        <v>0.24177152618893094</v>
      </c>
      <c r="GC116" s="460">
        <f t="shared" ca="1" si="454"/>
        <v>0.2606994519087234</v>
      </c>
      <c r="GD116" s="460">
        <f t="shared" ca="1" si="454"/>
        <v>0.28510564676628658</v>
      </c>
      <c r="GE116" s="460">
        <f t="shared" ca="1" si="454"/>
        <v>0.31714203763780419</v>
      </c>
      <c r="GF116" s="460">
        <f t="shared" ca="1" si="454"/>
        <v>0.36012684847755738</v>
      </c>
      <c r="GG116" s="460" t="str">
        <f t="shared" si="454"/>
        <v/>
      </c>
      <c r="GH116" s="460" t="str">
        <f t="shared" si="454"/>
        <v/>
      </c>
      <c r="GI116" s="460" t="str">
        <f t="shared" si="454"/>
        <v/>
      </c>
      <c r="GJ116" s="460" t="str">
        <f t="shared" si="454"/>
        <v/>
      </c>
      <c r="GK116" s="460" t="str">
        <f t="shared" si="454"/>
        <v/>
      </c>
      <c r="GL116" s="460" t="str">
        <f t="shared" si="454"/>
        <v/>
      </c>
      <c r="GM116" s="460" t="str">
        <f t="shared" si="454"/>
        <v/>
      </c>
      <c r="GN116" s="460" t="str">
        <f t="shared" si="454"/>
        <v/>
      </c>
      <c r="GO116" s="460" t="str">
        <f t="shared" si="454"/>
        <v/>
      </c>
      <c r="GP116" s="460" t="str">
        <f t="shared" si="454"/>
        <v/>
      </c>
      <c r="GQ116" s="460" t="str">
        <f t="shared" si="454"/>
        <v/>
      </c>
      <c r="GR116" s="460" t="str">
        <f t="shared" si="454"/>
        <v/>
      </c>
      <c r="GS116" s="460" t="str">
        <f t="shared" si="454"/>
        <v/>
      </c>
      <c r="GT116" s="460" t="str">
        <f t="shared" si="454"/>
        <v/>
      </c>
      <c r="GU116" s="460" t="str">
        <f t="shared" si="454"/>
        <v/>
      </c>
      <c r="GV116" s="460" t="str">
        <f t="shared" si="454"/>
        <v/>
      </c>
      <c r="GW116" s="460" t="str">
        <f t="shared" si="454"/>
        <v/>
      </c>
      <c r="GX116" s="460" t="str">
        <f t="shared" si="454"/>
        <v/>
      </c>
      <c r="GY116" s="460" t="str">
        <f t="shared" si="454"/>
        <v/>
      </c>
      <c r="GZ116" s="460" t="str">
        <f t="shared" si="454"/>
        <v/>
      </c>
      <c r="HA116" s="460" t="str">
        <f t="shared" si="454"/>
        <v/>
      </c>
      <c r="HB116" s="460" t="str">
        <f t="shared" si="454"/>
        <v/>
      </c>
      <c r="HC116" s="460" t="str">
        <f t="shared" si="454"/>
        <v/>
      </c>
      <c r="HD116" s="460" t="str">
        <f t="shared" si="454"/>
        <v/>
      </c>
      <c r="HE116" s="460" t="str">
        <f t="shared" si="454"/>
        <v/>
      </c>
      <c r="HF116" s="460" t="str">
        <f t="shared" si="454"/>
        <v/>
      </c>
      <c r="HG116" s="460" t="str">
        <f t="shared" si="454"/>
        <v/>
      </c>
      <c r="HH116" s="460" t="str">
        <f t="shared" si="454"/>
        <v/>
      </c>
      <c r="HI116" s="460" t="str">
        <f t="shared" si="454"/>
        <v/>
      </c>
      <c r="HJ116" s="460" t="str">
        <f t="shared" si="454"/>
        <v/>
      </c>
      <c r="HK116" s="460" t="str">
        <f t="shared" si="454"/>
        <v/>
      </c>
      <c r="HL116" s="460" t="str">
        <f t="shared" si="454"/>
        <v/>
      </c>
      <c r="HM116" s="460" t="str">
        <f t="shared" si="454"/>
        <v/>
      </c>
      <c r="HN116" s="460" t="str">
        <f t="shared" si="454"/>
        <v/>
      </c>
      <c r="HO116" s="460" t="str">
        <f t="shared" si="454"/>
        <v/>
      </c>
      <c r="HP116" s="460" t="str">
        <f t="shared" si="454"/>
        <v/>
      </c>
      <c r="HQ116" s="460" t="str">
        <f t="shared" si="454"/>
        <v/>
      </c>
      <c r="HR116" s="460" t="str">
        <f t="shared" si="454"/>
        <v/>
      </c>
      <c r="HS116" s="460" t="str">
        <f t="shared" si="454"/>
        <v/>
      </c>
      <c r="HT116" s="460" t="str">
        <f t="shared" si="454"/>
        <v/>
      </c>
      <c r="HU116" s="460" t="str">
        <f t="shared" si="454"/>
        <v/>
      </c>
      <c r="HV116" s="460" t="str">
        <f t="shared" si="454"/>
        <v/>
      </c>
      <c r="HW116" s="460" t="str">
        <f t="shared" ref="HW116:ID119" si="473">IF($FJ41&lt;HW$94,"",SQRT(HW41/HW$15))</f>
        <v/>
      </c>
      <c r="HX116" s="460" t="str">
        <f t="shared" si="473"/>
        <v/>
      </c>
      <c r="HY116" s="460" t="str">
        <f t="shared" si="473"/>
        <v/>
      </c>
      <c r="HZ116" s="460" t="str">
        <f t="shared" si="473"/>
        <v/>
      </c>
      <c r="IA116" s="460" t="str">
        <f t="shared" si="473"/>
        <v/>
      </c>
      <c r="IB116" s="460" t="str">
        <f t="shared" si="473"/>
        <v/>
      </c>
      <c r="IC116" s="460" t="str">
        <f t="shared" si="473"/>
        <v/>
      </c>
      <c r="ID116" s="674" t="str">
        <f t="shared" si="473"/>
        <v/>
      </c>
      <c r="IE116" s="250"/>
    </row>
    <row r="117" spans="8:239">
      <c r="H117" s="51">
        <f t="shared" ca="1" si="315"/>
        <v>0</v>
      </c>
      <c r="I117" s="379">
        <f t="shared" si="316"/>
        <v>39722</v>
      </c>
      <c r="J117" s="377"/>
      <c r="K117" s="104" t="s">
        <v>268</v>
      </c>
      <c r="L117" s="392">
        <f t="shared" si="317"/>
        <v>0.78749999999999976</v>
      </c>
      <c r="M117" s="171"/>
      <c r="N117" s="382">
        <v>0</v>
      </c>
      <c r="O117" s="171">
        <f t="shared" si="272"/>
        <v>0</v>
      </c>
      <c r="P117" s="377"/>
      <c r="Q117" s="104" t="s">
        <v>268</v>
      </c>
      <c r="R117" s="377">
        <f t="shared" ca="1" si="417"/>
        <v>-0.55078648055408841</v>
      </c>
      <c r="S117" s="832">
        <f t="shared" si="435"/>
        <v>0.36000000000004051</v>
      </c>
      <c r="T117" s="831">
        <f t="shared" si="418"/>
        <v>0.99999997173815569</v>
      </c>
      <c r="U117" s="545">
        <f t="shared" si="419"/>
        <v>0.99999999999998856</v>
      </c>
      <c r="V117" s="389">
        <v>0</v>
      </c>
      <c r="W117" s="434">
        <f t="shared" si="455"/>
        <v>0</v>
      </c>
      <c r="X117" s="415">
        <f t="shared" si="456"/>
        <v>0.83967391304347794</v>
      </c>
      <c r="Y117" s="322">
        <f t="shared" si="457"/>
        <v>-1.1834</v>
      </c>
      <c r="Z117" s="322">
        <f t="shared" ca="1" si="458"/>
        <v>-0.34372608695652207</v>
      </c>
      <c r="AA117" s="429">
        <f t="shared" si="277"/>
        <v>1.1834</v>
      </c>
      <c r="AB117" s="433">
        <f t="shared" ca="1" si="278"/>
        <v>1.1834</v>
      </c>
      <c r="AC117" s="229">
        <v>39711</v>
      </c>
      <c r="AD117" s="229">
        <v>39707</v>
      </c>
      <c r="AE117" s="229">
        <v>39706</v>
      </c>
      <c r="AF117" s="229">
        <v>39702</v>
      </c>
      <c r="AG117" s="249" t="s">
        <v>499</v>
      </c>
      <c r="AH117" s="247" t="s">
        <v>499</v>
      </c>
      <c r="AI117" s="146">
        <v>23</v>
      </c>
      <c r="AJ117" s="41">
        <v>14</v>
      </c>
      <c r="AK117" s="41">
        <v>9</v>
      </c>
      <c r="AL117" s="293">
        <v>23</v>
      </c>
      <c r="AM117" s="41">
        <v>10</v>
      </c>
      <c r="AN117" s="147">
        <v>13</v>
      </c>
      <c r="AO117" s="374"/>
      <c r="AP117" s="153">
        <f t="shared" ca="1" si="318"/>
        <v>1</v>
      </c>
      <c r="AQ117" s="374"/>
      <c r="AR117" s="153">
        <f t="shared" ca="1" si="420"/>
        <v>1</v>
      </c>
      <c r="AS117" s="272">
        <f t="shared" si="459"/>
        <v>0</v>
      </c>
      <c r="AT117" s="157">
        <f t="shared" si="319"/>
        <v>0</v>
      </c>
      <c r="AU117" s="157">
        <f t="shared" si="280"/>
        <v>0</v>
      </c>
      <c r="AV117" s="271">
        <f t="shared" ca="1" si="430"/>
        <v>9.9999999999999995E-7</v>
      </c>
      <c r="AW117" s="158" t="str">
        <f t="shared" ca="1" si="460"/>
        <v/>
      </c>
      <c r="AX117" s="157">
        <f t="shared" ca="1" si="421"/>
        <v>9.6598354380091035E-4</v>
      </c>
      <c r="AY117" s="157">
        <f t="shared" ca="1" si="422"/>
        <v>3.9162517601004101E-4</v>
      </c>
      <c r="AZ117" s="157">
        <f t="shared" ca="1" si="423"/>
        <v>5.3888121670406412E-5</v>
      </c>
      <c r="BA117" s="157">
        <f t="shared" ca="1" si="424"/>
        <v>6.7360152088008015E-6</v>
      </c>
      <c r="BB117" s="157">
        <f t="shared" ca="1" si="425"/>
        <v>5.4223998687450738E-7</v>
      </c>
      <c r="BC117" s="157">
        <f t="shared" ca="1" si="426"/>
        <v>9.0747801786389139E-8</v>
      </c>
      <c r="BD117" s="151">
        <f t="shared" ca="1" si="461"/>
        <v>0</v>
      </c>
      <c r="BE117" s="152">
        <f t="shared" ca="1" si="462"/>
        <v>0</v>
      </c>
      <c r="BF117" s="40">
        <f t="shared" si="463"/>
        <v>2008</v>
      </c>
      <c r="BG117" s="144">
        <f t="shared" si="464"/>
        <v>10</v>
      </c>
      <c r="BH117" s="145">
        <f t="shared" ca="1" si="465"/>
        <v>2962</v>
      </c>
      <c r="BI117" s="313">
        <f t="shared" ca="1" si="439"/>
        <v>8.1505817932922664</v>
      </c>
      <c r="BJ117" s="42">
        <f t="shared" ca="1" si="288"/>
        <v>8.2005773294051121</v>
      </c>
      <c r="BK117" s="42">
        <f t="shared" ca="1" si="289"/>
        <v>8.203315180192245</v>
      </c>
      <c r="BL117" s="42">
        <f t="shared" ca="1" si="440"/>
        <v>8.2327173169062284</v>
      </c>
      <c r="BM117" s="150" t="e">
        <f t="shared" ca="1" si="291"/>
        <v>#DIV/0!</v>
      </c>
      <c r="BN117" s="42" t="e">
        <f t="shared" ca="1" si="292"/>
        <v>#DIV/0!</v>
      </c>
      <c r="BO117" s="293">
        <f t="shared" si="441"/>
        <v>23</v>
      </c>
      <c r="BP117" s="41">
        <f t="shared" si="442"/>
        <v>14</v>
      </c>
      <c r="BQ117" s="41">
        <f t="shared" si="443"/>
        <v>9</v>
      </c>
      <c r="BR117" s="305" t="str">
        <f t="shared" ca="1" si="295"/>
        <v/>
      </c>
      <c r="BS117" s="305" t="str">
        <f t="shared" ca="1" si="444"/>
        <v/>
      </c>
      <c r="BT117" s="307" t="str">
        <f t="shared" ca="1" si="445"/>
        <v/>
      </c>
      <c r="BU117" s="161" t="str">
        <f t="shared" ca="1" si="298"/>
        <v/>
      </c>
      <c r="BV117" s="161" t="str">
        <f t="shared" ca="1" si="299"/>
        <v/>
      </c>
      <c r="BW117" s="308" t="str">
        <f t="shared" ca="1" si="300"/>
        <v/>
      </c>
      <c r="BX117" s="309" t="str">
        <f t="shared" ca="1" si="301"/>
        <v/>
      </c>
      <c r="BY117" s="308" t="str">
        <f t="shared" ca="1" si="446"/>
        <v/>
      </c>
      <c r="BZ117" s="309" t="str">
        <f t="shared" ca="1" si="447"/>
        <v/>
      </c>
      <c r="CA117" s="154" t="str">
        <f t="shared" ca="1" si="302"/>
        <v/>
      </c>
      <c r="CB117" s="154" t="str">
        <f t="shared" ca="1" si="303"/>
        <v/>
      </c>
      <c r="CC117" s="154" t="str">
        <f t="shared" ca="1" si="304"/>
        <v/>
      </c>
      <c r="CD117" s="154" t="str">
        <f t="shared" ca="1" si="305"/>
        <v/>
      </c>
      <c r="CE117" s="310">
        <v>1</v>
      </c>
      <c r="CF117" s="162">
        <f ca="1">IF(BD117,_xll.xCrudeAPO(BU117,BV117,CA117,CB117,S118,S119,BI117,BL117,BP117,BQ117,0,Strike1,AO117,CE117,0,BL117,IF(OptControl=4,0,1),0,1),0)</f>
        <v>0</v>
      </c>
      <c r="CG117" s="163">
        <f ca="1">IF(BD117,_xll.xCrudeAPO(BU117,BV117,CA117,CB117,S118,S119,BI117,BL117,BP117,BQ117,0,Strike1,AO117,CE117,0,BL117,IF(OptControl=4,0,1),1,1)+_xll.xCrudeAPO(BU117,BV117,CA117,CB117,S118,S119,BI117,BL117,BP117,BQ117,0,Strike1,AO117,CE117,0,BL117,IF(OptControl=4,0,1),1,2)+IF(OR(VolSkewFlag=2,ABS(BS117)&lt;0.0001),0,IF(BS117&gt;0,-1,1)*CH117*Strike1/BR117^2*BY117/10%),0)</f>
        <v>0</v>
      </c>
      <c r="CH117" s="163">
        <f ca="1">IF(BD117,(_xll.xCrudeAPO(BU117,BV117,CA117,CB117,S118,S119,BI117,BL117,BP117,BQ117,0,Strike1,AO117,CE117,0,BL117,IF(OptControl=4,0,1),3,1)+_xll.xCrudeAPO(BU117,BV117,CA117,CB117,S118,S119,BI117,BL117,BP117,BQ117,0,Strike1,AO117,CE117,0,BL117,IF(OptControl=4,0,1),3,2))/100,0)</f>
        <v>0</v>
      </c>
      <c r="CI117" s="163">
        <f ca="1">IF(BD117,_xll.xCrudeAPO(BU117,BV117,CA117,CB117,S118,S119,BI117-DaysForThetaCalculation/365.25,BL117-DaysForThetaCalculation/365.25,BP117,BQ117,0,Strike1,AO117,CE117,0,BL117,IF(OptControl=4,0,1),0,1)-_xll.xCrudeAPO(BU117,BV117,CA117,CB117,S118,S119,BI117,BL117,BP117,BQ117,0,Strike1,AO117,CE117,0,BL117,IF(OptControl=4,0,1),0,1),0)</f>
        <v>0</v>
      </c>
      <c r="CJ117" s="311">
        <f ca="1">IF(BD117,_xll.xCrudeAPO(BU117,BV117,CC117,CD117,S118,S119,BI117,BL117,BP117,BQ117,0,Strike2,AO117,CE117,0,BL117,IF(OptControl=3,1,0),0,1),0)</f>
        <v>0</v>
      </c>
      <c r="CK117" s="163">
        <f ca="1">IF(BD117,_xll.xCrudeAPO(BU117,BV117,CC117,CD117,S118,S119,BI117,BL117,BP117,BQ117,0,Strike2,AO117,CE117,0,BL117,IF(OptControl=3,1,0),1,1)+_xll.xCrudeAPO(BU117,BV117,CC117,CD117,S118,S119,BI117,BL117,BP117,BQ117,0,Strike2,AO117,CE117,0,BL117,IF(OptControl=3,1,0),1,2)+IF(OR(VolSkewFlag=2,ABS(BT117)&lt;0.0001),0,IF(BT117&gt;0,-1,1)*CL117*Strike2/BR117^2*BZ117/10%),0)</f>
        <v>0</v>
      </c>
      <c r="CL117" s="163">
        <f ca="1">IF(BD117,(_xll.xCrudeAPO(BU117,BV117,CC117,CD117,S118,S119,BI117,BL117,BP117,BQ117,0,Strike2,AO117,CE117,0,BL117,IF(OptControl=3,1,0),3,1)+_xll.xCrudeAPO(BU117,BV117,CC117,CD117,S118,S119,BI117,BL117,BP117,BQ117,0,Strike2,AO117,CE117,0,BL117,IF(OptControl=3,1,0),3,2))/100,0)</f>
        <v>0</v>
      </c>
      <c r="CM117" s="164">
        <f ca="1">IF(BD117,_xll.xCrudeAPO(BU117,BV117,CC117,CD117,S118,S119,BI117-DaysForThetaCalculation/365.25,BL117-DaysForThetaCalculation/365.25,BP117,BQ117,0,Strike2,AO117,CE117,0,BL117,IF(OptControl=3,1,0),0,1)-_xll.xCrudeAPO(BU117,BV117,CC117,CD117,S118,S119,BI117,BL117,BP117,BQ117,0,Strike2,AO117,CE117,0,BL117,IF(OptControl=3,1,0),0,1),0)</f>
        <v>0</v>
      </c>
      <c r="CN117" s="53"/>
      <c r="CO117" s="796" t="str">
        <f t="shared" ca="1" si="323"/>
        <v/>
      </c>
      <c r="CP117" s="800" t="str">
        <f t="shared" ca="1" si="324"/>
        <v/>
      </c>
      <c r="CQ117" s="797" t="str">
        <f t="shared" ca="1" si="325"/>
        <v/>
      </c>
      <c r="CR117" s="797" t="str">
        <f t="shared" ca="1" si="326"/>
        <v/>
      </c>
      <c r="CS117" s="797" t="str">
        <f t="shared" ca="1" si="327"/>
        <v/>
      </c>
      <c r="CT117" s="797" t="str">
        <f t="shared" ca="1" si="328"/>
        <v/>
      </c>
      <c r="CU117" s="798" t="str">
        <f t="shared" ca="1" si="329"/>
        <v/>
      </c>
      <c r="CV117" s="799" t="str">
        <f t="shared" ca="1" si="330"/>
        <v/>
      </c>
      <c r="CW117" s="799" t="str">
        <f t="shared" ca="1" si="331"/>
        <v/>
      </c>
      <c r="CX117" s="163">
        <f ca="1">IF(BD117,_xll.EURO(CP117,Strike1,AO117,AO117,CV117,CO117,IF(OptControl=4,0,1),0),0)</f>
        <v>0</v>
      </c>
      <c r="CY117" s="163">
        <f ca="1">IF(BD117,_xll.EURO(CP117,Strike1,AO117,AO117,CV117,CO117,IF(OptControl=4,0,1),1)+IF(OR(VolSkewFlag=2,ABS(CQ117)&lt;0.0001),0,IF(CQ117&gt;0,-1,1)*CZ117*100*Strike1/CP117^2*CS117/10%),0)</f>
        <v>0</v>
      </c>
      <c r="CZ117" s="163">
        <f ca="1">IF(BD117,_xll.EURO(CP117,Strike1,AO117,AO117,CV117,CO117,IF(OptControl=4,0,1),3)/100,0)</f>
        <v>0</v>
      </c>
      <c r="DA117" s="163">
        <f ca="1">IF(BD117,_xll.EURO(CP117,Strike1,AO117,AO117,CV117,CO117,IF(OptControl=4,0,1),0)-_xll.EURO(CP117,Strike1,AO117,AO117,CV117,CO117-1,IF(OptControl=4,0,1),0),0)</f>
        <v>0</v>
      </c>
      <c r="DB117" s="163">
        <f ca="1">IF(BD117,_xll.EURO(CP117,Strike2,AO117,AO117,CW117,CO117,IF(OptControl=3,1,0),0),0)</f>
        <v>0</v>
      </c>
      <c r="DC117" s="163">
        <f ca="1">IF(BD117,_xll.EURO(CP117,Strike2,AO117,AO117,CW117,CO117,IF(OptControl=3,1,0),1)+IF(OR(VolSkewFlag=2,ABS(CR117)&lt;0.0001),0,IF(CR117&gt;0,-1,1)*DD117*100*Strike2/CP117^2*CT117/10%),0)</f>
        <v>0</v>
      </c>
      <c r="DD117" s="163">
        <f ca="1">IF(BD117,_xll.EURO(CP117,Strike2,AO117,AO117,CW117,CO117,IF(OptControl=3,1,0),3)/100,0)</f>
        <v>0</v>
      </c>
      <c r="DE117" s="164">
        <f ca="1">IF(BD117,_xll.EURO(CP117,Strike2,AO117,AO117,CW117,CO117,IF(OptControl=3,1,0),0)-_xll.EURO(CP117,Strike2,AO117,AO117,CW117,CO117-1,IF(OptControl=3,1,0),0),0)</f>
        <v>0</v>
      </c>
      <c r="DG117" s="667">
        <f t="shared" ca="1" si="332"/>
        <v>39508</v>
      </c>
      <c r="DH117" s="475">
        <v>19.010000000000002</v>
      </c>
      <c r="DI117" s="665">
        <v>19.076666666666682</v>
      </c>
      <c r="DJ117" s="666">
        <f t="shared" ca="1" si="466"/>
        <v>39508</v>
      </c>
      <c r="DK117" s="475">
        <v>17.847904848564703</v>
      </c>
      <c r="DL117" s="665">
        <v>17.908166666666681</v>
      </c>
      <c r="DM117" s="667">
        <f t="shared" ca="1" si="467"/>
        <v>39508</v>
      </c>
      <c r="DN117" s="668">
        <f t="shared" si="468"/>
        <v>17.897904848564703</v>
      </c>
      <c r="DO117" s="667">
        <f t="shared" ca="1" si="333"/>
        <v>39508</v>
      </c>
      <c r="DP117" s="579">
        <f t="shared" si="334"/>
        <v>17.908166666666681</v>
      </c>
      <c r="DQ117" s="821">
        <v>0</v>
      </c>
      <c r="DR117" s="666">
        <f t="shared" ca="1" si="469"/>
        <v>39508</v>
      </c>
      <c r="DS117" s="669">
        <v>0.16640000000000002</v>
      </c>
      <c r="DT117" s="606">
        <v>0.16560000000000002</v>
      </c>
      <c r="DU117" s="666">
        <f t="shared" ca="1" si="470"/>
        <v>39508</v>
      </c>
      <c r="DV117" s="669">
        <v>0.16640000000000002</v>
      </c>
      <c r="DW117" s="606">
        <v>0.16560000000000002</v>
      </c>
      <c r="DX117" s="667">
        <f t="shared" ca="1" si="471"/>
        <v>39508</v>
      </c>
      <c r="DY117" s="606">
        <v>0.35</v>
      </c>
      <c r="DZ117" s="667">
        <f t="shared" ca="1" si="335"/>
        <v>39508</v>
      </c>
      <c r="EA117" s="606">
        <f t="shared" si="336"/>
        <v>0.16560000000000002</v>
      </c>
      <c r="EB117" s="1"/>
      <c r="EC117" s="118" t="str">
        <f t="shared" ca="1" si="472"/>
        <v/>
      </c>
      <c r="ED117" s="119" t="str">
        <f t="shared" ca="1" si="313"/>
        <v/>
      </c>
      <c r="EE117" s="112" t="str">
        <f t="shared" ca="1" si="314"/>
        <v/>
      </c>
      <c r="EF117" s="120">
        <f ca="1">IF(BD117,_xll.xASN(BR117,Strike1,AO117,ED117,0,BO117,0,BI117,BL117,IF(OptControl=4,0,1),0),0)</f>
        <v>0</v>
      </c>
      <c r="EG117" s="111">
        <f ca="1">IF(BD117,_xll.xASN(BR117,Strike2,AO117,EE117,0,BO117,0,BI117,BL117,IF(OptControl=3,1,0),0),0)</f>
        <v>0</v>
      </c>
      <c r="EL117" s="55"/>
      <c r="EM117" s="1"/>
      <c r="EN117" s="106"/>
      <c r="EO117" s="106"/>
      <c r="EP117" s="1"/>
      <c r="EQ117" s="683" t="s">
        <v>330</v>
      </c>
      <c r="ES117" s="455"/>
      <c r="ET117" s="36"/>
      <c r="EU117" s="107"/>
      <c r="EV117" s="475"/>
      <c r="EW117" s="456"/>
      <c r="EX117" s="456"/>
      <c r="EY117" s="250"/>
      <c r="EZ117" s="250"/>
      <c r="FA117" s="250"/>
      <c r="FB117" s="250"/>
      <c r="FC117" s="250"/>
      <c r="FD117" s="250"/>
      <c r="FE117" s="250"/>
      <c r="FF117" s="250"/>
      <c r="FG117" s="250"/>
      <c r="FH117" s="250"/>
      <c r="FI117" s="250"/>
      <c r="FJ117" s="673">
        <v>23</v>
      </c>
      <c r="FK117" s="460">
        <f t="shared" ca="1" si="432"/>
        <v>0</v>
      </c>
      <c r="FL117" s="460">
        <f t="shared" ref="FL117:HW120" ca="1" si="474">IF($FJ42&lt;FL$94,"",SQRT(FL42/FL$15))</f>
        <v>0.17100103064377242</v>
      </c>
      <c r="FM117" s="460">
        <f t="shared" ca="1" si="474"/>
        <v>0.17636660931221176</v>
      </c>
      <c r="FN117" s="460">
        <f t="shared" ca="1" si="474"/>
        <v>0.17397396899694953</v>
      </c>
      <c r="FO117" s="460">
        <f t="shared" ca="1" si="474"/>
        <v>0.17257515226618936</v>
      </c>
      <c r="FP117" s="460">
        <f t="shared" ca="1" si="474"/>
        <v>0.17199584973124182</v>
      </c>
      <c r="FQ117" s="460">
        <f t="shared" ca="1" si="474"/>
        <v>0.17211959277743732</v>
      </c>
      <c r="FR117" s="460">
        <f t="shared" ca="1" si="474"/>
        <v>0.1728765093161399</v>
      </c>
      <c r="FS117" s="460">
        <f t="shared" ca="1" si="474"/>
        <v>0.17423574831155536</v>
      </c>
      <c r="FT117" s="460">
        <f t="shared" ca="1" si="474"/>
        <v>0.17620094022393396</v>
      </c>
      <c r="FU117" s="460">
        <f t="shared" ca="1" si="474"/>
        <v>0.17880833268003954</v>
      </c>
      <c r="FV117" s="460">
        <f t="shared" ca="1" si="474"/>
        <v>0.18212749878531032</v>
      </c>
      <c r="FW117" s="460">
        <f t="shared" ca="1" si="474"/>
        <v>0.18626479270867127</v>
      </c>
      <c r="FX117" s="460">
        <f t="shared" ca="1" si="474"/>
        <v>0.1913700671593537</v>
      </c>
      <c r="FY117" s="460">
        <f t="shared" ca="1" si="474"/>
        <v>0.19764763527818349</v>
      </c>
      <c r="FZ117" s="460">
        <f t="shared" ca="1" si="474"/>
        <v>0.20537316145417198</v>
      </c>
      <c r="GA117" s="460">
        <f t="shared" ca="1" si="474"/>
        <v>0.21491928545569849</v>
      </c>
      <c r="GB117" s="460">
        <f t="shared" ca="1" si="474"/>
        <v>0.22679465497906492</v>
      </c>
      <c r="GC117" s="460">
        <f t="shared" ca="1" si="474"/>
        <v>0.24170429055641893</v>
      </c>
      <c r="GD117" s="460">
        <f t="shared" ca="1" si="474"/>
        <v>0.26064506222710787</v>
      </c>
      <c r="GE117" s="460">
        <f t="shared" ca="1" si="474"/>
        <v>0.28506102630075225</v>
      </c>
      <c r="GF117" s="460">
        <f t="shared" ca="1" si="474"/>
        <v>0.31710480606968122</v>
      </c>
      <c r="GG117" s="460">
        <f t="shared" ca="1" si="474"/>
        <v>0.36009513635816803</v>
      </c>
      <c r="GH117" s="460" t="str">
        <f t="shared" si="474"/>
        <v/>
      </c>
      <c r="GI117" s="460" t="str">
        <f t="shared" si="474"/>
        <v/>
      </c>
      <c r="GJ117" s="460" t="str">
        <f t="shared" si="474"/>
        <v/>
      </c>
      <c r="GK117" s="460" t="str">
        <f t="shared" si="474"/>
        <v/>
      </c>
      <c r="GL117" s="460" t="str">
        <f t="shared" si="474"/>
        <v/>
      </c>
      <c r="GM117" s="460" t="str">
        <f t="shared" si="474"/>
        <v/>
      </c>
      <c r="GN117" s="460" t="str">
        <f t="shared" si="474"/>
        <v/>
      </c>
      <c r="GO117" s="460" t="str">
        <f t="shared" si="474"/>
        <v/>
      </c>
      <c r="GP117" s="460" t="str">
        <f t="shared" si="474"/>
        <v/>
      </c>
      <c r="GQ117" s="460" t="str">
        <f t="shared" si="474"/>
        <v/>
      </c>
      <c r="GR117" s="460" t="str">
        <f t="shared" si="474"/>
        <v/>
      </c>
      <c r="GS117" s="460" t="str">
        <f t="shared" si="474"/>
        <v/>
      </c>
      <c r="GT117" s="460" t="str">
        <f t="shared" si="474"/>
        <v/>
      </c>
      <c r="GU117" s="460" t="str">
        <f t="shared" si="474"/>
        <v/>
      </c>
      <c r="GV117" s="460" t="str">
        <f t="shared" si="474"/>
        <v/>
      </c>
      <c r="GW117" s="460" t="str">
        <f t="shared" si="474"/>
        <v/>
      </c>
      <c r="GX117" s="460" t="str">
        <f t="shared" si="474"/>
        <v/>
      </c>
      <c r="GY117" s="460" t="str">
        <f t="shared" si="474"/>
        <v/>
      </c>
      <c r="GZ117" s="460" t="str">
        <f t="shared" si="474"/>
        <v/>
      </c>
      <c r="HA117" s="460" t="str">
        <f t="shared" si="474"/>
        <v/>
      </c>
      <c r="HB117" s="460" t="str">
        <f t="shared" si="474"/>
        <v/>
      </c>
      <c r="HC117" s="460" t="str">
        <f t="shared" si="474"/>
        <v/>
      </c>
      <c r="HD117" s="460" t="str">
        <f t="shared" si="474"/>
        <v/>
      </c>
      <c r="HE117" s="460" t="str">
        <f t="shared" si="474"/>
        <v/>
      </c>
      <c r="HF117" s="460" t="str">
        <f t="shared" si="474"/>
        <v/>
      </c>
      <c r="HG117" s="460" t="str">
        <f t="shared" si="474"/>
        <v/>
      </c>
      <c r="HH117" s="460" t="str">
        <f t="shared" si="474"/>
        <v/>
      </c>
      <c r="HI117" s="460" t="str">
        <f t="shared" si="474"/>
        <v/>
      </c>
      <c r="HJ117" s="460" t="str">
        <f t="shared" si="474"/>
        <v/>
      </c>
      <c r="HK117" s="460" t="str">
        <f t="shared" si="474"/>
        <v/>
      </c>
      <c r="HL117" s="460" t="str">
        <f t="shared" si="474"/>
        <v/>
      </c>
      <c r="HM117" s="460" t="str">
        <f t="shared" si="474"/>
        <v/>
      </c>
      <c r="HN117" s="460" t="str">
        <f t="shared" si="474"/>
        <v/>
      </c>
      <c r="HO117" s="460" t="str">
        <f t="shared" si="474"/>
        <v/>
      </c>
      <c r="HP117" s="460" t="str">
        <f t="shared" si="474"/>
        <v/>
      </c>
      <c r="HQ117" s="460" t="str">
        <f t="shared" si="474"/>
        <v/>
      </c>
      <c r="HR117" s="460" t="str">
        <f t="shared" si="474"/>
        <v/>
      </c>
      <c r="HS117" s="460" t="str">
        <f t="shared" si="474"/>
        <v/>
      </c>
      <c r="HT117" s="460" t="str">
        <f t="shared" si="474"/>
        <v/>
      </c>
      <c r="HU117" s="460" t="str">
        <f t="shared" si="474"/>
        <v/>
      </c>
      <c r="HV117" s="460" t="str">
        <f t="shared" si="474"/>
        <v/>
      </c>
      <c r="HW117" s="460" t="str">
        <f t="shared" si="474"/>
        <v/>
      </c>
      <c r="HX117" s="460" t="str">
        <f t="shared" si="473"/>
        <v/>
      </c>
      <c r="HY117" s="460" t="str">
        <f t="shared" si="473"/>
        <v/>
      </c>
      <c r="HZ117" s="460" t="str">
        <f t="shared" si="473"/>
        <v/>
      </c>
      <c r="IA117" s="460" t="str">
        <f t="shared" si="473"/>
        <v/>
      </c>
      <c r="IB117" s="460" t="str">
        <f t="shared" si="473"/>
        <v/>
      </c>
      <c r="IC117" s="460" t="str">
        <f t="shared" si="473"/>
        <v/>
      </c>
      <c r="ID117" s="674" t="str">
        <f t="shared" si="473"/>
        <v/>
      </c>
      <c r="IE117" s="250"/>
    </row>
    <row r="118" spans="8:239">
      <c r="H118" s="51">
        <f t="shared" ca="1" si="315"/>
        <v>0</v>
      </c>
      <c r="I118" s="379">
        <f t="shared" si="316"/>
        <v>39753</v>
      </c>
      <c r="J118" s="377"/>
      <c r="K118" s="104" t="s">
        <v>268</v>
      </c>
      <c r="L118" s="392">
        <f t="shared" si="317"/>
        <v>0.82499999999999973</v>
      </c>
      <c r="M118" s="171"/>
      <c r="N118" s="382">
        <v>0</v>
      </c>
      <c r="O118" s="171">
        <f t="shared" si="272"/>
        <v>0</v>
      </c>
      <c r="P118" s="377"/>
      <c r="Q118" s="104" t="s">
        <v>268</v>
      </c>
      <c r="R118" s="377">
        <f t="shared" ca="1" si="417"/>
        <v>-0.3791529328715933</v>
      </c>
      <c r="S118" s="832">
        <f t="shared" si="435"/>
        <v>0.36000000000003041</v>
      </c>
      <c r="T118" s="831">
        <f t="shared" si="418"/>
        <v>0.99999997583612377</v>
      </c>
      <c r="U118" s="545">
        <f t="shared" si="419"/>
        <v>0.99999999999999145</v>
      </c>
      <c r="V118" s="389">
        <v>0</v>
      </c>
      <c r="W118" s="434">
        <f t="shared" si="455"/>
        <v>0</v>
      </c>
      <c r="X118" s="415">
        <f t="shared" si="456"/>
        <v>0.87374999999999969</v>
      </c>
      <c r="Y118" s="322">
        <f t="shared" si="457"/>
        <v>-1.1834</v>
      </c>
      <c r="Z118" s="322">
        <f t="shared" ca="1" si="458"/>
        <v>-0.30965000000000031</v>
      </c>
      <c r="AA118" s="429">
        <f t="shared" si="277"/>
        <v>1.1834</v>
      </c>
      <c r="AB118" s="433">
        <f t="shared" ca="1" si="278"/>
        <v>1.1834</v>
      </c>
      <c r="AC118" s="229">
        <v>39741</v>
      </c>
      <c r="AD118" s="229">
        <v>39737</v>
      </c>
      <c r="AE118" s="229">
        <v>39736</v>
      </c>
      <c r="AF118" s="229">
        <v>39732</v>
      </c>
      <c r="AG118" s="249" t="s">
        <v>499</v>
      </c>
      <c r="AH118" s="247" t="s">
        <v>499</v>
      </c>
      <c r="AI118" s="146">
        <v>20</v>
      </c>
      <c r="AJ118" s="41">
        <v>14</v>
      </c>
      <c r="AK118" s="41">
        <v>6</v>
      </c>
      <c r="AL118" s="293">
        <v>20</v>
      </c>
      <c r="AM118" s="41">
        <v>10</v>
      </c>
      <c r="AN118" s="147">
        <v>10</v>
      </c>
      <c r="AO118" s="374"/>
      <c r="AP118" s="153">
        <f t="shared" ca="1" si="318"/>
        <v>1</v>
      </c>
      <c r="AQ118" s="374"/>
      <c r="AR118" s="153">
        <f t="shared" ca="1" si="420"/>
        <v>1</v>
      </c>
      <c r="AS118" s="272">
        <f t="shared" si="459"/>
        <v>0</v>
      </c>
      <c r="AT118" s="157">
        <f t="shared" si="319"/>
        <v>0</v>
      </c>
      <c r="AU118" s="157">
        <f t="shared" si="280"/>
        <v>0</v>
      </c>
      <c r="AV118" s="271">
        <f t="shared" ca="1" si="430"/>
        <v>9.9999999999999995E-7</v>
      </c>
      <c r="AW118" s="158" t="str">
        <f t="shared" ca="1" si="460"/>
        <v/>
      </c>
      <c r="AX118" s="157">
        <f t="shared" ca="1" si="421"/>
        <v>9.3388942227885655E-4</v>
      </c>
      <c r="AY118" s="157">
        <f t="shared" ca="1" si="422"/>
        <v>3.7609667099666462E-4</v>
      </c>
      <c r="AZ118" s="157">
        <f t="shared" ca="1" si="423"/>
        <v>5.0863613803362321E-5</v>
      </c>
      <c r="BA118" s="157">
        <f t="shared" ca="1" si="424"/>
        <v>6.3579517254202902E-6</v>
      </c>
      <c r="BB118" s="157">
        <f t="shared" ca="1" si="425"/>
        <v>4.9480198864412379E-7</v>
      </c>
      <c r="BC118" s="157">
        <f t="shared" ca="1" si="426"/>
        <v>8.0847100285547593E-8</v>
      </c>
      <c r="BD118" s="151">
        <f t="shared" ca="1" si="461"/>
        <v>0</v>
      </c>
      <c r="BE118" s="152">
        <f t="shared" ca="1" si="462"/>
        <v>0</v>
      </c>
      <c r="BF118" s="40">
        <f t="shared" si="463"/>
        <v>2008</v>
      </c>
      <c r="BG118" s="144">
        <f t="shared" si="464"/>
        <v>11</v>
      </c>
      <c r="BH118" s="145">
        <f t="shared" ca="1" si="465"/>
        <v>2992</v>
      </c>
      <c r="BI118" s="313">
        <f t="shared" ca="1" si="439"/>
        <v>8.2354551676933614</v>
      </c>
      <c r="BJ118" s="42">
        <f t="shared" ca="1" si="288"/>
        <v>8.2910335386721421</v>
      </c>
      <c r="BK118" s="42">
        <f t="shared" ca="1" si="289"/>
        <v>8.2937713894592751</v>
      </c>
      <c r="BL118" s="42">
        <f t="shared" ca="1" si="440"/>
        <v>8.3148528405201922</v>
      </c>
      <c r="BM118" s="150" t="e">
        <f t="shared" ca="1" si="291"/>
        <v>#DIV/0!</v>
      </c>
      <c r="BN118" s="42" t="e">
        <f t="shared" ca="1" si="292"/>
        <v>#DIV/0!</v>
      </c>
      <c r="BO118" s="293">
        <f t="shared" si="441"/>
        <v>20</v>
      </c>
      <c r="BP118" s="41">
        <f t="shared" si="442"/>
        <v>14</v>
      </c>
      <c r="BQ118" s="41">
        <f t="shared" si="443"/>
        <v>6</v>
      </c>
      <c r="BR118" s="305" t="str">
        <f t="shared" ca="1" si="295"/>
        <v/>
      </c>
      <c r="BS118" s="305" t="str">
        <f t="shared" ca="1" si="444"/>
        <v/>
      </c>
      <c r="BT118" s="307" t="str">
        <f t="shared" ca="1" si="445"/>
        <v/>
      </c>
      <c r="BU118" s="161" t="str">
        <f t="shared" ca="1" si="298"/>
        <v/>
      </c>
      <c r="BV118" s="161" t="str">
        <f t="shared" ca="1" si="299"/>
        <v/>
      </c>
      <c r="BW118" s="308" t="str">
        <f t="shared" ca="1" si="300"/>
        <v/>
      </c>
      <c r="BX118" s="309" t="str">
        <f t="shared" ca="1" si="301"/>
        <v/>
      </c>
      <c r="BY118" s="308" t="str">
        <f t="shared" ca="1" si="446"/>
        <v/>
      </c>
      <c r="BZ118" s="309" t="str">
        <f t="shared" ca="1" si="447"/>
        <v/>
      </c>
      <c r="CA118" s="154" t="str">
        <f t="shared" ca="1" si="302"/>
        <v/>
      </c>
      <c r="CB118" s="154" t="str">
        <f t="shared" ca="1" si="303"/>
        <v/>
      </c>
      <c r="CC118" s="154" t="str">
        <f t="shared" ca="1" si="304"/>
        <v/>
      </c>
      <c r="CD118" s="154" t="str">
        <f t="shared" ca="1" si="305"/>
        <v/>
      </c>
      <c r="CE118" s="310">
        <v>1</v>
      </c>
      <c r="CF118" s="162">
        <f ca="1">IF(BD118,_xll.xCrudeAPO(BU118,BV118,CA118,CB118,S119,S120,BI118,BL118,BP118,BQ118,0,Strike1,AO118,CE118,0,BL118,IF(OptControl=4,0,1),0,1),0)</f>
        <v>0</v>
      </c>
      <c r="CG118" s="163">
        <f ca="1">IF(BD118,_xll.xCrudeAPO(BU118,BV118,CA118,CB118,S119,S120,BI118,BL118,BP118,BQ118,0,Strike1,AO118,CE118,0,BL118,IF(OptControl=4,0,1),1,1)+_xll.xCrudeAPO(BU118,BV118,CA118,CB118,S119,S120,BI118,BL118,BP118,BQ118,0,Strike1,AO118,CE118,0,BL118,IF(OptControl=4,0,1),1,2)+IF(OR(VolSkewFlag=2,ABS(BS118)&lt;0.0001),0,IF(BS118&gt;0,-1,1)*CH118*Strike1/BR118^2*BY118/10%),0)</f>
        <v>0</v>
      </c>
      <c r="CH118" s="163">
        <f ca="1">IF(BD118,(_xll.xCrudeAPO(BU118,BV118,CA118,CB118,S119,S120,BI118,BL118,BP118,BQ118,0,Strike1,AO118,CE118,0,BL118,IF(OptControl=4,0,1),3,1)+_xll.xCrudeAPO(BU118,BV118,CA118,CB118,S119,S120,BI118,BL118,BP118,BQ118,0,Strike1,AO118,CE118,0,BL118,IF(OptControl=4,0,1),3,2))/100,0)</f>
        <v>0</v>
      </c>
      <c r="CI118" s="163">
        <f ca="1">IF(BD118,_xll.xCrudeAPO(BU118,BV118,CA118,CB118,S119,S120,BI118-DaysForThetaCalculation/365.25,BL118-DaysForThetaCalculation/365.25,BP118,BQ118,0,Strike1,AO118,CE118,0,BL118,IF(OptControl=4,0,1),0,1)-_xll.xCrudeAPO(BU118,BV118,CA118,CB118,S119,S120,BI118,BL118,BP118,BQ118,0,Strike1,AO118,CE118,0,BL118,IF(OptControl=4,0,1),0,1),0)</f>
        <v>0</v>
      </c>
      <c r="CJ118" s="311">
        <f ca="1">IF(BD118,_xll.xCrudeAPO(BU118,BV118,CC118,CD118,S119,S120,BI118,BL118,BP118,BQ118,0,Strike2,AO118,CE118,0,BL118,IF(OptControl=3,1,0),0,1),0)</f>
        <v>0</v>
      </c>
      <c r="CK118" s="163">
        <f ca="1">IF(BD118,_xll.xCrudeAPO(BU118,BV118,CC118,CD118,S119,S120,BI118,BL118,BP118,BQ118,0,Strike2,AO118,CE118,0,BL118,IF(OptControl=3,1,0),1,1)+_xll.xCrudeAPO(BU118,BV118,CC118,CD118,S119,S120,BI118,BL118,BP118,BQ118,0,Strike2,AO118,CE118,0,BL118,IF(OptControl=3,1,0),1,2)+IF(OR(VolSkewFlag=2,ABS(BT118)&lt;0.0001),0,IF(BT118&gt;0,-1,1)*CL118*Strike2/BR118^2*BZ118/10%),0)</f>
        <v>0</v>
      </c>
      <c r="CL118" s="163">
        <f ca="1">IF(BD118,(_xll.xCrudeAPO(BU118,BV118,CC118,CD118,S119,S120,BI118,BL118,BP118,BQ118,0,Strike2,AO118,CE118,0,BL118,IF(OptControl=3,1,0),3,1)+_xll.xCrudeAPO(BU118,BV118,CC118,CD118,S119,S120,BI118,BL118,BP118,BQ118,0,Strike2,AO118,CE118,0,BL118,IF(OptControl=3,1,0),3,2))/100,0)</f>
        <v>0</v>
      </c>
      <c r="CM118" s="164">
        <f ca="1">IF(BD118,_xll.xCrudeAPO(BU118,BV118,CC118,CD118,S119,S120,BI118-DaysForThetaCalculation/365.25,BL118-DaysForThetaCalculation/365.25,BP118,BQ118,0,Strike2,AO118,CE118,0,BL118,IF(OptControl=3,1,0),0,1)-_xll.xCrudeAPO(BU118,BV118,CC118,CD118,S119,S120,BI118,BL118,BP118,BQ118,0,Strike2,AO118,CE118,0,BL118,IF(OptControl=3,1,0),0,1),0)</f>
        <v>0</v>
      </c>
      <c r="CN118" s="53"/>
      <c r="CO118" s="796" t="str">
        <f t="shared" ca="1" si="323"/>
        <v/>
      </c>
      <c r="CP118" s="800" t="str">
        <f t="shared" ca="1" si="324"/>
        <v/>
      </c>
      <c r="CQ118" s="797" t="str">
        <f t="shared" ca="1" si="325"/>
        <v/>
      </c>
      <c r="CR118" s="797" t="str">
        <f t="shared" ca="1" si="326"/>
        <v/>
      </c>
      <c r="CS118" s="797" t="str">
        <f t="shared" ca="1" si="327"/>
        <v/>
      </c>
      <c r="CT118" s="797" t="str">
        <f t="shared" ca="1" si="328"/>
        <v/>
      </c>
      <c r="CU118" s="798" t="str">
        <f t="shared" ca="1" si="329"/>
        <v/>
      </c>
      <c r="CV118" s="799" t="str">
        <f t="shared" ca="1" si="330"/>
        <v/>
      </c>
      <c r="CW118" s="799" t="str">
        <f t="shared" ca="1" si="331"/>
        <v/>
      </c>
      <c r="CX118" s="163">
        <f ca="1">IF(BD118,_xll.EURO(CP118,Strike1,AO118,AO118,CV118,CO118,IF(OptControl=4,0,1),0),0)</f>
        <v>0</v>
      </c>
      <c r="CY118" s="163">
        <f ca="1">IF(BD118,_xll.EURO(CP118,Strike1,AO118,AO118,CV118,CO118,IF(OptControl=4,0,1),1)+IF(OR(VolSkewFlag=2,ABS(CQ118)&lt;0.0001),0,IF(CQ118&gt;0,-1,1)*CZ118*100*Strike1/CP118^2*CS118/10%),0)</f>
        <v>0</v>
      </c>
      <c r="CZ118" s="163">
        <f ca="1">IF(BD118,_xll.EURO(CP118,Strike1,AO118,AO118,CV118,CO118,IF(OptControl=4,0,1),3)/100,0)</f>
        <v>0</v>
      </c>
      <c r="DA118" s="163">
        <f ca="1">IF(BD118,_xll.EURO(CP118,Strike1,AO118,AO118,CV118,CO118,IF(OptControl=4,0,1),0)-_xll.EURO(CP118,Strike1,AO118,AO118,CV118,CO118-1,IF(OptControl=4,0,1),0),0)</f>
        <v>0</v>
      </c>
      <c r="DB118" s="163">
        <f ca="1">IF(BD118,_xll.EURO(CP118,Strike2,AO118,AO118,CW118,CO118,IF(OptControl=3,1,0),0),0)</f>
        <v>0</v>
      </c>
      <c r="DC118" s="163">
        <f ca="1">IF(BD118,_xll.EURO(CP118,Strike2,AO118,AO118,CW118,CO118,IF(OptControl=3,1,0),1)+IF(OR(VolSkewFlag=2,ABS(CR118)&lt;0.0001),0,IF(CR118&gt;0,-1,1)*DD118*100*Strike2/CP118^2*CT118/10%),0)</f>
        <v>0</v>
      </c>
      <c r="DD118" s="163">
        <f ca="1">IF(BD118,_xll.EURO(CP118,Strike2,AO118,AO118,CW118,CO118,IF(OptControl=3,1,0),3)/100,0)</f>
        <v>0</v>
      </c>
      <c r="DE118" s="164">
        <f ca="1">IF(BD118,_xll.EURO(CP118,Strike2,AO118,AO118,CW118,CO118,IF(OptControl=3,1,0),0)-_xll.EURO(CP118,Strike2,AO118,AO118,CW118,CO118-1,IF(OptControl=3,1,0),0),0)</f>
        <v>0</v>
      </c>
      <c r="DG118" s="667">
        <f t="shared" ca="1" si="332"/>
        <v>39539</v>
      </c>
      <c r="DH118" s="475">
        <v>19.059999999999999</v>
      </c>
      <c r="DI118" s="665">
        <v>19.128181818181837</v>
      </c>
      <c r="DJ118" s="666">
        <f t="shared" ca="1" si="466"/>
        <v>39539</v>
      </c>
      <c r="DK118" s="475">
        <v>17.867495592213938</v>
      </c>
      <c r="DL118" s="665">
        <v>17.836681818181837</v>
      </c>
      <c r="DM118" s="667">
        <f t="shared" ca="1" si="467"/>
        <v>39539</v>
      </c>
      <c r="DN118" s="668">
        <f t="shared" si="468"/>
        <v>17.917495592213939</v>
      </c>
      <c r="DO118" s="667">
        <f t="shared" ca="1" si="333"/>
        <v>39539</v>
      </c>
      <c r="DP118" s="579">
        <f t="shared" si="334"/>
        <v>17.836681818181837</v>
      </c>
      <c r="DQ118" s="821">
        <v>0</v>
      </c>
      <c r="DR118" s="666">
        <f t="shared" ca="1" si="469"/>
        <v>39539</v>
      </c>
      <c r="DS118" s="669">
        <v>0.16580000000000003</v>
      </c>
      <c r="DT118" s="606">
        <v>0.16498181818181817</v>
      </c>
      <c r="DU118" s="666">
        <f t="shared" ca="1" si="470"/>
        <v>39539</v>
      </c>
      <c r="DV118" s="669">
        <v>0.16580000000000003</v>
      </c>
      <c r="DW118" s="606">
        <v>0.16498181818181817</v>
      </c>
      <c r="DX118" s="667">
        <f t="shared" ca="1" si="471"/>
        <v>39539</v>
      </c>
      <c r="DY118" s="606">
        <v>0.35</v>
      </c>
      <c r="DZ118" s="667">
        <f t="shared" ca="1" si="335"/>
        <v>39539</v>
      </c>
      <c r="EA118" s="606">
        <f t="shared" si="336"/>
        <v>0.16498181818181817</v>
      </c>
      <c r="EB118" s="1"/>
      <c r="EC118" s="118" t="str">
        <f t="shared" ca="1" si="472"/>
        <v/>
      </c>
      <c r="ED118" s="119" t="str">
        <f t="shared" ca="1" si="313"/>
        <v/>
      </c>
      <c r="EE118" s="112" t="str">
        <f t="shared" ca="1" si="314"/>
        <v/>
      </c>
      <c r="EF118" s="120">
        <f ca="1">IF(BD118,_xll.xASN(BR118,Strike1,AO118,ED118,0,BO118,0,BI118,BL118,IF(OptControl=4,0,1),0),0)</f>
        <v>0</v>
      </c>
      <c r="EG118" s="111">
        <f ca="1">IF(BD118,_xll.xASN(BR118,Strike2,AO118,EE118,0,BO118,0,BI118,BL118,IF(OptControl=3,1,0),0),0)</f>
        <v>0</v>
      </c>
      <c r="EL118" s="55"/>
      <c r="EM118" s="1"/>
      <c r="EN118" s="106"/>
      <c r="EO118" s="106"/>
      <c r="EP118" s="1"/>
      <c r="EQ118" s="683" t="s">
        <v>331</v>
      </c>
      <c r="ES118" s="455"/>
      <c r="ET118" s="36"/>
      <c r="EU118" s="107"/>
      <c r="EV118" s="475"/>
      <c r="EW118" s="456"/>
      <c r="EX118" s="456"/>
      <c r="EY118" s="250"/>
      <c r="EZ118" s="250"/>
      <c r="FA118" s="250"/>
      <c r="FB118" s="250"/>
      <c r="FC118" s="250"/>
      <c r="FD118" s="250"/>
      <c r="FE118" s="250"/>
      <c r="FF118" s="250"/>
      <c r="FG118" s="250"/>
      <c r="FH118" s="250"/>
      <c r="FI118" s="250"/>
      <c r="FJ118" s="673">
        <v>24</v>
      </c>
      <c r="FK118" s="460">
        <f t="shared" ca="1" si="432"/>
        <v>0</v>
      </c>
      <c r="FL118" s="460">
        <f t="shared" ca="1" si="474"/>
        <v>0.17028375479204114</v>
      </c>
      <c r="FM118" s="460">
        <f t="shared" ca="1" si="474"/>
        <v>0.17550105776597699</v>
      </c>
      <c r="FN118" s="460">
        <f t="shared" ca="1" si="474"/>
        <v>0.17297494374851535</v>
      </c>
      <c r="FO118" s="460">
        <f t="shared" ca="1" si="474"/>
        <v>0.17141552827640621</v>
      </c>
      <c r="FP118" s="460">
        <f t="shared" ca="1" si="474"/>
        <v>0.17064334086022453</v>
      </c>
      <c r="FQ118" s="460">
        <f t="shared" ca="1" si="474"/>
        <v>0.17053550761088226</v>
      </c>
      <c r="FR118" s="460">
        <f t="shared" ca="1" si="474"/>
        <v>0.1710141624717782</v>
      </c>
      <c r="FS118" s="460">
        <f t="shared" ca="1" si="474"/>
        <v>0.17203840797219649</v>
      </c>
      <c r="FT118" s="460">
        <f t="shared" ca="1" si="474"/>
        <v>0.17359914389043751</v>
      </c>
      <c r="FU118" s="460">
        <f t="shared" ca="1" si="474"/>
        <v>0.17571633113382884</v>
      </c>
      <c r="FV118" s="460">
        <f t="shared" ca="1" si="474"/>
        <v>0.17843848027569498</v>
      </c>
      <c r="FW118" s="460">
        <f t="shared" ca="1" si="474"/>
        <v>0.18184437476455981</v>
      </c>
      <c r="FX118" s="460">
        <f t="shared" ca="1" si="474"/>
        <v>0.18604728788990435</v>
      </c>
      <c r="FY118" s="460">
        <f t="shared" ca="1" si="474"/>
        <v>0.19120227146512322</v>
      </c>
      <c r="FZ118" s="460">
        <f t="shared" ca="1" si="474"/>
        <v>0.19751754625549411</v>
      </c>
      <c r="GA118" s="460">
        <f t="shared" ca="1" si="474"/>
        <v>0.20527171428770491</v>
      </c>
      <c r="GB118" s="460">
        <f t="shared" ca="1" si="474"/>
        <v>0.21483962414214056</v>
      </c>
      <c r="GC118" s="460">
        <f t="shared" ca="1" si="474"/>
        <v>0.22673158435069843</v>
      </c>
      <c r="GD118" s="460">
        <f t="shared" ca="1" si="474"/>
        <v>0.24165386383203485</v>
      </c>
      <c r="GE118" s="460">
        <f t="shared" ca="1" si="474"/>
        <v>0.2606042699658962</v>
      </c>
      <c r="GF118" s="460">
        <f t="shared" ca="1" si="474"/>
        <v>0.28502756095160148</v>
      </c>
      <c r="GG118" s="460">
        <f t="shared" ca="1" si="474"/>
        <v>0.31707688239358894</v>
      </c>
      <c r="GH118" s="460">
        <f t="shared" ca="1" si="474"/>
        <v>0.36007135226862602</v>
      </c>
      <c r="GI118" s="460" t="str">
        <f t="shared" si="474"/>
        <v/>
      </c>
      <c r="GJ118" s="460" t="str">
        <f t="shared" si="474"/>
        <v/>
      </c>
      <c r="GK118" s="460" t="str">
        <f t="shared" si="474"/>
        <v/>
      </c>
      <c r="GL118" s="460" t="str">
        <f t="shared" si="474"/>
        <v/>
      </c>
      <c r="GM118" s="460" t="str">
        <f t="shared" si="474"/>
        <v/>
      </c>
      <c r="GN118" s="460" t="str">
        <f t="shared" si="474"/>
        <v/>
      </c>
      <c r="GO118" s="460" t="str">
        <f t="shared" si="474"/>
        <v/>
      </c>
      <c r="GP118" s="460" t="str">
        <f t="shared" si="474"/>
        <v/>
      </c>
      <c r="GQ118" s="460" t="str">
        <f t="shared" si="474"/>
        <v/>
      </c>
      <c r="GR118" s="460" t="str">
        <f t="shared" si="474"/>
        <v/>
      </c>
      <c r="GS118" s="460" t="str">
        <f t="shared" si="474"/>
        <v/>
      </c>
      <c r="GT118" s="460" t="str">
        <f t="shared" si="474"/>
        <v/>
      </c>
      <c r="GU118" s="460" t="str">
        <f t="shared" si="474"/>
        <v/>
      </c>
      <c r="GV118" s="460" t="str">
        <f t="shared" si="474"/>
        <v/>
      </c>
      <c r="GW118" s="460" t="str">
        <f t="shared" si="474"/>
        <v/>
      </c>
      <c r="GX118" s="460" t="str">
        <f t="shared" si="474"/>
        <v/>
      </c>
      <c r="GY118" s="460" t="str">
        <f t="shared" si="474"/>
        <v/>
      </c>
      <c r="GZ118" s="460" t="str">
        <f t="shared" si="474"/>
        <v/>
      </c>
      <c r="HA118" s="460" t="str">
        <f t="shared" si="474"/>
        <v/>
      </c>
      <c r="HB118" s="460" t="str">
        <f t="shared" si="474"/>
        <v/>
      </c>
      <c r="HC118" s="460" t="str">
        <f t="shared" si="474"/>
        <v/>
      </c>
      <c r="HD118" s="460" t="str">
        <f t="shared" si="474"/>
        <v/>
      </c>
      <c r="HE118" s="460" t="str">
        <f t="shared" si="474"/>
        <v/>
      </c>
      <c r="HF118" s="460" t="str">
        <f t="shared" si="474"/>
        <v/>
      </c>
      <c r="HG118" s="460" t="str">
        <f t="shared" si="474"/>
        <v/>
      </c>
      <c r="HH118" s="460" t="str">
        <f t="shared" si="474"/>
        <v/>
      </c>
      <c r="HI118" s="460" t="str">
        <f t="shared" si="474"/>
        <v/>
      </c>
      <c r="HJ118" s="460" t="str">
        <f t="shared" si="474"/>
        <v/>
      </c>
      <c r="HK118" s="460" t="str">
        <f t="shared" si="474"/>
        <v/>
      </c>
      <c r="HL118" s="460" t="str">
        <f t="shared" si="474"/>
        <v/>
      </c>
      <c r="HM118" s="460" t="str">
        <f t="shared" si="474"/>
        <v/>
      </c>
      <c r="HN118" s="460" t="str">
        <f t="shared" si="474"/>
        <v/>
      </c>
      <c r="HO118" s="460" t="str">
        <f t="shared" si="474"/>
        <v/>
      </c>
      <c r="HP118" s="460" t="str">
        <f t="shared" si="474"/>
        <v/>
      </c>
      <c r="HQ118" s="460" t="str">
        <f t="shared" si="474"/>
        <v/>
      </c>
      <c r="HR118" s="460" t="str">
        <f t="shared" si="474"/>
        <v/>
      </c>
      <c r="HS118" s="460" t="str">
        <f t="shared" si="474"/>
        <v/>
      </c>
      <c r="HT118" s="460" t="str">
        <f t="shared" si="474"/>
        <v/>
      </c>
      <c r="HU118" s="460" t="str">
        <f t="shared" si="474"/>
        <v/>
      </c>
      <c r="HV118" s="460" t="str">
        <f t="shared" si="474"/>
        <v/>
      </c>
      <c r="HW118" s="460" t="str">
        <f t="shared" si="474"/>
        <v/>
      </c>
      <c r="HX118" s="460" t="str">
        <f t="shared" si="473"/>
        <v/>
      </c>
      <c r="HY118" s="460" t="str">
        <f t="shared" si="473"/>
        <v/>
      </c>
      <c r="HZ118" s="460" t="str">
        <f t="shared" si="473"/>
        <v/>
      </c>
      <c r="IA118" s="460" t="str">
        <f t="shared" si="473"/>
        <v/>
      </c>
      <c r="IB118" s="460" t="str">
        <f t="shared" si="473"/>
        <v/>
      </c>
      <c r="IC118" s="460" t="str">
        <f t="shared" si="473"/>
        <v/>
      </c>
      <c r="ID118" s="674" t="str">
        <f t="shared" si="473"/>
        <v/>
      </c>
      <c r="IE118" s="250"/>
    </row>
    <row r="119" spans="8:239">
      <c r="H119" s="51">
        <f t="shared" ca="1" si="315"/>
        <v>0</v>
      </c>
      <c r="I119" s="379">
        <f t="shared" si="316"/>
        <v>39783</v>
      </c>
      <c r="J119" s="377"/>
      <c r="K119" s="104" t="s">
        <v>268</v>
      </c>
      <c r="L119" s="392">
        <f t="shared" si="317"/>
        <v>0.86249999999999971</v>
      </c>
      <c r="M119" s="171"/>
      <c r="N119" s="382">
        <v>0</v>
      </c>
      <c r="O119" s="171">
        <f t="shared" si="272"/>
        <v>0</v>
      </c>
      <c r="P119" s="377"/>
      <c r="Q119" s="104" t="s">
        <v>268</v>
      </c>
      <c r="R119" s="377">
        <f t="shared" ca="1" si="417"/>
        <v>-0.31647466702185195</v>
      </c>
      <c r="S119" s="832">
        <f t="shared" si="435"/>
        <v>0.3600000000000228</v>
      </c>
      <c r="T119" s="831">
        <f t="shared" si="418"/>
        <v>0.99999997933988627</v>
      </c>
      <c r="U119" s="545">
        <f t="shared" si="419"/>
        <v>0.99999999999999356</v>
      </c>
      <c r="V119" s="389">
        <v>0</v>
      </c>
      <c r="W119" s="434">
        <f t="shared" si="455"/>
        <v>0</v>
      </c>
      <c r="X119" s="415">
        <f t="shared" si="456"/>
        <v>0.9119318181818179</v>
      </c>
      <c r="Y119" s="322">
        <f t="shared" si="457"/>
        <v>-1.1834</v>
      </c>
      <c r="Z119" s="322">
        <f t="shared" ca="1" si="458"/>
        <v>-0.27146818181818211</v>
      </c>
      <c r="AA119" s="429">
        <f t="shared" si="277"/>
        <v>1.1834</v>
      </c>
      <c r="AB119" s="433">
        <f t="shared" ca="1" si="278"/>
        <v>1.1834</v>
      </c>
      <c r="AC119" s="229">
        <v>39772</v>
      </c>
      <c r="AD119" s="229">
        <v>39768</v>
      </c>
      <c r="AE119" s="229">
        <v>39767</v>
      </c>
      <c r="AF119" s="229">
        <v>39763</v>
      </c>
      <c r="AG119" s="249" t="s">
        <v>499</v>
      </c>
      <c r="AH119" s="247" t="s">
        <v>499</v>
      </c>
      <c r="AI119" s="146">
        <v>22</v>
      </c>
      <c r="AJ119" s="41">
        <v>15</v>
      </c>
      <c r="AK119" s="41">
        <v>7</v>
      </c>
      <c r="AL119" s="293">
        <v>22</v>
      </c>
      <c r="AM119" s="41">
        <v>10</v>
      </c>
      <c r="AN119" s="147">
        <v>12</v>
      </c>
      <c r="AO119" s="374"/>
      <c r="AP119" s="153">
        <f t="shared" ca="1" si="318"/>
        <v>1</v>
      </c>
      <c r="AQ119" s="374"/>
      <c r="AR119" s="153">
        <f t="shared" ca="1" si="420"/>
        <v>1</v>
      </c>
      <c r="AS119" s="272">
        <f t="shared" si="459"/>
        <v>0</v>
      </c>
      <c r="AT119" s="157">
        <f t="shared" si="319"/>
        <v>0</v>
      </c>
      <c r="AU119" s="157">
        <f t="shared" si="280"/>
        <v>0</v>
      </c>
      <c r="AV119" s="271">
        <f t="shared" ca="1" si="430"/>
        <v>9.9999999999999995E-7</v>
      </c>
      <c r="AW119" s="158" t="str">
        <f t="shared" ca="1" si="460"/>
        <v/>
      </c>
      <c r="AX119" s="157">
        <f t="shared" ca="1" si="421"/>
        <v>9.0286160529468279E-4</v>
      </c>
      <c r="AY119" s="157">
        <f t="shared" ca="1" si="422"/>
        <v>3.6118389368089741E-4</v>
      </c>
      <c r="AZ119" s="157">
        <f t="shared" ca="1" si="423"/>
        <v>4.8008858519155708E-5</v>
      </c>
      <c r="BA119" s="157">
        <f t="shared" ca="1" si="424"/>
        <v>6.0011073148944635E-6</v>
      </c>
      <c r="BB119" s="157">
        <f t="shared" ca="1" si="425"/>
        <v>4.5151411532259662E-7</v>
      </c>
      <c r="BC119" s="157">
        <f t="shared" ca="1" si="426"/>
        <v>7.2026578009757732E-8</v>
      </c>
      <c r="BD119" s="151">
        <f t="shared" ca="1" si="461"/>
        <v>0</v>
      </c>
      <c r="BE119" s="152">
        <f t="shared" ca="1" si="462"/>
        <v>0</v>
      </c>
      <c r="BF119" s="40">
        <f t="shared" si="463"/>
        <v>2008</v>
      </c>
      <c r="BG119" s="144">
        <f t="shared" si="464"/>
        <v>12</v>
      </c>
      <c r="BH119" s="145">
        <f t="shared" ca="1" si="465"/>
        <v>3023</v>
      </c>
      <c r="BI119" s="313">
        <f t="shared" ca="1" si="439"/>
        <v>8.3175906913073234</v>
      </c>
      <c r="BJ119" s="42">
        <f t="shared" ca="1" si="288"/>
        <v>8.3735921846804811</v>
      </c>
      <c r="BK119" s="42">
        <f t="shared" ca="1" si="289"/>
        <v>8.376330035467614</v>
      </c>
      <c r="BL119" s="42">
        <f t="shared" ca="1" si="440"/>
        <v>8.3997262149212872</v>
      </c>
      <c r="BM119" s="150" t="e">
        <f t="shared" ca="1" si="291"/>
        <v>#DIV/0!</v>
      </c>
      <c r="BN119" s="42" t="e">
        <f t="shared" ca="1" si="292"/>
        <v>#DIV/0!</v>
      </c>
      <c r="BO119" s="293">
        <f t="shared" si="441"/>
        <v>22</v>
      </c>
      <c r="BP119" s="41">
        <f t="shared" si="442"/>
        <v>15</v>
      </c>
      <c r="BQ119" s="41">
        <f t="shared" si="443"/>
        <v>7</v>
      </c>
      <c r="BR119" s="305" t="str">
        <f t="shared" ca="1" si="295"/>
        <v/>
      </c>
      <c r="BS119" s="305" t="str">
        <f t="shared" ca="1" si="444"/>
        <v/>
      </c>
      <c r="BT119" s="307" t="str">
        <f t="shared" ca="1" si="445"/>
        <v/>
      </c>
      <c r="BU119" s="161" t="str">
        <f t="shared" ca="1" si="298"/>
        <v/>
      </c>
      <c r="BV119" s="161" t="str">
        <f t="shared" ca="1" si="299"/>
        <v/>
      </c>
      <c r="BW119" s="308" t="str">
        <f t="shared" ca="1" si="300"/>
        <v/>
      </c>
      <c r="BX119" s="309" t="str">
        <f t="shared" ca="1" si="301"/>
        <v/>
      </c>
      <c r="BY119" s="308" t="str">
        <f t="shared" ca="1" si="446"/>
        <v/>
      </c>
      <c r="BZ119" s="309" t="str">
        <f t="shared" ca="1" si="447"/>
        <v/>
      </c>
      <c r="CA119" s="154" t="str">
        <f t="shared" ca="1" si="302"/>
        <v/>
      </c>
      <c r="CB119" s="154" t="str">
        <f t="shared" ca="1" si="303"/>
        <v/>
      </c>
      <c r="CC119" s="154" t="str">
        <f t="shared" ca="1" si="304"/>
        <v/>
      </c>
      <c r="CD119" s="154" t="str">
        <f t="shared" ca="1" si="305"/>
        <v/>
      </c>
      <c r="CE119" s="310">
        <v>1</v>
      </c>
      <c r="CF119" s="162">
        <f ca="1">IF(BD119,_xll.xCrudeAPO(BU119,BV119,CA119,CB119,S120,S121,BI119,BL119,BP119,BQ119,0,Strike1,AO119,CE119,0,BL119,IF(OptControl=4,0,1),0,1),0)</f>
        <v>0</v>
      </c>
      <c r="CG119" s="163">
        <f ca="1">IF(BD119,_xll.xCrudeAPO(BU119,BV119,CA119,CB119,S120,S121,BI119,BL119,BP119,BQ119,0,Strike1,AO119,CE119,0,BL119,IF(OptControl=4,0,1),1,1)+_xll.xCrudeAPO(BU119,BV119,CA119,CB119,S120,S121,BI119,BL119,BP119,BQ119,0,Strike1,AO119,CE119,0,BL119,IF(OptControl=4,0,1),1,2)+IF(OR(VolSkewFlag=2,ABS(BS119)&lt;0.0001),0,IF(BS119&gt;0,-1,1)*CH119*Strike1/BR119^2*BY119/10%),0)</f>
        <v>0</v>
      </c>
      <c r="CH119" s="163">
        <f ca="1">IF(BD119,(_xll.xCrudeAPO(BU119,BV119,CA119,CB119,S120,S121,BI119,BL119,BP119,BQ119,0,Strike1,AO119,CE119,0,BL119,IF(OptControl=4,0,1),3,1)+_xll.xCrudeAPO(BU119,BV119,CA119,CB119,S120,S121,BI119,BL119,BP119,BQ119,0,Strike1,AO119,CE119,0,BL119,IF(OptControl=4,0,1),3,2))/100,0)</f>
        <v>0</v>
      </c>
      <c r="CI119" s="163">
        <f ca="1">IF(BD119,_xll.xCrudeAPO(BU119,BV119,CA119,CB119,S120,S121,BI119-DaysForThetaCalculation/365.25,BL119-DaysForThetaCalculation/365.25,BP119,BQ119,0,Strike1,AO119,CE119,0,BL119,IF(OptControl=4,0,1),0,1)-_xll.xCrudeAPO(BU119,BV119,CA119,CB119,S120,S121,BI119,BL119,BP119,BQ119,0,Strike1,AO119,CE119,0,BL119,IF(OptControl=4,0,1),0,1),0)</f>
        <v>0</v>
      </c>
      <c r="CJ119" s="311">
        <f ca="1">IF(BD119,_xll.xCrudeAPO(BU119,BV119,CC119,CD119,S120,S121,BI119,BL119,BP119,BQ119,0,Strike2,AO119,CE119,0,BL119,IF(OptControl=3,1,0),0,1),0)</f>
        <v>0</v>
      </c>
      <c r="CK119" s="163">
        <f ca="1">IF(BD119,_xll.xCrudeAPO(BU119,BV119,CC119,CD119,S120,S121,BI119,BL119,BP119,BQ119,0,Strike2,AO119,CE119,0,BL119,IF(OptControl=3,1,0),1,1)+_xll.xCrudeAPO(BU119,BV119,CC119,CD119,S120,S121,BI119,BL119,BP119,BQ119,0,Strike2,AO119,CE119,0,BL119,IF(OptControl=3,1,0),1,2)+IF(OR(VolSkewFlag=2,ABS(BT119)&lt;0.0001),0,IF(BT119&gt;0,-1,1)*CL119*Strike2/BR119^2*BZ119/10%),0)</f>
        <v>0</v>
      </c>
      <c r="CL119" s="163">
        <f ca="1">IF(BD119,(_xll.xCrudeAPO(BU119,BV119,CC119,CD119,S120,S121,BI119,BL119,BP119,BQ119,0,Strike2,AO119,CE119,0,BL119,IF(OptControl=3,1,0),3,1)+_xll.xCrudeAPO(BU119,BV119,CC119,CD119,S120,S121,BI119,BL119,BP119,BQ119,0,Strike2,AO119,CE119,0,BL119,IF(OptControl=3,1,0),3,2))/100,0)</f>
        <v>0</v>
      </c>
      <c r="CM119" s="164">
        <f ca="1">IF(BD119,_xll.xCrudeAPO(BU119,BV119,CC119,CD119,S120,S121,BI119-DaysForThetaCalculation/365.25,BL119-DaysForThetaCalculation/365.25,BP119,BQ119,0,Strike2,AO119,CE119,0,BL119,IF(OptControl=3,1,0),0,1)-_xll.xCrudeAPO(BU119,BV119,CC119,CD119,S120,S121,BI119,BL119,BP119,BQ119,0,Strike2,AO119,CE119,0,BL119,IF(OptControl=3,1,0),0,1),0)</f>
        <v>0</v>
      </c>
      <c r="CN119" s="53"/>
      <c r="CO119" s="796" t="str">
        <f t="shared" ca="1" si="323"/>
        <v/>
      </c>
      <c r="CP119" s="800" t="str">
        <f t="shared" ca="1" si="324"/>
        <v/>
      </c>
      <c r="CQ119" s="797" t="str">
        <f t="shared" ca="1" si="325"/>
        <v/>
      </c>
      <c r="CR119" s="797" t="str">
        <f t="shared" ca="1" si="326"/>
        <v/>
      </c>
      <c r="CS119" s="797" t="str">
        <f t="shared" ca="1" si="327"/>
        <v/>
      </c>
      <c r="CT119" s="797" t="str">
        <f t="shared" ca="1" si="328"/>
        <v/>
      </c>
      <c r="CU119" s="798" t="str">
        <f t="shared" ca="1" si="329"/>
        <v/>
      </c>
      <c r="CV119" s="799" t="str">
        <f t="shared" ca="1" si="330"/>
        <v/>
      </c>
      <c r="CW119" s="799" t="str">
        <f t="shared" ca="1" si="331"/>
        <v/>
      </c>
      <c r="CX119" s="163">
        <f ca="1">IF(BD119,_xll.EURO(CP119,Strike1,AO119,AO119,CV119,CO119,IF(OptControl=4,0,1),0),0)</f>
        <v>0</v>
      </c>
      <c r="CY119" s="163">
        <f ca="1">IF(BD119,_xll.EURO(CP119,Strike1,AO119,AO119,CV119,CO119,IF(OptControl=4,0,1),1)+IF(OR(VolSkewFlag=2,ABS(CQ119)&lt;0.0001),0,IF(CQ119&gt;0,-1,1)*CZ119*100*Strike1/CP119^2*CS119/10%),0)</f>
        <v>0</v>
      </c>
      <c r="CZ119" s="163">
        <f ca="1">IF(BD119,_xll.EURO(CP119,Strike1,AO119,AO119,CV119,CO119,IF(OptControl=4,0,1),3)/100,0)</f>
        <v>0</v>
      </c>
      <c r="DA119" s="163">
        <f ca="1">IF(BD119,_xll.EURO(CP119,Strike1,AO119,AO119,CV119,CO119,IF(OptControl=4,0,1),0)-_xll.EURO(CP119,Strike1,AO119,AO119,CV119,CO119-1,IF(OptControl=4,0,1),0),0)</f>
        <v>0</v>
      </c>
      <c r="DB119" s="163">
        <f ca="1">IF(BD119,_xll.EURO(CP119,Strike2,AO119,AO119,CW119,CO119,IF(OptControl=3,1,0),0),0)</f>
        <v>0</v>
      </c>
      <c r="DC119" s="163">
        <f ca="1">IF(BD119,_xll.EURO(CP119,Strike2,AO119,AO119,CW119,CO119,IF(OptControl=3,1,0),1)+IF(OR(VolSkewFlag=2,ABS(CR119)&lt;0.0001),0,IF(CR119&gt;0,-1,1)*DD119*100*Strike2/CP119^2*CT119/10%),0)</f>
        <v>0</v>
      </c>
      <c r="DD119" s="163">
        <f ca="1">IF(BD119,_xll.EURO(CP119,Strike2,AO119,AO119,CW119,CO119,IF(OptControl=3,1,0),3)/100,0)</f>
        <v>0</v>
      </c>
      <c r="DE119" s="164">
        <f ca="1">IF(BD119,_xll.EURO(CP119,Strike2,AO119,AO119,CW119,CO119,IF(OptControl=3,1,0),0)-_xll.EURO(CP119,Strike2,AO119,AO119,CW119,CO119-1,IF(OptControl=3,1,0),0),0)</f>
        <v>0</v>
      </c>
      <c r="DG119" s="667">
        <f t="shared" ca="1" si="332"/>
        <v>39569</v>
      </c>
      <c r="DH119" s="475">
        <v>19.11</v>
      </c>
      <c r="DI119" s="665">
        <v>19.178181818181837</v>
      </c>
      <c r="DJ119" s="666">
        <f t="shared" ca="1" si="466"/>
        <v>39569</v>
      </c>
      <c r="DK119" s="475">
        <v>17.945140370714629</v>
      </c>
      <c r="DL119" s="665">
        <v>17.886681818181838</v>
      </c>
      <c r="DM119" s="667">
        <f t="shared" ca="1" si="467"/>
        <v>39569</v>
      </c>
      <c r="DN119" s="668">
        <f t="shared" si="468"/>
        <v>17.99514037071463</v>
      </c>
      <c r="DO119" s="667">
        <f t="shared" ca="1" si="333"/>
        <v>39569</v>
      </c>
      <c r="DP119" s="579">
        <f t="shared" si="334"/>
        <v>17.886681818181838</v>
      </c>
      <c r="DQ119" s="821">
        <v>0</v>
      </c>
      <c r="DR119" s="666">
        <f t="shared" ca="1" si="469"/>
        <v>39569</v>
      </c>
      <c r="DS119" s="669">
        <v>0.16519999999999999</v>
      </c>
      <c r="DT119" s="606">
        <v>0.16438181818181818</v>
      </c>
      <c r="DU119" s="666">
        <f t="shared" ca="1" si="470"/>
        <v>39569</v>
      </c>
      <c r="DV119" s="669">
        <v>0.16519999999999999</v>
      </c>
      <c r="DW119" s="606">
        <v>0.16438181818181818</v>
      </c>
      <c r="DX119" s="667">
        <f t="shared" ca="1" si="471"/>
        <v>39569</v>
      </c>
      <c r="DY119" s="606">
        <v>0.35</v>
      </c>
      <c r="DZ119" s="667">
        <f t="shared" ca="1" si="335"/>
        <v>39569</v>
      </c>
      <c r="EA119" s="606">
        <f t="shared" si="336"/>
        <v>0.16438181818181818</v>
      </c>
      <c r="EB119" s="1"/>
      <c r="EC119" s="118" t="str">
        <f t="shared" ca="1" si="472"/>
        <v/>
      </c>
      <c r="ED119" s="119" t="str">
        <f t="shared" ca="1" si="313"/>
        <v/>
      </c>
      <c r="EE119" s="112" t="str">
        <f t="shared" ca="1" si="314"/>
        <v/>
      </c>
      <c r="EF119" s="120">
        <f ca="1">IF(BD119,_xll.xASN(BR119,Strike1,AO119,ED119,0,BO119,0,BI119,BL119,IF(OptControl=4,0,1),0),0)</f>
        <v>0</v>
      </c>
      <c r="EG119" s="111">
        <f ca="1">IF(BD119,_xll.xASN(BR119,Strike2,AO119,EE119,0,BO119,0,BI119,BL119,IF(OptControl=3,1,0),0),0)</f>
        <v>0</v>
      </c>
      <c r="EL119" s="55"/>
      <c r="EM119" s="1"/>
      <c r="EN119" s="106"/>
      <c r="EO119" s="106"/>
      <c r="EP119" s="1"/>
      <c r="EQ119" s="683" t="s">
        <v>332</v>
      </c>
      <c r="ES119" s="455"/>
      <c r="ET119" s="36"/>
      <c r="EU119" s="107"/>
      <c r="EV119" s="475"/>
      <c r="EW119" s="456"/>
      <c r="EX119" s="456"/>
      <c r="EY119" s="250"/>
      <c r="EZ119" s="250"/>
      <c r="FA119" s="250"/>
      <c r="FB119" s="250"/>
      <c r="FC119" s="250"/>
      <c r="FD119" s="250"/>
      <c r="FE119" s="250"/>
      <c r="FF119" s="250"/>
      <c r="FG119" s="250"/>
      <c r="FH119" s="250"/>
      <c r="FI119" s="250"/>
      <c r="FJ119" s="673">
        <v>25</v>
      </c>
      <c r="FK119" s="460">
        <f t="shared" ca="1" si="432"/>
        <v>0</v>
      </c>
      <c r="FL119" s="460">
        <f t="shared" ca="1" si="474"/>
        <v>0.16967324273216253</v>
      </c>
      <c r="FM119" s="460">
        <f t="shared" ca="1" si="474"/>
        <v>0.17476490623393698</v>
      </c>
      <c r="FN119" s="460">
        <f t="shared" ca="1" si="474"/>
        <v>0.17212603742432359</v>
      </c>
      <c r="FO119" s="460">
        <f t="shared" ca="1" si="474"/>
        <v>0.17043119457574313</v>
      </c>
      <c r="FP119" s="460">
        <f t="shared" ca="1" si="474"/>
        <v>0.16949669773599865</v>
      </c>
      <c r="FQ119" s="460">
        <f t="shared" ca="1" si="474"/>
        <v>0.16919448230575093</v>
      </c>
      <c r="FR119" s="460">
        <f t="shared" ca="1" si="474"/>
        <v>0.16944025102061253</v>
      </c>
      <c r="FS119" s="460">
        <f t="shared" ca="1" si="474"/>
        <v>0.17018508974253396</v>
      </c>
      <c r="FT119" s="460">
        <f t="shared" ca="1" si="474"/>
        <v>0.1714098319642389</v>
      </c>
      <c r="FU119" s="460">
        <f t="shared" ca="1" si="474"/>
        <v>0.17312169057459903</v>
      </c>
      <c r="FV119" s="460">
        <f t="shared" ca="1" si="474"/>
        <v>0.1753528743162501</v>
      </c>
      <c r="FW119" s="460">
        <f t="shared" ca="1" si="474"/>
        <v>0.17816109097243649</v>
      </c>
      <c r="FX119" s="460">
        <f t="shared" ca="1" si="474"/>
        <v>0.18163203174899695</v>
      </c>
      <c r="FY119" s="460">
        <f t="shared" ca="1" si="474"/>
        <v>0.18588415927582913</v>
      </c>
      <c r="FZ119" s="460">
        <f t="shared" ca="1" si="474"/>
        <v>0.19107642469445035</v>
      </c>
      <c r="GA119" s="460">
        <f t="shared" ca="1" si="474"/>
        <v>0.19741997948847712</v>
      </c>
      <c r="GB119" s="460">
        <f t="shared" ca="1" si="474"/>
        <v>0.20519562891285464</v>
      </c>
      <c r="GC119" s="460">
        <f t="shared" ca="1" si="474"/>
        <v>0.21477987815697208</v>
      </c>
      <c r="GD119" s="460">
        <f t="shared" ca="1" si="474"/>
        <v>0.22668428137942348</v>
      </c>
      <c r="GE119" s="460">
        <f t="shared" ca="1" si="474"/>
        <v>0.24161604378874682</v>
      </c>
      <c r="GF119" s="460">
        <f t="shared" ca="1" si="474"/>
        <v>0.26057367576998752</v>
      </c>
      <c r="GG119" s="460">
        <f t="shared" ca="1" si="474"/>
        <v>0.28500246193973838</v>
      </c>
      <c r="GH119" s="460">
        <f t="shared" ca="1" si="474"/>
        <v>0.31705593963651979</v>
      </c>
      <c r="GI119" s="460">
        <f t="shared" ca="1" si="474"/>
        <v>0.36005351420146953</v>
      </c>
      <c r="GJ119" s="460" t="str">
        <f t="shared" si="474"/>
        <v/>
      </c>
      <c r="GK119" s="460" t="str">
        <f t="shared" si="474"/>
        <v/>
      </c>
      <c r="GL119" s="460" t="str">
        <f t="shared" si="474"/>
        <v/>
      </c>
      <c r="GM119" s="460" t="str">
        <f t="shared" si="474"/>
        <v/>
      </c>
      <c r="GN119" s="460" t="str">
        <f t="shared" si="474"/>
        <v/>
      </c>
      <c r="GO119" s="460" t="str">
        <f t="shared" si="474"/>
        <v/>
      </c>
      <c r="GP119" s="460" t="str">
        <f t="shared" si="474"/>
        <v/>
      </c>
      <c r="GQ119" s="460" t="str">
        <f t="shared" si="474"/>
        <v/>
      </c>
      <c r="GR119" s="460" t="str">
        <f t="shared" si="474"/>
        <v/>
      </c>
      <c r="GS119" s="460" t="str">
        <f t="shared" si="474"/>
        <v/>
      </c>
      <c r="GT119" s="460" t="str">
        <f t="shared" si="474"/>
        <v/>
      </c>
      <c r="GU119" s="460" t="str">
        <f t="shared" si="474"/>
        <v/>
      </c>
      <c r="GV119" s="460" t="str">
        <f t="shared" si="474"/>
        <v/>
      </c>
      <c r="GW119" s="460" t="str">
        <f t="shared" si="474"/>
        <v/>
      </c>
      <c r="GX119" s="460" t="str">
        <f t="shared" si="474"/>
        <v/>
      </c>
      <c r="GY119" s="460" t="str">
        <f t="shared" si="474"/>
        <v/>
      </c>
      <c r="GZ119" s="460" t="str">
        <f t="shared" si="474"/>
        <v/>
      </c>
      <c r="HA119" s="460" t="str">
        <f t="shared" si="474"/>
        <v/>
      </c>
      <c r="HB119" s="460" t="str">
        <f t="shared" si="474"/>
        <v/>
      </c>
      <c r="HC119" s="460" t="str">
        <f t="shared" si="474"/>
        <v/>
      </c>
      <c r="HD119" s="460" t="str">
        <f t="shared" si="474"/>
        <v/>
      </c>
      <c r="HE119" s="460" t="str">
        <f t="shared" si="474"/>
        <v/>
      </c>
      <c r="HF119" s="460" t="str">
        <f t="shared" si="474"/>
        <v/>
      </c>
      <c r="HG119" s="460" t="str">
        <f t="shared" si="474"/>
        <v/>
      </c>
      <c r="HH119" s="460" t="str">
        <f t="shared" si="474"/>
        <v/>
      </c>
      <c r="HI119" s="460" t="str">
        <f t="shared" si="474"/>
        <v/>
      </c>
      <c r="HJ119" s="460" t="str">
        <f t="shared" si="474"/>
        <v/>
      </c>
      <c r="HK119" s="460" t="str">
        <f t="shared" si="474"/>
        <v/>
      </c>
      <c r="HL119" s="460" t="str">
        <f t="shared" si="474"/>
        <v/>
      </c>
      <c r="HM119" s="460" t="str">
        <f t="shared" si="474"/>
        <v/>
      </c>
      <c r="HN119" s="460" t="str">
        <f t="shared" si="474"/>
        <v/>
      </c>
      <c r="HO119" s="460" t="str">
        <f t="shared" si="474"/>
        <v/>
      </c>
      <c r="HP119" s="460" t="str">
        <f t="shared" si="474"/>
        <v/>
      </c>
      <c r="HQ119" s="460" t="str">
        <f t="shared" si="474"/>
        <v/>
      </c>
      <c r="HR119" s="460" t="str">
        <f t="shared" si="474"/>
        <v/>
      </c>
      <c r="HS119" s="460" t="str">
        <f t="shared" si="474"/>
        <v/>
      </c>
      <c r="HT119" s="460" t="str">
        <f t="shared" si="474"/>
        <v/>
      </c>
      <c r="HU119" s="460" t="str">
        <f t="shared" si="474"/>
        <v/>
      </c>
      <c r="HV119" s="460" t="str">
        <f t="shared" si="474"/>
        <v/>
      </c>
      <c r="HW119" s="460" t="str">
        <f t="shared" si="474"/>
        <v/>
      </c>
      <c r="HX119" s="460" t="str">
        <f t="shared" si="473"/>
        <v/>
      </c>
      <c r="HY119" s="460" t="str">
        <f t="shared" si="473"/>
        <v/>
      </c>
      <c r="HZ119" s="460" t="str">
        <f t="shared" si="473"/>
        <v/>
      </c>
      <c r="IA119" s="460" t="str">
        <f t="shared" si="473"/>
        <v/>
      </c>
      <c r="IB119" s="460" t="str">
        <f t="shared" si="473"/>
        <v/>
      </c>
      <c r="IC119" s="460" t="str">
        <f t="shared" si="473"/>
        <v/>
      </c>
      <c r="ID119" s="674" t="str">
        <f t="shared" si="473"/>
        <v/>
      </c>
      <c r="IE119" s="250"/>
    </row>
    <row r="120" spans="8:239">
      <c r="H120" s="51">
        <f t="shared" ca="1" si="315"/>
        <v>0</v>
      </c>
      <c r="I120" s="379">
        <f t="shared" si="316"/>
        <v>39814</v>
      </c>
      <c r="J120" s="377"/>
      <c r="K120" s="104" t="s">
        <v>268</v>
      </c>
      <c r="L120" s="392">
        <f t="shared" si="317"/>
        <v>0.89999999999999969</v>
      </c>
      <c r="M120" s="171"/>
      <c r="N120" s="382">
        <v>0</v>
      </c>
      <c r="O120" s="171">
        <f t="shared" si="272"/>
        <v>0</v>
      </c>
      <c r="P120" s="377"/>
      <c r="Q120" s="104" t="s">
        <v>268</v>
      </c>
      <c r="R120" s="377">
        <f t="shared" ca="1" si="417"/>
        <v>-0.30282533297814873</v>
      </c>
      <c r="S120" s="832">
        <f t="shared" si="435"/>
        <v>0.36000000000001708</v>
      </c>
      <c r="T120" s="831">
        <f t="shared" si="418"/>
        <v>0.99999998233560317</v>
      </c>
      <c r="U120" s="545">
        <f t="shared" si="419"/>
        <v>0.99999999999999512</v>
      </c>
      <c r="V120" s="389">
        <v>0</v>
      </c>
      <c r="W120" s="434">
        <f t="shared" si="455"/>
        <v>0</v>
      </c>
      <c r="X120" s="415">
        <f t="shared" si="456"/>
        <v>0.95178571428571401</v>
      </c>
      <c r="Y120" s="322">
        <f t="shared" si="457"/>
        <v>-1.1684999999999999</v>
      </c>
      <c r="Z120" s="322">
        <f t="shared" ca="1" si="458"/>
        <v>-0.21671428571428586</v>
      </c>
      <c r="AA120" s="429">
        <f t="shared" si="277"/>
        <v>1.1684999999999999</v>
      </c>
      <c r="AB120" s="433">
        <f t="shared" ca="1" si="278"/>
        <v>1.1684999999999999</v>
      </c>
      <c r="AC120" s="229">
        <v>39802</v>
      </c>
      <c r="AD120" s="229">
        <v>39798</v>
      </c>
      <c r="AE120" s="229">
        <v>39797</v>
      </c>
      <c r="AF120" s="229">
        <v>39793</v>
      </c>
      <c r="AG120" s="249" t="s">
        <v>499</v>
      </c>
      <c r="AH120" s="247" t="s">
        <v>499</v>
      </c>
      <c r="AI120" s="146">
        <v>21</v>
      </c>
      <c r="AJ120" s="41">
        <v>13</v>
      </c>
      <c r="AK120" s="41">
        <v>8</v>
      </c>
      <c r="AL120" s="293">
        <v>21</v>
      </c>
      <c r="AM120" s="41">
        <v>9</v>
      </c>
      <c r="AN120" s="147">
        <v>12</v>
      </c>
      <c r="AO120" s="374"/>
      <c r="AP120" s="153">
        <f t="shared" ca="1" si="318"/>
        <v>1</v>
      </c>
      <c r="AQ120" s="374"/>
      <c r="AR120" s="153">
        <f t="shared" ca="1" si="420"/>
        <v>1</v>
      </c>
      <c r="AS120" s="272">
        <f t="shared" si="459"/>
        <v>0</v>
      </c>
      <c r="AT120" s="157">
        <f t="shared" si="319"/>
        <v>0</v>
      </c>
      <c r="AU120" s="157">
        <f t="shared" si="280"/>
        <v>0</v>
      </c>
      <c r="AV120" s="271">
        <f t="shared" ca="1" si="430"/>
        <v>9.9999999999999995E-7</v>
      </c>
      <c r="AW120" s="158" t="str">
        <f t="shared" ca="1" si="460"/>
        <v/>
      </c>
      <c r="AX120" s="157">
        <f t="shared" ca="1" si="421"/>
        <v>8.7286466563263798E-4</v>
      </c>
      <c r="AY120" s="157">
        <f t="shared" ca="1" si="422"/>
        <v>3.4686242956840935E-4</v>
      </c>
      <c r="AZ120" s="157">
        <f t="shared" ca="1" si="423"/>
        <v>4.5314328337400752E-5</v>
      </c>
      <c r="BA120" s="157">
        <f t="shared" ca="1" si="424"/>
        <v>5.664291042175094E-6</v>
      </c>
      <c r="BB120" s="157">
        <f t="shared" ca="1" si="425"/>
        <v>4.120132922145E-7</v>
      </c>
      <c r="BC120" s="157">
        <f t="shared" ca="1" si="426"/>
        <v>6.4168386020928245E-8</v>
      </c>
      <c r="BD120" s="151">
        <f t="shared" ca="1" si="461"/>
        <v>0</v>
      </c>
      <c r="BE120" s="152">
        <f t="shared" ca="1" si="462"/>
        <v>0</v>
      </c>
      <c r="BF120" s="40">
        <f t="shared" si="463"/>
        <v>2009</v>
      </c>
      <c r="BG120" s="144">
        <f t="shared" si="464"/>
        <v>1</v>
      </c>
      <c r="BH120" s="145">
        <f t="shared" ca="1" si="465"/>
        <v>3053</v>
      </c>
      <c r="BI120" s="313">
        <f t="shared" ca="1" si="439"/>
        <v>8.4024640657084184</v>
      </c>
      <c r="BJ120" s="42">
        <f t="shared" ca="1" si="288"/>
        <v>8.4533098660408719</v>
      </c>
      <c r="BK120" s="42">
        <f t="shared" ca="1" si="289"/>
        <v>8.4560477168280048</v>
      </c>
      <c r="BL120" s="42">
        <f t="shared" ca="1" si="440"/>
        <v>8.4845995893223822</v>
      </c>
      <c r="BM120" s="150" t="e">
        <f t="shared" ca="1" si="291"/>
        <v>#DIV/0!</v>
      </c>
      <c r="BN120" s="42" t="e">
        <f t="shared" ca="1" si="292"/>
        <v>#DIV/0!</v>
      </c>
      <c r="BO120" s="293">
        <f t="shared" si="441"/>
        <v>21</v>
      </c>
      <c r="BP120" s="41">
        <f t="shared" si="442"/>
        <v>13</v>
      </c>
      <c r="BQ120" s="41">
        <f t="shared" si="443"/>
        <v>8</v>
      </c>
      <c r="BR120" s="305" t="str">
        <f t="shared" ca="1" si="295"/>
        <v/>
      </c>
      <c r="BS120" s="305" t="str">
        <f t="shared" ca="1" si="444"/>
        <v/>
      </c>
      <c r="BT120" s="307" t="str">
        <f t="shared" ca="1" si="445"/>
        <v/>
      </c>
      <c r="BU120" s="161" t="str">
        <f t="shared" ca="1" si="298"/>
        <v/>
      </c>
      <c r="BV120" s="161" t="str">
        <f t="shared" ca="1" si="299"/>
        <v/>
      </c>
      <c r="BW120" s="308" t="str">
        <f t="shared" ca="1" si="300"/>
        <v/>
      </c>
      <c r="BX120" s="309" t="str">
        <f t="shared" ca="1" si="301"/>
        <v/>
      </c>
      <c r="BY120" s="308" t="str">
        <f t="shared" ca="1" si="446"/>
        <v/>
      </c>
      <c r="BZ120" s="309" t="str">
        <f t="shared" ca="1" si="447"/>
        <v/>
      </c>
      <c r="CA120" s="154" t="str">
        <f t="shared" ca="1" si="302"/>
        <v/>
      </c>
      <c r="CB120" s="154" t="str">
        <f t="shared" ca="1" si="303"/>
        <v/>
      </c>
      <c r="CC120" s="154" t="str">
        <f t="shared" ca="1" si="304"/>
        <v/>
      </c>
      <c r="CD120" s="154" t="str">
        <f t="shared" ca="1" si="305"/>
        <v/>
      </c>
      <c r="CE120" s="310">
        <v>1</v>
      </c>
      <c r="CF120" s="162">
        <f ca="1">IF(BD120,_xll.xCrudeAPO(BU120,BV120,CA120,CB120,S121,S122,BI120,BL120,BP120,BQ120,0,Strike1,AO120,CE120,0,BL120,IF(OptControl=4,0,1),0,1),0)</f>
        <v>0</v>
      </c>
      <c r="CG120" s="163">
        <f ca="1">IF(BD120,_xll.xCrudeAPO(BU120,BV120,CA120,CB120,S121,S122,BI120,BL120,BP120,BQ120,0,Strike1,AO120,CE120,0,BL120,IF(OptControl=4,0,1),1,1)+_xll.xCrudeAPO(BU120,BV120,CA120,CB120,S121,S122,BI120,BL120,BP120,BQ120,0,Strike1,AO120,CE120,0,BL120,IF(OptControl=4,0,1),1,2)+IF(OR(VolSkewFlag=2,ABS(BS120)&lt;0.0001),0,IF(BS120&gt;0,-1,1)*CH120*Strike1/BR120^2*BY120/10%),0)</f>
        <v>0</v>
      </c>
      <c r="CH120" s="163">
        <f ca="1">IF(BD120,(_xll.xCrudeAPO(BU120,BV120,CA120,CB120,S121,S122,BI120,BL120,BP120,BQ120,0,Strike1,AO120,CE120,0,BL120,IF(OptControl=4,0,1),3,1)+_xll.xCrudeAPO(BU120,BV120,CA120,CB120,S121,S122,BI120,BL120,BP120,BQ120,0,Strike1,AO120,CE120,0,BL120,IF(OptControl=4,0,1),3,2))/100,0)</f>
        <v>0</v>
      </c>
      <c r="CI120" s="163">
        <f ca="1">IF(BD120,_xll.xCrudeAPO(BU120,BV120,CA120,CB120,S121,S122,BI120-DaysForThetaCalculation/365.25,BL120-DaysForThetaCalculation/365.25,BP120,BQ120,0,Strike1,AO120,CE120,0,BL120,IF(OptControl=4,0,1),0,1)-_xll.xCrudeAPO(BU120,BV120,CA120,CB120,S121,S122,BI120,BL120,BP120,BQ120,0,Strike1,AO120,CE120,0,BL120,IF(OptControl=4,0,1),0,1),0)</f>
        <v>0</v>
      </c>
      <c r="CJ120" s="311">
        <f ca="1">IF(BD120,_xll.xCrudeAPO(BU120,BV120,CC120,CD120,S121,S122,BI120,BL120,BP120,BQ120,0,Strike2,AO120,CE120,0,BL120,IF(OptControl=3,1,0),0,1),0)</f>
        <v>0</v>
      </c>
      <c r="CK120" s="163">
        <f ca="1">IF(BD120,_xll.xCrudeAPO(BU120,BV120,CC120,CD120,S121,S122,BI120,BL120,BP120,BQ120,0,Strike2,AO120,CE120,0,BL120,IF(OptControl=3,1,0),1,1)+_xll.xCrudeAPO(BU120,BV120,CC120,CD120,S121,S122,BI120,BL120,BP120,BQ120,0,Strike2,AO120,CE120,0,BL120,IF(OptControl=3,1,0),1,2)+IF(OR(VolSkewFlag=2,ABS(BT120)&lt;0.0001),0,IF(BT120&gt;0,-1,1)*CL120*Strike2/BR120^2*BZ120/10%),0)</f>
        <v>0</v>
      </c>
      <c r="CL120" s="163">
        <f ca="1">IF(BD120,(_xll.xCrudeAPO(BU120,BV120,CC120,CD120,S121,S122,BI120,BL120,BP120,BQ120,0,Strike2,AO120,CE120,0,BL120,IF(OptControl=3,1,0),3,1)+_xll.xCrudeAPO(BU120,BV120,CC120,CD120,S121,S122,BI120,BL120,BP120,BQ120,0,Strike2,AO120,CE120,0,BL120,IF(OptControl=3,1,0),3,2))/100,0)</f>
        <v>0</v>
      </c>
      <c r="CM120" s="164">
        <f ca="1">IF(BD120,_xll.xCrudeAPO(BU120,BV120,CC120,CD120,S121,S122,BI120-DaysForThetaCalculation/365.25,BL120-DaysForThetaCalculation/365.25,BP120,BQ120,0,Strike2,AO120,CE120,0,BL120,IF(OptControl=3,1,0),0,1)-_xll.xCrudeAPO(BU120,BV120,CC120,CD120,S121,S122,BI120,BL120,BP120,BQ120,0,Strike2,AO120,CE120,0,BL120,IF(OptControl=3,1,0),0,1),0)</f>
        <v>0</v>
      </c>
      <c r="CN120" s="53"/>
      <c r="CO120" s="796" t="str">
        <f t="shared" ca="1" si="323"/>
        <v/>
      </c>
      <c r="CP120" s="800" t="str">
        <f t="shared" ca="1" si="324"/>
        <v/>
      </c>
      <c r="CQ120" s="797" t="str">
        <f t="shared" ca="1" si="325"/>
        <v/>
      </c>
      <c r="CR120" s="797" t="str">
        <f t="shared" ca="1" si="326"/>
        <v/>
      </c>
      <c r="CS120" s="797" t="str">
        <f t="shared" ca="1" si="327"/>
        <v/>
      </c>
      <c r="CT120" s="797" t="str">
        <f t="shared" ca="1" si="328"/>
        <v/>
      </c>
      <c r="CU120" s="798" t="str">
        <f t="shared" ca="1" si="329"/>
        <v/>
      </c>
      <c r="CV120" s="799" t="str">
        <f t="shared" ca="1" si="330"/>
        <v/>
      </c>
      <c r="CW120" s="799" t="str">
        <f t="shared" ca="1" si="331"/>
        <v/>
      </c>
      <c r="CX120" s="163">
        <f ca="1">IF(BD120,_xll.EURO(CP120,Strike1,AO120,AO120,CV120,CO120,IF(OptControl=4,0,1),0),0)</f>
        <v>0</v>
      </c>
      <c r="CY120" s="163">
        <f ca="1">IF(BD120,_xll.EURO(CP120,Strike1,AO120,AO120,CV120,CO120,IF(OptControl=4,0,1),1)+IF(OR(VolSkewFlag=2,ABS(CQ120)&lt;0.0001),0,IF(CQ120&gt;0,-1,1)*CZ120*100*Strike1/CP120^2*CS120/10%),0)</f>
        <v>0</v>
      </c>
      <c r="CZ120" s="163">
        <f ca="1">IF(BD120,_xll.EURO(CP120,Strike1,AO120,AO120,CV120,CO120,IF(OptControl=4,0,1),3)/100,0)</f>
        <v>0</v>
      </c>
      <c r="DA120" s="163">
        <f ca="1">IF(BD120,_xll.EURO(CP120,Strike1,AO120,AO120,CV120,CO120,IF(OptControl=4,0,1),0)-_xll.EURO(CP120,Strike1,AO120,AO120,CV120,CO120-1,IF(OptControl=4,0,1),0),0)</f>
        <v>0</v>
      </c>
      <c r="DB120" s="163">
        <f ca="1">IF(BD120,_xll.EURO(CP120,Strike2,AO120,AO120,CW120,CO120,IF(OptControl=3,1,0),0),0)</f>
        <v>0</v>
      </c>
      <c r="DC120" s="163">
        <f ca="1">IF(BD120,_xll.EURO(CP120,Strike2,AO120,AO120,CW120,CO120,IF(OptControl=3,1,0),1)+IF(OR(VolSkewFlag=2,ABS(CR120)&lt;0.0001),0,IF(CR120&gt;0,-1,1)*DD120*100*Strike2/CP120^2*CT120/10%),0)</f>
        <v>0</v>
      </c>
      <c r="DD120" s="163">
        <f ca="1">IF(BD120,_xll.EURO(CP120,Strike2,AO120,AO120,CW120,CO120,IF(OptControl=3,1,0),3)/100,0)</f>
        <v>0</v>
      </c>
      <c r="DE120" s="164">
        <f ca="1">IF(BD120,_xll.EURO(CP120,Strike2,AO120,AO120,CW120,CO120,IF(OptControl=3,1,0),0)-_xll.EURO(CP120,Strike2,AO120,AO120,CW120,CO120-1,IF(OptControl=3,1,0),0),0)</f>
        <v>0</v>
      </c>
      <c r="DG120" s="667">
        <f t="shared" ca="1" si="332"/>
        <v>39600</v>
      </c>
      <c r="DH120" s="475">
        <v>19.16</v>
      </c>
      <c r="DI120" s="665">
        <v>19.224285714285731</v>
      </c>
      <c r="DJ120" s="666">
        <f t="shared" ca="1" si="466"/>
        <v>39600</v>
      </c>
      <c r="DK120" s="475">
        <v>17.746299691071179</v>
      </c>
      <c r="DL120" s="665">
        <v>17.932785714285732</v>
      </c>
      <c r="DM120" s="667">
        <f t="shared" ca="1" si="467"/>
        <v>39600</v>
      </c>
      <c r="DN120" s="668">
        <f t="shared" si="468"/>
        <v>17.79629969107118</v>
      </c>
      <c r="DO120" s="667">
        <f t="shared" ca="1" si="333"/>
        <v>39600</v>
      </c>
      <c r="DP120" s="579">
        <f t="shared" si="334"/>
        <v>17.932785714285732</v>
      </c>
      <c r="DQ120" s="821">
        <v>0</v>
      </c>
      <c r="DR120" s="666">
        <f t="shared" ca="1" si="469"/>
        <v>39600</v>
      </c>
      <c r="DS120" s="669">
        <v>0.16460000000000002</v>
      </c>
      <c r="DT120" s="606">
        <v>0.16382857142857113</v>
      </c>
      <c r="DU120" s="666">
        <f t="shared" ca="1" si="470"/>
        <v>39600</v>
      </c>
      <c r="DV120" s="669">
        <v>0.16460000000000002</v>
      </c>
      <c r="DW120" s="606">
        <v>0.16382857142857113</v>
      </c>
      <c r="DX120" s="667">
        <f t="shared" ca="1" si="471"/>
        <v>39600</v>
      </c>
      <c r="DY120" s="606">
        <v>0.35</v>
      </c>
      <c r="DZ120" s="667">
        <f t="shared" ca="1" si="335"/>
        <v>39600</v>
      </c>
      <c r="EA120" s="606">
        <f t="shared" si="336"/>
        <v>0.16382857142857113</v>
      </c>
      <c r="EB120" s="1"/>
      <c r="EC120" s="118" t="str">
        <f t="shared" ca="1" si="472"/>
        <v/>
      </c>
      <c r="ED120" s="119" t="str">
        <f t="shared" ca="1" si="313"/>
        <v/>
      </c>
      <c r="EE120" s="112" t="str">
        <f t="shared" ca="1" si="314"/>
        <v/>
      </c>
      <c r="EF120" s="120">
        <f ca="1">IF(BD120,_xll.xASN(BR120,Strike1,AO120,ED120,0,BO120,0,BI120,BL120,IF(OptControl=4,0,1),0),0)</f>
        <v>0</v>
      </c>
      <c r="EG120" s="111">
        <f ca="1">IF(BD120,_xll.xASN(BR120,Strike2,AO120,EE120,0,BO120,0,BI120,BL120,IF(OptControl=3,1,0),0),0)</f>
        <v>0</v>
      </c>
      <c r="EL120" s="55"/>
      <c r="EM120" s="1"/>
      <c r="EN120" s="106"/>
      <c r="EO120" s="106"/>
      <c r="EP120" s="1"/>
      <c r="EQ120" s="683" t="s">
        <v>333</v>
      </c>
      <c r="ES120" s="455"/>
      <c r="ET120" s="36"/>
      <c r="EU120" s="107"/>
      <c r="EV120" s="475"/>
      <c r="EW120" s="456"/>
      <c r="EX120" s="456"/>
      <c r="EY120" s="250"/>
      <c r="EZ120" s="250"/>
      <c r="FA120" s="250"/>
      <c r="FB120" s="250"/>
      <c r="FC120" s="250"/>
      <c r="FD120" s="250"/>
      <c r="FE120" s="250"/>
      <c r="FF120" s="250"/>
      <c r="FG120" s="250"/>
      <c r="FH120" s="250"/>
      <c r="FI120" s="250"/>
      <c r="FJ120" s="673">
        <v>26</v>
      </c>
      <c r="FK120" s="460">
        <f t="shared" ca="1" si="432"/>
        <v>0</v>
      </c>
      <c r="FL120" s="460">
        <f t="shared" ca="1" si="474"/>
        <v>0.16915326199490247</v>
      </c>
      <c r="FM120" s="460">
        <f t="shared" ca="1" si="474"/>
        <v>0.17413832806721949</v>
      </c>
      <c r="FN120" s="460">
        <f t="shared" ca="1" si="474"/>
        <v>0.1714040426525151</v>
      </c>
      <c r="FO120" s="460">
        <f t="shared" ca="1" si="474"/>
        <v>0.16959477216808355</v>
      </c>
      <c r="FP120" s="460">
        <f t="shared" ca="1" si="474"/>
        <v>0.1685233826961639</v>
      </c>
      <c r="FQ120" s="460">
        <f t="shared" ca="1" si="474"/>
        <v>0.16805757483069303</v>
      </c>
      <c r="FR120" s="460">
        <f t="shared" ca="1" si="474"/>
        <v>0.16810783838989571</v>
      </c>
      <c r="FS120" s="460">
        <f t="shared" ca="1" si="474"/>
        <v>0.16861880857791031</v>
      </c>
      <c r="FT120" s="460">
        <f t="shared" ca="1" si="474"/>
        <v>0.16956328519560071</v>
      </c>
      <c r="FU120" s="460">
        <f t="shared" ca="1" si="474"/>
        <v>0.17093839995827065</v>
      </c>
      <c r="FV120" s="460">
        <f t="shared" ca="1" si="474"/>
        <v>0.17276360058772028</v>
      </c>
      <c r="FW120" s="460">
        <f t="shared" ca="1" si="474"/>
        <v>0.17508028170306594</v>
      </c>
      <c r="FX120" s="460">
        <f t="shared" ca="1" si="474"/>
        <v>0.17795304899499267</v>
      </c>
      <c r="FY120" s="460">
        <f t="shared" ca="1" si="474"/>
        <v>0.18147277448732477</v>
      </c>
      <c r="FZ120" s="460">
        <f t="shared" ca="1" si="474"/>
        <v>0.18576181281527271</v>
      </c>
      <c r="GA120" s="460">
        <f t="shared" ca="1" si="474"/>
        <v>0.19098203961644572</v>
      </c>
      <c r="GB120" s="460">
        <f t="shared" ca="1" si="474"/>
        <v>0.19734680441321437</v>
      </c>
      <c r="GC120" s="460">
        <f t="shared" ca="1" si="474"/>
        <v>0.20513856488171692</v>
      </c>
      <c r="GD120" s="460">
        <f t="shared" ca="1" si="474"/>
        <v>0.21473506866809566</v>
      </c>
      <c r="GE120" s="460">
        <f t="shared" ca="1" si="474"/>
        <v>0.2266488041509673</v>
      </c>
      <c r="GF120" s="460">
        <f t="shared" ca="1" si="474"/>
        <v>0.24158767875628082</v>
      </c>
      <c r="GG120" s="460">
        <f t="shared" ca="1" si="474"/>
        <v>0.26055073012305596</v>
      </c>
      <c r="GH120" s="460">
        <f t="shared" ca="1" si="474"/>
        <v>0.28498363768084112</v>
      </c>
      <c r="GI120" s="460">
        <f t="shared" ca="1" si="474"/>
        <v>0.31704023256871788</v>
      </c>
      <c r="GJ120" s="460">
        <f t="shared" ca="1" si="474"/>
        <v>0.36004013565110216</v>
      </c>
      <c r="GK120" s="460" t="str">
        <f t="shared" si="474"/>
        <v/>
      </c>
      <c r="GL120" s="460" t="str">
        <f t="shared" si="474"/>
        <v/>
      </c>
      <c r="GM120" s="460" t="str">
        <f t="shared" si="474"/>
        <v/>
      </c>
      <c r="GN120" s="460" t="str">
        <f t="shared" si="474"/>
        <v/>
      </c>
      <c r="GO120" s="460" t="str">
        <f t="shared" si="474"/>
        <v/>
      </c>
      <c r="GP120" s="460" t="str">
        <f t="shared" si="474"/>
        <v/>
      </c>
      <c r="GQ120" s="460" t="str">
        <f t="shared" si="474"/>
        <v/>
      </c>
      <c r="GR120" s="460" t="str">
        <f t="shared" si="474"/>
        <v/>
      </c>
      <c r="GS120" s="460" t="str">
        <f t="shared" si="474"/>
        <v/>
      </c>
      <c r="GT120" s="460" t="str">
        <f t="shared" si="474"/>
        <v/>
      </c>
      <c r="GU120" s="460" t="str">
        <f t="shared" si="474"/>
        <v/>
      </c>
      <c r="GV120" s="460" t="str">
        <f t="shared" si="474"/>
        <v/>
      </c>
      <c r="GW120" s="460" t="str">
        <f t="shared" si="474"/>
        <v/>
      </c>
      <c r="GX120" s="460" t="str">
        <f t="shared" si="474"/>
        <v/>
      </c>
      <c r="GY120" s="460" t="str">
        <f t="shared" si="474"/>
        <v/>
      </c>
      <c r="GZ120" s="460" t="str">
        <f t="shared" si="474"/>
        <v/>
      </c>
      <c r="HA120" s="460" t="str">
        <f t="shared" si="474"/>
        <v/>
      </c>
      <c r="HB120" s="460" t="str">
        <f t="shared" si="474"/>
        <v/>
      </c>
      <c r="HC120" s="460" t="str">
        <f t="shared" si="474"/>
        <v/>
      </c>
      <c r="HD120" s="460" t="str">
        <f t="shared" si="474"/>
        <v/>
      </c>
      <c r="HE120" s="460" t="str">
        <f t="shared" si="474"/>
        <v/>
      </c>
      <c r="HF120" s="460" t="str">
        <f t="shared" si="474"/>
        <v/>
      </c>
      <c r="HG120" s="460" t="str">
        <f t="shared" si="474"/>
        <v/>
      </c>
      <c r="HH120" s="460" t="str">
        <f t="shared" si="474"/>
        <v/>
      </c>
      <c r="HI120" s="460" t="str">
        <f t="shared" si="474"/>
        <v/>
      </c>
      <c r="HJ120" s="460" t="str">
        <f t="shared" si="474"/>
        <v/>
      </c>
      <c r="HK120" s="460" t="str">
        <f t="shared" si="474"/>
        <v/>
      </c>
      <c r="HL120" s="460" t="str">
        <f t="shared" si="474"/>
        <v/>
      </c>
      <c r="HM120" s="460" t="str">
        <f t="shared" si="474"/>
        <v/>
      </c>
      <c r="HN120" s="460" t="str">
        <f t="shared" si="474"/>
        <v/>
      </c>
      <c r="HO120" s="460" t="str">
        <f t="shared" si="474"/>
        <v/>
      </c>
      <c r="HP120" s="460" t="str">
        <f t="shared" si="474"/>
        <v/>
      </c>
      <c r="HQ120" s="460" t="str">
        <f t="shared" si="474"/>
        <v/>
      </c>
      <c r="HR120" s="460" t="str">
        <f t="shared" si="474"/>
        <v/>
      </c>
      <c r="HS120" s="460" t="str">
        <f t="shared" si="474"/>
        <v/>
      </c>
      <c r="HT120" s="460" t="str">
        <f t="shared" si="474"/>
        <v/>
      </c>
      <c r="HU120" s="460" t="str">
        <f t="shared" si="474"/>
        <v/>
      </c>
      <c r="HV120" s="460" t="str">
        <f t="shared" si="474"/>
        <v/>
      </c>
      <c r="HW120" s="460" t="str">
        <f t="shared" ref="HW120:ID123" si="475">IF($FJ45&lt;HW$94,"",SQRT(HW45/HW$15))</f>
        <v/>
      </c>
      <c r="HX120" s="460" t="str">
        <f t="shared" si="475"/>
        <v/>
      </c>
      <c r="HY120" s="460" t="str">
        <f t="shared" si="475"/>
        <v/>
      </c>
      <c r="HZ120" s="460" t="str">
        <f t="shared" si="475"/>
        <v/>
      </c>
      <c r="IA120" s="460" t="str">
        <f t="shared" si="475"/>
        <v/>
      </c>
      <c r="IB120" s="460" t="str">
        <f t="shared" si="475"/>
        <v/>
      </c>
      <c r="IC120" s="460" t="str">
        <f t="shared" si="475"/>
        <v/>
      </c>
      <c r="ID120" s="674" t="str">
        <f t="shared" si="475"/>
        <v/>
      </c>
      <c r="IE120" s="250"/>
    </row>
    <row r="121" spans="8:239">
      <c r="H121" s="51">
        <f t="shared" ca="1" si="315"/>
        <v>0</v>
      </c>
      <c r="I121" s="379">
        <f t="shared" si="316"/>
        <v>39845</v>
      </c>
      <c r="J121" s="377"/>
      <c r="K121" s="104" t="s">
        <v>268</v>
      </c>
      <c r="L121" s="392">
        <f t="shared" si="317"/>
        <v>0.93749999999999967</v>
      </c>
      <c r="M121" s="171"/>
      <c r="N121" s="382">
        <v>0</v>
      </c>
      <c r="O121" s="171">
        <f t="shared" si="272"/>
        <v>0</v>
      </c>
      <c r="P121" s="377"/>
      <c r="Q121" s="104" t="s">
        <v>268</v>
      </c>
      <c r="R121" s="377">
        <f t="shared" ca="1" si="417"/>
        <v>-0.24533722251820989</v>
      </c>
      <c r="S121" s="832">
        <f t="shared" si="435"/>
        <v>0.36000000000001281</v>
      </c>
      <c r="T121" s="831">
        <f t="shared" si="418"/>
        <v>0.99999998489694097</v>
      </c>
      <c r="U121" s="545">
        <f t="shared" si="419"/>
        <v>0.99999999999999634</v>
      </c>
      <c r="V121" s="389">
        <v>0</v>
      </c>
      <c r="W121" s="434">
        <f t="shared" si="455"/>
        <v>0</v>
      </c>
      <c r="X121" s="415">
        <f t="shared" si="456"/>
        <v>0.98437499999999967</v>
      </c>
      <c r="Y121" s="322">
        <f t="shared" si="457"/>
        <v>-1.1684999999999999</v>
      </c>
      <c r="Z121" s="322">
        <f t="shared" ca="1" si="458"/>
        <v>-0.18412500000000021</v>
      </c>
      <c r="AA121" s="429">
        <f t="shared" si="277"/>
        <v>1.1684999999999999</v>
      </c>
      <c r="AB121" s="433">
        <f t="shared" ca="1" si="278"/>
        <v>1.1684999999999999</v>
      </c>
      <c r="AC121" s="229">
        <v>39833</v>
      </c>
      <c r="AD121" s="229">
        <v>39829</v>
      </c>
      <c r="AE121" s="229">
        <v>39828</v>
      </c>
      <c r="AF121" s="229">
        <v>39824</v>
      </c>
      <c r="AG121" s="249" t="s">
        <v>499</v>
      </c>
      <c r="AH121" s="247" t="s">
        <v>499</v>
      </c>
      <c r="AI121" s="146">
        <v>20</v>
      </c>
      <c r="AJ121" s="41">
        <v>15</v>
      </c>
      <c r="AK121" s="41">
        <v>5</v>
      </c>
      <c r="AL121" s="293">
        <v>20</v>
      </c>
      <c r="AM121" s="41">
        <v>10</v>
      </c>
      <c r="AN121" s="147">
        <v>10</v>
      </c>
      <c r="AO121" s="374"/>
      <c r="AP121" s="153">
        <f t="shared" ca="1" si="318"/>
        <v>1</v>
      </c>
      <c r="AQ121" s="374"/>
      <c r="AR121" s="153">
        <f t="shared" ca="1" si="420"/>
        <v>1</v>
      </c>
      <c r="AS121" s="272">
        <f t="shared" si="459"/>
        <v>0</v>
      </c>
      <c r="AT121" s="157">
        <f t="shared" si="319"/>
        <v>0</v>
      </c>
      <c r="AU121" s="157">
        <f t="shared" si="280"/>
        <v>0</v>
      </c>
      <c r="AV121" s="271">
        <f t="shared" ca="1" si="430"/>
        <v>9.9999999999999995E-7</v>
      </c>
      <c r="AW121" s="158" t="str">
        <f t="shared" ca="1" si="460"/>
        <v/>
      </c>
      <c r="AX121" s="157">
        <f t="shared" ca="1" si="421"/>
        <v>8.4386435312121233E-4</v>
      </c>
      <c r="AY121" s="157">
        <f t="shared" ca="1" si="422"/>
        <v>3.3310883223490478E-4</v>
      </c>
      <c r="AZ121" s="157">
        <f t="shared" ca="1" si="423"/>
        <v>4.2771030514096716E-5</v>
      </c>
      <c r="BA121" s="157">
        <f t="shared" ca="1" si="424"/>
        <v>5.3463788142620895E-6</v>
      </c>
      <c r="BB121" s="157">
        <f t="shared" ca="1" si="425"/>
        <v>3.7596820830317761E-7</v>
      </c>
      <c r="BC121" s="157">
        <f t="shared" ca="1" si="426"/>
        <v>5.7167532851179381E-8</v>
      </c>
      <c r="BD121" s="151">
        <f t="shared" ca="1" si="461"/>
        <v>0</v>
      </c>
      <c r="BE121" s="152">
        <f t="shared" ca="1" si="462"/>
        <v>0</v>
      </c>
      <c r="BF121" s="40">
        <f t="shared" si="463"/>
        <v>2009</v>
      </c>
      <c r="BG121" s="144">
        <f t="shared" si="464"/>
        <v>2</v>
      </c>
      <c r="BH121" s="145">
        <f t="shared" ca="1" si="465"/>
        <v>3084</v>
      </c>
      <c r="BI121" s="313">
        <f t="shared" ca="1" si="439"/>
        <v>8.4873374401095134</v>
      </c>
      <c r="BJ121" s="42">
        <f t="shared" ca="1" si="288"/>
        <v>8.5427789185489384</v>
      </c>
      <c r="BK121" s="42">
        <f t="shared" ca="1" si="289"/>
        <v>8.5455167693360714</v>
      </c>
      <c r="BL121" s="42">
        <f t="shared" ca="1" si="440"/>
        <v>8.5612594113620801</v>
      </c>
      <c r="BM121" s="150" t="e">
        <f t="shared" ca="1" si="291"/>
        <v>#DIV/0!</v>
      </c>
      <c r="BN121" s="42" t="e">
        <f t="shared" ca="1" si="292"/>
        <v>#DIV/0!</v>
      </c>
      <c r="BO121" s="293">
        <f t="shared" si="441"/>
        <v>20</v>
      </c>
      <c r="BP121" s="41">
        <f t="shared" si="442"/>
        <v>15</v>
      </c>
      <c r="BQ121" s="41">
        <f t="shared" si="443"/>
        <v>5</v>
      </c>
      <c r="BR121" s="305" t="str">
        <f t="shared" ca="1" si="295"/>
        <v/>
      </c>
      <c r="BS121" s="305" t="str">
        <f t="shared" ca="1" si="444"/>
        <v/>
      </c>
      <c r="BT121" s="307" t="str">
        <f t="shared" ca="1" si="445"/>
        <v/>
      </c>
      <c r="BU121" s="161" t="str">
        <f t="shared" ca="1" si="298"/>
        <v/>
      </c>
      <c r="BV121" s="161" t="str">
        <f t="shared" ca="1" si="299"/>
        <v/>
      </c>
      <c r="BW121" s="308" t="str">
        <f t="shared" ca="1" si="300"/>
        <v/>
      </c>
      <c r="BX121" s="309" t="str">
        <f t="shared" ca="1" si="301"/>
        <v/>
      </c>
      <c r="BY121" s="308" t="str">
        <f t="shared" ca="1" si="446"/>
        <v/>
      </c>
      <c r="BZ121" s="309" t="str">
        <f t="shared" ca="1" si="447"/>
        <v/>
      </c>
      <c r="CA121" s="154" t="str">
        <f t="shared" ca="1" si="302"/>
        <v/>
      </c>
      <c r="CB121" s="154" t="str">
        <f t="shared" ca="1" si="303"/>
        <v/>
      </c>
      <c r="CC121" s="154" t="str">
        <f t="shared" ca="1" si="304"/>
        <v/>
      </c>
      <c r="CD121" s="154" t="str">
        <f t="shared" ca="1" si="305"/>
        <v/>
      </c>
      <c r="CE121" s="310">
        <v>1</v>
      </c>
      <c r="CF121" s="162">
        <f ca="1">IF(BD121,_xll.xCrudeAPO(BU121,BV121,CA121,CB121,S122,S123,BI121,BL121,BP121,BQ121,0,Strike1,AO121,CE121,0,BL121,IF(OptControl=4,0,1),0,1),0)</f>
        <v>0</v>
      </c>
      <c r="CG121" s="163">
        <f ca="1">IF(BD121,_xll.xCrudeAPO(BU121,BV121,CA121,CB121,S122,S123,BI121,BL121,BP121,BQ121,0,Strike1,AO121,CE121,0,BL121,IF(OptControl=4,0,1),1,1)+_xll.xCrudeAPO(BU121,BV121,CA121,CB121,S122,S123,BI121,BL121,BP121,BQ121,0,Strike1,AO121,CE121,0,BL121,IF(OptControl=4,0,1),1,2)+IF(OR(VolSkewFlag=2,ABS(BS121)&lt;0.0001),0,IF(BS121&gt;0,-1,1)*CH121*Strike1/BR121^2*BY121/10%),0)</f>
        <v>0</v>
      </c>
      <c r="CH121" s="163">
        <f ca="1">IF(BD121,(_xll.xCrudeAPO(BU121,BV121,CA121,CB121,S122,S123,BI121,BL121,BP121,BQ121,0,Strike1,AO121,CE121,0,BL121,IF(OptControl=4,0,1),3,1)+_xll.xCrudeAPO(BU121,BV121,CA121,CB121,S122,S123,BI121,BL121,BP121,BQ121,0,Strike1,AO121,CE121,0,BL121,IF(OptControl=4,0,1),3,2))/100,0)</f>
        <v>0</v>
      </c>
      <c r="CI121" s="163">
        <f ca="1">IF(BD121,_xll.xCrudeAPO(BU121,BV121,CA121,CB121,S122,S123,BI121-DaysForThetaCalculation/365.25,BL121-DaysForThetaCalculation/365.25,BP121,BQ121,0,Strike1,AO121,CE121,0,BL121,IF(OptControl=4,0,1),0,1)-_xll.xCrudeAPO(BU121,BV121,CA121,CB121,S122,S123,BI121,BL121,BP121,BQ121,0,Strike1,AO121,CE121,0,BL121,IF(OptControl=4,0,1),0,1),0)</f>
        <v>0</v>
      </c>
      <c r="CJ121" s="311">
        <f ca="1">IF(BD121,_xll.xCrudeAPO(BU121,BV121,CC121,CD121,S122,S123,BI121,BL121,BP121,BQ121,0,Strike2,AO121,CE121,0,BL121,IF(OptControl=3,1,0),0,1),0)</f>
        <v>0</v>
      </c>
      <c r="CK121" s="163">
        <f ca="1">IF(BD121,_xll.xCrudeAPO(BU121,BV121,CC121,CD121,S122,S123,BI121,BL121,BP121,BQ121,0,Strike2,AO121,CE121,0,BL121,IF(OptControl=3,1,0),1,1)+_xll.xCrudeAPO(BU121,BV121,CC121,CD121,S122,S123,BI121,BL121,BP121,BQ121,0,Strike2,AO121,CE121,0,BL121,IF(OptControl=3,1,0),1,2)+IF(OR(VolSkewFlag=2,ABS(BT121)&lt;0.0001),0,IF(BT121&gt;0,-1,1)*CL121*Strike2/BR121^2*BZ121/10%),0)</f>
        <v>0</v>
      </c>
      <c r="CL121" s="163">
        <f ca="1">IF(BD121,(_xll.xCrudeAPO(BU121,BV121,CC121,CD121,S122,S123,BI121,BL121,BP121,BQ121,0,Strike2,AO121,CE121,0,BL121,IF(OptControl=3,1,0),3,1)+_xll.xCrudeAPO(BU121,BV121,CC121,CD121,S122,S123,BI121,BL121,BP121,BQ121,0,Strike2,AO121,CE121,0,BL121,IF(OptControl=3,1,0),3,2))/100,0)</f>
        <v>0</v>
      </c>
      <c r="CM121" s="164">
        <f ca="1">IF(BD121,_xll.xCrudeAPO(BU121,BV121,CC121,CD121,S122,S123,BI121-DaysForThetaCalculation/365.25,BL121-DaysForThetaCalculation/365.25,BP121,BQ121,0,Strike2,AO121,CE121,0,BL121,IF(OptControl=3,1,0),0,1)-_xll.xCrudeAPO(BU121,BV121,CC121,CD121,S122,S123,BI121,BL121,BP121,BQ121,0,Strike2,AO121,CE121,0,BL121,IF(OptControl=3,1,0),0,1),0)</f>
        <v>0</v>
      </c>
      <c r="CN121" s="53"/>
      <c r="CO121" s="796" t="str">
        <f t="shared" ca="1" si="323"/>
        <v/>
      </c>
      <c r="CP121" s="800" t="str">
        <f t="shared" ca="1" si="324"/>
        <v/>
      </c>
      <c r="CQ121" s="797" t="str">
        <f t="shared" ca="1" si="325"/>
        <v/>
      </c>
      <c r="CR121" s="797" t="str">
        <f t="shared" ca="1" si="326"/>
        <v/>
      </c>
      <c r="CS121" s="797" t="str">
        <f t="shared" ca="1" si="327"/>
        <v/>
      </c>
      <c r="CT121" s="797" t="str">
        <f t="shared" ca="1" si="328"/>
        <v/>
      </c>
      <c r="CU121" s="798" t="str">
        <f t="shared" ca="1" si="329"/>
        <v/>
      </c>
      <c r="CV121" s="799" t="str">
        <f t="shared" ca="1" si="330"/>
        <v/>
      </c>
      <c r="CW121" s="799" t="str">
        <f t="shared" ca="1" si="331"/>
        <v/>
      </c>
      <c r="CX121" s="163">
        <f ca="1">IF(BD121,_xll.EURO(CP121,Strike1,AO121,AO121,CV121,CO121,IF(OptControl=4,0,1),0),0)</f>
        <v>0</v>
      </c>
      <c r="CY121" s="163">
        <f ca="1">IF(BD121,_xll.EURO(CP121,Strike1,AO121,AO121,CV121,CO121,IF(OptControl=4,0,1),1)+IF(OR(VolSkewFlag=2,ABS(CQ121)&lt;0.0001),0,IF(CQ121&gt;0,-1,1)*CZ121*100*Strike1/CP121^2*CS121/10%),0)</f>
        <v>0</v>
      </c>
      <c r="CZ121" s="163">
        <f ca="1">IF(BD121,_xll.EURO(CP121,Strike1,AO121,AO121,CV121,CO121,IF(OptControl=4,0,1),3)/100,0)</f>
        <v>0</v>
      </c>
      <c r="DA121" s="163">
        <f ca="1">IF(BD121,_xll.EURO(CP121,Strike1,AO121,AO121,CV121,CO121,IF(OptControl=4,0,1),0)-_xll.EURO(CP121,Strike1,AO121,AO121,CV121,CO121-1,IF(OptControl=4,0,1),0),0)</f>
        <v>0</v>
      </c>
      <c r="DB121" s="163">
        <f ca="1">IF(BD121,_xll.EURO(CP121,Strike2,AO121,AO121,CW121,CO121,IF(OptControl=3,1,0),0),0)</f>
        <v>0</v>
      </c>
      <c r="DC121" s="163">
        <f ca="1">IF(BD121,_xll.EURO(CP121,Strike2,AO121,AO121,CW121,CO121,IF(OptControl=3,1,0),1)+IF(OR(VolSkewFlag=2,ABS(CR121)&lt;0.0001),0,IF(CR121&gt;0,-1,1)*DD121*100*Strike2/CP121^2*CT121/10%),0)</f>
        <v>0</v>
      </c>
      <c r="DD121" s="163">
        <f ca="1">IF(BD121,_xll.EURO(CP121,Strike2,AO121,AO121,CW121,CO121,IF(OptControl=3,1,0),3)/100,0)</f>
        <v>0</v>
      </c>
      <c r="DE121" s="164">
        <f ca="1">IF(BD121,_xll.EURO(CP121,Strike2,AO121,AO121,CW121,CO121,IF(OptControl=3,1,0),0)-_xll.EURO(CP121,Strike2,AO121,AO121,CW121,CO121-1,IF(OptControl=3,1,0),0),0)</f>
        <v>0</v>
      </c>
      <c r="DG121" s="667">
        <f t="shared" ca="1" si="332"/>
        <v>39630</v>
      </c>
      <c r="DH121" s="475">
        <v>19.21</v>
      </c>
      <c r="DI121" s="665">
        <v>19.280454545454564</v>
      </c>
      <c r="DJ121" s="666">
        <f t="shared" ca="1" si="466"/>
        <v>39630</v>
      </c>
      <c r="DK121" s="475">
        <v>18.003666924107389</v>
      </c>
      <c r="DL121" s="665">
        <v>18.013554545454564</v>
      </c>
      <c r="DM121" s="667">
        <f t="shared" ca="1" si="467"/>
        <v>39630</v>
      </c>
      <c r="DN121" s="668">
        <f t="shared" si="468"/>
        <v>18.053666924107389</v>
      </c>
      <c r="DO121" s="667">
        <f t="shared" ca="1" si="333"/>
        <v>39630</v>
      </c>
      <c r="DP121" s="579">
        <f t="shared" si="334"/>
        <v>18.013554545454564</v>
      </c>
      <c r="DQ121" s="821">
        <v>0</v>
      </c>
      <c r="DR121" s="666">
        <f t="shared" ca="1" si="469"/>
        <v>39630</v>
      </c>
      <c r="DS121" s="669">
        <v>0.16399999999999998</v>
      </c>
      <c r="DT121" s="606">
        <v>0.1631545454545445</v>
      </c>
      <c r="DU121" s="666">
        <f t="shared" ca="1" si="470"/>
        <v>39630</v>
      </c>
      <c r="DV121" s="669">
        <v>0.16399999999999998</v>
      </c>
      <c r="DW121" s="606">
        <v>0.1631545454545445</v>
      </c>
      <c r="DX121" s="667">
        <f t="shared" ca="1" si="471"/>
        <v>39630</v>
      </c>
      <c r="DY121" s="606">
        <v>0.35</v>
      </c>
      <c r="DZ121" s="667">
        <f t="shared" ca="1" si="335"/>
        <v>39630</v>
      </c>
      <c r="EA121" s="606">
        <f t="shared" si="336"/>
        <v>0.1631545454545445</v>
      </c>
      <c r="EB121" s="1"/>
      <c r="EC121" s="118" t="str">
        <f t="shared" ca="1" si="472"/>
        <v/>
      </c>
      <c r="ED121" s="119" t="str">
        <f t="shared" ca="1" si="313"/>
        <v/>
      </c>
      <c r="EE121" s="112" t="str">
        <f t="shared" ca="1" si="314"/>
        <v/>
      </c>
      <c r="EF121" s="120">
        <f ca="1">IF(BD121,_xll.xASN(BR121,Strike1,AO121,ED121,0,BO121,0,BI121,BL121,IF(OptControl=4,0,1),0),0)</f>
        <v>0</v>
      </c>
      <c r="EG121" s="111">
        <f ca="1">IF(BD121,_xll.xASN(BR121,Strike2,AO121,EE121,0,BO121,0,BI121,BL121,IF(OptControl=3,1,0),0),0)</f>
        <v>0</v>
      </c>
      <c r="EL121" s="55"/>
      <c r="EM121" s="1"/>
      <c r="EN121" s="106"/>
      <c r="EO121" s="106"/>
      <c r="EP121" s="1"/>
      <c r="EQ121" s="683" t="s">
        <v>334</v>
      </c>
      <c r="ES121" s="455"/>
      <c r="ET121" s="36"/>
      <c r="EU121" s="107"/>
      <c r="EV121" s="475"/>
      <c r="EW121" s="456"/>
      <c r="EX121" s="456"/>
      <c r="EY121" s="250"/>
      <c r="EZ121" s="250"/>
      <c r="FA121" s="250"/>
      <c r="FB121" s="250"/>
      <c r="FC121" s="250"/>
      <c r="FD121" s="250"/>
      <c r="FE121" s="250"/>
      <c r="FF121" s="250"/>
      <c r="FG121" s="250"/>
      <c r="FH121" s="250"/>
      <c r="FI121" s="250"/>
      <c r="FJ121" s="673">
        <v>27</v>
      </c>
      <c r="FK121" s="460">
        <f t="shared" ca="1" si="432"/>
        <v>0</v>
      </c>
      <c r="FL121" s="460">
        <f t="shared" ref="FL121:HW124" ca="1" si="476">IF($FJ46&lt;FL$94,"",SQRT(FL46/FL$15))</f>
        <v>0.1687101396706491</v>
      </c>
      <c r="FM121" s="460">
        <f t="shared" ca="1" si="476"/>
        <v>0.17360466362634733</v>
      </c>
      <c r="FN121" s="460">
        <f t="shared" ca="1" si="476"/>
        <v>0.1707895140659268</v>
      </c>
      <c r="FO121" s="460">
        <f t="shared" ca="1" si="476"/>
        <v>0.16888339496644872</v>
      </c>
      <c r="FP121" s="460">
        <f t="shared" ca="1" si="476"/>
        <v>0.1676963232259035</v>
      </c>
      <c r="FQ121" s="460">
        <f t="shared" ca="1" si="476"/>
        <v>0.16709252378647951</v>
      </c>
      <c r="FR121" s="460">
        <f t="shared" ca="1" si="476"/>
        <v>0.16697823265171377</v>
      </c>
      <c r="FS121" s="460">
        <f t="shared" ca="1" si="476"/>
        <v>0.16729285545300437</v>
      </c>
      <c r="FT121" s="460">
        <f t="shared" ca="1" si="476"/>
        <v>0.1680027267458836</v>
      </c>
      <c r="FU121" s="460">
        <f t="shared" ca="1" si="476"/>
        <v>0.16909693178540075</v>
      </c>
      <c r="FV121" s="460">
        <f t="shared" ca="1" si="476"/>
        <v>0.17058482595379457</v>
      </c>
      <c r="FW121" s="460">
        <f t="shared" ca="1" si="476"/>
        <v>0.17249503309756112</v>
      </c>
      <c r="FX121" s="460">
        <f t="shared" ca="1" si="476"/>
        <v>0.17487583724317787</v>
      </c>
      <c r="FY121" s="460">
        <f t="shared" ca="1" si="476"/>
        <v>0.17779701751190977</v>
      </c>
      <c r="FZ121" s="460">
        <f t="shared" ca="1" si="476"/>
        <v>0.18135333154107064</v>
      </c>
      <c r="GA121" s="460">
        <f t="shared" ca="1" si="476"/>
        <v>0.18567005296985545</v>
      </c>
      <c r="GB121" s="460">
        <f t="shared" ca="1" si="476"/>
        <v>0.19091125080794227</v>
      </c>
      <c r="GC121" s="460">
        <f t="shared" ca="1" si="476"/>
        <v>0.19729192310676727</v>
      </c>
      <c r="GD121" s="460">
        <f t="shared" ca="1" si="476"/>
        <v>0.20509576685836356</v>
      </c>
      <c r="GE121" s="460">
        <f t="shared" ca="1" si="476"/>
        <v>0.21470146155143841</v>
      </c>
      <c r="GF121" s="460">
        <f t="shared" ca="1" si="476"/>
        <v>0.22662219622962523</v>
      </c>
      <c r="GG121" s="460">
        <f t="shared" ca="1" si="476"/>
        <v>0.24156640498193127</v>
      </c>
      <c r="GH121" s="460">
        <f t="shared" ca="1" si="476"/>
        <v>0.26053352088785731</v>
      </c>
      <c r="GI121" s="460">
        <f t="shared" ca="1" si="476"/>
        <v>0.2849695194866681</v>
      </c>
      <c r="GJ121" s="460">
        <f t="shared" ca="1" si="476"/>
        <v>0.31702845226786647</v>
      </c>
      <c r="GK121" s="460">
        <f t="shared" ca="1" si="476"/>
        <v>0.36003010173832661</v>
      </c>
      <c r="GL121" s="460" t="str">
        <f t="shared" si="476"/>
        <v/>
      </c>
      <c r="GM121" s="460" t="str">
        <f t="shared" si="476"/>
        <v/>
      </c>
      <c r="GN121" s="460" t="str">
        <f t="shared" si="476"/>
        <v/>
      </c>
      <c r="GO121" s="460" t="str">
        <f t="shared" si="476"/>
        <v/>
      </c>
      <c r="GP121" s="460" t="str">
        <f t="shared" si="476"/>
        <v/>
      </c>
      <c r="GQ121" s="460" t="str">
        <f t="shared" si="476"/>
        <v/>
      </c>
      <c r="GR121" s="460" t="str">
        <f t="shared" si="476"/>
        <v/>
      </c>
      <c r="GS121" s="460" t="str">
        <f t="shared" si="476"/>
        <v/>
      </c>
      <c r="GT121" s="460" t="str">
        <f t="shared" si="476"/>
        <v/>
      </c>
      <c r="GU121" s="460" t="str">
        <f t="shared" si="476"/>
        <v/>
      </c>
      <c r="GV121" s="460" t="str">
        <f t="shared" si="476"/>
        <v/>
      </c>
      <c r="GW121" s="460" t="str">
        <f t="shared" si="476"/>
        <v/>
      </c>
      <c r="GX121" s="460" t="str">
        <f t="shared" si="476"/>
        <v/>
      </c>
      <c r="GY121" s="460" t="str">
        <f t="shared" si="476"/>
        <v/>
      </c>
      <c r="GZ121" s="460" t="str">
        <f t="shared" si="476"/>
        <v/>
      </c>
      <c r="HA121" s="460" t="str">
        <f t="shared" si="476"/>
        <v/>
      </c>
      <c r="HB121" s="460" t="str">
        <f t="shared" si="476"/>
        <v/>
      </c>
      <c r="HC121" s="460" t="str">
        <f t="shared" si="476"/>
        <v/>
      </c>
      <c r="HD121" s="460" t="str">
        <f t="shared" si="476"/>
        <v/>
      </c>
      <c r="HE121" s="460" t="str">
        <f t="shared" si="476"/>
        <v/>
      </c>
      <c r="HF121" s="460" t="str">
        <f t="shared" si="476"/>
        <v/>
      </c>
      <c r="HG121" s="460" t="str">
        <f t="shared" si="476"/>
        <v/>
      </c>
      <c r="HH121" s="460" t="str">
        <f t="shared" si="476"/>
        <v/>
      </c>
      <c r="HI121" s="460" t="str">
        <f t="shared" si="476"/>
        <v/>
      </c>
      <c r="HJ121" s="460" t="str">
        <f t="shared" si="476"/>
        <v/>
      </c>
      <c r="HK121" s="460" t="str">
        <f t="shared" si="476"/>
        <v/>
      </c>
      <c r="HL121" s="460" t="str">
        <f t="shared" si="476"/>
        <v/>
      </c>
      <c r="HM121" s="460" t="str">
        <f t="shared" si="476"/>
        <v/>
      </c>
      <c r="HN121" s="460" t="str">
        <f t="shared" si="476"/>
        <v/>
      </c>
      <c r="HO121" s="460" t="str">
        <f t="shared" si="476"/>
        <v/>
      </c>
      <c r="HP121" s="460" t="str">
        <f t="shared" si="476"/>
        <v/>
      </c>
      <c r="HQ121" s="460" t="str">
        <f t="shared" si="476"/>
        <v/>
      </c>
      <c r="HR121" s="460" t="str">
        <f t="shared" si="476"/>
        <v/>
      </c>
      <c r="HS121" s="460" t="str">
        <f t="shared" si="476"/>
        <v/>
      </c>
      <c r="HT121" s="460" t="str">
        <f t="shared" si="476"/>
        <v/>
      </c>
      <c r="HU121" s="460" t="str">
        <f t="shared" si="476"/>
        <v/>
      </c>
      <c r="HV121" s="460" t="str">
        <f t="shared" si="476"/>
        <v/>
      </c>
      <c r="HW121" s="460" t="str">
        <f t="shared" si="476"/>
        <v/>
      </c>
      <c r="HX121" s="460" t="str">
        <f t="shared" si="475"/>
        <v/>
      </c>
      <c r="HY121" s="460" t="str">
        <f t="shared" si="475"/>
        <v/>
      </c>
      <c r="HZ121" s="460" t="str">
        <f t="shared" si="475"/>
        <v/>
      </c>
      <c r="IA121" s="460" t="str">
        <f t="shared" si="475"/>
        <v/>
      </c>
      <c r="IB121" s="460" t="str">
        <f t="shared" si="475"/>
        <v/>
      </c>
      <c r="IC121" s="460" t="str">
        <f t="shared" si="475"/>
        <v/>
      </c>
      <c r="ID121" s="674" t="str">
        <f t="shared" si="475"/>
        <v/>
      </c>
      <c r="IE121" s="250"/>
    </row>
    <row r="122" spans="8:239">
      <c r="H122" s="51">
        <f t="shared" ca="1" si="315"/>
        <v>0</v>
      </c>
      <c r="I122" s="379">
        <f t="shared" si="316"/>
        <v>39873</v>
      </c>
      <c r="J122" s="377"/>
      <c r="K122" s="104" t="s">
        <v>268</v>
      </c>
      <c r="L122" s="392">
        <f t="shared" si="317"/>
        <v>0.97499999999999964</v>
      </c>
      <c r="M122" s="171"/>
      <c r="N122" s="382">
        <v>0</v>
      </c>
      <c r="O122" s="171">
        <f t="shared" si="272"/>
        <v>0</v>
      </c>
      <c r="P122" s="377"/>
      <c r="Q122" s="104" t="s">
        <v>268</v>
      </c>
      <c r="R122" s="377">
        <f t="shared" ca="1" si="417"/>
        <v>-0.19524708311134284</v>
      </c>
      <c r="S122" s="832">
        <f t="shared" si="435"/>
        <v>0.36000000000000959</v>
      </c>
      <c r="T122" s="831">
        <f t="shared" si="418"/>
        <v>0.99999998708688476</v>
      </c>
      <c r="U122" s="545">
        <f t="shared" si="419"/>
        <v>0.99999999999999722</v>
      </c>
      <c r="V122" s="389">
        <v>0</v>
      </c>
      <c r="W122" s="434">
        <f t="shared" si="455"/>
        <v>0</v>
      </c>
      <c r="X122" s="415">
        <f t="shared" si="456"/>
        <v>1.0244318181818179</v>
      </c>
      <c r="Y122" s="322">
        <f t="shared" si="457"/>
        <v>-1.1684999999999999</v>
      </c>
      <c r="Z122" s="322">
        <f t="shared" ca="1" si="458"/>
        <v>-0.14406818181818193</v>
      </c>
      <c r="AA122" s="429">
        <f t="shared" si="277"/>
        <v>1.1684999999999999</v>
      </c>
      <c r="AB122" s="433">
        <f t="shared" ca="1" si="278"/>
        <v>1.1684999999999999</v>
      </c>
      <c r="AC122" s="229">
        <v>39864</v>
      </c>
      <c r="AD122" s="229">
        <v>39860</v>
      </c>
      <c r="AE122" s="229">
        <v>39859</v>
      </c>
      <c r="AF122" s="229">
        <v>39855</v>
      </c>
      <c r="AG122" s="249" t="s">
        <v>499</v>
      </c>
      <c r="AH122" s="247" t="s">
        <v>499</v>
      </c>
      <c r="AI122" s="146">
        <v>22</v>
      </c>
      <c r="AJ122" s="41">
        <v>15</v>
      </c>
      <c r="AK122" s="41">
        <v>7</v>
      </c>
      <c r="AL122" s="293">
        <v>22</v>
      </c>
      <c r="AM122" s="41">
        <v>10</v>
      </c>
      <c r="AN122" s="147">
        <v>12</v>
      </c>
      <c r="AO122" s="374"/>
      <c r="AP122" s="153">
        <f t="shared" ca="1" si="318"/>
        <v>1</v>
      </c>
      <c r="AQ122" s="374"/>
      <c r="AR122" s="153">
        <f t="shared" ca="1" si="420"/>
        <v>1</v>
      </c>
      <c r="AS122" s="272">
        <f t="shared" si="459"/>
        <v>0</v>
      </c>
      <c r="AT122" s="157">
        <f t="shared" si="319"/>
        <v>0</v>
      </c>
      <c r="AU122" s="157">
        <f t="shared" si="280"/>
        <v>0</v>
      </c>
      <c r="AV122" s="271">
        <f t="shared" ca="1" si="430"/>
        <v>9.9999999999999995E-7</v>
      </c>
      <c r="AW122" s="158" t="str">
        <f t="shared" ca="1" si="460"/>
        <v/>
      </c>
      <c r="AX122" s="157">
        <f t="shared" ca="1" si="421"/>
        <v>8.1582755552667336E-4</v>
      </c>
      <c r="AY122" s="157">
        <f t="shared" ca="1" si="422"/>
        <v>3.1990058494074447E-4</v>
      </c>
      <c r="AZ122" s="157">
        <f t="shared" ca="1" si="423"/>
        <v>4.0370477029180772E-5</v>
      </c>
      <c r="BA122" s="157">
        <f t="shared" ca="1" si="424"/>
        <v>5.0463096286475966E-6</v>
      </c>
      <c r="BB122" s="157">
        <f t="shared" ca="1" si="425"/>
        <v>3.4307653739751591E-7</v>
      </c>
      <c r="BC122" s="157">
        <f t="shared" ca="1" si="426"/>
        <v>5.0930481736361394E-8</v>
      </c>
      <c r="BD122" s="151">
        <f t="shared" ca="1" si="461"/>
        <v>0</v>
      </c>
      <c r="BE122" s="152">
        <f t="shared" ca="1" si="462"/>
        <v>0</v>
      </c>
      <c r="BF122" s="40">
        <f t="shared" si="463"/>
        <v>2009</v>
      </c>
      <c r="BG122" s="144">
        <f t="shared" si="464"/>
        <v>3</v>
      </c>
      <c r="BH122" s="145">
        <f t="shared" ca="1" si="465"/>
        <v>3115</v>
      </c>
      <c r="BI122" s="313">
        <f t="shared" ca="1" si="439"/>
        <v>8.5639972621492131</v>
      </c>
      <c r="BJ122" s="42">
        <f t="shared" ca="1" si="288"/>
        <v>8.6199987555223689</v>
      </c>
      <c r="BK122" s="42">
        <f t="shared" ca="1" si="289"/>
        <v>8.6227366063095019</v>
      </c>
      <c r="BL122" s="42">
        <f t="shared" ca="1" si="440"/>
        <v>8.6461327857631751</v>
      </c>
      <c r="BM122" s="150" t="e">
        <f t="shared" ca="1" si="291"/>
        <v>#DIV/0!</v>
      </c>
      <c r="BN122" s="42" t="e">
        <f t="shared" ca="1" si="292"/>
        <v>#DIV/0!</v>
      </c>
      <c r="BO122" s="293">
        <f t="shared" si="441"/>
        <v>22</v>
      </c>
      <c r="BP122" s="41">
        <f t="shared" si="442"/>
        <v>15</v>
      </c>
      <c r="BQ122" s="41">
        <f t="shared" si="443"/>
        <v>7</v>
      </c>
      <c r="BR122" s="305" t="str">
        <f t="shared" ca="1" si="295"/>
        <v/>
      </c>
      <c r="BS122" s="305" t="str">
        <f t="shared" ca="1" si="444"/>
        <v/>
      </c>
      <c r="BT122" s="307" t="str">
        <f t="shared" ca="1" si="445"/>
        <v/>
      </c>
      <c r="BU122" s="161" t="str">
        <f t="shared" ca="1" si="298"/>
        <v/>
      </c>
      <c r="BV122" s="161" t="str">
        <f t="shared" ca="1" si="299"/>
        <v/>
      </c>
      <c r="BW122" s="308" t="str">
        <f t="shared" ca="1" si="300"/>
        <v/>
      </c>
      <c r="BX122" s="309" t="str">
        <f t="shared" ca="1" si="301"/>
        <v/>
      </c>
      <c r="BY122" s="308" t="str">
        <f t="shared" ca="1" si="446"/>
        <v/>
      </c>
      <c r="BZ122" s="309" t="str">
        <f t="shared" ca="1" si="447"/>
        <v/>
      </c>
      <c r="CA122" s="154" t="str">
        <f t="shared" ca="1" si="302"/>
        <v/>
      </c>
      <c r="CB122" s="154" t="str">
        <f t="shared" ca="1" si="303"/>
        <v/>
      </c>
      <c r="CC122" s="154" t="str">
        <f t="shared" ca="1" si="304"/>
        <v/>
      </c>
      <c r="CD122" s="154" t="str">
        <f t="shared" ca="1" si="305"/>
        <v/>
      </c>
      <c r="CE122" s="310">
        <v>1</v>
      </c>
      <c r="CF122" s="162">
        <f ca="1">IF(BD122,_xll.xCrudeAPO(BU122,BV122,CA122,CB122,S123,S124,BI122,BL122,BP122,BQ122,0,Strike1,AO122,CE122,0,BL122,IF(OptControl=4,0,1),0,1),0)</f>
        <v>0</v>
      </c>
      <c r="CG122" s="163">
        <f ca="1">IF(BD122,_xll.xCrudeAPO(BU122,BV122,CA122,CB122,S123,S124,BI122,BL122,BP122,BQ122,0,Strike1,AO122,CE122,0,BL122,IF(OptControl=4,0,1),1,1)+_xll.xCrudeAPO(BU122,BV122,CA122,CB122,S123,S124,BI122,BL122,BP122,BQ122,0,Strike1,AO122,CE122,0,BL122,IF(OptControl=4,0,1),1,2)+IF(OR(VolSkewFlag=2,ABS(BS122)&lt;0.0001),0,IF(BS122&gt;0,-1,1)*CH122*Strike1/BR122^2*BY122/10%),0)</f>
        <v>0</v>
      </c>
      <c r="CH122" s="163">
        <f ca="1">IF(BD122,(_xll.xCrudeAPO(BU122,BV122,CA122,CB122,S123,S124,BI122,BL122,BP122,BQ122,0,Strike1,AO122,CE122,0,BL122,IF(OptControl=4,0,1),3,1)+_xll.xCrudeAPO(BU122,BV122,CA122,CB122,S123,S124,BI122,BL122,BP122,BQ122,0,Strike1,AO122,CE122,0,BL122,IF(OptControl=4,0,1),3,2))/100,0)</f>
        <v>0</v>
      </c>
      <c r="CI122" s="163">
        <f ca="1">IF(BD122,_xll.xCrudeAPO(BU122,BV122,CA122,CB122,S123,S124,BI122-DaysForThetaCalculation/365.25,BL122-DaysForThetaCalculation/365.25,BP122,BQ122,0,Strike1,AO122,CE122,0,BL122,IF(OptControl=4,0,1),0,1)-_xll.xCrudeAPO(BU122,BV122,CA122,CB122,S123,S124,BI122,BL122,BP122,BQ122,0,Strike1,AO122,CE122,0,BL122,IF(OptControl=4,0,1),0,1),0)</f>
        <v>0</v>
      </c>
      <c r="CJ122" s="311">
        <f ca="1">IF(BD122,_xll.xCrudeAPO(BU122,BV122,CC122,CD122,S123,S124,BI122,BL122,BP122,BQ122,0,Strike2,AO122,CE122,0,BL122,IF(OptControl=3,1,0),0,1),0)</f>
        <v>0</v>
      </c>
      <c r="CK122" s="163">
        <f ca="1">IF(BD122,_xll.xCrudeAPO(BU122,BV122,CC122,CD122,S123,S124,BI122,BL122,BP122,BQ122,0,Strike2,AO122,CE122,0,BL122,IF(OptControl=3,1,0),1,1)+_xll.xCrudeAPO(BU122,BV122,CC122,CD122,S123,S124,BI122,BL122,BP122,BQ122,0,Strike2,AO122,CE122,0,BL122,IF(OptControl=3,1,0),1,2)+IF(OR(VolSkewFlag=2,ABS(BT122)&lt;0.0001),0,IF(BT122&gt;0,-1,1)*CL122*Strike2/BR122^2*BZ122/10%),0)</f>
        <v>0</v>
      </c>
      <c r="CL122" s="163">
        <f ca="1">IF(BD122,(_xll.xCrudeAPO(BU122,BV122,CC122,CD122,S123,S124,BI122,BL122,BP122,BQ122,0,Strike2,AO122,CE122,0,BL122,IF(OptControl=3,1,0),3,1)+_xll.xCrudeAPO(BU122,BV122,CC122,CD122,S123,S124,BI122,BL122,BP122,BQ122,0,Strike2,AO122,CE122,0,BL122,IF(OptControl=3,1,0),3,2))/100,0)</f>
        <v>0</v>
      </c>
      <c r="CM122" s="164">
        <f ca="1">IF(BD122,_xll.xCrudeAPO(BU122,BV122,CC122,CD122,S123,S124,BI122-DaysForThetaCalculation/365.25,BL122-DaysForThetaCalculation/365.25,BP122,BQ122,0,Strike2,AO122,CE122,0,BL122,IF(OptControl=3,1,0),0,1)-_xll.xCrudeAPO(BU122,BV122,CC122,CD122,S123,S124,BI122,BL122,BP122,BQ122,0,Strike2,AO122,CE122,0,BL122,IF(OptControl=3,1,0),0,1),0)</f>
        <v>0</v>
      </c>
      <c r="CN122" s="53"/>
      <c r="CO122" s="796" t="str">
        <f t="shared" ca="1" si="323"/>
        <v/>
      </c>
      <c r="CP122" s="800" t="str">
        <f t="shared" ca="1" si="324"/>
        <v/>
      </c>
      <c r="CQ122" s="797" t="str">
        <f t="shared" ca="1" si="325"/>
        <v/>
      </c>
      <c r="CR122" s="797" t="str">
        <f t="shared" ca="1" si="326"/>
        <v/>
      </c>
      <c r="CS122" s="797" t="str">
        <f t="shared" ca="1" si="327"/>
        <v/>
      </c>
      <c r="CT122" s="797" t="str">
        <f t="shared" ca="1" si="328"/>
        <v/>
      </c>
      <c r="CU122" s="798" t="str">
        <f t="shared" ca="1" si="329"/>
        <v/>
      </c>
      <c r="CV122" s="799" t="str">
        <f t="shared" ca="1" si="330"/>
        <v/>
      </c>
      <c r="CW122" s="799" t="str">
        <f t="shared" ca="1" si="331"/>
        <v/>
      </c>
      <c r="CX122" s="163">
        <f ca="1">IF(BD122,_xll.EURO(CP122,Strike1,AO122,AO122,CV122,CO122,IF(OptControl=4,0,1),0),0)</f>
        <v>0</v>
      </c>
      <c r="CY122" s="163">
        <f ca="1">IF(BD122,_xll.EURO(CP122,Strike1,AO122,AO122,CV122,CO122,IF(OptControl=4,0,1),1)+IF(OR(VolSkewFlag=2,ABS(CQ122)&lt;0.0001),0,IF(CQ122&gt;0,-1,1)*CZ122*100*Strike1/CP122^2*CS122/10%),0)</f>
        <v>0</v>
      </c>
      <c r="CZ122" s="163">
        <f ca="1">IF(BD122,_xll.EURO(CP122,Strike1,AO122,AO122,CV122,CO122,IF(OptControl=4,0,1),3)/100,0)</f>
        <v>0</v>
      </c>
      <c r="DA122" s="163">
        <f ca="1">IF(BD122,_xll.EURO(CP122,Strike1,AO122,AO122,CV122,CO122,IF(OptControl=4,0,1),0)-_xll.EURO(CP122,Strike1,AO122,AO122,CV122,CO122-1,IF(OptControl=4,0,1),0),0)</f>
        <v>0</v>
      </c>
      <c r="DB122" s="163">
        <f ca="1">IF(BD122,_xll.EURO(CP122,Strike2,AO122,AO122,CW122,CO122,IF(OptControl=3,1,0),0),0)</f>
        <v>0</v>
      </c>
      <c r="DC122" s="163">
        <f ca="1">IF(BD122,_xll.EURO(CP122,Strike2,AO122,AO122,CW122,CO122,IF(OptControl=3,1,0),1)+IF(OR(VolSkewFlag=2,ABS(CR122)&lt;0.0001),0,IF(CR122&gt;0,-1,1)*DD122*100*Strike2/CP122^2*CT122/10%),0)</f>
        <v>0</v>
      </c>
      <c r="DD122" s="163">
        <f ca="1">IF(BD122,_xll.EURO(CP122,Strike2,AO122,AO122,CW122,CO122,IF(OptControl=3,1,0),3)/100,0)</f>
        <v>0</v>
      </c>
      <c r="DE122" s="164">
        <f ca="1">IF(BD122,_xll.EURO(CP122,Strike2,AO122,AO122,CW122,CO122,IF(OptControl=3,1,0),0)-_xll.EURO(CP122,Strike2,AO122,AO122,CW122,CO122-1,IF(OptControl=3,1,0),0),0)</f>
        <v>0</v>
      </c>
      <c r="DG122" s="667">
        <f t="shared" ca="1" si="332"/>
        <v>39661</v>
      </c>
      <c r="DH122" s="475">
        <v>19.260000000000002</v>
      </c>
      <c r="DI122" s="665">
        <v>19.326666666666686</v>
      </c>
      <c r="DJ122" s="666">
        <f t="shared" ca="1" si="466"/>
        <v>39661</v>
      </c>
      <c r="DK122" s="475">
        <v>17.868348250811497</v>
      </c>
      <c r="DL122" s="665">
        <v>18.059766666666686</v>
      </c>
      <c r="DM122" s="667">
        <f t="shared" ca="1" si="467"/>
        <v>39661</v>
      </c>
      <c r="DN122" s="668">
        <f t="shared" si="468"/>
        <v>17.918348250811498</v>
      </c>
      <c r="DO122" s="667">
        <f t="shared" ca="1" si="333"/>
        <v>39661</v>
      </c>
      <c r="DP122" s="579">
        <f t="shared" si="334"/>
        <v>18.059766666666686</v>
      </c>
      <c r="DQ122" s="821">
        <v>0</v>
      </c>
      <c r="DR122" s="666">
        <f t="shared" ca="1" si="469"/>
        <v>39661</v>
      </c>
      <c r="DS122" s="669">
        <v>0.16339999999999905</v>
      </c>
      <c r="DT122" s="606">
        <v>0.16259999999999902</v>
      </c>
      <c r="DU122" s="666">
        <f t="shared" ca="1" si="470"/>
        <v>39661</v>
      </c>
      <c r="DV122" s="669">
        <v>0.16339999999999905</v>
      </c>
      <c r="DW122" s="606">
        <v>0.16259999999999902</v>
      </c>
      <c r="DX122" s="667">
        <f t="shared" ca="1" si="471"/>
        <v>39661</v>
      </c>
      <c r="DY122" s="606">
        <v>0.35</v>
      </c>
      <c r="DZ122" s="667">
        <f t="shared" ca="1" si="335"/>
        <v>39661</v>
      </c>
      <c r="EA122" s="606">
        <f t="shared" si="336"/>
        <v>0.16259999999999902</v>
      </c>
      <c r="EB122" s="1"/>
      <c r="EC122" s="118" t="str">
        <f t="shared" ca="1" si="472"/>
        <v/>
      </c>
      <c r="ED122" s="119" t="str">
        <f t="shared" ca="1" si="313"/>
        <v/>
      </c>
      <c r="EE122" s="112" t="str">
        <f t="shared" ca="1" si="314"/>
        <v/>
      </c>
      <c r="EF122" s="120">
        <f ca="1">IF(BD122,_xll.xASN(BR122,Strike1,AO122,ED122,0,BO122,0,BI122,BL122,IF(OptControl=4,0,1),0),0)</f>
        <v>0</v>
      </c>
      <c r="EG122" s="111">
        <f ca="1">IF(BD122,_xll.xASN(BR122,Strike2,AO122,EE122,0,BO122,0,BI122,BL122,IF(OptControl=3,1,0),0),0)</f>
        <v>0</v>
      </c>
      <c r="EL122" s="55"/>
      <c r="EM122" s="1"/>
      <c r="EN122" s="106"/>
      <c r="EO122" s="106"/>
      <c r="EP122" s="1"/>
      <c r="EQ122" s="683" t="s">
        <v>335</v>
      </c>
      <c r="ES122" s="455"/>
      <c r="ET122" s="36"/>
      <c r="EU122" s="107"/>
      <c r="EV122" s="475"/>
      <c r="EW122" s="456"/>
      <c r="EX122" s="456"/>
      <c r="EY122" s="250"/>
      <c r="EZ122" s="250"/>
      <c r="FA122" s="250"/>
      <c r="FB122" s="250"/>
      <c r="FC122" s="250"/>
      <c r="FD122" s="250"/>
      <c r="FE122" s="250"/>
      <c r="FF122" s="250"/>
      <c r="FG122" s="250"/>
      <c r="FH122" s="250"/>
      <c r="FI122" s="250"/>
      <c r="FJ122" s="673">
        <v>28</v>
      </c>
      <c r="FK122" s="460">
        <f t="shared" ca="1" si="432"/>
        <v>0</v>
      </c>
      <c r="FL122" s="460">
        <f t="shared" ca="1" si="476"/>
        <v>0.16833233451833704</v>
      </c>
      <c r="FM122" s="460">
        <f t="shared" ca="1" si="476"/>
        <v>0.1731498801882978</v>
      </c>
      <c r="FN122" s="460">
        <f t="shared" ca="1" si="476"/>
        <v>0.17026611240276368</v>
      </c>
      <c r="FO122" s="460">
        <f t="shared" ca="1" si="476"/>
        <v>0.16827790356495728</v>
      </c>
      <c r="FP122" s="460">
        <f t="shared" ca="1" si="476"/>
        <v>0.16699290920189891</v>
      </c>
      <c r="FQ122" s="460">
        <f t="shared" ca="1" si="476"/>
        <v>0.16627248651926849</v>
      </c>
      <c r="FR122" s="460">
        <f t="shared" ca="1" si="476"/>
        <v>0.16601937960421617</v>
      </c>
      <c r="FS122" s="460">
        <f t="shared" ca="1" si="476"/>
        <v>0.1661687260174794</v>
      </c>
      <c r="FT122" s="460">
        <f t="shared" ca="1" si="476"/>
        <v>0.16668161825033581</v>
      </c>
      <c r="FU122" s="460">
        <f t="shared" ca="1" si="476"/>
        <v>0.16754066537186355</v>
      </c>
      <c r="FV122" s="460">
        <f t="shared" ca="1" si="476"/>
        <v>0.16874716672775086</v>
      </c>
      <c r="FW122" s="460">
        <f t="shared" ca="1" si="476"/>
        <v>0.1703196454504374</v>
      </c>
      <c r="FX122" s="460">
        <f t="shared" ca="1" si="476"/>
        <v>0.1722936074799418</v>
      </c>
      <c r="FY122" s="460">
        <f t="shared" ca="1" si="476"/>
        <v>0.17472250389826183</v>
      </c>
      <c r="FZ122" s="460">
        <f t="shared" ca="1" si="476"/>
        <v>0.1776799938995976</v>
      </c>
      <c r="GA122" s="460">
        <f t="shared" ca="1" si="476"/>
        <v>0.18126374933138009</v>
      </c>
      <c r="GB122" s="460">
        <f t="shared" ca="1" si="476"/>
        <v>0.18560123308579249</v>
      </c>
      <c r="GC122" s="460">
        <f t="shared" ca="1" si="476"/>
        <v>0.19085815920156468</v>
      </c>
      <c r="GD122" s="460">
        <f t="shared" ca="1" si="476"/>
        <v>0.19725076212693191</v>
      </c>
      <c r="GE122" s="460">
        <f t="shared" ca="1" si="476"/>
        <v>0.2050636683408486</v>
      </c>
      <c r="GF122" s="460">
        <f t="shared" ca="1" si="476"/>
        <v>0.21467625621394545</v>
      </c>
      <c r="GG122" s="460">
        <f t="shared" ca="1" si="476"/>
        <v>0.22660224028861861</v>
      </c>
      <c r="GH122" s="460">
        <f t="shared" ca="1" si="476"/>
        <v>0.2415504496511692</v>
      </c>
      <c r="GI122" s="460">
        <f t="shared" ca="1" si="476"/>
        <v>0.26052061396145831</v>
      </c>
      <c r="GJ122" s="460">
        <f t="shared" ca="1" si="476"/>
        <v>0.2849589308410384</v>
      </c>
      <c r="GK122" s="460">
        <f t="shared" ca="1" si="476"/>
        <v>0.31701961704222792</v>
      </c>
      <c r="GL122" s="460">
        <f t="shared" ca="1" si="476"/>
        <v>0.36002257630374496</v>
      </c>
      <c r="GM122" s="460" t="str">
        <f t="shared" si="476"/>
        <v/>
      </c>
      <c r="GN122" s="460" t="str">
        <f t="shared" si="476"/>
        <v/>
      </c>
      <c r="GO122" s="460" t="str">
        <f t="shared" si="476"/>
        <v/>
      </c>
      <c r="GP122" s="460" t="str">
        <f t="shared" si="476"/>
        <v/>
      </c>
      <c r="GQ122" s="460" t="str">
        <f t="shared" si="476"/>
        <v/>
      </c>
      <c r="GR122" s="460" t="str">
        <f t="shared" si="476"/>
        <v/>
      </c>
      <c r="GS122" s="460" t="str">
        <f t="shared" si="476"/>
        <v/>
      </c>
      <c r="GT122" s="460" t="str">
        <f t="shared" si="476"/>
        <v/>
      </c>
      <c r="GU122" s="460" t="str">
        <f t="shared" si="476"/>
        <v/>
      </c>
      <c r="GV122" s="460" t="str">
        <f t="shared" si="476"/>
        <v/>
      </c>
      <c r="GW122" s="460" t="str">
        <f t="shared" si="476"/>
        <v/>
      </c>
      <c r="GX122" s="460" t="str">
        <f t="shared" si="476"/>
        <v/>
      </c>
      <c r="GY122" s="460" t="str">
        <f t="shared" si="476"/>
        <v/>
      </c>
      <c r="GZ122" s="460" t="str">
        <f t="shared" si="476"/>
        <v/>
      </c>
      <c r="HA122" s="460" t="str">
        <f t="shared" si="476"/>
        <v/>
      </c>
      <c r="HB122" s="460" t="str">
        <f t="shared" si="476"/>
        <v/>
      </c>
      <c r="HC122" s="460" t="str">
        <f t="shared" si="476"/>
        <v/>
      </c>
      <c r="HD122" s="460" t="str">
        <f t="shared" si="476"/>
        <v/>
      </c>
      <c r="HE122" s="460" t="str">
        <f t="shared" si="476"/>
        <v/>
      </c>
      <c r="HF122" s="460" t="str">
        <f t="shared" si="476"/>
        <v/>
      </c>
      <c r="HG122" s="460" t="str">
        <f t="shared" si="476"/>
        <v/>
      </c>
      <c r="HH122" s="460" t="str">
        <f t="shared" si="476"/>
        <v/>
      </c>
      <c r="HI122" s="460" t="str">
        <f t="shared" si="476"/>
        <v/>
      </c>
      <c r="HJ122" s="460" t="str">
        <f t="shared" si="476"/>
        <v/>
      </c>
      <c r="HK122" s="460" t="str">
        <f t="shared" si="476"/>
        <v/>
      </c>
      <c r="HL122" s="460" t="str">
        <f t="shared" si="476"/>
        <v/>
      </c>
      <c r="HM122" s="460" t="str">
        <f t="shared" si="476"/>
        <v/>
      </c>
      <c r="HN122" s="460" t="str">
        <f t="shared" si="476"/>
        <v/>
      </c>
      <c r="HO122" s="460" t="str">
        <f t="shared" si="476"/>
        <v/>
      </c>
      <c r="HP122" s="460" t="str">
        <f t="shared" si="476"/>
        <v/>
      </c>
      <c r="HQ122" s="460" t="str">
        <f t="shared" si="476"/>
        <v/>
      </c>
      <c r="HR122" s="460" t="str">
        <f t="shared" si="476"/>
        <v/>
      </c>
      <c r="HS122" s="460" t="str">
        <f t="shared" si="476"/>
        <v/>
      </c>
      <c r="HT122" s="460" t="str">
        <f t="shared" si="476"/>
        <v/>
      </c>
      <c r="HU122" s="460" t="str">
        <f t="shared" si="476"/>
        <v/>
      </c>
      <c r="HV122" s="460" t="str">
        <f t="shared" si="476"/>
        <v/>
      </c>
      <c r="HW122" s="460" t="str">
        <f t="shared" si="476"/>
        <v/>
      </c>
      <c r="HX122" s="460" t="str">
        <f t="shared" si="475"/>
        <v/>
      </c>
      <c r="HY122" s="460" t="str">
        <f t="shared" si="475"/>
        <v/>
      </c>
      <c r="HZ122" s="460" t="str">
        <f t="shared" si="475"/>
        <v/>
      </c>
      <c r="IA122" s="460" t="str">
        <f t="shared" si="475"/>
        <v/>
      </c>
      <c r="IB122" s="460" t="str">
        <f t="shared" si="475"/>
        <v/>
      </c>
      <c r="IC122" s="460" t="str">
        <f t="shared" si="475"/>
        <v/>
      </c>
      <c r="ID122" s="674" t="str">
        <f t="shared" si="475"/>
        <v/>
      </c>
      <c r="IE122" s="250"/>
    </row>
    <row r="123" spans="8:239">
      <c r="H123" s="51">
        <f t="shared" ca="1" si="315"/>
        <v>0</v>
      </c>
      <c r="I123" s="379">
        <f t="shared" si="316"/>
        <v>39904</v>
      </c>
      <c r="J123" s="377"/>
      <c r="K123" s="104" t="s">
        <v>268</v>
      </c>
      <c r="L123" s="392">
        <f t="shared" si="317"/>
        <v>1.0124999999999997</v>
      </c>
      <c r="M123" s="171"/>
      <c r="N123" s="382">
        <v>0</v>
      </c>
      <c r="O123" s="171">
        <f t="shared" si="272"/>
        <v>0</v>
      </c>
      <c r="P123" s="377"/>
      <c r="Q123" s="104" t="s">
        <v>268</v>
      </c>
      <c r="R123" s="377">
        <f t="shared" ca="1" si="417"/>
        <v>-0.17300291688865757</v>
      </c>
      <c r="S123" s="832">
        <f t="shared" si="435"/>
        <v>0.3600000000000072</v>
      </c>
      <c r="T123" s="831">
        <f t="shared" si="418"/>
        <v>0.99999998895928666</v>
      </c>
      <c r="U123" s="545">
        <f t="shared" si="419"/>
        <v>0.99999999999999789</v>
      </c>
      <c r="V123" s="389">
        <v>0</v>
      </c>
      <c r="W123" s="434">
        <f t="shared" si="455"/>
        <v>0</v>
      </c>
      <c r="X123" s="415">
        <f t="shared" si="456"/>
        <v>1.0636363636363635</v>
      </c>
      <c r="Y123" s="322">
        <f t="shared" si="457"/>
        <v>-1.2915000000000001</v>
      </c>
      <c r="Z123" s="322">
        <f t="shared" ca="1" si="458"/>
        <v>-0.2278636363636366</v>
      </c>
      <c r="AA123" s="429">
        <f t="shared" si="277"/>
        <v>1.2915000000000001</v>
      </c>
      <c r="AB123" s="433">
        <f t="shared" ca="1" si="278"/>
        <v>1.2915000000000001</v>
      </c>
      <c r="AC123" s="229">
        <v>39892</v>
      </c>
      <c r="AD123" s="229">
        <v>39888</v>
      </c>
      <c r="AE123" s="229">
        <v>39887</v>
      </c>
      <c r="AF123" s="229">
        <v>39883</v>
      </c>
      <c r="AG123" s="249" t="s">
        <v>499</v>
      </c>
      <c r="AH123" s="247" t="s">
        <v>499</v>
      </c>
      <c r="AI123" s="146">
        <v>22</v>
      </c>
      <c r="AJ123" s="41">
        <v>14</v>
      </c>
      <c r="AK123" s="41">
        <v>8</v>
      </c>
      <c r="AL123" s="293">
        <v>22</v>
      </c>
      <c r="AM123" s="41">
        <v>10</v>
      </c>
      <c r="AN123" s="147">
        <v>12</v>
      </c>
      <c r="AO123" s="374"/>
      <c r="AP123" s="153">
        <f t="shared" ca="1" si="318"/>
        <v>1</v>
      </c>
      <c r="AQ123" s="374"/>
      <c r="AR123" s="153">
        <f t="shared" ca="1" si="420"/>
        <v>1</v>
      </c>
      <c r="AS123" s="272">
        <f t="shared" si="459"/>
        <v>0</v>
      </c>
      <c r="AT123" s="157">
        <f t="shared" si="319"/>
        <v>0</v>
      </c>
      <c r="AU123" s="157">
        <f t="shared" si="280"/>
        <v>0</v>
      </c>
      <c r="AV123" s="271">
        <f t="shared" ca="1" si="430"/>
        <v>9.9999999999999995E-7</v>
      </c>
      <c r="AW123" s="158" t="str">
        <f t="shared" ca="1" si="460"/>
        <v/>
      </c>
      <c r="AX123" s="157">
        <f t="shared" ca="1" si="421"/>
        <v>7.8872226074588609E-4</v>
      </c>
      <c r="AY123" s="157">
        <f t="shared" ca="1" si="422"/>
        <v>3.0721606376760358E-4</v>
      </c>
      <c r="AZ123" s="157">
        <f t="shared" ca="1" si="423"/>
        <v>3.8104656258550093E-5</v>
      </c>
      <c r="BA123" s="157">
        <f t="shared" ca="1" si="424"/>
        <v>4.7630820323187616E-6</v>
      </c>
      <c r="BB123" s="157">
        <f t="shared" ca="1" si="425"/>
        <v>3.1306240238737316E-7</v>
      </c>
      <c r="BC123" s="157">
        <f t="shared" ca="1" si="426"/>
        <v>4.5373900893194279E-8</v>
      </c>
      <c r="BD123" s="151">
        <f t="shared" ca="1" si="461"/>
        <v>0</v>
      </c>
      <c r="BE123" s="152">
        <f t="shared" ca="1" si="462"/>
        <v>0</v>
      </c>
      <c r="BF123" s="40">
        <f t="shared" si="463"/>
        <v>2009</v>
      </c>
      <c r="BG123" s="144">
        <f t="shared" si="464"/>
        <v>4</v>
      </c>
      <c r="BH123" s="145">
        <f t="shared" ca="1" si="465"/>
        <v>3143</v>
      </c>
      <c r="BI123" s="313">
        <f t="shared" ca="1" si="439"/>
        <v>8.6488706365503081</v>
      </c>
      <c r="BJ123" s="42">
        <f t="shared" ca="1" si="288"/>
        <v>8.6993964283491998</v>
      </c>
      <c r="BK123" s="42">
        <f t="shared" ca="1" si="289"/>
        <v>8.7021342791363328</v>
      </c>
      <c r="BL123" s="42">
        <f t="shared" ca="1" si="440"/>
        <v>8.7282683093771389</v>
      </c>
      <c r="BM123" s="150" t="e">
        <f t="shared" ca="1" si="291"/>
        <v>#DIV/0!</v>
      </c>
      <c r="BN123" s="42" t="e">
        <f t="shared" ca="1" si="292"/>
        <v>#DIV/0!</v>
      </c>
      <c r="BO123" s="293">
        <f t="shared" si="441"/>
        <v>22</v>
      </c>
      <c r="BP123" s="41">
        <f t="shared" si="442"/>
        <v>14</v>
      </c>
      <c r="BQ123" s="41">
        <f t="shared" si="443"/>
        <v>8</v>
      </c>
      <c r="BR123" s="305" t="str">
        <f t="shared" ca="1" si="295"/>
        <v/>
      </c>
      <c r="BS123" s="305" t="str">
        <f t="shared" ca="1" si="444"/>
        <v/>
      </c>
      <c r="BT123" s="307" t="str">
        <f t="shared" ca="1" si="445"/>
        <v/>
      </c>
      <c r="BU123" s="161" t="str">
        <f t="shared" ca="1" si="298"/>
        <v/>
      </c>
      <c r="BV123" s="161" t="str">
        <f t="shared" ca="1" si="299"/>
        <v/>
      </c>
      <c r="BW123" s="308" t="str">
        <f t="shared" ca="1" si="300"/>
        <v/>
      </c>
      <c r="BX123" s="309" t="str">
        <f t="shared" ca="1" si="301"/>
        <v/>
      </c>
      <c r="BY123" s="308" t="str">
        <f t="shared" ca="1" si="446"/>
        <v/>
      </c>
      <c r="BZ123" s="309" t="str">
        <f t="shared" ca="1" si="447"/>
        <v/>
      </c>
      <c r="CA123" s="154" t="str">
        <f t="shared" ca="1" si="302"/>
        <v/>
      </c>
      <c r="CB123" s="154" t="str">
        <f t="shared" ca="1" si="303"/>
        <v/>
      </c>
      <c r="CC123" s="154" t="str">
        <f t="shared" ca="1" si="304"/>
        <v/>
      </c>
      <c r="CD123" s="154" t="str">
        <f t="shared" ca="1" si="305"/>
        <v/>
      </c>
      <c r="CE123" s="310">
        <v>1</v>
      </c>
      <c r="CF123" s="162">
        <f ca="1">IF(BD123,_xll.xCrudeAPO(BU123,BV123,CA123,CB123,S124,S125,BI123,BL123,BP123,BQ123,0,Strike1,AO123,CE123,0,BL123,IF(OptControl=4,0,1),0,1),0)</f>
        <v>0</v>
      </c>
      <c r="CG123" s="163">
        <f ca="1">IF(BD123,_xll.xCrudeAPO(BU123,BV123,CA123,CB123,S124,S125,BI123,BL123,BP123,BQ123,0,Strike1,AO123,CE123,0,BL123,IF(OptControl=4,0,1),1,1)+_xll.xCrudeAPO(BU123,BV123,CA123,CB123,S124,S125,BI123,BL123,BP123,BQ123,0,Strike1,AO123,CE123,0,BL123,IF(OptControl=4,0,1),1,2)+IF(OR(VolSkewFlag=2,ABS(BS123)&lt;0.0001),0,IF(BS123&gt;0,-1,1)*CH123*Strike1/BR123^2*BY123/10%),0)</f>
        <v>0</v>
      </c>
      <c r="CH123" s="163">
        <f ca="1">IF(BD123,(_xll.xCrudeAPO(BU123,BV123,CA123,CB123,S124,S125,BI123,BL123,BP123,BQ123,0,Strike1,AO123,CE123,0,BL123,IF(OptControl=4,0,1),3,1)+_xll.xCrudeAPO(BU123,BV123,CA123,CB123,S124,S125,BI123,BL123,BP123,BQ123,0,Strike1,AO123,CE123,0,BL123,IF(OptControl=4,0,1),3,2))/100,0)</f>
        <v>0</v>
      </c>
      <c r="CI123" s="163">
        <f ca="1">IF(BD123,_xll.xCrudeAPO(BU123,BV123,CA123,CB123,S124,S125,BI123-DaysForThetaCalculation/365.25,BL123-DaysForThetaCalculation/365.25,BP123,BQ123,0,Strike1,AO123,CE123,0,BL123,IF(OptControl=4,0,1),0,1)-_xll.xCrudeAPO(BU123,BV123,CA123,CB123,S124,S125,BI123,BL123,BP123,BQ123,0,Strike1,AO123,CE123,0,BL123,IF(OptControl=4,0,1),0,1),0)</f>
        <v>0</v>
      </c>
      <c r="CJ123" s="311">
        <f ca="1">IF(BD123,_xll.xCrudeAPO(BU123,BV123,CC123,CD123,S124,S125,BI123,BL123,BP123,BQ123,0,Strike2,AO123,CE123,0,BL123,IF(OptControl=3,1,0),0,1),0)</f>
        <v>0</v>
      </c>
      <c r="CK123" s="163">
        <f ca="1">IF(BD123,_xll.xCrudeAPO(BU123,BV123,CC123,CD123,S124,S125,BI123,BL123,BP123,BQ123,0,Strike2,AO123,CE123,0,BL123,IF(OptControl=3,1,0),1,1)+_xll.xCrudeAPO(BU123,BV123,CC123,CD123,S124,S125,BI123,BL123,BP123,BQ123,0,Strike2,AO123,CE123,0,BL123,IF(OptControl=3,1,0),1,2)+IF(OR(VolSkewFlag=2,ABS(BT123)&lt;0.0001),0,IF(BT123&gt;0,-1,1)*CL123*Strike2/BR123^2*BZ123/10%),0)</f>
        <v>0</v>
      </c>
      <c r="CL123" s="163">
        <f ca="1">IF(BD123,(_xll.xCrudeAPO(BU123,BV123,CC123,CD123,S124,S125,BI123,BL123,BP123,BQ123,0,Strike2,AO123,CE123,0,BL123,IF(OptControl=3,1,0),3,1)+_xll.xCrudeAPO(BU123,BV123,CC123,CD123,S124,S125,BI123,BL123,BP123,BQ123,0,Strike2,AO123,CE123,0,BL123,IF(OptControl=3,1,0),3,2))/100,0)</f>
        <v>0</v>
      </c>
      <c r="CM123" s="164">
        <f ca="1">IF(BD123,_xll.xCrudeAPO(BU123,BV123,CC123,CD123,S124,S125,BI123-DaysForThetaCalculation/365.25,BL123-DaysForThetaCalculation/365.25,BP123,BQ123,0,Strike2,AO123,CE123,0,BL123,IF(OptControl=3,1,0),0,1)-_xll.xCrudeAPO(BU123,BV123,CC123,CD123,S124,S125,BI123,BL123,BP123,BQ123,0,Strike2,AO123,CE123,0,BL123,IF(OptControl=3,1,0),0,1),0)</f>
        <v>0</v>
      </c>
      <c r="CN123" s="53"/>
      <c r="CO123" s="796" t="str">
        <f t="shared" ca="1" si="323"/>
        <v/>
      </c>
      <c r="CP123" s="800" t="str">
        <f t="shared" ca="1" si="324"/>
        <v/>
      </c>
      <c r="CQ123" s="797" t="str">
        <f t="shared" ca="1" si="325"/>
        <v/>
      </c>
      <c r="CR123" s="797" t="str">
        <f t="shared" ca="1" si="326"/>
        <v/>
      </c>
      <c r="CS123" s="797" t="str">
        <f t="shared" ca="1" si="327"/>
        <v/>
      </c>
      <c r="CT123" s="797" t="str">
        <f t="shared" ca="1" si="328"/>
        <v/>
      </c>
      <c r="CU123" s="798" t="str">
        <f t="shared" ca="1" si="329"/>
        <v/>
      </c>
      <c r="CV123" s="799" t="str">
        <f t="shared" ca="1" si="330"/>
        <v/>
      </c>
      <c r="CW123" s="799" t="str">
        <f t="shared" ca="1" si="331"/>
        <v/>
      </c>
      <c r="CX123" s="163">
        <f ca="1">IF(BD123,_xll.EURO(CP123,Strike1,AO123,AO123,CV123,CO123,IF(OptControl=4,0,1),0),0)</f>
        <v>0</v>
      </c>
      <c r="CY123" s="163">
        <f ca="1">IF(BD123,_xll.EURO(CP123,Strike1,AO123,AO123,CV123,CO123,IF(OptControl=4,0,1),1)+IF(OR(VolSkewFlag=2,ABS(CQ123)&lt;0.0001),0,IF(CQ123&gt;0,-1,1)*CZ123*100*Strike1/CP123^2*CS123/10%),0)</f>
        <v>0</v>
      </c>
      <c r="CZ123" s="163">
        <f ca="1">IF(BD123,_xll.EURO(CP123,Strike1,AO123,AO123,CV123,CO123,IF(OptControl=4,0,1),3)/100,0)</f>
        <v>0</v>
      </c>
      <c r="DA123" s="163">
        <f ca="1">IF(BD123,_xll.EURO(CP123,Strike1,AO123,AO123,CV123,CO123,IF(OptControl=4,0,1),0)-_xll.EURO(CP123,Strike1,AO123,AO123,CV123,CO123-1,IF(OptControl=4,0,1),0),0)</f>
        <v>0</v>
      </c>
      <c r="DB123" s="163">
        <f ca="1">IF(BD123,_xll.EURO(CP123,Strike2,AO123,AO123,CW123,CO123,IF(OptControl=3,1,0),0),0)</f>
        <v>0</v>
      </c>
      <c r="DC123" s="163">
        <f ca="1">IF(BD123,_xll.EURO(CP123,Strike2,AO123,AO123,CW123,CO123,IF(OptControl=3,1,0),1)+IF(OR(VolSkewFlag=2,ABS(CR123)&lt;0.0001),0,IF(CR123&gt;0,-1,1)*DD123*100*Strike2/CP123^2*CT123/10%),0)</f>
        <v>0</v>
      </c>
      <c r="DD123" s="163">
        <f ca="1">IF(BD123,_xll.EURO(CP123,Strike2,AO123,AO123,CW123,CO123,IF(OptControl=3,1,0),3)/100,0)</f>
        <v>0</v>
      </c>
      <c r="DE123" s="164">
        <f ca="1">IF(BD123,_xll.EURO(CP123,Strike2,AO123,AO123,CW123,CO123,IF(OptControl=3,1,0),0)-_xll.EURO(CP123,Strike2,AO123,AO123,CW123,CO123-1,IF(OptControl=3,1,0),0),0)</f>
        <v>0</v>
      </c>
      <c r="DG123" s="667">
        <f t="shared" ca="1" si="332"/>
        <v>39692</v>
      </c>
      <c r="DH123" s="475">
        <v>19.309999999999999</v>
      </c>
      <c r="DI123" s="665">
        <v>19.375909090909111</v>
      </c>
      <c r="DJ123" s="666">
        <f t="shared" ca="1" si="466"/>
        <v>39692</v>
      </c>
      <c r="DK123" s="475">
        <v>18.125251695180001</v>
      </c>
      <c r="DL123" s="665">
        <v>18.109009090909112</v>
      </c>
      <c r="DM123" s="667">
        <f t="shared" ca="1" si="467"/>
        <v>39692</v>
      </c>
      <c r="DN123" s="668">
        <f t="shared" si="468"/>
        <v>18.175251695180002</v>
      </c>
      <c r="DO123" s="667">
        <f t="shared" ca="1" si="333"/>
        <v>39692</v>
      </c>
      <c r="DP123" s="579">
        <f t="shared" si="334"/>
        <v>18.109009090909112</v>
      </c>
      <c r="DQ123" s="821">
        <v>0</v>
      </c>
      <c r="DR123" s="666">
        <f t="shared" ca="1" si="469"/>
        <v>39692</v>
      </c>
      <c r="DS123" s="669">
        <v>0.16279999999999903</v>
      </c>
      <c r="DT123" s="606">
        <v>0.16200909090908996</v>
      </c>
      <c r="DU123" s="666">
        <f t="shared" ca="1" si="470"/>
        <v>39692</v>
      </c>
      <c r="DV123" s="669">
        <v>0.16279999999999903</v>
      </c>
      <c r="DW123" s="606">
        <v>0.16200909090908996</v>
      </c>
      <c r="DX123" s="667">
        <f t="shared" ca="1" si="471"/>
        <v>39692</v>
      </c>
      <c r="DY123" s="606">
        <v>0.35</v>
      </c>
      <c r="DZ123" s="667">
        <f t="shared" ca="1" si="335"/>
        <v>39692</v>
      </c>
      <c r="EA123" s="606">
        <f t="shared" si="336"/>
        <v>0.16200909090908996</v>
      </c>
      <c r="EB123" s="1"/>
      <c r="EC123" s="118" t="str">
        <f t="shared" ca="1" si="472"/>
        <v/>
      </c>
      <c r="ED123" s="119" t="str">
        <f t="shared" ca="1" si="313"/>
        <v/>
      </c>
      <c r="EE123" s="112" t="str">
        <f t="shared" ca="1" si="314"/>
        <v/>
      </c>
      <c r="EF123" s="120">
        <f ca="1">IF(BD123,_xll.xASN(BR123,Strike1,AO123,ED123,0,BO123,0,BI123,BL123,IF(OptControl=4,0,1),0),0)</f>
        <v>0</v>
      </c>
      <c r="EG123" s="111">
        <f ca="1">IF(BD123,_xll.xASN(BR123,Strike2,AO123,EE123,0,BO123,0,BI123,BL123,IF(OptControl=3,1,0),0),0)</f>
        <v>0</v>
      </c>
      <c r="EL123" s="55"/>
      <c r="EM123" s="1"/>
      <c r="EN123" s="106"/>
      <c r="EO123" s="106"/>
      <c r="EP123" s="1"/>
      <c r="EQ123" s="683" t="s">
        <v>336</v>
      </c>
      <c r="ES123" s="455"/>
      <c r="ET123" s="36"/>
      <c r="EU123" s="107"/>
      <c r="EV123" s="475"/>
      <c r="EW123" s="456"/>
      <c r="EX123" s="456"/>
      <c r="EY123" s="250"/>
      <c r="EZ123" s="250"/>
      <c r="FA123" s="250"/>
      <c r="FB123" s="250"/>
      <c r="FC123" s="250"/>
      <c r="FD123" s="250"/>
      <c r="FE123" s="250"/>
      <c r="FF123" s="250"/>
      <c r="FG123" s="250"/>
      <c r="FH123" s="250"/>
      <c r="FI123" s="250"/>
      <c r="FJ123" s="673">
        <v>29</v>
      </c>
      <c r="FK123" s="460">
        <f t="shared" ca="1" si="432"/>
        <v>0</v>
      </c>
      <c r="FL123" s="460">
        <f t="shared" ca="1" si="476"/>
        <v>0.16801008691070266</v>
      </c>
      <c r="FM123" s="460">
        <f t="shared" ca="1" si="476"/>
        <v>0.17276213279513541</v>
      </c>
      <c r="FN123" s="460">
        <f t="shared" ca="1" si="476"/>
        <v>0.16982007480006128</v>
      </c>
      <c r="FO123" s="460">
        <f t="shared" ca="1" si="476"/>
        <v>0.16776219898507602</v>
      </c>
      <c r="FP123" s="460">
        <f t="shared" ca="1" si="476"/>
        <v>0.16639419568923014</v>
      </c>
      <c r="FQ123" s="460">
        <f t="shared" ca="1" si="476"/>
        <v>0.16557504487848657</v>
      </c>
      <c r="FR123" s="460">
        <f t="shared" ca="1" si="476"/>
        <v>0.16520460898929218</v>
      </c>
      <c r="FS123" s="460">
        <f t="shared" ca="1" si="476"/>
        <v>0.16521452146751878</v>
      </c>
      <c r="FT123" s="460">
        <f t="shared" ca="1" si="476"/>
        <v>0.16556159604180357</v>
      </c>
      <c r="FU123" s="460">
        <f t="shared" ca="1" si="476"/>
        <v>0.16622319034833438</v>
      </c>
      <c r="FV123" s="460">
        <f t="shared" ca="1" si="476"/>
        <v>0.16719411934134856</v>
      </c>
      <c r="FW123" s="460">
        <f t="shared" ca="1" si="476"/>
        <v>0.16848484293451332</v>
      </c>
      <c r="FX123" s="460">
        <f t="shared" ca="1" si="476"/>
        <v>0.17012076007291957</v>
      </c>
      <c r="FY123" s="460">
        <f t="shared" ca="1" si="476"/>
        <v>0.17214253826672726</v>
      </c>
      <c r="FZ123" s="460">
        <f t="shared" ca="1" si="476"/>
        <v>0.17460750388957477</v>
      </c>
      <c r="GA123" s="460">
        <f t="shared" ca="1" si="476"/>
        <v>0.17759222619036349</v>
      </c>
      <c r="GB123" s="460">
        <f t="shared" ca="1" si="476"/>
        <v>0.18119656267411216</v>
      </c>
      <c r="GC123" s="460">
        <f t="shared" ca="1" si="476"/>
        <v>0.18554961817274526</v>
      </c>
      <c r="GD123" s="460">
        <f t="shared" ca="1" si="476"/>
        <v>0.1908183404967814</v>
      </c>
      <c r="GE123" s="460">
        <f t="shared" ca="1" si="476"/>
        <v>0.19721989139205548</v>
      </c>
      <c r="GF123" s="460">
        <f t="shared" ca="1" si="476"/>
        <v>0.20503959445271241</v>
      </c>
      <c r="GG123" s="460">
        <f t="shared" ca="1" si="476"/>
        <v>0.21465735221082574</v>
      </c>
      <c r="GH123" s="460">
        <f t="shared" ca="1" si="476"/>
        <v>0.22658727333286369</v>
      </c>
      <c r="GI123" s="460">
        <f t="shared" ca="1" si="476"/>
        <v>0.24153848315309756</v>
      </c>
      <c r="GJ123" s="460">
        <f t="shared" ca="1" si="476"/>
        <v>0.26051093376665907</v>
      </c>
      <c r="GK123" s="460">
        <f t="shared" ca="1" si="476"/>
        <v>0.28495098935681612</v>
      </c>
      <c r="GL123" s="460">
        <f t="shared" ca="1" si="476"/>
        <v>0.31701299062299898</v>
      </c>
      <c r="GM123" s="460">
        <f t="shared" ca="1" si="476"/>
        <v>0.36001693222780873</v>
      </c>
      <c r="GN123" s="460" t="str">
        <f t="shared" si="476"/>
        <v/>
      </c>
      <c r="GO123" s="460" t="str">
        <f t="shared" si="476"/>
        <v/>
      </c>
      <c r="GP123" s="460" t="str">
        <f t="shared" si="476"/>
        <v/>
      </c>
      <c r="GQ123" s="460" t="str">
        <f t="shared" si="476"/>
        <v/>
      </c>
      <c r="GR123" s="460" t="str">
        <f t="shared" si="476"/>
        <v/>
      </c>
      <c r="GS123" s="460" t="str">
        <f t="shared" si="476"/>
        <v/>
      </c>
      <c r="GT123" s="460" t="str">
        <f t="shared" si="476"/>
        <v/>
      </c>
      <c r="GU123" s="460" t="str">
        <f t="shared" si="476"/>
        <v/>
      </c>
      <c r="GV123" s="460" t="str">
        <f t="shared" si="476"/>
        <v/>
      </c>
      <c r="GW123" s="460" t="str">
        <f t="shared" si="476"/>
        <v/>
      </c>
      <c r="GX123" s="460" t="str">
        <f t="shared" si="476"/>
        <v/>
      </c>
      <c r="GY123" s="460" t="str">
        <f t="shared" si="476"/>
        <v/>
      </c>
      <c r="GZ123" s="460" t="str">
        <f t="shared" si="476"/>
        <v/>
      </c>
      <c r="HA123" s="460" t="str">
        <f t="shared" si="476"/>
        <v/>
      </c>
      <c r="HB123" s="460" t="str">
        <f t="shared" si="476"/>
        <v/>
      </c>
      <c r="HC123" s="460" t="str">
        <f t="shared" si="476"/>
        <v/>
      </c>
      <c r="HD123" s="460" t="str">
        <f t="shared" si="476"/>
        <v/>
      </c>
      <c r="HE123" s="460" t="str">
        <f t="shared" si="476"/>
        <v/>
      </c>
      <c r="HF123" s="460" t="str">
        <f t="shared" si="476"/>
        <v/>
      </c>
      <c r="HG123" s="460" t="str">
        <f t="shared" si="476"/>
        <v/>
      </c>
      <c r="HH123" s="460" t="str">
        <f t="shared" si="476"/>
        <v/>
      </c>
      <c r="HI123" s="460" t="str">
        <f t="shared" si="476"/>
        <v/>
      </c>
      <c r="HJ123" s="460" t="str">
        <f t="shared" si="476"/>
        <v/>
      </c>
      <c r="HK123" s="460" t="str">
        <f t="shared" si="476"/>
        <v/>
      </c>
      <c r="HL123" s="460" t="str">
        <f t="shared" si="476"/>
        <v/>
      </c>
      <c r="HM123" s="460" t="str">
        <f t="shared" si="476"/>
        <v/>
      </c>
      <c r="HN123" s="460" t="str">
        <f t="shared" si="476"/>
        <v/>
      </c>
      <c r="HO123" s="460" t="str">
        <f t="shared" si="476"/>
        <v/>
      </c>
      <c r="HP123" s="460" t="str">
        <f t="shared" si="476"/>
        <v/>
      </c>
      <c r="HQ123" s="460" t="str">
        <f t="shared" si="476"/>
        <v/>
      </c>
      <c r="HR123" s="460" t="str">
        <f t="shared" si="476"/>
        <v/>
      </c>
      <c r="HS123" s="460" t="str">
        <f t="shared" si="476"/>
        <v/>
      </c>
      <c r="HT123" s="460" t="str">
        <f t="shared" si="476"/>
        <v/>
      </c>
      <c r="HU123" s="460" t="str">
        <f t="shared" si="476"/>
        <v/>
      </c>
      <c r="HV123" s="460" t="str">
        <f t="shared" si="476"/>
        <v/>
      </c>
      <c r="HW123" s="460" t="str">
        <f t="shared" si="476"/>
        <v/>
      </c>
      <c r="HX123" s="460" t="str">
        <f t="shared" si="475"/>
        <v/>
      </c>
      <c r="HY123" s="460" t="str">
        <f t="shared" si="475"/>
        <v/>
      </c>
      <c r="HZ123" s="460" t="str">
        <f t="shared" si="475"/>
        <v/>
      </c>
      <c r="IA123" s="460" t="str">
        <f t="shared" si="475"/>
        <v/>
      </c>
      <c r="IB123" s="460" t="str">
        <f t="shared" si="475"/>
        <v/>
      </c>
      <c r="IC123" s="460" t="str">
        <f t="shared" si="475"/>
        <v/>
      </c>
      <c r="ID123" s="674" t="str">
        <f t="shared" si="475"/>
        <v/>
      </c>
      <c r="IE123" s="250"/>
    </row>
    <row r="124" spans="8:239">
      <c r="H124" s="51">
        <f t="shared" ca="1" si="315"/>
        <v>0</v>
      </c>
      <c r="I124" s="379">
        <f t="shared" si="316"/>
        <v>39934</v>
      </c>
      <c r="J124" s="377"/>
      <c r="K124" s="104" t="s">
        <v>268</v>
      </c>
      <c r="L124" s="392">
        <f t="shared" si="317"/>
        <v>1.0499999999999998</v>
      </c>
      <c r="M124" s="171"/>
      <c r="N124" s="382">
        <v>0</v>
      </c>
      <c r="O124" s="171">
        <f t="shared" si="272"/>
        <v>0</v>
      </c>
      <c r="P124" s="377"/>
      <c r="Q124" s="104" t="s">
        <v>268</v>
      </c>
      <c r="R124" s="377">
        <f t="shared" ca="1" si="417"/>
        <v>-0.11995590259278556</v>
      </c>
      <c r="S124" s="832">
        <f t="shared" si="435"/>
        <v>0.36000000000000543</v>
      </c>
      <c r="T124" s="831">
        <f t="shared" si="418"/>
        <v>0.99999999056019029</v>
      </c>
      <c r="U124" s="545">
        <f t="shared" si="419"/>
        <v>0.99999999999999845</v>
      </c>
      <c r="V124" s="389">
        <v>0</v>
      </c>
      <c r="W124" s="434">
        <f t="shared" si="455"/>
        <v>0</v>
      </c>
      <c r="X124" s="415">
        <f t="shared" si="456"/>
        <v>1.0999999999999999</v>
      </c>
      <c r="Y124" s="322">
        <f t="shared" si="457"/>
        <v>-1.2915000000000001</v>
      </c>
      <c r="Z124" s="322">
        <f t="shared" ca="1" si="458"/>
        <v>-0.19150000000000023</v>
      </c>
      <c r="AA124" s="429">
        <f t="shared" si="277"/>
        <v>1.2915000000000001</v>
      </c>
      <c r="AB124" s="433">
        <f t="shared" ca="1" si="278"/>
        <v>1.2915000000000001</v>
      </c>
      <c r="AC124" s="229">
        <v>39923</v>
      </c>
      <c r="AD124" s="229">
        <v>39919</v>
      </c>
      <c r="AE124" s="229">
        <v>39918</v>
      </c>
      <c r="AF124" s="229">
        <v>39914</v>
      </c>
      <c r="AG124" s="249" t="s">
        <v>499</v>
      </c>
      <c r="AH124" s="247" t="s">
        <v>499</v>
      </c>
      <c r="AI124" s="146">
        <v>21</v>
      </c>
      <c r="AJ124" s="41">
        <v>14</v>
      </c>
      <c r="AK124" s="41">
        <v>7</v>
      </c>
      <c r="AL124" s="293">
        <v>21</v>
      </c>
      <c r="AM124" s="41">
        <v>10</v>
      </c>
      <c r="AN124" s="147">
        <v>11</v>
      </c>
      <c r="AO124" s="374"/>
      <c r="AP124" s="153">
        <f t="shared" ca="1" si="318"/>
        <v>1</v>
      </c>
      <c r="AQ124" s="374"/>
      <c r="AR124" s="153">
        <f t="shared" ca="1" si="420"/>
        <v>1</v>
      </c>
      <c r="AS124" s="272">
        <f t="shared" si="459"/>
        <v>0</v>
      </c>
      <c r="AT124" s="157">
        <f t="shared" si="319"/>
        <v>0</v>
      </c>
      <c r="AU124" s="157">
        <f t="shared" si="280"/>
        <v>0</v>
      </c>
      <c r="AV124" s="271">
        <f t="shared" ca="1" si="430"/>
        <v>9.9999999999999995E-7</v>
      </c>
      <c r="AW124" s="158" t="str">
        <f t="shared" ca="1" si="460"/>
        <v/>
      </c>
      <c r="AX124" s="157">
        <f t="shared" ca="1" si="421"/>
        <v>7.6251752025525033E-4</v>
      </c>
      <c r="AY124" s="157">
        <f t="shared" ca="1" si="422"/>
        <v>2.9503450221681431E-4</v>
      </c>
      <c r="AZ124" s="157">
        <f t="shared" ca="1" si="423"/>
        <v>3.5966006236011159E-5</v>
      </c>
      <c r="BA124" s="157">
        <f t="shared" ca="1" si="424"/>
        <v>4.4957507795013949E-6</v>
      </c>
      <c r="BB124" s="157">
        <f t="shared" ca="1" si="425"/>
        <v>2.8567406133924443E-7</v>
      </c>
      <c r="BC124" s="157">
        <f t="shared" ca="1" si="426"/>
        <v>4.0423550142773538E-8</v>
      </c>
      <c r="BD124" s="151">
        <f t="shared" ca="1" si="461"/>
        <v>0</v>
      </c>
      <c r="BE124" s="152">
        <f t="shared" ca="1" si="462"/>
        <v>0</v>
      </c>
      <c r="BF124" s="40">
        <f t="shared" si="463"/>
        <v>2009</v>
      </c>
      <c r="BG124" s="144">
        <f t="shared" si="464"/>
        <v>5</v>
      </c>
      <c r="BH124" s="145">
        <f t="shared" ca="1" si="465"/>
        <v>3174</v>
      </c>
      <c r="BI124" s="313">
        <f t="shared" ca="1" si="439"/>
        <v>8.7310061601642719</v>
      </c>
      <c r="BJ124" s="42">
        <f t="shared" ca="1" si="288"/>
        <v>8.7857631759069132</v>
      </c>
      <c r="BK124" s="42">
        <f t="shared" ca="1" si="289"/>
        <v>8.7885010266940462</v>
      </c>
      <c r="BL124" s="42">
        <f t="shared" ca="1" si="440"/>
        <v>8.8131416837782339</v>
      </c>
      <c r="BM124" s="150" t="e">
        <f t="shared" ca="1" si="291"/>
        <v>#DIV/0!</v>
      </c>
      <c r="BN124" s="42" t="e">
        <f t="shared" ca="1" si="292"/>
        <v>#DIV/0!</v>
      </c>
      <c r="BO124" s="293">
        <f t="shared" si="441"/>
        <v>21</v>
      </c>
      <c r="BP124" s="41">
        <f t="shared" si="442"/>
        <v>14</v>
      </c>
      <c r="BQ124" s="41">
        <f t="shared" si="443"/>
        <v>7</v>
      </c>
      <c r="BR124" s="305" t="str">
        <f t="shared" ca="1" si="295"/>
        <v/>
      </c>
      <c r="BS124" s="305" t="str">
        <f t="shared" ca="1" si="444"/>
        <v/>
      </c>
      <c r="BT124" s="307" t="str">
        <f t="shared" ca="1" si="445"/>
        <v/>
      </c>
      <c r="BU124" s="161" t="str">
        <f t="shared" ca="1" si="298"/>
        <v/>
      </c>
      <c r="BV124" s="161" t="str">
        <f t="shared" ca="1" si="299"/>
        <v/>
      </c>
      <c r="BW124" s="308" t="str">
        <f t="shared" ca="1" si="300"/>
        <v/>
      </c>
      <c r="BX124" s="309" t="str">
        <f t="shared" ca="1" si="301"/>
        <v/>
      </c>
      <c r="BY124" s="308" t="str">
        <f t="shared" ca="1" si="446"/>
        <v/>
      </c>
      <c r="BZ124" s="309" t="str">
        <f t="shared" ca="1" si="447"/>
        <v/>
      </c>
      <c r="CA124" s="154" t="str">
        <f t="shared" ca="1" si="302"/>
        <v/>
      </c>
      <c r="CB124" s="154" t="str">
        <f t="shared" ca="1" si="303"/>
        <v/>
      </c>
      <c r="CC124" s="154" t="str">
        <f t="shared" ca="1" si="304"/>
        <v/>
      </c>
      <c r="CD124" s="154" t="str">
        <f t="shared" ca="1" si="305"/>
        <v/>
      </c>
      <c r="CE124" s="310">
        <v>1</v>
      </c>
      <c r="CF124" s="162">
        <f ca="1">IF(BD124,_xll.xCrudeAPO(BU124,BV124,CA124,CB124,S125,S126,BI124,BL124,BP124,BQ124,0,Strike1,AO124,CE124,0,BL124,IF(OptControl=4,0,1),0,1),0)</f>
        <v>0</v>
      </c>
      <c r="CG124" s="163">
        <f ca="1">IF(BD124,_xll.xCrudeAPO(BU124,BV124,CA124,CB124,S125,S126,BI124,BL124,BP124,BQ124,0,Strike1,AO124,CE124,0,BL124,IF(OptControl=4,0,1),1,1)+_xll.xCrudeAPO(BU124,BV124,CA124,CB124,S125,S126,BI124,BL124,BP124,BQ124,0,Strike1,AO124,CE124,0,BL124,IF(OptControl=4,0,1),1,2)+IF(OR(VolSkewFlag=2,ABS(BS124)&lt;0.0001),0,IF(BS124&gt;0,-1,1)*CH124*Strike1/BR124^2*BY124/10%),0)</f>
        <v>0</v>
      </c>
      <c r="CH124" s="163">
        <f ca="1">IF(BD124,(_xll.xCrudeAPO(BU124,BV124,CA124,CB124,S125,S126,BI124,BL124,BP124,BQ124,0,Strike1,AO124,CE124,0,BL124,IF(OptControl=4,0,1),3,1)+_xll.xCrudeAPO(BU124,BV124,CA124,CB124,S125,S126,BI124,BL124,BP124,BQ124,0,Strike1,AO124,CE124,0,BL124,IF(OptControl=4,0,1),3,2))/100,0)</f>
        <v>0</v>
      </c>
      <c r="CI124" s="163">
        <f ca="1">IF(BD124,_xll.xCrudeAPO(BU124,BV124,CA124,CB124,S125,S126,BI124-DaysForThetaCalculation/365.25,BL124-DaysForThetaCalculation/365.25,BP124,BQ124,0,Strike1,AO124,CE124,0,BL124,IF(OptControl=4,0,1),0,1)-_xll.xCrudeAPO(BU124,BV124,CA124,CB124,S125,S126,BI124,BL124,BP124,BQ124,0,Strike1,AO124,CE124,0,BL124,IF(OptControl=4,0,1),0,1),0)</f>
        <v>0</v>
      </c>
      <c r="CJ124" s="311">
        <f ca="1">IF(BD124,_xll.xCrudeAPO(BU124,BV124,CC124,CD124,S125,S126,BI124,BL124,BP124,BQ124,0,Strike2,AO124,CE124,0,BL124,IF(OptControl=3,1,0),0,1),0)</f>
        <v>0</v>
      </c>
      <c r="CK124" s="163">
        <f ca="1">IF(BD124,_xll.xCrudeAPO(BU124,BV124,CC124,CD124,S125,S126,BI124,BL124,BP124,BQ124,0,Strike2,AO124,CE124,0,BL124,IF(OptControl=3,1,0),1,1)+_xll.xCrudeAPO(BU124,BV124,CC124,CD124,S125,S126,BI124,BL124,BP124,BQ124,0,Strike2,AO124,CE124,0,BL124,IF(OptControl=3,1,0),1,2)+IF(OR(VolSkewFlag=2,ABS(BT124)&lt;0.0001),0,IF(BT124&gt;0,-1,1)*CL124*Strike2/BR124^2*BZ124/10%),0)</f>
        <v>0</v>
      </c>
      <c r="CL124" s="163">
        <f ca="1">IF(BD124,(_xll.xCrudeAPO(BU124,BV124,CC124,CD124,S125,S126,BI124,BL124,BP124,BQ124,0,Strike2,AO124,CE124,0,BL124,IF(OptControl=3,1,0),3,1)+_xll.xCrudeAPO(BU124,BV124,CC124,CD124,S125,S126,BI124,BL124,BP124,BQ124,0,Strike2,AO124,CE124,0,BL124,IF(OptControl=3,1,0),3,2))/100,0)</f>
        <v>0</v>
      </c>
      <c r="CM124" s="164">
        <f ca="1">IF(BD124,_xll.xCrudeAPO(BU124,BV124,CC124,CD124,S125,S126,BI124-DaysForThetaCalculation/365.25,BL124-DaysForThetaCalculation/365.25,BP124,BQ124,0,Strike2,AO124,CE124,0,BL124,IF(OptControl=3,1,0),0,1)-_xll.xCrudeAPO(BU124,BV124,CC124,CD124,S125,S126,BI124,BL124,BP124,BQ124,0,Strike2,AO124,CE124,0,BL124,IF(OptControl=3,1,0),0,1),0)</f>
        <v>0</v>
      </c>
      <c r="CN124" s="53"/>
      <c r="CO124" s="796" t="str">
        <f t="shared" ca="1" si="323"/>
        <v/>
      </c>
      <c r="CP124" s="800" t="str">
        <f t="shared" ca="1" si="324"/>
        <v/>
      </c>
      <c r="CQ124" s="797" t="str">
        <f t="shared" ca="1" si="325"/>
        <v/>
      </c>
      <c r="CR124" s="797" t="str">
        <f t="shared" ca="1" si="326"/>
        <v/>
      </c>
      <c r="CS124" s="797" t="str">
        <f t="shared" ca="1" si="327"/>
        <v/>
      </c>
      <c r="CT124" s="797" t="str">
        <f t="shared" ca="1" si="328"/>
        <v/>
      </c>
      <c r="CU124" s="798" t="str">
        <f t="shared" ca="1" si="329"/>
        <v/>
      </c>
      <c r="CV124" s="799" t="str">
        <f t="shared" ca="1" si="330"/>
        <v/>
      </c>
      <c r="CW124" s="799" t="str">
        <f t="shared" ca="1" si="331"/>
        <v/>
      </c>
      <c r="CX124" s="163">
        <f ca="1">IF(BD124,_xll.EURO(CP124,Strike1,AO124,AO124,CV124,CO124,IF(OptControl=4,0,1),0),0)</f>
        <v>0</v>
      </c>
      <c r="CY124" s="163">
        <f ca="1">IF(BD124,_xll.EURO(CP124,Strike1,AO124,AO124,CV124,CO124,IF(OptControl=4,0,1),1)+IF(OR(VolSkewFlag=2,ABS(CQ124)&lt;0.0001),0,IF(CQ124&gt;0,-1,1)*CZ124*100*Strike1/CP124^2*CS124/10%),0)</f>
        <v>0</v>
      </c>
      <c r="CZ124" s="163">
        <f ca="1">IF(BD124,_xll.EURO(CP124,Strike1,AO124,AO124,CV124,CO124,IF(OptControl=4,0,1),3)/100,0)</f>
        <v>0</v>
      </c>
      <c r="DA124" s="163">
        <f ca="1">IF(BD124,_xll.EURO(CP124,Strike1,AO124,AO124,CV124,CO124,IF(OptControl=4,0,1),0)-_xll.EURO(CP124,Strike1,AO124,AO124,CV124,CO124-1,IF(OptControl=4,0,1),0),0)</f>
        <v>0</v>
      </c>
      <c r="DB124" s="163">
        <f ca="1">IF(BD124,_xll.EURO(CP124,Strike2,AO124,AO124,CW124,CO124,IF(OptControl=3,1,0),0),0)</f>
        <v>0</v>
      </c>
      <c r="DC124" s="163">
        <f ca="1">IF(BD124,_xll.EURO(CP124,Strike2,AO124,AO124,CW124,CO124,IF(OptControl=3,1,0),1)+IF(OR(VolSkewFlag=2,ABS(CR124)&lt;0.0001),0,IF(CR124&gt;0,-1,1)*DD124*100*Strike2/CP124^2*CT124/10%),0)</f>
        <v>0</v>
      </c>
      <c r="DD124" s="163">
        <f ca="1">IF(BD124,_xll.EURO(CP124,Strike2,AO124,AO124,CW124,CO124,IF(OptControl=3,1,0),3)/100,0)</f>
        <v>0</v>
      </c>
      <c r="DE124" s="164">
        <f ca="1">IF(BD124,_xll.EURO(CP124,Strike2,AO124,AO124,CW124,CO124,IF(OptControl=3,1,0),0)-_xll.EURO(CP124,Strike2,AO124,AO124,CW124,CO124-1,IF(OptControl=3,1,0),0),0)</f>
        <v>0</v>
      </c>
      <c r="DG124" s="667">
        <f t="shared" ca="1" si="332"/>
        <v>39722</v>
      </c>
      <c r="DH124" s="475">
        <v>19.36</v>
      </c>
      <c r="DI124" s="665">
        <v>19.429565217391325</v>
      </c>
      <c r="DJ124" s="666">
        <f t="shared" ca="1" si="466"/>
        <v>39722</v>
      </c>
      <c r="DK124" s="475">
        <v>18.000234822563673</v>
      </c>
      <c r="DL124" s="665">
        <v>18.236465217391324</v>
      </c>
      <c r="DM124" s="667">
        <f t="shared" ca="1" si="467"/>
        <v>39722</v>
      </c>
      <c r="DN124" s="668">
        <f t="shared" si="468"/>
        <v>18.050234822563674</v>
      </c>
      <c r="DO124" s="667">
        <f t="shared" ca="1" si="333"/>
        <v>39722</v>
      </c>
      <c r="DP124" s="579">
        <f t="shared" si="334"/>
        <v>18.236465217391324</v>
      </c>
      <c r="DQ124" s="821">
        <v>0</v>
      </c>
      <c r="DR124" s="666">
        <f t="shared" ca="1" si="469"/>
        <v>39722</v>
      </c>
      <c r="DS124" s="669">
        <v>0.16219999999999904</v>
      </c>
      <c r="DT124" s="606">
        <v>0.16136521739130338</v>
      </c>
      <c r="DU124" s="666">
        <f t="shared" ca="1" si="470"/>
        <v>39722</v>
      </c>
      <c r="DV124" s="669">
        <v>0.16219999999999904</v>
      </c>
      <c r="DW124" s="606">
        <v>0.16136521739130338</v>
      </c>
      <c r="DX124" s="667">
        <f t="shared" ca="1" si="471"/>
        <v>39722</v>
      </c>
      <c r="DY124" s="606">
        <v>0.35</v>
      </c>
      <c r="DZ124" s="667">
        <f t="shared" ca="1" si="335"/>
        <v>39722</v>
      </c>
      <c r="EA124" s="606">
        <f t="shared" si="336"/>
        <v>0.16136521739130338</v>
      </c>
      <c r="EB124" s="1"/>
      <c r="EC124" s="118" t="str">
        <f t="shared" ca="1" si="472"/>
        <v/>
      </c>
      <c r="ED124" s="119" t="str">
        <f t="shared" ca="1" si="313"/>
        <v/>
      </c>
      <c r="EE124" s="112" t="str">
        <f t="shared" ca="1" si="314"/>
        <v/>
      </c>
      <c r="EF124" s="120">
        <f ca="1">IF(BD124,_xll.xASN(BR124,Strike1,AO124,ED124,0,BO124,0,BI124,BL124,IF(OptControl=4,0,1),0),0)</f>
        <v>0</v>
      </c>
      <c r="EG124" s="111">
        <f ca="1">IF(BD124,_xll.xASN(BR124,Strike2,AO124,EE124,0,BO124,0,BI124,BL124,IF(OptControl=3,1,0),0),0)</f>
        <v>0</v>
      </c>
      <c r="EL124" s="55"/>
      <c r="EM124" s="1"/>
      <c r="EN124" s="106"/>
      <c r="EO124" s="106"/>
      <c r="EP124" s="1"/>
      <c r="EQ124" s="683" t="s">
        <v>337</v>
      </c>
      <c r="ES124" s="455"/>
      <c r="ET124" s="36"/>
      <c r="EU124" s="107"/>
      <c r="EV124" s="475"/>
      <c r="EW124" s="456"/>
      <c r="EX124" s="456"/>
      <c r="EY124" s="250"/>
      <c r="EZ124" s="250"/>
      <c r="FA124" s="250"/>
      <c r="FB124" s="250"/>
      <c r="FC124" s="250"/>
      <c r="FD124" s="250"/>
      <c r="FE124" s="250"/>
      <c r="FF124" s="250"/>
      <c r="FG124" s="250"/>
      <c r="FH124" s="250"/>
      <c r="FI124" s="250"/>
      <c r="FJ124" s="673">
        <v>30</v>
      </c>
      <c r="FK124" s="460">
        <f t="shared" ca="1" si="432"/>
        <v>0</v>
      </c>
      <c r="FL124" s="460">
        <f t="shared" ca="1" si="476"/>
        <v>0.16773513088133321</v>
      </c>
      <c r="FM124" s="460">
        <f t="shared" ca="1" si="476"/>
        <v>0.17243140498730011</v>
      </c>
      <c r="FN124" s="460">
        <f t="shared" ca="1" si="476"/>
        <v>0.16943978408753663</v>
      </c>
      <c r="FO124" s="460">
        <f t="shared" ca="1" si="476"/>
        <v>0.16732272075888394</v>
      </c>
      <c r="FP124" s="460">
        <f t="shared" ca="1" si="476"/>
        <v>0.16588426392181024</v>
      </c>
      <c r="FQ124" s="460">
        <f t="shared" ca="1" si="476"/>
        <v>0.1649814147824348</v>
      </c>
      <c r="FR124" s="460">
        <f t="shared" ca="1" si="476"/>
        <v>0.16451164663592727</v>
      </c>
      <c r="FS124" s="460">
        <f t="shared" ca="1" si="476"/>
        <v>0.16440370084181008</v>
      </c>
      <c r="FT124" s="460">
        <f t="shared" ca="1" si="476"/>
        <v>0.16461087786499565</v>
      </c>
      <c r="FU124" s="460">
        <f t="shared" ca="1" si="476"/>
        <v>0.16510624856004669</v>
      </c>
      <c r="FV124" s="460">
        <f t="shared" ca="1" si="476"/>
        <v>0.16587936942183334</v>
      </c>
      <c r="FW124" s="460">
        <f t="shared" ca="1" si="476"/>
        <v>0.16693420981846221</v>
      </c>
      <c r="FX124" s="460">
        <f t="shared" ca="1" si="476"/>
        <v>0.16828810008958522</v>
      </c>
      <c r="FY124" s="460">
        <f t="shared" ca="1" si="476"/>
        <v>0.16997159603978118</v>
      </c>
      <c r="FZ124" s="460">
        <f t="shared" ca="1" si="476"/>
        <v>0.17202923635681641</v>
      </c>
      <c r="GA124" s="460">
        <f t="shared" ca="1" si="476"/>
        <v>0.17452125388305947</v>
      </c>
      <c r="GB124" s="460">
        <f t="shared" ca="1" si="476"/>
        <v>0.17752640040843795</v>
      </c>
      <c r="GC124" s="460">
        <f t="shared" ca="1" si="476"/>
        <v>0.1811461726811612</v>
      </c>
      <c r="GD124" s="460">
        <f t="shared" ca="1" si="476"/>
        <v>0.1855109069879598</v>
      </c>
      <c r="GE124" s="460">
        <f t="shared" ca="1" si="476"/>
        <v>0.19078847646819402</v>
      </c>
      <c r="GF124" s="460">
        <f t="shared" ca="1" si="476"/>
        <v>0.19719673834089813</v>
      </c>
      <c r="GG124" s="460">
        <f t="shared" ca="1" si="476"/>
        <v>0.20502153903661022</v>
      </c>
      <c r="GH124" s="460">
        <f t="shared" ca="1" si="476"/>
        <v>0.214643174208486</v>
      </c>
      <c r="GI124" s="460">
        <f t="shared" ca="1" si="476"/>
        <v>0.22657604811604745</v>
      </c>
      <c r="GJ124" s="460">
        <f t="shared" ca="1" si="476"/>
        <v>0.24152950827954386</v>
      </c>
      <c r="GK124" s="460">
        <f t="shared" ca="1" si="476"/>
        <v>0.26050367362055965</v>
      </c>
      <c r="GL124" s="460">
        <f t="shared" ca="1" si="476"/>
        <v>0.28494503324364939</v>
      </c>
      <c r="GM124" s="460">
        <f t="shared" ca="1" si="476"/>
        <v>0.31700802080857721</v>
      </c>
      <c r="GN124" s="460">
        <f t="shared" ca="1" si="476"/>
        <v>0.36001269917085654</v>
      </c>
      <c r="GO124" s="460" t="str">
        <f t="shared" si="476"/>
        <v/>
      </c>
      <c r="GP124" s="460" t="str">
        <f t="shared" si="476"/>
        <v/>
      </c>
      <c r="GQ124" s="460" t="str">
        <f t="shared" si="476"/>
        <v/>
      </c>
      <c r="GR124" s="460" t="str">
        <f t="shared" si="476"/>
        <v/>
      </c>
      <c r="GS124" s="460" t="str">
        <f t="shared" si="476"/>
        <v/>
      </c>
      <c r="GT124" s="460" t="str">
        <f t="shared" si="476"/>
        <v/>
      </c>
      <c r="GU124" s="460" t="str">
        <f t="shared" si="476"/>
        <v/>
      </c>
      <c r="GV124" s="460" t="str">
        <f t="shared" si="476"/>
        <v/>
      </c>
      <c r="GW124" s="460" t="str">
        <f t="shared" si="476"/>
        <v/>
      </c>
      <c r="GX124" s="460" t="str">
        <f t="shared" si="476"/>
        <v/>
      </c>
      <c r="GY124" s="460" t="str">
        <f t="shared" si="476"/>
        <v/>
      </c>
      <c r="GZ124" s="460" t="str">
        <f t="shared" si="476"/>
        <v/>
      </c>
      <c r="HA124" s="460" t="str">
        <f t="shared" si="476"/>
        <v/>
      </c>
      <c r="HB124" s="460" t="str">
        <f t="shared" si="476"/>
        <v/>
      </c>
      <c r="HC124" s="460" t="str">
        <f t="shared" si="476"/>
        <v/>
      </c>
      <c r="HD124" s="460" t="str">
        <f t="shared" si="476"/>
        <v/>
      </c>
      <c r="HE124" s="460" t="str">
        <f t="shared" si="476"/>
        <v/>
      </c>
      <c r="HF124" s="460" t="str">
        <f t="shared" si="476"/>
        <v/>
      </c>
      <c r="HG124" s="460" t="str">
        <f t="shared" si="476"/>
        <v/>
      </c>
      <c r="HH124" s="460" t="str">
        <f t="shared" si="476"/>
        <v/>
      </c>
      <c r="HI124" s="460" t="str">
        <f t="shared" si="476"/>
        <v/>
      </c>
      <c r="HJ124" s="460" t="str">
        <f t="shared" si="476"/>
        <v/>
      </c>
      <c r="HK124" s="460" t="str">
        <f t="shared" si="476"/>
        <v/>
      </c>
      <c r="HL124" s="460" t="str">
        <f t="shared" si="476"/>
        <v/>
      </c>
      <c r="HM124" s="460" t="str">
        <f t="shared" si="476"/>
        <v/>
      </c>
      <c r="HN124" s="460" t="str">
        <f t="shared" si="476"/>
        <v/>
      </c>
      <c r="HO124" s="460" t="str">
        <f t="shared" si="476"/>
        <v/>
      </c>
      <c r="HP124" s="460" t="str">
        <f t="shared" si="476"/>
        <v/>
      </c>
      <c r="HQ124" s="460" t="str">
        <f t="shared" si="476"/>
        <v/>
      </c>
      <c r="HR124" s="460" t="str">
        <f t="shared" si="476"/>
        <v/>
      </c>
      <c r="HS124" s="460" t="str">
        <f t="shared" si="476"/>
        <v/>
      </c>
      <c r="HT124" s="460" t="str">
        <f t="shared" si="476"/>
        <v/>
      </c>
      <c r="HU124" s="460" t="str">
        <f t="shared" si="476"/>
        <v/>
      </c>
      <c r="HV124" s="460" t="str">
        <f t="shared" si="476"/>
        <v/>
      </c>
      <c r="HW124" s="460" t="str">
        <f t="shared" ref="HW124:ID127" si="477">IF($FJ49&lt;HW$94,"",SQRT(HW49/HW$15))</f>
        <v/>
      </c>
      <c r="HX124" s="460" t="str">
        <f t="shared" si="477"/>
        <v/>
      </c>
      <c r="HY124" s="460" t="str">
        <f t="shared" si="477"/>
        <v/>
      </c>
      <c r="HZ124" s="460" t="str">
        <f t="shared" si="477"/>
        <v/>
      </c>
      <c r="IA124" s="460" t="str">
        <f t="shared" si="477"/>
        <v/>
      </c>
      <c r="IB124" s="460" t="str">
        <f t="shared" si="477"/>
        <v/>
      </c>
      <c r="IC124" s="460" t="str">
        <f t="shared" si="477"/>
        <v/>
      </c>
      <c r="ID124" s="674" t="str">
        <f t="shared" si="477"/>
        <v/>
      </c>
      <c r="IE124" s="250"/>
    </row>
    <row r="125" spans="8:239">
      <c r="H125" s="51">
        <f t="shared" ca="1" si="315"/>
        <v>0</v>
      </c>
      <c r="I125" s="379">
        <f t="shared" si="316"/>
        <v>39965</v>
      </c>
      <c r="J125" s="377"/>
      <c r="K125" s="104" t="s">
        <v>268</v>
      </c>
      <c r="L125" s="392">
        <f t="shared" si="317"/>
        <v>1.0874999999999999</v>
      </c>
      <c r="M125" s="171"/>
      <c r="N125" s="382">
        <v>0</v>
      </c>
      <c r="O125" s="171">
        <f t="shared" si="272"/>
        <v>0</v>
      </c>
      <c r="P125" s="377"/>
      <c r="Q125" s="104" t="s">
        <v>268</v>
      </c>
      <c r="R125" s="377">
        <f t="shared" ca="1" si="417"/>
        <v>-0.3177867478393458</v>
      </c>
      <c r="S125" s="832">
        <f t="shared" si="435"/>
        <v>0.36000000000000409</v>
      </c>
      <c r="T125" s="831">
        <f t="shared" si="418"/>
        <v>0.99999999192896283</v>
      </c>
      <c r="U125" s="545">
        <f t="shared" si="419"/>
        <v>0.99999999999999889</v>
      </c>
      <c r="V125" s="389">
        <v>0</v>
      </c>
      <c r="W125" s="434">
        <f t="shared" si="455"/>
        <v>0</v>
      </c>
      <c r="X125" s="415">
        <f t="shared" si="456"/>
        <v>1.1369318181818182</v>
      </c>
      <c r="Y125" s="322">
        <f t="shared" si="457"/>
        <v>-1.2915000000000001</v>
      </c>
      <c r="Z125" s="322">
        <f t="shared" ca="1" si="458"/>
        <v>-0.15456818181818188</v>
      </c>
      <c r="AA125" s="429">
        <f t="shared" si="277"/>
        <v>1.2915000000000001</v>
      </c>
      <c r="AB125" s="433">
        <f t="shared" ca="1" si="278"/>
        <v>1.2915000000000001</v>
      </c>
      <c r="AC125" s="229">
        <v>39953</v>
      </c>
      <c r="AD125" s="229">
        <v>39949</v>
      </c>
      <c r="AE125" s="229">
        <v>39948</v>
      </c>
      <c r="AF125" s="229">
        <v>39944</v>
      </c>
      <c r="AG125" s="249" t="s">
        <v>499</v>
      </c>
      <c r="AH125" s="247" t="s">
        <v>499</v>
      </c>
      <c r="AI125" s="146">
        <v>22</v>
      </c>
      <c r="AJ125" s="41">
        <v>15</v>
      </c>
      <c r="AK125" s="41">
        <v>7</v>
      </c>
      <c r="AL125" s="293">
        <v>22</v>
      </c>
      <c r="AM125" s="41">
        <v>10</v>
      </c>
      <c r="AN125" s="147">
        <v>12</v>
      </c>
      <c r="AO125" s="374"/>
      <c r="AP125" s="153">
        <f t="shared" ca="1" si="318"/>
        <v>1</v>
      </c>
      <c r="AQ125" s="374"/>
      <c r="AR125" s="153">
        <f t="shared" ca="1" si="420"/>
        <v>1</v>
      </c>
      <c r="AS125" s="272">
        <f t="shared" si="459"/>
        <v>0</v>
      </c>
      <c r="AT125" s="157">
        <f t="shared" si="319"/>
        <v>0</v>
      </c>
      <c r="AU125" s="157">
        <f t="shared" si="280"/>
        <v>0</v>
      </c>
      <c r="AV125" s="271">
        <f t="shared" ca="1" si="430"/>
        <v>9.9999999999999995E-7</v>
      </c>
      <c r="AW125" s="158" t="str">
        <f t="shared" ca="1" si="460"/>
        <v/>
      </c>
      <c r="AX125" s="157">
        <f t="shared" ca="1" si="421"/>
        <v>7.3718341377402132E-4</v>
      </c>
      <c r="AY125" s="157">
        <f t="shared" ca="1" si="422"/>
        <v>2.8333595721143567E-4</v>
      </c>
      <c r="AZ125" s="157">
        <f t="shared" ca="1" si="423"/>
        <v>3.3947389415920536E-5</v>
      </c>
      <c r="BA125" s="157">
        <f t="shared" ca="1" si="424"/>
        <v>4.243423676990067E-6</v>
      </c>
      <c r="BB125" s="157">
        <f t="shared" ca="1" si="425"/>
        <v>2.6068179602441454E-7</v>
      </c>
      <c r="BC125" s="157">
        <f t="shared" ca="1" si="426"/>
        <v>3.6013289004878641E-8</v>
      </c>
      <c r="BD125" s="151">
        <f t="shared" ca="1" si="461"/>
        <v>0</v>
      </c>
      <c r="BE125" s="152">
        <f t="shared" ca="1" si="462"/>
        <v>0</v>
      </c>
      <c r="BF125" s="40">
        <f t="shared" si="463"/>
        <v>2009</v>
      </c>
      <c r="BG125" s="144">
        <f t="shared" si="464"/>
        <v>6</v>
      </c>
      <c r="BH125" s="145">
        <f t="shared" ca="1" si="465"/>
        <v>3204</v>
      </c>
      <c r="BI125" s="313">
        <f t="shared" ca="1" si="439"/>
        <v>8.8158795345653669</v>
      </c>
      <c r="BJ125" s="42">
        <f t="shared" ca="1" si="288"/>
        <v>8.870014311492751</v>
      </c>
      <c r="BK125" s="42">
        <f t="shared" ca="1" si="289"/>
        <v>8.8727521622798839</v>
      </c>
      <c r="BL125" s="42">
        <f t="shared" ca="1" si="440"/>
        <v>8.8952772073921977</v>
      </c>
      <c r="BM125" s="150" t="e">
        <f t="shared" ca="1" si="291"/>
        <v>#DIV/0!</v>
      </c>
      <c r="BN125" s="42" t="e">
        <f t="shared" ca="1" si="292"/>
        <v>#DIV/0!</v>
      </c>
      <c r="BO125" s="293">
        <f t="shared" si="441"/>
        <v>22</v>
      </c>
      <c r="BP125" s="41">
        <f t="shared" si="442"/>
        <v>15</v>
      </c>
      <c r="BQ125" s="41">
        <f t="shared" si="443"/>
        <v>7</v>
      </c>
      <c r="BR125" s="305" t="str">
        <f t="shared" ca="1" si="295"/>
        <v/>
      </c>
      <c r="BS125" s="305" t="str">
        <f t="shared" ca="1" si="444"/>
        <v/>
      </c>
      <c r="BT125" s="307" t="str">
        <f t="shared" ca="1" si="445"/>
        <v/>
      </c>
      <c r="BU125" s="161" t="str">
        <f t="shared" ca="1" si="298"/>
        <v/>
      </c>
      <c r="BV125" s="161" t="str">
        <f t="shared" ca="1" si="299"/>
        <v/>
      </c>
      <c r="BW125" s="308" t="str">
        <f t="shared" ca="1" si="300"/>
        <v/>
      </c>
      <c r="BX125" s="309" t="str">
        <f t="shared" ca="1" si="301"/>
        <v/>
      </c>
      <c r="BY125" s="308" t="str">
        <f t="shared" ca="1" si="446"/>
        <v/>
      </c>
      <c r="BZ125" s="309" t="str">
        <f t="shared" ca="1" si="447"/>
        <v/>
      </c>
      <c r="CA125" s="154" t="str">
        <f t="shared" ca="1" si="302"/>
        <v/>
      </c>
      <c r="CB125" s="154" t="str">
        <f t="shared" ca="1" si="303"/>
        <v/>
      </c>
      <c r="CC125" s="154" t="str">
        <f t="shared" ca="1" si="304"/>
        <v/>
      </c>
      <c r="CD125" s="154" t="str">
        <f t="shared" ca="1" si="305"/>
        <v/>
      </c>
      <c r="CE125" s="310">
        <v>1</v>
      </c>
      <c r="CF125" s="162">
        <f ca="1">IF(BD125,_xll.xCrudeAPO(BU125,BV125,CA125,CB125,S126,S127,BI125,BL125,BP125,BQ125,0,Strike1,AO125,CE125,0,BL125,IF(OptControl=4,0,1),0,1),0)</f>
        <v>0</v>
      </c>
      <c r="CG125" s="163">
        <f ca="1">IF(BD125,_xll.xCrudeAPO(BU125,BV125,CA125,CB125,S126,S127,BI125,BL125,BP125,BQ125,0,Strike1,AO125,CE125,0,BL125,IF(OptControl=4,0,1),1,1)+_xll.xCrudeAPO(BU125,BV125,CA125,CB125,S126,S127,BI125,BL125,BP125,BQ125,0,Strike1,AO125,CE125,0,BL125,IF(OptControl=4,0,1),1,2)+IF(OR(VolSkewFlag=2,ABS(BS125)&lt;0.0001),0,IF(BS125&gt;0,-1,1)*CH125*Strike1/BR125^2*BY125/10%),0)</f>
        <v>0</v>
      </c>
      <c r="CH125" s="163">
        <f ca="1">IF(BD125,(_xll.xCrudeAPO(BU125,BV125,CA125,CB125,S126,S127,BI125,BL125,BP125,BQ125,0,Strike1,AO125,CE125,0,BL125,IF(OptControl=4,0,1),3,1)+_xll.xCrudeAPO(BU125,BV125,CA125,CB125,S126,S127,BI125,BL125,BP125,BQ125,0,Strike1,AO125,CE125,0,BL125,IF(OptControl=4,0,1),3,2))/100,0)</f>
        <v>0</v>
      </c>
      <c r="CI125" s="163">
        <f ca="1">IF(BD125,_xll.xCrudeAPO(BU125,BV125,CA125,CB125,S126,S127,BI125-DaysForThetaCalculation/365.25,BL125-DaysForThetaCalculation/365.25,BP125,BQ125,0,Strike1,AO125,CE125,0,BL125,IF(OptControl=4,0,1),0,1)-_xll.xCrudeAPO(BU125,BV125,CA125,CB125,S126,S127,BI125,BL125,BP125,BQ125,0,Strike1,AO125,CE125,0,BL125,IF(OptControl=4,0,1),0,1),0)</f>
        <v>0</v>
      </c>
      <c r="CJ125" s="311">
        <f ca="1">IF(BD125,_xll.xCrudeAPO(BU125,BV125,CC125,CD125,S126,S127,BI125,BL125,BP125,BQ125,0,Strike2,AO125,CE125,0,BL125,IF(OptControl=3,1,0),0,1),0)</f>
        <v>0</v>
      </c>
      <c r="CK125" s="163">
        <f ca="1">IF(BD125,_xll.xCrudeAPO(BU125,BV125,CC125,CD125,S126,S127,BI125,BL125,BP125,BQ125,0,Strike2,AO125,CE125,0,BL125,IF(OptControl=3,1,0),1,1)+_xll.xCrudeAPO(BU125,BV125,CC125,CD125,S126,S127,BI125,BL125,BP125,BQ125,0,Strike2,AO125,CE125,0,BL125,IF(OptControl=3,1,0),1,2)+IF(OR(VolSkewFlag=2,ABS(BT125)&lt;0.0001),0,IF(BT125&gt;0,-1,1)*CL125*Strike2/BR125^2*BZ125/10%),0)</f>
        <v>0</v>
      </c>
      <c r="CL125" s="163">
        <f ca="1">IF(BD125,(_xll.xCrudeAPO(BU125,BV125,CC125,CD125,S126,S127,BI125,BL125,BP125,BQ125,0,Strike2,AO125,CE125,0,BL125,IF(OptControl=3,1,0),3,1)+_xll.xCrudeAPO(BU125,BV125,CC125,CD125,S126,S127,BI125,BL125,BP125,BQ125,0,Strike2,AO125,CE125,0,BL125,IF(OptControl=3,1,0),3,2))/100,0)</f>
        <v>0</v>
      </c>
      <c r="CM125" s="164">
        <f ca="1">IF(BD125,_xll.xCrudeAPO(BU125,BV125,CC125,CD125,S126,S127,BI125-DaysForThetaCalculation/365.25,BL125-DaysForThetaCalculation/365.25,BP125,BQ125,0,Strike2,AO125,CE125,0,BL125,IF(OptControl=3,1,0),0,1)-_xll.xCrudeAPO(BU125,BV125,CC125,CD125,S126,S127,BI125,BL125,BP125,BQ125,0,Strike2,AO125,CE125,0,BL125,IF(OptControl=3,1,0),0,1),0)</f>
        <v>0</v>
      </c>
      <c r="CN125" s="53"/>
      <c r="CO125" s="796" t="str">
        <f t="shared" ca="1" si="323"/>
        <v/>
      </c>
      <c r="CP125" s="800" t="str">
        <f t="shared" ca="1" si="324"/>
        <v/>
      </c>
      <c r="CQ125" s="797" t="str">
        <f t="shared" ca="1" si="325"/>
        <v/>
      </c>
      <c r="CR125" s="797" t="str">
        <f t="shared" ca="1" si="326"/>
        <v/>
      </c>
      <c r="CS125" s="797" t="str">
        <f t="shared" ca="1" si="327"/>
        <v/>
      </c>
      <c r="CT125" s="797" t="str">
        <f t="shared" ca="1" si="328"/>
        <v/>
      </c>
      <c r="CU125" s="798" t="str">
        <f t="shared" ca="1" si="329"/>
        <v/>
      </c>
      <c r="CV125" s="799" t="str">
        <f t="shared" ca="1" si="330"/>
        <v/>
      </c>
      <c r="CW125" s="799" t="str">
        <f t="shared" ca="1" si="331"/>
        <v/>
      </c>
      <c r="CX125" s="163">
        <f ca="1">IF(BD125,_xll.EURO(CP125,Strike1,AO125,AO125,CV125,CO125,IF(OptControl=4,0,1),0),0)</f>
        <v>0</v>
      </c>
      <c r="CY125" s="163">
        <f ca="1">IF(BD125,_xll.EURO(CP125,Strike1,AO125,AO125,CV125,CO125,IF(OptControl=4,0,1),1)+IF(OR(VolSkewFlag=2,ABS(CQ125)&lt;0.0001),0,IF(CQ125&gt;0,-1,1)*CZ125*100*Strike1/CP125^2*CS125/10%),0)</f>
        <v>0</v>
      </c>
      <c r="CZ125" s="163">
        <f ca="1">IF(BD125,_xll.EURO(CP125,Strike1,AO125,AO125,CV125,CO125,IF(OptControl=4,0,1),3)/100,0)</f>
        <v>0</v>
      </c>
      <c r="DA125" s="163">
        <f ca="1">IF(BD125,_xll.EURO(CP125,Strike1,AO125,AO125,CV125,CO125,IF(OptControl=4,0,1),0)-_xll.EURO(CP125,Strike1,AO125,AO125,CV125,CO125-1,IF(OptControl=4,0,1),0),0)</f>
        <v>0</v>
      </c>
      <c r="DB125" s="163">
        <f ca="1">IF(BD125,_xll.EURO(CP125,Strike2,AO125,AO125,CW125,CO125,IF(OptControl=3,1,0),0),0)</f>
        <v>0</v>
      </c>
      <c r="DC125" s="163">
        <f ca="1">IF(BD125,_xll.EURO(CP125,Strike2,AO125,AO125,CW125,CO125,IF(OptControl=3,1,0),1)+IF(OR(VolSkewFlag=2,ABS(CR125)&lt;0.0001),0,IF(CR125&gt;0,-1,1)*DD125*100*Strike2/CP125^2*CT125/10%),0)</f>
        <v>0</v>
      </c>
      <c r="DD125" s="163">
        <f ca="1">IF(BD125,_xll.EURO(CP125,Strike2,AO125,AO125,CW125,CO125,IF(OptControl=3,1,0),3)/100,0)</f>
        <v>0</v>
      </c>
      <c r="DE125" s="164">
        <f ca="1">IF(BD125,_xll.EURO(CP125,Strike2,AO125,AO125,CW125,CO125,IF(OptControl=3,1,0),0)-_xll.EURO(CP125,Strike2,AO125,AO125,CW125,CO125-1,IF(OptControl=3,1,0),0),0)</f>
        <v>0</v>
      </c>
      <c r="DG125" s="667">
        <f t="shared" ca="1" si="332"/>
        <v>39753</v>
      </c>
      <c r="DH125" s="475">
        <v>19.41</v>
      </c>
      <c r="DI125" s="665">
        <v>19.475000000000001</v>
      </c>
      <c r="DJ125" s="666">
        <f t="shared" ca="1" si="466"/>
        <v>39753</v>
      </c>
      <c r="DK125" s="475">
        <v>18.19965431453031</v>
      </c>
      <c r="DL125" s="665">
        <v>18.281900000000022</v>
      </c>
      <c r="DM125" s="667">
        <f t="shared" ca="1" si="467"/>
        <v>39753</v>
      </c>
      <c r="DN125" s="668">
        <f t="shared" si="468"/>
        <v>18.249654314530311</v>
      </c>
      <c r="DO125" s="667">
        <f t="shared" ca="1" si="333"/>
        <v>39753</v>
      </c>
      <c r="DP125" s="579">
        <f t="shared" si="334"/>
        <v>18.281900000000022</v>
      </c>
      <c r="DQ125" s="821">
        <v>0</v>
      </c>
      <c r="DR125" s="666">
        <f t="shared" ca="1" si="469"/>
        <v>39753</v>
      </c>
      <c r="DS125" s="669">
        <v>0.16159999999999905</v>
      </c>
      <c r="DT125" s="606">
        <v>0.16081999999999902</v>
      </c>
      <c r="DU125" s="666">
        <f t="shared" ca="1" si="470"/>
        <v>39753</v>
      </c>
      <c r="DV125" s="669">
        <v>0.16159999999999905</v>
      </c>
      <c r="DW125" s="606">
        <v>0.16081999999999902</v>
      </c>
      <c r="DX125" s="667">
        <f t="shared" ca="1" si="471"/>
        <v>39753</v>
      </c>
      <c r="DY125" s="606">
        <v>0.35</v>
      </c>
      <c r="DZ125" s="667">
        <f t="shared" ca="1" si="335"/>
        <v>39753</v>
      </c>
      <c r="EA125" s="606">
        <f t="shared" si="336"/>
        <v>0.16081999999999902</v>
      </c>
      <c r="EB125" s="1"/>
      <c r="EC125" s="118" t="str">
        <f t="shared" ca="1" si="472"/>
        <v/>
      </c>
      <c r="ED125" s="119" t="str">
        <f t="shared" ca="1" si="313"/>
        <v/>
      </c>
      <c r="EE125" s="112" t="str">
        <f t="shared" ca="1" si="314"/>
        <v/>
      </c>
      <c r="EF125" s="120">
        <f ca="1">IF(BD125,_xll.xASN(BR125,Strike1,AO125,ED125,0,BO125,0,BI125,BL125,IF(OptControl=4,0,1),0),0)</f>
        <v>0</v>
      </c>
      <c r="EG125" s="111">
        <f ca="1">IF(BD125,_xll.xASN(BR125,Strike2,AO125,EE125,0,BO125,0,BI125,BL125,IF(OptControl=3,1,0),0),0)</f>
        <v>0</v>
      </c>
      <c r="EL125" s="55"/>
      <c r="EM125" s="1"/>
      <c r="EN125" s="106"/>
      <c r="EO125" s="106"/>
      <c r="EP125" s="1"/>
      <c r="EQ125" s="683" t="s">
        <v>338</v>
      </c>
      <c r="ES125" s="455"/>
      <c r="ET125" s="36"/>
      <c r="EU125" s="107"/>
      <c r="EV125" s="475"/>
      <c r="EW125" s="456"/>
      <c r="EX125" s="456"/>
      <c r="EY125" s="250"/>
      <c r="EZ125" s="250"/>
      <c r="FA125" s="250"/>
      <c r="FB125" s="250"/>
      <c r="FC125" s="250"/>
      <c r="FD125" s="250"/>
      <c r="FE125" s="250"/>
      <c r="FF125" s="250"/>
      <c r="FG125" s="250"/>
      <c r="FH125" s="250"/>
      <c r="FI125" s="250"/>
      <c r="FJ125" s="673">
        <v>31</v>
      </c>
      <c r="FK125" s="460">
        <f t="shared" ca="1" si="432"/>
        <v>0</v>
      </c>
      <c r="FL125" s="460">
        <f t="shared" ref="FL125:HW128" ca="1" si="478">IF($FJ50&lt;FL$94,"",SQRT(FL50/FL$15))</f>
        <v>0.16750045609365766</v>
      </c>
      <c r="FM125" s="460">
        <f t="shared" ca="1" si="478"/>
        <v>0.17214921327294724</v>
      </c>
      <c r="FN125" s="460">
        <f t="shared" ca="1" si="478"/>
        <v>0.16911541642985203</v>
      </c>
      <c r="FO125" s="460">
        <f t="shared" ca="1" si="478"/>
        <v>0.16694802255683761</v>
      </c>
      <c r="FP125" s="460">
        <f t="shared" ca="1" si="478"/>
        <v>0.1654497052280009</v>
      </c>
      <c r="FQ125" s="460">
        <f t="shared" ca="1" si="478"/>
        <v>0.16447581262436092</v>
      </c>
      <c r="FR125" s="460">
        <f t="shared" ca="1" si="478"/>
        <v>0.16392182910233824</v>
      </c>
      <c r="FS125" s="460">
        <f t="shared" ca="1" si="478"/>
        <v>0.16371409795400793</v>
      </c>
      <c r="FT125" s="460">
        <f t="shared" ca="1" si="478"/>
        <v>0.1638030197311984</v>
      </c>
      <c r="FU125" s="460">
        <f t="shared" ca="1" si="478"/>
        <v>0.16415814516310329</v>
      </c>
      <c r="FV125" s="460">
        <f t="shared" ca="1" si="478"/>
        <v>0.16476473794872906</v>
      </c>
      <c r="FW125" s="460">
        <f t="shared" ca="1" si="478"/>
        <v>0.16562150372695747</v>
      </c>
      <c r="FX125" s="460">
        <f t="shared" ca="1" si="478"/>
        <v>0.16673927767629754</v>
      </c>
      <c r="FY125" s="460">
        <f t="shared" ca="1" si="478"/>
        <v>0.16814054295588915</v>
      </c>
      <c r="FZ125" s="460">
        <f t="shared" ca="1" si="478"/>
        <v>0.16985972301492741</v>
      </c>
      <c r="GA125" s="460">
        <f t="shared" ca="1" si="478"/>
        <v>0.17194425992438325</v>
      </c>
      <c r="GB125" s="460">
        <f t="shared" ca="1" si="478"/>
        <v>0.17445656637817306</v>
      </c>
      <c r="GC125" s="460">
        <f t="shared" ca="1" si="478"/>
        <v>0.17747703107199372</v>
      </c>
      <c r="GD125" s="460">
        <f t="shared" ca="1" si="478"/>
        <v>0.18110838018644793</v>
      </c>
      <c r="GE125" s="460">
        <f t="shared" ca="1" si="478"/>
        <v>0.18548187359937077</v>
      </c>
      <c r="GF125" s="460">
        <f t="shared" ca="1" si="478"/>
        <v>0.1907660784467535</v>
      </c>
      <c r="GG125" s="460">
        <f t="shared" ca="1" si="478"/>
        <v>0.1971793735525301</v>
      </c>
      <c r="GH125" s="460">
        <f t="shared" ca="1" si="478"/>
        <v>0.2050079974745336</v>
      </c>
      <c r="GI125" s="460">
        <f t="shared" ca="1" si="478"/>
        <v>0.2146325407067311</v>
      </c>
      <c r="GJ125" s="460">
        <f t="shared" ca="1" si="478"/>
        <v>0.22656762920343532</v>
      </c>
      <c r="GK125" s="460">
        <f t="shared" ca="1" si="478"/>
        <v>0.24152277712437861</v>
      </c>
      <c r="GL125" s="460">
        <f t="shared" ca="1" si="478"/>
        <v>0.26049822851098509</v>
      </c>
      <c r="GM125" s="460">
        <f t="shared" ca="1" si="478"/>
        <v>0.28494056615877433</v>
      </c>
      <c r="GN125" s="460">
        <f t="shared" ca="1" si="478"/>
        <v>0.31700429344776099</v>
      </c>
      <c r="GO125" s="460">
        <f t="shared" ca="1" si="478"/>
        <v>0.36000952437814238</v>
      </c>
      <c r="GP125" s="460" t="str">
        <f t="shared" si="478"/>
        <v/>
      </c>
      <c r="GQ125" s="460" t="str">
        <f t="shared" si="478"/>
        <v/>
      </c>
      <c r="GR125" s="460" t="str">
        <f t="shared" si="478"/>
        <v/>
      </c>
      <c r="GS125" s="460" t="str">
        <f t="shared" si="478"/>
        <v/>
      </c>
      <c r="GT125" s="460" t="str">
        <f t="shared" si="478"/>
        <v/>
      </c>
      <c r="GU125" s="460" t="str">
        <f t="shared" si="478"/>
        <v/>
      </c>
      <c r="GV125" s="460" t="str">
        <f t="shared" si="478"/>
        <v/>
      </c>
      <c r="GW125" s="460" t="str">
        <f t="shared" si="478"/>
        <v/>
      </c>
      <c r="GX125" s="460" t="str">
        <f t="shared" si="478"/>
        <v/>
      </c>
      <c r="GY125" s="460" t="str">
        <f t="shared" si="478"/>
        <v/>
      </c>
      <c r="GZ125" s="460" t="str">
        <f t="shared" si="478"/>
        <v/>
      </c>
      <c r="HA125" s="460" t="str">
        <f t="shared" si="478"/>
        <v/>
      </c>
      <c r="HB125" s="460" t="str">
        <f t="shared" si="478"/>
        <v/>
      </c>
      <c r="HC125" s="460" t="str">
        <f t="shared" si="478"/>
        <v/>
      </c>
      <c r="HD125" s="460" t="str">
        <f t="shared" si="478"/>
        <v/>
      </c>
      <c r="HE125" s="460" t="str">
        <f t="shared" si="478"/>
        <v/>
      </c>
      <c r="HF125" s="460" t="str">
        <f t="shared" si="478"/>
        <v/>
      </c>
      <c r="HG125" s="460" t="str">
        <f t="shared" si="478"/>
        <v/>
      </c>
      <c r="HH125" s="460" t="str">
        <f t="shared" si="478"/>
        <v/>
      </c>
      <c r="HI125" s="460" t="str">
        <f t="shared" si="478"/>
        <v/>
      </c>
      <c r="HJ125" s="460" t="str">
        <f t="shared" si="478"/>
        <v/>
      </c>
      <c r="HK125" s="460" t="str">
        <f t="shared" si="478"/>
        <v/>
      </c>
      <c r="HL125" s="460" t="str">
        <f t="shared" si="478"/>
        <v/>
      </c>
      <c r="HM125" s="460" t="str">
        <f t="shared" si="478"/>
        <v/>
      </c>
      <c r="HN125" s="460" t="str">
        <f t="shared" si="478"/>
        <v/>
      </c>
      <c r="HO125" s="460" t="str">
        <f t="shared" si="478"/>
        <v/>
      </c>
      <c r="HP125" s="460" t="str">
        <f t="shared" si="478"/>
        <v/>
      </c>
      <c r="HQ125" s="460" t="str">
        <f t="shared" si="478"/>
        <v/>
      </c>
      <c r="HR125" s="460" t="str">
        <f t="shared" si="478"/>
        <v/>
      </c>
      <c r="HS125" s="460" t="str">
        <f t="shared" si="478"/>
        <v/>
      </c>
      <c r="HT125" s="460" t="str">
        <f t="shared" si="478"/>
        <v/>
      </c>
      <c r="HU125" s="460" t="str">
        <f t="shared" si="478"/>
        <v/>
      </c>
      <c r="HV125" s="460" t="str">
        <f t="shared" si="478"/>
        <v/>
      </c>
      <c r="HW125" s="460" t="str">
        <f t="shared" si="478"/>
        <v/>
      </c>
      <c r="HX125" s="460" t="str">
        <f t="shared" si="477"/>
        <v/>
      </c>
      <c r="HY125" s="460" t="str">
        <f t="shared" si="477"/>
        <v/>
      </c>
      <c r="HZ125" s="460" t="str">
        <f t="shared" si="477"/>
        <v/>
      </c>
      <c r="IA125" s="460" t="str">
        <f t="shared" si="477"/>
        <v/>
      </c>
      <c r="IB125" s="460" t="str">
        <f t="shared" si="477"/>
        <v/>
      </c>
      <c r="IC125" s="460" t="str">
        <f t="shared" si="477"/>
        <v/>
      </c>
      <c r="ID125" s="674" t="str">
        <f t="shared" si="477"/>
        <v/>
      </c>
      <c r="IE125" s="250"/>
    </row>
    <row r="126" spans="8:239">
      <c r="H126" s="51">
        <f t="shared" ca="1" si="315"/>
        <v>0</v>
      </c>
      <c r="I126" s="379">
        <f t="shared" si="316"/>
        <v>39995</v>
      </c>
      <c r="J126" s="377"/>
      <c r="K126" s="104" t="s">
        <v>268</v>
      </c>
      <c r="L126" s="392">
        <f t="shared" si="317"/>
        <v>1.125</v>
      </c>
      <c r="M126" s="171"/>
      <c r="N126" s="382">
        <v>0</v>
      </c>
      <c r="O126" s="171">
        <f t="shared" si="272"/>
        <v>0</v>
      </c>
      <c r="P126" s="377"/>
      <c r="Q126" s="104" t="s">
        <v>268</v>
      </c>
      <c r="R126" s="377">
        <f t="shared" ca="1" si="417"/>
        <v>-7.6693865600595157E-2</v>
      </c>
      <c r="S126" s="832">
        <f t="shared" si="435"/>
        <v>0.3600000000000031</v>
      </c>
      <c r="T126" s="831">
        <f t="shared" si="418"/>
        <v>0.99999999309926324</v>
      </c>
      <c r="U126" s="545">
        <f t="shared" si="419"/>
        <v>0.99999999999999911</v>
      </c>
      <c r="V126" s="389">
        <v>0</v>
      </c>
      <c r="W126" s="434">
        <f t="shared" si="455"/>
        <v>0</v>
      </c>
      <c r="X126" s="415">
        <f t="shared" si="456"/>
        <v>1.1771739130434784</v>
      </c>
      <c r="Y126" s="322">
        <f t="shared" si="457"/>
        <v>-1.2668999999999999</v>
      </c>
      <c r="Z126" s="322">
        <f t="shared" ca="1" si="458"/>
        <v>-8.9726086956521511E-2</v>
      </c>
      <c r="AA126" s="429">
        <f t="shared" si="277"/>
        <v>1.2668999999999999</v>
      </c>
      <c r="AB126" s="433">
        <f t="shared" ca="1" si="278"/>
        <v>1.2668999999999999</v>
      </c>
      <c r="AC126" s="229">
        <v>39984</v>
      </c>
      <c r="AD126" s="229">
        <v>39980</v>
      </c>
      <c r="AE126" s="229">
        <v>39979</v>
      </c>
      <c r="AF126" s="229">
        <v>39975</v>
      </c>
      <c r="AG126" s="249" t="s">
        <v>499</v>
      </c>
      <c r="AH126" s="247" t="s">
        <v>499</v>
      </c>
      <c r="AI126" s="146">
        <v>23</v>
      </c>
      <c r="AJ126" s="41">
        <v>14</v>
      </c>
      <c r="AK126" s="41">
        <v>9</v>
      </c>
      <c r="AL126" s="293">
        <v>23</v>
      </c>
      <c r="AM126" s="41">
        <v>10</v>
      </c>
      <c r="AN126" s="147">
        <v>13</v>
      </c>
      <c r="AO126" s="374"/>
      <c r="AP126" s="153">
        <f t="shared" ca="1" si="318"/>
        <v>1</v>
      </c>
      <c r="AQ126" s="374"/>
      <c r="AR126" s="153">
        <f t="shared" ca="1" si="420"/>
        <v>1</v>
      </c>
      <c r="AS126" s="272">
        <f t="shared" si="459"/>
        <v>0</v>
      </c>
      <c r="AT126" s="157">
        <f t="shared" si="319"/>
        <v>0</v>
      </c>
      <c r="AU126" s="157">
        <f t="shared" si="280"/>
        <v>0</v>
      </c>
      <c r="AV126" s="271">
        <f t="shared" ca="1" si="430"/>
        <v>9.9999999999999995E-7</v>
      </c>
      <c r="AW126" s="158" t="str">
        <f t="shared" ca="1" si="460"/>
        <v/>
      </c>
      <c r="AX126" s="157">
        <f t="shared" ca="1" si="421"/>
        <v>7.1269101510166655E-4</v>
      </c>
      <c r="AY126" s="157">
        <f t="shared" ca="1" si="422"/>
        <v>2.7210127644639021E-4</v>
      </c>
      <c r="AZ126" s="157">
        <f t="shared" ca="1" si="423"/>
        <v>3.2042068852289791E-5</v>
      </c>
      <c r="BA126" s="157">
        <f t="shared" ca="1" si="424"/>
        <v>4.0052586065362239E-6</v>
      </c>
      <c r="BB126" s="157">
        <f t="shared" ca="1" si="425"/>
        <v>2.3787598516974339E-7</v>
      </c>
      <c r="BC126" s="157">
        <f t="shared" ca="1" si="426"/>
        <v>3.2084193010463924E-8</v>
      </c>
      <c r="BD126" s="151">
        <f t="shared" ca="1" si="461"/>
        <v>0</v>
      </c>
      <c r="BE126" s="152">
        <f t="shared" ca="1" si="462"/>
        <v>0</v>
      </c>
      <c r="BF126" s="40">
        <f t="shared" si="463"/>
        <v>2009</v>
      </c>
      <c r="BG126" s="144">
        <f t="shared" si="464"/>
        <v>7</v>
      </c>
      <c r="BH126" s="145">
        <f t="shared" ca="1" si="465"/>
        <v>3235</v>
      </c>
      <c r="BI126" s="313">
        <f t="shared" ca="1" si="439"/>
        <v>8.8980150581793289</v>
      </c>
      <c r="BJ126" s="42">
        <f t="shared" ca="1" si="288"/>
        <v>8.9480105942921764</v>
      </c>
      <c r="BK126" s="42">
        <f t="shared" ca="1" si="289"/>
        <v>8.9507484450793093</v>
      </c>
      <c r="BL126" s="42">
        <f t="shared" ca="1" si="440"/>
        <v>8.9801505817932927</v>
      </c>
      <c r="BM126" s="150" t="e">
        <f t="shared" ca="1" si="291"/>
        <v>#DIV/0!</v>
      </c>
      <c r="BN126" s="42" t="e">
        <f t="shared" ca="1" si="292"/>
        <v>#DIV/0!</v>
      </c>
      <c r="BO126" s="293">
        <f t="shared" si="441"/>
        <v>23</v>
      </c>
      <c r="BP126" s="41">
        <f t="shared" si="442"/>
        <v>14</v>
      </c>
      <c r="BQ126" s="41">
        <f t="shared" si="443"/>
        <v>9</v>
      </c>
      <c r="BR126" s="305" t="str">
        <f t="shared" ca="1" si="295"/>
        <v/>
      </c>
      <c r="BS126" s="305" t="str">
        <f t="shared" ca="1" si="444"/>
        <v/>
      </c>
      <c r="BT126" s="307" t="str">
        <f t="shared" ca="1" si="445"/>
        <v/>
      </c>
      <c r="BU126" s="161" t="str">
        <f t="shared" ca="1" si="298"/>
        <v/>
      </c>
      <c r="BV126" s="161" t="str">
        <f t="shared" ca="1" si="299"/>
        <v/>
      </c>
      <c r="BW126" s="308" t="str">
        <f t="shared" ca="1" si="300"/>
        <v/>
      </c>
      <c r="BX126" s="309" t="str">
        <f t="shared" ca="1" si="301"/>
        <v/>
      </c>
      <c r="BY126" s="308" t="str">
        <f t="shared" ca="1" si="446"/>
        <v/>
      </c>
      <c r="BZ126" s="309" t="str">
        <f t="shared" ca="1" si="447"/>
        <v/>
      </c>
      <c r="CA126" s="154" t="str">
        <f t="shared" ca="1" si="302"/>
        <v/>
      </c>
      <c r="CB126" s="154" t="str">
        <f t="shared" ca="1" si="303"/>
        <v/>
      </c>
      <c r="CC126" s="154" t="str">
        <f t="shared" ca="1" si="304"/>
        <v/>
      </c>
      <c r="CD126" s="154" t="str">
        <f t="shared" ca="1" si="305"/>
        <v/>
      </c>
      <c r="CE126" s="310">
        <v>1</v>
      </c>
      <c r="CF126" s="162">
        <f ca="1">IF(BD126,_xll.xCrudeAPO(BU126,BV126,CA126,CB126,S127,S128,BI126,BL126,BP126,BQ126,0,Strike1,AO126,CE126,0,BL126,IF(OptControl=4,0,1),0,1),0)</f>
        <v>0</v>
      </c>
      <c r="CG126" s="163">
        <f ca="1">IF(BD126,_xll.xCrudeAPO(BU126,BV126,CA126,CB126,S127,S128,BI126,BL126,BP126,BQ126,0,Strike1,AO126,CE126,0,BL126,IF(OptControl=4,0,1),1,1)+_xll.xCrudeAPO(BU126,BV126,CA126,CB126,S127,S128,BI126,BL126,BP126,BQ126,0,Strike1,AO126,CE126,0,BL126,IF(OptControl=4,0,1),1,2)+IF(OR(VolSkewFlag=2,ABS(BS126)&lt;0.0001),0,IF(BS126&gt;0,-1,1)*CH126*Strike1/BR126^2*BY126/10%),0)</f>
        <v>0</v>
      </c>
      <c r="CH126" s="163">
        <f ca="1">IF(BD126,(_xll.xCrudeAPO(BU126,BV126,CA126,CB126,S127,S128,BI126,BL126,BP126,BQ126,0,Strike1,AO126,CE126,0,BL126,IF(OptControl=4,0,1),3,1)+_xll.xCrudeAPO(BU126,BV126,CA126,CB126,S127,S128,BI126,BL126,BP126,BQ126,0,Strike1,AO126,CE126,0,BL126,IF(OptControl=4,0,1),3,2))/100,0)</f>
        <v>0</v>
      </c>
      <c r="CI126" s="163">
        <f ca="1">IF(BD126,_xll.xCrudeAPO(BU126,BV126,CA126,CB126,S127,S128,BI126-DaysForThetaCalculation/365.25,BL126-DaysForThetaCalculation/365.25,BP126,BQ126,0,Strike1,AO126,CE126,0,BL126,IF(OptControl=4,0,1),0,1)-_xll.xCrudeAPO(BU126,BV126,CA126,CB126,S127,S128,BI126,BL126,BP126,BQ126,0,Strike1,AO126,CE126,0,BL126,IF(OptControl=4,0,1),0,1),0)</f>
        <v>0</v>
      </c>
      <c r="CJ126" s="311">
        <f ca="1">IF(BD126,_xll.xCrudeAPO(BU126,BV126,CC126,CD126,S127,S128,BI126,BL126,BP126,BQ126,0,Strike2,AO126,CE126,0,BL126,IF(OptControl=3,1,0),0,1),0)</f>
        <v>0</v>
      </c>
      <c r="CK126" s="163">
        <f ca="1">IF(BD126,_xll.xCrudeAPO(BU126,BV126,CC126,CD126,S127,S128,BI126,BL126,BP126,BQ126,0,Strike2,AO126,CE126,0,BL126,IF(OptControl=3,1,0),1,1)+_xll.xCrudeAPO(BU126,BV126,CC126,CD126,S127,S128,BI126,BL126,BP126,BQ126,0,Strike2,AO126,CE126,0,BL126,IF(OptControl=3,1,0),1,2)+IF(OR(VolSkewFlag=2,ABS(BT126)&lt;0.0001),0,IF(BT126&gt;0,-1,1)*CL126*Strike2/BR126^2*BZ126/10%),0)</f>
        <v>0</v>
      </c>
      <c r="CL126" s="163">
        <f ca="1">IF(BD126,(_xll.xCrudeAPO(BU126,BV126,CC126,CD126,S127,S128,BI126,BL126,BP126,BQ126,0,Strike2,AO126,CE126,0,BL126,IF(OptControl=3,1,0),3,1)+_xll.xCrudeAPO(BU126,BV126,CC126,CD126,S127,S128,BI126,BL126,BP126,BQ126,0,Strike2,AO126,CE126,0,BL126,IF(OptControl=3,1,0),3,2))/100,0)</f>
        <v>0</v>
      </c>
      <c r="CM126" s="164">
        <f ca="1">IF(BD126,_xll.xCrudeAPO(BU126,BV126,CC126,CD126,S127,S128,BI126-DaysForThetaCalculation/365.25,BL126-DaysForThetaCalculation/365.25,BP126,BQ126,0,Strike2,AO126,CE126,0,BL126,IF(OptControl=3,1,0),0,1)-_xll.xCrudeAPO(BU126,BV126,CC126,CD126,S127,S128,BI126,BL126,BP126,BQ126,0,Strike2,AO126,CE126,0,BL126,IF(OptControl=3,1,0),0,1),0)</f>
        <v>0</v>
      </c>
      <c r="CN126" s="53"/>
      <c r="CO126" s="796" t="str">
        <f t="shared" ca="1" si="323"/>
        <v/>
      </c>
      <c r="CP126" s="800" t="str">
        <f t="shared" ca="1" si="324"/>
        <v/>
      </c>
      <c r="CQ126" s="797" t="str">
        <f t="shared" ca="1" si="325"/>
        <v/>
      </c>
      <c r="CR126" s="797" t="str">
        <f t="shared" ca="1" si="326"/>
        <v/>
      </c>
      <c r="CS126" s="797" t="str">
        <f t="shared" ca="1" si="327"/>
        <v/>
      </c>
      <c r="CT126" s="797" t="str">
        <f t="shared" ca="1" si="328"/>
        <v/>
      </c>
      <c r="CU126" s="798" t="str">
        <f t="shared" ca="1" si="329"/>
        <v/>
      </c>
      <c r="CV126" s="799" t="str">
        <f t="shared" ca="1" si="330"/>
        <v/>
      </c>
      <c r="CW126" s="799" t="str">
        <f t="shared" ca="1" si="331"/>
        <v/>
      </c>
      <c r="CX126" s="163">
        <f ca="1">IF(BD126,_xll.EURO(CP126,Strike1,AO126,AO126,CV126,CO126,IF(OptControl=4,0,1),0),0)</f>
        <v>0</v>
      </c>
      <c r="CY126" s="163">
        <f ca="1">IF(BD126,_xll.EURO(CP126,Strike1,AO126,AO126,CV126,CO126,IF(OptControl=4,0,1),1)+IF(OR(VolSkewFlag=2,ABS(CQ126)&lt;0.0001),0,IF(CQ126&gt;0,-1,1)*CZ126*100*Strike1/CP126^2*CS126/10%),0)</f>
        <v>0</v>
      </c>
      <c r="CZ126" s="163">
        <f ca="1">IF(BD126,_xll.EURO(CP126,Strike1,AO126,AO126,CV126,CO126,IF(OptControl=4,0,1),3)/100,0)</f>
        <v>0</v>
      </c>
      <c r="DA126" s="163">
        <f ca="1">IF(BD126,_xll.EURO(CP126,Strike1,AO126,AO126,CV126,CO126,IF(OptControl=4,0,1),0)-_xll.EURO(CP126,Strike1,AO126,AO126,CV126,CO126-1,IF(OptControl=4,0,1),0),0)</f>
        <v>0</v>
      </c>
      <c r="DB126" s="163">
        <f ca="1">IF(BD126,_xll.EURO(CP126,Strike2,AO126,AO126,CW126,CO126,IF(OptControl=3,1,0),0),0)</f>
        <v>0</v>
      </c>
      <c r="DC126" s="163">
        <f ca="1">IF(BD126,_xll.EURO(CP126,Strike2,AO126,AO126,CW126,CO126,IF(OptControl=3,1,0),1)+IF(OR(VolSkewFlag=2,ABS(CR126)&lt;0.0001),0,IF(CR126&gt;0,-1,1)*DD126*100*Strike2/CP126^2*CT126/10%),0)</f>
        <v>0</v>
      </c>
      <c r="DD126" s="163">
        <f ca="1">IF(BD126,_xll.EURO(CP126,Strike2,AO126,AO126,CW126,CO126,IF(OptControl=3,1,0),3)/100,0)</f>
        <v>0</v>
      </c>
      <c r="DE126" s="164">
        <f ca="1">IF(BD126,_xll.EURO(CP126,Strike2,AO126,AO126,CW126,CO126,IF(OptControl=3,1,0),0)-_xll.EURO(CP126,Strike2,AO126,AO126,CW126,CO126-1,IF(OptControl=3,1,0),0),0)</f>
        <v>0</v>
      </c>
      <c r="DG126" s="667">
        <f t="shared" ca="1" si="332"/>
        <v>39783</v>
      </c>
      <c r="DH126" s="475">
        <v>19.46</v>
      </c>
      <c r="DI126" s="665">
        <v>19.525909090909114</v>
      </c>
      <c r="DJ126" s="666">
        <f t="shared" ca="1" si="466"/>
        <v>39783</v>
      </c>
      <c r="DK126" s="475">
        <v>18.264781296515181</v>
      </c>
      <c r="DL126" s="665">
        <v>18.332809090909112</v>
      </c>
      <c r="DM126" s="667">
        <f t="shared" ca="1" si="467"/>
        <v>39783</v>
      </c>
      <c r="DN126" s="668">
        <f t="shared" si="468"/>
        <v>18.314781296515182</v>
      </c>
      <c r="DO126" s="667">
        <f t="shared" ca="1" si="333"/>
        <v>39783</v>
      </c>
      <c r="DP126" s="579">
        <f t="shared" si="334"/>
        <v>18.332809090909112</v>
      </c>
      <c r="DQ126" s="821">
        <v>0</v>
      </c>
      <c r="DR126" s="666">
        <f t="shared" ca="1" si="469"/>
        <v>39783</v>
      </c>
      <c r="DS126" s="669">
        <v>0.16099999999999903</v>
      </c>
      <c r="DT126" s="606">
        <v>0.16020909090908994</v>
      </c>
      <c r="DU126" s="666">
        <f t="shared" ca="1" si="470"/>
        <v>39783</v>
      </c>
      <c r="DV126" s="669">
        <v>0.16099999999999903</v>
      </c>
      <c r="DW126" s="606">
        <v>0.16020909090908994</v>
      </c>
      <c r="DX126" s="667">
        <f t="shared" ca="1" si="471"/>
        <v>39783</v>
      </c>
      <c r="DY126" s="606">
        <v>0.35</v>
      </c>
      <c r="DZ126" s="667">
        <f t="shared" ca="1" si="335"/>
        <v>39783</v>
      </c>
      <c r="EA126" s="606">
        <f t="shared" si="336"/>
        <v>0.16020909090908994</v>
      </c>
      <c r="EB126" s="1"/>
      <c r="EC126" s="118" t="str">
        <f t="shared" ca="1" si="472"/>
        <v/>
      </c>
      <c r="ED126" s="119" t="str">
        <f t="shared" ca="1" si="313"/>
        <v/>
      </c>
      <c r="EE126" s="112" t="str">
        <f t="shared" ca="1" si="314"/>
        <v/>
      </c>
      <c r="EF126" s="120">
        <f ca="1">IF(BD126,_xll.xASN(BR126,Strike1,AO126,ED126,0,BO126,0,BI126,BL126,IF(OptControl=4,0,1),0),0)</f>
        <v>0</v>
      </c>
      <c r="EG126" s="111">
        <f ca="1">IF(BD126,_xll.xASN(BR126,Strike2,AO126,EE126,0,BO126,0,BI126,BL126,IF(OptControl=3,1,0),0),0)</f>
        <v>0</v>
      </c>
      <c r="EL126" s="55"/>
      <c r="EM126" s="1"/>
      <c r="EN126" s="106"/>
      <c r="EO126" s="106"/>
      <c r="EP126" s="1"/>
      <c r="EQ126" s="683" t="s">
        <v>339</v>
      </c>
      <c r="ES126" s="455"/>
      <c r="ET126" s="36"/>
      <c r="EU126" s="107"/>
      <c r="EV126" s="475"/>
      <c r="EW126" s="456"/>
      <c r="EX126" s="456"/>
      <c r="EY126" s="250"/>
      <c r="EZ126" s="250"/>
      <c r="FA126" s="250"/>
      <c r="FB126" s="250"/>
      <c r="FC126" s="250"/>
      <c r="FD126" s="250"/>
      <c r="FE126" s="250"/>
      <c r="FF126" s="250"/>
      <c r="FG126" s="250"/>
      <c r="FH126" s="250"/>
      <c r="FI126" s="250"/>
      <c r="FJ126" s="673">
        <v>32</v>
      </c>
      <c r="FK126" s="460">
        <f t="shared" ca="1" si="432"/>
        <v>0</v>
      </c>
      <c r="FL126" s="460">
        <f t="shared" ca="1" si="478"/>
        <v>0.16730011021936569</v>
      </c>
      <c r="FM126" s="460">
        <f t="shared" ca="1" si="478"/>
        <v>0.17190836283296443</v>
      </c>
      <c r="FN126" s="460">
        <f t="shared" ca="1" si="478"/>
        <v>0.16883865147923671</v>
      </c>
      <c r="FO126" s="460">
        <f t="shared" ca="1" si="478"/>
        <v>0.16662842501176597</v>
      </c>
      <c r="FP126" s="460">
        <f t="shared" ca="1" si="478"/>
        <v>0.1650792014088133</v>
      </c>
      <c r="FQ126" s="460">
        <f t="shared" ca="1" si="478"/>
        <v>0.16404494357983865</v>
      </c>
      <c r="FR126" s="460">
        <f t="shared" ca="1" si="478"/>
        <v>0.16341947415127386</v>
      </c>
      <c r="FS126" s="460">
        <f t="shared" ca="1" si="478"/>
        <v>0.16312713984226596</v>
      </c>
      <c r="FT126" s="460">
        <f t="shared" ca="1" si="478"/>
        <v>0.1631159364425683</v>
      </c>
      <c r="FU126" s="460">
        <f t="shared" ca="1" si="478"/>
        <v>0.16335250889823963</v>
      </c>
      <c r="FV126" s="460">
        <f t="shared" ca="1" si="478"/>
        <v>0.16381859563668405</v>
      </c>
      <c r="FW126" s="460">
        <f t="shared" ca="1" si="478"/>
        <v>0.16450860499024073</v>
      </c>
      <c r="FX126" s="460">
        <f t="shared" ca="1" si="478"/>
        <v>0.16542810445580067</v>
      </c>
      <c r="FY126" s="460">
        <f t="shared" ca="1" si="478"/>
        <v>0.16659307856967398</v>
      </c>
      <c r="FZ126" s="460">
        <f t="shared" ca="1" si="478"/>
        <v>0.16802987510561709</v>
      </c>
      <c r="GA126" s="460">
        <f t="shared" ca="1" si="478"/>
        <v>0.16977581824628707</v>
      </c>
      <c r="GB126" s="460">
        <f t="shared" ca="1" si="478"/>
        <v>0.17188052760005842</v>
      </c>
      <c r="GC126" s="460">
        <f t="shared" ca="1" si="478"/>
        <v>0.17440805074950819</v>
      </c>
      <c r="GD126" s="460">
        <f t="shared" ca="1" si="478"/>
        <v>0.17744000406966054</v>
      </c>
      <c r="GE126" s="460">
        <f t="shared" ca="1" si="478"/>
        <v>0.18108003581541307</v>
      </c>
      <c r="GF126" s="460">
        <f t="shared" ca="1" si="478"/>
        <v>0.18546009855792897</v>
      </c>
      <c r="GG126" s="460">
        <f t="shared" ca="1" si="478"/>
        <v>0.19074927993067306</v>
      </c>
      <c r="GH126" s="460">
        <f t="shared" ca="1" si="478"/>
        <v>0.19716634996125409</v>
      </c>
      <c r="GI126" s="460">
        <f t="shared" ca="1" si="478"/>
        <v>0.2049978413029761</v>
      </c>
      <c r="GJ126" s="460">
        <f t="shared" ca="1" si="478"/>
        <v>0.21462456558041501</v>
      </c>
      <c r="GK126" s="460">
        <f t="shared" ca="1" si="478"/>
        <v>0.22656131501897619</v>
      </c>
      <c r="GL126" s="460">
        <f t="shared" ca="1" si="478"/>
        <v>0.24151772875800467</v>
      </c>
      <c r="GM126" s="460">
        <f t="shared" ca="1" si="478"/>
        <v>0.26049414467880411</v>
      </c>
      <c r="GN126" s="460">
        <f t="shared" ca="1" si="478"/>
        <v>0.28493721584511805</v>
      </c>
      <c r="GO126" s="460">
        <f t="shared" ca="1" si="478"/>
        <v>0.31700149792714877</v>
      </c>
      <c r="GP126" s="460">
        <f t="shared" ca="1" si="478"/>
        <v>0.36000714328360678</v>
      </c>
      <c r="GQ126" s="460" t="str">
        <f t="shared" si="478"/>
        <v/>
      </c>
      <c r="GR126" s="460" t="str">
        <f t="shared" si="478"/>
        <v/>
      </c>
      <c r="GS126" s="460" t="str">
        <f t="shared" si="478"/>
        <v/>
      </c>
      <c r="GT126" s="460" t="str">
        <f t="shared" si="478"/>
        <v/>
      </c>
      <c r="GU126" s="460" t="str">
        <f t="shared" si="478"/>
        <v/>
      </c>
      <c r="GV126" s="460" t="str">
        <f t="shared" si="478"/>
        <v/>
      </c>
      <c r="GW126" s="460" t="str">
        <f t="shared" si="478"/>
        <v/>
      </c>
      <c r="GX126" s="460" t="str">
        <f t="shared" si="478"/>
        <v/>
      </c>
      <c r="GY126" s="460" t="str">
        <f t="shared" si="478"/>
        <v/>
      </c>
      <c r="GZ126" s="460" t="str">
        <f t="shared" si="478"/>
        <v/>
      </c>
      <c r="HA126" s="460" t="str">
        <f t="shared" si="478"/>
        <v/>
      </c>
      <c r="HB126" s="460" t="str">
        <f t="shared" si="478"/>
        <v/>
      </c>
      <c r="HC126" s="460" t="str">
        <f t="shared" si="478"/>
        <v/>
      </c>
      <c r="HD126" s="460" t="str">
        <f t="shared" si="478"/>
        <v/>
      </c>
      <c r="HE126" s="460" t="str">
        <f t="shared" si="478"/>
        <v/>
      </c>
      <c r="HF126" s="460" t="str">
        <f t="shared" si="478"/>
        <v/>
      </c>
      <c r="HG126" s="460" t="str">
        <f t="shared" si="478"/>
        <v/>
      </c>
      <c r="HH126" s="460" t="str">
        <f t="shared" si="478"/>
        <v/>
      </c>
      <c r="HI126" s="460" t="str">
        <f t="shared" si="478"/>
        <v/>
      </c>
      <c r="HJ126" s="460" t="str">
        <f t="shared" si="478"/>
        <v/>
      </c>
      <c r="HK126" s="460" t="str">
        <f t="shared" si="478"/>
        <v/>
      </c>
      <c r="HL126" s="460" t="str">
        <f t="shared" si="478"/>
        <v/>
      </c>
      <c r="HM126" s="460" t="str">
        <f t="shared" si="478"/>
        <v/>
      </c>
      <c r="HN126" s="460" t="str">
        <f t="shared" si="478"/>
        <v/>
      </c>
      <c r="HO126" s="460" t="str">
        <f t="shared" si="478"/>
        <v/>
      </c>
      <c r="HP126" s="460" t="str">
        <f t="shared" si="478"/>
        <v/>
      </c>
      <c r="HQ126" s="460" t="str">
        <f t="shared" si="478"/>
        <v/>
      </c>
      <c r="HR126" s="460" t="str">
        <f t="shared" si="478"/>
        <v/>
      </c>
      <c r="HS126" s="460" t="str">
        <f t="shared" si="478"/>
        <v/>
      </c>
      <c r="HT126" s="460" t="str">
        <f t="shared" si="478"/>
        <v/>
      </c>
      <c r="HU126" s="460" t="str">
        <f t="shared" si="478"/>
        <v/>
      </c>
      <c r="HV126" s="460" t="str">
        <f t="shared" si="478"/>
        <v/>
      </c>
      <c r="HW126" s="460" t="str">
        <f t="shared" si="478"/>
        <v/>
      </c>
      <c r="HX126" s="460" t="str">
        <f t="shared" si="477"/>
        <v/>
      </c>
      <c r="HY126" s="460" t="str">
        <f t="shared" si="477"/>
        <v/>
      </c>
      <c r="HZ126" s="460" t="str">
        <f t="shared" si="477"/>
        <v/>
      </c>
      <c r="IA126" s="460" t="str">
        <f t="shared" si="477"/>
        <v/>
      </c>
      <c r="IB126" s="460" t="str">
        <f t="shared" si="477"/>
        <v/>
      </c>
      <c r="IC126" s="460" t="str">
        <f t="shared" si="477"/>
        <v/>
      </c>
      <c r="ID126" s="674" t="str">
        <f t="shared" si="477"/>
        <v/>
      </c>
      <c r="IE126" s="250"/>
    </row>
    <row r="127" spans="8:239">
      <c r="H127" s="51">
        <f t="shared" ca="1" si="315"/>
        <v>0</v>
      </c>
      <c r="I127" s="379">
        <f t="shared" si="316"/>
        <v>40026</v>
      </c>
      <c r="J127" s="377"/>
      <c r="K127" s="104" t="s">
        <v>268</v>
      </c>
      <c r="L127" s="392">
        <f t="shared" si="317"/>
        <v>1.1625000000000001</v>
      </c>
      <c r="M127" s="171"/>
      <c r="N127" s="382">
        <v>0</v>
      </c>
      <c r="O127" s="171">
        <f t="shared" si="272"/>
        <v>0</v>
      </c>
      <c r="P127" s="377"/>
      <c r="Q127" s="104" t="s">
        <v>268</v>
      </c>
      <c r="R127" s="377">
        <f t="shared" ca="1" si="417"/>
        <v>-0.21946344533283749</v>
      </c>
      <c r="S127" s="832">
        <f t="shared" si="435"/>
        <v>0.36000000000000232</v>
      </c>
      <c r="T127" s="831">
        <f t="shared" si="418"/>
        <v>0.99999999409987006</v>
      </c>
      <c r="U127" s="545">
        <f t="shared" si="419"/>
        <v>0.99999999999999933</v>
      </c>
      <c r="V127" s="389">
        <v>0</v>
      </c>
      <c r="W127" s="434">
        <f t="shared" si="455"/>
        <v>0</v>
      </c>
      <c r="X127" s="415">
        <f t="shared" si="456"/>
        <v>1.2125000000000004</v>
      </c>
      <c r="Y127" s="322">
        <f t="shared" si="457"/>
        <v>-1.2668999999999999</v>
      </c>
      <c r="Z127" s="322">
        <f t="shared" ca="1" si="458"/>
        <v>-5.439999999999956E-2</v>
      </c>
      <c r="AA127" s="429">
        <f t="shared" si="277"/>
        <v>1.2668999999999999</v>
      </c>
      <c r="AB127" s="433">
        <f t="shared" ca="1" si="278"/>
        <v>1.2668999999999999</v>
      </c>
      <c r="AC127" s="229">
        <v>40014</v>
      </c>
      <c r="AD127" s="229">
        <v>40010</v>
      </c>
      <c r="AE127" s="229">
        <v>40009</v>
      </c>
      <c r="AF127" s="229">
        <v>40005</v>
      </c>
      <c r="AG127" s="249" t="s">
        <v>499</v>
      </c>
      <c r="AH127" s="247" t="s">
        <v>499</v>
      </c>
      <c r="AI127" s="146">
        <v>21</v>
      </c>
      <c r="AJ127" s="41">
        <v>14</v>
      </c>
      <c r="AK127" s="41">
        <v>7</v>
      </c>
      <c r="AL127" s="293">
        <v>21</v>
      </c>
      <c r="AM127" s="41">
        <v>10</v>
      </c>
      <c r="AN127" s="147">
        <v>11</v>
      </c>
      <c r="AO127" s="374"/>
      <c r="AP127" s="153">
        <f t="shared" ca="1" si="318"/>
        <v>1</v>
      </c>
      <c r="AQ127" s="374"/>
      <c r="AR127" s="153">
        <f t="shared" ca="1" si="420"/>
        <v>1</v>
      </c>
      <c r="AS127" s="272">
        <f t="shared" si="459"/>
        <v>0</v>
      </c>
      <c r="AT127" s="157">
        <f t="shared" si="319"/>
        <v>0</v>
      </c>
      <c r="AU127" s="157">
        <f t="shared" si="280"/>
        <v>0</v>
      </c>
      <c r="AV127" s="271">
        <f t="shared" ca="1" si="430"/>
        <v>9.9999999999999995E-7</v>
      </c>
      <c r="AW127" s="158" t="str">
        <f t="shared" ca="1" si="460"/>
        <v/>
      </c>
      <c r="AX127" s="157">
        <f t="shared" ca="1" si="421"/>
        <v>6.8901235909025224E-4</v>
      </c>
      <c r="AY127" s="157">
        <f t="shared" ca="1" si="422"/>
        <v>2.6131206703321522E-4</v>
      </c>
      <c r="AZ127" s="157">
        <f t="shared" ca="1" si="423"/>
        <v>3.0243685714854525E-5</v>
      </c>
      <c r="BA127" s="157">
        <f t="shared" ca="1" si="424"/>
        <v>3.7804607143568157E-6</v>
      </c>
      <c r="BB127" s="157">
        <f t="shared" ca="1" si="425"/>
        <v>2.1706534627057899E-7</v>
      </c>
      <c r="BC127" s="157">
        <f t="shared" ca="1" si="426"/>
        <v>2.8583766425589512E-8</v>
      </c>
      <c r="BD127" s="151">
        <f t="shared" ca="1" si="461"/>
        <v>0</v>
      </c>
      <c r="BE127" s="152">
        <f t="shared" ca="1" si="462"/>
        <v>0</v>
      </c>
      <c r="BF127" s="40">
        <f t="shared" si="463"/>
        <v>2009</v>
      </c>
      <c r="BG127" s="144">
        <f t="shared" si="464"/>
        <v>8</v>
      </c>
      <c r="BH127" s="145">
        <f t="shared" ca="1" si="465"/>
        <v>3265</v>
      </c>
      <c r="BI127" s="313">
        <f t="shared" ca="1" si="439"/>
        <v>8.9828884325804239</v>
      </c>
      <c r="BJ127" s="42">
        <f t="shared" ca="1" si="288"/>
        <v>9.037645448323067</v>
      </c>
      <c r="BK127" s="42">
        <f t="shared" ca="1" si="289"/>
        <v>9.0403832991102</v>
      </c>
      <c r="BL127" s="42">
        <f t="shared" ca="1" si="440"/>
        <v>9.0650239561943877</v>
      </c>
      <c r="BM127" s="150" t="e">
        <f t="shared" ca="1" si="291"/>
        <v>#DIV/0!</v>
      </c>
      <c r="BN127" s="42" t="e">
        <f t="shared" ca="1" si="292"/>
        <v>#DIV/0!</v>
      </c>
      <c r="BO127" s="293">
        <f t="shared" si="441"/>
        <v>21</v>
      </c>
      <c r="BP127" s="41">
        <f t="shared" si="442"/>
        <v>14</v>
      </c>
      <c r="BQ127" s="41">
        <f t="shared" si="443"/>
        <v>7</v>
      </c>
      <c r="BR127" s="305" t="str">
        <f t="shared" ca="1" si="295"/>
        <v/>
      </c>
      <c r="BS127" s="305" t="str">
        <f t="shared" ca="1" si="444"/>
        <v/>
      </c>
      <c r="BT127" s="307" t="str">
        <f t="shared" ca="1" si="445"/>
        <v/>
      </c>
      <c r="BU127" s="161" t="str">
        <f t="shared" ca="1" si="298"/>
        <v/>
      </c>
      <c r="BV127" s="161" t="str">
        <f t="shared" ca="1" si="299"/>
        <v/>
      </c>
      <c r="BW127" s="308" t="str">
        <f t="shared" ca="1" si="300"/>
        <v/>
      </c>
      <c r="BX127" s="309" t="str">
        <f t="shared" ca="1" si="301"/>
        <v/>
      </c>
      <c r="BY127" s="308" t="str">
        <f t="shared" ca="1" si="446"/>
        <v/>
      </c>
      <c r="BZ127" s="309" t="str">
        <f t="shared" ca="1" si="447"/>
        <v/>
      </c>
      <c r="CA127" s="154" t="str">
        <f t="shared" ca="1" si="302"/>
        <v/>
      </c>
      <c r="CB127" s="154" t="str">
        <f t="shared" ca="1" si="303"/>
        <v/>
      </c>
      <c r="CC127" s="154" t="str">
        <f t="shared" ca="1" si="304"/>
        <v/>
      </c>
      <c r="CD127" s="154" t="str">
        <f t="shared" ca="1" si="305"/>
        <v/>
      </c>
      <c r="CE127" s="310">
        <v>1</v>
      </c>
      <c r="CF127" s="162">
        <f ca="1">IF(BD127,_xll.xCrudeAPO(BU127,BV127,CA127,CB127,S128,S129,BI127,BL127,BP127,BQ127,0,Strike1,AO127,CE127,0,BL127,IF(OptControl=4,0,1),0,1),0)</f>
        <v>0</v>
      </c>
      <c r="CG127" s="163">
        <f ca="1">IF(BD127,_xll.xCrudeAPO(BU127,BV127,CA127,CB127,S128,S129,BI127,BL127,BP127,BQ127,0,Strike1,AO127,CE127,0,BL127,IF(OptControl=4,0,1),1,1)+_xll.xCrudeAPO(BU127,BV127,CA127,CB127,S128,S129,BI127,BL127,BP127,BQ127,0,Strike1,AO127,CE127,0,BL127,IF(OptControl=4,0,1),1,2)+IF(OR(VolSkewFlag=2,ABS(BS127)&lt;0.0001),0,IF(BS127&gt;0,-1,1)*CH127*Strike1/BR127^2*BY127/10%),0)</f>
        <v>0</v>
      </c>
      <c r="CH127" s="163">
        <f ca="1">IF(BD127,(_xll.xCrudeAPO(BU127,BV127,CA127,CB127,S128,S129,BI127,BL127,BP127,BQ127,0,Strike1,AO127,CE127,0,BL127,IF(OptControl=4,0,1),3,1)+_xll.xCrudeAPO(BU127,BV127,CA127,CB127,S128,S129,BI127,BL127,BP127,BQ127,0,Strike1,AO127,CE127,0,BL127,IF(OptControl=4,0,1),3,2))/100,0)</f>
        <v>0</v>
      </c>
      <c r="CI127" s="163">
        <f ca="1">IF(BD127,_xll.xCrudeAPO(BU127,BV127,CA127,CB127,S128,S129,BI127-DaysForThetaCalculation/365.25,BL127-DaysForThetaCalculation/365.25,BP127,BQ127,0,Strike1,AO127,CE127,0,BL127,IF(OptControl=4,0,1),0,1)-_xll.xCrudeAPO(BU127,BV127,CA127,CB127,S128,S129,BI127,BL127,BP127,BQ127,0,Strike1,AO127,CE127,0,BL127,IF(OptControl=4,0,1),0,1),0)</f>
        <v>0</v>
      </c>
      <c r="CJ127" s="311">
        <f ca="1">IF(BD127,_xll.xCrudeAPO(BU127,BV127,CC127,CD127,S128,S129,BI127,BL127,BP127,BQ127,0,Strike2,AO127,CE127,0,BL127,IF(OptControl=3,1,0),0,1),0)</f>
        <v>0</v>
      </c>
      <c r="CK127" s="163">
        <f ca="1">IF(BD127,_xll.xCrudeAPO(BU127,BV127,CC127,CD127,S128,S129,BI127,BL127,BP127,BQ127,0,Strike2,AO127,CE127,0,BL127,IF(OptControl=3,1,0),1,1)+_xll.xCrudeAPO(BU127,BV127,CC127,CD127,S128,S129,BI127,BL127,BP127,BQ127,0,Strike2,AO127,CE127,0,BL127,IF(OptControl=3,1,0),1,2)+IF(OR(VolSkewFlag=2,ABS(BT127)&lt;0.0001),0,IF(BT127&gt;0,-1,1)*CL127*Strike2/BR127^2*BZ127/10%),0)</f>
        <v>0</v>
      </c>
      <c r="CL127" s="163">
        <f ca="1">IF(BD127,(_xll.xCrudeAPO(BU127,BV127,CC127,CD127,S128,S129,BI127,BL127,BP127,BQ127,0,Strike2,AO127,CE127,0,BL127,IF(OptControl=3,1,0),3,1)+_xll.xCrudeAPO(BU127,BV127,CC127,CD127,S128,S129,BI127,BL127,BP127,BQ127,0,Strike2,AO127,CE127,0,BL127,IF(OptControl=3,1,0),3,2))/100,0)</f>
        <v>0</v>
      </c>
      <c r="CM127" s="164">
        <f ca="1">IF(BD127,_xll.xCrudeAPO(BU127,BV127,CC127,CD127,S128,S129,BI127-DaysForThetaCalculation/365.25,BL127-DaysForThetaCalculation/365.25,BP127,BQ127,0,Strike2,AO127,CE127,0,BL127,IF(OptControl=3,1,0),0,1)-_xll.xCrudeAPO(BU127,BV127,CC127,CD127,S128,S129,BI127,BL127,BP127,BQ127,0,Strike2,AO127,CE127,0,BL127,IF(OptControl=3,1,0),0,1),0)</f>
        <v>0</v>
      </c>
      <c r="CN127" s="53"/>
      <c r="CO127" s="796" t="str">
        <f t="shared" ca="1" si="323"/>
        <v/>
      </c>
      <c r="CP127" s="800" t="str">
        <f t="shared" ca="1" si="324"/>
        <v/>
      </c>
      <c r="CQ127" s="797" t="str">
        <f t="shared" ca="1" si="325"/>
        <v/>
      </c>
      <c r="CR127" s="797" t="str">
        <f t="shared" ca="1" si="326"/>
        <v/>
      </c>
      <c r="CS127" s="797" t="str">
        <f t="shared" ca="1" si="327"/>
        <v/>
      </c>
      <c r="CT127" s="797" t="str">
        <f t="shared" ca="1" si="328"/>
        <v/>
      </c>
      <c r="CU127" s="798" t="str">
        <f t="shared" ca="1" si="329"/>
        <v/>
      </c>
      <c r="CV127" s="799" t="str">
        <f t="shared" ca="1" si="330"/>
        <v/>
      </c>
      <c r="CW127" s="799" t="str">
        <f t="shared" ca="1" si="331"/>
        <v/>
      </c>
      <c r="CX127" s="163">
        <f ca="1">IF(BD127,_xll.EURO(CP127,Strike1,AO127,AO127,CV127,CO127,IF(OptControl=4,0,1),0),0)</f>
        <v>0</v>
      </c>
      <c r="CY127" s="163">
        <f ca="1">IF(BD127,_xll.EURO(CP127,Strike1,AO127,AO127,CV127,CO127,IF(OptControl=4,0,1),1)+IF(OR(VolSkewFlag=2,ABS(CQ127)&lt;0.0001),0,IF(CQ127&gt;0,-1,1)*CZ127*100*Strike1/CP127^2*CS127/10%),0)</f>
        <v>0</v>
      </c>
      <c r="CZ127" s="163">
        <f ca="1">IF(BD127,_xll.EURO(CP127,Strike1,AO127,AO127,CV127,CO127,IF(OptControl=4,0,1),3)/100,0)</f>
        <v>0</v>
      </c>
      <c r="DA127" s="163">
        <f ca="1">IF(BD127,_xll.EURO(CP127,Strike1,AO127,AO127,CV127,CO127,IF(OptControl=4,0,1),0)-_xll.EURO(CP127,Strike1,AO127,AO127,CV127,CO127-1,IF(OptControl=4,0,1),0),0)</f>
        <v>0</v>
      </c>
      <c r="DB127" s="163">
        <f ca="1">IF(BD127,_xll.EURO(CP127,Strike2,AO127,AO127,CW127,CO127,IF(OptControl=3,1,0),0),0)</f>
        <v>0</v>
      </c>
      <c r="DC127" s="163">
        <f ca="1">IF(BD127,_xll.EURO(CP127,Strike2,AO127,AO127,CW127,CO127,IF(OptControl=3,1,0),1)+IF(OR(VolSkewFlag=2,ABS(CR127)&lt;0.0001),0,IF(CR127&gt;0,-1,1)*DD127*100*Strike2/CP127^2*CT127/10%),0)</f>
        <v>0</v>
      </c>
      <c r="DD127" s="163">
        <f ca="1">IF(BD127,_xll.EURO(CP127,Strike2,AO127,AO127,CW127,CO127,IF(OptControl=3,1,0),3)/100,0)</f>
        <v>0</v>
      </c>
      <c r="DE127" s="164">
        <f ca="1">IF(BD127,_xll.EURO(CP127,Strike2,AO127,AO127,CW127,CO127,IF(OptControl=3,1,0),0)-_xll.EURO(CP127,Strike2,AO127,AO127,CW127,CO127-1,IF(OptControl=3,1,0),0),0)</f>
        <v>0</v>
      </c>
      <c r="DG127" s="667">
        <f t="shared" ca="1" si="332"/>
        <v>39814</v>
      </c>
      <c r="DH127" s="475">
        <v>19.510000000000002</v>
      </c>
      <c r="DI127" s="665">
        <v>19.579047619047646</v>
      </c>
      <c r="DJ127" s="666">
        <f t="shared" ca="1" si="466"/>
        <v>39814</v>
      </c>
      <c r="DK127" s="475">
        <v>18.299018703484862</v>
      </c>
      <c r="DL127" s="665">
        <v>18.410547619047648</v>
      </c>
      <c r="DM127" s="667">
        <f t="shared" ca="1" si="467"/>
        <v>39814</v>
      </c>
      <c r="DN127" s="668">
        <f t="shared" si="468"/>
        <v>18.349018703484862</v>
      </c>
      <c r="DO127" s="667">
        <f t="shared" ca="1" si="333"/>
        <v>39814</v>
      </c>
      <c r="DP127" s="579">
        <f t="shared" si="334"/>
        <v>18.410547619047648</v>
      </c>
      <c r="DQ127" s="821">
        <v>0</v>
      </c>
      <c r="DR127" s="666">
        <f t="shared" ca="1" si="469"/>
        <v>39814</v>
      </c>
      <c r="DS127" s="669">
        <v>0.16039999999999904</v>
      </c>
      <c r="DT127" s="606">
        <v>0.15957142857142759</v>
      </c>
      <c r="DU127" s="666">
        <f t="shared" ca="1" si="470"/>
        <v>39814</v>
      </c>
      <c r="DV127" s="669">
        <v>0.16039999999999904</v>
      </c>
      <c r="DW127" s="606">
        <v>0.15957142857142759</v>
      </c>
      <c r="DX127" s="667">
        <f t="shared" ca="1" si="471"/>
        <v>39814</v>
      </c>
      <c r="DY127" s="606">
        <v>0.35</v>
      </c>
      <c r="DZ127" s="667">
        <f t="shared" ca="1" si="335"/>
        <v>39814</v>
      </c>
      <c r="EA127" s="606">
        <f t="shared" si="336"/>
        <v>0.15957142857142759</v>
      </c>
      <c r="EB127" s="1"/>
      <c r="EC127" s="118" t="str">
        <f t="shared" ca="1" si="472"/>
        <v/>
      </c>
      <c r="ED127" s="119" t="str">
        <f t="shared" ca="1" si="313"/>
        <v/>
      </c>
      <c r="EE127" s="112" t="str">
        <f t="shared" ca="1" si="314"/>
        <v/>
      </c>
      <c r="EF127" s="120">
        <f ca="1">IF(BD127,_xll.xASN(BR127,Strike1,AO127,ED127,0,BO127,0,BI127,BL127,IF(OptControl=4,0,1),0),0)</f>
        <v>0</v>
      </c>
      <c r="EG127" s="111">
        <f ca="1">IF(BD127,_xll.xASN(BR127,Strike2,AO127,EE127,0,BO127,0,BI127,BL127,IF(OptControl=3,1,0),0),0)</f>
        <v>0</v>
      </c>
      <c r="EL127" s="55"/>
      <c r="EM127" s="1"/>
      <c r="EN127" s="106"/>
      <c r="EO127" s="106"/>
      <c r="EP127" s="1"/>
      <c r="EQ127" s="683" t="s">
        <v>340</v>
      </c>
      <c r="ES127" s="455"/>
      <c r="ET127" s="36"/>
      <c r="EU127" s="107"/>
      <c r="EV127" s="475"/>
      <c r="EW127" s="456"/>
      <c r="EX127" s="456"/>
      <c r="EY127" s="250"/>
      <c r="EZ127" s="250"/>
      <c r="FA127" s="250"/>
      <c r="FB127" s="250"/>
      <c r="FC127" s="250"/>
      <c r="FD127" s="250"/>
      <c r="FE127" s="250"/>
      <c r="FF127" s="250"/>
      <c r="FG127" s="250"/>
      <c r="FH127" s="250"/>
      <c r="FI127" s="250"/>
      <c r="FJ127" s="673">
        <v>33</v>
      </c>
      <c r="FK127" s="460">
        <f t="shared" ref="FK127:FK158" ca="1" si="479">IF($FJ52&lt;FK$94,"",SQRT(FK52/FK$15))</f>
        <v>0</v>
      </c>
      <c r="FL127" s="460">
        <f t="shared" ca="1" si="478"/>
        <v>0.16712903423381542</v>
      </c>
      <c r="FM127" s="460">
        <f t="shared" ca="1" si="478"/>
        <v>0.17170274469882268</v>
      </c>
      <c r="FN127" s="460">
        <f t="shared" ca="1" si="478"/>
        <v>0.16860243277848433</v>
      </c>
      <c r="FO127" s="460">
        <f t="shared" ca="1" si="478"/>
        <v>0.16635573013395383</v>
      </c>
      <c r="FP127" s="460">
        <f t="shared" ca="1" si="478"/>
        <v>0.16476318144820146</v>
      </c>
      <c r="FQ127" s="460">
        <f t="shared" ca="1" si="478"/>
        <v>0.16367758554779507</v>
      </c>
      <c r="FR127" s="460">
        <f t="shared" ca="1" si="478"/>
        <v>0.16299137234371688</v>
      </c>
      <c r="FS127" s="460">
        <f t="shared" ca="1" si="478"/>
        <v>0.16262722029645871</v>
      </c>
      <c r="FT127" s="460">
        <f t="shared" ca="1" si="478"/>
        <v>0.16253112289721167</v>
      </c>
      <c r="FU127" s="460">
        <f t="shared" ca="1" si="478"/>
        <v>0.16266731530898862</v>
      </c>
      <c r="FV127" s="460">
        <f t="shared" ca="1" si="478"/>
        <v>0.16301462577352061</v>
      </c>
      <c r="FW127" s="460">
        <f t="shared" ca="1" si="478"/>
        <v>0.16356393349186954</v>
      </c>
      <c r="FX127" s="460">
        <f t="shared" ca="1" si="478"/>
        <v>0.16431650527137462</v>
      </c>
      <c r="FY127" s="460">
        <f t="shared" ca="1" si="478"/>
        <v>0.16528305500243298</v>
      </c>
      <c r="FZ127" s="460">
        <f t="shared" ca="1" si="478"/>
        <v>0.16648342923970635</v>
      </c>
      <c r="GA127" s="460">
        <f t="shared" ca="1" si="478"/>
        <v>0.16794687421791304</v>
      </c>
      <c r="GB127" s="460">
        <f t="shared" ca="1" si="478"/>
        <v>0.16971288966980683</v>
      </c>
      <c r="GC127" s="460">
        <f t="shared" ca="1" si="478"/>
        <v>0.17183272835681473</v>
      </c>
      <c r="GD127" s="460">
        <f t="shared" ca="1" si="478"/>
        <v>0.17437166402800952</v>
      </c>
      <c r="GE127" s="460">
        <f t="shared" ca="1" si="478"/>
        <v>0.17741223381791071</v>
      </c>
      <c r="GF127" s="460">
        <f t="shared" ca="1" si="478"/>
        <v>0.18105877753713689</v>
      </c>
      <c r="GG127" s="460">
        <f t="shared" ca="1" si="478"/>
        <v>0.18544376727684761</v>
      </c>
      <c r="GH127" s="460">
        <f t="shared" ca="1" si="478"/>
        <v>0.19073668104361274</v>
      </c>
      <c r="GI127" s="460">
        <f t="shared" ca="1" si="478"/>
        <v>0.19715658226779703</v>
      </c>
      <c r="GJ127" s="460">
        <f t="shared" ca="1" si="478"/>
        <v>0.20499022417430804</v>
      </c>
      <c r="GK127" s="460">
        <f t="shared" ca="1" si="478"/>
        <v>0.2146185842356779</v>
      </c>
      <c r="GL127" s="460">
        <f t="shared" ca="1" si="478"/>
        <v>0.22655657938063187</v>
      </c>
      <c r="GM127" s="460">
        <f t="shared" ca="1" si="478"/>
        <v>0.24151394248322414</v>
      </c>
      <c r="GN127" s="460">
        <f t="shared" ca="1" si="478"/>
        <v>0.26049108180466846</v>
      </c>
      <c r="GO127" s="460">
        <f t="shared" ca="1" si="478"/>
        <v>0.28493470310987584</v>
      </c>
      <c r="GP127" s="460">
        <f t="shared" ca="1" si="478"/>
        <v>0.31699940128668957</v>
      </c>
      <c r="GQ127" s="460">
        <f t="shared" ca="1" si="478"/>
        <v>0.36000535746270507</v>
      </c>
      <c r="GR127" s="460" t="str">
        <f t="shared" si="478"/>
        <v/>
      </c>
      <c r="GS127" s="460" t="str">
        <f t="shared" si="478"/>
        <v/>
      </c>
      <c r="GT127" s="460" t="str">
        <f t="shared" si="478"/>
        <v/>
      </c>
      <c r="GU127" s="460" t="str">
        <f t="shared" si="478"/>
        <v/>
      </c>
      <c r="GV127" s="460" t="str">
        <f t="shared" si="478"/>
        <v/>
      </c>
      <c r="GW127" s="460" t="str">
        <f t="shared" si="478"/>
        <v/>
      </c>
      <c r="GX127" s="460" t="str">
        <f t="shared" si="478"/>
        <v/>
      </c>
      <c r="GY127" s="460" t="str">
        <f t="shared" si="478"/>
        <v/>
      </c>
      <c r="GZ127" s="460" t="str">
        <f t="shared" si="478"/>
        <v/>
      </c>
      <c r="HA127" s="460" t="str">
        <f t="shared" si="478"/>
        <v/>
      </c>
      <c r="HB127" s="460" t="str">
        <f t="shared" si="478"/>
        <v/>
      </c>
      <c r="HC127" s="460" t="str">
        <f t="shared" si="478"/>
        <v/>
      </c>
      <c r="HD127" s="460" t="str">
        <f t="shared" si="478"/>
        <v/>
      </c>
      <c r="HE127" s="460" t="str">
        <f t="shared" si="478"/>
        <v/>
      </c>
      <c r="HF127" s="460" t="str">
        <f t="shared" si="478"/>
        <v/>
      </c>
      <c r="HG127" s="460" t="str">
        <f t="shared" si="478"/>
        <v/>
      </c>
      <c r="HH127" s="460" t="str">
        <f t="shared" si="478"/>
        <v/>
      </c>
      <c r="HI127" s="460" t="str">
        <f t="shared" si="478"/>
        <v/>
      </c>
      <c r="HJ127" s="460" t="str">
        <f t="shared" si="478"/>
        <v/>
      </c>
      <c r="HK127" s="460" t="str">
        <f t="shared" si="478"/>
        <v/>
      </c>
      <c r="HL127" s="460" t="str">
        <f t="shared" si="478"/>
        <v/>
      </c>
      <c r="HM127" s="460" t="str">
        <f t="shared" si="478"/>
        <v/>
      </c>
      <c r="HN127" s="460" t="str">
        <f t="shared" si="478"/>
        <v/>
      </c>
      <c r="HO127" s="460" t="str">
        <f t="shared" si="478"/>
        <v/>
      </c>
      <c r="HP127" s="460" t="str">
        <f t="shared" si="478"/>
        <v/>
      </c>
      <c r="HQ127" s="460" t="str">
        <f t="shared" si="478"/>
        <v/>
      </c>
      <c r="HR127" s="460" t="str">
        <f t="shared" si="478"/>
        <v/>
      </c>
      <c r="HS127" s="460" t="str">
        <f t="shared" si="478"/>
        <v/>
      </c>
      <c r="HT127" s="460" t="str">
        <f t="shared" si="478"/>
        <v/>
      </c>
      <c r="HU127" s="460" t="str">
        <f t="shared" si="478"/>
        <v/>
      </c>
      <c r="HV127" s="460" t="str">
        <f t="shared" si="478"/>
        <v/>
      </c>
      <c r="HW127" s="460" t="str">
        <f t="shared" si="478"/>
        <v/>
      </c>
      <c r="HX127" s="460" t="str">
        <f t="shared" si="477"/>
        <v/>
      </c>
      <c r="HY127" s="460" t="str">
        <f t="shared" si="477"/>
        <v/>
      </c>
      <c r="HZ127" s="460" t="str">
        <f t="shared" si="477"/>
        <v/>
      </c>
      <c r="IA127" s="460" t="str">
        <f t="shared" si="477"/>
        <v/>
      </c>
      <c r="IB127" s="460" t="str">
        <f t="shared" si="477"/>
        <v/>
      </c>
      <c r="IC127" s="460" t="str">
        <f t="shared" si="477"/>
        <v/>
      </c>
      <c r="ID127" s="674" t="str">
        <f t="shared" si="477"/>
        <v/>
      </c>
      <c r="IE127" s="250"/>
    </row>
    <row r="128" spans="8:239">
      <c r="H128" s="51">
        <f t="shared" ca="1" si="315"/>
        <v>0</v>
      </c>
      <c r="I128" s="379">
        <f t="shared" si="316"/>
        <v>40057</v>
      </c>
      <c r="J128" s="377"/>
      <c r="K128" s="104" t="s">
        <v>268</v>
      </c>
      <c r="L128" s="392">
        <f t="shared" si="317"/>
        <v>1.2000000000000002</v>
      </c>
      <c r="M128" s="171"/>
      <c r="N128" s="382">
        <v>0</v>
      </c>
      <c r="O128" s="171">
        <f t="shared" si="272"/>
        <v>0</v>
      </c>
      <c r="P128" s="377"/>
      <c r="Q128" s="104" t="s">
        <v>268</v>
      </c>
      <c r="R128" s="377">
        <f t="shared" ca="1" si="417"/>
        <v>1.0071881025260038E-2</v>
      </c>
      <c r="S128" s="832">
        <f t="shared" si="435"/>
        <v>0.36000000000000176</v>
      </c>
      <c r="T128" s="831">
        <f t="shared" si="418"/>
        <v>0.99999999495538894</v>
      </c>
      <c r="U128" s="545">
        <f t="shared" si="419"/>
        <v>0.99999999999999956</v>
      </c>
      <c r="V128" s="389">
        <v>0</v>
      </c>
      <c r="W128" s="434">
        <f t="shared" si="455"/>
        <v>0</v>
      </c>
      <c r="X128" s="415">
        <f t="shared" si="456"/>
        <v>1.2511363636363639</v>
      </c>
      <c r="Y128" s="322">
        <f t="shared" si="457"/>
        <v>-1.2668999999999999</v>
      </c>
      <c r="Z128" s="322">
        <f t="shared" ca="1" si="458"/>
        <v>-1.576363636363598E-2</v>
      </c>
      <c r="AA128" s="429">
        <f t="shared" si="277"/>
        <v>1.2668999999999999</v>
      </c>
      <c r="AB128" s="433">
        <f t="shared" ca="1" si="278"/>
        <v>1.2668999999999999</v>
      </c>
      <c r="AC128" s="229">
        <v>40045</v>
      </c>
      <c r="AD128" s="229">
        <v>40041</v>
      </c>
      <c r="AE128" s="229">
        <v>40040</v>
      </c>
      <c r="AF128" s="229">
        <v>40036</v>
      </c>
      <c r="AG128" s="249" t="s">
        <v>499</v>
      </c>
      <c r="AH128" s="247" t="s">
        <v>499</v>
      </c>
      <c r="AI128" s="146">
        <v>22</v>
      </c>
      <c r="AJ128" s="41">
        <v>14</v>
      </c>
      <c r="AK128" s="41">
        <v>8</v>
      </c>
      <c r="AL128" s="293">
        <v>22</v>
      </c>
      <c r="AM128" s="41">
        <v>10</v>
      </c>
      <c r="AN128" s="147">
        <v>12</v>
      </c>
      <c r="AO128" s="374"/>
      <c r="AP128" s="153">
        <f t="shared" ca="1" si="318"/>
        <v>1</v>
      </c>
      <c r="AQ128" s="374"/>
      <c r="AR128" s="153">
        <f t="shared" ca="1" si="420"/>
        <v>1</v>
      </c>
      <c r="AS128" s="272">
        <f t="shared" si="459"/>
        <v>0</v>
      </c>
      <c r="AT128" s="157">
        <f t="shared" si="319"/>
        <v>0</v>
      </c>
      <c r="AU128" s="157">
        <f t="shared" si="280"/>
        <v>0</v>
      </c>
      <c r="AV128" s="271">
        <f t="shared" ca="1" si="430"/>
        <v>9.9999999999999995E-7</v>
      </c>
      <c r="AW128" s="158" t="str">
        <f t="shared" ca="1" si="460"/>
        <v/>
      </c>
      <c r="AX128" s="157">
        <f t="shared" ca="1" si="421"/>
        <v>6.6612040971414876E-4</v>
      </c>
      <c r="AY128" s="157">
        <f t="shared" ca="1" si="422"/>
        <v>2.5095066538809488E-4</v>
      </c>
      <c r="AZ128" s="157">
        <f t="shared" ca="1" si="423"/>
        <v>2.8546238067069467E-5</v>
      </c>
      <c r="BA128" s="157">
        <f t="shared" ca="1" si="424"/>
        <v>3.5682797583836833E-6</v>
      </c>
      <c r="BB128" s="157">
        <f t="shared" ca="1" si="425"/>
        <v>1.980753312190988E-7</v>
      </c>
      <c r="BC128" s="157">
        <f t="shared" ca="1" si="426"/>
        <v>2.5465240868180538E-8</v>
      </c>
      <c r="BD128" s="151">
        <f t="shared" ca="1" si="461"/>
        <v>0</v>
      </c>
      <c r="BE128" s="152">
        <f t="shared" ca="1" si="462"/>
        <v>0</v>
      </c>
      <c r="BF128" s="40">
        <f t="shared" si="463"/>
        <v>2009</v>
      </c>
      <c r="BG128" s="144">
        <f t="shared" si="464"/>
        <v>9</v>
      </c>
      <c r="BH128" s="145">
        <f t="shared" ca="1" si="465"/>
        <v>3296</v>
      </c>
      <c r="BI128" s="313">
        <f t="shared" ca="1" si="439"/>
        <v>9.0677618069815189</v>
      </c>
      <c r="BJ128" s="42">
        <f t="shared" ca="1" si="288"/>
        <v>9.1182875987804106</v>
      </c>
      <c r="BK128" s="42">
        <f t="shared" ca="1" si="289"/>
        <v>9.1210254495675436</v>
      </c>
      <c r="BL128" s="42">
        <f t="shared" ca="1" si="440"/>
        <v>9.1471594798083498</v>
      </c>
      <c r="BM128" s="150" t="e">
        <f t="shared" ca="1" si="291"/>
        <v>#DIV/0!</v>
      </c>
      <c r="BN128" s="42" t="e">
        <f t="shared" ca="1" si="292"/>
        <v>#DIV/0!</v>
      </c>
      <c r="BO128" s="293">
        <f t="shared" si="441"/>
        <v>22</v>
      </c>
      <c r="BP128" s="41">
        <f t="shared" si="442"/>
        <v>14</v>
      </c>
      <c r="BQ128" s="41">
        <f t="shared" si="443"/>
        <v>8</v>
      </c>
      <c r="BR128" s="305" t="str">
        <f t="shared" ca="1" si="295"/>
        <v/>
      </c>
      <c r="BS128" s="305" t="str">
        <f t="shared" ca="1" si="444"/>
        <v/>
      </c>
      <c r="BT128" s="307" t="str">
        <f t="shared" ca="1" si="445"/>
        <v/>
      </c>
      <c r="BU128" s="161" t="str">
        <f t="shared" ca="1" si="298"/>
        <v/>
      </c>
      <c r="BV128" s="161" t="str">
        <f t="shared" ca="1" si="299"/>
        <v/>
      </c>
      <c r="BW128" s="308" t="str">
        <f t="shared" ca="1" si="300"/>
        <v/>
      </c>
      <c r="BX128" s="309" t="str">
        <f t="shared" ca="1" si="301"/>
        <v/>
      </c>
      <c r="BY128" s="308" t="str">
        <f t="shared" ca="1" si="446"/>
        <v/>
      </c>
      <c r="BZ128" s="309" t="str">
        <f t="shared" ca="1" si="447"/>
        <v/>
      </c>
      <c r="CA128" s="154" t="str">
        <f t="shared" ca="1" si="302"/>
        <v/>
      </c>
      <c r="CB128" s="154" t="str">
        <f t="shared" ca="1" si="303"/>
        <v/>
      </c>
      <c r="CC128" s="154" t="str">
        <f t="shared" ca="1" si="304"/>
        <v/>
      </c>
      <c r="CD128" s="154" t="str">
        <f t="shared" ca="1" si="305"/>
        <v/>
      </c>
      <c r="CE128" s="310">
        <v>1</v>
      </c>
      <c r="CF128" s="162">
        <f ca="1">IF(BD128,_xll.xCrudeAPO(BU128,BV128,CA128,CB128,S129,S130,BI128,BL128,BP128,BQ128,0,Strike1,AO128,CE128,0,BL128,IF(OptControl=4,0,1),0,1),0)</f>
        <v>0</v>
      </c>
      <c r="CG128" s="163">
        <f ca="1">IF(BD128,_xll.xCrudeAPO(BU128,BV128,CA128,CB128,S129,S130,BI128,BL128,BP128,BQ128,0,Strike1,AO128,CE128,0,BL128,IF(OptControl=4,0,1),1,1)+_xll.xCrudeAPO(BU128,BV128,CA128,CB128,S129,S130,BI128,BL128,BP128,BQ128,0,Strike1,AO128,CE128,0,BL128,IF(OptControl=4,0,1),1,2)+IF(OR(VolSkewFlag=2,ABS(BS128)&lt;0.0001),0,IF(BS128&gt;0,-1,1)*CH128*Strike1/BR128^2*BY128/10%),0)</f>
        <v>0</v>
      </c>
      <c r="CH128" s="163">
        <f ca="1">IF(BD128,(_xll.xCrudeAPO(BU128,BV128,CA128,CB128,S129,S130,BI128,BL128,BP128,BQ128,0,Strike1,AO128,CE128,0,BL128,IF(OptControl=4,0,1),3,1)+_xll.xCrudeAPO(BU128,BV128,CA128,CB128,S129,S130,BI128,BL128,BP128,BQ128,0,Strike1,AO128,CE128,0,BL128,IF(OptControl=4,0,1),3,2))/100,0)</f>
        <v>0</v>
      </c>
      <c r="CI128" s="163">
        <f ca="1">IF(BD128,_xll.xCrudeAPO(BU128,BV128,CA128,CB128,S129,S130,BI128-DaysForThetaCalculation/365.25,BL128-DaysForThetaCalculation/365.25,BP128,BQ128,0,Strike1,AO128,CE128,0,BL128,IF(OptControl=4,0,1),0,1)-_xll.xCrudeAPO(BU128,BV128,CA128,CB128,S129,S130,BI128,BL128,BP128,BQ128,0,Strike1,AO128,CE128,0,BL128,IF(OptControl=4,0,1),0,1),0)</f>
        <v>0</v>
      </c>
      <c r="CJ128" s="311">
        <f ca="1">IF(BD128,_xll.xCrudeAPO(BU128,BV128,CC128,CD128,S129,S130,BI128,BL128,BP128,BQ128,0,Strike2,AO128,CE128,0,BL128,IF(OptControl=3,1,0),0,1),0)</f>
        <v>0</v>
      </c>
      <c r="CK128" s="163">
        <f ca="1">IF(BD128,_xll.xCrudeAPO(BU128,BV128,CC128,CD128,S129,S130,BI128,BL128,BP128,BQ128,0,Strike2,AO128,CE128,0,BL128,IF(OptControl=3,1,0),1,1)+_xll.xCrudeAPO(BU128,BV128,CC128,CD128,S129,S130,BI128,BL128,BP128,BQ128,0,Strike2,AO128,CE128,0,BL128,IF(OptControl=3,1,0),1,2)+IF(OR(VolSkewFlag=2,ABS(BT128)&lt;0.0001),0,IF(BT128&gt;0,-1,1)*CL128*Strike2/BR128^2*BZ128/10%),0)</f>
        <v>0</v>
      </c>
      <c r="CL128" s="163">
        <f ca="1">IF(BD128,(_xll.xCrudeAPO(BU128,BV128,CC128,CD128,S129,S130,BI128,BL128,BP128,BQ128,0,Strike2,AO128,CE128,0,BL128,IF(OptControl=3,1,0),3,1)+_xll.xCrudeAPO(BU128,BV128,CC128,CD128,S129,S130,BI128,BL128,BP128,BQ128,0,Strike2,AO128,CE128,0,BL128,IF(OptControl=3,1,0),3,2))/100,0)</f>
        <v>0</v>
      </c>
      <c r="CM128" s="164">
        <f ca="1">IF(BD128,_xll.xCrudeAPO(BU128,BV128,CC128,CD128,S129,S130,BI128-DaysForThetaCalculation/365.25,BL128-DaysForThetaCalculation/365.25,BP128,BQ128,0,Strike2,AO128,CE128,0,BL128,IF(OptControl=3,1,0),0,1)-_xll.xCrudeAPO(BU128,BV128,CC128,CD128,S129,S130,BI128,BL128,BP128,BQ128,0,Strike2,AO128,CE128,0,BL128,IF(OptControl=3,1,0),0,1),0)</f>
        <v>0</v>
      </c>
      <c r="CN128" s="53"/>
      <c r="CO128" s="796" t="str">
        <f t="shared" ca="1" si="323"/>
        <v/>
      </c>
      <c r="CP128" s="800" t="str">
        <f t="shared" ca="1" si="324"/>
        <v/>
      </c>
      <c r="CQ128" s="797" t="str">
        <f t="shared" ca="1" si="325"/>
        <v/>
      </c>
      <c r="CR128" s="797" t="str">
        <f t="shared" ca="1" si="326"/>
        <v/>
      </c>
      <c r="CS128" s="797" t="str">
        <f t="shared" ca="1" si="327"/>
        <v/>
      </c>
      <c r="CT128" s="797" t="str">
        <f t="shared" ca="1" si="328"/>
        <v/>
      </c>
      <c r="CU128" s="798" t="str">
        <f t="shared" ca="1" si="329"/>
        <v/>
      </c>
      <c r="CV128" s="799" t="str">
        <f t="shared" ca="1" si="330"/>
        <v/>
      </c>
      <c r="CW128" s="799" t="str">
        <f t="shared" ca="1" si="331"/>
        <v/>
      </c>
      <c r="CX128" s="163">
        <f ca="1">IF(BD128,_xll.EURO(CP128,Strike1,AO128,AO128,CV128,CO128,IF(OptControl=4,0,1),0),0)</f>
        <v>0</v>
      </c>
      <c r="CY128" s="163">
        <f ca="1">IF(BD128,_xll.EURO(CP128,Strike1,AO128,AO128,CV128,CO128,IF(OptControl=4,0,1),1)+IF(OR(VolSkewFlag=2,ABS(CQ128)&lt;0.0001),0,IF(CQ128&gt;0,-1,1)*CZ128*100*Strike1/CP128^2*CS128/10%),0)</f>
        <v>0</v>
      </c>
      <c r="CZ128" s="163">
        <f ca="1">IF(BD128,_xll.EURO(CP128,Strike1,AO128,AO128,CV128,CO128,IF(OptControl=4,0,1),3)/100,0)</f>
        <v>0</v>
      </c>
      <c r="DA128" s="163">
        <f ca="1">IF(BD128,_xll.EURO(CP128,Strike1,AO128,AO128,CV128,CO128,IF(OptControl=4,0,1),0)-_xll.EURO(CP128,Strike1,AO128,AO128,CV128,CO128-1,IF(OptControl=4,0,1),0),0)</f>
        <v>0</v>
      </c>
      <c r="DB128" s="163">
        <f ca="1">IF(BD128,_xll.EURO(CP128,Strike2,AO128,AO128,CW128,CO128,IF(OptControl=3,1,0),0),0)</f>
        <v>0</v>
      </c>
      <c r="DC128" s="163">
        <f ca="1">IF(BD128,_xll.EURO(CP128,Strike2,AO128,AO128,CW128,CO128,IF(OptControl=3,1,0),1)+IF(OR(VolSkewFlag=2,ABS(CR128)&lt;0.0001),0,IF(CR128&gt;0,-1,1)*DD128*100*Strike2/CP128^2*CT128/10%),0)</f>
        <v>0</v>
      </c>
      <c r="DD128" s="163">
        <f ca="1">IF(BD128,_xll.EURO(CP128,Strike2,AO128,AO128,CW128,CO128,IF(OptControl=3,1,0),3)/100,0)</f>
        <v>0</v>
      </c>
      <c r="DE128" s="164">
        <f ca="1">IF(BD128,_xll.EURO(CP128,Strike2,AO128,AO128,CW128,CO128,IF(OptControl=3,1,0),0)-_xll.EURO(CP128,Strike2,AO128,AO128,CW128,CO128-1,IF(OptControl=3,1,0),0),0)</f>
        <v>0</v>
      </c>
      <c r="DG128" s="667">
        <f t="shared" ca="1" si="332"/>
        <v>39845</v>
      </c>
      <c r="DH128" s="475">
        <v>19.559999999999999</v>
      </c>
      <c r="DI128" s="665">
        <v>19.622499999999999</v>
      </c>
      <c r="DJ128" s="666">
        <f t="shared" ca="1" si="466"/>
        <v>39845</v>
      </c>
      <c r="DK128" s="475">
        <v>18.360967747095987</v>
      </c>
      <c r="DL128" s="665">
        <v>18.454000000000022</v>
      </c>
      <c r="DM128" s="667">
        <f t="shared" ca="1" si="467"/>
        <v>39845</v>
      </c>
      <c r="DN128" s="668">
        <f t="shared" si="468"/>
        <v>18.410967747095988</v>
      </c>
      <c r="DO128" s="667">
        <f t="shared" ca="1" si="333"/>
        <v>39845</v>
      </c>
      <c r="DP128" s="579">
        <f t="shared" si="334"/>
        <v>18.454000000000022</v>
      </c>
      <c r="DQ128" s="821">
        <v>0</v>
      </c>
      <c r="DR128" s="666">
        <f t="shared" ca="1" si="469"/>
        <v>39845</v>
      </c>
      <c r="DS128" s="669">
        <v>0.15979999999999903</v>
      </c>
      <c r="DT128" s="606">
        <v>0.15904999999999903</v>
      </c>
      <c r="DU128" s="666">
        <f t="shared" ca="1" si="470"/>
        <v>39845</v>
      </c>
      <c r="DV128" s="669">
        <v>0.15979999999999903</v>
      </c>
      <c r="DW128" s="606">
        <v>0.15904999999999903</v>
      </c>
      <c r="DX128" s="667">
        <f t="shared" ca="1" si="471"/>
        <v>39845</v>
      </c>
      <c r="DY128" s="606">
        <v>0.35</v>
      </c>
      <c r="DZ128" s="667">
        <f t="shared" ca="1" si="335"/>
        <v>39845</v>
      </c>
      <c r="EA128" s="606">
        <f t="shared" si="336"/>
        <v>0.15904999999999903</v>
      </c>
      <c r="EB128" s="1"/>
      <c r="EC128" s="118" t="str">
        <f t="shared" ca="1" si="472"/>
        <v/>
      </c>
      <c r="ED128" s="119" t="str">
        <f t="shared" ca="1" si="313"/>
        <v/>
      </c>
      <c r="EE128" s="112" t="str">
        <f t="shared" ca="1" si="314"/>
        <v/>
      </c>
      <c r="EF128" s="120">
        <f ca="1">IF(BD128,_xll.xASN(BR128,Strike1,AO128,ED128,0,BO128,0,BI128,BL128,IF(OptControl=4,0,1),0),0)</f>
        <v>0</v>
      </c>
      <c r="EG128" s="111">
        <f ca="1">IF(BD128,_xll.xASN(BR128,Strike2,AO128,EE128,0,BO128,0,BI128,BL128,IF(OptControl=3,1,0),0),0)</f>
        <v>0</v>
      </c>
      <c r="EL128" s="55"/>
      <c r="EM128" s="1"/>
      <c r="EN128" s="106"/>
      <c r="EO128" s="106"/>
      <c r="EP128" s="1"/>
      <c r="EQ128" s="683" t="s">
        <v>341</v>
      </c>
      <c r="ES128" s="455"/>
      <c r="ET128" s="36"/>
      <c r="EU128" s="107"/>
      <c r="EV128" s="475"/>
      <c r="EW128" s="456"/>
      <c r="EX128" s="456"/>
      <c r="EY128" s="250"/>
      <c r="EZ128" s="250"/>
      <c r="FA128" s="250"/>
      <c r="FB128" s="250"/>
      <c r="FC128" s="250"/>
      <c r="FD128" s="250"/>
      <c r="FE128" s="250"/>
      <c r="FF128" s="250"/>
      <c r="FG128" s="250"/>
      <c r="FH128" s="250"/>
      <c r="FI128" s="250"/>
      <c r="FJ128" s="673">
        <v>34</v>
      </c>
      <c r="FK128" s="460">
        <f t="shared" ca="1" si="479"/>
        <v>0</v>
      </c>
      <c r="FL128" s="460">
        <f t="shared" ca="1" si="478"/>
        <v>0.16698292467967635</v>
      </c>
      <c r="FM128" s="460">
        <f t="shared" ca="1" si="478"/>
        <v>0.17152716671365267</v>
      </c>
      <c r="FN128" s="460">
        <f t="shared" ca="1" si="478"/>
        <v>0.16840076883922994</v>
      </c>
      <c r="FO128" s="460">
        <f t="shared" ca="1" si="478"/>
        <v>0.16612298523762428</v>
      </c>
      <c r="FP128" s="460">
        <f t="shared" ca="1" si="478"/>
        <v>0.16449353912499168</v>
      </c>
      <c r="FQ128" s="460">
        <f t="shared" ca="1" si="478"/>
        <v>0.16336424877552805</v>
      </c>
      <c r="FR128" s="460">
        <f t="shared" ca="1" si="478"/>
        <v>0.16262637365203136</v>
      </c>
      <c r="FS128" s="460">
        <f t="shared" ca="1" si="478"/>
        <v>0.16220119391662571</v>
      </c>
      <c r="FT128" s="460">
        <f t="shared" ca="1" si="478"/>
        <v>0.16203302990534726</v>
      </c>
      <c r="FU128" s="460">
        <f t="shared" ca="1" si="478"/>
        <v>0.16208411018842092</v>
      </c>
      <c r="FV128" s="460">
        <f t="shared" ca="1" si="478"/>
        <v>0.16233084945880386</v>
      </c>
      <c r="FW128" s="460">
        <f t="shared" ca="1" si="478"/>
        <v>0.16276121342998123</v>
      </c>
      <c r="FX128" s="460">
        <f t="shared" ca="1" si="478"/>
        <v>0.16337293688325874</v>
      </c>
      <c r="FY128" s="460">
        <f t="shared" ca="1" si="478"/>
        <v>0.16417243048222493</v>
      </c>
      <c r="FZ128" s="460">
        <f t="shared" ca="1" si="478"/>
        <v>0.16517426791240727</v>
      </c>
      <c r="GA128" s="460">
        <f t="shared" ca="1" si="478"/>
        <v>0.1664011922422306</v>
      </c>
      <c r="GB128" s="460">
        <f t="shared" ca="1" si="478"/>
        <v>0.16788462355213507</v>
      </c>
      <c r="GC128" s="460">
        <f t="shared" ca="1" si="478"/>
        <v>0.16966569323744662</v>
      </c>
      <c r="GD128" s="460">
        <f t="shared" ca="1" si="478"/>
        <v>0.17179687892438197</v>
      </c>
      <c r="GE128" s="460">
        <f t="shared" ca="1" si="478"/>
        <v>0.17434437398688557</v>
      </c>
      <c r="GF128" s="460">
        <f t="shared" ca="1" si="478"/>
        <v>0.17739140612909834</v>
      </c>
      <c r="GG128" s="460">
        <f t="shared" ca="1" si="478"/>
        <v>0.18104283382842976</v>
      </c>
      <c r="GH128" s="460">
        <f t="shared" ca="1" si="478"/>
        <v>0.18543151881603662</v>
      </c>
      <c r="GI128" s="460">
        <f t="shared" ca="1" si="478"/>
        <v>0.1907272318783175</v>
      </c>
      <c r="GJ128" s="460">
        <f t="shared" ca="1" si="478"/>
        <v>0.19714925649770432</v>
      </c>
      <c r="GK128" s="460">
        <f t="shared" ca="1" si="478"/>
        <v>0.20498451132780693</v>
      </c>
      <c r="GL128" s="460">
        <f t="shared" ca="1" si="478"/>
        <v>0.21461409822712507</v>
      </c>
      <c r="GM128" s="460">
        <f t="shared" ca="1" si="478"/>
        <v>0.22655302765187357</v>
      </c>
      <c r="GN128" s="460">
        <f t="shared" ca="1" si="478"/>
        <v>0.24151110277713883</v>
      </c>
      <c r="GO128" s="460">
        <f t="shared" ca="1" si="478"/>
        <v>0.26048878464906666</v>
      </c>
      <c r="GP128" s="460">
        <f t="shared" ca="1" si="478"/>
        <v>0.28493281855844416</v>
      </c>
      <c r="GQ128" s="460">
        <f t="shared" ca="1" si="478"/>
        <v>0.31699782880634519</v>
      </c>
      <c r="GR128" s="460">
        <f t="shared" ca="1" si="478"/>
        <v>0.36000401809702881</v>
      </c>
      <c r="GS128" s="460" t="str">
        <f t="shared" si="478"/>
        <v/>
      </c>
      <c r="GT128" s="460" t="str">
        <f t="shared" si="478"/>
        <v/>
      </c>
      <c r="GU128" s="460" t="str">
        <f t="shared" si="478"/>
        <v/>
      </c>
      <c r="GV128" s="460" t="str">
        <f t="shared" si="478"/>
        <v/>
      </c>
      <c r="GW128" s="460" t="str">
        <f t="shared" si="478"/>
        <v/>
      </c>
      <c r="GX128" s="460" t="str">
        <f t="shared" si="478"/>
        <v/>
      </c>
      <c r="GY128" s="460" t="str">
        <f t="shared" si="478"/>
        <v/>
      </c>
      <c r="GZ128" s="460" t="str">
        <f t="shared" si="478"/>
        <v/>
      </c>
      <c r="HA128" s="460" t="str">
        <f t="shared" si="478"/>
        <v/>
      </c>
      <c r="HB128" s="460" t="str">
        <f t="shared" si="478"/>
        <v/>
      </c>
      <c r="HC128" s="460" t="str">
        <f t="shared" si="478"/>
        <v/>
      </c>
      <c r="HD128" s="460" t="str">
        <f t="shared" si="478"/>
        <v/>
      </c>
      <c r="HE128" s="460" t="str">
        <f t="shared" si="478"/>
        <v/>
      </c>
      <c r="HF128" s="460" t="str">
        <f t="shared" si="478"/>
        <v/>
      </c>
      <c r="HG128" s="460" t="str">
        <f t="shared" si="478"/>
        <v/>
      </c>
      <c r="HH128" s="460" t="str">
        <f t="shared" si="478"/>
        <v/>
      </c>
      <c r="HI128" s="460" t="str">
        <f t="shared" si="478"/>
        <v/>
      </c>
      <c r="HJ128" s="460" t="str">
        <f t="shared" si="478"/>
        <v/>
      </c>
      <c r="HK128" s="460" t="str">
        <f t="shared" si="478"/>
        <v/>
      </c>
      <c r="HL128" s="460" t="str">
        <f t="shared" si="478"/>
        <v/>
      </c>
      <c r="HM128" s="460" t="str">
        <f t="shared" si="478"/>
        <v/>
      </c>
      <c r="HN128" s="460" t="str">
        <f t="shared" si="478"/>
        <v/>
      </c>
      <c r="HO128" s="460" t="str">
        <f t="shared" si="478"/>
        <v/>
      </c>
      <c r="HP128" s="460" t="str">
        <f t="shared" si="478"/>
        <v/>
      </c>
      <c r="HQ128" s="460" t="str">
        <f t="shared" si="478"/>
        <v/>
      </c>
      <c r="HR128" s="460" t="str">
        <f t="shared" si="478"/>
        <v/>
      </c>
      <c r="HS128" s="460" t="str">
        <f t="shared" si="478"/>
        <v/>
      </c>
      <c r="HT128" s="460" t="str">
        <f t="shared" si="478"/>
        <v/>
      </c>
      <c r="HU128" s="460" t="str">
        <f t="shared" si="478"/>
        <v/>
      </c>
      <c r="HV128" s="460" t="str">
        <f t="shared" si="478"/>
        <v/>
      </c>
      <c r="HW128" s="460" t="str">
        <f t="shared" ref="HW128:ID131" si="480">IF($FJ53&lt;HW$94,"",SQRT(HW53/HW$15))</f>
        <v/>
      </c>
      <c r="HX128" s="460" t="str">
        <f t="shared" si="480"/>
        <v/>
      </c>
      <c r="HY128" s="460" t="str">
        <f t="shared" si="480"/>
        <v/>
      </c>
      <c r="HZ128" s="460" t="str">
        <f t="shared" si="480"/>
        <v/>
      </c>
      <c r="IA128" s="460" t="str">
        <f t="shared" si="480"/>
        <v/>
      </c>
      <c r="IB128" s="460" t="str">
        <f t="shared" si="480"/>
        <v/>
      </c>
      <c r="IC128" s="460" t="str">
        <f t="shared" si="480"/>
        <v/>
      </c>
      <c r="ID128" s="674" t="str">
        <f t="shared" si="480"/>
        <v/>
      </c>
      <c r="IE128" s="250"/>
    </row>
    <row r="129" spans="8:239">
      <c r="H129" s="51">
        <f t="shared" ca="1" si="315"/>
        <v>0</v>
      </c>
      <c r="I129" s="379">
        <f t="shared" si="316"/>
        <v>40087</v>
      </c>
      <c r="J129" s="377"/>
      <c r="K129" s="104" t="s">
        <v>268</v>
      </c>
      <c r="L129" s="392">
        <f t="shared" si="317"/>
        <v>1.2375000000000003</v>
      </c>
      <c r="M129" s="171"/>
      <c r="N129" s="382">
        <v>0</v>
      </c>
      <c r="O129" s="171">
        <f t="shared" si="272"/>
        <v>0</v>
      </c>
      <c r="P129" s="377"/>
      <c r="Q129" s="104" t="s">
        <v>268</v>
      </c>
      <c r="R129" s="377">
        <f t="shared" ca="1" si="417"/>
        <v>-0.11301080093205375</v>
      </c>
      <c r="S129" s="832">
        <f t="shared" si="435"/>
        <v>0.36000000000000132</v>
      </c>
      <c r="T129" s="831">
        <f t="shared" si="418"/>
        <v>0.99999999568685749</v>
      </c>
      <c r="U129" s="545">
        <f t="shared" si="419"/>
        <v>0.99999999999999967</v>
      </c>
      <c r="V129" s="389">
        <v>0</v>
      </c>
      <c r="W129" s="434">
        <f t="shared" si="455"/>
        <v>0</v>
      </c>
      <c r="X129" s="415">
        <f t="shared" si="456"/>
        <v>1.288636363636364</v>
      </c>
      <c r="Y129" s="322">
        <f t="shared" si="457"/>
        <v>-1.1931</v>
      </c>
      <c r="Z129" s="322">
        <f t="shared" ca="1" si="458"/>
        <v>9.5536363636363975E-2</v>
      </c>
      <c r="AA129" s="429">
        <f t="shared" si="277"/>
        <v>1.1931</v>
      </c>
      <c r="AB129" s="433">
        <f t="shared" ca="1" si="278"/>
        <v>1.1931</v>
      </c>
      <c r="AC129" s="229">
        <v>40076</v>
      </c>
      <c r="AD129" s="229">
        <v>40072</v>
      </c>
      <c r="AE129" s="229">
        <v>40071</v>
      </c>
      <c r="AF129" s="229">
        <v>40067</v>
      </c>
      <c r="AG129" s="249" t="s">
        <v>499</v>
      </c>
      <c r="AH129" s="247" t="s">
        <v>499</v>
      </c>
      <c r="AI129" s="146">
        <v>22</v>
      </c>
      <c r="AJ129" s="41">
        <v>14</v>
      </c>
      <c r="AK129" s="41">
        <v>8</v>
      </c>
      <c r="AL129" s="293">
        <v>22</v>
      </c>
      <c r="AM129" s="41">
        <v>10</v>
      </c>
      <c r="AN129" s="147">
        <v>12</v>
      </c>
      <c r="AO129" s="374"/>
      <c r="AP129" s="153">
        <f t="shared" ca="1" si="318"/>
        <v>1</v>
      </c>
      <c r="AQ129" s="374"/>
      <c r="AR129" s="153">
        <f t="shared" ca="1" si="420"/>
        <v>1</v>
      </c>
      <c r="AS129" s="272">
        <f t="shared" si="459"/>
        <v>0</v>
      </c>
      <c r="AT129" s="157">
        <f t="shared" si="319"/>
        <v>0</v>
      </c>
      <c r="AU129" s="157">
        <f t="shared" si="280"/>
        <v>0</v>
      </c>
      <c r="AV129" s="271">
        <f t="shared" ca="1" si="430"/>
        <v>9.9999999999999995E-7</v>
      </c>
      <c r="AW129" s="158" t="str">
        <f t="shared" ca="1" si="460"/>
        <v/>
      </c>
      <c r="AX129" s="157">
        <f t="shared" ca="1" si="421"/>
        <v>6.4398902920059808E-4</v>
      </c>
      <c r="AY129" s="157">
        <f t="shared" ca="1" si="422"/>
        <v>2.4100010831387548E-4</v>
      </c>
      <c r="AZ129" s="157">
        <f t="shared" ca="1" si="423"/>
        <v>2.6944060835203186E-5</v>
      </c>
      <c r="BA129" s="157">
        <f t="shared" ca="1" si="424"/>
        <v>3.3680076044003982E-6</v>
      </c>
      <c r="BB129" s="157">
        <f t="shared" ca="1" si="425"/>
        <v>1.8074666229149928E-7</v>
      </c>
      <c r="BC129" s="157">
        <f t="shared" ca="1" si="426"/>
        <v>2.2686950446596997E-8</v>
      </c>
      <c r="BD129" s="151">
        <f t="shared" ca="1" si="461"/>
        <v>0</v>
      </c>
      <c r="BE129" s="152">
        <f t="shared" ca="1" si="462"/>
        <v>0</v>
      </c>
      <c r="BF129" s="40">
        <f t="shared" si="463"/>
        <v>2009</v>
      </c>
      <c r="BG129" s="144">
        <f t="shared" si="464"/>
        <v>10</v>
      </c>
      <c r="BH129" s="145">
        <f t="shared" ca="1" si="465"/>
        <v>3327</v>
      </c>
      <c r="BI129" s="313">
        <f t="shared" ca="1" si="439"/>
        <v>9.1498973305954827</v>
      </c>
      <c r="BJ129" s="42">
        <f t="shared" ca="1" si="288"/>
        <v>9.2021653910770951</v>
      </c>
      <c r="BK129" s="42">
        <f t="shared" ca="1" si="289"/>
        <v>9.204903241864228</v>
      </c>
      <c r="BL129" s="42">
        <f t="shared" ca="1" si="440"/>
        <v>9.2320328542094447</v>
      </c>
      <c r="BM129" s="150" t="e">
        <f t="shared" ca="1" si="291"/>
        <v>#DIV/0!</v>
      </c>
      <c r="BN129" s="42" t="e">
        <f t="shared" ca="1" si="292"/>
        <v>#DIV/0!</v>
      </c>
      <c r="BO129" s="293">
        <f t="shared" si="441"/>
        <v>22</v>
      </c>
      <c r="BP129" s="41">
        <f t="shared" si="442"/>
        <v>14</v>
      </c>
      <c r="BQ129" s="41">
        <f t="shared" si="443"/>
        <v>8</v>
      </c>
      <c r="BR129" s="305" t="str">
        <f t="shared" ca="1" si="295"/>
        <v/>
      </c>
      <c r="BS129" s="305" t="str">
        <f t="shared" ca="1" si="444"/>
        <v/>
      </c>
      <c r="BT129" s="307" t="str">
        <f t="shared" ca="1" si="445"/>
        <v/>
      </c>
      <c r="BU129" s="161" t="str">
        <f t="shared" ca="1" si="298"/>
        <v/>
      </c>
      <c r="BV129" s="161" t="str">
        <f t="shared" ca="1" si="299"/>
        <v/>
      </c>
      <c r="BW129" s="308" t="str">
        <f t="shared" ca="1" si="300"/>
        <v/>
      </c>
      <c r="BX129" s="309" t="str">
        <f t="shared" ca="1" si="301"/>
        <v/>
      </c>
      <c r="BY129" s="308" t="str">
        <f t="shared" ca="1" si="446"/>
        <v/>
      </c>
      <c r="BZ129" s="309" t="str">
        <f t="shared" ca="1" si="447"/>
        <v/>
      </c>
      <c r="CA129" s="154" t="str">
        <f t="shared" ca="1" si="302"/>
        <v/>
      </c>
      <c r="CB129" s="154" t="str">
        <f t="shared" ca="1" si="303"/>
        <v/>
      </c>
      <c r="CC129" s="154" t="str">
        <f t="shared" ca="1" si="304"/>
        <v/>
      </c>
      <c r="CD129" s="154" t="str">
        <f t="shared" ca="1" si="305"/>
        <v/>
      </c>
      <c r="CE129" s="310">
        <v>1</v>
      </c>
      <c r="CF129" s="162">
        <f ca="1">IF(BD129,_xll.xCrudeAPO(BU129,BV129,CA129,CB129,S130,S131,BI129,BL129,BP129,BQ129,0,Strike1,AO129,CE129,0,BL129,IF(OptControl=4,0,1),0,1),0)</f>
        <v>0</v>
      </c>
      <c r="CG129" s="163">
        <f ca="1">IF(BD129,_xll.xCrudeAPO(BU129,BV129,CA129,CB129,S130,S131,BI129,BL129,BP129,BQ129,0,Strike1,AO129,CE129,0,BL129,IF(OptControl=4,0,1),1,1)+_xll.xCrudeAPO(BU129,BV129,CA129,CB129,S130,S131,BI129,BL129,BP129,BQ129,0,Strike1,AO129,CE129,0,BL129,IF(OptControl=4,0,1),1,2)+IF(OR(VolSkewFlag=2,ABS(BS129)&lt;0.0001),0,IF(BS129&gt;0,-1,1)*CH129*Strike1/BR129^2*BY129/10%),0)</f>
        <v>0</v>
      </c>
      <c r="CH129" s="163">
        <f ca="1">IF(BD129,(_xll.xCrudeAPO(BU129,BV129,CA129,CB129,S130,S131,BI129,BL129,BP129,BQ129,0,Strike1,AO129,CE129,0,BL129,IF(OptControl=4,0,1),3,1)+_xll.xCrudeAPO(BU129,BV129,CA129,CB129,S130,S131,BI129,BL129,BP129,BQ129,0,Strike1,AO129,CE129,0,BL129,IF(OptControl=4,0,1),3,2))/100,0)</f>
        <v>0</v>
      </c>
      <c r="CI129" s="163">
        <f ca="1">IF(BD129,_xll.xCrudeAPO(BU129,BV129,CA129,CB129,S130,S131,BI129-DaysForThetaCalculation/365.25,BL129-DaysForThetaCalculation/365.25,BP129,BQ129,0,Strike1,AO129,CE129,0,BL129,IF(OptControl=4,0,1),0,1)-_xll.xCrudeAPO(BU129,BV129,CA129,CB129,S130,S131,BI129,BL129,BP129,BQ129,0,Strike1,AO129,CE129,0,BL129,IF(OptControl=4,0,1),0,1),0)</f>
        <v>0</v>
      </c>
      <c r="CJ129" s="311">
        <f ca="1">IF(BD129,_xll.xCrudeAPO(BU129,BV129,CC129,CD129,S130,S131,BI129,BL129,BP129,BQ129,0,Strike2,AO129,CE129,0,BL129,IF(OptControl=3,1,0),0,1),0)</f>
        <v>0</v>
      </c>
      <c r="CK129" s="163">
        <f ca="1">IF(BD129,_xll.xCrudeAPO(BU129,BV129,CC129,CD129,S130,S131,BI129,BL129,BP129,BQ129,0,Strike2,AO129,CE129,0,BL129,IF(OptControl=3,1,0),1,1)+_xll.xCrudeAPO(BU129,BV129,CC129,CD129,S130,S131,BI129,BL129,BP129,BQ129,0,Strike2,AO129,CE129,0,BL129,IF(OptControl=3,1,0),1,2)+IF(OR(VolSkewFlag=2,ABS(BT129)&lt;0.0001),0,IF(BT129&gt;0,-1,1)*CL129*Strike2/BR129^2*BZ129/10%),0)</f>
        <v>0</v>
      </c>
      <c r="CL129" s="163">
        <f ca="1">IF(BD129,(_xll.xCrudeAPO(BU129,BV129,CC129,CD129,S130,S131,BI129,BL129,BP129,BQ129,0,Strike2,AO129,CE129,0,BL129,IF(OptControl=3,1,0),3,1)+_xll.xCrudeAPO(BU129,BV129,CC129,CD129,S130,S131,BI129,BL129,BP129,BQ129,0,Strike2,AO129,CE129,0,BL129,IF(OptControl=3,1,0),3,2))/100,0)</f>
        <v>0</v>
      </c>
      <c r="CM129" s="164">
        <f ca="1">IF(BD129,_xll.xCrudeAPO(BU129,BV129,CC129,CD129,S130,S131,BI129-DaysForThetaCalculation/365.25,BL129-DaysForThetaCalculation/365.25,BP129,BQ129,0,Strike2,AO129,CE129,0,BL129,IF(OptControl=3,1,0),0,1)-_xll.xCrudeAPO(BU129,BV129,CC129,CD129,S130,S131,BI129,BL129,BP129,BQ129,0,Strike2,AO129,CE129,0,BL129,IF(OptControl=3,1,0),0,1),0)</f>
        <v>0</v>
      </c>
      <c r="CN129" s="53"/>
      <c r="CO129" s="796" t="str">
        <f t="shared" ca="1" si="323"/>
        <v/>
      </c>
      <c r="CP129" s="800" t="str">
        <f t="shared" ca="1" si="324"/>
        <v/>
      </c>
      <c r="CQ129" s="797" t="str">
        <f t="shared" ca="1" si="325"/>
        <v/>
      </c>
      <c r="CR129" s="797" t="str">
        <f t="shared" ca="1" si="326"/>
        <v/>
      </c>
      <c r="CS129" s="797" t="str">
        <f t="shared" ca="1" si="327"/>
        <v/>
      </c>
      <c r="CT129" s="797" t="str">
        <f t="shared" ca="1" si="328"/>
        <v/>
      </c>
      <c r="CU129" s="798" t="str">
        <f t="shared" ca="1" si="329"/>
        <v/>
      </c>
      <c r="CV129" s="799" t="str">
        <f t="shared" ca="1" si="330"/>
        <v/>
      </c>
      <c r="CW129" s="799" t="str">
        <f t="shared" ca="1" si="331"/>
        <v/>
      </c>
      <c r="CX129" s="163">
        <f ca="1">IF(BD129,_xll.EURO(CP129,Strike1,AO129,AO129,CV129,CO129,IF(OptControl=4,0,1),0),0)</f>
        <v>0</v>
      </c>
      <c r="CY129" s="163">
        <f ca="1">IF(BD129,_xll.EURO(CP129,Strike1,AO129,AO129,CV129,CO129,IF(OptControl=4,0,1),1)+IF(OR(VolSkewFlag=2,ABS(CQ129)&lt;0.0001),0,IF(CQ129&gt;0,-1,1)*CZ129*100*Strike1/CP129^2*CS129/10%),0)</f>
        <v>0</v>
      </c>
      <c r="CZ129" s="163">
        <f ca="1">IF(BD129,_xll.EURO(CP129,Strike1,AO129,AO129,CV129,CO129,IF(OptControl=4,0,1),3)/100,0)</f>
        <v>0</v>
      </c>
      <c r="DA129" s="163">
        <f ca="1">IF(BD129,_xll.EURO(CP129,Strike1,AO129,AO129,CV129,CO129,IF(OptControl=4,0,1),0)-_xll.EURO(CP129,Strike1,AO129,AO129,CV129,CO129-1,IF(OptControl=4,0,1),0),0)</f>
        <v>0</v>
      </c>
      <c r="DB129" s="163">
        <f ca="1">IF(BD129,_xll.EURO(CP129,Strike2,AO129,AO129,CW129,CO129,IF(OptControl=3,1,0),0),0)</f>
        <v>0</v>
      </c>
      <c r="DC129" s="163">
        <f ca="1">IF(BD129,_xll.EURO(CP129,Strike2,AO129,AO129,CW129,CO129,IF(OptControl=3,1,0),1)+IF(OR(VolSkewFlag=2,ABS(CR129)&lt;0.0001),0,IF(CR129&gt;0,-1,1)*DD129*100*Strike2/CP129^2*CT129/10%),0)</f>
        <v>0</v>
      </c>
      <c r="DD129" s="163">
        <f ca="1">IF(BD129,_xll.EURO(CP129,Strike2,AO129,AO129,CW129,CO129,IF(OptControl=3,1,0),3)/100,0)</f>
        <v>0</v>
      </c>
      <c r="DE129" s="164">
        <f ca="1">IF(BD129,_xll.EURO(CP129,Strike2,AO129,AO129,CW129,CO129,IF(OptControl=3,1,0),0)-_xll.EURO(CP129,Strike2,AO129,AO129,CW129,CO129-1,IF(OptControl=3,1,0),0),0)</f>
        <v>0</v>
      </c>
      <c r="DG129" s="667">
        <f t="shared" ca="1" si="332"/>
        <v>39873</v>
      </c>
      <c r="DH129" s="475">
        <v>19.61</v>
      </c>
      <c r="DI129" s="665">
        <v>19.675909090909116</v>
      </c>
      <c r="DJ129" s="666">
        <f t="shared" ca="1" si="466"/>
        <v>39873</v>
      </c>
      <c r="DK129" s="475">
        <v>18.447732523011393</v>
      </c>
      <c r="DL129" s="665">
        <v>18.507409090909114</v>
      </c>
      <c r="DM129" s="667">
        <f t="shared" ca="1" si="467"/>
        <v>39873</v>
      </c>
      <c r="DN129" s="668">
        <f t="shared" si="468"/>
        <v>18.497732523011393</v>
      </c>
      <c r="DO129" s="667">
        <f t="shared" ca="1" si="333"/>
        <v>39873</v>
      </c>
      <c r="DP129" s="579">
        <f t="shared" si="334"/>
        <v>18.507409090909114</v>
      </c>
      <c r="DQ129" s="821">
        <v>0</v>
      </c>
      <c r="DR129" s="666">
        <f t="shared" ca="1" si="469"/>
        <v>39873</v>
      </c>
      <c r="DS129" s="669">
        <v>0.15919999999999904</v>
      </c>
      <c r="DT129" s="606">
        <v>0.15840909090908994</v>
      </c>
      <c r="DU129" s="666">
        <f t="shared" ca="1" si="470"/>
        <v>39873</v>
      </c>
      <c r="DV129" s="669">
        <v>0.15919999999999904</v>
      </c>
      <c r="DW129" s="606">
        <v>0.15840909090908994</v>
      </c>
      <c r="DX129" s="667">
        <f t="shared" ca="1" si="471"/>
        <v>39873</v>
      </c>
      <c r="DY129" s="606">
        <v>0.35</v>
      </c>
      <c r="DZ129" s="667">
        <f t="shared" ca="1" si="335"/>
        <v>39873</v>
      </c>
      <c r="EA129" s="606">
        <f t="shared" si="336"/>
        <v>0.15840909090908994</v>
      </c>
      <c r="EB129" s="1"/>
      <c r="EC129" s="118" t="str">
        <f t="shared" ca="1" si="472"/>
        <v/>
      </c>
      <c r="ED129" s="119" t="str">
        <f t="shared" ca="1" si="313"/>
        <v/>
      </c>
      <c r="EE129" s="112" t="str">
        <f t="shared" ca="1" si="314"/>
        <v/>
      </c>
      <c r="EF129" s="120">
        <f ca="1">IF(BD129,_xll.xASN(BR129,Strike1,AO129,ED129,0,BO129,0,BI129,BL129,IF(OptControl=4,0,1),0),0)</f>
        <v>0</v>
      </c>
      <c r="EG129" s="111">
        <f ca="1">IF(BD129,_xll.xASN(BR129,Strike2,AO129,EE129,0,BO129,0,BI129,BL129,IF(OptControl=3,1,0),0),0)</f>
        <v>0</v>
      </c>
      <c r="EL129" s="55"/>
      <c r="EM129" s="1"/>
      <c r="EN129" s="106"/>
      <c r="EO129" s="106"/>
      <c r="EP129" s="1"/>
      <c r="EQ129" s="683" t="s">
        <v>342</v>
      </c>
      <c r="ES129" s="455"/>
      <c r="ET129" s="36"/>
      <c r="EU129" s="107"/>
      <c r="EV129" s="475"/>
      <c r="EW129" s="456"/>
      <c r="EX129" s="456"/>
      <c r="EY129" s="250"/>
      <c r="EZ129" s="250"/>
      <c r="FA129" s="250"/>
      <c r="FB129" s="250"/>
      <c r="FC129" s="250"/>
      <c r="FD129" s="250"/>
      <c r="FE129" s="250"/>
      <c r="FF129" s="250"/>
      <c r="FG129" s="250"/>
      <c r="FH129" s="250"/>
      <c r="FI129" s="250"/>
      <c r="FJ129" s="673">
        <v>35</v>
      </c>
      <c r="FK129" s="460">
        <f t="shared" ca="1" si="479"/>
        <v>0</v>
      </c>
      <c r="FL129" s="460">
        <f t="shared" ref="FL129:HW132" ca="1" si="481">IF($FJ54&lt;FL$94,"",SQRT(FL54/FL$15))</f>
        <v>0.16685811814004453</v>
      </c>
      <c r="FM129" s="460">
        <f t="shared" ca="1" si="481"/>
        <v>0.1713772121712468</v>
      </c>
      <c r="FN129" s="460">
        <f t="shared" ca="1" si="481"/>
        <v>0.16822856735377473</v>
      </c>
      <c r="FO129" s="460">
        <f t="shared" ca="1" si="481"/>
        <v>0.1659242869445354</v>
      </c>
      <c r="FP129" s="460">
        <f t="shared" ca="1" si="481"/>
        <v>0.16426339958197927</v>
      </c>
      <c r="FQ129" s="460">
        <f t="shared" ca="1" si="481"/>
        <v>0.16309689586827003</v>
      </c>
      <c r="FR129" s="460">
        <f t="shared" ca="1" si="481"/>
        <v>0.16231504927102294</v>
      </c>
      <c r="FS129" s="460">
        <f t="shared" ca="1" si="481"/>
        <v>0.1618379647302087</v>
      </c>
      <c r="FT129" s="460">
        <f t="shared" ca="1" si="481"/>
        <v>0.16160856009630725</v>
      </c>
      <c r="FU129" s="460">
        <f t="shared" ca="1" si="481"/>
        <v>0.16158738711201368</v>
      </c>
      <c r="FV129" s="460">
        <f t="shared" ca="1" si="481"/>
        <v>0.1617488506568279</v>
      </c>
      <c r="FW129" s="460">
        <f t="shared" ca="1" si="481"/>
        <v>0.16207850007116523</v>
      </c>
      <c r="FX129" s="460">
        <f t="shared" ca="1" si="481"/>
        <v>0.16257115417232681</v>
      </c>
      <c r="FY129" s="460">
        <f t="shared" ca="1" si="481"/>
        <v>0.16322968942680058</v>
      </c>
      <c r="FZ129" s="460">
        <f t="shared" ca="1" si="481"/>
        <v>0.16406437439036273</v>
      </c>
      <c r="GA129" s="460">
        <f t="shared" ca="1" si="481"/>
        <v>0.16509267759488797</v>
      </c>
      <c r="GB129" s="460">
        <f t="shared" ca="1" si="481"/>
        <v>0.16633951449412385</v>
      </c>
      <c r="GC129" s="460">
        <f t="shared" ca="1" si="481"/>
        <v>0.16783793555280152</v>
      </c>
      <c r="GD129" s="460">
        <f t="shared" ca="1" si="481"/>
        <v>0.16963029591317644</v>
      </c>
      <c r="GE129" s="460">
        <f t="shared" ca="1" si="481"/>
        <v>0.17176999185005745</v>
      </c>
      <c r="GF129" s="460">
        <f t="shared" ca="1" si="481"/>
        <v>0.17432390645604262</v>
      </c>
      <c r="GG129" s="460">
        <f t="shared" ca="1" si="481"/>
        <v>0.17737578536248905</v>
      </c>
      <c r="GH129" s="460">
        <f t="shared" ca="1" si="481"/>
        <v>0.18103087604689941</v>
      </c>
      <c r="GI129" s="460">
        <f t="shared" ca="1" si="481"/>
        <v>0.1854223324704283</v>
      </c>
      <c r="GJ129" s="460">
        <f t="shared" ca="1" si="481"/>
        <v>0.19072014500434611</v>
      </c>
      <c r="GK129" s="460">
        <f t="shared" ca="1" si="481"/>
        <v>0.19714376217013474</v>
      </c>
      <c r="GL129" s="460">
        <f t="shared" ca="1" si="481"/>
        <v>0.20498022669293112</v>
      </c>
      <c r="GM129" s="460">
        <f t="shared" ca="1" si="481"/>
        <v>0.21461073372071043</v>
      </c>
      <c r="GN129" s="460">
        <f t="shared" ca="1" si="481"/>
        <v>0.22655036385530491</v>
      </c>
      <c r="GO129" s="460">
        <f t="shared" ca="1" si="481"/>
        <v>0.24150897299757484</v>
      </c>
      <c r="GP129" s="460">
        <f t="shared" ca="1" si="481"/>
        <v>0.26048706178236525</v>
      </c>
      <c r="GQ129" s="460">
        <f t="shared" ca="1" si="481"/>
        <v>0.28493140514487036</v>
      </c>
      <c r="GR129" s="460">
        <f t="shared" ca="1" si="481"/>
        <v>0.31699664944608691</v>
      </c>
      <c r="GS129" s="460">
        <f t="shared" ca="1" si="481"/>
        <v>0.36000301357277159</v>
      </c>
      <c r="GT129" s="460" t="str">
        <f t="shared" si="481"/>
        <v/>
      </c>
      <c r="GU129" s="460" t="str">
        <f t="shared" si="481"/>
        <v/>
      </c>
      <c r="GV129" s="460" t="str">
        <f t="shared" si="481"/>
        <v/>
      </c>
      <c r="GW129" s="460" t="str">
        <f t="shared" si="481"/>
        <v/>
      </c>
      <c r="GX129" s="460" t="str">
        <f t="shared" si="481"/>
        <v/>
      </c>
      <c r="GY129" s="460" t="str">
        <f t="shared" si="481"/>
        <v/>
      </c>
      <c r="GZ129" s="460" t="str">
        <f t="shared" si="481"/>
        <v/>
      </c>
      <c r="HA129" s="460" t="str">
        <f t="shared" si="481"/>
        <v/>
      </c>
      <c r="HB129" s="460" t="str">
        <f t="shared" si="481"/>
        <v/>
      </c>
      <c r="HC129" s="460" t="str">
        <f t="shared" si="481"/>
        <v/>
      </c>
      <c r="HD129" s="460" t="str">
        <f t="shared" si="481"/>
        <v/>
      </c>
      <c r="HE129" s="460" t="str">
        <f t="shared" si="481"/>
        <v/>
      </c>
      <c r="HF129" s="460" t="str">
        <f t="shared" si="481"/>
        <v/>
      </c>
      <c r="HG129" s="460" t="str">
        <f t="shared" si="481"/>
        <v/>
      </c>
      <c r="HH129" s="460" t="str">
        <f t="shared" si="481"/>
        <v/>
      </c>
      <c r="HI129" s="460" t="str">
        <f t="shared" si="481"/>
        <v/>
      </c>
      <c r="HJ129" s="460" t="str">
        <f t="shared" si="481"/>
        <v/>
      </c>
      <c r="HK129" s="460" t="str">
        <f t="shared" si="481"/>
        <v/>
      </c>
      <c r="HL129" s="460" t="str">
        <f t="shared" si="481"/>
        <v/>
      </c>
      <c r="HM129" s="460" t="str">
        <f t="shared" si="481"/>
        <v/>
      </c>
      <c r="HN129" s="460" t="str">
        <f t="shared" si="481"/>
        <v/>
      </c>
      <c r="HO129" s="460" t="str">
        <f t="shared" si="481"/>
        <v/>
      </c>
      <c r="HP129" s="460" t="str">
        <f t="shared" si="481"/>
        <v/>
      </c>
      <c r="HQ129" s="460" t="str">
        <f t="shared" si="481"/>
        <v/>
      </c>
      <c r="HR129" s="460" t="str">
        <f t="shared" si="481"/>
        <v/>
      </c>
      <c r="HS129" s="460" t="str">
        <f t="shared" si="481"/>
        <v/>
      </c>
      <c r="HT129" s="460" t="str">
        <f t="shared" si="481"/>
        <v/>
      </c>
      <c r="HU129" s="460" t="str">
        <f t="shared" si="481"/>
        <v/>
      </c>
      <c r="HV129" s="460" t="str">
        <f t="shared" si="481"/>
        <v/>
      </c>
      <c r="HW129" s="460" t="str">
        <f t="shared" si="481"/>
        <v/>
      </c>
      <c r="HX129" s="460" t="str">
        <f t="shared" si="480"/>
        <v/>
      </c>
      <c r="HY129" s="460" t="str">
        <f t="shared" si="480"/>
        <v/>
      </c>
      <c r="HZ129" s="460" t="str">
        <f t="shared" si="480"/>
        <v/>
      </c>
      <c r="IA129" s="460" t="str">
        <f t="shared" si="480"/>
        <v/>
      </c>
      <c r="IB129" s="460" t="str">
        <f t="shared" si="480"/>
        <v/>
      </c>
      <c r="IC129" s="460" t="str">
        <f t="shared" si="480"/>
        <v/>
      </c>
      <c r="ID129" s="674" t="str">
        <f t="shared" si="480"/>
        <v/>
      </c>
      <c r="IE129" s="250"/>
    </row>
    <row r="130" spans="8:239">
      <c r="H130" s="51">
        <f t="shared" ca="1" si="315"/>
        <v>0</v>
      </c>
      <c r="I130" s="379">
        <f t="shared" si="316"/>
        <v>40118</v>
      </c>
      <c r="J130" s="377"/>
      <c r="K130" s="104" t="s">
        <v>268</v>
      </c>
      <c r="L130" s="392">
        <f t="shared" si="317"/>
        <v>1.2750000000000004</v>
      </c>
      <c r="M130" s="171"/>
      <c r="N130" s="382">
        <v>0</v>
      </c>
      <c r="O130" s="171">
        <f t="shared" si="272"/>
        <v>0</v>
      </c>
      <c r="P130" s="377"/>
      <c r="Q130" s="104" t="s">
        <v>268</v>
      </c>
      <c r="R130" s="377">
        <f t="shared" ca="1" si="417"/>
        <v>6.5275667443378829E-2</v>
      </c>
      <c r="S130" s="832">
        <f t="shared" si="435"/>
        <v>0.36000000000000099</v>
      </c>
      <c r="T130" s="831">
        <f t="shared" si="418"/>
        <v>0.99999999631226311</v>
      </c>
      <c r="U130" s="545">
        <f t="shared" si="419"/>
        <v>0.99999999999999978</v>
      </c>
      <c r="V130" s="389">
        <v>0</v>
      </c>
      <c r="W130" s="434">
        <f t="shared" si="455"/>
        <v>0</v>
      </c>
      <c r="X130" s="415">
        <f t="shared" si="456"/>
        <v>1.3232142857142861</v>
      </c>
      <c r="Y130" s="322">
        <f t="shared" si="457"/>
        <v>-1.1931</v>
      </c>
      <c r="Z130" s="322">
        <f t="shared" ca="1" si="458"/>
        <v>0.13011428571428607</v>
      </c>
      <c r="AA130" s="429">
        <f t="shared" si="277"/>
        <v>1.1931</v>
      </c>
      <c r="AB130" s="433">
        <f t="shared" ca="1" si="278"/>
        <v>1.1931</v>
      </c>
      <c r="AC130" s="229">
        <v>40106</v>
      </c>
      <c r="AD130" s="229">
        <v>40102</v>
      </c>
      <c r="AE130" s="229">
        <v>40101</v>
      </c>
      <c r="AF130" s="229">
        <v>40097</v>
      </c>
      <c r="AG130" s="249" t="s">
        <v>499</v>
      </c>
      <c r="AH130" s="247" t="s">
        <v>499</v>
      </c>
      <c r="AI130" s="146">
        <v>21</v>
      </c>
      <c r="AJ130" s="41">
        <v>15</v>
      </c>
      <c r="AK130" s="41">
        <v>6</v>
      </c>
      <c r="AL130" s="293">
        <v>21</v>
      </c>
      <c r="AM130" s="41">
        <v>10</v>
      </c>
      <c r="AN130" s="147">
        <v>11</v>
      </c>
      <c r="AO130" s="374"/>
      <c r="AP130" s="153">
        <f t="shared" ca="1" si="318"/>
        <v>1</v>
      </c>
      <c r="AQ130" s="374"/>
      <c r="AR130" s="153">
        <f t="shared" ca="1" si="420"/>
        <v>1</v>
      </c>
      <c r="AS130" s="272">
        <f t="shared" si="459"/>
        <v>0</v>
      </c>
      <c r="AT130" s="157">
        <f t="shared" si="319"/>
        <v>0</v>
      </c>
      <c r="AU130" s="157">
        <f t="shared" si="280"/>
        <v>0</v>
      </c>
      <c r="AV130" s="271">
        <f t="shared" ca="1" si="430"/>
        <v>9.9999999999999995E-7</v>
      </c>
      <c r="AW130" s="158" t="str">
        <f t="shared" ca="1" si="460"/>
        <v/>
      </c>
      <c r="AX130" s="157">
        <f t="shared" ca="1" si="421"/>
        <v>6.2259294818589595E-4</v>
      </c>
      <c r="AY130" s="157">
        <f t="shared" ca="1" si="422"/>
        <v>2.314441052287207E-4</v>
      </c>
      <c r="AZ130" s="157">
        <f t="shared" ca="1" si="423"/>
        <v>2.5431806901681144E-5</v>
      </c>
      <c r="BA130" s="157">
        <f t="shared" ca="1" si="424"/>
        <v>3.178975862710143E-6</v>
      </c>
      <c r="BB130" s="157">
        <f t="shared" ca="1" si="425"/>
        <v>1.6493399621470504E-7</v>
      </c>
      <c r="BC130" s="157">
        <f t="shared" ca="1" si="426"/>
        <v>2.021177507138664E-8</v>
      </c>
      <c r="BD130" s="151">
        <f t="shared" ca="1" si="461"/>
        <v>0</v>
      </c>
      <c r="BE130" s="152">
        <f t="shared" ca="1" si="462"/>
        <v>0</v>
      </c>
      <c r="BF130" s="40">
        <f t="shared" si="463"/>
        <v>2009</v>
      </c>
      <c r="BG130" s="144">
        <f t="shared" si="464"/>
        <v>11</v>
      </c>
      <c r="BH130" s="145">
        <f t="shared" ca="1" si="465"/>
        <v>3357</v>
      </c>
      <c r="BI130" s="313">
        <f t="shared" ca="1" si="439"/>
        <v>9.2347707049965777</v>
      </c>
      <c r="BJ130" s="42">
        <f t="shared" ca="1" si="288"/>
        <v>9.2914833284443148</v>
      </c>
      <c r="BK130" s="42">
        <f t="shared" ca="1" si="289"/>
        <v>9.2942211792314477</v>
      </c>
      <c r="BL130" s="42">
        <f t="shared" ca="1" si="440"/>
        <v>9.3141683778234086</v>
      </c>
      <c r="BM130" s="150" t="e">
        <f t="shared" ca="1" si="291"/>
        <v>#DIV/0!</v>
      </c>
      <c r="BN130" s="42" t="e">
        <f t="shared" ca="1" si="292"/>
        <v>#DIV/0!</v>
      </c>
      <c r="BO130" s="293">
        <f t="shared" si="441"/>
        <v>21</v>
      </c>
      <c r="BP130" s="41">
        <f t="shared" si="442"/>
        <v>15</v>
      </c>
      <c r="BQ130" s="41">
        <f t="shared" si="443"/>
        <v>6</v>
      </c>
      <c r="BR130" s="305" t="str">
        <f t="shared" ca="1" si="295"/>
        <v/>
      </c>
      <c r="BS130" s="305" t="str">
        <f t="shared" ca="1" si="444"/>
        <v/>
      </c>
      <c r="BT130" s="307" t="str">
        <f t="shared" ca="1" si="445"/>
        <v/>
      </c>
      <c r="BU130" s="161" t="str">
        <f t="shared" ca="1" si="298"/>
        <v/>
      </c>
      <c r="BV130" s="161" t="str">
        <f t="shared" ca="1" si="299"/>
        <v/>
      </c>
      <c r="BW130" s="308" t="str">
        <f t="shared" ca="1" si="300"/>
        <v/>
      </c>
      <c r="BX130" s="309" t="str">
        <f t="shared" ca="1" si="301"/>
        <v/>
      </c>
      <c r="BY130" s="308" t="str">
        <f t="shared" ca="1" si="446"/>
        <v/>
      </c>
      <c r="BZ130" s="309" t="str">
        <f t="shared" ca="1" si="447"/>
        <v/>
      </c>
      <c r="CA130" s="154" t="str">
        <f t="shared" ca="1" si="302"/>
        <v/>
      </c>
      <c r="CB130" s="154" t="str">
        <f t="shared" ca="1" si="303"/>
        <v/>
      </c>
      <c r="CC130" s="154" t="str">
        <f t="shared" ca="1" si="304"/>
        <v/>
      </c>
      <c r="CD130" s="154" t="str">
        <f t="shared" ca="1" si="305"/>
        <v/>
      </c>
      <c r="CE130" s="310">
        <v>1</v>
      </c>
      <c r="CF130" s="162">
        <f ca="1">IF(BD130,_xll.xCrudeAPO(BU130,BV130,CA130,CB130,S131,S132,BI130,BL130,BP130,BQ130,0,Strike1,AO130,CE130,0,BL130,IF(OptControl=4,0,1),0,1),0)</f>
        <v>0</v>
      </c>
      <c r="CG130" s="163">
        <f ca="1">IF(BD130,_xll.xCrudeAPO(BU130,BV130,CA130,CB130,S131,S132,BI130,BL130,BP130,BQ130,0,Strike1,AO130,CE130,0,BL130,IF(OptControl=4,0,1),1,1)+_xll.xCrudeAPO(BU130,BV130,CA130,CB130,S131,S132,BI130,BL130,BP130,BQ130,0,Strike1,AO130,CE130,0,BL130,IF(OptControl=4,0,1),1,2)+IF(OR(VolSkewFlag=2,ABS(BS130)&lt;0.0001),0,IF(BS130&gt;0,-1,1)*CH130*Strike1/BR130^2*BY130/10%),0)</f>
        <v>0</v>
      </c>
      <c r="CH130" s="163">
        <f ca="1">IF(BD130,(_xll.xCrudeAPO(BU130,BV130,CA130,CB130,S131,S132,BI130,BL130,BP130,BQ130,0,Strike1,AO130,CE130,0,BL130,IF(OptControl=4,0,1),3,1)+_xll.xCrudeAPO(BU130,BV130,CA130,CB130,S131,S132,BI130,BL130,BP130,BQ130,0,Strike1,AO130,CE130,0,BL130,IF(OptControl=4,0,1),3,2))/100,0)</f>
        <v>0</v>
      </c>
      <c r="CI130" s="163">
        <f ca="1">IF(BD130,_xll.xCrudeAPO(BU130,BV130,CA130,CB130,S131,S132,BI130-DaysForThetaCalculation/365.25,BL130-DaysForThetaCalculation/365.25,BP130,BQ130,0,Strike1,AO130,CE130,0,BL130,IF(OptControl=4,0,1),0,1)-_xll.xCrudeAPO(BU130,BV130,CA130,CB130,S131,S132,BI130,BL130,BP130,BQ130,0,Strike1,AO130,CE130,0,BL130,IF(OptControl=4,0,1),0,1),0)</f>
        <v>0</v>
      </c>
      <c r="CJ130" s="311">
        <f ca="1">IF(BD130,_xll.xCrudeAPO(BU130,BV130,CC130,CD130,S131,S132,BI130,BL130,BP130,BQ130,0,Strike2,AO130,CE130,0,BL130,IF(OptControl=3,1,0),0,1),0)</f>
        <v>0</v>
      </c>
      <c r="CK130" s="163">
        <f ca="1">IF(BD130,_xll.xCrudeAPO(BU130,BV130,CC130,CD130,S131,S132,BI130,BL130,BP130,BQ130,0,Strike2,AO130,CE130,0,BL130,IF(OptControl=3,1,0),1,1)+_xll.xCrudeAPO(BU130,BV130,CC130,CD130,S131,S132,BI130,BL130,BP130,BQ130,0,Strike2,AO130,CE130,0,BL130,IF(OptControl=3,1,0),1,2)+IF(OR(VolSkewFlag=2,ABS(BT130)&lt;0.0001),0,IF(BT130&gt;0,-1,1)*CL130*Strike2/BR130^2*BZ130/10%),0)</f>
        <v>0</v>
      </c>
      <c r="CL130" s="163">
        <f ca="1">IF(BD130,(_xll.xCrudeAPO(BU130,BV130,CC130,CD130,S131,S132,BI130,BL130,BP130,BQ130,0,Strike2,AO130,CE130,0,BL130,IF(OptControl=3,1,0),3,1)+_xll.xCrudeAPO(BU130,BV130,CC130,CD130,S131,S132,BI130,BL130,BP130,BQ130,0,Strike2,AO130,CE130,0,BL130,IF(OptControl=3,1,0),3,2))/100,0)</f>
        <v>0</v>
      </c>
      <c r="CM130" s="164">
        <f ca="1">IF(BD130,_xll.xCrudeAPO(BU130,BV130,CC130,CD130,S131,S132,BI130-DaysForThetaCalculation/365.25,BL130-DaysForThetaCalculation/365.25,BP130,BQ130,0,Strike2,AO130,CE130,0,BL130,IF(OptControl=3,1,0),0,1)-_xll.xCrudeAPO(BU130,BV130,CC130,CD130,S131,S132,BI130,BL130,BP130,BQ130,0,Strike2,AO130,CE130,0,BL130,IF(OptControl=3,1,0),0,1),0)</f>
        <v>0</v>
      </c>
      <c r="CN130" s="53"/>
      <c r="CO130" s="796" t="str">
        <f t="shared" ca="1" si="323"/>
        <v/>
      </c>
      <c r="CP130" s="800" t="str">
        <f t="shared" ca="1" si="324"/>
        <v/>
      </c>
      <c r="CQ130" s="797" t="str">
        <f t="shared" ca="1" si="325"/>
        <v/>
      </c>
      <c r="CR130" s="797" t="str">
        <f t="shared" ca="1" si="326"/>
        <v/>
      </c>
      <c r="CS130" s="797" t="str">
        <f t="shared" ca="1" si="327"/>
        <v/>
      </c>
      <c r="CT130" s="797" t="str">
        <f t="shared" ca="1" si="328"/>
        <v/>
      </c>
      <c r="CU130" s="798" t="str">
        <f t="shared" ca="1" si="329"/>
        <v/>
      </c>
      <c r="CV130" s="799" t="str">
        <f t="shared" ca="1" si="330"/>
        <v/>
      </c>
      <c r="CW130" s="799" t="str">
        <f t="shared" ca="1" si="331"/>
        <v/>
      </c>
      <c r="CX130" s="163">
        <f ca="1">IF(BD130,_xll.EURO(CP130,Strike1,AO130,AO130,CV130,CO130,IF(OptControl=4,0,1),0),0)</f>
        <v>0</v>
      </c>
      <c r="CY130" s="163">
        <f ca="1">IF(BD130,_xll.EURO(CP130,Strike1,AO130,AO130,CV130,CO130,IF(OptControl=4,0,1),1)+IF(OR(VolSkewFlag=2,ABS(CQ130)&lt;0.0001),0,IF(CQ130&gt;0,-1,1)*CZ130*100*Strike1/CP130^2*CS130/10%),0)</f>
        <v>0</v>
      </c>
      <c r="CZ130" s="163">
        <f ca="1">IF(BD130,_xll.EURO(CP130,Strike1,AO130,AO130,CV130,CO130,IF(OptControl=4,0,1),3)/100,0)</f>
        <v>0</v>
      </c>
      <c r="DA130" s="163">
        <f ca="1">IF(BD130,_xll.EURO(CP130,Strike1,AO130,AO130,CV130,CO130,IF(OptControl=4,0,1),0)-_xll.EURO(CP130,Strike1,AO130,AO130,CV130,CO130-1,IF(OptControl=4,0,1),0),0)</f>
        <v>0</v>
      </c>
      <c r="DB130" s="163">
        <f ca="1">IF(BD130,_xll.EURO(CP130,Strike2,AO130,AO130,CW130,CO130,IF(OptControl=3,1,0),0),0)</f>
        <v>0</v>
      </c>
      <c r="DC130" s="163">
        <f ca="1">IF(BD130,_xll.EURO(CP130,Strike2,AO130,AO130,CW130,CO130,IF(OptControl=3,1,0),1)+IF(OR(VolSkewFlag=2,ABS(CR130)&lt;0.0001),0,IF(CR130&gt;0,-1,1)*DD130*100*Strike2/CP130^2*CT130/10%),0)</f>
        <v>0</v>
      </c>
      <c r="DD130" s="163">
        <f ca="1">IF(BD130,_xll.EURO(CP130,Strike2,AO130,AO130,CW130,CO130,IF(OptControl=3,1,0),3)/100,0)</f>
        <v>0</v>
      </c>
      <c r="DE130" s="164">
        <f ca="1">IF(BD130,_xll.EURO(CP130,Strike2,AO130,AO130,CW130,CO130,IF(OptControl=3,1,0),0)-_xll.EURO(CP130,Strike2,AO130,AO130,CW130,CO130-1,IF(OptControl=3,1,0),0),0)</f>
        <v>0</v>
      </c>
      <c r="DG130" s="667">
        <f t="shared" ca="1" si="332"/>
        <v>39904</v>
      </c>
      <c r="DH130" s="475">
        <v>19.66</v>
      </c>
      <c r="DI130" s="665">
        <v>19.728181818181842</v>
      </c>
      <c r="DJ130" s="666">
        <f t="shared" ca="1" si="466"/>
        <v>39904</v>
      </c>
      <c r="DK130" s="475">
        <v>18.460267476988651</v>
      </c>
      <c r="DL130" s="665">
        <v>18.436681818181842</v>
      </c>
      <c r="DM130" s="667">
        <f t="shared" ca="1" si="467"/>
        <v>39904</v>
      </c>
      <c r="DN130" s="668">
        <f t="shared" si="468"/>
        <v>18.510267476988652</v>
      </c>
      <c r="DO130" s="667">
        <f t="shared" ca="1" si="333"/>
        <v>39904</v>
      </c>
      <c r="DP130" s="579">
        <f t="shared" si="334"/>
        <v>18.436681818181842</v>
      </c>
      <c r="DQ130" s="821">
        <v>0</v>
      </c>
      <c r="DR130" s="666">
        <f t="shared" ca="1" si="469"/>
        <v>39904</v>
      </c>
      <c r="DS130" s="669">
        <v>0.15859999999999902</v>
      </c>
      <c r="DT130" s="606">
        <v>0.15778181818181722</v>
      </c>
      <c r="DU130" s="666">
        <f t="shared" ca="1" si="470"/>
        <v>39904</v>
      </c>
      <c r="DV130" s="669">
        <v>0.15859999999999902</v>
      </c>
      <c r="DW130" s="606">
        <v>0.15778181818181722</v>
      </c>
      <c r="DX130" s="667">
        <f t="shared" ca="1" si="471"/>
        <v>39904</v>
      </c>
      <c r="DY130" s="606">
        <v>0.35</v>
      </c>
      <c r="DZ130" s="667">
        <f t="shared" ca="1" si="335"/>
        <v>39904</v>
      </c>
      <c r="EA130" s="606">
        <f t="shared" si="336"/>
        <v>0.15778181818181722</v>
      </c>
      <c r="EB130" s="1"/>
      <c r="EC130" s="118" t="str">
        <f t="shared" ca="1" si="472"/>
        <v/>
      </c>
      <c r="ED130" s="119" t="str">
        <f t="shared" ca="1" si="313"/>
        <v/>
      </c>
      <c r="EE130" s="112" t="str">
        <f t="shared" ca="1" si="314"/>
        <v/>
      </c>
      <c r="EF130" s="120">
        <f ca="1">IF(BD130,_xll.xASN(BR130,Strike1,AO130,ED130,0,BO130,0,BI130,BL130,IF(OptControl=4,0,1),0),0)</f>
        <v>0</v>
      </c>
      <c r="EG130" s="111">
        <f ca="1">IF(BD130,_xll.xASN(BR130,Strike2,AO130,EE130,0,BO130,0,BI130,BL130,IF(OptControl=3,1,0),0),0)</f>
        <v>0</v>
      </c>
      <c r="EL130" s="55"/>
      <c r="EM130" s="1"/>
      <c r="EN130" s="106"/>
      <c r="EO130" s="106"/>
      <c r="EP130" s="1"/>
      <c r="EQ130" s="683" t="s">
        <v>343</v>
      </c>
      <c r="ES130" s="455"/>
      <c r="ET130" s="36"/>
      <c r="EU130" s="107"/>
      <c r="EV130" s="475"/>
      <c r="EW130" s="456"/>
      <c r="EX130" s="456"/>
      <c r="EY130" s="250"/>
      <c r="EZ130" s="250"/>
      <c r="FA130" s="250"/>
      <c r="FB130" s="250"/>
      <c r="FC130" s="250"/>
      <c r="FD130" s="250"/>
      <c r="FE130" s="250"/>
      <c r="FF130" s="250"/>
      <c r="FG130" s="250"/>
      <c r="FH130" s="250"/>
      <c r="FI130" s="250"/>
      <c r="FJ130" s="673">
        <v>36</v>
      </c>
      <c r="FK130" s="460">
        <f t="shared" ca="1" si="479"/>
        <v>0</v>
      </c>
      <c r="FL130" s="460">
        <f t="shared" ca="1" si="481"/>
        <v>0.1667514940874</v>
      </c>
      <c r="FM130" s="460">
        <f t="shared" ca="1" si="481"/>
        <v>0.17124912124899308</v>
      </c>
      <c r="FN130" s="460">
        <f t="shared" ca="1" si="481"/>
        <v>0.16808149655256896</v>
      </c>
      <c r="FO130" s="460">
        <f t="shared" ca="1" si="481"/>
        <v>0.16575461783386627</v>
      </c>
      <c r="FP130" s="460">
        <f t="shared" ca="1" si="481"/>
        <v>0.16406692552351451</v>
      </c>
      <c r="FQ130" s="460">
        <f t="shared" ca="1" si="481"/>
        <v>0.16286871034024544</v>
      </c>
      <c r="FR130" s="460">
        <f t="shared" ca="1" si="481"/>
        <v>0.16204941342572879</v>
      </c>
      <c r="FS130" s="460">
        <f t="shared" ca="1" si="481"/>
        <v>0.16152814964264425</v>
      </c>
      <c r="FT130" s="460">
        <f t="shared" ca="1" si="481"/>
        <v>0.16124665803884164</v>
      </c>
      <c r="FU130" s="460">
        <f t="shared" ca="1" si="481"/>
        <v>0.16116408473106839</v>
      </c>
      <c r="FV130" s="460">
        <f t="shared" ca="1" si="481"/>
        <v>0.16125315501701348</v>
      </c>
      <c r="FW130" s="460">
        <f t="shared" ca="1" si="481"/>
        <v>0.16149740600813306</v>
      </c>
      <c r="FX130" s="460">
        <f t="shared" ca="1" si="481"/>
        <v>0.16188923803043634</v>
      </c>
      <c r="FY130" s="460">
        <f t="shared" ca="1" si="481"/>
        <v>0.1624286097290859</v>
      </c>
      <c r="FZ130" s="460">
        <f t="shared" ca="1" si="481"/>
        <v>0.16312225383445703</v>
      </c>
      <c r="GA130" s="460">
        <f t="shared" ca="1" si="481"/>
        <v>0.16398333232146603</v>
      </c>
      <c r="GB130" s="460">
        <f t="shared" ca="1" si="481"/>
        <v>0.16503148485674854</v>
      </c>
      <c r="GC130" s="460">
        <f t="shared" ca="1" si="481"/>
        <v>0.16629325618304375</v>
      </c>
      <c r="GD130" s="460">
        <f t="shared" ca="1" si="481"/>
        <v>0.16780291955330132</v>
      </c>
      <c r="GE130" s="460">
        <f t="shared" ca="1" si="481"/>
        <v>0.16960374791997387</v>
      </c>
      <c r="GF130" s="460">
        <f t="shared" ca="1" si="481"/>
        <v>0.17174982654431406</v>
      </c>
      <c r="GG130" s="460">
        <f t="shared" ca="1" si="481"/>
        <v>0.17430855580791035</v>
      </c>
      <c r="GH130" s="460">
        <f t="shared" ca="1" si="481"/>
        <v>0.17736406978753205</v>
      </c>
      <c r="GI130" s="460">
        <f t="shared" ca="1" si="481"/>
        <v>0.18102190771075161</v>
      </c>
      <c r="GJ130" s="460">
        <f t="shared" ca="1" si="481"/>
        <v>0.18541544271122215</v>
      </c>
      <c r="GK130" s="460">
        <f t="shared" ca="1" si="481"/>
        <v>0.19071482984886753</v>
      </c>
      <c r="GL130" s="460">
        <f t="shared" ca="1" si="481"/>
        <v>0.19713964142445756</v>
      </c>
      <c r="GM130" s="460">
        <f t="shared" ca="1" si="481"/>
        <v>0.20497701321677425</v>
      </c>
      <c r="GN130" s="460">
        <f t="shared" ca="1" si="481"/>
        <v>0.2146082103408995</v>
      </c>
      <c r="GO130" s="460">
        <f t="shared" ca="1" si="481"/>
        <v>0.22654836600787842</v>
      </c>
      <c r="GP130" s="460">
        <f t="shared" ca="1" si="481"/>
        <v>0.24150737566290176</v>
      </c>
      <c r="GQ130" s="460">
        <f t="shared" ca="1" si="481"/>
        <v>0.26048576963233927</v>
      </c>
      <c r="GR130" s="460">
        <f t="shared" ca="1" si="481"/>
        <v>0.28493034508469006</v>
      </c>
      <c r="GS130" s="460">
        <f t="shared" ca="1" si="481"/>
        <v>0.31699576492589326</v>
      </c>
      <c r="GT130" s="460">
        <f t="shared" ca="1" si="481"/>
        <v>0.3600022601795787</v>
      </c>
      <c r="GU130" s="460" t="str">
        <f t="shared" si="481"/>
        <v/>
      </c>
      <c r="GV130" s="460" t="str">
        <f t="shared" si="481"/>
        <v/>
      </c>
      <c r="GW130" s="460" t="str">
        <f t="shared" si="481"/>
        <v/>
      </c>
      <c r="GX130" s="460" t="str">
        <f t="shared" si="481"/>
        <v/>
      </c>
      <c r="GY130" s="460" t="str">
        <f t="shared" si="481"/>
        <v/>
      </c>
      <c r="GZ130" s="460" t="str">
        <f t="shared" si="481"/>
        <v/>
      </c>
      <c r="HA130" s="460" t="str">
        <f t="shared" si="481"/>
        <v/>
      </c>
      <c r="HB130" s="460" t="str">
        <f t="shared" si="481"/>
        <v/>
      </c>
      <c r="HC130" s="460" t="str">
        <f t="shared" si="481"/>
        <v/>
      </c>
      <c r="HD130" s="460" t="str">
        <f t="shared" si="481"/>
        <v/>
      </c>
      <c r="HE130" s="460" t="str">
        <f t="shared" si="481"/>
        <v/>
      </c>
      <c r="HF130" s="460" t="str">
        <f t="shared" si="481"/>
        <v/>
      </c>
      <c r="HG130" s="460" t="str">
        <f t="shared" si="481"/>
        <v/>
      </c>
      <c r="HH130" s="460" t="str">
        <f t="shared" si="481"/>
        <v/>
      </c>
      <c r="HI130" s="460" t="str">
        <f t="shared" si="481"/>
        <v/>
      </c>
      <c r="HJ130" s="460" t="str">
        <f t="shared" si="481"/>
        <v/>
      </c>
      <c r="HK130" s="460" t="str">
        <f t="shared" si="481"/>
        <v/>
      </c>
      <c r="HL130" s="460" t="str">
        <f t="shared" si="481"/>
        <v/>
      </c>
      <c r="HM130" s="460" t="str">
        <f t="shared" si="481"/>
        <v/>
      </c>
      <c r="HN130" s="460" t="str">
        <f t="shared" si="481"/>
        <v/>
      </c>
      <c r="HO130" s="460" t="str">
        <f t="shared" si="481"/>
        <v/>
      </c>
      <c r="HP130" s="460" t="str">
        <f t="shared" si="481"/>
        <v/>
      </c>
      <c r="HQ130" s="460" t="str">
        <f t="shared" si="481"/>
        <v/>
      </c>
      <c r="HR130" s="460" t="str">
        <f t="shared" si="481"/>
        <v/>
      </c>
      <c r="HS130" s="460" t="str">
        <f t="shared" si="481"/>
        <v/>
      </c>
      <c r="HT130" s="460" t="str">
        <f t="shared" si="481"/>
        <v/>
      </c>
      <c r="HU130" s="460" t="str">
        <f t="shared" si="481"/>
        <v/>
      </c>
      <c r="HV130" s="460" t="str">
        <f t="shared" si="481"/>
        <v/>
      </c>
      <c r="HW130" s="460" t="str">
        <f t="shared" si="481"/>
        <v/>
      </c>
      <c r="HX130" s="460" t="str">
        <f t="shared" si="480"/>
        <v/>
      </c>
      <c r="HY130" s="460" t="str">
        <f t="shared" si="480"/>
        <v/>
      </c>
      <c r="HZ130" s="460" t="str">
        <f t="shared" si="480"/>
        <v/>
      </c>
      <c r="IA130" s="460" t="str">
        <f t="shared" si="480"/>
        <v/>
      </c>
      <c r="IB130" s="460" t="str">
        <f t="shared" si="480"/>
        <v/>
      </c>
      <c r="IC130" s="460" t="str">
        <f t="shared" si="480"/>
        <v/>
      </c>
      <c r="ID130" s="674" t="str">
        <f t="shared" si="480"/>
        <v/>
      </c>
      <c r="IE130" s="250"/>
    </row>
    <row r="131" spans="8:239">
      <c r="H131" s="51">
        <f t="shared" ca="1" si="315"/>
        <v>0</v>
      </c>
      <c r="I131" s="379">
        <f t="shared" si="316"/>
        <v>40148</v>
      </c>
      <c r="J131" s="377"/>
      <c r="K131" s="104" t="s">
        <v>268</v>
      </c>
      <c r="L131" s="392">
        <f t="shared" si="317"/>
        <v>1.3125000000000004</v>
      </c>
      <c r="M131" s="171"/>
      <c r="N131" s="382">
        <v>0</v>
      </c>
      <c r="O131" s="171">
        <f t="shared" si="272"/>
        <v>0</v>
      </c>
      <c r="P131" s="377"/>
      <c r="Q131" s="104" t="s">
        <v>268</v>
      </c>
      <c r="R131" s="377">
        <f t="shared" ca="1" si="417"/>
        <v>0.12075361046385159</v>
      </c>
      <c r="S131" s="832">
        <f t="shared" si="435"/>
        <v>0.36000000000000076</v>
      </c>
      <c r="T131" s="831">
        <f t="shared" si="418"/>
        <v>0.99999999684698493</v>
      </c>
      <c r="U131" s="545">
        <f t="shared" si="419"/>
        <v>0.99999999999999978</v>
      </c>
      <c r="V131" s="389">
        <v>0</v>
      </c>
      <c r="W131" s="434">
        <f t="shared" si="455"/>
        <v>0</v>
      </c>
      <c r="X131" s="415">
        <f t="shared" si="456"/>
        <v>1.3636363636363642</v>
      </c>
      <c r="Y131" s="322">
        <f t="shared" si="457"/>
        <v>-1.1931</v>
      </c>
      <c r="Z131" s="322">
        <f t="shared" ca="1" si="458"/>
        <v>0.17053636363636415</v>
      </c>
      <c r="AA131" s="429">
        <f t="shared" si="277"/>
        <v>1.1931</v>
      </c>
      <c r="AB131" s="433">
        <f t="shared" ca="1" si="278"/>
        <v>1.1931</v>
      </c>
      <c r="AC131" s="229">
        <v>40137</v>
      </c>
      <c r="AD131" s="229">
        <v>40133</v>
      </c>
      <c r="AE131" s="229">
        <v>40132</v>
      </c>
      <c r="AF131" s="229">
        <v>40128</v>
      </c>
      <c r="AG131" s="249" t="s">
        <v>499</v>
      </c>
      <c r="AH131" s="247" t="s">
        <v>499</v>
      </c>
      <c r="AI131" s="146">
        <v>22</v>
      </c>
      <c r="AJ131" s="41">
        <v>14</v>
      </c>
      <c r="AK131" s="41">
        <v>8</v>
      </c>
      <c r="AL131" s="293">
        <v>22</v>
      </c>
      <c r="AM131" s="41">
        <v>10</v>
      </c>
      <c r="AN131" s="147">
        <v>12</v>
      </c>
      <c r="AO131" s="374"/>
      <c r="AP131" s="153">
        <f t="shared" ca="1" si="318"/>
        <v>1</v>
      </c>
      <c r="AQ131" s="374"/>
      <c r="AR131" s="153">
        <f t="shared" ca="1" si="420"/>
        <v>1</v>
      </c>
      <c r="AS131" s="272">
        <f t="shared" si="459"/>
        <v>0</v>
      </c>
      <c r="AT131" s="157">
        <f t="shared" si="319"/>
        <v>0</v>
      </c>
      <c r="AU131" s="157">
        <f t="shared" si="280"/>
        <v>0</v>
      </c>
      <c r="AV131" s="271">
        <f t="shared" ca="1" si="430"/>
        <v>9.9999999999999995E-7</v>
      </c>
      <c r="AW131" s="158" t="str">
        <f t="shared" ca="1" si="460"/>
        <v/>
      </c>
      <c r="AX131" s="157">
        <f t="shared" ca="1" si="421"/>
        <v>6.0190773686311387E-4</v>
      </c>
      <c r="AY131" s="157">
        <f t="shared" ca="1" si="422"/>
        <v>2.2226701149594081E-4</v>
      </c>
      <c r="AZ131" s="157">
        <f t="shared" ca="1" si="423"/>
        <v>2.400442925957784E-5</v>
      </c>
      <c r="BA131" s="157">
        <f t="shared" ca="1" si="424"/>
        <v>3.0005536574472301E-6</v>
      </c>
      <c r="BB131" s="157">
        <f t="shared" ca="1" si="425"/>
        <v>1.5050470510752959E-7</v>
      </c>
      <c r="BC131" s="157">
        <f t="shared" ca="1" si="426"/>
        <v>1.8006644502439201E-8</v>
      </c>
      <c r="BD131" s="151">
        <f t="shared" ca="1" si="461"/>
        <v>0</v>
      </c>
      <c r="BE131" s="152">
        <f t="shared" ca="1" si="462"/>
        <v>0</v>
      </c>
      <c r="BF131" s="40">
        <f t="shared" si="463"/>
        <v>2009</v>
      </c>
      <c r="BG131" s="144">
        <f t="shared" si="464"/>
        <v>12</v>
      </c>
      <c r="BH131" s="145">
        <f t="shared" ca="1" si="465"/>
        <v>3388</v>
      </c>
      <c r="BI131" s="313">
        <f t="shared" ca="1" si="439"/>
        <v>9.3169062286105415</v>
      </c>
      <c r="BJ131" s="42">
        <f t="shared" ca="1" si="288"/>
        <v>9.3691742890921539</v>
      </c>
      <c r="BK131" s="42">
        <f t="shared" ca="1" si="289"/>
        <v>9.3719121398792868</v>
      </c>
      <c r="BL131" s="42">
        <f t="shared" ca="1" si="440"/>
        <v>9.3990417522245036</v>
      </c>
      <c r="BM131" s="150" t="e">
        <f t="shared" ca="1" si="291"/>
        <v>#DIV/0!</v>
      </c>
      <c r="BN131" s="42" t="e">
        <f t="shared" ca="1" si="292"/>
        <v>#DIV/0!</v>
      </c>
      <c r="BO131" s="293">
        <f t="shared" si="441"/>
        <v>22</v>
      </c>
      <c r="BP131" s="41">
        <f t="shared" si="442"/>
        <v>14</v>
      </c>
      <c r="BQ131" s="41">
        <f t="shared" si="443"/>
        <v>8</v>
      </c>
      <c r="BR131" s="305" t="str">
        <f t="shared" ca="1" si="295"/>
        <v/>
      </c>
      <c r="BS131" s="305" t="str">
        <f t="shared" ca="1" si="444"/>
        <v/>
      </c>
      <c r="BT131" s="307" t="str">
        <f t="shared" ca="1" si="445"/>
        <v/>
      </c>
      <c r="BU131" s="161" t="str">
        <f t="shared" ca="1" si="298"/>
        <v/>
      </c>
      <c r="BV131" s="161" t="str">
        <f t="shared" ca="1" si="299"/>
        <v/>
      </c>
      <c r="BW131" s="308" t="str">
        <f t="shared" ca="1" si="300"/>
        <v/>
      </c>
      <c r="BX131" s="309" t="str">
        <f t="shared" ca="1" si="301"/>
        <v/>
      </c>
      <c r="BY131" s="308" t="str">
        <f t="shared" ca="1" si="446"/>
        <v/>
      </c>
      <c r="BZ131" s="309" t="str">
        <f t="shared" ca="1" si="447"/>
        <v/>
      </c>
      <c r="CA131" s="154" t="str">
        <f t="shared" ca="1" si="302"/>
        <v/>
      </c>
      <c r="CB131" s="154" t="str">
        <f t="shared" ca="1" si="303"/>
        <v/>
      </c>
      <c r="CC131" s="154" t="str">
        <f t="shared" ca="1" si="304"/>
        <v/>
      </c>
      <c r="CD131" s="154" t="str">
        <f t="shared" ca="1" si="305"/>
        <v/>
      </c>
      <c r="CE131" s="310">
        <v>1</v>
      </c>
      <c r="CF131" s="162">
        <f ca="1">IF(BD131,_xll.xCrudeAPO(BU131,BV131,CA131,CB131,S132,S133,BI131,BL131,BP131,BQ131,0,Strike1,AO131,CE131,0,BL131,IF(OptControl=4,0,1),0,1),0)</f>
        <v>0</v>
      </c>
      <c r="CG131" s="163">
        <f ca="1">IF(BD131,_xll.xCrudeAPO(BU131,BV131,CA131,CB131,S132,S133,BI131,BL131,BP131,BQ131,0,Strike1,AO131,CE131,0,BL131,IF(OptControl=4,0,1),1,1)+_xll.xCrudeAPO(BU131,BV131,CA131,CB131,S132,S133,BI131,BL131,BP131,BQ131,0,Strike1,AO131,CE131,0,BL131,IF(OptControl=4,0,1),1,2)+IF(OR(VolSkewFlag=2,ABS(BS131)&lt;0.0001),0,IF(BS131&gt;0,-1,1)*CH131*Strike1/BR131^2*BY131/10%),0)</f>
        <v>0</v>
      </c>
      <c r="CH131" s="163">
        <f ca="1">IF(BD131,(_xll.xCrudeAPO(BU131,BV131,CA131,CB131,S132,S133,BI131,BL131,BP131,BQ131,0,Strike1,AO131,CE131,0,BL131,IF(OptControl=4,0,1),3,1)+_xll.xCrudeAPO(BU131,BV131,CA131,CB131,S132,S133,BI131,BL131,BP131,BQ131,0,Strike1,AO131,CE131,0,BL131,IF(OptControl=4,0,1),3,2))/100,0)</f>
        <v>0</v>
      </c>
      <c r="CI131" s="163">
        <f ca="1">IF(BD131,_xll.xCrudeAPO(BU131,BV131,CA131,CB131,S132,S133,BI131-DaysForThetaCalculation/365.25,BL131-DaysForThetaCalculation/365.25,BP131,BQ131,0,Strike1,AO131,CE131,0,BL131,IF(OptControl=4,0,1),0,1)-_xll.xCrudeAPO(BU131,BV131,CA131,CB131,S132,S133,BI131,BL131,BP131,BQ131,0,Strike1,AO131,CE131,0,BL131,IF(OptControl=4,0,1),0,1),0)</f>
        <v>0</v>
      </c>
      <c r="CJ131" s="311">
        <f ca="1">IF(BD131,_xll.xCrudeAPO(BU131,BV131,CC131,CD131,S132,S133,BI131,BL131,BP131,BQ131,0,Strike2,AO131,CE131,0,BL131,IF(OptControl=3,1,0),0,1),0)</f>
        <v>0</v>
      </c>
      <c r="CK131" s="163">
        <f ca="1">IF(BD131,_xll.xCrudeAPO(BU131,BV131,CC131,CD131,S132,S133,BI131,BL131,BP131,BQ131,0,Strike2,AO131,CE131,0,BL131,IF(OptControl=3,1,0),1,1)+_xll.xCrudeAPO(BU131,BV131,CC131,CD131,S132,S133,BI131,BL131,BP131,BQ131,0,Strike2,AO131,CE131,0,BL131,IF(OptControl=3,1,0),1,2)+IF(OR(VolSkewFlag=2,ABS(BT131)&lt;0.0001),0,IF(BT131&gt;0,-1,1)*CL131*Strike2/BR131^2*BZ131/10%),0)</f>
        <v>0</v>
      </c>
      <c r="CL131" s="163">
        <f ca="1">IF(BD131,(_xll.xCrudeAPO(BU131,BV131,CC131,CD131,S132,S133,BI131,BL131,BP131,BQ131,0,Strike2,AO131,CE131,0,BL131,IF(OptControl=3,1,0),3,1)+_xll.xCrudeAPO(BU131,BV131,CC131,CD131,S132,S133,BI131,BL131,BP131,BQ131,0,Strike2,AO131,CE131,0,BL131,IF(OptControl=3,1,0),3,2))/100,0)</f>
        <v>0</v>
      </c>
      <c r="CM131" s="164">
        <f ca="1">IF(BD131,_xll.xCrudeAPO(BU131,BV131,CC131,CD131,S132,S133,BI131-DaysForThetaCalculation/365.25,BL131-DaysForThetaCalculation/365.25,BP131,BQ131,0,Strike2,AO131,CE131,0,BL131,IF(OptControl=3,1,0),0,1)-_xll.xCrudeAPO(BU131,BV131,CC131,CD131,S132,S133,BI131,BL131,BP131,BQ131,0,Strike2,AO131,CE131,0,BL131,IF(OptControl=3,1,0),0,1),0)</f>
        <v>0</v>
      </c>
      <c r="CN131" s="53"/>
      <c r="CO131" s="796" t="str">
        <f t="shared" ca="1" si="323"/>
        <v/>
      </c>
      <c r="CP131" s="800" t="str">
        <f t="shared" ca="1" si="324"/>
        <v/>
      </c>
      <c r="CQ131" s="797" t="str">
        <f t="shared" ca="1" si="325"/>
        <v/>
      </c>
      <c r="CR131" s="797" t="str">
        <f t="shared" ca="1" si="326"/>
        <v/>
      </c>
      <c r="CS131" s="797" t="str">
        <f t="shared" ca="1" si="327"/>
        <v/>
      </c>
      <c r="CT131" s="797" t="str">
        <f t="shared" ca="1" si="328"/>
        <v/>
      </c>
      <c r="CU131" s="798" t="str">
        <f t="shared" ca="1" si="329"/>
        <v/>
      </c>
      <c r="CV131" s="799" t="str">
        <f t="shared" ca="1" si="330"/>
        <v/>
      </c>
      <c r="CW131" s="799" t="str">
        <f t="shared" ca="1" si="331"/>
        <v/>
      </c>
      <c r="CX131" s="163">
        <f ca="1">IF(BD131,_xll.EURO(CP131,Strike1,AO131,AO131,CV131,CO131,IF(OptControl=4,0,1),0),0)</f>
        <v>0</v>
      </c>
      <c r="CY131" s="163">
        <f ca="1">IF(BD131,_xll.EURO(CP131,Strike1,AO131,AO131,CV131,CO131,IF(OptControl=4,0,1),1)+IF(OR(VolSkewFlag=2,ABS(CQ131)&lt;0.0001),0,IF(CQ131&gt;0,-1,1)*CZ131*100*Strike1/CP131^2*CS131/10%),0)</f>
        <v>0</v>
      </c>
      <c r="CZ131" s="163">
        <f ca="1">IF(BD131,_xll.EURO(CP131,Strike1,AO131,AO131,CV131,CO131,IF(OptControl=4,0,1),3)/100,0)</f>
        <v>0</v>
      </c>
      <c r="DA131" s="163">
        <f ca="1">IF(BD131,_xll.EURO(CP131,Strike1,AO131,AO131,CV131,CO131,IF(OptControl=4,0,1),0)-_xll.EURO(CP131,Strike1,AO131,AO131,CV131,CO131-1,IF(OptControl=4,0,1),0),0)</f>
        <v>0</v>
      </c>
      <c r="DB131" s="163">
        <f ca="1">IF(BD131,_xll.EURO(CP131,Strike2,AO131,AO131,CW131,CO131,IF(OptControl=3,1,0),0),0)</f>
        <v>0</v>
      </c>
      <c r="DC131" s="163">
        <f ca="1">IF(BD131,_xll.EURO(CP131,Strike2,AO131,AO131,CW131,CO131,IF(OptControl=3,1,0),1)+IF(OR(VolSkewFlag=2,ABS(CR131)&lt;0.0001),0,IF(CR131&gt;0,-1,1)*DD131*100*Strike2/CP131^2*CT131/10%),0)</f>
        <v>0</v>
      </c>
      <c r="DD131" s="163">
        <f ca="1">IF(BD131,_xll.EURO(CP131,Strike2,AO131,AO131,CW131,CO131,IF(OptControl=3,1,0),3)/100,0)</f>
        <v>0</v>
      </c>
      <c r="DE131" s="164">
        <f ca="1">IF(BD131,_xll.EURO(CP131,Strike2,AO131,AO131,CW131,CO131,IF(OptControl=3,1,0),0)-_xll.EURO(CP131,Strike2,AO131,AO131,CW131,CO131-1,IF(OptControl=3,1,0),0),0)</f>
        <v>0</v>
      </c>
      <c r="DG131" s="667">
        <f t="shared" ca="1" si="332"/>
        <v>39934</v>
      </c>
      <c r="DH131" s="475">
        <v>19.71</v>
      </c>
      <c r="DI131" s="665">
        <v>19.776666666666692</v>
      </c>
      <c r="DJ131" s="666">
        <f t="shared" ca="1" si="466"/>
        <v>39934</v>
      </c>
      <c r="DK131" s="475">
        <v>18.546693769176169</v>
      </c>
      <c r="DL131" s="665">
        <v>18.485166666666693</v>
      </c>
      <c r="DM131" s="667">
        <f t="shared" ca="1" si="467"/>
        <v>39934</v>
      </c>
      <c r="DN131" s="668">
        <f t="shared" si="468"/>
        <v>18.59669376917617</v>
      </c>
      <c r="DO131" s="667">
        <f t="shared" ca="1" si="333"/>
        <v>39934</v>
      </c>
      <c r="DP131" s="579">
        <f t="shared" si="334"/>
        <v>18.485166666666693</v>
      </c>
      <c r="DQ131" s="821">
        <v>0</v>
      </c>
      <c r="DR131" s="666">
        <f t="shared" ca="1" si="469"/>
        <v>39934</v>
      </c>
      <c r="DS131" s="669">
        <v>0.15799999999999903</v>
      </c>
      <c r="DT131" s="606">
        <v>0.15719999999999903</v>
      </c>
      <c r="DU131" s="666">
        <f t="shared" ca="1" si="470"/>
        <v>39934</v>
      </c>
      <c r="DV131" s="669">
        <v>0.15799999999999903</v>
      </c>
      <c r="DW131" s="606">
        <v>0.15719999999999903</v>
      </c>
      <c r="DX131" s="667">
        <f t="shared" ca="1" si="471"/>
        <v>39934</v>
      </c>
      <c r="DY131" s="606">
        <v>0.35</v>
      </c>
      <c r="DZ131" s="667">
        <f t="shared" ca="1" si="335"/>
        <v>39934</v>
      </c>
      <c r="EA131" s="606">
        <f t="shared" si="336"/>
        <v>0.15719999999999903</v>
      </c>
      <c r="EB131" s="1"/>
      <c r="EC131" s="118" t="str">
        <f t="shared" ca="1" si="472"/>
        <v/>
      </c>
      <c r="ED131" s="119" t="str">
        <f t="shared" ca="1" si="313"/>
        <v/>
      </c>
      <c r="EE131" s="112" t="str">
        <f t="shared" ca="1" si="314"/>
        <v/>
      </c>
      <c r="EF131" s="120">
        <f ca="1">IF(BD131,_xll.xASN(BR131,Strike1,AO131,ED131,0,BO131,0,BI131,BL131,IF(OptControl=4,0,1),0),0)</f>
        <v>0</v>
      </c>
      <c r="EG131" s="111">
        <f ca="1">IF(BD131,_xll.xASN(BR131,Strike2,AO131,EE131,0,BO131,0,BI131,BL131,IF(OptControl=3,1,0),0),0)</f>
        <v>0</v>
      </c>
      <c r="EL131" s="55"/>
      <c r="EM131" s="1"/>
      <c r="EN131" s="106"/>
      <c r="EO131" s="106"/>
      <c r="EP131" s="1"/>
      <c r="EQ131" s="683" t="s">
        <v>344</v>
      </c>
      <c r="ES131" s="455"/>
      <c r="ET131" s="36"/>
      <c r="EU131" s="107"/>
      <c r="EV131" s="475"/>
      <c r="EW131" s="456"/>
      <c r="EX131" s="456"/>
      <c r="EY131" s="250"/>
      <c r="EZ131" s="250"/>
      <c r="FA131" s="250"/>
      <c r="FB131" s="250"/>
      <c r="FC131" s="250"/>
      <c r="FD131" s="250"/>
      <c r="FE131" s="250"/>
      <c r="FF131" s="250"/>
      <c r="FG131" s="250"/>
      <c r="FH131" s="250"/>
      <c r="FI131" s="250"/>
      <c r="FJ131" s="673">
        <v>37</v>
      </c>
      <c r="FK131" s="460">
        <f t="shared" ca="1" si="479"/>
        <v>0</v>
      </c>
      <c r="FL131" s="460">
        <f t="shared" ca="1" si="481"/>
        <v>0.16666039299990051</v>
      </c>
      <c r="FM131" s="460">
        <f t="shared" ca="1" si="481"/>
        <v>0.17113969130022635</v>
      </c>
      <c r="FN131" s="460">
        <f t="shared" ca="1" si="481"/>
        <v>0.16795586891728165</v>
      </c>
      <c r="FO131" s="460">
        <f t="shared" ca="1" si="481"/>
        <v>0.1656097098385606</v>
      </c>
      <c r="FP131" s="460">
        <f t="shared" ca="1" si="481"/>
        <v>0.16389915569393498</v>
      </c>
      <c r="FQ131" s="460">
        <f t="shared" ca="1" si="481"/>
        <v>0.16267390445774879</v>
      </c>
      <c r="FR131" s="460">
        <f t="shared" ca="1" si="481"/>
        <v>0.16182269340894509</v>
      </c>
      <c r="FS131" s="460">
        <f t="shared" ca="1" si="481"/>
        <v>0.16126380159382295</v>
      </c>
      <c r="FT131" s="460">
        <f t="shared" ca="1" si="481"/>
        <v>0.16093797492136014</v>
      </c>
      <c r="FU131" s="460">
        <f t="shared" ca="1" si="481"/>
        <v>0.16080317802031632</v>
      </c>
      <c r="FV131" s="460">
        <f t="shared" ca="1" si="481"/>
        <v>0.16083072820713923</v>
      </c>
      <c r="FW131" s="460">
        <f t="shared" ca="1" si="481"/>
        <v>0.1610024809457633</v>
      </c>
      <c r="FX131" s="460">
        <f t="shared" ca="1" si="481"/>
        <v>0.16130882252161202</v>
      </c>
      <c r="FY131" s="460">
        <f t="shared" ca="1" si="481"/>
        <v>0.16174729149988959</v>
      </c>
      <c r="FZ131" s="460">
        <f t="shared" ca="1" si="481"/>
        <v>0.1623217013966553</v>
      </c>
      <c r="GA131" s="460">
        <f t="shared" ca="1" si="481"/>
        <v>0.16304167714019929</v>
      </c>
      <c r="GB131" s="460">
        <f t="shared" ca="1" si="481"/>
        <v>0.16392255076979356</v>
      </c>
      <c r="GC131" s="460">
        <f t="shared" ca="1" si="481"/>
        <v>0.16498559030314391</v>
      </c>
      <c r="GD131" s="460">
        <f t="shared" ca="1" si="481"/>
        <v>0.16625856244973361</v>
      </c>
      <c r="GE131" s="460">
        <f t="shared" ca="1" si="481"/>
        <v>0.16777665755367627</v>
      </c>
      <c r="GF131" s="460">
        <f t="shared" ca="1" si="481"/>
        <v>0.16958383692507195</v>
      </c>
      <c r="GG131" s="460">
        <f t="shared" ca="1" si="481"/>
        <v>0.17173470256500648</v>
      </c>
      <c r="GH131" s="460">
        <f t="shared" ca="1" si="481"/>
        <v>0.17429704282181119</v>
      </c>
      <c r="GI131" s="460">
        <f t="shared" ca="1" si="481"/>
        <v>0.17735528310631432</v>
      </c>
      <c r="GJ131" s="460">
        <f t="shared" ca="1" si="481"/>
        <v>0.18101518145864084</v>
      </c>
      <c r="GK131" s="460">
        <f t="shared" ca="1" si="481"/>
        <v>0.18541027539181751</v>
      </c>
      <c r="GL131" s="460">
        <f t="shared" ca="1" si="481"/>
        <v>0.19071084348225861</v>
      </c>
      <c r="GM131" s="460">
        <f t="shared" ca="1" si="481"/>
        <v>0.19713655086519966</v>
      </c>
      <c r="GN131" s="460">
        <f t="shared" ca="1" si="481"/>
        <v>0.20497460310965662</v>
      </c>
      <c r="GO131" s="460">
        <f t="shared" ca="1" si="481"/>
        <v>0.21460631780604131</v>
      </c>
      <c r="GP131" s="460">
        <f t="shared" ca="1" si="481"/>
        <v>0.22654686762230847</v>
      </c>
      <c r="GQ131" s="460">
        <f t="shared" ca="1" si="481"/>
        <v>0.241506177661897</v>
      </c>
      <c r="GR131" s="460">
        <f t="shared" ca="1" si="481"/>
        <v>0.26048480051981976</v>
      </c>
      <c r="GS131" s="460">
        <f t="shared" ca="1" si="481"/>
        <v>0.28492955003955489</v>
      </c>
      <c r="GT131" s="460">
        <f t="shared" ca="1" si="481"/>
        <v>0.316995101535748</v>
      </c>
      <c r="GU131" s="460">
        <f t="shared" ca="1" si="481"/>
        <v>0.36000169513468405</v>
      </c>
      <c r="GV131" s="460" t="str">
        <f t="shared" si="481"/>
        <v/>
      </c>
      <c r="GW131" s="460" t="str">
        <f t="shared" si="481"/>
        <v/>
      </c>
      <c r="GX131" s="460" t="str">
        <f t="shared" si="481"/>
        <v/>
      </c>
      <c r="GY131" s="460" t="str">
        <f t="shared" si="481"/>
        <v/>
      </c>
      <c r="GZ131" s="460" t="str">
        <f t="shared" si="481"/>
        <v/>
      </c>
      <c r="HA131" s="460" t="str">
        <f t="shared" si="481"/>
        <v/>
      </c>
      <c r="HB131" s="460" t="str">
        <f t="shared" si="481"/>
        <v/>
      </c>
      <c r="HC131" s="460" t="str">
        <f t="shared" si="481"/>
        <v/>
      </c>
      <c r="HD131" s="460" t="str">
        <f t="shared" si="481"/>
        <v/>
      </c>
      <c r="HE131" s="460" t="str">
        <f t="shared" si="481"/>
        <v/>
      </c>
      <c r="HF131" s="460" t="str">
        <f t="shared" si="481"/>
        <v/>
      </c>
      <c r="HG131" s="460" t="str">
        <f t="shared" si="481"/>
        <v/>
      </c>
      <c r="HH131" s="460" t="str">
        <f t="shared" si="481"/>
        <v/>
      </c>
      <c r="HI131" s="460" t="str">
        <f t="shared" si="481"/>
        <v/>
      </c>
      <c r="HJ131" s="460" t="str">
        <f t="shared" si="481"/>
        <v/>
      </c>
      <c r="HK131" s="460" t="str">
        <f t="shared" si="481"/>
        <v/>
      </c>
      <c r="HL131" s="460" t="str">
        <f t="shared" si="481"/>
        <v/>
      </c>
      <c r="HM131" s="460" t="str">
        <f t="shared" si="481"/>
        <v/>
      </c>
      <c r="HN131" s="460" t="str">
        <f t="shared" si="481"/>
        <v/>
      </c>
      <c r="HO131" s="460" t="str">
        <f t="shared" si="481"/>
        <v/>
      </c>
      <c r="HP131" s="460" t="str">
        <f t="shared" si="481"/>
        <v/>
      </c>
      <c r="HQ131" s="460" t="str">
        <f t="shared" si="481"/>
        <v/>
      </c>
      <c r="HR131" s="460" t="str">
        <f t="shared" si="481"/>
        <v/>
      </c>
      <c r="HS131" s="460" t="str">
        <f t="shared" si="481"/>
        <v/>
      </c>
      <c r="HT131" s="460" t="str">
        <f t="shared" si="481"/>
        <v/>
      </c>
      <c r="HU131" s="460" t="str">
        <f t="shared" si="481"/>
        <v/>
      </c>
      <c r="HV131" s="460" t="str">
        <f t="shared" si="481"/>
        <v/>
      </c>
      <c r="HW131" s="460" t="str">
        <f t="shared" si="481"/>
        <v/>
      </c>
      <c r="HX131" s="460" t="str">
        <f t="shared" si="480"/>
        <v/>
      </c>
      <c r="HY131" s="460" t="str">
        <f t="shared" si="480"/>
        <v/>
      </c>
      <c r="HZ131" s="460" t="str">
        <f t="shared" si="480"/>
        <v/>
      </c>
      <c r="IA131" s="460" t="str">
        <f t="shared" si="480"/>
        <v/>
      </c>
      <c r="IB131" s="460" t="str">
        <f t="shared" si="480"/>
        <v/>
      </c>
      <c r="IC131" s="460" t="str">
        <f t="shared" si="480"/>
        <v/>
      </c>
      <c r="ID131" s="674" t="str">
        <f t="shared" si="480"/>
        <v/>
      </c>
      <c r="IE131" s="250"/>
    </row>
    <row r="132" spans="8:239">
      <c r="H132" s="51">
        <f t="shared" ca="1" si="315"/>
        <v>0</v>
      </c>
      <c r="I132" s="379">
        <f t="shared" si="316"/>
        <v>40179</v>
      </c>
      <c r="J132" s="377"/>
      <c r="K132" s="104" t="s">
        <v>268</v>
      </c>
      <c r="L132" s="392">
        <f t="shared" si="317"/>
        <v>1.3500000000000005</v>
      </c>
      <c r="M132" s="171"/>
      <c r="N132" s="382">
        <v>0</v>
      </c>
      <c r="O132" s="171">
        <f t="shared" si="272"/>
        <v>0</v>
      </c>
      <c r="P132" s="377"/>
      <c r="Q132" s="104" t="s">
        <v>268</v>
      </c>
      <c r="R132" s="377">
        <f t="shared" ca="1" si="417"/>
        <v>0.13862399048740828</v>
      </c>
      <c r="S132" s="832">
        <f t="shared" si="435"/>
        <v>0.36000000000000054</v>
      </c>
      <c r="T132" s="831">
        <f t="shared" si="418"/>
        <v>0.99999999730417211</v>
      </c>
      <c r="U132" s="545">
        <f t="shared" si="419"/>
        <v>0.99999999999999978</v>
      </c>
      <c r="V132" s="389">
        <v>0</v>
      </c>
      <c r="W132" s="434">
        <f t="shared" si="455"/>
        <v>0</v>
      </c>
      <c r="X132" s="415">
        <f t="shared" si="456"/>
        <v>1.4006250000000007</v>
      </c>
      <c r="Y132" s="322">
        <f t="shared" si="457"/>
        <v>-1.1684999999999999</v>
      </c>
      <c r="Z132" s="322">
        <f t="shared" ca="1" si="458"/>
        <v>0.2321250000000008</v>
      </c>
      <c r="AA132" s="429">
        <f t="shared" si="277"/>
        <v>1.1684999999999999</v>
      </c>
      <c r="AB132" s="433">
        <f t="shared" ca="1" si="278"/>
        <v>1.1684999999999999</v>
      </c>
      <c r="AC132" s="229">
        <v>40167</v>
      </c>
      <c r="AD132" s="229">
        <v>40163</v>
      </c>
      <c r="AE132" s="229">
        <v>40162</v>
      </c>
      <c r="AF132" s="229">
        <v>40158</v>
      </c>
      <c r="AG132" s="249" t="s">
        <v>499</v>
      </c>
      <c r="AH132" s="247" t="s">
        <v>499</v>
      </c>
      <c r="AI132" s="146">
        <v>20</v>
      </c>
      <c r="AJ132" s="41">
        <v>13</v>
      </c>
      <c r="AK132" s="41">
        <v>7</v>
      </c>
      <c r="AL132" s="293">
        <v>20</v>
      </c>
      <c r="AM132" s="41">
        <v>9</v>
      </c>
      <c r="AN132" s="147">
        <v>11</v>
      </c>
      <c r="AO132" s="374"/>
      <c r="AP132" s="153">
        <f t="shared" ca="1" si="318"/>
        <v>1</v>
      </c>
      <c r="AQ132" s="374"/>
      <c r="AR132" s="153">
        <f t="shared" ca="1" si="420"/>
        <v>1</v>
      </c>
      <c r="AS132" s="272">
        <f t="shared" si="459"/>
        <v>0</v>
      </c>
      <c r="AT132" s="157">
        <f t="shared" si="319"/>
        <v>0</v>
      </c>
      <c r="AU132" s="157">
        <f t="shared" si="280"/>
        <v>0</v>
      </c>
      <c r="AV132" s="271">
        <f t="shared" ca="1" si="430"/>
        <v>9.9999999999999995E-7</v>
      </c>
      <c r="AW132" s="158" t="str">
        <f t="shared" ca="1" si="460"/>
        <v/>
      </c>
      <c r="AX132" s="157">
        <f t="shared" ca="1" si="421"/>
        <v>5.8190977708841773E-4</v>
      </c>
      <c r="AY132" s="157">
        <f t="shared" ca="1" si="422"/>
        <v>2.1345380281133272E-4</v>
      </c>
      <c r="AZ132" s="157">
        <f t="shared" ca="1" si="423"/>
        <v>2.2657164168700369E-5</v>
      </c>
      <c r="BA132" s="157">
        <f t="shared" ca="1" si="424"/>
        <v>2.8321455210875462E-6</v>
      </c>
      <c r="BB132" s="157">
        <f t="shared" ca="1" si="425"/>
        <v>1.3733776407149763E-7</v>
      </c>
      <c r="BC132" s="157">
        <f t="shared" ca="1" si="426"/>
        <v>1.6042096505231853E-8</v>
      </c>
      <c r="BD132" s="151">
        <f t="shared" ca="1" si="461"/>
        <v>0</v>
      </c>
      <c r="BE132" s="152">
        <f t="shared" ca="1" si="462"/>
        <v>0</v>
      </c>
      <c r="BF132" s="40">
        <f t="shared" si="463"/>
        <v>2010</v>
      </c>
      <c r="BG132" s="144">
        <f t="shared" si="464"/>
        <v>1</v>
      </c>
      <c r="BH132" s="145">
        <f t="shared" ca="1" si="465"/>
        <v>3418</v>
      </c>
      <c r="BI132" s="313">
        <f t="shared" ca="1" si="439"/>
        <v>9.4017796030116365</v>
      </c>
      <c r="BJ132" s="42">
        <f t="shared" ca="1" si="288"/>
        <v>9.4551676933607123</v>
      </c>
      <c r="BK132" s="42">
        <f t="shared" ca="1" si="289"/>
        <v>9.4579055441478452</v>
      </c>
      <c r="BL132" s="42">
        <f t="shared" ca="1" si="440"/>
        <v>9.4839151266255985</v>
      </c>
      <c r="BM132" s="150" t="e">
        <f t="shared" ca="1" si="291"/>
        <v>#DIV/0!</v>
      </c>
      <c r="BN132" s="42" t="e">
        <f t="shared" ca="1" si="292"/>
        <v>#DIV/0!</v>
      </c>
      <c r="BO132" s="293">
        <f t="shared" si="441"/>
        <v>20</v>
      </c>
      <c r="BP132" s="41">
        <f t="shared" si="442"/>
        <v>13</v>
      </c>
      <c r="BQ132" s="41">
        <f t="shared" si="443"/>
        <v>7</v>
      </c>
      <c r="BR132" s="305" t="str">
        <f t="shared" ca="1" si="295"/>
        <v/>
      </c>
      <c r="BS132" s="305" t="str">
        <f t="shared" ca="1" si="444"/>
        <v/>
      </c>
      <c r="BT132" s="307" t="str">
        <f t="shared" ca="1" si="445"/>
        <v/>
      </c>
      <c r="BU132" s="161" t="str">
        <f t="shared" ca="1" si="298"/>
        <v/>
      </c>
      <c r="BV132" s="161" t="str">
        <f t="shared" ca="1" si="299"/>
        <v/>
      </c>
      <c r="BW132" s="308" t="str">
        <f t="shared" ca="1" si="300"/>
        <v/>
      </c>
      <c r="BX132" s="309" t="str">
        <f t="shared" ca="1" si="301"/>
        <v/>
      </c>
      <c r="BY132" s="308" t="str">
        <f t="shared" ca="1" si="446"/>
        <v/>
      </c>
      <c r="BZ132" s="309" t="str">
        <f t="shared" ca="1" si="447"/>
        <v/>
      </c>
      <c r="CA132" s="154" t="str">
        <f t="shared" ca="1" si="302"/>
        <v/>
      </c>
      <c r="CB132" s="154" t="str">
        <f t="shared" ca="1" si="303"/>
        <v/>
      </c>
      <c r="CC132" s="154" t="str">
        <f t="shared" ca="1" si="304"/>
        <v/>
      </c>
      <c r="CD132" s="154" t="str">
        <f t="shared" ca="1" si="305"/>
        <v/>
      </c>
      <c r="CE132" s="310">
        <v>1</v>
      </c>
      <c r="CF132" s="162">
        <f ca="1">IF(BD132,_xll.xCrudeAPO(BU132,BV132,CA132,CB132,S133,S134,BI132,BL132,BP132,BQ132,0,Strike1,AO132,CE132,0,BL132,IF(OptControl=4,0,1),0,1),0)</f>
        <v>0</v>
      </c>
      <c r="CG132" s="163">
        <f ca="1">IF(BD132,_xll.xCrudeAPO(BU132,BV132,CA132,CB132,S133,S134,BI132,BL132,BP132,BQ132,0,Strike1,AO132,CE132,0,BL132,IF(OptControl=4,0,1),1,1)+_xll.xCrudeAPO(BU132,BV132,CA132,CB132,S133,S134,BI132,BL132,BP132,BQ132,0,Strike1,AO132,CE132,0,BL132,IF(OptControl=4,0,1),1,2)+IF(OR(VolSkewFlag=2,ABS(BS132)&lt;0.0001),0,IF(BS132&gt;0,-1,1)*CH132*Strike1/BR132^2*BY132/10%),0)</f>
        <v>0</v>
      </c>
      <c r="CH132" s="163">
        <f ca="1">IF(BD132,(_xll.xCrudeAPO(BU132,BV132,CA132,CB132,S133,S134,BI132,BL132,BP132,BQ132,0,Strike1,AO132,CE132,0,BL132,IF(OptControl=4,0,1),3,1)+_xll.xCrudeAPO(BU132,BV132,CA132,CB132,S133,S134,BI132,BL132,BP132,BQ132,0,Strike1,AO132,CE132,0,BL132,IF(OptControl=4,0,1),3,2))/100,0)</f>
        <v>0</v>
      </c>
      <c r="CI132" s="163">
        <f ca="1">IF(BD132,_xll.xCrudeAPO(BU132,BV132,CA132,CB132,S133,S134,BI132-DaysForThetaCalculation/365.25,BL132-DaysForThetaCalculation/365.25,BP132,BQ132,0,Strike1,AO132,CE132,0,BL132,IF(OptControl=4,0,1),0,1)-_xll.xCrudeAPO(BU132,BV132,CA132,CB132,S133,S134,BI132,BL132,BP132,BQ132,0,Strike1,AO132,CE132,0,BL132,IF(OptControl=4,0,1),0,1),0)</f>
        <v>0</v>
      </c>
      <c r="CJ132" s="311">
        <f ca="1">IF(BD132,_xll.xCrudeAPO(BU132,BV132,CC132,CD132,S133,S134,BI132,BL132,BP132,BQ132,0,Strike2,AO132,CE132,0,BL132,IF(OptControl=3,1,0),0,1),0)</f>
        <v>0</v>
      </c>
      <c r="CK132" s="163">
        <f ca="1">IF(BD132,_xll.xCrudeAPO(BU132,BV132,CC132,CD132,S133,S134,BI132,BL132,BP132,BQ132,0,Strike2,AO132,CE132,0,BL132,IF(OptControl=3,1,0),1,1)+_xll.xCrudeAPO(BU132,BV132,CC132,CD132,S133,S134,BI132,BL132,BP132,BQ132,0,Strike2,AO132,CE132,0,BL132,IF(OptControl=3,1,0),1,2)+IF(OR(VolSkewFlag=2,ABS(BT132)&lt;0.0001),0,IF(BT132&gt;0,-1,1)*CL132*Strike2/BR132^2*BZ132/10%),0)</f>
        <v>0</v>
      </c>
      <c r="CL132" s="163">
        <f ca="1">IF(BD132,(_xll.xCrudeAPO(BU132,BV132,CC132,CD132,S133,S134,BI132,BL132,BP132,BQ132,0,Strike2,AO132,CE132,0,BL132,IF(OptControl=3,1,0),3,1)+_xll.xCrudeAPO(BU132,BV132,CC132,CD132,S133,S134,BI132,BL132,BP132,BQ132,0,Strike2,AO132,CE132,0,BL132,IF(OptControl=3,1,0),3,2))/100,0)</f>
        <v>0</v>
      </c>
      <c r="CM132" s="164">
        <f ca="1">IF(BD132,_xll.xCrudeAPO(BU132,BV132,CC132,CD132,S133,S134,BI132-DaysForThetaCalculation/365.25,BL132-DaysForThetaCalculation/365.25,BP132,BQ132,0,Strike2,AO132,CE132,0,BL132,IF(OptControl=3,1,0),0,1)-_xll.xCrudeAPO(BU132,BV132,CC132,CD132,S133,S134,BI132,BL132,BP132,BQ132,0,Strike2,AO132,CE132,0,BL132,IF(OptControl=3,1,0),0,1),0)</f>
        <v>0</v>
      </c>
      <c r="CN132" s="53"/>
      <c r="CO132" s="796" t="str">
        <f t="shared" ca="1" si="323"/>
        <v/>
      </c>
      <c r="CP132" s="800" t="str">
        <f t="shared" ca="1" si="324"/>
        <v/>
      </c>
      <c r="CQ132" s="797" t="str">
        <f t="shared" ca="1" si="325"/>
        <v/>
      </c>
      <c r="CR132" s="797" t="str">
        <f t="shared" ca="1" si="326"/>
        <v/>
      </c>
      <c r="CS132" s="797" t="str">
        <f t="shared" ca="1" si="327"/>
        <v/>
      </c>
      <c r="CT132" s="797" t="str">
        <f t="shared" ca="1" si="328"/>
        <v/>
      </c>
      <c r="CU132" s="798" t="str">
        <f t="shared" ca="1" si="329"/>
        <v/>
      </c>
      <c r="CV132" s="799" t="str">
        <f t="shared" ca="1" si="330"/>
        <v/>
      </c>
      <c r="CW132" s="799" t="str">
        <f t="shared" ca="1" si="331"/>
        <v/>
      </c>
      <c r="CX132" s="163">
        <f ca="1">IF(BD132,_xll.EURO(CP132,Strike1,AO132,AO132,CV132,CO132,IF(OptControl=4,0,1),0),0)</f>
        <v>0</v>
      </c>
      <c r="CY132" s="163">
        <f ca="1">IF(BD132,_xll.EURO(CP132,Strike1,AO132,AO132,CV132,CO132,IF(OptControl=4,0,1),1)+IF(OR(VolSkewFlag=2,ABS(CQ132)&lt;0.0001),0,IF(CQ132&gt;0,-1,1)*CZ132*100*Strike1/CP132^2*CS132/10%),0)</f>
        <v>0</v>
      </c>
      <c r="CZ132" s="163">
        <f ca="1">IF(BD132,_xll.EURO(CP132,Strike1,AO132,AO132,CV132,CO132,IF(OptControl=4,0,1),3)/100,0)</f>
        <v>0</v>
      </c>
      <c r="DA132" s="163">
        <f ca="1">IF(BD132,_xll.EURO(CP132,Strike1,AO132,AO132,CV132,CO132,IF(OptControl=4,0,1),0)-_xll.EURO(CP132,Strike1,AO132,AO132,CV132,CO132-1,IF(OptControl=4,0,1),0),0)</f>
        <v>0</v>
      </c>
      <c r="DB132" s="163">
        <f ca="1">IF(BD132,_xll.EURO(CP132,Strike2,AO132,AO132,CW132,CO132,IF(OptControl=3,1,0),0),0)</f>
        <v>0</v>
      </c>
      <c r="DC132" s="163">
        <f ca="1">IF(BD132,_xll.EURO(CP132,Strike2,AO132,AO132,CW132,CO132,IF(OptControl=3,1,0),1)+IF(OR(VolSkewFlag=2,ABS(CR132)&lt;0.0001),0,IF(CR132&gt;0,-1,1)*DD132*100*Strike2/CP132^2*CT132/10%),0)</f>
        <v>0</v>
      </c>
      <c r="DD132" s="163">
        <f ca="1">IF(BD132,_xll.EURO(CP132,Strike2,AO132,AO132,CW132,CO132,IF(OptControl=3,1,0),3)/100,0)</f>
        <v>0</v>
      </c>
      <c r="DE132" s="164">
        <f ca="1">IF(BD132,_xll.EURO(CP132,Strike2,AO132,AO132,CW132,CO132,IF(OptControl=3,1,0),0)-_xll.EURO(CP132,Strike2,AO132,AO132,CW132,CO132-1,IF(OptControl=3,1,0),0),0)</f>
        <v>0</v>
      </c>
      <c r="DG132" s="667">
        <f t="shared" ca="1" si="332"/>
        <v>39965</v>
      </c>
      <c r="DH132" s="475">
        <v>19.760000000000002</v>
      </c>
      <c r="DI132" s="665">
        <v>19.825909090909121</v>
      </c>
      <c r="DJ132" s="666">
        <f t="shared" ca="1" si="466"/>
        <v>39965</v>
      </c>
      <c r="DK132" s="475">
        <v>18.345005192353238</v>
      </c>
      <c r="DL132" s="665">
        <v>18.534409090909122</v>
      </c>
      <c r="DM132" s="667">
        <f t="shared" ca="1" si="467"/>
        <v>39965</v>
      </c>
      <c r="DN132" s="668">
        <f t="shared" si="468"/>
        <v>18.395005192353238</v>
      </c>
      <c r="DO132" s="667">
        <f t="shared" ca="1" si="333"/>
        <v>39965</v>
      </c>
      <c r="DP132" s="579">
        <f t="shared" si="334"/>
        <v>18.534409090909122</v>
      </c>
      <c r="DQ132" s="821">
        <v>0</v>
      </c>
      <c r="DR132" s="666">
        <f t="shared" ca="1" si="469"/>
        <v>39965</v>
      </c>
      <c r="DS132" s="669">
        <v>0.15739999999999904</v>
      </c>
      <c r="DT132" s="606">
        <v>0.15660909090908992</v>
      </c>
      <c r="DU132" s="666">
        <f t="shared" ca="1" si="470"/>
        <v>39965</v>
      </c>
      <c r="DV132" s="669">
        <v>0.15739999999999904</v>
      </c>
      <c r="DW132" s="606">
        <v>0.15660909090908992</v>
      </c>
      <c r="DX132" s="667">
        <f t="shared" ca="1" si="471"/>
        <v>39965</v>
      </c>
      <c r="DY132" s="606">
        <v>0.35</v>
      </c>
      <c r="DZ132" s="667">
        <f t="shared" ca="1" si="335"/>
        <v>39965</v>
      </c>
      <c r="EA132" s="606">
        <f t="shared" si="336"/>
        <v>0.15660909090908992</v>
      </c>
      <c r="EB132" s="1"/>
      <c r="EC132" s="118" t="str">
        <f t="shared" ca="1" si="472"/>
        <v/>
      </c>
      <c r="ED132" s="119" t="str">
        <f t="shared" ca="1" si="313"/>
        <v/>
      </c>
      <c r="EE132" s="112" t="str">
        <f t="shared" ca="1" si="314"/>
        <v/>
      </c>
      <c r="EF132" s="120">
        <f ca="1">IF(BD132,_xll.xASN(BR132,Strike1,AO132,ED132,0,BO132,0,BI132,BL132,IF(OptControl=4,0,1),0),0)</f>
        <v>0</v>
      </c>
      <c r="EG132" s="111">
        <f ca="1">IF(BD132,_xll.xASN(BR132,Strike2,AO132,EE132,0,BO132,0,BI132,BL132,IF(OptControl=3,1,0),0),0)</f>
        <v>0</v>
      </c>
      <c r="EL132" s="55"/>
      <c r="EM132" s="1"/>
      <c r="EN132" s="106"/>
      <c r="EO132" s="106"/>
      <c r="EP132" s="1"/>
      <c r="EQ132" s="683" t="s">
        <v>345</v>
      </c>
      <c r="ES132" s="455"/>
      <c r="ET132" s="36"/>
      <c r="EU132" s="107"/>
      <c r="EV132" s="475"/>
      <c r="EW132" s="456"/>
      <c r="EX132" s="456"/>
      <c r="EY132" s="250"/>
      <c r="EZ132" s="250"/>
      <c r="FA132" s="250"/>
      <c r="FB132" s="250"/>
      <c r="FC132" s="250"/>
      <c r="FD132" s="250"/>
      <c r="FE132" s="250"/>
      <c r="FF132" s="250"/>
      <c r="FG132" s="250"/>
      <c r="FH132" s="250"/>
      <c r="FI132" s="250"/>
      <c r="FJ132" s="673">
        <v>38</v>
      </c>
      <c r="FK132" s="460">
        <f t="shared" ca="1" si="479"/>
        <v>0</v>
      </c>
      <c r="FL132" s="460">
        <f t="shared" ca="1" si="481"/>
        <v>0.16658254720933613</v>
      </c>
      <c r="FM132" s="460">
        <f t="shared" ca="1" si="481"/>
        <v>0.17104619281568736</v>
      </c>
      <c r="FN132" s="460">
        <f t="shared" ca="1" si="481"/>
        <v>0.16784854339060659</v>
      </c>
      <c r="FO132" s="460">
        <f t="shared" ca="1" si="481"/>
        <v>0.16548592966849812</v>
      </c>
      <c r="FP132" s="460">
        <f t="shared" ca="1" si="481"/>
        <v>0.16375586980305434</v>
      </c>
      <c r="FQ132" s="460">
        <f t="shared" ca="1" si="481"/>
        <v>0.16250755908898645</v>
      </c>
      <c r="FR132" s="460">
        <f t="shared" ca="1" si="481"/>
        <v>0.16162913865842449</v>
      </c>
      <c r="FS132" s="460">
        <f t="shared" ca="1" si="481"/>
        <v>0.16103818071046994</v>
      </c>
      <c r="FT132" s="460">
        <f t="shared" ca="1" si="481"/>
        <v>0.16067459271989354</v>
      </c>
      <c r="FU132" s="460">
        <f t="shared" ca="1" si="481"/>
        <v>0.16049534388039707</v>
      </c>
      <c r="FV132" s="460">
        <f t="shared" ca="1" si="481"/>
        <v>0.16047056800642234</v>
      </c>
      <c r="FW132" s="460">
        <f t="shared" ca="1" si="481"/>
        <v>0.16058071081419234</v>
      </c>
      <c r="FX132" s="460">
        <f t="shared" ca="1" si="481"/>
        <v>0.16081447539232574</v>
      </c>
      <c r="FY132" s="460">
        <f t="shared" ca="1" si="481"/>
        <v>0.16116738490672117</v>
      </c>
      <c r="FZ132" s="460">
        <f t="shared" ca="1" si="481"/>
        <v>0.16164083160197956</v>
      </c>
      <c r="GA132" s="460">
        <f t="shared" ca="1" si="481"/>
        <v>0.16224152014733231</v>
      </c>
      <c r="GB132" s="460">
        <f t="shared" ca="1" si="481"/>
        <v>0.16298124461950605</v>
      </c>
      <c r="GC132" s="460">
        <f t="shared" ca="1" si="481"/>
        <v>0.16387696460603918</v>
      </c>
      <c r="GD132" s="460">
        <f t="shared" ca="1" si="481"/>
        <v>0.16495116938794041</v>
      </c>
      <c r="GE132" s="460">
        <f t="shared" ca="1" si="481"/>
        <v>0.16623254214975108</v>
      </c>
      <c r="GF132" s="460">
        <f t="shared" ca="1" si="481"/>
        <v>0.16775696105395746</v>
      </c>
      <c r="GG132" s="460">
        <f t="shared" ca="1" si="481"/>
        <v>0.16956890367889543</v>
      </c>
      <c r="GH132" s="460">
        <f t="shared" ca="1" si="481"/>
        <v>0.17172335958052581</v>
      </c>
      <c r="GI132" s="460">
        <f t="shared" ca="1" si="481"/>
        <v>0.17428840808223678</v>
      </c>
      <c r="GJ132" s="460">
        <f t="shared" ca="1" si="481"/>
        <v>0.17734869309540108</v>
      </c>
      <c r="GK132" s="460">
        <f t="shared" ca="1" si="481"/>
        <v>0.18101013676955768</v>
      </c>
      <c r="GL132" s="460">
        <f t="shared" ca="1" si="481"/>
        <v>0.18540639990226401</v>
      </c>
      <c r="GM132" s="460">
        <f t="shared" ca="1" si="481"/>
        <v>0.19070785370730187</v>
      </c>
      <c r="GN132" s="460">
        <f t="shared" ca="1" si="481"/>
        <v>0.19713423294575627</v>
      </c>
      <c r="GO132" s="460">
        <f t="shared" ca="1" si="481"/>
        <v>0.20497279552931844</v>
      </c>
      <c r="GP132" s="460">
        <f t="shared" ca="1" si="481"/>
        <v>0.21460489840489755</v>
      </c>
      <c r="GQ132" s="460">
        <f t="shared" ca="1" si="481"/>
        <v>0.22654574383313103</v>
      </c>
      <c r="GR132" s="460">
        <f t="shared" ca="1" si="481"/>
        <v>0.24150527916114342</v>
      </c>
      <c r="GS132" s="460">
        <f t="shared" ca="1" si="481"/>
        <v>0.2604840736854302</v>
      </c>
      <c r="GT132" s="460">
        <f t="shared" ca="1" si="481"/>
        <v>0.28492895375570343</v>
      </c>
      <c r="GU132" s="460">
        <f t="shared" ca="1" si="481"/>
        <v>0.31699460399313906</v>
      </c>
      <c r="GV132" s="460">
        <f t="shared" ca="1" si="481"/>
        <v>0.36000127135101301</v>
      </c>
      <c r="GW132" s="460" t="str">
        <f t="shared" si="481"/>
        <v/>
      </c>
      <c r="GX132" s="460" t="str">
        <f t="shared" si="481"/>
        <v/>
      </c>
      <c r="GY132" s="460" t="str">
        <f t="shared" si="481"/>
        <v/>
      </c>
      <c r="GZ132" s="460" t="str">
        <f t="shared" si="481"/>
        <v/>
      </c>
      <c r="HA132" s="460" t="str">
        <f t="shared" si="481"/>
        <v/>
      </c>
      <c r="HB132" s="460" t="str">
        <f t="shared" si="481"/>
        <v/>
      </c>
      <c r="HC132" s="460" t="str">
        <f t="shared" si="481"/>
        <v/>
      </c>
      <c r="HD132" s="460" t="str">
        <f t="shared" si="481"/>
        <v/>
      </c>
      <c r="HE132" s="460" t="str">
        <f t="shared" si="481"/>
        <v/>
      </c>
      <c r="HF132" s="460" t="str">
        <f t="shared" si="481"/>
        <v/>
      </c>
      <c r="HG132" s="460" t="str">
        <f t="shared" si="481"/>
        <v/>
      </c>
      <c r="HH132" s="460" t="str">
        <f t="shared" si="481"/>
        <v/>
      </c>
      <c r="HI132" s="460" t="str">
        <f t="shared" si="481"/>
        <v/>
      </c>
      <c r="HJ132" s="460" t="str">
        <f t="shared" si="481"/>
        <v/>
      </c>
      <c r="HK132" s="460" t="str">
        <f t="shared" si="481"/>
        <v/>
      </c>
      <c r="HL132" s="460" t="str">
        <f t="shared" si="481"/>
        <v/>
      </c>
      <c r="HM132" s="460" t="str">
        <f t="shared" si="481"/>
        <v/>
      </c>
      <c r="HN132" s="460" t="str">
        <f t="shared" si="481"/>
        <v/>
      </c>
      <c r="HO132" s="460" t="str">
        <f t="shared" si="481"/>
        <v/>
      </c>
      <c r="HP132" s="460" t="str">
        <f t="shared" si="481"/>
        <v/>
      </c>
      <c r="HQ132" s="460" t="str">
        <f t="shared" si="481"/>
        <v/>
      </c>
      <c r="HR132" s="460" t="str">
        <f t="shared" si="481"/>
        <v/>
      </c>
      <c r="HS132" s="460" t="str">
        <f t="shared" si="481"/>
        <v/>
      </c>
      <c r="HT132" s="460" t="str">
        <f t="shared" si="481"/>
        <v/>
      </c>
      <c r="HU132" s="460" t="str">
        <f t="shared" si="481"/>
        <v/>
      </c>
      <c r="HV132" s="460" t="str">
        <f t="shared" si="481"/>
        <v/>
      </c>
      <c r="HW132" s="460" t="str">
        <f t="shared" ref="HW132:ID135" si="482">IF($FJ57&lt;HW$94,"",SQRT(HW57/HW$15))</f>
        <v/>
      </c>
      <c r="HX132" s="460" t="str">
        <f t="shared" si="482"/>
        <v/>
      </c>
      <c r="HY132" s="460" t="str">
        <f t="shared" si="482"/>
        <v/>
      </c>
      <c r="HZ132" s="460" t="str">
        <f t="shared" si="482"/>
        <v/>
      </c>
      <c r="IA132" s="460" t="str">
        <f t="shared" si="482"/>
        <v/>
      </c>
      <c r="IB132" s="460" t="str">
        <f t="shared" si="482"/>
        <v/>
      </c>
      <c r="IC132" s="460" t="str">
        <f t="shared" si="482"/>
        <v/>
      </c>
      <c r="ID132" s="674" t="str">
        <f t="shared" si="482"/>
        <v/>
      </c>
      <c r="IE132" s="250"/>
    </row>
    <row r="133" spans="8:239">
      <c r="H133" s="51">
        <f t="shared" ca="1" si="315"/>
        <v>0</v>
      </c>
      <c r="I133" s="379">
        <f t="shared" si="316"/>
        <v>40210</v>
      </c>
      <c r="J133" s="377"/>
      <c r="K133" s="104" t="s">
        <v>268</v>
      </c>
      <c r="L133" s="392">
        <f t="shared" si="317"/>
        <v>1.3875000000000006</v>
      </c>
      <c r="M133" s="171"/>
      <c r="N133" s="382">
        <v>0</v>
      </c>
      <c r="O133" s="171">
        <f t="shared" si="272"/>
        <v>0</v>
      </c>
      <c r="P133" s="377"/>
      <c r="Q133" s="104" t="s">
        <v>268</v>
      </c>
      <c r="R133" s="377">
        <f t="shared" ca="1" si="417"/>
        <v>0.19713000792716073</v>
      </c>
      <c r="S133" s="832">
        <f t="shared" si="435"/>
        <v>0.36000000000000043</v>
      </c>
      <c r="T133" s="831">
        <f t="shared" si="418"/>
        <v>0.99999999769506709</v>
      </c>
      <c r="U133" s="545">
        <f t="shared" si="419"/>
        <v>0.99999999999999978</v>
      </c>
      <c r="V133" s="389">
        <v>0</v>
      </c>
      <c r="W133" s="434">
        <f t="shared" si="455"/>
        <v>0</v>
      </c>
      <c r="X133" s="415">
        <f t="shared" si="456"/>
        <v>1.4343750000000006</v>
      </c>
      <c r="Y133" s="322">
        <f t="shared" si="457"/>
        <v>-1.1684999999999999</v>
      </c>
      <c r="Z133" s="322">
        <f t="shared" ca="1" si="458"/>
        <v>0.26587500000000075</v>
      </c>
      <c r="AA133" s="429">
        <f t="shared" si="277"/>
        <v>1.1684999999999999</v>
      </c>
      <c r="AB133" s="433">
        <f t="shared" ca="1" si="278"/>
        <v>1.1684999999999999</v>
      </c>
      <c r="AC133" s="229">
        <v>40198</v>
      </c>
      <c r="AD133" s="229">
        <v>40194</v>
      </c>
      <c r="AE133" s="229">
        <v>40193</v>
      </c>
      <c r="AF133" s="229">
        <v>40189</v>
      </c>
      <c r="AG133" s="249" t="s">
        <v>499</v>
      </c>
      <c r="AH133" s="247" t="s">
        <v>499</v>
      </c>
      <c r="AI133" s="146">
        <v>20</v>
      </c>
      <c r="AJ133" s="41">
        <v>15</v>
      </c>
      <c r="AK133" s="41">
        <v>5</v>
      </c>
      <c r="AL133" s="293">
        <v>20</v>
      </c>
      <c r="AM133" s="41">
        <v>10</v>
      </c>
      <c r="AN133" s="147">
        <v>10</v>
      </c>
      <c r="AO133" s="374"/>
      <c r="AP133" s="153">
        <f t="shared" ca="1" si="318"/>
        <v>1</v>
      </c>
      <c r="AQ133" s="374"/>
      <c r="AR133" s="153">
        <f t="shared" ca="1" si="420"/>
        <v>1</v>
      </c>
      <c r="AS133" s="272">
        <f t="shared" si="459"/>
        <v>0</v>
      </c>
      <c r="AT133" s="157">
        <f t="shared" si="319"/>
        <v>0</v>
      </c>
      <c r="AU133" s="157">
        <f t="shared" si="280"/>
        <v>0</v>
      </c>
      <c r="AV133" s="271">
        <f t="shared" ca="1" si="430"/>
        <v>9.9999999999999995E-7</v>
      </c>
      <c r="AW133" s="158" t="str">
        <f t="shared" ca="1" si="460"/>
        <v/>
      </c>
      <c r="AX133" s="157">
        <f t="shared" ca="1" si="421"/>
        <v>5.6257623541413444E-4</v>
      </c>
      <c r="AY133" s="157">
        <f t="shared" ca="1" si="422"/>
        <v>2.0499005060609906E-4</v>
      </c>
      <c r="AZ133" s="157">
        <f t="shared" ca="1" si="423"/>
        <v>2.1385515257048358E-5</v>
      </c>
      <c r="BA133" s="157">
        <f t="shared" ca="1" si="424"/>
        <v>2.6731894071310448E-6</v>
      </c>
      <c r="BB133" s="157">
        <f t="shared" ca="1" si="425"/>
        <v>1.2532273610105705E-7</v>
      </c>
      <c r="BC133" s="157">
        <f t="shared" ca="1" si="426"/>
        <v>1.4291883212794657E-8</v>
      </c>
      <c r="BD133" s="151">
        <f t="shared" ca="1" si="461"/>
        <v>0</v>
      </c>
      <c r="BE133" s="152">
        <f t="shared" ca="1" si="462"/>
        <v>0</v>
      </c>
      <c r="BF133" s="40">
        <f t="shared" si="463"/>
        <v>2010</v>
      </c>
      <c r="BG133" s="144">
        <f t="shared" si="464"/>
        <v>2</v>
      </c>
      <c r="BH133" s="145">
        <f t="shared" ca="1" si="465"/>
        <v>3449</v>
      </c>
      <c r="BI133" s="313">
        <f t="shared" ca="1" si="439"/>
        <v>9.4866529774127315</v>
      </c>
      <c r="BJ133" s="42">
        <f t="shared" ca="1" si="288"/>
        <v>9.5420944558521565</v>
      </c>
      <c r="BK133" s="42">
        <f t="shared" ca="1" si="289"/>
        <v>9.5448323066392895</v>
      </c>
      <c r="BL133" s="42">
        <f t="shared" ca="1" si="440"/>
        <v>9.5605749486652982</v>
      </c>
      <c r="BM133" s="150" t="e">
        <f t="shared" ca="1" si="291"/>
        <v>#DIV/0!</v>
      </c>
      <c r="BN133" s="42" t="e">
        <f t="shared" ca="1" si="292"/>
        <v>#DIV/0!</v>
      </c>
      <c r="BO133" s="293">
        <f t="shared" si="441"/>
        <v>20</v>
      </c>
      <c r="BP133" s="41">
        <f t="shared" si="442"/>
        <v>15</v>
      </c>
      <c r="BQ133" s="41">
        <f t="shared" si="443"/>
        <v>5</v>
      </c>
      <c r="BR133" s="305" t="str">
        <f t="shared" ca="1" si="295"/>
        <v/>
      </c>
      <c r="BS133" s="305" t="str">
        <f t="shared" ca="1" si="444"/>
        <v/>
      </c>
      <c r="BT133" s="307" t="str">
        <f t="shared" ca="1" si="445"/>
        <v/>
      </c>
      <c r="BU133" s="161" t="str">
        <f t="shared" ca="1" si="298"/>
        <v/>
      </c>
      <c r="BV133" s="161" t="str">
        <f t="shared" ca="1" si="299"/>
        <v/>
      </c>
      <c r="BW133" s="308" t="str">
        <f t="shared" ca="1" si="300"/>
        <v/>
      </c>
      <c r="BX133" s="309" t="str">
        <f t="shared" ca="1" si="301"/>
        <v/>
      </c>
      <c r="BY133" s="308" t="str">
        <f t="shared" ca="1" si="446"/>
        <v/>
      </c>
      <c r="BZ133" s="309" t="str">
        <f t="shared" ca="1" si="447"/>
        <v/>
      </c>
      <c r="CA133" s="154" t="str">
        <f t="shared" ca="1" si="302"/>
        <v/>
      </c>
      <c r="CB133" s="154" t="str">
        <f t="shared" ca="1" si="303"/>
        <v/>
      </c>
      <c r="CC133" s="154" t="str">
        <f t="shared" ca="1" si="304"/>
        <v/>
      </c>
      <c r="CD133" s="154" t="str">
        <f t="shared" ca="1" si="305"/>
        <v/>
      </c>
      <c r="CE133" s="310">
        <v>1</v>
      </c>
      <c r="CF133" s="162">
        <f ca="1">IF(BD133,_xll.xCrudeAPO(BU133,BV133,CA133,CB133,S134,S135,BI133,BL133,BP133,BQ133,0,Strike1,AO133,CE133,0,BL133,IF(OptControl=4,0,1),0,1),0)</f>
        <v>0</v>
      </c>
      <c r="CG133" s="163">
        <f ca="1">IF(BD133,_xll.xCrudeAPO(BU133,BV133,CA133,CB133,S134,S135,BI133,BL133,BP133,BQ133,0,Strike1,AO133,CE133,0,BL133,IF(OptControl=4,0,1),1,1)+_xll.xCrudeAPO(BU133,BV133,CA133,CB133,S134,S135,BI133,BL133,BP133,BQ133,0,Strike1,AO133,CE133,0,BL133,IF(OptControl=4,0,1),1,2)+IF(OR(VolSkewFlag=2,ABS(BS133)&lt;0.0001),0,IF(BS133&gt;0,-1,1)*CH133*Strike1/BR133^2*BY133/10%),0)</f>
        <v>0</v>
      </c>
      <c r="CH133" s="163">
        <f ca="1">IF(BD133,(_xll.xCrudeAPO(BU133,BV133,CA133,CB133,S134,S135,BI133,BL133,BP133,BQ133,0,Strike1,AO133,CE133,0,BL133,IF(OptControl=4,0,1),3,1)+_xll.xCrudeAPO(BU133,BV133,CA133,CB133,S134,S135,BI133,BL133,BP133,BQ133,0,Strike1,AO133,CE133,0,BL133,IF(OptControl=4,0,1),3,2))/100,0)</f>
        <v>0</v>
      </c>
      <c r="CI133" s="163">
        <f ca="1">IF(BD133,_xll.xCrudeAPO(BU133,BV133,CA133,CB133,S134,S135,BI133-DaysForThetaCalculation/365.25,BL133-DaysForThetaCalculation/365.25,BP133,BQ133,0,Strike1,AO133,CE133,0,BL133,IF(OptControl=4,0,1),0,1)-_xll.xCrudeAPO(BU133,BV133,CA133,CB133,S134,S135,BI133,BL133,BP133,BQ133,0,Strike1,AO133,CE133,0,BL133,IF(OptControl=4,0,1),0,1),0)</f>
        <v>0</v>
      </c>
      <c r="CJ133" s="311">
        <f ca="1">IF(BD133,_xll.xCrudeAPO(BU133,BV133,CC133,CD133,S134,S135,BI133,BL133,BP133,BQ133,0,Strike2,AO133,CE133,0,BL133,IF(OptControl=3,1,0),0,1),0)</f>
        <v>0</v>
      </c>
      <c r="CK133" s="163">
        <f ca="1">IF(BD133,_xll.xCrudeAPO(BU133,BV133,CC133,CD133,S134,S135,BI133,BL133,BP133,BQ133,0,Strike2,AO133,CE133,0,BL133,IF(OptControl=3,1,0),1,1)+_xll.xCrudeAPO(BU133,BV133,CC133,CD133,S134,S135,BI133,BL133,BP133,BQ133,0,Strike2,AO133,CE133,0,BL133,IF(OptControl=3,1,0),1,2)+IF(OR(VolSkewFlag=2,ABS(BT133)&lt;0.0001),0,IF(BT133&gt;0,-1,1)*CL133*Strike2/BR133^2*BZ133/10%),0)</f>
        <v>0</v>
      </c>
      <c r="CL133" s="163">
        <f ca="1">IF(BD133,(_xll.xCrudeAPO(BU133,BV133,CC133,CD133,S134,S135,BI133,BL133,BP133,BQ133,0,Strike2,AO133,CE133,0,BL133,IF(OptControl=3,1,0),3,1)+_xll.xCrudeAPO(BU133,BV133,CC133,CD133,S134,S135,BI133,BL133,BP133,BQ133,0,Strike2,AO133,CE133,0,BL133,IF(OptControl=3,1,0),3,2))/100,0)</f>
        <v>0</v>
      </c>
      <c r="CM133" s="164">
        <f ca="1">IF(BD133,_xll.xCrudeAPO(BU133,BV133,CC133,CD133,S134,S135,BI133-DaysForThetaCalculation/365.25,BL133-DaysForThetaCalculation/365.25,BP133,BQ133,0,Strike2,AO133,CE133,0,BL133,IF(OptControl=3,1,0),0,1)-_xll.xCrudeAPO(BU133,BV133,CC133,CD133,S134,S135,BI133,BL133,BP133,BQ133,0,Strike2,AO133,CE133,0,BL133,IF(OptControl=3,1,0),0,1),0)</f>
        <v>0</v>
      </c>
      <c r="CN133" s="53"/>
      <c r="CO133" s="796" t="str">
        <f t="shared" ca="1" si="323"/>
        <v/>
      </c>
      <c r="CP133" s="800" t="str">
        <f t="shared" ca="1" si="324"/>
        <v/>
      </c>
      <c r="CQ133" s="797" t="str">
        <f t="shared" ca="1" si="325"/>
        <v/>
      </c>
      <c r="CR133" s="797" t="str">
        <f t="shared" ca="1" si="326"/>
        <v/>
      </c>
      <c r="CS133" s="797" t="str">
        <f t="shared" ca="1" si="327"/>
        <v/>
      </c>
      <c r="CT133" s="797" t="str">
        <f t="shared" ca="1" si="328"/>
        <v/>
      </c>
      <c r="CU133" s="798" t="str">
        <f t="shared" ca="1" si="329"/>
        <v/>
      </c>
      <c r="CV133" s="799" t="str">
        <f t="shared" ca="1" si="330"/>
        <v/>
      </c>
      <c r="CW133" s="799" t="str">
        <f t="shared" ca="1" si="331"/>
        <v/>
      </c>
      <c r="CX133" s="163">
        <f ca="1">IF(BD133,_xll.EURO(CP133,Strike1,AO133,AO133,CV133,CO133,IF(OptControl=4,0,1),0),0)</f>
        <v>0</v>
      </c>
      <c r="CY133" s="163">
        <f ca="1">IF(BD133,_xll.EURO(CP133,Strike1,AO133,AO133,CV133,CO133,IF(OptControl=4,0,1),1)+IF(OR(VolSkewFlag=2,ABS(CQ133)&lt;0.0001),0,IF(CQ133&gt;0,-1,1)*CZ133*100*Strike1/CP133^2*CS133/10%),0)</f>
        <v>0</v>
      </c>
      <c r="CZ133" s="163">
        <f ca="1">IF(BD133,_xll.EURO(CP133,Strike1,AO133,AO133,CV133,CO133,IF(OptControl=4,0,1),3)/100,0)</f>
        <v>0</v>
      </c>
      <c r="DA133" s="163">
        <f ca="1">IF(BD133,_xll.EURO(CP133,Strike1,AO133,AO133,CV133,CO133,IF(OptControl=4,0,1),0)-_xll.EURO(CP133,Strike1,AO133,AO133,CV133,CO133-1,IF(OptControl=4,0,1),0),0)</f>
        <v>0</v>
      </c>
      <c r="DB133" s="163">
        <f ca="1">IF(BD133,_xll.EURO(CP133,Strike2,AO133,AO133,CW133,CO133,IF(OptControl=3,1,0),0),0)</f>
        <v>0</v>
      </c>
      <c r="DC133" s="163">
        <f ca="1">IF(BD133,_xll.EURO(CP133,Strike2,AO133,AO133,CW133,CO133,IF(OptControl=3,1,0),1)+IF(OR(VolSkewFlag=2,ABS(CR133)&lt;0.0001),0,IF(CR133&gt;0,-1,1)*DD133*100*Strike2/CP133^2*CT133/10%),0)</f>
        <v>0</v>
      </c>
      <c r="DD133" s="163">
        <f ca="1">IF(BD133,_xll.EURO(CP133,Strike2,AO133,AO133,CW133,CO133,IF(OptControl=3,1,0),3)/100,0)</f>
        <v>0</v>
      </c>
      <c r="DE133" s="164">
        <f ca="1">IF(BD133,_xll.EURO(CP133,Strike2,AO133,AO133,CW133,CO133,IF(OptControl=3,1,0),0)-_xll.EURO(CP133,Strike2,AO133,AO133,CW133,CO133-1,IF(OptControl=3,1,0),0),0)</f>
        <v>0</v>
      </c>
      <c r="DG133" s="667">
        <f t="shared" ca="1" si="332"/>
        <v>39995</v>
      </c>
      <c r="DH133" s="475">
        <v>19.809999999999999</v>
      </c>
      <c r="DI133" s="665">
        <v>19.879565217391335</v>
      </c>
      <c r="DJ133" s="666">
        <f t="shared" ca="1" si="466"/>
        <v>39995</v>
      </c>
      <c r="DK133" s="475">
        <v>18.612586188769832</v>
      </c>
      <c r="DL133" s="665">
        <v>18.612665217391335</v>
      </c>
      <c r="DM133" s="667">
        <f t="shared" ca="1" si="467"/>
        <v>39995</v>
      </c>
      <c r="DN133" s="668">
        <f t="shared" si="468"/>
        <v>18.662586188769833</v>
      </c>
      <c r="DO133" s="667">
        <f t="shared" ca="1" si="333"/>
        <v>39995</v>
      </c>
      <c r="DP133" s="579">
        <f t="shared" si="334"/>
        <v>18.612665217391335</v>
      </c>
      <c r="DQ133" s="821">
        <v>0</v>
      </c>
      <c r="DR133" s="666">
        <f t="shared" ca="1" si="469"/>
        <v>39995</v>
      </c>
      <c r="DS133" s="669">
        <v>0.15679999999999902</v>
      </c>
      <c r="DT133" s="606">
        <v>0.1559652173913034</v>
      </c>
      <c r="DU133" s="666">
        <f t="shared" ca="1" si="470"/>
        <v>39995</v>
      </c>
      <c r="DV133" s="669">
        <v>0.15679999999999902</v>
      </c>
      <c r="DW133" s="606">
        <v>0.1559652173913034</v>
      </c>
      <c r="DX133" s="667">
        <f t="shared" ca="1" si="471"/>
        <v>39995</v>
      </c>
      <c r="DY133" s="606">
        <v>0.35</v>
      </c>
      <c r="DZ133" s="667">
        <f t="shared" ca="1" si="335"/>
        <v>39995</v>
      </c>
      <c r="EA133" s="606">
        <f t="shared" si="336"/>
        <v>0.1559652173913034</v>
      </c>
      <c r="EB133" s="1"/>
      <c r="EC133" s="118" t="str">
        <f t="shared" ca="1" si="472"/>
        <v/>
      </c>
      <c r="ED133" s="119" t="str">
        <f t="shared" ca="1" si="313"/>
        <v/>
      </c>
      <c r="EE133" s="112" t="str">
        <f t="shared" ca="1" si="314"/>
        <v/>
      </c>
      <c r="EF133" s="120">
        <f ca="1">IF(BD133,_xll.xASN(BR133,Strike1,AO133,ED133,0,BO133,0,BI133,BL133,IF(OptControl=4,0,1),0),0)</f>
        <v>0</v>
      </c>
      <c r="EG133" s="111">
        <f ca="1">IF(BD133,_xll.xASN(BR133,Strike2,AO133,EE133,0,BO133,0,BI133,BL133,IF(OptControl=3,1,0),0),0)</f>
        <v>0</v>
      </c>
      <c r="EL133" s="55"/>
      <c r="EM133" s="1"/>
      <c r="EN133" s="106"/>
      <c r="EO133" s="106"/>
      <c r="EP133" s="1"/>
      <c r="EQ133" s="683" t="s">
        <v>346</v>
      </c>
      <c r="ES133" s="455"/>
      <c r="ET133" s="36"/>
      <c r="EU133" s="107"/>
      <c r="EV133" s="475"/>
      <c r="EW133" s="456"/>
      <c r="EX133" s="456"/>
      <c r="EY133" s="250"/>
      <c r="EZ133" s="250"/>
      <c r="FA133" s="250"/>
      <c r="FB133" s="250"/>
      <c r="FC133" s="250"/>
      <c r="FD133" s="250"/>
      <c r="FE133" s="250"/>
      <c r="FF133" s="250"/>
      <c r="FG133" s="250"/>
      <c r="FH133" s="250"/>
      <c r="FI133" s="250"/>
      <c r="FJ133" s="673">
        <v>39</v>
      </c>
      <c r="FK133" s="460">
        <f t="shared" ca="1" si="479"/>
        <v>0</v>
      </c>
      <c r="FL133" s="460">
        <f t="shared" ref="FL133:HW136" ca="1" si="483">IF($FJ58&lt;FL$94,"",SQRT(FL58/FL$15))</f>
        <v>0.16651602240099048</v>
      </c>
      <c r="FM133" s="460">
        <f t="shared" ca="1" si="483"/>
        <v>0.17096629845168709</v>
      </c>
      <c r="FN133" s="460">
        <f t="shared" ca="1" si="483"/>
        <v>0.16775684295384721</v>
      </c>
      <c r="FO133" s="460">
        <f t="shared" ca="1" si="483"/>
        <v>0.16538018245839181</v>
      </c>
      <c r="FP133" s="460">
        <f t="shared" ca="1" si="483"/>
        <v>0.16363347523191049</v>
      </c>
      <c r="FQ133" s="460">
        <f t="shared" ca="1" si="483"/>
        <v>0.16236548977642465</v>
      </c>
      <c r="FR133" s="460">
        <f t="shared" ca="1" si="483"/>
        <v>0.16146386163527504</v>
      </c>
      <c r="FS133" s="460">
        <f t="shared" ca="1" si="483"/>
        <v>0.16084556430893138</v>
      </c>
      <c r="FT133" s="460">
        <f t="shared" ca="1" si="483"/>
        <v>0.16044979618661348</v>
      </c>
      <c r="FU133" s="460">
        <f t="shared" ca="1" si="483"/>
        <v>0.16023268606444643</v>
      </c>
      <c r="FV133" s="460">
        <f t="shared" ca="1" si="483"/>
        <v>0.16016337059967475</v>
      </c>
      <c r="FW133" s="460">
        <f t="shared" ca="1" si="483"/>
        <v>0.1602211104960018</v>
      </c>
      <c r="FX133" s="460">
        <f t="shared" ca="1" si="483"/>
        <v>0.16039319776948224</v>
      </c>
      <c r="FY133" s="460">
        <f t="shared" ca="1" si="483"/>
        <v>0.16067347122724748</v>
      </c>
      <c r="FZ133" s="460">
        <f t="shared" ca="1" si="483"/>
        <v>0.16106130669555305</v>
      </c>
      <c r="GA133" s="460">
        <f t="shared" ca="1" si="483"/>
        <v>0.16156098667854704</v>
      </c>
      <c r="GB133" s="460">
        <f t="shared" ca="1" si="483"/>
        <v>0.16218138421034009</v>
      </c>
      <c r="GC133" s="460">
        <f t="shared" ca="1" si="483"/>
        <v>0.16293592022898609</v>
      </c>
      <c r="GD133" s="460">
        <f t="shared" ca="1" si="483"/>
        <v>0.16384277498322333</v>
      </c>
      <c r="GE133" s="460">
        <f t="shared" ca="1" si="483"/>
        <v>0.16492535370153785</v>
      </c>
      <c r="GF133" s="460">
        <f t="shared" ca="1" si="483"/>
        <v>0.1662130269247642</v>
      </c>
      <c r="GG133" s="460">
        <f t="shared" ca="1" si="483"/>
        <v>0.16774218867916832</v>
      </c>
      <c r="GH133" s="460">
        <f t="shared" ca="1" si="483"/>
        <v>0.1695577037442631</v>
      </c>
      <c r="GI133" s="460">
        <f t="shared" ca="1" si="483"/>
        <v>0.1717148523421653</v>
      </c>
      <c r="GJ133" s="460">
        <f t="shared" ca="1" si="483"/>
        <v>0.17428193202755604</v>
      </c>
      <c r="GK133" s="460">
        <f t="shared" ca="1" si="483"/>
        <v>0.17734375058721608</v>
      </c>
      <c r="GL133" s="460">
        <f t="shared" ca="1" si="483"/>
        <v>0.18100635325274536</v>
      </c>
      <c r="GM133" s="460">
        <f t="shared" ca="1" si="483"/>
        <v>0.18540349328509889</v>
      </c>
      <c r="GN133" s="460">
        <f t="shared" ca="1" si="483"/>
        <v>0.19070561137608441</v>
      </c>
      <c r="GO133" s="460">
        <f t="shared" ca="1" si="483"/>
        <v>0.19713249450617373</v>
      </c>
      <c r="GP133" s="460">
        <f t="shared" ca="1" si="483"/>
        <v>0.20497143984406468</v>
      </c>
      <c r="GQ133" s="460">
        <f t="shared" ca="1" si="483"/>
        <v>0.2146038338540398</v>
      </c>
      <c r="GR133" s="460">
        <f t="shared" ca="1" si="483"/>
        <v>0.22654490099124799</v>
      </c>
      <c r="GS133" s="460">
        <f t="shared" ca="1" si="483"/>
        <v>0.24150460528557829</v>
      </c>
      <c r="GT133" s="460">
        <f t="shared" ca="1" si="483"/>
        <v>0.26048352855963797</v>
      </c>
      <c r="GU133" s="460">
        <f t="shared" ca="1" si="483"/>
        <v>0.28492850654281487</v>
      </c>
      <c r="GV133" s="460">
        <f t="shared" ca="1" si="483"/>
        <v>0.31699423083618233</v>
      </c>
      <c r="GW133" s="460">
        <f t="shared" ca="1" si="483"/>
        <v>0.36000095351325978</v>
      </c>
      <c r="GX133" s="460" t="str">
        <f t="shared" si="483"/>
        <v/>
      </c>
      <c r="GY133" s="460" t="str">
        <f t="shared" si="483"/>
        <v/>
      </c>
      <c r="GZ133" s="460" t="str">
        <f t="shared" si="483"/>
        <v/>
      </c>
      <c r="HA133" s="460" t="str">
        <f t="shared" si="483"/>
        <v/>
      </c>
      <c r="HB133" s="460" t="str">
        <f t="shared" si="483"/>
        <v/>
      </c>
      <c r="HC133" s="460" t="str">
        <f t="shared" si="483"/>
        <v/>
      </c>
      <c r="HD133" s="460" t="str">
        <f t="shared" si="483"/>
        <v/>
      </c>
      <c r="HE133" s="460" t="str">
        <f t="shared" si="483"/>
        <v/>
      </c>
      <c r="HF133" s="460" t="str">
        <f t="shared" si="483"/>
        <v/>
      </c>
      <c r="HG133" s="460" t="str">
        <f t="shared" si="483"/>
        <v/>
      </c>
      <c r="HH133" s="460" t="str">
        <f t="shared" si="483"/>
        <v/>
      </c>
      <c r="HI133" s="460" t="str">
        <f t="shared" si="483"/>
        <v/>
      </c>
      <c r="HJ133" s="460" t="str">
        <f t="shared" si="483"/>
        <v/>
      </c>
      <c r="HK133" s="460" t="str">
        <f t="shared" si="483"/>
        <v/>
      </c>
      <c r="HL133" s="460" t="str">
        <f t="shared" si="483"/>
        <v/>
      </c>
      <c r="HM133" s="460" t="str">
        <f t="shared" si="483"/>
        <v/>
      </c>
      <c r="HN133" s="460" t="str">
        <f t="shared" si="483"/>
        <v/>
      </c>
      <c r="HO133" s="460" t="str">
        <f t="shared" si="483"/>
        <v/>
      </c>
      <c r="HP133" s="460" t="str">
        <f t="shared" si="483"/>
        <v/>
      </c>
      <c r="HQ133" s="460" t="str">
        <f t="shared" si="483"/>
        <v/>
      </c>
      <c r="HR133" s="460" t="str">
        <f t="shared" si="483"/>
        <v/>
      </c>
      <c r="HS133" s="460" t="str">
        <f t="shared" si="483"/>
        <v/>
      </c>
      <c r="HT133" s="460" t="str">
        <f t="shared" si="483"/>
        <v/>
      </c>
      <c r="HU133" s="460" t="str">
        <f t="shared" si="483"/>
        <v/>
      </c>
      <c r="HV133" s="460" t="str">
        <f t="shared" si="483"/>
        <v/>
      </c>
      <c r="HW133" s="460" t="str">
        <f t="shared" si="483"/>
        <v/>
      </c>
      <c r="HX133" s="460" t="str">
        <f t="shared" si="482"/>
        <v/>
      </c>
      <c r="HY133" s="460" t="str">
        <f t="shared" si="482"/>
        <v/>
      </c>
      <c r="HZ133" s="460" t="str">
        <f t="shared" si="482"/>
        <v/>
      </c>
      <c r="IA133" s="460" t="str">
        <f t="shared" si="482"/>
        <v/>
      </c>
      <c r="IB133" s="460" t="str">
        <f t="shared" si="482"/>
        <v/>
      </c>
      <c r="IC133" s="460" t="str">
        <f t="shared" si="482"/>
        <v/>
      </c>
      <c r="ID133" s="674" t="str">
        <f t="shared" si="482"/>
        <v/>
      </c>
      <c r="IE133" s="250"/>
    </row>
    <row r="134" spans="8:239">
      <c r="H134" s="51">
        <f t="shared" ca="1" si="315"/>
        <v>0</v>
      </c>
      <c r="I134" s="379">
        <f t="shared" si="316"/>
        <v>40238</v>
      </c>
      <c r="J134" s="377"/>
      <c r="K134" s="104" t="s">
        <v>268</v>
      </c>
      <c r="L134" s="392">
        <f t="shared" si="317"/>
        <v>1.4250000000000007</v>
      </c>
      <c r="M134" s="171"/>
      <c r="N134" s="382">
        <v>0</v>
      </c>
      <c r="O134" s="171">
        <f t="shared" si="272"/>
        <v>0</v>
      </c>
      <c r="P134" s="377"/>
      <c r="Q134" s="104" t="s">
        <v>268</v>
      </c>
      <c r="R134" s="377">
        <f t="shared" ca="1" si="417"/>
        <v>0.26075726624141543</v>
      </c>
      <c r="S134" s="832">
        <f t="shared" si="435"/>
        <v>0.36000000000000032</v>
      </c>
      <c r="T134" s="831">
        <f t="shared" si="418"/>
        <v>0.9999999980292823</v>
      </c>
      <c r="U134" s="545">
        <f t="shared" si="419"/>
        <v>0.99999999999999978</v>
      </c>
      <c r="V134" s="389">
        <v>0</v>
      </c>
      <c r="W134" s="434">
        <f t="shared" si="455"/>
        <v>0</v>
      </c>
      <c r="X134" s="415">
        <f t="shared" si="456"/>
        <v>1.4755434782608703</v>
      </c>
      <c r="Y134" s="322">
        <f t="shared" si="457"/>
        <v>-1.1684999999999999</v>
      </c>
      <c r="Z134" s="322">
        <f t="shared" ca="1" si="458"/>
        <v>0.30704347826087042</v>
      </c>
      <c r="AA134" s="429">
        <f t="shared" si="277"/>
        <v>1.1684999999999999</v>
      </c>
      <c r="AB134" s="433">
        <f t="shared" ca="1" si="278"/>
        <v>1.1684999999999999</v>
      </c>
      <c r="AC134" s="229">
        <v>40229</v>
      </c>
      <c r="AD134" s="229">
        <v>40225</v>
      </c>
      <c r="AE134" s="229">
        <v>40224</v>
      </c>
      <c r="AF134" s="229">
        <v>40220</v>
      </c>
      <c r="AG134" s="249" t="s">
        <v>499</v>
      </c>
      <c r="AH134" s="247" t="s">
        <v>499</v>
      </c>
      <c r="AI134" s="146">
        <v>23</v>
      </c>
      <c r="AJ134" s="41">
        <v>15</v>
      </c>
      <c r="AK134" s="41">
        <v>8</v>
      </c>
      <c r="AL134" s="293">
        <v>23</v>
      </c>
      <c r="AM134" s="41">
        <v>10</v>
      </c>
      <c r="AN134" s="147">
        <v>13</v>
      </c>
      <c r="AO134" s="374"/>
      <c r="AP134" s="153">
        <f t="shared" ca="1" si="318"/>
        <v>1</v>
      </c>
      <c r="AQ134" s="374"/>
      <c r="AR134" s="153">
        <f t="shared" ca="1" si="420"/>
        <v>1</v>
      </c>
      <c r="AS134" s="272">
        <f t="shared" si="459"/>
        <v>0</v>
      </c>
      <c r="AT134" s="157">
        <f t="shared" si="319"/>
        <v>0</v>
      </c>
      <c r="AU134" s="157">
        <f t="shared" si="280"/>
        <v>0</v>
      </c>
      <c r="AV134" s="271">
        <f t="shared" ca="1" si="430"/>
        <v>9.9999999999999995E-7</v>
      </c>
      <c r="AW134" s="158" t="str">
        <f t="shared" ca="1" si="460"/>
        <v/>
      </c>
      <c r="AX134" s="157">
        <f t="shared" ca="1" si="421"/>
        <v>5.4388503701777559E-4</v>
      </c>
      <c r="AY134" s="157">
        <f t="shared" ca="1" si="422"/>
        <v>1.9686189842507728E-4</v>
      </c>
      <c r="AZ134" s="157">
        <f t="shared" ca="1" si="423"/>
        <v>2.0185238514590393E-5</v>
      </c>
      <c r="BA134" s="157">
        <f t="shared" ca="1" si="424"/>
        <v>2.5231548143237991E-6</v>
      </c>
      <c r="BB134" s="157">
        <f t="shared" ca="1" si="425"/>
        <v>1.1435884579917002E-7</v>
      </c>
      <c r="BC134" s="157">
        <f t="shared" ca="1" si="426"/>
        <v>1.2732620434090176E-8</v>
      </c>
      <c r="BD134" s="151">
        <f t="shared" ca="1" si="461"/>
        <v>0</v>
      </c>
      <c r="BE134" s="152">
        <f t="shared" ca="1" si="462"/>
        <v>0</v>
      </c>
      <c r="BF134" s="40">
        <f t="shared" si="463"/>
        <v>2010</v>
      </c>
      <c r="BG134" s="144">
        <f t="shared" si="464"/>
        <v>3</v>
      </c>
      <c r="BH134" s="145">
        <f t="shared" ca="1" si="465"/>
        <v>3480</v>
      </c>
      <c r="BI134" s="313">
        <f t="shared" ca="1" si="439"/>
        <v>9.5633127994524294</v>
      </c>
      <c r="BJ134" s="42">
        <f t="shared" ca="1" si="288"/>
        <v>9.6168794452876227</v>
      </c>
      <c r="BK134" s="42">
        <f t="shared" ca="1" si="289"/>
        <v>9.6196172960747557</v>
      </c>
      <c r="BL134" s="42">
        <f t="shared" ca="1" si="440"/>
        <v>9.6454483230663932</v>
      </c>
      <c r="BM134" s="150" t="e">
        <f t="shared" ca="1" si="291"/>
        <v>#DIV/0!</v>
      </c>
      <c r="BN134" s="42" t="e">
        <f t="shared" ca="1" si="292"/>
        <v>#DIV/0!</v>
      </c>
      <c r="BO134" s="293">
        <f t="shared" si="441"/>
        <v>23</v>
      </c>
      <c r="BP134" s="41">
        <f t="shared" si="442"/>
        <v>15</v>
      </c>
      <c r="BQ134" s="41">
        <f t="shared" si="443"/>
        <v>8</v>
      </c>
      <c r="BR134" s="305" t="str">
        <f t="shared" ca="1" si="295"/>
        <v/>
      </c>
      <c r="BS134" s="305" t="str">
        <f t="shared" ca="1" si="444"/>
        <v/>
      </c>
      <c r="BT134" s="307" t="str">
        <f t="shared" ca="1" si="445"/>
        <v/>
      </c>
      <c r="BU134" s="161" t="str">
        <f t="shared" ca="1" si="298"/>
        <v/>
      </c>
      <c r="BV134" s="161" t="str">
        <f t="shared" ca="1" si="299"/>
        <v/>
      </c>
      <c r="BW134" s="308" t="str">
        <f t="shared" ca="1" si="300"/>
        <v/>
      </c>
      <c r="BX134" s="309" t="str">
        <f t="shared" ca="1" si="301"/>
        <v/>
      </c>
      <c r="BY134" s="308" t="str">
        <f t="shared" ca="1" si="446"/>
        <v/>
      </c>
      <c r="BZ134" s="309" t="str">
        <f t="shared" ca="1" si="447"/>
        <v/>
      </c>
      <c r="CA134" s="154" t="str">
        <f t="shared" ca="1" si="302"/>
        <v/>
      </c>
      <c r="CB134" s="154" t="str">
        <f t="shared" ca="1" si="303"/>
        <v/>
      </c>
      <c r="CC134" s="154" t="str">
        <f t="shared" ca="1" si="304"/>
        <v/>
      </c>
      <c r="CD134" s="154" t="str">
        <f t="shared" ca="1" si="305"/>
        <v/>
      </c>
      <c r="CE134" s="310">
        <v>1</v>
      </c>
      <c r="CF134" s="162">
        <f ca="1">IF(BD134,_xll.xCrudeAPO(BU134,BV134,CA134,CB134,S135,S136,BI134,BL134,BP134,BQ134,0,Strike1,AO134,CE134,0,BL134,IF(OptControl=4,0,1),0,1),0)</f>
        <v>0</v>
      </c>
      <c r="CG134" s="163">
        <f ca="1">IF(BD134,_xll.xCrudeAPO(BU134,BV134,CA134,CB134,S135,S136,BI134,BL134,BP134,BQ134,0,Strike1,AO134,CE134,0,BL134,IF(OptControl=4,0,1),1,1)+_xll.xCrudeAPO(BU134,BV134,CA134,CB134,S135,S136,BI134,BL134,BP134,BQ134,0,Strike1,AO134,CE134,0,BL134,IF(OptControl=4,0,1),1,2)+IF(OR(VolSkewFlag=2,ABS(BS134)&lt;0.0001),0,IF(BS134&gt;0,-1,1)*CH134*Strike1/BR134^2*BY134/10%),0)</f>
        <v>0</v>
      </c>
      <c r="CH134" s="163">
        <f ca="1">IF(BD134,(_xll.xCrudeAPO(BU134,BV134,CA134,CB134,S135,S136,BI134,BL134,BP134,BQ134,0,Strike1,AO134,CE134,0,BL134,IF(OptControl=4,0,1),3,1)+_xll.xCrudeAPO(BU134,BV134,CA134,CB134,S135,S136,BI134,BL134,BP134,BQ134,0,Strike1,AO134,CE134,0,BL134,IF(OptControl=4,0,1),3,2))/100,0)</f>
        <v>0</v>
      </c>
      <c r="CI134" s="163">
        <f ca="1">IF(BD134,_xll.xCrudeAPO(BU134,BV134,CA134,CB134,S135,S136,BI134-DaysForThetaCalculation/365.25,BL134-DaysForThetaCalculation/365.25,BP134,BQ134,0,Strike1,AO134,CE134,0,BL134,IF(OptControl=4,0,1),0,1)-_xll.xCrudeAPO(BU134,BV134,CA134,CB134,S135,S136,BI134,BL134,BP134,BQ134,0,Strike1,AO134,CE134,0,BL134,IF(OptControl=4,0,1),0,1),0)</f>
        <v>0</v>
      </c>
      <c r="CJ134" s="311">
        <f ca="1">IF(BD134,_xll.xCrudeAPO(BU134,BV134,CC134,CD134,S135,S136,BI134,BL134,BP134,BQ134,0,Strike2,AO134,CE134,0,BL134,IF(OptControl=3,1,0),0,1),0)</f>
        <v>0</v>
      </c>
      <c r="CK134" s="163">
        <f ca="1">IF(BD134,_xll.xCrudeAPO(BU134,BV134,CC134,CD134,S135,S136,BI134,BL134,BP134,BQ134,0,Strike2,AO134,CE134,0,BL134,IF(OptControl=3,1,0),1,1)+_xll.xCrudeAPO(BU134,BV134,CC134,CD134,S135,S136,BI134,BL134,BP134,BQ134,0,Strike2,AO134,CE134,0,BL134,IF(OptControl=3,1,0),1,2)+IF(OR(VolSkewFlag=2,ABS(BT134)&lt;0.0001),0,IF(BT134&gt;0,-1,1)*CL134*Strike2/BR134^2*BZ134/10%),0)</f>
        <v>0</v>
      </c>
      <c r="CL134" s="163">
        <f ca="1">IF(BD134,(_xll.xCrudeAPO(BU134,BV134,CC134,CD134,S135,S136,BI134,BL134,BP134,BQ134,0,Strike2,AO134,CE134,0,BL134,IF(OptControl=3,1,0),3,1)+_xll.xCrudeAPO(BU134,BV134,CC134,CD134,S135,S136,BI134,BL134,BP134,BQ134,0,Strike2,AO134,CE134,0,BL134,IF(OptControl=3,1,0),3,2))/100,0)</f>
        <v>0</v>
      </c>
      <c r="CM134" s="164">
        <f ca="1">IF(BD134,_xll.xCrudeAPO(BU134,BV134,CC134,CD134,S135,S136,BI134-DaysForThetaCalculation/365.25,BL134-DaysForThetaCalculation/365.25,BP134,BQ134,0,Strike2,AO134,CE134,0,BL134,IF(OptControl=3,1,0),0,1)-_xll.xCrudeAPO(BU134,BV134,CC134,CD134,S135,S136,BI134,BL134,BP134,BQ134,0,Strike2,AO134,CE134,0,BL134,IF(OptControl=3,1,0),0,1),0)</f>
        <v>0</v>
      </c>
      <c r="CN134" s="53"/>
      <c r="CO134" s="796" t="str">
        <f t="shared" ca="1" si="323"/>
        <v/>
      </c>
      <c r="CP134" s="800" t="str">
        <f t="shared" ca="1" si="324"/>
        <v/>
      </c>
      <c r="CQ134" s="797" t="str">
        <f t="shared" ca="1" si="325"/>
        <v/>
      </c>
      <c r="CR134" s="797" t="str">
        <f t="shared" ca="1" si="326"/>
        <v/>
      </c>
      <c r="CS134" s="797" t="str">
        <f t="shared" ca="1" si="327"/>
        <v/>
      </c>
      <c r="CT134" s="797" t="str">
        <f t="shared" ca="1" si="328"/>
        <v/>
      </c>
      <c r="CU134" s="798" t="str">
        <f t="shared" ca="1" si="329"/>
        <v/>
      </c>
      <c r="CV134" s="799" t="str">
        <f t="shared" ca="1" si="330"/>
        <v/>
      </c>
      <c r="CW134" s="799" t="str">
        <f t="shared" ca="1" si="331"/>
        <v/>
      </c>
      <c r="CX134" s="163">
        <f ca="1">IF(BD134,_xll.EURO(CP134,Strike1,AO134,AO134,CV134,CO134,IF(OptControl=4,0,1),0),0)</f>
        <v>0</v>
      </c>
      <c r="CY134" s="163">
        <f ca="1">IF(BD134,_xll.EURO(CP134,Strike1,AO134,AO134,CV134,CO134,IF(OptControl=4,0,1),1)+IF(OR(VolSkewFlag=2,ABS(CQ134)&lt;0.0001),0,IF(CQ134&gt;0,-1,1)*CZ134*100*Strike1/CP134^2*CS134/10%),0)</f>
        <v>0</v>
      </c>
      <c r="CZ134" s="163">
        <f ca="1">IF(BD134,_xll.EURO(CP134,Strike1,AO134,AO134,CV134,CO134,IF(OptControl=4,0,1),3)/100,0)</f>
        <v>0</v>
      </c>
      <c r="DA134" s="163">
        <f ca="1">IF(BD134,_xll.EURO(CP134,Strike1,AO134,AO134,CV134,CO134,IF(OptControl=4,0,1),0)-_xll.EURO(CP134,Strike1,AO134,AO134,CV134,CO134-1,IF(OptControl=4,0,1),0),0)</f>
        <v>0</v>
      </c>
      <c r="DB134" s="163">
        <f ca="1">IF(BD134,_xll.EURO(CP134,Strike2,AO134,AO134,CW134,CO134,IF(OptControl=3,1,0),0),0)</f>
        <v>0</v>
      </c>
      <c r="DC134" s="163">
        <f ca="1">IF(BD134,_xll.EURO(CP134,Strike2,AO134,AO134,CW134,CO134,IF(OptControl=3,1,0),1)+IF(OR(VolSkewFlag=2,ABS(CR134)&lt;0.0001),0,IF(CR134&gt;0,-1,1)*DD134*100*Strike2/CP134^2*CT134/10%),0)</f>
        <v>0</v>
      </c>
      <c r="DD134" s="163">
        <f ca="1">IF(BD134,_xll.EURO(CP134,Strike2,AO134,AO134,CW134,CO134,IF(OptControl=3,1,0),3)/100,0)</f>
        <v>0</v>
      </c>
      <c r="DE134" s="164">
        <f ca="1">IF(BD134,_xll.EURO(CP134,Strike2,AO134,AO134,CW134,CO134,IF(OptControl=3,1,0),0)-_xll.EURO(CP134,Strike2,AO134,AO134,CW134,CO134-1,IF(OptControl=3,1,0),0),0)</f>
        <v>0</v>
      </c>
      <c r="DG134" s="667">
        <f t="shared" ca="1" si="332"/>
        <v>40026</v>
      </c>
      <c r="DH134" s="475">
        <v>19.86</v>
      </c>
      <c r="DI134" s="665">
        <v>19.926666666666694</v>
      </c>
      <c r="DJ134" s="666">
        <f t="shared" ca="1" si="466"/>
        <v>40026</v>
      </c>
      <c r="DK134" s="475">
        <v>18.469261509358532</v>
      </c>
      <c r="DL134" s="665">
        <v>18.659766666666695</v>
      </c>
      <c r="DM134" s="667">
        <f t="shared" ca="1" si="467"/>
        <v>40026</v>
      </c>
      <c r="DN134" s="668">
        <f t="shared" si="468"/>
        <v>18.519261509358532</v>
      </c>
      <c r="DO134" s="667">
        <f t="shared" ca="1" si="333"/>
        <v>40026</v>
      </c>
      <c r="DP134" s="579">
        <f t="shared" si="334"/>
        <v>18.659766666666695</v>
      </c>
      <c r="DQ134" s="821">
        <v>0</v>
      </c>
      <c r="DR134" s="666">
        <f t="shared" ca="1" si="469"/>
        <v>40026</v>
      </c>
      <c r="DS134" s="669">
        <v>0.15619999999999903</v>
      </c>
      <c r="DT134" s="606">
        <v>0.15539999999999904</v>
      </c>
      <c r="DU134" s="666">
        <f t="shared" ca="1" si="470"/>
        <v>40026</v>
      </c>
      <c r="DV134" s="669">
        <v>0.15619999999999903</v>
      </c>
      <c r="DW134" s="606">
        <v>0.15539999999999904</v>
      </c>
      <c r="DX134" s="667">
        <f t="shared" ca="1" si="471"/>
        <v>40026</v>
      </c>
      <c r="DY134" s="606">
        <v>0.35</v>
      </c>
      <c r="DZ134" s="667">
        <f t="shared" ca="1" si="335"/>
        <v>40026</v>
      </c>
      <c r="EA134" s="606">
        <f t="shared" si="336"/>
        <v>0.15539999999999904</v>
      </c>
      <c r="EB134" s="1"/>
      <c r="EC134" s="118" t="str">
        <f t="shared" ca="1" si="472"/>
        <v/>
      </c>
      <c r="ED134" s="119" t="str">
        <f t="shared" ca="1" si="313"/>
        <v/>
      </c>
      <c r="EE134" s="112" t="str">
        <f t="shared" ca="1" si="314"/>
        <v/>
      </c>
      <c r="EF134" s="120">
        <f ca="1">IF(BD134,_xll.xASN(BR134,Strike1,AO134,ED134,0,BO134,0,BI134,BL134,IF(OptControl=4,0,1),0),0)</f>
        <v>0</v>
      </c>
      <c r="EG134" s="111">
        <f ca="1">IF(BD134,_xll.xASN(BR134,Strike2,AO134,EE134,0,BO134,0,BI134,BL134,IF(OptControl=3,1,0),0),0)</f>
        <v>0</v>
      </c>
      <c r="EL134" s="55"/>
      <c r="EM134" s="1"/>
      <c r="EN134" s="106"/>
      <c r="EO134" s="106"/>
      <c r="EP134" s="1"/>
      <c r="EQ134" s="683" t="s">
        <v>347</v>
      </c>
      <c r="ES134" s="455"/>
      <c r="ET134" s="36"/>
      <c r="EU134" s="107"/>
      <c r="EV134" s="475"/>
      <c r="EW134" s="456"/>
      <c r="EX134" s="456"/>
      <c r="EY134" s="250"/>
      <c r="EZ134" s="250"/>
      <c r="FA134" s="250"/>
      <c r="FB134" s="250"/>
      <c r="FC134" s="250"/>
      <c r="FD134" s="250"/>
      <c r="FE134" s="250"/>
      <c r="FF134" s="250"/>
      <c r="FG134" s="250"/>
      <c r="FH134" s="250"/>
      <c r="FI134" s="250"/>
      <c r="FJ134" s="673">
        <v>40</v>
      </c>
      <c r="FK134" s="460">
        <f t="shared" ca="1" si="479"/>
        <v>0</v>
      </c>
      <c r="FL134" s="460">
        <f t="shared" ca="1" si="483"/>
        <v>0.16645916805109998</v>
      </c>
      <c r="FM134" s="460">
        <f t="shared" ca="1" si="483"/>
        <v>0.17089802299049023</v>
      </c>
      <c r="FN134" s="460">
        <f t="shared" ca="1" si="483"/>
        <v>0.16767848501992388</v>
      </c>
      <c r="FO134" s="460">
        <f t="shared" ca="1" si="483"/>
        <v>0.16528983055746713</v>
      </c>
      <c r="FP134" s="460">
        <f t="shared" ca="1" si="483"/>
        <v>0.16352891175923073</v>
      </c>
      <c r="FQ134" s="460">
        <f t="shared" ca="1" si="483"/>
        <v>0.16224413440446972</v>
      </c>
      <c r="FR134" s="460">
        <f t="shared" ca="1" si="483"/>
        <v>0.1613227047564523</v>
      </c>
      <c r="FS134" s="460">
        <f t="shared" ca="1" si="483"/>
        <v>0.16068108854499161</v>
      </c>
      <c r="FT134" s="460">
        <f t="shared" ca="1" si="483"/>
        <v>0.16025788354681147</v>
      </c>
      <c r="FU134" s="460">
        <f t="shared" ca="1" si="483"/>
        <v>0.16000850779372114</v>
      </c>
      <c r="FV134" s="460">
        <f t="shared" ca="1" si="483"/>
        <v>0.15990125607286113</v>
      </c>
      <c r="FW134" s="460">
        <f t="shared" ca="1" si="483"/>
        <v>0.15991439063913296</v>
      </c>
      <c r="FX134" s="460">
        <f t="shared" ca="1" si="483"/>
        <v>0.16003401736318648</v>
      </c>
      <c r="FY134" s="460">
        <f t="shared" ca="1" si="483"/>
        <v>0.16025256298594961</v>
      </c>
      <c r="FZ134" s="460">
        <f t="shared" ca="1" si="483"/>
        <v>0.16056771810343884</v>
      </c>
      <c r="GA134" s="460">
        <f t="shared" ca="1" si="483"/>
        <v>0.16098174803717696</v>
      </c>
      <c r="GB134" s="460">
        <f t="shared" ca="1" si="483"/>
        <v>0.16150110298597267</v>
      </c>
      <c r="GC134" s="460">
        <f t="shared" ca="1" si="483"/>
        <v>0.16213628225759591</v>
      </c>
      <c r="GD134" s="460">
        <f t="shared" ca="1" si="483"/>
        <v>0.16290192693609609</v>
      </c>
      <c r="GE134" s="460">
        <f t="shared" ca="1" si="483"/>
        <v>0.16381713276611157</v>
      </c>
      <c r="GF134" s="460">
        <f t="shared" ca="1" si="483"/>
        <v>0.16490599193673594</v>
      </c>
      <c r="GG134" s="460">
        <f t="shared" ca="1" si="483"/>
        <v>0.166198390506024</v>
      </c>
      <c r="GH134" s="460">
        <f t="shared" ca="1" si="483"/>
        <v>0.16773110939807648</v>
      </c>
      <c r="GI134" s="460">
        <f t="shared" ca="1" si="483"/>
        <v>0.16954930379328884</v>
      </c>
      <c r="GJ134" s="460">
        <f t="shared" ca="1" si="483"/>
        <v>0.17170847191339497</v>
      </c>
      <c r="GK134" s="460">
        <f t="shared" ca="1" si="483"/>
        <v>0.17427707498654543</v>
      </c>
      <c r="GL134" s="460">
        <f t="shared" ca="1" si="483"/>
        <v>0.17734004370607737</v>
      </c>
      <c r="GM134" s="460">
        <f t="shared" ca="1" si="483"/>
        <v>0.18100351561513611</v>
      </c>
      <c r="GN134" s="460">
        <f t="shared" ca="1" si="483"/>
        <v>0.18540131332222506</v>
      </c>
      <c r="GO134" s="460">
        <f t="shared" ca="1" si="483"/>
        <v>0.19070392962767127</v>
      </c>
      <c r="GP134" s="460">
        <f t="shared" ca="1" si="483"/>
        <v>0.19713119067648677</v>
      </c>
      <c r="GQ134" s="460">
        <f t="shared" ca="1" si="483"/>
        <v>0.20497042308012445</v>
      </c>
      <c r="GR134" s="460">
        <f t="shared" ca="1" si="483"/>
        <v>0.21460303544089651</v>
      </c>
      <c r="GS134" s="460">
        <f t="shared" ca="1" si="483"/>
        <v>0.22654426885983575</v>
      </c>
      <c r="GT134" s="460">
        <f t="shared" ca="1" si="483"/>
        <v>0.24150409987890442</v>
      </c>
      <c r="GU134" s="460">
        <f t="shared" ca="1" si="483"/>
        <v>0.26048311971529381</v>
      </c>
      <c r="GV134" s="460">
        <f t="shared" ca="1" si="483"/>
        <v>0.28492817113314844</v>
      </c>
      <c r="GW134" s="460">
        <f t="shared" ca="1" si="483"/>
        <v>0.31699395096846478</v>
      </c>
      <c r="GX134" s="460">
        <f t="shared" ca="1" si="483"/>
        <v>0.3600007151349448</v>
      </c>
      <c r="GY134" s="460" t="str">
        <f t="shared" si="483"/>
        <v/>
      </c>
      <c r="GZ134" s="460" t="str">
        <f t="shared" si="483"/>
        <v/>
      </c>
      <c r="HA134" s="460" t="str">
        <f t="shared" si="483"/>
        <v/>
      </c>
      <c r="HB134" s="460" t="str">
        <f t="shared" si="483"/>
        <v/>
      </c>
      <c r="HC134" s="460" t="str">
        <f t="shared" si="483"/>
        <v/>
      </c>
      <c r="HD134" s="460" t="str">
        <f t="shared" si="483"/>
        <v/>
      </c>
      <c r="HE134" s="460" t="str">
        <f t="shared" si="483"/>
        <v/>
      </c>
      <c r="HF134" s="460" t="str">
        <f t="shared" si="483"/>
        <v/>
      </c>
      <c r="HG134" s="460" t="str">
        <f t="shared" si="483"/>
        <v/>
      </c>
      <c r="HH134" s="460" t="str">
        <f t="shared" si="483"/>
        <v/>
      </c>
      <c r="HI134" s="460" t="str">
        <f t="shared" si="483"/>
        <v/>
      </c>
      <c r="HJ134" s="460" t="str">
        <f t="shared" si="483"/>
        <v/>
      </c>
      <c r="HK134" s="460" t="str">
        <f t="shared" si="483"/>
        <v/>
      </c>
      <c r="HL134" s="460" t="str">
        <f t="shared" si="483"/>
        <v/>
      </c>
      <c r="HM134" s="460" t="str">
        <f t="shared" si="483"/>
        <v/>
      </c>
      <c r="HN134" s="460" t="str">
        <f t="shared" si="483"/>
        <v/>
      </c>
      <c r="HO134" s="460" t="str">
        <f t="shared" si="483"/>
        <v/>
      </c>
      <c r="HP134" s="460" t="str">
        <f t="shared" si="483"/>
        <v/>
      </c>
      <c r="HQ134" s="460" t="str">
        <f t="shared" si="483"/>
        <v/>
      </c>
      <c r="HR134" s="460" t="str">
        <f t="shared" si="483"/>
        <v/>
      </c>
      <c r="HS134" s="460" t="str">
        <f t="shared" si="483"/>
        <v/>
      </c>
      <c r="HT134" s="460" t="str">
        <f t="shared" si="483"/>
        <v/>
      </c>
      <c r="HU134" s="460" t="str">
        <f t="shared" si="483"/>
        <v/>
      </c>
      <c r="HV134" s="460" t="str">
        <f t="shared" si="483"/>
        <v/>
      </c>
      <c r="HW134" s="460" t="str">
        <f t="shared" si="483"/>
        <v/>
      </c>
      <c r="HX134" s="460" t="str">
        <f t="shared" si="482"/>
        <v/>
      </c>
      <c r="HY134" s="460" t="str">
        <f t="shared" si="482"/>
        <v/>
      </c>
      <c r="HZ134" s="460" t="str">
        <f t="shared" si="482"/>
        <v/>
      </c>
      <c r="IA134" s="460" t="str">
        <f t="shared" si="482"/>
        <v/>
      </c>
      <c r="IB134" s="460" t="str">
        <f t="shared" si="482"/>
        <v/>
      </c>
      <c r="IC134" s="460" t="str">
        <f t="shared" si="482"/>
        <v/>
      </c>
      <c r="ID134" s="674" t="str">
        <f t="shared" si="482"/>
        <v/>
      </c>
      <c r="IE134" s="250"/>
    </row>
    <row r="135" spans="8:239">
      <c r="H135" s="51">
        <f t="shared" ca="1" si="315"/>
        <v>0</v>
      </c>
      <c r="I135" s="379">
        <f t="shared" si="316"/>
        <v>40269</v>
      </c>
      <c r="J135" s="377"/>
      <c r="K135" s="104" t="s">
        <v>268</v>
      </c>
      <c r="L135" s="392">
        <f t="shared" si="317"/>
        <v>1.4625000000000008</v>
      </c>
      <c r="M135" s="171"/>
      <c r="N135" s="382">
        <v>0</v>
      </c>
      <c r="O135" s="171">
        <f t="shared" si="272"/>
        <v>0</v>
      </c>
      <c r="P135" s="377"/>
      <c r="Q135" s="104" t="s">
        <v>268</v>
      </c>
      <c r="R135" s="377">
        <f t="shared" ca="1" si="417"/>
        <v>0.27099273375858607</v>
      </c>
      <c r="S135" s="832">
        <f t="shared" si="435"/>
        <v>0.36000000000000021</v>
      </c>
      <c r="T135" s="831">
        <f t="shared" si="418"/>
        <v>0.99999999831503628</v>
      </c>
      <c r="U135" s="545">
        <f t="shared" si="419"/>
        <v>0.99999999999999978</v>
      </c>
      <c r="V135" s="389">
        <v>0</v>
      </c>
      <c r="W135" s="434">
        <f t="shared" si="455"/>
        <v>0</v>
      </c>
      <c r="X135" s="415">
        <f t="shared" si="456"/>
        <v>1.5136363636363648</v>
      </c>
      <c r="Y135" s="322">
        <f t="shared" si="457"/>
        <v>-1.2915000000000001</v>
      </c>
      <c r="Z135" s="322">
        <f t="shared" ca="1" si="458"/>
        <v>0.22213636363636469</v>
      </c>
      <c r="AA135" s="429">
        <f t="shared" si="277"/>
        <v>1.2915000000000001</v>
      </c>
      <c r="AB135" s="433">
        <f t="shared" ca="1" si="278"/>
        <v>1.2915000000000001</v>
      </c>
      <c r="AC135" s="229">
        <v>40257</v>
      </c>
      <c r="AD135" s="229">
        <v>40253</v>
      </c>
      <c r="AE135" s="229">
        <v>40252</v>
      </c>
      <c r="AF135" s="229">
        <v>40248</v>
      </c>
      <c r="AG135" s="249" t="s">
        <v>499</v>
      </c>
      <c r="AH135" s="247" t="s">
        <v>499</v>
      </c>
      <c r="AI135" s="146">
        <v>22</v>
      </c>
      <c r="AJ135" s="41">
        <v>14</v>
      </c>
      <c r="AK135" s="41">
        <v>8</v>
      </c>
      <c r="AL135" s="293">
        <v>22</v>
      </c>
      <c r="AM135" s="41">
        <v>10</v>
      </c>
      <c r="AN135" s="147">
        <v>12</v>
      </c>
      <c r="AO135" s="374"/>
      <c r="AP135" s="153">
        <f t="shared" ca="1" si="318"/>
        <v>1</v>
      </c>
      <c r="AQ135" s="374"/>
      <c r="AR135" s="153">
        <f t="shared" ca="1" si="420"/>
        <v>1</v>
      </c>
      <c r="AS135" s="272">
        <f t="shared" si="459"/>
        <v>0</v>
      </c>
      <c r="AT135" s="157">
        <f t="shared" si="319"/>
        <v>0</v>
      </c>
      <c r="AU135" s="157">
        <f t="shared" si="280"/>
        <v>0</v>
      </c>
      <c r="AV135" s="271">
        <f t="shared" ca="1" si="430"/>
        <v>9.9999999999999995E-7</v>
      </c>
      <c r="AW135" s="158" t="str">
        <f t="shared" ca="1" si="460"/>
        <v/>
      </c>
      <c r="AX135" s="157">
        <f t="shared" ca="1" si="421"/>
        <v>5.2581484049725122E-4</v>
      </c>
      <c r="AY135" s="157">
        <f t="shared" ca="1" si="422"/>
        <v>1.8905603924160592E-4</v>
      </c>
      <c r="AZ135" s="157">
        <f t="shared" ca="1" si="423"/>
        <v>1.9052328129275057E-5</v>
      </c>
      <c r="BA135" s="157">
        <f t="shared" ca="1" si="424"/>
        <v>2.3815410161593821E-6</v>
      </c>
      <c r="BB135" s="157">
        <f t="shared" ca="1" si="425"/>
        <v>1.0435413412912262E-7</v>
      </c>
      <c r="BC135" s="157">
        <f t="shared" ca="1" si="426"/>
        <v>1.1343475223298414E-8</v>
      </c>
      <c r="BD135" s="151">
        <f t="shared" ca="1" si="461"/>
        <v>0</v>
      </c>
      <c r="BE135" s="152">
        <f t="shared" ca="1" si="462"/>
        <v>0</v>
      </c>
      <c r="BF135" s="40">
        <f t="shared" si="463"/>
        <v>2010</v>
      </c>
      <c r="BG135" s="144">
        <f t="shared" si="464"/>
        <v>4</v>
      </c>
      <c r="BH135" s="145">
        <f t="shared" ca="1" si="465"/>
        <v>3508</v>
      </c>
      <c r="BI135" s="313">
        <f t="shared" ca="1" si="439"/>
        <v>9.6481861738535244</v>
      </c>
      <c r="BJ135" s="42">
        <f t="shared" ca="1" si="288"/>
        <v>9.6987119656524161</v>
      </c>
      <c r="BK135" s="42">
        <f t="shared" ca="1" si="289"/>
        <v>9.7014498164395491</v>
      </c>
      <c r="BL135" s="42">
        <f t="shared" ca="1" si="440"/>
        <v>9.7275838466803553</v>
      </c>
      <c r="BM135" s="150" t="e">
        <f t="shared" ca="1" si="291"/>
        <v>#DIV/0!</v>
      </c>
      <c r="BN135" s="42" t="e">
        <f t="shared" ca="1" si="292"/>
        <v>#DIV/0!</v>
      </c>
      <c r="BO135" s="293">
        <f t="shared" si="441"/>
        <v>22</v>
      </c>
      <c r="BP135" s="41">
        <f t="shared" si="442"/>
        <v>14</v>
      </c>
      <c r="BQ135" s="41">
        <f t="shared" si="443"/>
        <v>8</v>
      </c>
      <c r="BR135" s="305" t="str">
        <f t="shared" ca="1" si="295"/>
        <v/>
      </c>
      <c r="BS135" s="305" t="str">
        <f t="shared" ca="1" si="444"/>
        <v/>
      </c>
      <c r="BT135" s="307" t="str">
        <f t="shared" ca="1" si="445"/>
        <v/>
      </c>
      <c r="BU135" s="161" t="str">
        <f t="shared" ca="1" si="298"/>
        <v/>
      </c>
      <c r="BV135" s="161" t="str">
        <f t="shared" ca="1" si="299"/>
        <v/>
      </c>
      <c r="BW135" s="308" t="str">
        <f t="shared" ca="1" si="300"/>
        <v/>
      </c>
      <c r="BX135" s="309" t="str">
        <f t="shared" ca="1" si="301"/>
        <v/>
      </c>
      <c r="BY135" s="308" t="str">
        <f t="shared" ca="1" si="446"/>
        <v/>
      </c>
      <c r="BZ135" s="309" t="str">
        <f t="shared" ca="1" si="447"/>
        <v/>
      </c>
      <c r="CA135" s="154" t="str">
        <f t="shared" ca="1" si="302"/>
        <v/>
      </c>
      <c r="CB135" s="154" t="str">
        <f t="shared" ca="1" si="303"/>
        <v/>
      </c>
      <c r="CC135" s="154" t="str">
        <f t="shared" ca="1" si="304"/>
        <v/>
      </c>
      <c r="CD135" s="154" t="str">
        <f t="shared" ca="1" si="305"/>
        <v/>
      </c>
      <c r="CE135" s="310">
        <v>1</v>
      </c>
      <c r="CF135" s="162">
        <f ca="1">IF(BD135,_xll.xCrudeAPO(BU135,BV135,CA135,CB135,S136,S137,BI135,BL135,BP135,BQ135,0,Strike1,AO135,CE135,0,BL135,IF(OptControl=4,0,1),0,1),0)</f>
        <v>0</v>
      </c>
      <c r="CG135" s="163">
        <f ca="1">IF(BD135,_xll.xCrudeAPO(BU135,BV135,CA135,CB135,S136,S137,BI135,BL135,BP135,BQ135,0,Strike1,AO135,CE135,0,BL135,IF(OptControl=4,0,1),1,1)+_xll.xCrudeAPO(BU135,BV135,CA135,CB135,S136,S137,BI135,BL135,BP135,BQ135,0,Strike1,AO135,CE135,0,BL135,IF(OptControl=4,0,1),1,2)+IF(OR(VolSkewFlag=2,ABS(BS135)&lt;0.0001),0,IF(BS135&gt;0,-1,1)*CH135*Strike1/BR135^2*BY135/10%),0)</f>
        <v>0</v>
      </c>
      <c r="CH135" s="163">
        <f ca="1">IF(BD135,(_xll.xCrudeAPO(BU135,BV135,CA135,CB135,S136,S137,BI135,BL135,BP135,BQ135,0,Strike1,AO135,CE135,0,BL135,IF(OptControl=4,0,1),3,1)+_xll.xCrudeAPO(BU135,BV135,CA135,CB135,S136,S137,BI135,BL135,BP135,BQ135,0,Strike1,AO135,CE135,0,BL135,IF(OptControl=4,0,1),3,2))/100,0)</f>
        <v>0</v>
      </c>
      <c r="CI135" s="163">
        <f ca="1">IF(BD135,_xll.xCrudeAPO(BU135,BV135,CA135,CB135,S136,S137,BI135-DaysForThetaCalculation/365.25,BL135-DaysForThetaCalculation/365.25,BP135,BQ135,0,Strike1,AO135,CE135,0,BL135,IF(OptControl=4,0,1),0,1)-_xll.xCrudeAPO(BU135,BV135,CA135,CB135,S136,S137,BI135,BL135,BP135,BQ135,0,Strike1,AO135,CE135,0,BL135,IF(OptControl=4,0,1),0,1),0)</f>
        <v>0</v>
      </c>
      <c r="CJ135" s="311">
        <f ca="1">IF(BD135,_xll.xCrudeAPO(BU135,BV135,CC135,CD135,S136,S137,BI135,BL135,BP135,BQ135,0,Strike2,AO135,CE135,0,BL135,IF(OptControl=3,1,0),0,1),0)</f>
        <v>0</v>
      </c>
      <c r="CK135" s="163">
        <f ca="1">IF(BD135,_xll.xCrudeAPO(BU135,BV135,CC135,CD135,S136,S137,BI135,BL135,BP135,BQ135,0,Strike2,AO135,CE135,0,BL135,IF(OptControl=3,1,0),1,1)+_xll.xCrudeAPO(BU135,BV135,CC135,CD135,S136,S137,BI135,BL135,BP135,BQ135,0,Strike2,AO135,CE135,0,BL135,IF(OptControl=3,1,0),1,2)+IF(OR(VolSkewFlag=2,ABS(BT135)&lt;0.0001),0,IF(BT135&gt;0,-1,1)*CL135*Strike2/BR135^2*BZ135/10%),0)</f>
        <v>0</v>
      </c>
      <c r="CL135" s="163">
        <f ca="1">IF(BD135,(_xll.xCrudeAPO(BU135,BV135,CC135,CD135,S136,S137,BI135,BL135,BP135,BQ135,0,Strike2,AO135,CE135,0,BL135,IF(OptControl=3,1,0),3,1)+_xll.xCrudeAPO(BU135,BV135,CC135,CD135,S136,S137,BI135,BL135,BP135,BQ135,0,Strike2,AO135,CE135,0,BL135,IF(OptControl=3,1,0),3,2))/100,0)</f>
        <v>0</v>
      </c>
      <c r="CM135" s="164">
        <f ca="1">IF(BD135,_xll.xCrudeAPO(BU135,BV135,CC135,CD135,S136,S137,BI135-DaysForThetaCalculation/365.25,BL135-DaysForThetaCalculation/365.25,BP135,BQ135,0,Strike2,AO135,CE135,0,BL135,IF(OptControl=3,1,0),0,1)-_xll.xCrudeAPO(BU135,BV135,CC135,CD135,S136,S137,BI135,BL135,BP135,BQ135,0,Strike2,AO135,CE135,0,BL135,IF(OptControl=3,1,0),0,1),0)</f>
        <v>0</v>
      </c>
      <c r="CN135" s="53"/>
      <c r="CO135" s="796" t="str">
        <f t="shared" ca="1" si="323"/>
        <v/>
      </c>
      <c r="CP135" s="800" t="str">
        <f t="shared" ca="1" si="324"/>
        <v/>
      </c>
      <c r="CQ135" s="797" t="str">
        <f t="shared" ca="1" si="325"/>
        <v/>
      </c>
      <c r="CR135" s="797" t="str">
        <f t="shared" ca="1" si="326"/>
        <v/>
      </c>
      <c r="CS135" s="797" t="str">
        <f t="shared" ca="1" si="327"/>
        <v/>
      </c>
      <c r="CT135" s="797" t="str">
        <f t="shared" ca="1" si="328"/>
        <v/>
      </c>
      <c r="CU135" s="798" t="str">
        <f t="shared" ca="1" si="329"/>
        <v/>
      </c>
      <c r="CV135" s="799" t="str">
        <f t="shared" ca="1" si="330"/>
        <v/>
      </c>
      <c r="CW135" s="799" t="str">
        <f t="shared" ca="1" si="331"/>
        <v/>
      </c>
      <c r="CX135" s="163">
        <f ca="1">IF(BD135,_xll.EURO(CP135,Strike1,AO135,AO135,CV135,CO135,IF(OptControl=4,0,1),0),0)</f>
        <v>0</v>
      </c>
      <c r="CY135" s="163">
        <f ca="1">IF(BD135,_xll.EURO(CP135,Strike1,AO135,AO135,CV135,CO135,IF(OptControl=4,0,1),1)+IF(OR(VolSkewFlag=2,ABS(CQ135)&lt;0.0001),0,IF(CQ135&gt;0,-1,1)*CZ135*100*Strike1/CP135^2*CS135/10%),0)</f>
        <v>0</v>
      </c>
      <c r="CZ135" s="163">
        <f ca="1">IF(BD135,_xll.EURO(CP135,Strike1,AO135,AO135,CV135,CO135,IF(OptControl=4,0,1),3)/100,0)</f>
        <v>0</v>
      </c>
      <c r="DA135" s="163">
        <f ca="1">IF(BD135,_xll.EURO(CP135,Strike1,AO135,AO135,CV135,CO135,IF(OptControl=4,0,1),0)-_xll.EURO(CP135,Strike1,AO135,AO135,CV135,CO135-1,IF(OptControl=4,0,1),0),0)</f>
        <v>0</v>
      </c>
      <c r="DB135" s="163">
        <f ca="1">IF(BD135,_xll.EURO(CP135,Strike2,AO135,AO135,CW135,CO135,IF(OptControl=3,1,0),0),0)</f>
        <v>0</v>
      </c>
      <c r="DC135" s="163">
        <f ca="1">IF(BD135,_xll.EURO(CP135,Strike2,AO135,AO135,CW135,CO135,IF(OptControl=3,1,0),1)+IF(OR(VolSkewFlag=2,ABS(CR135)&lt;0.0001),0,IF(CR135&gt;0,-1,1)*DD135*100*Strike2/CP135^2*CT135/10%),0)</f>
        <v>0</v>
      </c>
      <c r="DD135" s="163">
        <f ca="1">IF(BD135,_xll.EURO(CP135,Strike2,AO135,AO135,CW135,CO135,IF(OptControl=3,1,0),3)/100,0)</f>
        <v>0</v>
      </c>
      <c r="DE135" s="164">
        <f ca="1">IF(BD135,_xll.EURO(CP135,Strike2,AO135,AO135,CW135,CO135,IF(OptControl=3,1,0),0)-_xll.EURO(CP135,Strike2,AO135,AO135,CW135,CO135-1,IF(OptControl=3,1,0),0),0)</f>
        <v>0</v>
      </c>
      <c r="DG135" s="667">
        <f t="shared" ca="1" si="332"/>
        <v>40057</v>
      </c>
      <c r="DH135" s="475">
        <v>19.91</v>
      </c>
      <c r="DI135" s="665">
        <v>19.978181818181849</v>
      </c>
      <c r="DJ135" s="666">
        <f t="shared" ca="1" si="466"/>
        <v>40057</v>
      </c>
      <c r="DK135" s="475">
        <v>18.722975762031954</v>
      </c>
      <c r="DL135" s="665">
        <v>18.711281818181849</v>
      </c>
      <c r="DM135" s="667">
        <f t="shared" ca="1" si="467"/>
        <v>40057</v>
      </c>
      <c r="DN135" s="668">
        <f t="shared" si="468"/>
        <v>18.772975762031955</v>
      </c>
      <c r="DO135" s="667">
        <f t="shared" ca="1" si="333"/>
        <v>40057</v>
      </c>
      <c r="DP135" s="579">
        <f t="shared" si="334"/>
        <v>18.711281818181849</v>
      </c>
      <c r="DQ135" s="821">
        <v>0</v>
      </c>
      <c r="DR135" s="666">
        <f t="shared" ca="1" si="469"/>
        <v>40057</v>
      </c>
      <c r="DS135" s="669">
        <v>0.15559999999999904</v>
      </c>
      <c r="DT135" s="606">
        <v>0.15478181818181722</v>
      </c>
      <c r="DU135" s="666">
        <f t="shared" ca="1" si="470"/>
        <v>40057</v>
      </c>
      <c r="DV135" s="669">
        <v>0.15559999999999904</v>
      </c>
      <c r="DW135" s="606">
        <v>0.15478181818181722</v>
      </c>
      <c r="DX135" s="667">
        <f t="shared" ca="1" si="471"/>
        <v>40057</v>
      </c>
      <c r="DY135" s="606">
        <v>0.35</v>
      </c>
      <c r="DZ135" s="667">
        <f t="shared" ca="1" si="335"/>
        <v>40057</v>
      </c>
      <c r="EA135" s="606">
        <f t="shared" si="336"/>
        <v>0.15478181818181722</v>
      </c>
      <c r="EB135" s="1"/>
      <c r="EC135" s="118" t="str">
        <f t="shared" ca="1" si="472"/>
        <v/>
      </c>
      <c r="ED135" s="119" t="str">
        <f t="shared" ca="1" si="313"/>
        <v/>
      </c>
      <c r="EE135" s="112" t="str">
        <f t="shared" ca="1" si="314"/>
        <v/>
      </c>
      <c r="EF135" s="120">
        <f ca="1">IF(BD135,_xll.xASN(BR135,Strike1,AO135,ED135,0,BO135,0,BI135,BL135,IF(OptControl=4,0,1),0),0)</f>
        <v>0</v>
      </c>
      <c r="EG135" s="111">
        <f ca="1">IF(BD135,_xll.xASN(BR135,Strike2,AO135,EE135,0,BO135,0,BI135,BL135,IF(OptControl=3,1,0),0),0)</f>
        <v>0</v>
      </c>
      <c r="EL135" s="55"/>
      <c r="EM135" s="1"/>
      <c r="EN135" s="106"/>
      <c r="EO135" s="106"/>
      <c r="EP135" s="1"/>
      <c r="EQ135" s="683" t="s">
        <v>348</v>
      </c>
      <c r="ES135" s="455"/>
      <c r="ET135" s="36"/>
      <c r="EU135" s="107"/>
      <c r="EV135" s="475"/>
      <c r="EW135" s="456"/>
      <c r="EX135" s="456"/>
      <c r="EY135" s="250"/>
      <c r="EZ135" s="250"/>
      <c r="FA135" s="250"/>
      <c r="FB135" s="250"/>
      <c r="FC135" s="250"/>
      <c r="FD135" s="250"/>
      <c r="FE135" s="250"/>
      <c r="FF135" s="250"/>
      <c r="FG135" s="250"/>
      <c r="FH135" s="250"/>
      <c r="FI135" s="250"/>
      <c r="FJ135" s="673">
        <v>41</v>
      </c>
      <c r="FK135" s="460">
        <f t="shared" ca="1" si="479"/>
        <v>0</v>
      </c>
      <c r="FL135" s="460">
        <f t="shared" ca="1" si="483"/>
        <v>0.16641057538248982</v>
      </c>
      <c r="FM135" s="460">
        <f t="shared" ca="1" si="483"/>
        <v>0.17083967247349735</v>
      </c>
      <c r="FN135" s="460">
        <f t="shared" ca="1" si="483"/>
        <v>0.16761152254836542</v>
      </c>
      <c r="FO135" s="460">
        <f t="shared" ca="1" si="483"/>
        <v>0.16521262494610148</v>
      </c>
      <c r="FP135" s="460">
        <f t="shared" ca="1" si="483"/>
        <v>0.16343957126018205</v>
      </c>
      <c r="FQ135" s="460">
        <f t="shared" ca="1" si="483"/>
        <v>0.16214045873485991</v>
      </c>
      <c r="FR135" s="460">
        <f t="shared" ca="1" si="483"/>
        <v>0.16120212878388912</v>
      </c>
      <c r="FS135" s="460">
        <f t="shared" ca="1" si="483"/>
        <v>0.16054061599147318</v>
      </c>
      <c r="FT135" s="460">
        <f t="shared" ca="1" si="483"/>
        <v>0.16009400872727894</v>
      </c>
      <c r="FU135" s="460">
        <f t="shared" ca="1" si="483"/>
        <v>0.15981712297522155</v>
      </c>
      <c r="FV135" s="460">
        <f t="shared" ca="1" si="483"/>
        <v>0.15967754149905186</v>
      </c>
      <c r="FW135" s="460">
        <f t="shared" ca="1" si="483"/>
        <v>0.15965268357917209</v>
      </c>
      <c r="FX135" s="460">
        <f t="shared" ca="1" si="483"/>
        <v>0.15972765566872671</v>
      </c>
      <c r="FY135" s="460">
        <f t="shared" ca="1" si="483"/>
        <v>0.15989369751357493</v>
      </c>
      <c r="FZ135" s="460">
        <f t="shared" ca="1" si="483"/>
        <v>0.16014708689830015</v>
      </c>
      <c r="GA135" s="460">
        <f t="shared" ca="1" si="483"/>
        <v>0.16048840326058234</v>
      </c>
      <c r="GB135" s="460">
        <f t="shared" ca="1" si="483"/>
        <v>0.16092207904339492</v>
      </c>
      <c r="GC135" s="460">
        <f t="shared" ca="1" si="483"/>
        <v>0.16145619021654187</v>
      </c>
      <c r="GD135" s="460">
        <f t="shared" ca="1" si="483"/>
        <v>0.16210245579303773</v>
      </c>
      <c r="GE135" s="460">
        <f t="shared" ca="1" si="483"/>
        <v>0.16287643196642868</v>
      </c>
      <c r="GF135" s="460">
        <f t="shared" ca="1" si="483"/>
        <v>0.16379790110327769</v>
      </c>
      <c r="GG135" s="460">
        <f t="shared" ca="1" si="483"/>
        <v>0.16489147061313447</v>
      </c>
      <c r="GH135" s="460">
        <f t="shared" ca="1" si="483"/>
        <v>0.16618741319196886</v>
      </c>
      <c r="GI135" s="460">
        <f t="shared" ca="1" si="483"/>
        <v>0.16772279993725756</v>
      </c>
      <c r="GJ135" s="460">
        <f t="shared" ca="1" si="483"/>
        <v>0.16954300383005819</v>
      </c>
      <c r="GK135" s="460">
        <f t="shared" ca="1" si="483"/>
        <v>0.17170368659181715</v>
      </c>
      <c r="GL135" s="460">
        <f t="shared" ca="1" si="483"/>
        <v>0.1742734322057875</v>
      </c>
      <c r="GM135" s="460">
        <f t="shared" ca="1" si="483"/>
        <v>0.17733726354522328</v>
      </c>
      <c r="GN135" s="460">
        <f t="shared" ca="1" si="483"/>
        <v>0.18100138738692917</v>
      </c>
      <c r="GO135" s="460">
        <f t="shared" ca="1" si="483"/>
        <v>0.18539967835006971</v>
      </c>
      <c r="GP135" s="460">
        <f t="shared" ca="1" si="483"/>
        <v>0.19070266831636135</v>
      </c>
      <c r="GQ135" s="460">
        <f t="shared" ca="1" si="483"/>
        <v>0.19713021280422158</v>
      </c>
      <c r="GR135" s="460">
        <f t="shared" ca="1" si="483"/>
        <v>0.20496966050716925</v>
      </c>
      <c r="GS135" s="460">
        <f t="shared" ca="1" si="483"/>
        <v>0.21460243663103903</v>
      </c>
      <c r="GT135" s="460">
        <f t="shared" ca="1" si="483"/>
        <v>0.22654379476127651</v>
      </c>
      <c r="GU135" s="460">
        <f t="shared" ca="1" si="483"/>
        <v>0.24150372082389901</v>
      </c>
      <c r="GV135" s="460">
        <f t="shared" ca="1" si="483"/>
        <v>0.26048281308203569</v>
      </c>
      <c r="GW135" s="460">
        <f t="shared" ca="1" si="483"/>
        <v>0.28492791957589864</v>
      </c>
      <c r="GX135" s="460">
        <f t="shared" ca="1" si="483"/>
        <v>0.31699374106767664</v>
      </c>
      <c r="GY135" s="460">
        <f t="shared" ca="1" si="483"/>
        <v>0.3600005363512086</v>
      </c>
      <c r="GZ135" s="460" t="str">
        <f t="shared" si="483"/>
        <v/>
      </c>
      <c r="HA135" s="460" t="str">
        <f t="shared" si="483"/>
        <v/>
      </c>
      <c r="HB135" s="460" t="str">
        <f t="shared" si="483"/>
        <v/>
      </c>
      <c r="HC135" s="460" t="str">
        <f t="shared" si="483"/>
        <v/>
      </c>
      <c r="HD135" s="460" t="str">
        <f t="shared" si="483"/>
        <v/>
      </c>
      <c r="HE135" s="460" t="str">
        <f t="shared" si="483"/>
        <v/>
      </c>
      <c r="HF135" s="460" t="str">
        <f t="shared" si="483"/>
        <v/>
      </c>
      <c r="HG135" s="460" t="str">
        <f t="shared" si="483"/>
        <v/>
      </c>
      <c r="HH135" s="460" t="str">
        <f t="shared" si="483"/>
        <v/>
      </c>
      <c r="HI135" s="460" t="str">
        <f t="shared" si="483"/>
        <v/>
      </c>
      <c r="HJ135" s="460" t="str">
        <f t="shared" si="483"/>
        <v/>
      </c>
      <c r="HK135" s="460" t="str">
        <f t="shared" si="483"/>
        <v/>
      </c>
      <c r="HL135" s="460" t="str">
        <f t="shared" si="483"/>
        <v/>
      </c>
      <c r="HM135" s="460" t="str">
        <f t="shared" si="483"/>
        <v/>
      </c>
      <c r="HN135" s="460" t="str">
        <f t="shared" si="483"/>
        <v/>
      </c>
      <c r="HO135" s="460" t="str">
        <f t="shared" si="483"/>
        <v/>
      </c>
      <c r="HP135" s="460" t="str">
        <f t="shared" si="483"/>
        <v/>
      </c>
      <c r="HQ135" s="460" t="str">
        <f t="shared" si="483"/>
        <v/>
      </c>
      <c r="HR135" s="460" t="str">
        <f t="shared" si="483"/>
        <v/>
      </c>
      <c r="HS135" s="460" t="str">
        <f t="shared" si="483"/>
        <v/>
      </c>
      <c r="HT135" s="460" t="str">
        <f t="shared" si="483"/>
        <v/>
      </c>
      <c r="HU135" s="460" t="str">
        <f t="shared" si="483"/>
        <v/>
      </c>
      <c r="HV135" s="460" t="str">
        <f t="shared" si="483"/>
        <v/>
      </c>
      <c r="HW135" s="460" t="str">
        <f t="shared" si="483"/>
        <v/>
      </c>
      <c r="HX135" s="460" t="str">
        <f t="shared" si="482"/>
        <v/>
      </c>
      <c r="HY135" s="460" t="str">
        <f t="shared" si="482"/>
        <v/>
      </c>
      <c r="HZ135" s="460" t="str">
        <f t="shared" si="482"/>
        <v/>
      </c>
      <c r="IA135" s="460" t="str">
        <f t="shared" si="482"/>
        <v/>
      </c>
      <c r="IB135" s="460" t="str">
        <f t="shared" si="482"/>
        <v/>
      </c>
      <c r="IC135" s="460" t="str">
        <f t="shared" si="482"/>
        <v/>
      </c>
      <c r="ID135" s="674" t="str">
        <f t="shared" si="482"/>
        <v/>
      </c>
      <c r="IE135" s="250"/>
    </row>
    <row r="136" spans="8:239">
      <c r="H136" s="51">
        <f t="shared" ca="1" si="315"/>
        <v>0</v>
      </c>
      <c r="I136" s="379">
        <f t="shared" si="316"/>
        <v>40299</v>
      </c>
      <c r="J136" s="377"/>
      <c r="K136" s="104" t="s">
        <v>268</v>
      </c>
      <c r="L136" s="392">
        <f t="shared" si="317"/>
        <v>1.5000000000000009</v>
      </c>
      <c r="M136" s="171"/>
      <c r="N136" s="382">
        <v>0</v>
      </c>
      <c r="O136" s="171">
        <f t="shared" si="272"/>
        <v>0</v>
      </c>
      <c r="P136" s="377"/>
      <c r="Q136" s="104" t="s">
        <v>268</v>
      </c>
      <c r="R136" s="377">
        <f t="shared" ca="1" si="417"/>
        <v>0.33477482018570454</v>
      </c>
      <c r="S136" s="832">
        <f t="shared" si="435"/>
        <v>0.36000000000000015</v>
      </c>
      <c r="T136" s="831">
        <f t="shared" si="418"/>
        <v>0.99999999855935595</v>
      </c>
      <c r="U136" s="545">
        <f t="shared" si="419"/>
        <v>0.99999999999999978</v>
      </c>
      <c r="V136" s="389">
        <v>0</v>
      </c>
      <c r="W136" s="434">
        <f t="shared" si="455"/>
        <v>0</v>
      </c>
      <c r="X136" s="415">
        <f t="shared" si="456"/>
        <v>1.5500000000000009</v>
      </c>
      <c r="Y136" s="322">
        <f t="shared" si="457"/>
        <v>-1.2915000000000001</v>
      </c>
      <c r="Z136" s="322">
        <f t="shared" ca="1" si="458"/>
        <v>0.25850000000000084</v>
      </c>
      <c r="AA136" s="429">
        <f t="shared" si="277"/>
        <v>1.2915000000000001</v>
      </c>
      <c r="AB136" s="433">
        <f t="shared" ca="1" si="278"/>
        <v>1.2915000000000001</v>
      </c>
      <c r="AC136" s="229">
        <v>40288</v>
      </c>
      <c r="AD136" s="229">
        <v>40284</v>
      </c>
      <c r="AE136" s="229">
        <v>40283</v>
      </c>
      <c r="AF136" s="229">
        <v>40279</v>
      </c>
      <c r="AG136" s="249" t="s">
        <v>499</v>
      </c>
      <c r="AH136" s="247" t="s">
        <v>499</v>
      </c>
      <c r="AI136" s="146">
        <v>21</v>
      </c>
      <c r="AJ136" s="41">
        <v>14</v>
      </c>
      <c r="AK136" s="41">
        <v>7</v>
      </c>
      <c r="AL136" s="293">
        <v>21</v>
      </c>
      <c r="AM136" s="41">
        <v>10</v>
      </c>
      <c r="AN136" s="147">
        <v>11</v>
      </c>
      <c r="AO136" s="374"/>
      <c r="AP136" s="153">
        <f t="shared" ca="1" si="318"/>
        <v>1</v>
      </c>
      <c r="AQ136" s="374"/>
      <c r="AR136" s="153">
        <f t="shared" ca="1" si="420"/>
        <v>1</v>
      </c>
      <c r="AS136" s="272">
        <f t="shared" si="459"/>
        <v>0</v>
      </c>
      <c r="AT136" s="157">
        <f t="shared" si="319"/>
        <v>0</v>
      </c>
      <c r="AU136" s="157">
        <f t="shared" si="280"/>
        <v>0</v>
      </c>
      <c r="AV136" s="271">
        <f t="shared" ca="1" si="430"/>
        <v>9.9999999999999995E-7</v>
      </c>
      <c r="AW136" s="158" t="str">
        <f t="shared" ca="1" si="460"/>
        <v/>
      </c>
      <c r="AX136" s="157">
        <f t="shared" ca="1" si="421"/>
        <v>5.0834501350349455E-4</v>
      </c>
      <c r="AY136" s="157">
        <f t="shared" ca="1" si="422"/>
        <v>1.8155969367188941E-4</v>
      </c>
      <c r="AZ136" s="157">
        <f t="shared" ca="1" si="423"/>
        <v>1.798300311800559E-5</v>
      </c>
      <c r="BA136" s="157">
        <f t="shared" ca="1" si="424"/>
        <v>2.2478753897506987E-6</v>
      </c>
      <c r="BB136" s="157">
        <f t="shared" ca="1" si="425"/>
        <v>9.5224687113079888E-8</v>
      </c>
      <c r="BC136" s="157">
        <f t="shared" ca="1" si="426"/>
        <v>1.0105887535693242E-8</v>
      </c>
      <c r="BD136" s="151">
        <f t="shared" ca="1" si="461"/>
        <v>0</v>
      </c>
      <c r="BE136" s="152">
        <f t="shared" ca="1" si="462"/>
        <v>0</v>
      </c>
      <c r="BF136" s="40">
        <f t="shared" si="463"/>
        <v>2010</v>
      </c>
      <c r="BG136" s="144">
        <f t="shared" si="464"/>
        <v>5</v>
      </c>
      <c r="BH136" s="145">
        <f t="shared" ca="1" si="465"/>
        <v>3539</v>
      </c>
      <c r="BI136" s="313">
        <f t="shared" ca="1" si="439"/>
        <v>9.7303216974674882</v>
      </c>
      <c r="BJ136" s="42">
        <f t="shared" ca="1" si="288"/>
        <v>9.7850787132101296</v>
      </c>
      <c r="BK136" s="42">
        <f t="shared" ca="1" si="289"/>
        <v>9.7878165639972625</v>
      </c>
      <c r="BL136" s="42">
        <f t="shared" ca="1" si="440"/>
        <v>9.8124572210814502</v>
      </c>
      <c r="BM136" s="150" t="e">
        <f t="shared" ca="1" si="291"/>
        <v>#DIV/0!</v>
      </c>
      <c r="BN136" s="42" t="e">
        <f t="shared" ca="1" si="292"/>
        <v>#DIV/0!</v>
      </c>
      <c r="BO136" s="293">
        <f t="shared" si="441"/>
        <v>21</v>
      </c>
      <c r="BP136" s="41">
        <f t="shared" si="442"/>
        <v>14</v>
      </c>
      <c r="BQ136" s="41">
        <f t="shared" si="443"/>
        <v>7</v>
      </c>
      <c r="BR136" s="305" t="str">
        <f t="shared" ca="1" si="295"/>
        <v/>
      </c>
      <c r="BS136" s="305" t="str">
        <f t="shared" ca="1" si="444"/>
        <v/>
      </c>
      <c r="BT136" s="307" t="str">
        <f t="shared" ca="1" si="445"/>
        <v/>
      </c>
      <c r="BU136" s="161" t="str">
        <f t="shared" ca="1" si="298"/>
        <v/>
      </c>
      <c r="BV136" s="161" t="str">
        <f t="shared" ca="1" si="299"/>
        <v/>
      </c>
      <c r="BW136" s="308" t="str">
        <f t="shared" ca="1" si="300"/>
        <v/>
      </c>
      <c r="BX136" s="309" t="str">
        <f t="shared" ca="1" si="301"/>
        <v/>
      </c>
      <c r="BY136" s="308" t="str">
        <f t="shared" ca="1" si="446"/>
        <v/>
      </c>
      <c r="BZ136" s="309" t="str">
        <f t="shared" ca="1" si="447"/>
        <v/>
      </c>
      <c r="CA136" s="154" t="str">
        <f t="shared" ca="1" si="302"/>
        <v/>
      </c>
      <c r="CB136" s="154" t="str">
        <f t="shared" ca="1" si="303"/>
        <v/>
      </c>
      <c r="CC136" s="154" t="str">
        <f t="shared" ca="1" si="304"/>
        <v/>
      </c>
      <c r="CD136" s="154" t="str">
        <f t="shared" ca="1" si="305"/>
        <v/>
      </c>
      <c r="CE136" s="310">
        <v>1</v>
      </c>
      <c r="CF136" s="162">
        <f ca="1">IF(BD136,_xll.xCrudeAPO(BU136,BV136,CA136,CB136,S137,S138,BI136,BL136,BP136,BQ136,0,Strike1,AO136,CE136,0,BL136,IF(OptControl=4,0,1),0,1),0)</f>
        <v>0</v>
      </c>
      <c r="CG136" s="163">
        <f ca="1">IF(BD136,_xll.xCrudeAPO(BU136,BV136,CA136,CB136,S137,S138,BI136,BL136,BP136,BQ136,0,Strike1,AO136,CE136,0,BL136,IF(OptControl=4,0,1),1,1)+_xll.xCrudeAPO(BU136,BV136,CA136,CB136,S137,S138,BI136,BL136,BP136,BQ136,0,Strike1,AO136,CE136,0,BL136,IF(OptControl=4,0,1),1,2)+IF(OR(VolSkewFlag=2,ABS(BS136)&lt;0.0001),0,IF(BS136&gt;0,-1,1)*CH136*Strike1/BR136^2*BY136/10%),0)</f>
        <v>0</v>
      </c>
      <c r="CH136" s="163">
        <f ca="1">IF(BD136,(_xll.xCrudeAPO(BU136,BV136,CA136,CB136,S137,S138,BI136,BL136,BP136,BQ136,0,Strike1,AO136,CE136,0,BL136,IF(OptControl=4,0,1),3,1)+_xll.xCrudeAPO(BU136,BV136,CA136,CB136,S137,S138,BI136,BL136,BP136,BQ136,0,Strike1,AO136,CE136,0,BL136,IF(OptControl=4,0,1),3,2))/100,0)</f>
        <v>0</v>
      </c>
      <c r="CI136" s="163">
        <f ca="1">IF(BD136,_xll.xCrudeAPO(BU136,BV136,CA136,CB136,S137,S138,BI136-DaysForThetaCalculation/365.25,BL136-DaysForThetaCalculation/365.25,BP136,BQ136,0,Strike1,AO136,CE136,0,BL136,IF(OptControl=4,0,1),0,1)-_xll.xCrudeAPO(BU136,BV136,CA136,CB136,S137,S138,BI136,BL136,BP136,BQ136,0,Strike1,AO136,CE136,0,BL136,IF(OptControl=4,0,1),0,1),0)</f>
        <v>0</v>
      </c>
      <c r="CJ136" s="311">
        <f ca="1">IF(BD136,_xll.xCrudeAPO(BU136,BV136,CC136,CD136,S137,S138,BI136,BL136,BP136,BQ136,0,Strike2,AO136,CE136,0,BL136,IF(OptControl=3,1,0),0,1),0)</f>
        <v>0</v>
      </c>
      <c r="CK136" s="163">
        <f ca="1">IF(BD136,_xll.xCrudeAPO(BU136,BV136,CC136,CD136,S137,S138,BI136,BL136,BP136,BQ136,0,Strike2,AO136,CE136,0,BL136,IF(OptControl=3,1,0),1,1)+_xll.xCrudeAPO(BU136,BV136,CC136,CD136,S137,S138,BI136,BL136,BP136,BQ136,0,Strike2,AO136,CE136,0,BL136,IF(OptControl=3,1,0),1,2)+IF(OR(VolSkewFlag=2,ABS(BT136)&lt;0.0001),0,IF(BT136&gt;0,-1,1)*CL136*Strike2/BR136^2*BZ136/10%),0)</f>
        <v>0</v>
      </c>
      <c r="CL136" s="163">
        <f ca="1">IF(BD136,(_xll.xCrudeAPO(BU136,BV136,CC136,CD136,S137,S138,BI136,BL136,BP136,BQ136,0,Strike2,AO136,CE136,0,BL136,IF(OptControl=3,1,0),3,1)+_xll.xCrudeAPO(BU136,BV136,CC136,CD136,S137,S138,BI136,BL136,BP136,BQ136,0,Strike2,AO136,CE136,0,BL136,IF(OptControl=3,1,0),3,2))/100,0)</f>
        <v>0</v>
      </c>
      <c r="CM136" s="164">
        <f ca="1">IF(BD136,_xll.xCrudeAPO(BU136,BV136,CC136,CD136,S137,S138,BI136-DaysForThetaCalculation/365.25,BL136-DaysForThetaCalculation/365.25,BP136,BQ136,0,Strike2,AO136,CE136,0,BL136,IF(OptControl=3,1,0),0,1)-_xll.xCrudeAPO(BU136,BV136,CC136,CD136,S137,S138,BI136,BL136,BP136,BQ136,0,Strike2,AO136,CE136,0,BL136,IF(OptControl=3,1,0),0,1),0)</f>
        <v>0</v>
      </c>
      <c r="CN136" s="53"/>
      <c r="CO136" s="796" t="str">
        <f t="shared" ca="1" si="323"/>
        <v/>
      </c>
      <c r="CP136" s="800" t="str">
        <f t="shared" ca="1" si="324"/>
        <v/>
      </c>
      <c r="CQ136" s="797" t="str">
        <f t="shared" ca="1" si="325"/>
        <v/>
      </c>
      <c r="CR136" s="797" t="str">
        <f t="shared" ca="1" si="326"/>
        <v/>
      </c>
      <c r="CS136" s="797" t="str">
        <f t="shared" ca="1" si="327"/>
        <v/>
      </c>
      <c r="CT136" s="797" t="str">
        <f t="shared" ca="1" si="328"/>
        <v/>
      </c>
      <c r="CU136" s="798" t="str">
        <f t="shared" ca="1" si="329"/>
        <v/>
      </c>
      <c r="CV136" s="799" t="str">
        <f t="shared" ca="1" si="330"/>
        <v/>
      </c>
      <c r="CW136" s="799" t="str">
        <f t="shared" ca="1" si="331"/>
        <v/>
      </c>
      <c r="CX136" s="163">
        <f ca="1">IF(BD136,_xll.EURO(CP136,Strike1,AO136,AO136,CV136,CO136,IF(OptControl=4,0,1),0),0)</f>
        <v>0</v>
      </c>
      <c r="CY136" s="163">
        <f ca="1">IF(BD136,_xll.EURO(CP136,Strike1,AO136,AO136,CV136,CO136,IF(OptControl=4,0,1),1)+IF(OR(VolSkewFlag=2,ABS(CQ136)&lt;0.0001),0,IF(CQ136&gt;0,-1,1)*CZ136*100*Strike1/CP136^2*CS136/10%),0)</f>
        <v>0</v>
      </c>
      <c r="CZ136" s="163">
        <f ca="1">IF(BD136,_xll.EURO(CP136,Strike1,AO136,AO136,CV136,CO136,IF(OptControl=4,0,1),3)/100,0)</f>
        <v>0</v>
      </c>
      <c r="DA136" s="163">
        <f ca="1">IF(BD136,_xll.EURO(CP136,Strike1,AO136,AO136,CV136,CO136,IF(OptControl=4,0,1),0)-_xll.EURO(CP136,Strike1,AO136,AO136,CV136,CO136-1,IF(OptControl=4,0,1),0),0)</f>
        <v>0</v>
      </c>
      <c r="DB136" s="163">
        <f ca="1">IF(BD136,_xll.EURO(CP136,Strike2,AO136,AO136,CW136,CO136,IF(OptControl=3,1,0),0),0)</f>
        <v>0</v>
      </c>
      <c r="DC136" s="163">
        <f ca="1">IF(BD136,_xll.EURO(CP136,Strike2,AO136,AO136,CW136,CO136,IF(OptControl=3,1,0),1)+IF(OR(VolSkewFlag=2,ABS(CR136)&lt;0.0001),0,IF(CR136&gt;0,-1,1)*DD136*100*Strike2/CP136^2*CT136/10%),0)</f>
        <v>0</v>
      </c>
      <c r="DD136" s="163">
        <f ca="1">IF(BD136,_xll.EURO(CP136,Strike2,AO136,AO136,CW136,CO136,IF(OptControl=3,1,0),3)/100,0)</f>
        <v>0</v>
      </c>
      <c r="DE136" s="164">
        <f ca="1">IF(BD136,_xll.EURO(CP136,Strike2,AO136,AO136,CW136,CO136,IF(OptControl=3,1,0),0)-_xll.EURO(CP136,Strike2,AO136,AO136,CW136,CO136-1,IF(OptControl=3,1,0),0),0)</f>
        <v>0</v>
      </c>
      <c r="DG136" s="667">
        <f t="shared" ca="1" si="332"/>
        <v>40087</v>
      </c>
      <c r="DH136" s="475">
        <v>19.96</v>
      </c>
      <c r="DI136" s="665">
        <v>20.028181818181849</v>
      </c>
      <c r="DJ136" s="666">
        <f t="shared" ca="1" si="466"/>
        <v>40087</v>
      </c>
      <c r="DK136" s="475">
        <v>18.602303852698274</v>
      </c>
      <c r="DL136" s="665">
        <v>18.835081818181848</v>
      </c>
      <c r="DM136" s="667">
        <f t="shared" ca="1" si="467"/>
        <v>40087</v>
      </c>
      <c r="DN136" s="668">
        <f t="shared" si="468"/>
        <v>18.652303852698275</v>
      </c>
      <c r="DO136" s="667">
        <f t="shared" ca="1" si="333"/>
        <v>40087</v>
      </c>
      <c r="DP136" s="579">
        <f t="shared" si="334"/>
        <v>18.835081818181848</v>
      </c>
      <c r="DQ136" s="821">
        <v>0</v>
      </c>
      <c r="DR136" s="666">
        <f t="shared" ca="1" si="469"/>
        <v>40087</v>
      </c>
      <c r="DS136" s="669">
        <v>0.15499999999999903</v>
      </c>
      <c r="DT136" s="606">
        <v>0.1541818181818172</v>
      </c>
      <c r="DU136" s="666">
        <f t="shared" ca="1" si="470"/>
        <v>40087</v>
      </c>
      <c r="DV136" s="669">
        <v>0.15499999999999903</v>
      </c>
      <c r="DW136" s="606">
        <v>0.1541818181818172</v>
      </c>
      <c r="DX136" s="667">
        <f t="shared" ca="1" si="471"/>
        <v>40087</v>
      </c>
      <c r="DY136" s="606">
        <v>0.35</v>
      </c>
      <c r="DZ136" s="667">
        <f t="shared" ca="1" si="335"/>
        <v>40087</v>
      </c>
      <c r="EA136" s="606">
        <f t="shared" si="336"/>
        <v>0.1541818181818172</v>
      </c>
      <c r="EB136" s="1"/>
      <c r="EC136" s="118" t="str">
        <f t="shared" ca="1" si="472"/>
        <v/>
      </c>
      <c r="ED136" s="119" t="str">
        <f t="shared" ca="1" si="313"/>
        <v/>
      </c>
      <c r="EE136" s="112" t="str">
        <f t="shared" ca="1" si="314"/>
        <v/>
      </c>
      <c r="EF136" s="120">
        <f ca="1">IF(BD136,_xll.xASN(BR136,Strike1,AO136,ED136,0,BO136,0,BI136,BL136,IF(OptControl=4,0,1),0),0)</f>
        <v>0</v>
      </c>
      <c r="EG136" s="111">
        <f ca="1">IF(BD136,_xll.xASN(BR136,Strike2,AO136,EE136,0,BO136,0,BI136,BL136,IF(OptControl=3,1,0),0),0)</f>
        <v>0</v>
      </c>
      <c r="EL136" s="55"/>
      <c r="EM136" s="1"/>
      <c r="EN136" s="106"/>
      <c r="EO136" s="106"/>
      <c r="EP136" s="1"/>
      <c r="EQ136" s="683" t="s">
        <v>349</v>
      </c>
      <c r="ES136" s="455"/>
      <c r="ET136" s="36"/>
      <c r="EU136" s="107"/>
      <c r="EV136" s="475"/>
      <c r="EW136" s="456"/>
      <c r="EX136" s="456"/>
      <c r="EY136" s="250"/>
      <c r="EZ136" s="250"/>
      <c r="FA136" s="250"/>
      <c r="FB136" s="250"/>
      <c r="FC136" s="250"/>
      <c r="FD136" s="250"/>
      <c r="FE136" s="250"/>
      <c r="FF136" s="250"/>
      <c r="FG136" s="250"/>
      <c r="FH136" s="250"/>
      <c r="FI136" s="250"/>
      <c r="FJ136" s="673">
        <v>42</v>
      </c>
      <c r="FK136" s="460">
        <f t="shared" ca="1" si="479"/>
        <v>0</v>
      </c>
      <c r="FL136" s="460">
        <f t="shared" ca="1" si="483"/>
        <v>0.16636904165839159</v>
      </c>
      <c r="FM136" s="460">
        <f t="shared" ca="1" si="483"/>
        <v>0.17078980105045008</v>
      </c>
      <c r="FN136" s="460">
        <f t="shared" ca="1" si="483"/>
        <v>0.16755429415669931</v>
      </c>
      <c r="FO136" s="460">
        <f t="shared" ca="1" si="483"/>
        <v>0.1651466472167718</v>
      </c>
      <c r="FP136" s="460">
        <f t="shared" ca="1" si="483"/>
        <v>0.16336322989073468</v>
      </c>
      <c r="FQ136" s="460">
        <f t="shared" ca="1" si="483"/>
        <v>0.16205187678721825</v>
      </c>
      <c r="FR136" s="460">
        <f t="shared" ca="1" si="483"/>
        <v>0.16109911896658172</v>
      </c>
      <c r="FS136" s="460">
        <f t="shared" ca="1" si="483"/>
        <v>0.16042062456845377</v>
      </c>
      <c r="FT136" s="460">
        <f t="shared" ca="1" si="483"/>
        <v>0.15995404941773878</v>
      </c>
      <c r="FU136" s="460">
        <f t="shared" ca="1" si="483"/>
        <v>0.15965369886399447</v>
      </c>
      <c r="FV136" s="460">
        <f t="shared" ca="1" si="483"/>
        <v>0.15948655254652908</v>
      </c>
      <c r="FW136" s="460">
        <f t="shared" ca="1" si="483"/>
        <v>0.15942931677804989</v>
      </c>
      <c r="FX136" s="460">
        <f t="shared" ca="1" si="483"/>
        <v>0.15946625420890537</v>
      </c>
      <c r="FY136" s="460">
        <f t="shared" ca="1" si="483"/>
        <v>0.15958760444092196</v>
      </c>
      <c r="FZ136" s="460">
        <f t="shared" ca="1" si="483"/>
        <v>0.15978845762636629</v>
      </c>
      <c r="GA136" s="460">
        <f t="shared" ca="1" si="483"/>
        <v>0.16006797983256305</v>
      </c>
      <c r="GB136" s="460">
        <f t="shared" ca="1" si="483"/>
        <v>0.16042891712843999</v>
      </c>
      <c r="GC136" s="460">
        <f t="shared" ca="1" si="483"/>
        <v>0.16087732729805834</v>
      </c>
      <c r="GD136" s="460">
        <f t="shared" ca="1" si="483"/>
        <v>0.16142250563946875</v>
      </c>
      <c r="GE136" s="460">
        <f t="shared" ca="1" si="483"/>
        <v>0.16207708594461917</v>
      </c>
      <c r="GF136" s="460">
        <f t="shared" ca="1" si="483"/>
        <v>0.16285731073917806</v>
      </c>
      <c r="GG136" s="460">
        <f t="shared" ca="1" si="483"/>
        <v>0.16378347735615226</v>
      </c>
      <c r="GH136" s="460">
        <f t="shared" ca="1" si="483"/>
        <v>0.1648805796204334</v>
      </c>
      <c r="GI136" s="460">
        <f t="shared" ca="1" si="483"/>
        <v>0.16617918020642747</v>
      </c>
      <c r="GJ136" s="460">
        <f t="shared" ca="1" si="483"/>
        <v>0.16771656784164346</v>
      </c>
      <c r="GK136" s="460">
        <f t="shared" ca="1" si="483"/>
        <v>0.16953827885763514</v>
      </c>
      <c r="GL136" s="460">
        <f t="shared" ca="1" si="483"/>
        <v>0.17170009760063382</v>
      </c>
      <c r="GM136" s="460">
        <f t="shared" ca="1" si="483"/>
        <v>0.17427070012021903</v>
      </c>
      <c r="GN136" s="460">
        <f t="shared" ca="1" si="483"/>
        <v>0.17733517842458277</v>
      </c>
      <c r="GO136" s="460">
        <f t="shared" ca="1" si="483"/>
        <v>0.18099979121577398</v>
      </c>
      <c r="GP136" s="460">
        <f t="shared" ca="1" si="483"/>
        <v>0.1853984521209531</v>
      </c>
      <c r="GQ136" s="460">
        <f t="shared" ca="1" si="483"/>
        <v>0.19070172233287896</v>
      </c>
      <c r="GR136" s="460">
        <f t="shared" ca="1" si="483"/>
        <v>0.19712947940002268</v>
      </c>
      <c r="GS136" s="460">
        <f t="shared" ca="1" si="483"/>
        <v>0.20496908857745288</v>
      </c>
      <c r="GT136" s="460">
        <f t="shared" ca="1" si="483"/>
        <v>0.21460198752364593</v>
      </c>
      <c r="GU136" s="460">
        <f t="shared" ca="1" si="483"/>
        <v>0.22654343918735709</v>
      </c>
      <c r="GV136" s="460">
        <f t="shared" ca="1" si="483"/>
        <v>0.24150343653264492</v>
      </c>
      <c r="GW136" s="460">
        <f t="shared" ca="1" si="483"/>
        <v>0.2604825831070921</v>
      </c>
      <c r="GX136" s="460">
        <f t="shared" ca="1" si="483"/>
        <v>0.28492773090796131</v>
      </c>
      <c r="GY136" s="460">
        <f t="shared" ca="1" si="483"/>
        <v>0.31699358364208546</v>
      </c>
      <c r="GZ136" s="460">
        <f t="shared" ca="1" si="483"/>
        <v>0.36000040226340646</v>
      </c>
      <c r="HA136" s="460" t="str">
        <f t="shared" si="483"/>
        <v/>
      </c>
      <c r="HB136" s="460" t="str">
        <f t="shared" si="483"/>
        <v/>
      </c>
      <c r="HC136" s="460" t="str">
        <f t="shared" si="483"/>
        <v/>
      </c>
      <c r="HD136" s="460" t="str">
        <f t="shared" si="483"/>
        <v/>
      </c>
      <c r="HE136" s="460" t="str">
        <f t="shared" si="483"/>
        <v/>
      </c>
      <c r="HF136" s="460" t="str">
        <f t="shared" si="483"/>
        <v/>
      </c>
      <c r="HG136" s="460" t="str">
        <f t="shared" si="483"/>
        <v/>
      </c>
      <c r="HH136" s="460" t="str">
        <f t="shared" si="483"/>
        <v/>
      </c>
      <c r="HI136" s="460" t="str">
        <f t="shared" si="483"/>
        <v/>
      </c>
      <c r="HJ136" s="460" t="str">
        <f t="shared" si="483"/>
        <v/>
      </c>
      <c r="HK136" s="460" t="str">
        <f t="shared" si="483"/>
        <v/>
      </c>
      <c r="HL136" s="460" t="str">
        <f t="shared" si="483"/>
        <v/>
      </c>
      <c r="HM136" s="460" t="str">
        <f t="shared" si="483"/>
        <v/>
      </c>
      <c r="HN136" s="460" t="str">
        <f t="shared" si="483"/>
        <v/>
      </c>
      <c r="HO136" s="460" t="str">
        <f t="shared" si="483"/>
        <v/>
      </c>
      <c r="HP136" s="460" t="str">
        <f t="shared" si="483"/>
        <v/>
      </c>
      <c r="HQ136" s="460" t="str">
        <f t="shared" si="483"/>
        <v/>
      </c>
      <c r="HR136" s="460" t="str">
        <f t="shared" si="483"/>
        <v/>
      </c>
      <c r="HS136" s="460" t="str">
        <f t="shared" si="483"/>
        <v/>
      </c>
      <c r="HT136" s="460" t="str">
        <f t="shared" si="483"/>
        <v/>
      </c>
      <c r="HU136" s="460" t="str">
        <f t="shared" si="483"/>
        <v/>
      </c>
      <c r="HV136" s="460" t="str">
        <f t="shared" si="483"/>
        <v/>
      </c>
      <c r="HW136" s="460" t="str">
        <f t="shared" ref="HW136:ID139" si="484">IF($FJ61&lt;HW$94,"",SQRT(HW61/HW$15))</f>
        <v/>
      </c>
      <c r="HX136" s="460" t="str">
        <f t="shared" si="484"/>
        <v/>
      </c>
      <c r="HY136" s="460" t="str">
        <f t="shared" si="484"/>
        <v/>
      </c>
      <c r="HZ136" s="460" t="str">
        <f t="shared" si="484"/>
        <v/>
      </c>
      <c r="IA136" s="460" t="str">
        <f t="shared" si="484"/>
        <v/>
      </c>
      <c r="IB136" s="460" t="str">
        <f t="shared" si="484"/>
        <v/>
      </c>
      <c r="IC136" s="460" t="str">
        <f t="shared" si="484"/>
        <v/>
      </c>
      <c r="ID136" s="674" t="str">
        <f t="shared" si="484"/>
        <v/>
      </c>
      <c r="IE136" s="250"/>
    </row>
    <row r="137" spans="8:239">
      <c r="H137" s="51">
        <f t="shared" ca="1" si="315"/>
        <v>0</v>
      </c>
      <c r="I137" s="379">
        <f t="shared" si="316"/>
        <v>40330</v>
      </c>
      <c r="J137" s="377"/>
      <c r="K137" s="104" t="s">
        <v>268</v>
      </c>
      <c r="L137" s="392">
        <f t="shared" si="317"/>
        <v>1.537500000000001</v>
      </c>
      <c r="M137" s="171"/>
      <c r="N137" s="382">
        <v>0</v>
      </c>
      <c r="O137" s="171">
        <f t="shared" si="272"/>
        <v>0</v>
      </c>
      <c r="P137" s="377"/>
      <c r="Q137" s="104" t="s">
        <v>268</v>
      </c>
      <c r="R137" s="377">
        <f t="shared" ca="1" si="417"/>
        <v>0.12827098317858152</v>
      </c>
      <c r="S137" s="832">
        <f t="shared" si="435"/>
        <v>0.3600000000000001</v>
      </c>
      <c r="T137" s="831">
        <f t="shared" si="418"/>
        <v>0.9999999987682493</v>
      </c>
      <c r="U137" s="545">
        <f t="shared" si="419"/>
        <v>0.99999999999999978</v>
      </c>
      <c r="V137" s="389">
        <v>0</v>
      </c>
      <c r="W137" s="434">
        <f t="shared" si="455"/>
        <v>0</v>
      </c>
      <c r="X137" s="415">
        <f t="shared" si="456"/>
        <v>1.5886363636363647</v>
      </c>
      <c r="Y137" s="322">
        <f t="shared" si="457"/>
        <v>-1.2915000000000001</v>
      </c>
      <c r="Z137" s="322">
        <f t="shared" ca="1" si="458"/>
        <v>0.29713636363636464</v>
      </c>
      <c r="AA137" s="429">
        <f t="shared" si="277"/>
        <v>1.2915000000000001</v>
      </c>
      <c r="AB137" s="433">
        <f t="shared" ca="1" si="278"/>
        <v>1.2915000000000001</v>
      </c>
      <c r="AC137" s="229">
        <v>40318</v>
      </c>
      <c r="AD137" s="229">
        <v>40314</v>
      </c>
      <c r="AE137" s="229">
        <v>40313</v>
      </c>
      <c r="AF137" s="229">
        <v>40309</v>
      </c>
      <c r="AG137" s="249" t="s">
        <v>499</v>
      </c>
      <c r="AH137" s="247" t="s">
        <v>499</v>
      </c>
      <c r="AI137" s="146">
        <v>22</v>
      </c>
      <c r="AJ137" s="41">
        <v>14</v>
      </c>
      <c r="AK137" s="41">
        <v>8</v>
      </c>
      <c r="AL137" s="293">
        <v>22</v>
      </c>
      <c r="AM137" s="41">
        <v>10</v>
      </c>
      <c r="AN137" s="147">
        <v>12</v>
      </c>
      <c r="AO137" s="374"/>
      <c r="AP137" s="153">
        <f t="shared" ca="1" si="318"/>
        <v>1</v>
      </c>
      <c r="AQ137" s="374"/>
      <c r="AR137" s="153">
        <f t="shared" ca="1" si="420"/>
        <v>1</v>
      </c>
      <c r="AS137" s="272">
        <f t="shared" si="459"/>
        <v>0</v>
      </c>
      <c r="AT137" s="157">
        <f t="shared" si="319"/>
        <v>0</v>
      </c>
      <c r="AU137" s="157">
        <f t="shared" si="280"/>
        <v>0</v>
      </c>
      <c r="AV137" s="271">
        <f t="shared" ca="1" si="430"/>
        <v>9.9999999999999995E-7</v>
      </c>
      <c r="AW137" s="158" t="str">
        <f t="shared" ca="1" si="460"/>
        <v/>
      </c>
      <c r="AX137" s="157">
        <f t="shared" ca="1" si="421"/>
        <v>4.9145560918267567E-4</v>
      </c>
      <c r="AY137" s="157">
        <f t="shared" ca="1" si="422"/>
        <v>1.7436058905319479E-4</v>
      </c>
      <c r="AZ137" s="157">
        <f t="shared" ca="1" si="423"/>
        <v>1.6973694707960278E-5</v>
      </c>
      <c r="BA137" s="157">
        <f t="shared" ca="1" si="424"/>
        <v>2.1217118384950348E-6</v>
      </c>
      <c r="BB137" s="157">
        <f t="shared" ca="1" si="425"/>
        <v>8.6893932008136746E-8</v>
      </c>
      <c r="BC137" s="157">
        <f t="shared" ca="1" si="426"/>
        <v>9.0033222512195295E-9</v>
      </c>
      <c r="BD137" s="151">
        <f t="shared" ca="1" si="461"/>
        <v>0</v>
      </c>
      <c r="BE137" s="152">
        <f t="shared" ca="1" si="462"/>
        <v>0</v>
      </c>
      <c r="BF137" s="40">
        <f t="shared" si="463"/>
        <v>2010</v>
      </c>
      <c r="BG137" s="144">
        <f t="shared" si="464"/>
        <v>6</v>
      </c>
      <c r="BH137" s="145">
        <f t="shared" ca="1" si="465"/>
        <v>3569</v>
      </c>
      <c r="BI137" s="313">
        <f t="shared" ca="1" si="439"/>
        <v>9.8151950718685832</v>
      </c>
      <c r="BJ137" s="42">
        <f t="shared" ca="1" si="288"/>
        <v>9.8657208636674749</v>
      </c>
      <c r="BK137" s="42">
        <f t="shared" ca="1" si="289"/>
        <v>9.8684587144546079</v>
      </c>
      <c r="BL137" s="42">
        <f t="shared" ca="1" si="440"/>
        <v>9.8945927446954141</v>
      </c>
      <c r="BM137" s="150" t="e">
        <f t="shared" ca="1" si="291"/>
        <v>#DIV/0!</v>
      </c>
      <c r="BN137" s="42" t="e">
        <f t="shared" ca="1" si="292"/>
        <v>#DIV/0!</v>
      </c>
      <c r="BO137" s="293">
        <f t="shared" si="441"/>
        <v>22</v>
      </c>
      <c r="BP137" s="41">
        <f t="shared" si="442"/>
        <v>14</v>
      </c>
      <c r="BQ137" s="41">
        <f t="shared" si="443"/>
        <v>8</v>
      </c>
      <c r="BR137" s="305" t="str">
        <f t="shared" ca="1" si="295"/>
        <v/>
      </c>
      <c r="BS137" s="305" t="str">
        <f t="shared" ca="1" si="444"/>
        <v/>
      </c>
      <c r="BT137" s="307" t="str">
        <f t="shared" ca="1" si="445"/>
        <v/>
      </c>
      <c r="BU137" s="161" t="str">
        <f t="shared" ca="1" si="298"/>
        <v/>
      </c>
      <c r="BV137" s="161" t="str">
        <f t="shared" ca="1" si="299"/>
        <v/>
      </c>
      <c r="BW137" s="308" t="str">
        <f t="shared" ca="1" si="300"/>
        <v/>
      </c>
      <c r="BX137" s="309" t="str">
        <f t="shared" ca="1" si="301"/>
        <v/>
      </c>
      <c r="BY137" s="308" t="str">
        <f t="shared" ca="1" si="446"/>
        <v/>
      </c>
      <c r="BZ137" s="309" t="str">
        <f t="shared" ca="1" si="447"/>
        <v/>
      </c>
      <c r="CA137" s="154" t="str">
        <f t="shared" ca="1" si="302"/>
        <v/>
      </c>
      <c r="CB137" s="154" t="str">
        <f t="shared" ca="1" si="303"/>
        <v/>
      </c>
      <c r="CC137" s="154" t="str">
        <f t="shared" ca="1" si="304"/>
        <v/>
      </c>
      <c r="CD137" s="154" t="str">
        <f t="shared" ca="1" si="305"/>
        <v/>
      </c>
      <c r="CE137" s="310">
        <v>1</v>
      </c>
      <c r="CF137" s="162">
        <f ca="1">IF(BD137,_xll.xCrudeAPO(BU137,BV137,CA137,CB137,S138,S139,BI137,BL137,BP137,BQ137,0,Strike1,AO137,CE137,0,BL137,IF(OptControl=4,0,1),0,1),0)</f>
        <v>0</v>
      </c>
      <c r="CG137" s="163">
        <f ca="1">IF(BD137,_xll.xCrudeAPO(BU137,BV137,CA137,CB137,S138,S139,BI137,BL137,BP137,BQ137,0,Strike1,AO137,CE137,0,BL137,IF(OptControl=4,0,1),1,1)+_xll.xCrudeAPO(BU137,BV137,CA137,CB137,S138,S139,BI137,BL137,BP137,BQ137,0,Strike1,AO137,CE137,0,BL137,IF(OptControl=4,0,1),1,2)+IF(OR(VolSkewFlag=2,ABS(BS137)&lt;0.0001),0,IF(BS137&gt;0,-1,1)*CH137*Strike1/BR137^2*BY137/10%),0)</f>
        <v>0</v>
      </c>
      <c r="CH137" s="163">
        <f ca="1">IF(BD137,(_xll.xCrudeAPO(BU137,BV137,CA137,CB137,S138,S139,BI137,BL137,BP137,BQ137,0,Strike1,AO137,CE137,0,BL137,IF(OptControl=4,0,1),3,1)+_xll.xCrudeAPO(BU137,BV137,CA137,CB137,S138,S139,BI137,BL137,BP137,BQ137,0,Strike1,AO137,CE137,0,BL137,IF(OptControl=4,0,1),3,2))/100,0)</f>
        <v>0</v>
      </c>
      <c r="CI137" s="163">
        <f ca="1">IF(BD137,_xll.xCrudeAPO(BU137,BV137,CA137,CB137,S138,S139,BI137-DaysForThetaCalculation/365.25,BL137-DaysForThetaCalculation/365.25,BP137,BQ137,0,Strike1,AO137,CE137,0,BL137,IF(OptControl=4,0,1),0,1)-_xll.xCrudeAPO(BU137,BV137,CA137,CB137,S138,S139,BI137,BL137,BP137,BQ137,0,Strike1,AO137,CE137,0,BL137,IF(OptControl=4,0,1),0,1),0)</f>
        <v>0</v>
      </c>
      <c r="CJ137" s="311">
        <f ca="1">IF(BD137,_xll.xCrudeAPO(BU137,BV137,CC137,CD137,S138,S139,BI137,BL137,BP137,BQ137,0,Strike2,AO137,CE137,0,BL137,IF(OptControl=3,1,0),0,1),0)</f>
        <v>0</v>
      </c>
      <c r="CK137" s="163">
        <f ca="1">IF(BD137,_xll.xCrudeAPO(BU137,BV137,CC137,CD137,S138,S139,BI137,BL137,BP137,BQ137,0,Strike2,AO137,CE137,0,BL137,IF(OptControl=3,1,0),1,1)+_xll.xCrudeAPO(BU137,BV137,CC137,CD137,S138,S139,BI137,BL137,BP137,BQ137,0,Strike2,AO137,CE137,0,BL137,IF(OptControl=3,1,0),1,2)+IF(OR(VolSkewFlag=2,ABS(BT137)&lt;0.0001),0,IF(BT137&gt;0,-1,1)*CL137*Strike2/BR137^2*BZ137/10%),0)</f>
        <v>0</v>
      </c>
      <c r="CL137" s="163">
        <f ca="1">IF(BD137,(_xll.xCrudeAPO(BU137,BV137,CC137,CD137,S138,S139,BI137,BL137,BP137,BQ137,0,Strike2,AO137,CE137,0,BL137,IF(OptControl=3,1,0),3,1)+_xll.xCrudeAPO(BU137,BV137,CC137,CD137,S138,S139,BI137,BL137,BP137,BQ137,0,Strike2,AO137,CE137,0,BL137,IF(OptControl=3,1,0),3,2))/100,0)</f>
        <v>0</v>
      </c>
      <c r="CM137" s="164">
        <f ca="1">IF(BD137,_xll.xCrudeAPO(BU137,BV137,CC137,CD137,S138,S139,BI137-DaysForThetaCalculation/365.25,BL137-DaysForThetaCalculation/365.25,BP137,BQ137,0,Strike2,AO137,CE137,0,BL137,IF(OptControl=3,1,0),0,1)-_xll.xCrudeAPO(BU137,BV137,CC137,CD137,S138,S139,BI137,BL137,BP137,BQ137,0,Strike2,AO137,CE137,0,BL137,IF(OptControl=3,1,0),0,1),0)</f>
        <v>0</v>
      </c>
      <c r="CN137" s="53"/>
      <c r="CO137" s="796" t="str">
        <f t="shared" ca="1" si="323"/>
        <v/>
      </c>
      <c r="CP137" s="800" t="str">
        <f t="shared" ca="1" si="324"/>
        <v/>
      </c>
      <c r="CQ137" s="797" t="str">
        <f t="shared" ca="1" si="325"/>
        <v/>
      </c>
      <c r="CR137" s="797" t="str">
        <f t="shared" ca="1" si="326"/>
        <v/>
      </c>
      <c r="CS137" s="797" t="str">
        <f t="shared" ca="1" si="327"/>
        <v/>
      </c>
      <c r="CT137" s="797" t="str">
        <f t="shared" ca="1" si="328"/>
        <v/>
      </c>
      <c r="CU137" s="798" t="str">
        <f t="shared" ca="1" si="329"/>
        <v/>
      </c>
      <c r="CV137" s="799" t="str">
        <f t="shared" ca="1" si="330"/>
        <v/>
      </c>
      <c r="CW137" s="799" t="str">
        <f t="shared" ca="1" si="331"/>
        <v/>
      </c>
      <c r="CX137" s="163">
        <f ca="1">IF(BD137,_xll.EURO(CP137,Strike1,AO137,AO137,CV137,CO137,IF(OptControl=4,0,1),0),0)</f>
        <v>0</v>
      </c>
      <c r="CY137" s="163">
        <f ca="1">IF(BD137,_xll.EURO(CP137,Strike1,AO137,AO137,CV137,CO137,IF(OptControl=4,0,1),1)+IF(OR(VolSkewFlag=2,ABS(CQ137)&lt;0.0001),0,IF(CQ137&gt;0,-1,1)*CZ137*100*Strike1/CP137^2*CS137/10%),0)</f>
        <v>0</v>
      </c>
      <c r="CZ137" s="163">
        <f ca="1">IF(BD137,_xll.EURO(CP137,Strike1,AO137,AO137,CV137,CO137,IF(OptControl=4,0,1),3)/100,0)</f>
        <v>0</v>
      </c>
      <c r="DA137" s="163">
        <f ca="1">IF(BD137,_xll.EURO(CP137,Strike1,AO137,AO137,CV137,CO137,IF(OptControl=4,0,1),0)-_xll.EURO(CP137,Strike1,AO137,AO137,CV137,CO137-1,IF(OptControl=4,0,1),0),0)</f>
        <v>0</v>
      </c>
      <c r="DB137" s="163">
        <f ca="1">IF(BD137,_xll.EURO(CP137,Strike2,AO137,AO137,CW137,CO137,IF(OptControl=3,1,0),0),0)</f>
        <v>0</v>
      </c>
      <c r="DC137" s="163">
        <f ca="1">IF(BD137,_xll.EURO(CP137,Strike2,AO137,AO137,CW137,CO137,IF(OptControl=3,1,0),1)+IF(OR(VolSkewFlag=2,ABS(CR137)&lt;0.0001),0,IF(CR137&gt;0,-1,1)*DD137*100*Strike2/CP137^2*CT137/10%),0)</f>
        <v>0</v>
      </c>
      <c r="DD137" s="163">
        <f ca="1">IF(BD137,_xll.EURO(CP137,Strike2,AO137,AO137,CW137,CO137,IF(OptControl=3,1,0),3)/100,0)</f>
        <v>0</v>
      </c>
      <c r="DE137" s="164">
        <f ca="1">IF(BD137,_xll.EURO(CP137,Strike2,AO137,AO137,CW137,CO137,IF(OptControl=3,1,0),0)-_xll.EURO(CP137,Strike2,AO137,AO137,CW137,CO137-1,IF(OptControl=3,1,0),0),0)</f>
        <v>0</v>
      </c>
      <c r="DG137" s="667">
        <f t="shared" ca="1" si="332"/>
        <v>40118</v>
      </c>
      <c r="DH137" s="475">
        <v>20.010000000000002</v>
      </c>
      <c r="DI137" s="665">
        <v>20.074285714285743</v>
      </c>
      <c r="DJ137" s="666">
        <f t="shared" ca="1" si="466"/>
        <v>40118</v>
      </c>
      <c r="DK137" s="475">
        <v>18.802096789418162</v>
      </c>
      <c r="DL137" s="665">
        <v>18.881185714285742</v>
      </c>
      <c r="DM137" s="667">
        <f t="shared" ca="1" si="467"/>
        <v>40118</v>
      </c>
      <c r="DN137" s="668">
        <f t="shared" si="468"/>
        <v>18.852096789418162</v>
      </c>
      <c r="DO137" s="667">
        <f t="shared" ca="1" si="333"/>
        <v>40118</v>
      </c>
      <c r="DP137" s="579">
        <f t="shared" si="334"/>
        <v>18.881185714285742</v>
      </c>
      <c r="DQ137" s="821">
        <v>0</v>
      </c>
      <c r="DR137" s="666">
        <f t="shared" ca="1" si="469"/>
        <v>40118</v>
      </c>
      <c r="DS137" s="669">
        <v>0.15439999999999901</v>
      </c>
      <c r="DT137" s="606">
        <v>0.15362857142857045</v>
      </c>
      <c r="DU137" s="666">
        <f t="shared" ca="1" si="470"/>
        <v>40118</v>
      </c>
      <c r="DV137" s="669">
        <v>0.15439999999999901</v>
      </c>
      <c r="DW137" s="606">
        <v>0.15362857142857045</v>
      </c>
      <c r="DX137" s="667">
        <f t="shared" ca="1" si="471"/>
        <v>40118</v>
      </c>
      <c r="DY137" s="606">
        <v>0.35</v>
      </c>
      <c r="DZ137" s="667">
        <f t="shared" ca="1" si="335"/>
        <v>40118</v>
      </c>
      <c r="EA137" s="606">
        <f t="shared" si="336"/>
        <v>0.15362857142857045</v>
      </c>
      <c r="EB137" s="1"/>
      <c r="EC137" s="118" t="str">
        <f t="shared" ca="1" si="472"/>
        <v/>
      </c>
      <c r="ED137" s="119" t="str">
        <f t="shared" ca="1" si="313"/>
        <v/>
      </c>
      <c r="EE137" s="112" t="str">
        <f t="shared" ca="1" si="314"/>
        <v/>
      </c>
      <c r="EF137" s="120">
        <f ca="1">IF(BD137,_xll.xASN(BR137,Strike1,AO137,ED137,0,BO137,0,BI137,BL137,IF(OptControl=4,0,1),0),0)</f>
        <v>0</v>
      </c>
      <c r="EG137" s="111">
        <f ca="1">IF(BD137,_xll.xASN(BR137,Strike2,AO137,EE137,0,BO137,0,BI137,BL137,IF(OptControl=3,1,0),0),0)</f>
        <v>0</v>
      </c>
      <c r="EL137" s="55"/>
      <c r="EM137" s="1"/>
      <c r="EN137" s="106"/>
      <c r="EO137" s="106"/>
      <c r="EP137" s="1"/>
      <c r="EQ137" s="683" t="s">
        <v>350</v>
      </c>
      <c r="ES137" s="455"/>
      <c r="ET137" s="36"/>
      <c r="EU137" s="107"/>
      <c r="EV137" s="475"/>
      <c r="EW137" s="456"/>
      <c r="EX137" s="456"/>
      <c r="EY137" s="250"/>
      <c r="EZ137" s="250"/>
      <c r="FA137" s="250"/>
      <c r="FB137" s="250"/>
      <c r="FC137" s="250"/>
      <c r="FD137" s="250"/>
      <c r="FE137" s="250"/>
      <c r="FF137" s="250"/>
      <c r="FG137" s="250"/>
      <c r="FH137" s="250"/>
      <c r="FI137" s="250"/>
      <c r="FJ137" s="673">
        <v>43</v>
      </c>
      <c r="FK137" s="460">
        <f t="shared" ca="1" si="479"/>
        <v>0</v>
      </c>
      <c r="FL137" s="460">
        <f t="shared" ref="FL137:HW140" ca="1" si="485">IF($FJ62&lt;FL$94,"",SQRT(FL62/FL$15))</f>
        <v>0.16633353982996735</v>
      </c>
      <c r="FM137" s="460">
        <f t="shared" ca="1" si="485"/>
        <v>0.17074717433361242</v>
      </c>
      <c r="FN137" s="460">
        <f t="shared" ca="1" si="485"/>
        <v>0.16750538179947988</v>
      </c>
      <c r="FO137" s="460">
        <f t="shared" ca="1" si="485"/>
        <v>0.1650902604191008</v>
      </c>
      <c r="FP137" s="460">
        <f t="shared" ca="1" si="485"/>
        <v>0.16329799071807663</v>
      </c>
      <c r="FQ137" s="460">
        <f t="shared" ca="1" si="485"/>
        <v>0.16197618359920957</v>
      </c>
      <c r="FR137" s="460">
        <f t="shared" ca="1" si="485"/>
        <v>0.16101110593249532</v>
      </c>
      <c r="FS137" s="460">
        <f t="shared" ca="1" si="485"/>
        <v>0.16031811414037322</v>
      </c>
      <c r="FT137" s="460">
        <f t="shared" ca="1" si="485"/>
        <v>0.15983449640687722</v>
      </c>
      <c r="FU137" s="460">
        <f t="shared" ca="1" si="485"/>
        <v>0.15951412448743799</v>
      </c>
      <c r="FV137" s="460">
        <f t="shared" ca="1" si="485"/>
        <v>0.15932346646653106</v>
      </c>
      <c r="FW137" s="460">
        <f t="shared" ca="1" si="485"/>
        <v>0.15923862472500969</v>
      </c>
      <c r="FX137" s="460">
        <f t="shared" ca="1" si="485"/>
        <v>0.15924314823729846</v>
      </c>
      <c r="FY137" s="460">
        <f t="shared" ca="1" si="485"/>
        <v>0.15932643218120532</v>
      </c>
      <c r="FZ137" s="460">
        <f t="shared" ca="1" si="485"/>
        <v>0.15948256602006841</v>
      </c>
      <c r="GA137" s="460">
        <f t="shared" ca="1" si="485"/>
        <v>0.15970952771095981</v>
      </c>
      <c r="GB137" s="460">
        <f t="shared" ca="1" si="485"/>
        <v>0.16000864953326027</v>
      </c>
      <c r="GC137" s="460">
        <f t="shared" ca="1" si="485"/>
        <v>0.16038430252933319</v>
      </c>
      <c r="GD137" s="460">
        <f t="shared" ca="1" si="485"/>
        <v>0.16084376348905594</v>
      </c>
      <c r="GE137" s="460">
        <f t="shared" ca="1" si="485"/>
        <v>0.16139724220666396</v>
      </c>
      <c r="GF137" s="460">
        <f t="shared" ca="1" si="485"/>
        <v>0.16205805855830524</v>
      </c>
      <c r="GG137" s="460">
        <f t="shared" ca="1" si="485"/>
        <v>0.16284296981874011</v>
      </c>
      <c r="GH137" s="460">
        <f t="shared" ca="1" si="485"/>
        <v>0.16377265954580825</v>
      </c>
      <c r="GI137" s="460">
        <f t="shared" ca="1" si="485"/>
        <v>0.16487241137590755</v>
      </c>
      <c r="GJ137" s="460">
        <f t="shared" ca="1" si="485"/>
        <v>0.16617300546727151</v>
      </c>
      <c r="GK137" s="460">
        <f t="shared" ca="1" si="485"/>
        <v>0.16771189376993284</v>
      </c>
      <c r="GL137" s="460">
        <f t="shared" ca="1" si="485"/>
        <v>0.16953473512831785</v>
      </c>
      <c r="GM137" s="460">
        <f t="shared" ca="1" si="485"/>
        <v>0.17169740585724633</v>
      </c>
      <c r="GN137" s="460">
        <f t="shared" ca="1" si="485"/>
        <v>0.17426865105604269</v>
      </c>
      <c r="GO137" s="460">
        <f t="shared" ca="1" si="485"/>
        <v>0.17733361458410238</v>
      </c>
      <c r="GP137" s="460">
        <f t="shared" ca="1" si="485"/>
        <v>0.18099859408740751</v>
      </c>
      <c r="GQ137" s="460">
        <f t="shared" ca="1" si="485"/>
        <v>0.18539753244911572</v>
      </c>
      <c r="GR137" s="460">
        <f t="shared" ca="1" si="485"/>
        <v>0.19070101284526716</v>
      </c>
      <c r="GS137" s="460">
        <f t="shared" ca="1" si="485"/>
        <v>0.19712892934687351</v>
      </c>
      <c r="GT137" s="460">
        <f t="shared" ca="1" si="485"/>
        <v>0.20496865963016558</v>
      </c>
      <c r="GU137" s="460">
        <f t="shared" ca="1" si="485"/>
        <v>0.21460165069310111</v>
      </c>
      <c r="GV137" s="460">
        <f t="shared" ca="1" si="485"/>
        <v>0.22654317250691752</v>
      </c>
      <c r="GW137" s="460">
        <f t="shared" ca="1" si="485"/>
        <v>0.24150322331420437</v>
      </c>
      <c r="GX137" s="460">
        <f t="shared" ca="1" si="485"/>
        <v>0.2604824106258844</v>
      </c>
      <c r="GY137" s="460">
        <f t="shared" ca="1" si="485"/>
        <v>0.28492758940700819</v>
      </c>
      <c r="GZ137" s="460">
        <f t="shared" ca="1" si="485"/>
        <v>0.3169934655728921</v>
      </c>
      <c r="HA137" s="460">
        <f t="shared" ca="1" si="485"/>
        <v>0.36000030169755481</v>
      </c>
      <c r="HB137" s="460" t="str">
        <f t="shared" si="485"/>
        <v/>
      </c>
      <c r="HC137" s="460" t="str">
        <f t="shared" si="485"/>
        <v/>
      </c>
      <c r="HD137" s="460" t="str">
        <f t="shared" si="485"/>
        <v/>
      </c>
      <c r="HE137" s="460" t="str">
        <f t="shared" si="485"/>
        <v/>
      </c>
      <c r="HF137" s="460" t="str">
        <f t="shared" si="485"/>
        <v/>
      </c>
      <c r="HG137" s="460" t="str">
        <f t="shared" si="485"/>
        <v/>
      </c>
      <c r="HH137" s="460" t="str">
        <f t="shared" si="485"/>
        <v/>
      </c>
      <c r="HI137" s="460" t="str">
        <f t="shared" si="485"/>
        <v/>
      </c>
      <c r="HJ137" s="460" t="str">
        <f t="shared" si="485"/>
        <v/>
      </c>
      <c r="HK137" s="460" t="str">
        <f t="shared" si="485"/>
        <v/>
      </c>
      <c r="HL137" s="460" t="str">
        <f t="shared" si="485"/>
        <v/>
      </c>
      <c r="HM137" s="460" t="str">
        <f t="shared" si="485"/>
        <v/>
      </c>
      <c r="HN137" s="460" t="str">
        <f t="shared" si="485"/>
        <v/>
      </c>
      <c r="HO137" s="460" t="str">
        <f t="shared" si="485"/>
        <v/>
      </c>
      <c r="HP137" s="460" t="str">
        <f t="shared" si="485"/>
        <v/>
      </c>
      <c r="HQ137" s="460" t="str">
        <f t="shared" si="485"/>
        <v/>
      </c>
      <c r="HR137" s="460" t="str">
        <f t="shared" si="485"/>
        <v/>
      </c>
      <c r="HS137" s="460" t="str">
        <f t="shared" si="485"/>
        <v/>
      </c>
      <c r="HT137" s="460" t="str">
        <f t="shared" si="485"/>
        <v/>
      </c>
      <c r="HU137" s="460" t="str">
        <f t="shared" si="485"/>
        <v/>
      </c>
      <c r="HV137" s="460" t="str">
        <f t="shared" si="485"/>
        <v/>
      </c>
      <c r="HW137" s="460" t="str">
        <f t="shared" si="485"/>
        <v/>
      </c>
      <c r="HX137" s="460" t="str">
        <f t="shared" si="484"/>
        <v/>
      </c>
      <c r="HY137" s="460" t="str">
        <f t="shared" si="484"/>
        <v/>
      </c>
      <c r="HZ137" s="460" t="str">
        <f t="shared" si="484"/>
        <v/>
      </c>
      <c r="IA137" s="460" t="str">
        <f t="shared" si="484"/>
        <v/>
      </c>
      <c r="IB137" s="460" t="str">
        <f t="shared" si="484"/>
        <v/>
      </c>
      <c r="IC137" s="460" t="str">
        <f t="shared" si="484"/>
        <v/>
      </c>
      <c r="ID137" s="674" t="str">
        <f t="shared" si="484"/>
        <v/>
      </c>
      <c r="IE137" s="250"/>
    </row>
    <row r="138" spans="8:239">
      <c r="H138" s="51">
        <f t="shared" ca="1" si="315"/>
        <v>0</v>
      </c>
      <c r="I138" s="379">
        <f t="shared" si="316"/>
        <v>40360</v>
      </c>
      <c r="J138" s="377"/>
      <c r="K138" s="104" t="s">
        <v>268</v>
      </c>
      <c r="L138" s="392">
        <f t="shared" si="317"/>
        <v>1.5750000000000011</v>
      </c>
      <c r="M138" s="171"/>
      <c r="N138" s="382">
        <v>0</v>
      </c>
      <c r="O138" s="171">
        <f t="shared" si="272"/>
        <v>0</v>
      </c>
      <c r="P138" s="377"/>
      <c r="Q138" s="104" t="s">
        <v>268</v>
      </c>
      <c r="R138" s="377">
        <f t="shared" ca="1" si="417"/>
        <v>0.37689001529220023</v>
      </c>
      <c r="S138" s="832">
        <f t="shared" si="435"/>
        <v>0.3600000000000001</v>
      </c>
      <c r="T138" s="831">
        <f t="shared" si="418"/>
        <v>0.9999999989468531</v>
      </c>
      <c r="U138" s="545">
        <f t="shared" si="419"/>
        <v>0.99999999999999978</v>
      </c>
      <c r="V138" s="389">
        <v>0</v>
      </c>
      <c r="W138" s="434">
        <f t="shared" si="455"/>
        <v>0</v>
      </c>
      <c r="X138" s="415">
        <f t="shared" si="456"/>
        <v>1.6261363636363648</v>
      </c>
      <c r="Y138" s="322">
        <f t="shared" si="457"/>
        <v>-1.2668999999999999</v>
      </c>
      <c r="Z138" s="322">
        <f t="shared" ca="1" si="458"/>
        <v>0.35923636363636491</v>
      </c>
      <c r="AA138" s="429">
        <f t="shared" si="277"/>
        <v>1.2668999999999999</v>
      </c>
      <c r="AB138" s="433">
        <f t="shared" ca="1" si="278"/>
        <v>1.2668999999999999</v>
      </c>
      <c r="AC138" s="229">
        <v>40349</v>
      </c>
      <c r="AD138" s="229">
        <v>40345</v>
      </c>
      <c r="AE138" s="229">
        <v>40344</v>
      </c>
      <c r="AF138" s="229">
        <v>40340</v>
      </c>
      <c r="AG138" s="249" t="s">
        <v>499</v>
      </c>
      <c r="AH138" s="247" t="s">
        <v>499</v>
      </c>
      <c r="AI138" s="146">
        <v>22</v>
      </c>
      <c r="AJ138" s="41">
        <v>14</v>
      </c>
      <c r="AK138" s="41">
        <v>8</v>
      </c>
      <c r="AL138" s="293">
        <v>22</v>
      </c>
      <c r="AM138" s="41">
        <v>10</v>
      </c>
      <c r="AN138" s="147">
        <v>12</v>
      </c>
      <c r="AO138" s="374"/>
      <c r="AP138" s="153">
        <f t="shared" ca="1" si="318"/>
        <v>1</v>
      </c>
      <c r="AQ138" s="374"/>
      <c r="AR138" s="153">
        <f t="shared" ca="1" si="420"/>
        <v>1</v>
      </c>
      <c r="AS138" s="272">
        <f t="shared" si="459"/>
        <v>0</v>
      </c>
      <c r="AT138" s="157">
        <f t="shared" si="319"/>
        <v>0</v>
      </c>
      <c r="AU138" s="157">
        <f t="shared" si="280"/>
        <v>0</v>
      </c>
      <c r="AV138" s="271">
        <f t="shared" ca="1" si="430"/>
        <v>9.9999999999999995E-7</v>
      </c>
      <c r="AW138" s="158" t="str">
        <f t="shared" ca="1" si="460"/>
        <v/>
      </c>
      <c r="AX138" s="157">
        <f t="shared" ca="1" si="421"/>
        <v>4.7512734340110621E-4</v>
      </c>
      <c r="AY138" s="157">
        <f t="shared" ca="1" si="422"/>
        <v>1.6744693935162824E-4</v>
      </c>
      <c r="AZ138" s="157">
        <f t="shared" ca="1" si="423"/>
        <v>1.6021034426144906E-5</v>
      </c>
      <c r="BA138" s="157">
        <f t="shared" ca="1" si="424"/>
        <v>2.0026293032681132E-6</v>
      </c>
      <c r="BB138" s="157">
        <f t="shared" ca="1" si="425"/>
        <v>7.929199505657983E-8</v>
      </c>
      <c r="BC138" s="157">
        <f t="shared" ca="1" si="426"/>
        <v>8.0210482526158619E-9</v>
      </c>
      <c r="BD138" s="151">
        <f t="shared" ca="1" si="461"/>
        <v>0</v>
      </c>
      <c r="BE138" s="152">
        <f t="shared" ca="1" si="462"/>
        <v>0</v>
      </c>
      <c r="BF138" s="40">
        <f t="shared" si="463"/>
        <v>2010</v>
      </c>
      <c r="BG138" s="144">
        <f t="shared" si="464"/>
        <v>7</v>
      </c>
      <c r="BH138" s="145">
        <f t="shared" ca="1" si="465"/>
        <v>3600</v>
      </c>
      <c r="BI138" s="313">
        <f t="shared" ca="1" si="439"/>
        <v>9.897330595482547</v>
      </c>
      <c r="BJ138" s="42">
        <f t="shared" ca="1" si="288"/>
        <v>9.9495986559641594</v>
      </c>
      <c r="BK138" s="42">
        <f t="shared" ca="1" si="289"/>
        <v>9.9523365067512923</v>
      </c>
      <c r="BL138" s="42">
        <f t="shared" ca="1" si="440"/>
        <v>9.979466119096509</v>
      </c>
      <c r="BM138" s="150" t="e">
        <f t="shared" ca="1" si="291"/>
        <v>#DIV/0!</v>
      </c>
      <c r="BN138" s="42" t="e">
        <f t="shared" ca="1" si="292"/>
        <v>#DIV/0!</v>
      </c>
      <c r="BO138" s="293">
        <f t="shared" si="441"/>
        <v>22</v>
      </c>
      <c r="BP138" s="41">
        <f t="shared" si="442"/>
        <v>14</v>
      </c>
      <c r="BQ138" s="41">
        <f t="shared" si="443"/>
        <v>8</v>
      </c>
      <c r="BR138" s="305" t="str">
        <f t="shared" ca="1" si="295"/>
        <v/>
      </c>
      <c r="BS138" s="305" t="str">
        <f t="shared" ca="1" si="444"/>
        <v/>
      </c>
      <c r="BT138" s="307" t="str">
        <f t="shared" ca="1" si="445"/>
        <v/>
      </c>
      <c r="BU138" s="161" t="str">
        <f t="shared" ca="1" si="298"/>
        <v/>
      </c>
      <c r="BV138" s="161" t="str">
        <f t="shared" ca="1" si="299"/>
        <v/>
      </c>
      <c r="BW138" s="308" t="str">
        <f t="shared" ca="1" si="300"/>
        <v/>
      </c>
      <c r="BX138" s="309" t="str">
        <f t="shared" ca="1" si="301"/>
        <v/>
      </c>
      <c r="BY138" s="308" t="str">
        <f t="shared" ca="1" si="446"/>
        <v/>
      </c>
      <c r="BZ138" s="309" t="str">
        <f t="shared" ca="1" si="447"/>
        <v/>
      </c>
      <c r="CA138" s="154" t="str">
        <f t="shared" ca="1" si="302"/>
        <v/>
      </c>
      <c r="CB138" s="154" t="str">
        <f t="shared" ca="1" si="303"/>
        <v/>
      </c>
      <c r="CC138" s="154" t="str">
        <f t="shared" ca="1" si="304"/>
        <v/>
      </c>
      <c r="CD138" s="154" t="str">
        <f t="shared" ca="1" si="305"/>
        <v/>
      </c>
      <c r="CE138" s="310">
        <v>1</v>
      </c>
      <c r="CF138" s="162">
        <f ca="1">IF(BD138,_xll.xCrudeAPO(BU138,BV138,CA138,CB138,S139,S140,BI138,BL138,BP138,BQ138,0,Strike1,AO138,CE138,0,BL138,IF(OptControl=4,0,1),0,1),0)</f>
        <v>0</v>
      </c>
      <c r="CG138" s="163">
        <f ca="1">IF(BD138,_xll.xCrudeAPO(BU138,BV138,CA138,CB138,S139,S140,BI138,BL138,BP138,BQ138,0,Strike1,AO138,CE138,0,BL138,IF(OptControl=4,0,1),1,1)+_xll.xCrudeAPO(BU138,BV138,CA138,CB138,S139,S140,BI138,BL138,BP138,BQ138,0,Strike1,AO138,CE138,0,BL138,IF(OptControl=4,0,1),1,2)+IF(OR(VolSkewFlag=2,ABS(BS138)&lt;0.0001),0,IF(BS138&gt;0,-1,1)*CH138*Strike1/BR138^2*BY138/10%),0)</f>
        <v>0</v>
      </c>
      <c r="CH138" s="163">
        <f ca="1">IF(BD138,(_xll.xCrudeAPO(BU138,BV138,CA138,CB138,S139,S140,BI138,BL138,BP138,BQ138,0,Strike1,AO138,CE138,0,BL138,IF(OptControl=4,0,1),3,1)+_xll.xCrudeAPO(BU138,BV138,CA138,CB138,S139,S140,BI138,BL138,BP138,BQ138,0,Strike1,AO138,CE138,0,BL138,IF(OptControl=4,0,1),3,2))/100,0)</f>
        <v>0</v>
      </c>
      <c r="CI138" s="163">
        <f ca="1">IF(BD138,_xll.xCrudeAPO(BU138,BV138,CA138,CB138,S139,S140,BI138-DaysForThetaCalculation/365.25,BL138-DaysForThetaCalculation/365.25,BP138,BQ138,0,Strike1,AO138,CE138,0,BL138,IF(OptControl=4,0,1),0,1)-_xll.xCrudeAPO(BU138,BV138,CA138,CB138,S139,S140,BI138,BL138,BP138,BQ138,0,Strike1,AO138,CE138,0,BL138,IF(OptControl=4,0,1),0,1),0)</f>
        <v>0</v>
      </c>
      <c r="CJ138" s="311">
        <f ca="1">IF(BD138,_xll.xCrudeAPO(BU138,BV138,CC138,CD138,S139,S140,BI138,BL138,BP138,BQ138,0,Strike2,AO138,CE138,0,BL138,IF(OptControl=3,1,0),0,1),0)</f>
        <v>0</v>
      </c>
      <c r="CK138" s="163">
        <f ca="1">IF(BD138,_xll.xCrudeAPO(BU138,BV138,CC138,CD138,S139,S140,BI138,BL138,BP138,BQ138,0,Strike2,AO138,CE138,0,BL138,IF(OptControl=3,1,0),1,1)+_xll.xCrudeAPO(BU138,BV138,CC138,CD138,S139,S140,BI138,BL138,BP138,BQ138,0,Strike2,AO138,CE138,0,BL138,IF(OptControl=3,1,0),1,2)+IF(OR(VolSkewFlag=2,ABS(BT138)&lt;0.0001),0,IF(BT138&gt;0,-1,1)*CL138*Strike2/BR138^2*BZ138/10%),0)</f>
        <v>0</v>
      </c>
      <c r="CL138" s="163">
        <f ca="1">IF(BD138,(_xll.xCrudeAPO(BU138,BV138,CC138,CD138,S139,S140,BI138,BL138,BP138,BQ138,0,Strike2,AO138,CE138,0,BL138,IF(OptControl=3,1,0),3,1)+_xll.xCrudeAPO(BU138,BV138,CC138,CD138,S139,S140,BI138,BL138,BP138,BQ138,0,Strike2,AO138,CE138,0,BL138,IF(OptControl=3,1,0),3,2))/100,0)</f>
        <v>0</v>
      </c>
      <c r="CM138" s="164">
        <f ca="1">IF(BD138,_xll.xCrudeAPO(BU138,BV138,CC138,CD138,S139,S140,BI138-DaysForThetaCalculation/365.25,BL138-DaysForThetaCalculation/365.25,BP138,BQ138,0,Strike2,AO138,CE138,0,BL138,IF(OptControl=3,1,0),0,1)-_xll.xCrudeAPO(BU138,BV138,CC138,CD138,S139,S140,BI138,BL138,BP138,BQ138,0,Strike2,AO138,CE138,0,BL138,IF(OptControl=3,1,0),0,1),0)</f>
        <v>0</v>
      </c>
      <c r="CN138" s="53"/>
      <c r="CO138" s="796" t="str">
        <f t="shared" ca="1" si="323"/>
        <v/>
      </c>
      <c r="CP138" s="800" t="str">
        <f t="shared" ca="1" si="324"/>
        <v/>
      </c>
      <c r="CQ138" s="797" t="str">
        <f t="shared" ca="1" si="325"/>
        <v/>
      </c>
      <c r="CR138" s="797" t="str">
        <f t="shared" ca="1" si="326"/>
        <v/>
      </c>
      <c r="CS138" s="797" t="str">
        <f t="shared" ca="1" si="327"/>
        <v/>
      </c>
      <c r="CT138" s="797" t="str">
        <f t="shared" ca="1" si="328"/>
        <v/>
      </c>
      <c r="CU138" s="798" t="str">
        <f t="shared" ca="1" si="329"/>
        <v/>
      </c>
      <c r="CV138" s="799" t="str">
        <f t="shared" ca="1" si="330"/>
        <v/>
      </c>
      <c r="CW138" s="799" t="str">
        <f t="shared" ca="1" si="331"/>
        <v/>
      </c>
      <c r="CX138" s="163">
        <f ca="1">IF(BD138,_xll.EURO(CP138,Strike1,AO138,AO138,CV138,CO138,IF(OptControl=4,0,1),0),0)</f>
        <v>0</v>
      </c>
      <c r="CY138" s="163">
        <f ca="1">IF(BD138,_xll.EURO(CP138,Strike1,AO138,AO138,CV138,CO138,IF(OptControl=4,0,1),1)+IF(OR(VolSkewFlag=2,ABS(CQ138)&lt;0.0001),0,IF(CQ138&gt;0,-1,1)*CZ138*100*Strike1/CP138^2*CS138/10%),0)</f>
        <v>0</v>
      </c>
      <c r="CZ138" s="163">
        <f ca="1">IF(BD138,_xll.EURO(CP138,Strike1,AO138,AO138,CV138,CO138,IF(OptControl=4,0,1),3)/100,0)</f>
        <v>0</v>
      </c>
      <c r="DA138" s="163">
        <f ca="1">IF(BD138,_xll.EURO(CP138,Strike1,AO138,AO138,CV138,CO138,IF(OptControl=4,0,1),0)-_xll.EURO(CP138,Strike1,AO138,AO138,CV138,CO138-1,IF(OptControl=4,0,1),0),0)</f>
        <v>0</v>
      </c>
      <c r="DB138" s="163">
        <f ca="1">IF(BD138,_xll.EURO(CP138,Strike2,AO138,AO138,CW138,CO138,IF(OptControl=3,1,0),0),0)</f>
        <v>0</v>
      </c>
      <c r="DC138" s="163">
        <f ca="1">IF(BD138,_xll.EURO(CP138,Strike2,AO138,AO138,CW138,CO138,IF(OptControl=3,1,0),1)+IF(OR(VolSkewFlag=2,ABS(CR138)&lt;0.0001),0,IF(CR138&gt;0,-1,1)*DD138*100*Strike2/CP138^2*CT138/10%),0)</f>
        <v>0</v>
      </c>
      <c r="DD138" s="163">
        <f ca="1">IF(BD138,_xll.EURO(CP138,Strike2,AO138,AO138,CW138,CO138,IF(OptControl=3,1,0),3)/100,0)</f>
        <v>0</v>
      </c>
      <c r="DE138" s="164">
        <f ca="1">IF(BD138,_xll.EURO(CP138,Strike2,AO138,AO138,CW138,CO138,IF(OptControl=3,1,0),0)-_xll.EURO(CP138,Strike2,AO138,AO138,CW138,CO138-1,IF(OptControl=3,1,0),0),0)</f>
        <v>0</v>
      </c>
      <c r="DG138" s="667">
        <f t="shared" ca="1" si="332"/>
        <v>40148</v>
      </c>
      <c r="DH138" s="475">
        <v>20.059999999999999</v>
      </c>
      <c r="DI138" s="665">
        <v>20.128181818181847</v>
      </c>
      <c r="DJ138" s="666">
        <f t="shared" ca="1" si="466"/>
        <v>40148</v>
      </c>
      <c r="DK138" s="475">
        <v>18.862569342151591</v>
      </c>
      <c r="DL138" s="665">
        <v>18.935081818181846</v>
      </c>
      <c r="DM138" s="667">
        <f t="shared" ca="1" si="467"/>
        <v>40148</v>
      </c>
      <c r="DN138" s="668">
        <f t="shared" si="468"/>
        <v>18.912569342151592</v>
      </c>
      <c r="DO138" s="667">
        <f t="shared" ca="1" si="333"/>
        <v>40148</v>
      </c>
      <c r="DP138" s="579">
        <f t="shared" si="334"/>
        <v>18.935081818181846</v>
      </c>
      <c r="DQ138" s="821">
        <v>0</v>
      </c>
      <c r="DR138" s="666">
        <f t="shared" ca="1" si="469"/>
        <v>40148</v>
      </c>
      <c r="DS138" s="669">
        <v>0.15379999999999902</v>
      </c>
      <c r="DT138" s="606">
        <v>0.15298181818181719</v>
      </c>
      <c r="DU138" s="666">
        <f t="shared" ca="1" si="470"/>
        <v>40148</v>
      </c>
      <c r="DV138" s="669">
        <v>0.15379999999999902</v>
      </c>
      <c r="DW138" s="606">
        <v>0.15298181818181719</v>
      </c>
      <c r="DX138" s="667">
        <f t="shared" ca="1" si="471"/>
        <v>40148</v>
      </c>
      <c r="DY138" s="606">
        <v>0.35</v>
      </c>
      <c r="DZ138" s="667">
        <f t="shared" ca="1" si="335"/>
        <v>40148</v>
      </c>
      <c r="EA138" s="606">
        <f t="shared" si="336"/>
        <v>0.15298181818181719</v>
      </c>
      <c r="EB138" s="1"/>
      <c r="EC138" s="118" t="str">
        <f t="shared" ca="1" si="472"/>
        <v/>
      </c>
      <c r="ED138" s="119" t="str">
        <f t="shared" ca="1" si="313"/>
        <v/>
      </c>
      <c r="EE138" s="112" t="str">
        <f t="shared" ca="1" si="314"/>
        <v/>
      </c>
      <c r="EF138" s="120">
        <f ca="1">IF(BD138,_xll.xASN(BR138,Strike1,AO138,ED138,0,BO138,0,BI138,BL138,IF(OptControl=4,0,1),0),0)</f>
        <v>0</v>
      </c>
      <c r="EG138" s="111">
        <f ca="1">IF(BD138,_xll.xASN(BR138,Strike2,AO138,EE138,0,BO138,0,BI138,BL138,IF(OptControl=3,1,0),0),0)</f>
        <v>0</v>
      </c>
      <c r="EL138" s="55"/>
      <c r="EM138" s="1"/>
      <c r="EN138" s="106"/>
      <c r="EO138" s="106"/>
      <c r="EP138" s="1"/>
      <c r="EQ138" s="683" t="s">
        <v>351</v>
      </c>
      <c r="ES138" s="455"/>
      <c r="ET138" s="36"/>
      <c r="EU138" s="107"/>
      <c r="EV138" s="475"/>
      <c r="EW138" s="456"/>
      <c r="EX138" s="456"/>
      <c r="EY138" s="250"/>
      <c r="EZ138" s="250"/>
      <c r="FA138" s="250"/>
      <c r="FB138" s="250"/>
      <c r="FC138" s="250"/>
      <c r="FD138" s="250"/>
      <c r="FE138" s="250"/>
      <c r="FF138" s="250"/>
      <c r="FG138" s="250"/>
      <c r="FH138" s="250"/>
      <c r="FI138" s="250"/>
      <c r="FJ138" s="673">
        <v>44</v>
      </c>
      <c r="FK138" s="460">
        <f t="shared" ca="1" si="479"/>
        <v>0</v>
      </c>
      <c r="FL138" s="460">
        <f t="shared" ca="1" si="485"/>
        <v>0.16630319271357077</v>
      </c>
      <c r="FM138" s="460">
        <f t="shared" ca="1" si="485"/>
        <v>0.17071073824654542</v>
      </c>
      <c r="FN138" s="460">
        <f t="shared" ca="1" si="485"/>
        <v>0.16746357482719679</v>
      </c>
      <c r="FO138" s="460">
        <f t="shared" ca="1" si="485"/>
        <v>0.16504206736125221</v>
      </c>
      <c r="FP138" s="460">
        <f t="shared" ca="1" si="485"/>
        <v>0.16324223511590194</v>
      </c>
      <c r="FQ138" s="460">
        <f t="shared" ca="1" si="485"/>
        <v>0.16191149834405522</v>
      </c>
      <c r="FR138" s="460">
        <f t="shared" ca="1" si="485"/>
        <v>0.1609358988805657</v>
      </c>
      <c r="FS138" s="460">
        <f t="shared" ca="1" si="485"/>
        <v>0.16023052779145325</v>
      </c>
      <c r="FT138" s="460">
        <f t="shared" ca="1" si="485"/>
        <v>0.15973236052071677</v>
      </c>
      <c r="FU138" s="460">
        <f t="shared" ca="1" si="485"/>
        <v>0.15939490028569481</v>
      </c>
      <c r="FV138" s="460">
        <f t="shared" ca="1" si="485"/>
        <v>0.15918418078971233</v>
      </c>
      <c r="FW138" s="460">
        <f t="shared" ca="1" si="485"/>
        <v>0.15907579216843348</v>
      </c>
      <c r="FX138" s="460">
        <f t="shared" ca="1" si="485"/>
        <v>0.15905267885887023</v>
      </c>
      <c r="FY138" s="460">
        <f t="shared" ca="1" si="485"/>
        <v>0.15910352183173487</v>
      </c>
      <c r="FZ138" s="460">
        <f t="shared" ca="1" si="485"/>
        <v>0.15922156566043025</v>
      </c>
      <c r="GA138" s="460">
        <f t="shared" ca="1" si="485"/>
        <v>0.15940378720442824</v>
      </c>
      <c r="GB138" s="460">
        <f t="shared" ca="1" si="485"/>
        <v>0.15965033027440498</v>
      </c>
      <c r="GC138" s="460">
        <f t="shared" ca="1" si="485"/>
        <v>0.15996415180878312</v>
      </c>
      <c r="GD138" s="460">
        <f t="shared" ca="1" si="485"/>
        <v>0.1603508415800031</v>
      </c>
      <c r="GE138" s="460">
        <f t="shared" ca="1" si="485"/>
        <v>0.16081859063230416</v>
      </c>
      <c r="GF138" s="460">
        <f t="shared" ca="1" si="485"/>
        <v>0.16137829463206035</v>
      </c>
      <c r="GG138" s="460">
        <f t="shared" ca="1" si="485"/>
        <v>0.16204378801856978</v>
      </c>
      <c r="GH138" s="460">
        <f t="shared" ca="1" si="485"/>
        <v>0.16283221412841165</v>
      </c>
      <c r="GI138" s="460">
        <f t="shared" ca="1" si="485"/>
        <v>0.16376454618805017</v>
      </c>
      <c r="GJ138" s="460">
        <f t="shared" ca="1" si="485"/>
        <v>0.16486628519251323</v>
      </c>
      <c r="GK138" s="460">
        <f t="shared" ca="1" si="485"/>
        <v>0.1661683744129045</v>
      </c>
      <c r="GL138" s="460">
        <f t="shared" ca="1" si="485"/>
        <v>0.16770838821614983</v>
      </c>
      <c r="GM138" s="460">
        <f t="shared" ca="1" si="485"/>
        <v>0.16953207733132991</v>
      </c>
      <c r="GN138" s="460">
        <f t="shared" ca="1" si="485"/>
        <v>0.17169538704970569</v>
      </c>
      <c r="GO138" s="460">
        <f t="shared" ca="1" si="485"/>
        <v>0.17426711425791044</v>
      </c>
      <c r="GP138" s="460">
        <f t="shared" ca="1" si="485"/>
        <v>0.17733244170374202</v>
      </c>
      <c r="GQ138" s="460">
        <f t="shared" ca="1" si="485"/>
        <v>0.18099769624113271</v>
      </c>
      <c r="GR138" s="460">
        <f t="shared" ca="1" si="485"/>
        <v>0.18539684269523768</v>
      </c>
      <c r="GS138" s="460">
        <f t="shared" ca="1" si="485"/>
        <v>0.19070048072955834</v>
      </c>
      <c r="GT138" s="460">
        <f t="shared" ca="1" si="485"/>
        <v>0.19712851680701166</v>
      </c>
      <c r="GU138" s="460">
        <f t="shared" ca="1" si="485"/>
        <v>0.20496833791970015</v>
      </c>
      <c r="GV138" s="460">
        <f t="shared" ca="1" si="485"/>
        <v>0.21460139807019249</v>
      </c>
      <c r="GW138" s="460">
        <f t="shared" ca="1" si="485"/>
        <v>0.22654297249658784</v>
      </c>
      <c r="GX138" s="460">
        <f t="shared" ca="1" si="485"/>
        <v>0.241503063400374</v>
      </c>
      <c r="GY138" s="460">
        <f t="shared" ca="1" si="485"/>
        <v>0.26048228126497858</v>
      </c>
      <c r="GZ138" s="460">
        <f t="shared" ca="1" si="485"/>
        <v>0.28492748328129341</v>
      </c>
      <c r="HA138" s="460">
        <f t="shared" ca="1" si="485"/>
        <v>0.31699337702099706</v>
      </c>
      <c r="HB138" s="460">
        <f t="shared" ca="1" si="485"/>
        <v>0.36000022627316608</v>
      </c>
      <c r="HC138" s="460" t="str">
        <f t="shared" si="485"/>
        <v/>
      </c>
      <c r="HD138" s="460" t="str">
        <f t="shared" si="485"/>
        <v/>
      </c>
      <c r="HE138" s="460" t="str">
        <f t="shared" si="485"/>
        <v/>
      </c>
      <c r="HF138" s="460" t="str">
        <f t="shared" si="485"/>
        <v/>
      </c>
      <c r="HG138" s="460" t="str">
        <f t="shared" si="485"/>
        <v/>
      </c>
      <c r="HH138" s="460" t="str">
        <f t="shared" si="485"/>
        <v/>
      </c>
      <c r="HI138" s="460" t="str">
        <f t="shared" si="485"/>
        <v/>
      </c>
      <c r="HJ138" s="460" t="str">
        <f t="shared" si="485"/>
        <v/>
      </c>
      <c r="HK138" s="460" t="str">
        <f t="shared" si="485"/>
        <v/>
      </c>
      <c r="HL138" s="460" t="str">
        <f t="shared" si="485"/>
        <v/>
      </c>
      <c r="HM138" s="460" t="str">
        <f t="shared" si="485"/>
        <v/>
      </c>
      <c r="HN138" s="460" t="str">
        <f t="shared" si="485"/>
        <v/>
      </c>
      <c r="HO138" s="460" t="str">
        <f t="shared" si="485"/>
        <v/>
      </c>
      <c r="HP138" s="460" t="str">
        <f t="shared" si="485"/>
        <v/>
      </c>
      <c r="HQ138" s="460" t="str">
        <f t="shared" si="485"/>
        <v/>
      </c>
      <c r="HR138" s="460" t="str">
        <f t="shared" si="485"/>
        <v/>
      </c>
      <c r="HS138" s="460" t="str">
        <f t="shared" si="485"/>
        <v/>
      </c>
      <c r="HT138" s="460" t="str">
        <f t="shared" si="485"/>
        <v/>
      </c>
      <c r="HU138" s="460" t="str">
        <f t="shared" si="485"/>
        <v/>
      </c>
      <c r="HV138" s="460" t="str">
        <f t="shared" si="485"/>
        <v/>
      </c>
      <c r="HW138" s="460" t="str">
        <f t="shared" si="485"/>
        <v/>
      </c>
      <c r="HX138" s="460" t="str">
        <f t="shared" si="484"/>
        <v/>
      </c>
      <c r="HY138" s="460" t="str">
        <f t="shared" si="484"/>
        <v/>
      </c>
      <c r="HZ138" s="460" t="str">
        <f t="shared" si="484"/>
        <v/>
      </c>
      <c r="IA138" s="460" t="str">
        <f t="shared" si="484"/>
        <v/>
      </c>
      <c r="IB138" s="460" t="str">
        <f t="shared" si="484"/>
        <v/>
      </c>
      <c r="IC138" s="460" t="str">
        <f t="shared" si="484"/>
        <v/>
      </c>
      <c r="ID138" s="674" t="str">
        <f t="shared" si="484"/>
        <v/>
      </c>
      <c r="IE138" s="250"/>
    </row>
    <row r="139" spans="8:239">
      <c r="H139" s="51">
        <f t="shared" ca="1" si="315"/>
        <v>0</v>
      </c>
      <c r="I139" s="379">
        <f t="shared" si="316"/>
        <v>40391</v>
      </c>
      <c r="J139" s="377"/>
      <c r="K139" s="104" t="s">
        <v>268</v>
      </c>
      <c r="L139" s="392">
        <f t="shared" si="317"/>
        <v>1.6125000000000012</v>
      </c>
      <c r="M139" s="171"/>
      <c r="N139" s="382">
        <v>0</v>
      </c>
      <c r="O139" s="171">
        <f t="shared" si="272"/>
        <v>0</v>
      </c>
      <c r="P139" s="377"/>
      <c r="Q139" s="104" t="s">
        <v>268</v>
      </c>
      <c r="R139" s="377">
        <f t="shared" ca="1" si="417"/>
        <v>0.23067498725650162</v>
      </c>
      <c r="S139" s="832">
        <f t="shared" si="435"/>
        <v>0.3600000000000001</v>
      </c>
      <c r="T139" s="831">
        <f t="shared" si="418"/>
        <v>0.99999999909955939</v>
      </c>
      <c r="U139" s="545">
        <f t="shared" si="419"/>
        <v>0.99999999999999978</v>
      </c>
      <c r="V139" s="389">
        <v>0</v>
      </c>
      <c r="W139" s="434">
        <f t="shared" si="455"/>
        <v>0</v>
      </c>
      <c r="X139" s="415">
        <f t="shared" si="456"/>
        <v>1.6619318181818195</v>
      </c>
      <c r="Y139" s="322">
        <f t="shared" si="457"/>
        <v>-1.2668999999999999</v>
      </c>
      <c r="Z139" s="322">
        <f t="shared" ca="1" si="458"/>
        <v>0.39503181818181954</v>
      </c>
      <c r="AA139" s="429">
        <f t="shared" si="277"/>
        <v>1.2668999999999999</v>
      </c>
      <c r="AB139" s="433">
        <f t="shared" ca="1" si="278"/>
        <v>1.2668999999999999</v>
      </c>
      <c r="AC139" s="229">
        <v>40379</v>
      </c>
      <c r="AD139" s="229">
        <v>40375</v>
      </c>
      <c r="AE139" s="229">
        <v>40374</v>
      </c>
      <c r="AF139" s="229">
        <v>40370</v>
      </c>
      <c r="AG139" s="249" t="s">
        <v>499</v>
      </c>
      <c r="AH139" s="247" t="s">
        <v>499</v>
      </c>
      <c r="AI139" s="146">
        <v>22</v>
      </c>
      <c r="AJ139" s="41">
        <v>15</v>
      </c>
      <c r="AK139" s="41">
        <v>7</v>
      </c>
      <c r="AL139" s="293">
        <v>22</v>
      </c>
      <c r="AM139" s="41">
        <v>10</v>
      </c>
      <c r="AN139" s="147">
        <v>12</v>
      </c>
      <c r="AO139" s="374"/>
      <c r="AP139" s="153">
        <f t="shared" ca="1" si="318"/>
        <v>1</v>
      </c>
      <c r="AQ139" s="374"/>
      <c r="AR139" s="153">
        <f t="shared" ca="1" si="420"/>
        <v>1</v>
      </c>
      <c r="AS139" s="272">
        <f t="shared" si="459"/>
        <v>0</v>
      </c>
      <c r="AT139" s="157">
        <f t="shared" si="319"/>
        <v>0</v>
      </c>
      <c r="AU139" s="157">
        <f t="shared" si="280"/>
        <v>0</v>
      </c>
      <c r="AV139" s="271">
        <f t="shared" ca="1" si="430"/>
        <v>9.9999999999999995E-7</v>
      </c>
      <c r="AW139" s="158" t="str">
        <f t="shared" ca="1" si="460"/>
        <v/>
      </c>
      <c r="AX139" s="157">
        <f t="shared" ca="1" si="421"/>
        <v>4.5934157272683031E-4</v>
      </c>
      <c r="AY139" s="157">
        <f t="shared" ca="1" si="422"/>
        <v>1.6080742586659734E-4</v>
      </c>
      <c r="AZ139" s="157">
        <f t="shared" ca="1" si="423"/>
        <v>1.5121842857427273E-5</v>
      </c>
      <c r="BA139" s="157">
        <f t="shared" ca="1" si="424"/>
        <v>1.8902303571784091E-6</v>
      </c>
      <c r="BB139" s="157">
        <f t="shared" ca="1" si="425"/>
        <v>7.2355115423525151E-8</v>
      </c>
      <c r="BC139" s="157">
        <f t="shared" ca="1" si="426"/>
        <v>7.1459416063972696E-9</v>
      </c>
      <c r="BD139" s="151">
        <f t="shared" ca="1" si="461"/>
        <v>0</v>
      </c>
      <c r="BE139" s="152">
        <f t="shared" ca="1" si="462"/>
        <v>0</v>
      </c>
      <c r="BF139" s="40">
        <f t="shared" si="463"/>
        <v>2010</v>
      </c>
      <c r="BG139" s="144">
        <f t="shared" si="464"/>
        <v>8</v>
      </c>
      <c r="BH139" s="145">
        <f t="shared" ca="1" si="465"/>
        <v>3630</v>
      </c>
      <c r="BI139" s="313">
        <f t="shared" ca="1" si="439"/>
        <v>9.982203969883642</v>
      </c>
      <c r="BJ139" s="42">
        <f t="shared" ca="1" si="288"/>
        <v>10.038205463256798</v>
      </c>
      <c r="BK139" s="42">
        <f t="shared" ca="1" si="289"/>
        <v>10.040943314043931</v>
      </c>
      <c r="BL139" s="42">
        <f t="shared" ca="1" si="440"/>
        <v>10.064339493497604</v>
      </c>
      <c r="BM139" s="150" t="e">
        <f t="shared" ca="1" si="291"/>
        <v>#DIV/0!</v>
      </c>
      <c r="BN139" s="42" t="e">
        <f t="shared" ca="1" si="292"/>
        <v>#DIV/0!</v>
      </c>
      <c r="BO139" s="293">
        <f t="shared" si="441"/>
        <v>22</v>
      </c>
      <c r="BP139" s="41">
        <f t="shared" si="442"/>
        <v>15</v>
      </c>
      <c r="BQ139" s="41">
        <f t="shared" si="443"/>
        <v>7</v>
      </c>
      <c r="BR139" s="305" t="str">
        <f t="shared" ca="1" si="295"/>
        <v/>
      </c>
      <c r="BS139" s="305" t="str">
        <f t="shared" ca="1" si="444"/>
        <v/>
      </c>
      <c r="BT139" s="307" t="str">
        <f t="shared" ca="1" si="445"/>
        <v/>
      </c>
      <c r="BU139" s="161" t="str">
        <f t="shared" ca="1" si="298"/>
        <v/>
      </c>
      <c r="BV139" s="161" t="str">
        <f t="shared" ca="1" si="299"/>
        <v/>
      </c>
      <c r="BW139" s="308" t="str">
        <f t="shared" ca="1" si="300"/>
        <v/>
      </c>
      <c r="BX139" s="309" t="str">
        <f t="shared" ca="1" si="301"/>
        <v/>
      </c>
      <c r="BY139" s="308" t="str">
        <f t="shared" ca="1" si="446"/>
        <v/>
      </c>
      <c r="BZ139" s="309" t="str">
        <f t="shared" ca="1" si="447"/>
        <v/>
      </c>
      <c r="CA139" s="154" t="str">
        <f t="shared" ca="1" si="302"/>
        <v/>
      </c>
      <c r="CB139" s="154" t="str">
        <f t="shared" ca="1" si="303"/>
        <v/>
      </c>
      <c r="CC139" s="154" t="str">
        <f t="shared" ca="1" si="304"/>
        <v/>
      </c>
      <c r="CD139" s="154" t="str">
        <f t="shared" ca="1" si="305"/>
        <v/>
      </c>
      <c r="CE139" s="310">
        <v>1</v>
      </c>
      <c r="CF139" s="162">
        <f ca="1">IF(BD139,_xll.xCrudeAPO(BU139,BV139,CA139,CB139,S140,S141,BI139,BL139,BP139,BQ139,0,Strike1,AO139,CE139,0,BL139,IF(OptControl=4,0,1),0,1),0)</f>
        <v>0</v>
      </c>
      <c r="CG139" s="163">
        <f ca="1">IF(BD139,_xll.xCrudeAPO(BU139,BV139,CA139,CB139,S140,S141,BI139,BL139,BP139,BQ139,0,Strike1,AO139,CE139,0,BL139,IF(OptControl=4,0,1),1,1)+_xll.xCrudeAPO(BU139,BV139,CA139,CB139,S140,S141,BI139,BL139,BP139,BQ139,0,Strike1,AO139,CE139,0,BL139,IF(OptControl=4,0,1),1,2)+IF(OR(VolSkewFlag=2,ABS(BS139)&lt;0.0001),0,IF(BS139&gt;0,-1,1)*CH139*Strike1/BR139^2*BY139/10%),0)</f>
        <v>0</v>
      </c>
      <c r="CH139" s="163">
        <f ca="1">IF(BD139,(_xll.xCrudeAPO(BU139,BV139,CA139,CB139,S140,S141,BI139,BL139,BP139,BQ139,0,Strike1,AO139,CE139,0,BL139,IF(OptControl=4,0,1),3,1)+_xll.xCrudeAPO(BU139,BV139,CA139,CB139,S140,S141,BI139,BL139,BP139,BQ139,0,Strike1,AO139,CE139,0,BL139,IF(OptControl=4,0,1),3,2))/100,0)</f>
        <v>0</v>
      </c>
      <c r="CI139" s="163">
        <f ca="1">IF(BD139,_xll.xCrudeAPO(BU139,BV139,CA139,CB139,S140,S141,BI139-DaysForThetaCalculation/365.25,BL139-DaysForThetaCalculation/365.25,BP139,BQ139,0,Strike1,AO139,CE139,0,BL139,IF(OptControl=4,0,1),0,1)-_xll.xCrudeAPO(BU139,BV139,CA139,CB139,S140,S141,BI139,BL139,BP139,BQ139,0,Strike1,AO139,CE139,0,BL139,IF(OptControl=4,0,1),0,1),0)</f>
        <v>0</v>
      </c>
      <c r="CJ139" s="311">
        <f ca="1">IF(BD139,_xll.xCrudeAPO(BU139,BV139,CC139,CD139,S140,S141,BI139,BL139,BP139,BQ139,0,Strike2,AO139,CE139,0,BL139,IF(OptControl=3,1,0),0,1),0)</f>
        <v>0</v>
      </c>
      <c r="CK139" s="163">
        <f ca="1">IF(BD139,_xll.xCrudeAPO(BU139,BV139,CC139,CD139,S140,S141,BI139,BL139,BP139,BQ139,0,Strike2,AO139,CE139,0,BL139,IF(OptControl=3,1,0),1,1)+_xll.xCrudeAPO(BU139,BV139,CC139,CD139,S140,S141,BI139,BL139,BP139,BQ139,0,Strike2,AO139,CE139,0,BL139,IF(OptControl=3,1,0),1,2)+IF(OR(VolSkewFlag=2,ABS(BT139)&lt;0.0001),0,IF(BT139&gt;0,-1,1)*CL139*Strike2/BR139^2*BZ139/10%),0)</f>
        <v>0</v>
      </c>
      <c r="CL139" s="163">
        <f ca="1">IF(BD139,(_xll.xCrudeAPO(BU139,BV139,CC139,CD139,S140,S141,BI139,BL139,BP139,BQ139,0,Strike2,AO139,CE139,0,BL139,IF(OptControl=3,1,0),3,1)+_xll.xCrudeAPO(BU139,BV139,CC139,CD139,S140,S141,BI139,BL139,BP139,BQ139,0,Strike2,AO139,CE139,0,BL139,IF(OptControl=3,1,0),3,2))/100,0)</f>
        <v>0</v>
      </c>
      <c r="CM139" s="164">
        <f ca="1">IF(BD139,_xll.xCrudeAPO(BU139,BV139,CC139,CD139,S140,S141,BI139-DaysForThetaCalculation/365.25,BL139-DaysForThetaCalculation/365.25,BP139,BQ139,0,Strike2,AO139,CE139,0,BL139,IF(OptControl=3,1,0),0,1)-_xll.xCrudeAPO(BU139,BV139,CC139,CD139,S140,S141,BI139,BL139,BP139,BQ139,0,Strike2,AO139,CE139,0,BL139,IF(OptControl=3,1,0),0,1),0)</f>
        <v>0</v>
      </c>
      <c r="CN139" s="53"/>
      <c r="CO139" s="796" t="str">
        <f t="shared" ca="1" si="323"/>
        <v/>
      </c>
      <c r="CP139" s="800" t="str">
        <f t="shared" ca="1" si="324"/>
        <v/>
      </c>
      <c r="CQ139" s="797" t="str">
        <f t="shared" ca="1" si="325"/>
        <v/>
      </c>
      <c r="CR139" s="797" t="str">
        <f t="shared" ca="1" si="326"/>
        <v/>
      </c>
      <c r="CS139" s="797" t="str">
        <f t="shared" ca="1" si="327"/>
        <v/>
      </c>
      <c r="CT139" s="797" t="str">
        <f t="shared" ca="1" si="328"/>
        <v/>
      </c>
      <c r="CU139" s="798" t="str">
        <f t="shared" ca="1" si="329"/>
        <v/>
      </c>
      <c r="CV139" s="799" t="str">
        <f t="shared" ca="1" si="330"/>
        <v/>
      </c>
      <c r="CW139" s="799" t="str">
        <f t="shared" ca="1" si="331"/>
        <v/>
      </c>
      <c r="CX139" s="163">
        <f ca="1">IF(BD139,_xll.EURO(CP139,Strike1,AO139,AO139,CV139,CO139,IF(OptControl=4,0,1),0),0)</f>
        <v>0</v>
      </c>
      <c r="CY139" s="163">
        <f ca="1">IF(BD139,_xll.EURO(CP139,Strike1,AO139,AO139,CV139,CO139,IF(OptControl=4,0,1),1)+IF(OR(VolSkewFlag=2,ABS(CQ139)&lt;0.0001),0,IF(CQ139&gt;0,-1,1)*CZ139*100*Strike1/CP139^2*CS139/10%),0)</f>
        <v>0</v>
      </c>
      <c r="CZ139" s="163">
        <f ca="1">IF(BD139,_xll.EURO(CP139,Strike1,AO139,AO139,CV139,CO139,IF(OptControl=4,0,1),3)/100,0)</f>
        <v>0</v>
      </c>
      <c r="DA139" s="163">
        <f ca="1">IF(BD139,_xll.EURO(CP139,Strike1,AO139,AO139,CV139,CO139,IF(OptControl=4,0,1),0)-_xll.EURO(CP139,Strike1,AO139,AO139,CV139,CO139-1,IF(OptControl=4,0,1),0),0)</f>
        <v>0</v>
      </c>
      <c r="DB139" s="163">
        <f ca="1">IF(BD139,_xll.EURO(CP139,Strike2,AO139,AO139,CW139,CO139,IF(OptControl=3,1,0),0),0)</f>
        <v>0</v>
      </c>
      <c r="DC139" s="163">
        <f ca="1">IF(BD139,_xll.EURO(CP139,Strike2,AO139,AO139,CW139,CO139,IF(OptControl=3,1,0),1)+IF(OR(VolSkewFlag=2,ABS(CR139)&lt;0.0001),0,IF(CR139&gt;0,-1,1)*DD139*100*Strike2/CP139^2*CT139/10%),0)</f>
        <v>0</v>
      </c>
      <c r="DD139" s="163">
        <f ca="1">IF(BD139,_xll.EURO(CP139,Strike2,AO139,AO139,CW139,CO139,IF(OptControl=3,1,0),3)/100,0)</f>
        <v>0</v>
      </c>
      <c r="DE139" s="164">
        <f ca="1">IF(BD139,_xll.EURO(CP139,Strike2,AO139,AO139,CW139,CO139,IF(OptControl=3,1,0),0)-_xll.EURO(CP139,Strike2,AO139,AO139,CW139,CO139-1,IF(OptControl=3,1,0),0),0)</f>
        <v>0</v>
      </c>
      <c r="DG139" s="667">
        <f t="shared" ca="1" si="332"/>
        <v>40179</v>
      </c>
      <c r="DH139" s="475">
        <v>20.11</v>
      </c>
      <c r="DI139" s="665">
        <v>20.177499999999998</v>
      </c>
      <c r="DJ139" s="666">
        <f t="shared" ca="1" si="466"/>
        <v>40179</v>
      </c>
      <c r="DK139" s="475">
        <v>18.898109688953152</v>
      </c>
      <c r="DL139" s="665">
        <v>19.009000000000029</v>
      </c>
      <c r="DM139" s="667">
        <f t="shared" ca="1" si="467"/>
        <v>40179</v>
      </c>
      <c r="DN139" s="668">
        <f t="shared" si="468"/>
        <v>18.948109688953153</v>
      </c>
      <c r="DO139" s="667">
        <f t="shared" ca="1" si="333"/>
        <v>40179</v>
      </c>
      <c r="DP139" s="579">
        <f t="shared" si="334"/>
        <v>19.009000000000029</v>
      </c>
      <c r="DQ139" s="821">
        <v>0</v>
      </c>
      <c r="DR139" s="666">
        <f t="shared" ca="1" si="469"/>
        <v>40179</v>
      </c>
      <c r="DS139" s="669">
        <v>0.15319999999999903</v>
      </c>
      <c r="DT139" s="606">
        <v>0.152389999999999</v>
      </c>
      <c r="DU139" s="666">
        <f t="shared" ca="1" si="470"/>
        <v>40179</v>
      </c>
      <c r="DV139" s="669">
        <v>0.15319999999999903</v>
      </c>
      <c r="DW139" s="606">
        <v>0.152389999999999</v>
      </c>
      <c r="DX139" s="667">
        <f t="shared" ca="1" si="471"/>
        <v>40179</v>
      </c>
      <c r="DY139" s="606">
        <v>0.35</v>
      </c>
      <c r="DZ139" s="667">
        <f t="shared" ca="1" si="335"/>
        <v>40179</v>
      </c>
      <c r="EA139" s="606">
        <f t="shared" si="336"/>
        <v>0.152389999999999</v>
      </c>
      <c r="EB139" s="1"/>
      <c r="EC139" s="118" t="str">
        <f t="shared" ca="1" si="472"/>
        <v/>
      </c>
      <c r="ED139" s="119" t="str">
        <f t="shared" ca="1" si="313"/>
        <v/>
      </c>
      <c r="EE139" s="112" t="str">
        <f t="shared" ca="1" si="314"/>
        <v/>
      </c>
      <c r="EF139" s="120">
        <f ca="1">IF(BD139,_xll.xASN(BR139,Strike1,AO139,ED139,0,BO139,0,BI139,BL139,IF(OptControl=4,0,1),0),0)</f>
        <v>0</v>
      </c>
      <c r="EG139" s="111">
        <f ca="1">IF(BD139,_xll.xASN(BR139,Strike2,AO139,EE139,0,BO139,0,BI139,BL139,IF(OptControl=3,1,0),0),0)</f>
        <v>0</v>
      </c>
      <c r="EL139" s="55"/>
      <c r="EM139" s="1"/>
      <c r="EN139" s="106"/>
      <c r="EO139" s="106"/>
      <c r="EP139" s="1"/>
      <c r="EQ139" s="683" t="s">
        <v>352</v>
      </c>
      <c r="ES139" s="455"/>
      <c r="ET139" s="36"/>
      <c r="EU139" s="107"/>
      <c r="EV139" s="475"/>
      <c r="EW139" s="456"/>
      <c r="EX139" s="456"/>
      <c r="EY139" s="250"/>
      <c r="EZ139" s="250"/>
      <c r="FA139" s="250"/>
      <c r="FB139" s="250"/>
      <c r="FC139" s="250"/>
      <c r="FD139" s="250"/>
      <c r="FE139" s="250"/>
      <c r="FF139" s="250"/>
      <c r="FG139" s="250"/>
      <c r="FH139" s="250"/>
      <c r="FI139" s="250"/>
      <c r="FJ139" s="673">
        <v>45</v>
      </c>
      <c r="FK139" s="460">
        <f t="shared" ca="1" si="479"/>
        <v>0</v>
      </c>
      <c r="FL139" s="460">
        <f t="shared" ca="1" si="485"/>
        <v>0.16627725100617455</v>
      </c>
      <c r="FM139" s="460">
        <f t="shared" ca="1" si="485"/>
        <v>0.17067959252182263</v>
      </c>
      <c r="FN139" s="460">
        <f t="shared" ca="1" si="485"/>
        <v>0.16742783943411185</v>
      </c>
      <c r="FO139" s="460">
        <f t="shared" ca="1" si="485"/>
        <v>0.16500087519738507</v>
      </c>
      <c r="FP139" s="460">
        <f t="shared" ca="1" si="485"/>
        <v>0.16319458153258154</v>
      </c>
      <c r="FQ139" s="460">
        <f t="shared" ca="1" si="485"/>
        <v>0.16185621613850273</v>
      </c>
      <c r="FR139" s="460">
        <f t="shared" ca="1" si="485"/>
        <v>0.16087162906353911</v>
      </c>
      <c r="FS139" s="460">
        <f t="shared" ca="1" si="485"/>
        <v>0.16015568534158289</v>
      </c>
      <c r="FT139" s="460">
        <f t="shared" ca="1" si="485"/>
        <v>0.15964509418567169</v>
      </c>
      <c r="FU139" s="460">
        <f t="shared" ca="1" si="485"/>
        <v>0.15929304530597443</v>
      </c>
      <c r="FV139" s="460">
        <f t="shared" ca="1" si="485"/>
        <v>0.15906520319480794</v>
      </c>
      <c r="FW139" s="460">
        <f t="shared" ca="1" si="485"/>
        <v>0.15893672301641809</v>
      </c>
      <c r="FX139" s="460">
        <f t="shared" ca="1" si="485"/>
        <v>0.15889003644486038</v>
      </c>
      <c r="FY139" s="460">
        <f t="shared" ca="1" si="485"/>
        <v>0.15891321945926559</v>
      </c>
      <c r="FZ139" s="460">
        <f t="shared" ca="1" si="485"/>
        <v>0.15899880202756217</v>
      </c>
      <c r="GA139" s="460">
        <f t="shared" ca="1" si="485"/>
        <v>0.15914291576984896</v>
      </c>
      <c r="GB139" s="460">
        <f t="shared" ca="1" si="485"/>
        <v>0.15934470309269816</v>
      </c>
      <c r="GC139" s="460">
        <f t="shared" ca="1" si="485"/>
        <v>0.15960593219698879</v>
      </c>
      <c r="GD139" s="460">
        <f t="shared" ca="1" si="485"/>
        <v>0.15993077851542528</v>
      </c>
      <c r="GE139" s="460">
        <f t="shared" ca="1" si="485"/>
        <v>0.16032574586800558</v>
      </c>
      <c r="GF139" s="460">
        <f t="shared" ca="1" si="485"/>
        <v>0.1607997109897403</v>
      </c>
      <c r="GG139" s="460">
        <f t="shared" ca="1" si="485"/>
        <v>0.16136408395110763</v>
      </c>
      <c r="GH139" s="460">
        <f t="shared" ca="1" si="485"/>
        <v>0.16203308511376818</v>
      </c>
      <c r="GI139" s="460">
        <f t="shared" ca="1" si="485"/>
        <v>0.16282414736066528</v>
      </c>
      <c r="GJ139" s="460">
        <f t="shared" ca="1" si="485"/>
        <v>0.16375846116973169</v>
      </c>
      <c r="GK139" s="460">
        <f t="shared" ca="1" si="485"/>
        <v>0.16486169055496744</v>
      </c>
      <c r="GL139" s="460">
        <f t="shared" ca="1" si="485"/>
        <v>0.16616490112212923</v>
      </c>
      <c r="GM139" s="460">
        <f t="shared" ca="1" si="485"/>
        <v>0.16770575905081261</v>
      </c>
      <c r="GN139" s="460">
        <f t="shared" ca="1" si="485"/>
        <v>0.16953008398358896</v>
      </c>
      <c r="GO139" s="460">
        <f t="shared" ca="1" si="485"/>
        <v>0.17169387294405025</v>
      </c>
      <c r="GP139" s="460">
        <f t="shared" ca="1" si="485"/>
        <v>0.17426596165931121</v>
      </c>
      <c r="GQ139" s="460">
        <f t="shared" ca="1" si="485"/>
        <v>0.17733156204347178</v>
      </c>
      <c r="GR139" s="460">
        <f t="shared" ca="1" si="485"/>
        <v>0.18099702285642663</v>
      </c>
      <c r="GS139" s="460">
        <f t="shared" ca="1" si="485"/>
        <v>0.18539632537982914</v>
      </c>
      <c r="GT139" s="460">
        <f t="shared" ca="1" si="485"/>
        <v>0.19070008164277671</v>
      </c>
      <c r="GU139" s="460">
        <f t="shared" ca="1" si="485"/>
        <v>0.19712820740211529</v>
      </c>
      <c r="GV139" s="460">
        <f t="shared" ca="1" si="485"/>
        <v>0.204968096636851</v>
      </c>
      <c r="GW139" s="460">
        <f t="shared" ca="1" si="485"/>
        <v>0.21460120860301099</v>
      </c>
      <c r="GX139" s="460">
        <f t="shared" ca="1" si="485"/>
        <v>0.22654282248884061</v>
      </c>
      <c r="GY139" s="460">
        <f t="shared" ca="1" si="485"/>
        <v>0.24150294346500117</v>
      </c>
      <c r="GZ139" s="460">
        <f t="shared" ca="1" si="485"/>
        <v>0.26048218424429925</v>
      </c>
      <c r="HA139" s="460">
        <f t="shared" ca="1" si="485"/>
        <v>0.28492740368700736</v>
      </c>
      <c r="HB139" s="460">
        <f t="shared" ca="1" si="485"/>
        <v>0.31699331060707586</v>
      </c>
      <c r="HC139" s="460">
        <f t="shared" ca="1" si="485"/>
        <v>0.36000016970487458</v>
      </c>
      <c r="HD139" s="460" t="str">
        <f t="shared" si="485"/>
        <v/>
      </c>
      <c r="HE139" s="460" t="str">
        <f t="shared" si="485"/>
        <v/>
      </c>
      <c r="HF139" s="460" t="str">
        <f t="shared" si="485"/>
        <v/>
      </c>
      <c r="HG139" s="460" t="str">
        <f t="shared" si="485"/>
        <v/>
      </c>
      <c r="HH139" s="460" t="str">
        <f t="shared" si="485"/>
        <v/>
      </c>
      <c r="HI139" s="460" t="str">
        <f t="shared" si="485"/>
        <v/>
      </c>
      <c r="HJ139" s="460" t="str">
        <f t="shared" si="485"/>
        <v/>
      </c>
      <c r="HK139" s="460" t="str">
        <f t="shared" si="485"/>
        <v/>
      </c>
      <c r="HL139" s="460" t="str">
        <f t="shared" si="485"/>
        <v/>
      </c>
      <c r="HM139" s="460" t="str">
        <f t="shared" si="485"/>
        <v/>
      </c>
      <c r="HN139" s="460" t="str">
        <f t="shared" si="485"/>
        <v/>
      </c>
      <c r="HO139" s="460" t="str">
        <f t="shared" si="485"/>
        <v/>
      </c>
      <c r="HP139" s="460" t="str">
        <f t="shared" si="485"/>
        <v/>
      </c>
      <c r="HQ139" s="460" t="str">
        <f t="shared" si="485"/>
        <v/>
      </c>
      <c r="HR139" s="460" t="str">
        <f t="shared" si="485"/>
        <v/>
      </c>
      <c r="HS139" s="460" t="str">
        <f t="shared" si="485"/>
        <v/>
      </c>
      <c r="HT139" s="460" t="str">
        <f t="shared" si="485"/>
        <v/>
      </c>
      <c r="HU139" s="460" t="str">
        <f t="shared" si="485"/>
        <v/>
      </c>
      <c r="HV139" s="460" t="str">
        <f t="shared" si="485"/>
        <v/>
      </c>
      <c r="HW139" s="460" t="str">
        <f t="shared" si="485"/>
        <v/>
      </c>
      <c r="HX139" s="460" t="str">
        <f t="shared" si="484"/>
        <v/>
      </c>
      <c r="HY139" s="460" t="str">
        <f t="shared" si="484"/>
        <v/>
      </c>
      <c r="HZ139" s="460" t="str">
        <f t="shared" si="484"/>
        <v/>
      </c>
      <c r="IA139" s="460" t="str">
        <f t="shared" si="484"/>
        <v/>
      </c>
      <c r="IB139" s="460" t="str">
        <f t="shared" si="484"/>
        <v/>
      </c>
      <c r="IC139" s="460" t="str">
        <f t="shared" si="484"/>
        <v/>
      </c>
      <c r="ID139" s="674" t="str">
        <f t="shared" si="484"/>
        <v/>
      </c>
      <c r="IE139" s="250"/>
    </row>
    <row r="140" spans="8:239">
      <c r="H140" s="51">
        <f t="shared" ca="1" si="315"/>
        <v>0</v>
      </c>
      <c r="I140" s="379">
        <f t="shared" si="316"/>
        <v>40422</v>
      </c>
      <c r="J140" s="377"/>
      <c r="K140" s="104" t="s">
        <v>268</v>
      </c>
      <c r="L140" s="392">
        <f t="shared" si="317"/>
        <v>1.6500000000000012</v>
      </c>
      <c r="M140" s="171"/>
      <c r="N140" s="382">
        <v>0</v>
      </c>
      <c r="O140" s="171">
        <f t="shared" si="272"/>
        <v>0</v>
      </c>
      <c r="P140" s="377"/>
      <c r="Q140" s="104" t="s">
        <v>268</v>
      </c>
      <c r="R140" s="377">
        <f t="shared" ca="1" si="417"/>
        <v>0.46637084395291772</v>
      </c>
      <c r="S140" s="832">
        <f t="shared" si="435"/>
        <v>0.3600000000000001</v>
      </c>
      <c r="T140" s="831">
        <f t="shared" si="418"/>
        <v>0.99999999923012328</v>
      </c>
      <c r="U140" s="545">
        <f t="shared" si="419"/>
        <v>0.99999999999999978</v>
      </c>
      <c r="V140" s="389">
        <v>0</v>
      </c>
      <c r="W140" s="434">
        <f t="shared" si="455"/>
        <v>0</v>
      </c>
      <c r="X140" s="415">
        <f t="shared" si="456"/>
        <v>1.7011363636363648</v>
      </c>
      <c r="Y140" s="322">
        <f t="shared" si="457"/>
        <v>-1.2668999999999999</v>
      </c>
      <c r="Z140" s="322">
        <f t="shared" ca="1" si="458"/>
        <v>0.43423636363636486</v>
      </c>
      <c r="AA140" s="429">
        <f t="shared" si="277"/>
        <v>1.2668999999999999</v>
      </c>
      <c r="AB140" s="433">
        <f t="shared" ca="1" si="278"/>
        <v>1.2668999999999999</v>
      </c>
      <c r="AC140" s="229">
        <v>40410</v>
      </c>
      <c r="AD140" s="229">
        <v>40406</v>
      </c>
      <c r="AE140" s="229">
        <v>40405</v>
      </c>
      <c r="AF140" s="229">
        <v>40401</v>
      </c>
      <c r="AG140" s="249" t="s">
        <v>499</v>
      </c>
      <c r="AH140" s="247" t="s">
        <v>499</v>
      </c>
      <c r="AI140" s="146">
        <v>22</v>
      </c>
      <c r="AJ140" s="41">
        <v>14</v>
      </c>
      <c r="AK140" s="41">
        <v>8</v>
      </c>
      <c r="AL140" s="293">
        <v>22</v>
      </c>
      <c r="AM140" s="41">
        <v>10</v>
      </c>
      <c r="AN140" s="147">
        <v>12</v>
      </c>
      <c r="AO140" s="374"/>
      <c r="AP140" s="153">
        <f t="shared" ca="1" si="318"/>
        <v>1</v>
      </c>
      <c r="AQ140" s="374"/>
      <c r="AR140" s="153">
        <f t="shared" ca="1" si="420"/>
        <v>1</v>
      </c>
      <c r="AS140" s="272">
        <f t="shared" si="459"/>
        <v>0</v>
      </c>
      <c r="AT140" s="157">
        <f t="shared" si="319"/>
        <v>0</v>
      </c>
      <c r="AU140" s="157">
        <f t="shared" si="280"/>
        <v>0</v>
      </c>
      <c r="AV140" s="271">
        <f t="shared" ca="1" si="430"/>
        <v>9.9999999999999995E-7</v>
      </c>
      <c r="AW140" s="158" t="str">
        <f t="shared" ca="1" si="460"/>
        <v/>
      </c>
      <c r="AX140" s="157">
        <f t="shared" ca="1" si="421"/>
        <v>4.4408027314276157E-4</v>
      </c>
      <c r="AY140" s="157">
        <f t="shared" ca="1" si="422"/>
        <v>1.5443117870036929E-4</v>
      </c>
      <c r="AZ140" s="157">
        <f t="shared" ca="1" si="423"/>
        <v>1.4273119033534743E-5</v>
      </c>
      <c r="BA140" s="157">
        <f t="shared" ca="1" si="424"/>
        <v>1.7841398791918429E-6</v>
      </c>
      <c r="BB140" s="157">
        <f t="shared" ca="1" si="425"/>
        <v>6.6025110406365207E-8</v>
      </c>
      <c r="BC140" s="157">
        <f t="shared" ca="1" si="426"/>
        <v>6.3663102170450353E-9</v>
      </c>
      <c r="BD140" s="151">
        <f t="shared" ca="1" si="461"/>
        <v>0</v>
      </c>
      <c r="BE140" s="152">
        <f t="shared" ca="1" si="462"/>
        <v>0</v>
      </c>
      <c r="BF140" s="40">
        <f t="shared" si="463"/>
        <v>2010</v>
      </c>
      <c r="BG140" s="144">
        <f t="shared" si="464"/>
        <v>9</v>
      </c>
      <c r="BH140" s="145">
        <f t="shared" ca="1" si="465"/>
        <v>3661</v>
      </c>
      <c r="BI140" s="313">
        <f t="shared" ca="1" si="439"/>
        <v>10.067077344284737</v>
      </c>
      <c r="BJ140" s="42">
        <f t="shared" ca="1" si="288"/>
        <v>10.117603136083629</v>
      </c>
      <c r="BK140" s="42">
        <f t="shared" ca="1" si="289"/>
        <v>10.120340986870762</v>
      </c>
      <c r="BL140" s="42">
        <f t="shared" ca="1" si="440"/>
        <v>10.146475017111568</v>
      </c>
      <c r="BM140" s="150" t="e">
        <f t="shared" ca="1" si="291"/>
        <v>#DIV/0!</v>
      </c>
      <c r="BN140" s="42" t="e">
        <f t="shared" ca="1" si="292"/>
        <v>#DIV/0!</v>
      </c>
      <c r="BO140" s="293">
        <f t="shared" si="441"/>
        <v>22</v>
      </c>
      <c r="BP140" s="41">
        <f t="shared" si="442"/>
        <v>14</v>
      </c>
      <c r="BQ140" s="41">
        <f t="shared" si="443"/>
        <v>8</v>
      </c>
      <c r="BR140" s="305" t="str">
        <f t="shared" ca="1" si="295"/>
        <v/>
      </c>
      <c r="BS140" s="305" t="str">
        <f t="shared" ca="1" si="444"/>
        <v/>
      </c>
      <c r="BT140" s="307" t="str">
        <f t="shared" ca="1" si="445"/>
        <v/>
      </c>
      <c r="BU140" s="161" t="str">
        <f t="shared" ca="1" si="298"/>
        <v/>
      </c>
      <c r="BV140" s="161" t="str">
        <f t="shared" ca="1" si="299"/>
        <v/>
      </c>
      <c r="BW140" s="308" t="str">
        <f t="shared" ca="1" si="300"/>
        <v/>
      </c>
      <c r="BX140" s="309" t="str">
        <f t="shared" ca="1" si="301"/>
        <v/>
      </c>
      <c r="BY140" s="308" t="str">
        <f t="shared" ca="1" si="446"/>
        <v/>
      </c>
      <c r="BZ140" s="309" t="str">
        <f t="shared" ca="1" si="447"/>
        <v/>
      </c>
      <c r="CA140" s="154" t="str">
        <f t="shared" ca="1" si="302"/>
        <v/>
      </c>
      <c r="CB140" s="154" t="str">
        <f t="shared" ca="1" si="303"/>
        <v/>
      </c>
      <c r="CC140" s="154" t="str">
        <f t="shared" ca="1" si="304"/>
        <v/>
      </c>
      <c r="CD140" s="154" t="str">
        <f t="shared" ca="1" si="305"/>
        <v/>
      </c>
      <c r="CE140" s="310">
        <v>1</v>
      </c>
      <c r="CF140" s="162">
        <f ca="1">IF(BD140,_xll.xCrudeAPO(BU140,BV140,CA140,CB140,S141,S142,BI140,BL140,BP140,BQ140,0,Strike1,AO140,CE140,0,BL140,IF(OptControl=4,0,1),0,1),0)</f>
        <v>0</v>
      </c>
      <c r="CG140" s="163">
        <f ca="1">IF(BD140,_xll.xCrudeAPO(BU140,BV140,CA140,CB140,S141,S142,BI140,BL140,BP140,BQ140,0,Strike1,AO140,CE140,0,BL140,IF(OptControl=4,0,1),1,1)+_xll.xCrudeAPO(BU140,BV140,CA140,CB140,S141,S142,BI140,BL140,BP140,BQ140,0,Strike1,AO140,CE140,0,BL140,IF(OptControl=4,0,1),1,2)+IF(OR(VolSkewFlag=2,ABS(BS140)&lt;0.0001),0,IF(BS140&gt;0,-1,1)*CH140*Strike1/BR140^2*BY140/10%),0)</f>
        <v>0</v>
      </c>
      <c r="CH140" s="163">
        <f ca="1">IF(BD140,(_xll.xCrudeAPO(BU140,BV140,CA140,CB140,S141,S142,BI140,BL140,BP140,BQ140,0,Strike1,AO140,CE140,0,BL140,IF(OptControl=4,0,1),3,1)+_xll.xCrudeAPO(BU140,BV140,CA140,CB140,S141,S142,BI140,BL140,BP140,BQ140,0,Strike1,AO140,CE140,0,BL140,IF(OptControl=4,0,1),3,2))/100,0)</f>
        <v>0</v>
      </c>
      <c r="CI140" s="163">
        <f ca="1">IF(BD140,_xll.xCrudeAPO(BU140,BV140,CA140,CB140,S141,S142,BI140-DaysForThetaCalculation/365.25,BL140-DaysForThetaCalculation/365.25,BP140,BQ140,0,Strike1,AO140,CE140,0,BL140,IF(OptControl=4,0,1),0,1)-_xll.xCrudeAPO(BU140,BV140,CA140,CB140,S141,S142,BI140,BL140,BP140,BQ140,0,Strike1,AO140,CE140,0,BL140,IF(OptControl=4,0,1),0,1),0)</f>
        <v>0</v>
      </c>
      <c r="CJ140" s="311">
        <f ca="1">IF(BD140,_xll.xCrudeAPO(BU140,BV140,CC140,CD140,S141,S142,BI140,BL140,BP140,BQ140,0,Strike2,AO140,CE140,0,BL140,IF(OptControl=3,1,0),0,1),0)</f>
        <v>0</v>
      </c>
      <c r="CK140" s="163">
        <f ca="1">IF(BD140,_xll.xCrudeAPO(BU140,BV140,CC140,CD140,S141,S142,BI140,BL140,BP140,BQ140,0,Strike2,AO140,CE140,0,BL140,IF(OptControl=3,1,0),1,1)+_xll.xCrudeAPO(BU140,BV140,CC140,CD140,S141,S142,BI140,BL140,BP140,BQ140,0,Strike2,AO140,CE140,0,BL140,IF(OptControl=3,1,0),1,2)+IF(OR(VolSkewFlag=2,ABS(BT140)&lt;0.0001),0,IF(BT140&gt;0,-1,1)*CL140*Strike2/BR140^2*BZ140/10%),0)</f>
        <v>0</v>
      </c>
      <c r="CL140" s="163">
        <f ca="1">IF(BD140,(_xll.xCrudeAPO(BU140,BV140,CC140,CD140,S141,S142,BI140,BL140,BP140,BQ140,0,Strike2,AO140,CE140,0,BL140,IF(OptControl=3,1,0),3,1)+_xll.xCrudeAPO(BU140,BV140,CC140,CD140,S141,S142,BI140,BL140,BP140,BQ140,0,Strike2,AO140,CE140,0,BL140,IF(OptControl=3,1,0),3,2))/100,0)</f>
        <v>0</v>
      </c>
      <c r="CM140" s="164">
        <f ca="1">IF(BD140,_xll.xCrudeAPO(BU140,BV140,CC140,CD140,S141,S142,BI140-DaysForThetaCalculation/365.25,BL140-DaysForThetaCalculation/365.25,BP140,BQ140,0,Strike2,AO140,CE140,0,BL140,IF(OptControl=3,1,0),0,1)-_xll.xCrudeAPO(BU140,BV140,CC140,CD140,S141,S142,BI140,BL140,BP140,BQ140,0,Strike2,AO140,CE140,0,BL140,IF(OptControl=3,1,0),0,1),0)</f>
        <v>0</v>
      </c>
      <c r="CN140" s="53"/>
      <c r="CO140" s="796" t="str">
        <f t="shared" ca="1" si="323"/>
        <v/>
      </c>
      <c r="CP140" s="800" t="str">
        <f t="shared" ca="1" si="324"/>
        <v/>
      </c>
      <c r="CQ140" s="797" t="str">
        <f t="shared" ca="1" si="325"/>
        <v/>
      </c>
      <c r="CR140" s="797" t="str">
        <f t="shared" ca="1" si="326"/>
        <v/>
      </c>
      <c r="CS140" s="797" t="str">
        <f t="shared" ca="1" si="327"/>
        <v/>
      </c>
      <c r="CT140" s="797" t="str">
        <f t="shared" ca="1" si="328"/>
        <v/>
      </c>
      <c r="CU140" s="798" t="str">
        <f t="shared" ca="1" si="329"/>
        <v/>
      </c>
      <c r="CV140" s="799" t="str">
        <f t="shared" ca="1" si="330"/>
        <v/>
      </c>
      <c r="CW140" s="799" t="str">
        <f t="shared" ca="1" si="331"/>
        <v/>
      </c>
      <c r="CX140" s="163">
        <f ca="1">IF(BD140,_xll.EURO(CP140,Strike1,AO140,AO140,CV140,CO140,IF(OptControl=4,0,1),0),0)</f>
        <v>0</v>
      </c>
      <c r="CY140" s="163">
        <f ca="1">IF(BD140,_xll.EURO(CP140,Strike1,AO140,AO140,CV140,CO140,IF(OptControl=4,0,1),1)+IF(OR(VolSkewFlag=2,ABS(CQ140)&lt;0.0001),0,IF(CQ140&gt;0,-1,1)*CZ140*100*Strike1/CP140^2*CS140/10%),0)</f>
        <v>0</v>
      </c>
      <c r="CZ140" s="163">
        <f ca="1">IF(BD140,_xll.EURO(CP140,Strike1,AO140,AO140,CV140,CO140,IF(OptControl=4,0,1),3)/100,0)</f>
        <v>0</v>
      </c>
      <c r="DA140" s="163">
        <f ca="1">IF(BD140,_xll.EURO(CP140,Strike1,AO140,AO140,CV140,CO140,IF(OptControl=4,0,1),0)-_xll.EURO(CP140,Strike1,AO140,AO140,CV140,CO140-1,IF(OptControl=4,0,1),0),0)</f>
        <v>0</v>
      </c>
      <c r="DB140" s="163">
        <f ca="1">IF(BD140,_xll.EURO(CP140,Strike2,AO140,AO140,CW140,CO140,IF(OptControl=3,1,0),0),0)</f>
        <v>0</v>
      </c>
      <c r="DC140" s="163">
        <f ca="1">IF(BD140,_xll.EURO(CP140,Strike2,AO140,AO140,CW140,CO140,IF(OptControl=3,1,0),1)+IF(OR(VolSkewFlag=2,ABS(CR140)&lt;0.0001),0,IF(CR140&gt;0,-1,1)*DD140*100*Strike2/CP140^2*CT140/10%),0)</f>
        <v>0</v>
      </c>
      <c r="DD140" s="163">
        <f ca="1">IF(BD140,_xll.EURO(CP140,Strike2,AO140,AO140,CW140,CO140,IF(OptControl=3,1,0),3)/100,0)</f>
        <v>0</v>
      </c>
      <c r="DE140" s="164">
        <f ca="1">IF(BD140,_xll.EURO(CP140,Strike2,AO140,AO140,CW140,CO140,IF(OptControl=3,1,0),0)-_xll.EURO(CP140,Strike2,AO140,AO140,CW140,CO140-1,IF(OptControl=3,1,0),0),0)</f>
        <v>0</v>
      </c>
      <c r="DG140" s="667">
        <f t="shared" ca="1" si="332"/>
        <v>40210</v>
      </c>
      <c r="DH140" s="475">
        <v>20.16</v>
      </c>
      <c r="DI140" s="665">
        <v>20.2225</v>
      </c>
      <c r="DJ140" s="666">
        <f t="shared" ca="1" si="466"/>
        <v>40210</v>
      </c>
      <c r="DK140" s="475">
        <v>18.965891925872423</v>
      </c>
      <c r="DL140" s="665">
        <v>19.05400000000003</v>
      </c>
      <c r="DM140" s="667">
        <f t="shared" ca="1" si="467"/>
        <v>40210</v>
      </c>
      <c r="DN140" s="668">
        <f t="shared" si="468"/>
        <v>19.015891925872424</v>
      </c>
      <c r="DO140" s="667">
        <f t="shared" ca="1" si="333"/>
        <v>40210</v>
      </c>
      <c r="DP140" s="579">
        <f t="shared" si="334"/>
        <v>19.05400000000003</v>
      </c>
      <c r="DQ140" s="821">
        <v>0</v>
      </c>
      <c r="DR140" s="666">
        <f t="shared" ca="1" si="469"/>
        <v>40210</v>
      </c>
      <c r="DS140" s="669">
        <v>0.15259999999999901</v>
      </c>
      <c r="DT140" s="606">
        <v>0.15184999999999901</v>
      </c>
      <c r="DU140" s="666">
        <f t="shared" ca="1" si="470"/>
        <v>40210</v>
      </c>
      <c r="DV140" s="669">
        <v>0.15259999999999901</v>
      </c>
      <c r="DW140" s="606">
        <v>0.15184999999999901</v>
      </c>
      <c r="DX140" s="667">
        <f t="shared" ca="1" si="471"/>
        <v>40210</v>
      </c>
      <c r="DY140" s="606">
        <v>0.35</v>
      </c>
      <c r="DZ140" s="667">
        <f t="shared" ca="1" si="335"/>
        <v>40210</v>
      </c>
      <c r="EA140" s="606">
        <f t="shared" si="336"/>
        <v>0.15184999999999901</v>
      </c>
      <c r="EB140" s="1"/>
      <c r="EC140" s="118" t="str">
        <f t="shared" ca="1" si="472"/>
        <v/>
      </c>
      <c r="ED140" s="119" t="str">
        <f t="shared" ca="1" si="313"/>
        <v/>
      </c>
      <c r="EE140" s="112" t="str">
        <f t="shared" ca="1" si="314"/>
        <v/>
      </c>
      <c r="EF140" s="120">
        <f ca="1">IF(BD140,_xll.xASN(BR140,Strike1,AO140,ED140,0,BO140,0,BI140,BL140,IF(OptControl=4,0,1),0),0)</f>
        <v>0</v>
      </c>
      <c r="EG140" s="111">
        <f ca="1">IF(BD140,_xll.xASN(BR140,Strike2,AO140,EE140,0,BO140,0,BI140,BL140,IF(OptControl=3,1,0),0),0)</f>
        <v>0</v>
      </c>
      <c r="EL140" s="55"/>
      <c r="EM140" s="1"/>
      <c r="EN140" s="106"/>
      <c r="EO140" s="106"/>
      <c r="EP140" s="1"/>
      <c r="EQ140" s="683" t="s">
        <v>353</v>
      </c>
      <c r="ES140" s="455"/>
      <c r="ET140" s="36"/>
      <c r="EU140" s="107"/>
      <c r="EV140" s="475"/>
      <c r="EW140" s="456"/>
      <c r="EX140" s="456"/>
      <c r="EY140" s="250"/>
      <c r="EZ140" s="250"/>
      <c r="FA140" s="250"/>
      <c r="FB140" s="250"/>
      <c r="FC140" s="250"/>
      <c r="FD140" s="250"/>
      <c r="FE140" s="250"/>
      <c r="FF140" s="250"/>
      <c r="FG140" s="250"/>
      <c r="FH140" s="250"/>
      <c r="FI140" s="250"/>
      <c r="FJ140" s="673">
        <v>46</v>
      </c>
      <c r="FK140" s="460">
        <f t="shared" ca="1" si="479"/>
        <v>0</v>
      </c>
      <c r="FL140" s="460">
        <f t="shared" ca="1" si="485"/>
        <v>0.16625507455708011</v>
      </c>
      <c r="FM140" s="460">
        <f t="shared" ca="1" si="485"/>
        <v>0.17065296813791597</v>
      </c>
      <c r="FN140" s="460">
        <f t="shared" ca="1" si="485"/>
        <v>0.16739729266563375</v>
      </c>
      <c r="FO140" s="460">
        <f t="shared" ca="1" si="485"/>
        <v>0.16496566532478668</v>
      </c>
      <c r="FP140" s="460">
        <f t="shared" ca="1" si="485"/>
        <v>0.16315385047502631</v>
      </c>
      <c r="FQ140" s="460">
        <f t="shared" ca="1" si="485"/>
        <v>0.16180896716107845</v>
      </c>
      <c r="FR140" s="460">
        <f t="shared" ca="1" si="485"/>
        <v>0.1608167019054533</v>
      </c>
      <c r="FS140" s="460">
        <f t="shared" ca="1" si="485"/>
        <v>0.16009172710315214</v>
      </c>
      <c r="FT140" s="460">
        <f t="shared" ca="1" si="485"/>
        <v>0.15957052518734574</v>
      </c>
      <c r="FU140" s="460">
        <f t="shared" ca="1" si="485"/>
        <v>0.15920601898133546</v>
      </c>
      <c r="FV140" s="460">
        <f t="shared" ca="1" si="485"/>
        <v>0.15896355889491767</v>
      </c>
      <c r="FW140" s="460">
        <f t="shared" ca="1" si="485"/>
        <v>0.15881793037664277</v>
      </c>
      <c r="FX140" s="460">
        <f t="shared" ca="1" si="485"/>
        <v>0.15875112968644745</v>
      </c>
      <c r="FY140" s="460">
        <f t="shared" ca="1" si="485"/>
        <v>0.15875071965218054</v>
      </c>
      <c r="FZ140" s="460">
        <f t="shared" ca="1" si="485"/>
        <v>0.15880862490956213</v>
      </c>
      <c r="GA140" s="460">
        <f t="shared" ca="1" si="485"/>
        <v>0.15892026217443261</v>
      </c>
      <c r="GB140" s="460">
        <f t="shared" ca="1" si="485"/>
        <v>0.15908392835191304</v>
      </c>
      <c r="GC140" s="460">
        <f t="shared" ca="1" si="485"/>
        <v>0.15930039000890053</v>
      </c>
      <c r="GD140" s="460">
        <f t="shared" ca="1" si="485"/>
        <v>0.15957263363892668</v>
      </c>
      <c r="GE140" s="460">
        <f t="shared" ca="1" si="485"/>
        <v>0.15990574854540693</v>
      </c>
      <c r="GF140" s="460">
        <f t="shared" ca="1" si="485"/>
        <v>0.16030692408400743</v>
      </c>
      <c r="GG140" s="460">
        <f t="shared" ca="1" si="485"/>
        <v>0.16078555125781741</v>
      </c>
      <c r="GH140" s="460">
        <f t="shared" ca="1" si="485"/>
        <v>0.16135342594039312</v>
      </c>
      <c r="GI140" s="460">
        <f t="shared" ca="1" si="485"/>
        <v>0.16202505793516697</v>
      </c>
      <c r="GJ140" s="460">
        <f t="shared" ca="1" si="485"/>
        <v>0.16281809728485558</v>
      </c>
      <c r="GK140" s="460">
        <f t="shared" ca="1" si="485"/>
        <v>0.16375389740599278</v>
      </c>
      <c r="GL140" s="460">
        <f t="shared" ca="1" si="485"/>
        <v>0.16485824457680812</v>
      </c>
      <c r="GM140" s="460">
        <f t="shared" ca="1" si="485"/>
        <v>0.16616229615404779</v>
      </c>
      <c r="GN140" s="460">
        <f t="shared" ca="1" si="485"/>
        <v>0.1677037871768097</v>
      </c>
      <c r="GO140" s="460">
        <f t="shared" ca="1" si="485"/>
        <v>0.16952858897278325</v>
      </c>
      <c r="GP140" s="460">
        <f t="shared" ca="1" si="485"/>
        <v>0.17169273736480861</v>
      </c>
      <c r="GQ140" s="460">
        <f t="shared" ca="1" si="485"/>
        <v>0.17426509721036182</v>
      </c>
      <c r="GR140" s="460">
        <f t="shared" ca="1" si="485"/>
        <v>0.17733090229826914</v>
      </c>
      <c r="GS140" s="460">
        <f t="shared" ca="1" si="485"/>
        <v>0.18099651781789708</v>
      </c>
      <c r="GT140" s="460">
        <f t="shared" ca="1" si="485"/>
        <v>0.18539593739327276</v>
      </c>
      <c r="GU140" s="460">
        <f t="shared" ca="1" si="485"/>
        <v>0.1906997823276905</v>
      </c>
      <c r="GV140" s="460">
        <f t="shared" ca="1" si="485"/>
        <v>0.19712797534844295</v>
      </c>
      <c r="GW140" s="460">
        <f t="shared" ca="1" si="485"/>
        <v>0.20496791567471417</v>
      </c>
      <c r="GX140" s="460">
        <f t="shared" ca="1" si="485"/>
        <v>0.21460106650262489</v>
      </c>
      <c r="GY140" s="460">
        <f t="shared" ca="1" si="485"/>
        <v>0.22654270998303014</v>
      </c>
      <c r="GZ140" s="460">
        <f t="shared" ca="1" si="485"/>
        <v>0.24150285351347153</v>
      </c>
      <c r="HA140" s="460">
        <f t="shared" ca="1" si="485"/>
        <v>0.26048211147878975</v>
      </c>
      <c r="HB140" s="460">
        <f t="shared" ca="1" si="485"/>
        <v>0.28492734399129283</v>
      </c>
      <c r="HC140" s="460">
        <f t="shared" ca="1" si="485"/>
        <v>0.31699326079663492</v>
      </c>
      <c r="HD140" s="460">
        <f t="shared" ca="1" si="485"/>
        <v>0.36000012727865593</v>
      </c>
      <c r="HE140" s="460" t="str">
        <f t="shared" si="485"/>
        <v/>
      </c>
      <c r="HF140" s="460" t="str">
        <f t="shared" si="485"/>
        <v/>
      </c>
      <c r="HG140" s="460" t="str">
        <f t="shared" si="485"/>
        <v/>
      </c>
      <c r="HH140" s="460" t="str">
        <f t="shared" si="485"/>
        <v/>
      </c>
      <c r="HI140" s="460" t="str">
        <f t="shared" si="485"/>
        <v/>
      </c>
      <c r="HJ140" s="460" t="str">
        <f t="shared" si="485"/>
        <v/>
      </c>
      <c r="HK140" s="460" t="str">
        <f t="shared" si="485"/>
        <v/>
      </c>
      <c r="HL140" s="460" t="str">
        <f t="shared" si="485"/>
        <v/>
      </c>
      <c r="HM140" s="460" t="str">
        <f t="shared" si="485"/>
        <v/>
      </c>
      <c r="HN140" s="460" t="str">
        <f t="shared" si="485"/>
        <v/>
      </c>
      <c r="HO140" s="460" t="str">
        <f t="shared" si="485"/>
        <v/>
      </c>
      <c r="HP140" s="460" t="str">
        <f t="shared" si="485"/>
        <v/>
      </c>
      <c r="HQ140" s="460" t="str">
        <f t="shared" si="485"/>
        <v/>
      </c>
      <c r="HR140" s="460" t="str">
        <f t="shared" si="485"/>
        <v/>
      </c>
      <c r="HS140" s="460" t="str">
        <f t="shared" si="485"/>
        <v/>
      </c>
      <c r="HT140" s="460" t="str">
        <f t="shared" si="485"/>
        <v/>
      </c>
      <c r="HU140" s="460" t="str">
        <f t="shared" si="485"/>
        <v/>
      </c>
      <c r="HV140" s="460" t="str">
        <f t="shared" si="485"/>
        <v/>
      </c>
      <c r="HW140" s="460" t="str">
        <f t="shared" ref="HW140:ID143" si="486">IF($FJ65&lt;HW$94,"",SQRT(HW65/HW$15))</f>
        <v/>
      </c>
      <c r="HX140" s="460" t="str">
        <f t="shared" si="486"/>
        <v/>
      </c>
      <c r="HY140" s="460" t="str">
        <f t="shared" si="486"/>
        <v/>
      </c>
      <c r="HZ140" s="460" t="str">
        <f t="shared" si="486"/>
        <v/>
      </c>
      <c r="IA140" s="460" t="str">
        <f t="shared" si="486"/>
        <v/>
      </c>
      <c r="IB140" s="460" t="str">
        <f t="shared" si="486"/>
        <v/>
      </c>
      <c r="IC140" s="460" t="str">
        <f t="shared" si="486"/>
        <v/>
      </c>
      <c r="ID140" s="674" t="str">
        <f t="shared" si="486"/>
        <v/>
      </c>
      <c r="IE140" s="250"/>
    </row>
    <row r="141" spans="8:239">
      <c r="H141" s="51">
        <f t="shared" ca="1" si="315"/>
        <v>0</v>
      </c>
      <c r="I141" s="379">
        <f t="shared" si="316"/>
        <v>40452</v>
      </c>
      <c r="J141" s="377"/>
      <c r="K141" s="104" t="s">
        <v>268</v>
      </c>
      <c r="L141" s="392">
        <f t="shared" si="317"/>
        <v>1.6875000000000013</v>
      </c>
      <c r="M141" s="171"/>
      <c r="N141" s="382">
        <v>0</v>
      </c>
      <c r="O141" s="171">
        <f t="shared" si="272"/>
        <v>0</v>
      </c>
      <c r="P141" s="377"/>
      <c r="Q141" s="104" t="s">
        <v>268</v>
      </c>
      <c r="R141" s="377">
        <f t="shared" ca="1" si="417"/>
        <v>0.33558263003923772</v>
      </c>
      <c r="S141" s="832">
        <f t="shared" si="435"/>
        <v>0.3600000000000001</v>
      </c>
      <c r="T141" s="831">
        <f t="shared" si="418"/>
        <v>0.99999999934175532</v>
      </c>
      <c r="U141" s="545">
        <f t="shared" si="419"/>
        <v>0.99999999999999978</v>
      </c>
      <c r="V141" s="389">
        <v>0</v>
      </c>
      <c r="W141" s="434">
        <f t="shared" si="455"/>
        <v>0</v>
      </c>
      <c r="X141" s="415">
        <f t="shared" si="456"/>
        <v>1.7375000000000016</v>
      </c>
      <c r="Y141" s="322">
        <f t="shared" si="457"/>
        <v>-1.1931</v>
      </c>
      <c r="Z141" s="322">
        <f t="shared" ca="1" si="458"/>
        <v>0.54440000000000155</v>
      </c>
      <c r="AA141" s="429">
        <f t="shared" si="277"/>
        <v>1.1931</v>
      </c>
      <c r="AB141" s="433">
        <f t="shared" ca="1" si="278"/>
        <v>1.1931</v>
      </c>
      <c r="AC141" s="229">
        <v>40441</v>
      </c>
      <c r="AD141" s="229">
        <v>40437</v>
      </c>
      <c r="AE141" s="229">
        <v>40436</v>
      </c>
      <c r="AF141" s="229">
        <v>40432</v>
      </c>
      <c r="AG141" s="249" t="s">
        <v>499</v>
      </c>
      <c r="AH141" s="247" t="s">
        <v>499</v>
      </c>
      <c r="AI141" s="146">
        <v>21</v>
      </c>
      <c r="AJ141" s="41">
        <v>14</v>
      </c>
      <c r="AK141" s="41">
        <v>7</v>
      </c>
      <c r="AL141" s="293">
        <v>21</v>
      </c>
      <c r="AM141" s="41">
        <v>10</v>
      </c>
      <c r="AN141" s="147">
        <v>11</v>
      </c>
      <c r="AO141" s="374"/>
      <c r="AP141" s="153">
        <f t="shared" ca="1" si="318"/>
        <v>1</v>
      </c>
      <c r="AQ141" s="374"/>
      <c r="AR141" s="153">
        <f t="shared" ca="1" si="420"/>
        <v>1</v>
      </c>
      <c r="AS141" s="272">
        <f t="shared" si="459"/>
        <v>0</v>
      </c>
      <c r="AT141" s="157">
        <f t="shared" si="319"/>
        <v>0</v>
      </c>
      <c r="AU141" s="157">
        <f t="shared" si="280"/>
        <v>0</v>
      </c>
      <c r="AV141" s="271">
        <f t="shared" ca="1" si="430"/>
        <v>9.9999999999999995E-7</v>
      </c>
      <c r="AW141" s="158" t="str">
        <f t="shared" ca="1" si="460"/>
        <v/>
      </c>
      <c r="AX141" s="157">
        <f t="shared" ca="1" si="421"/>
        <v>4.2932601946706137E-4</v>
      </c>
      <c r="AY141" s="157">
        <f t="shared" ca="1" si="422"/>
        <v>1.48307758962388E-4</v>
      </c>
      <c r="AZ141" s="157">
        <f t="shared" ca="1" si="423"/>
        <v>1.3472030417601603E-5</v>
      </c>
      <c r="BA141" s="157">
        <f t="shared" ca="1" si="424"/>
        <v>1.6840038022002004E-6</v>
      </c>
      <c r="BB141" s="157">
        <f t="shared" ca="1" si="425"/>
        <v>6.0248887430498817E-8</v>
      </c>
      <c r="BC141" s="157">
        <f t="shared" ca="1" si="426"/>
        <v>5.6717376116491591E-9</v>
      </c>
      <c r="BD141" s="151">
        <f t="shared" ca="1" si="461"/>
        <v>0</v>
      </c>
      <c r="BE141" s="152">
        <f t="shared" ca="1" si="462"/>
        <v>0</v>
      </c>
      <c r="BF141" s="40">
        <f t="shared" si="463"/>
        <v>2010</v>
      </c>
      <c r="BG141" s="144">
        <f t="shared" si="464"/>
        <v>10</v>
      </c>
      <c r="BH141" s="145">
        <f t="shared" ca="1" si="465"/>
        <v>3692</v>
      </c>
      <c r="BI141" s="313">
        <f t="shared" ca="1" si="439"/>
        <v>10.149212867898699</v>
      </c>
      <c r="BJ141" s="42">
        <f t="shared" ca="1" si="288"/>
        <v>10.203969883641342</v>
      </c>
      <c r="BK141" s="42">
        <f t="shared" ca="1" si="289"/>
        <v>10.206707734428475</v>
      </c>
      <c r="BL141" s="42">
        <f t="shared" ca="1" si="440"/>
        <v>10.231348391512663</v>
      </c>
      <c r="BM141" s="150" t="e">
        <f t="shared" ca="1" si="291"/>
        <v>#DIV/0!</v>
      </c>
      <c r="BN141" s="42" t="e">
        <f t="shared" ca="1" si="292"/>
        <v>#DIV/0!</v>
      </c>
      <c r="BO141" s="293">
        <f t="shared" si="441"/>
        <v>21</v>
      </c>
      <c r="BP141" s="41">
        <f t="shared" si="442"/>
        <v>14</v>
      </c>
      <c r="BQ141" s="41">
        <f t="shared" si="443"/>
        <v>7</v>
      </c>
      <c r="BR141" s="305" t="str">
        <f t="shared" ca="1" si="295"/>
        <v/>
      </c>
      <c r="BS141" s="305" t="str">
        <f t="shared" ca="1" si="444"/>
        <v/>
      </c>
      <c r="BT141" s="307" t="str">
        <f t="shared" ca="1" si="445"/>
        <v/>
      </c>
      <c r="BU141" s="161" t="str">
        <f t="shared" ca="1" si="298"/>
        <v/>
      </c>
      <c r="BV141" s="161" t="str">
        <f t="shared" ca="1" si="299"/>
        <v/>
      </c>
      <c r="BW141" s="308" t="str">
        <f t="shared" ca="1" si="300"/>
        <v/>
      </c>
      <c r="BX141" s="309" t="str">
        <f t="shared" ca="1" si="301"/>
        <v/>
      </c>
      <c r="BY141" s="308" t="str">
        <f t="shared" ca="1" si="446"/>
        <v/>
      </c>
      <c r="BZ141" s="309" t="str">
        <f t="shared" ca="1" si="447"/>
        <v/>
      </c>
      <c r="CA141" s="154" t="str">
        <f t="shared" ca="1" si="302"/>
        <v/>
      </c>
      <c r="CB141" s="154" t="str">
        <f t="shared" ca="1" si="303"/>
        <v/>
      </c>
      <c r="CC141" s="154" t="str">
        <f t="shared" ca="1" si="304"/>
        <v/>
      </c>
      <c r="CD141" s="154" t="str">
        <f t="shared" ca="1" si="305"/>
        <v/>
      </c>
      <c r="CE141" s="310">
        <v>1</v>
      </c>
      <c r="CF141" s="162">
        <f ca="1">IF(BD141,_xll.xCrudeAPO(BU141,BV141,CA141,CB141,S142,S143,BI141,BL141,BP141,BQ141,0,Strike1,AO141,CE141,0,BL141,IF(OptControl=4,0,1),0,1),0)</f>
        <v>0</v>
      </c>
      <c r="CG141" s="163">
        <f ca="1">IF(BD141,_xll.xCrudeAPO(BU141,BV141,CA141,CB141,S142,S143,BI141,BL141,BP141,BQ141,0,Strike1,AO141,CE141,0,BL141,IF(OptControl=4,0,1),1,1)+_xll.xCrudeAPO(BU141,BV141,CA141,CB141,S142,S143,BI141,BL141,BP141,BQ141,0,Strike1,AO141,CE141,0,BL141,IF(OptControl=4,0,1),1,2)+IF(OR(VolSkewFlag=2,ABS(BS141)&lt;0.0001),0,IF(BS141&gt;0,-1,1)*CH141*Strike1/BR141^2*BY141/10%),0)</f>
        <v>0</v>
      </c>
      <c r="CH141" s="163">
        <f ca="1">IF(BD141,(_xll.xCrudeAPO(BU141,BV141,CA141,CB141,S142,S143,BI141,BL141,BP141,BQ141,0,Strike1,AO141,CE141,0,BL141,IF(OptControl=4,0,1),3,1)+_xll.xCrudeAPO(BU141,BV141,CA141,CB141,S142,S143,BI141,BL141,BP141,BQ141,0,Strike1,AO141,CE141,0,BL141,IF(OptControl=4,0,1),3,2))/100,0)</f>
        <v>0</v>
      </c>
      <c r="CI141" s="163">
        <f ca="1">IF(BD141,_xll.xCrudeAPO(BU141,BV141,CA141,CB141,S142,S143,BI141-DaysForThetaCalculation/365.25,BL141-DaysForThetaCalculation/365.25,BP141,BQ141,0,Strike1,AO141,CE141,0,BL141,IF(OptControl=4,0,1),0,1)-_xll.xCrudeAPO(BU141,BV141,CA141,CB141,S142,S143,BI141,BL141,BP141,BQ141,0,Strike1,AO141,CE141,0,BL141,IF(OptControl=4,0,1),0,1),0)</f>
        <v>0</v>
      </c>
      <c r="CJ141" s="311">
        <f ca="1">IF(BD141,_xll.xCrudeAPO(BU141,BV141,CC141,CD141,S142,S143,BI141,BL141,BP141,BQ141,0,Strike2,AO141,CE141,0,BL141,IF(OptControl=3,1,0),0,1),0)</f>
        <v>0</v>
      </c>
      <c r="CK141" s="163">
        <f ca="1">IF(BD141,_xll.xCrudeAPO(BU141,BV141,CC141,CD141,S142,S143,BI141,BL141,BP141,BQ141,0,Strike2,AO141,CE141,0,BL141,IF(OptControl=3,1,0),1,1)+_xll.xCrudeAPO(BU141,BV141,CC141,CD141,S142,S143,BI141,BL141,BP141,BQ141,0,Strike2,AO141,CE141,0,BL141,IF(OptControl=3,1,0),1,2)+IF(OR(VolSkewFlag=2,ABS(BT141)&lt;0.0001),0,IF(BT141&gt;0,-1,1)*CL141*Strike2/BR141^2*BZ141/10%),0)</f>
        <v>0</v>
      </c>
      <c r="CL141" s="163">
        <f ca="1">IF(BD141,(_xll.xCrudeAPO(BU141,BV141,CC141,CD141,S142,S143,BI141,BL141,BP141,BQ141,0,Strike2,AO141,CE141,0,BL141,IF(OptControl=3,1,0),3,1)+_xll.xCrudeAPO(BU141,BV141,CC141,CD141,S142,S143,BI141,BL141,BP141,BQ141,0,Strike2,AO141,CE141,0,BL141,IF(OptControl=3,1,0),3,2))/100,0)</f>
        <v>0</v>
      </c>
      <c r="CM141" s="164">
        <f ca="1">IF(BD141,_xll.xCrudeAPO(BU141,BV141,CC141,CD141,S142,S143,BI141-DaysForThetaCalculation/365.25,BL141-DaysForThetaCalculation/365.25,BP141,BQ141,0,Strike2,AO141,CE141,0,BL141,IF(OptControl=3,1,0),0,1)-_xll.xCrudeAPO(BU141,BV141,CC141,CD141,S142,S143,BI141,BL141,BP141,BQ141,0,Strike2,AO141,CE141,0,BL141,IF(OptControl=3,1,0),0,1),0)</f>
        <v>0</v>
      </c>
      <c r="CN141" s="53"/>
      <c r="CO141" s="796" t="str">
        <f t="shared" ca="1" si="323"/>
        <v/>
      </c>
      <c r="CP141" s="800" t="str">
        <f t="shared" ca="1" si="324"/>
        <v/>
      </c>
      <c r="CQ141" s="797" t="str">
        <f t="shared" ca="1" si="325"/>
        <v/>
      </c>
      <c r="CR141" s="797" t="str">
        <f t="shared" ca="1" si="326"/>
        <v/>
      </c>
      <c r="CS141" s="797" t="str">
        <f t="shared" ca="1" si="327"/>
        <v/>
      </c>
      <c r="CT141" s="797" t="str">
        <f t="shared" ca="1" si="328"/>
        <v/>
      </c>
      <c r="CU141" s="798" t="str">
        <f t="shared" ca="1" si="329"/>
        <v/>
      </c>
      <c r="CV141" s="799" t="str">
        <f t="shared" ca="1" si="330"/>
        <v/>
      </c>
      <c r="CW141" s="799" t="str">
        <f t="shared" ca="1" si="331"/>
        <v/>
      </c>
      <c r="CX141" s="163">
        <f ca="1">IF(BD141,_xll.EURO(CP141,Strike1,AO141,AO141,CV141,CO141,IF(OptControl=4,0,1),0),0)</f>
        <v>0</v>
      </c>
      <c r="CY141" s="163">
        <f ca="1">IF(BD141,_xll.EURO(CP141,Strike1,AO141,AO141,CV141,CO141,IF(OptControl=4,0,1),1)+IF(OR(VolSkewFlag=2,ABS(CQ141)&lt;0.0001),0,IF(CQ141&gt;0,-1,1)*CZ141*100*Strike1/CP141^2*CS141/10%),0)</f>
        <v>0</v>
      </c>
      <c r="CZ141" s="163">
        <f ca="1">IF(BD141,_xll.EURO(CP141,Strike1,AO141,AO141,CV141,CO141,IF(OptControl=4,0,1),3)/100,0)</f>
        <v>0</v>
      </c>
      <c r="DA141" s="163">
        <f ca="1">IF(BD141,_xll.EURO(CP141,Strike1,AO141,AO141,CV141,CO141,IF(OptControl=4,0,1),0)-_xll.EURO(CP141,Strike1,AO141,AO141,CV141,CO141-1,IF(OptControl=4,0,1),0),0)</f>
        <v>0</v>
      </c>
      <c r="DB141" s="163">
        <f ca="1">IF(BD141,_xll.EURO(CP141,Strike2,AO141,AO141,CW141,CO141,IF(OptControl=3,1,0),0),0)</f>
        <v>0</v>
      </c>
      <c r="DC141" s="163">
        <f ca="1">IF(BD141,_xll.EURO(CP141,Strike2,AO141,AO141,CW141,CO141,IF(OptControl=3,1,0),1)+IF(OR(VolSkewFlag=2,ABS(CR141)&lt;0.0001),0,IF(CR141&gt;0,-1,1)*DD141*100*Strike2/CP141^2*CT141/10%),0)</f>
        <v>0</v>
      </c>
      <c r="DD141" s="163">
        <f ca="1">IF(BD141,_xll.EURO(CP141,Strike2,AO141,AO141,CW141,CO141,IF(OptControl=3,1,0),3)/100,0)</f>
        <v>0</v>
      </c>
      <c r="DE141" s="164">
        <f ca="1">IF(BD141,_xll.EURO(CP141,Strike2,AO141,AO141,CW141,CO141,IF(OptControl=3,1,0),0)-_xll.EURO(CP141,Strike2,AO141,AO141,CW141,CO141-1,IF(OptControl=3,1,0),0),0)</f>
        <v>0</v>
      </c>
      <c r="DG141" s="667">
        <f t="shared" ca="1" si="332"/>
        <v>40238</v>
      </c>
      <c r="DH141" s="475">
        <v>20.21</v>
      </c>
      <c r="DI141" s="665">
        <v>20.277391304347862</v>
      </c>
      <c r="DJ141" s="666">
        <f t="shared" ca="1" si="466"/>
        <v>40238</v>
      </c>
      <c r="DK141" s="475">
        <v>19.04427024246807</v>
      </c>
      <c r="DL141" s="665">
        <v>19.108891304347864</v>
      </c>
      <c r="DM141" s="667">
        <f t="shared" ca="1" si="467"/>
        <v>40238</v>
      </c>
      <c r="DN141" s="668">
        <f t="shared" si="468"/>
        <v>19.09427024246807</v>
      </c>
      <c r="DO141" s="667">
        <f t="shared" ca="1" si="333"/>
        <v>40238</v>
      </c>
      <c r="DP141" s="579">
        <f t="shared" si="334"/>
        <v>19.108891304347864</v>
      </c>
      <c r="DQ141" s="821">
        <v>0</v>
      </c>
      <c r="DR141" s="666">
        <f t="shared" ca="1" si="469"/>
        <v>40238</v>
      </c>
      <c r="DS141" s="669">
        <v>0.15199999999999902</v>
      </c>
      <c r="DT141" s="606">
        <v>0.15119130434782513</v>
      </c>
      <c r="DU141" s="666">
        <f t="shared" ca="1" si="470"/>
        <v>40238</v>
      </c>
      <c r="DV141" s="669">
        <v>0.15199999999999902</v>
      </c>
      <c r="DW141" s="606">
        <v>0.15119130434782513</v>
      </c>
      <c r="DX141" s="667">
        <f t="shared" ca="1" si="471"/>
        <v>40238</v>
      </c>
      <c r="DY141" s="606">
        <v>0.35</v>
      </c>
      <c r="DZ141" s="667">
        <f t="shared" ca="1" si="335"/>
        <v>40238</v>
      </c>
      <c r="EA141" s="606">
        <f t="shared" si="336"/>
        <v>0.15119130434782513</v>
      </c>
      <c r="EB141" s="1"/>
      <c r="EC141" s="118" t="str">
        <f t="shared" ca="1" si="472"/>
        <v/>
      </c>
      <c r="ED141" s="119" t="str">
        <f t="shared" ca="1" si="313"/>
        <v/>
      </c>
      <c r="EE141" s="112" t="str">
        <f t="shared" ca="1" si="314"/>
        <v/>
      </c>
      <c r="EF141" s="120">
        <f ca="1">IF(BD141,_xll.xASN(BR141,Strike1,AO141,ED141,0,BO141,0,BI141,BL141,IF(OptControl=4,0,1),0),0)</f>
        <v>0</v>
      </c>
      <c r="EG141" s="111">
        <f ca="1">IF(BD141,_xll.xASN(BR141,Strike2,AO141,EE141,0,BO141,0,BI141,BL141,IF(OptControl=3,1,0),0),0)</f>
        <v>0</v>
      </c>
      <c r="EL141" s="55"/>
      <c r="EM141" s="1"/>
      <c r="EN141" s="106"/>
      <c r="EO141" s="106"/>
      <c r="EP141" s="1"/>
      <c r="EQ141" s="683" t="s">
        <v>354</v>
      </c>
      <c r="ES141" s="455"/>
      <c r="ET141" s="36"/>
      <c r="EU141" s="107"/>
      <c r="EV141" s="475"/>
      <c r="EW141" s="456"/>
      <c r="EX141" s="456"/>
      <c r="EY141" s="250"/>
      <c r="EZ141" s="250"/>
      <c r="FA141" s="250"/>
      <c r="FB141" s="250"/>
      <c r="FC141" s="250"/>
      <c r="FD141" s="250"/>
      <c r="FE141" s="250"/>
      <c r="FF141" s="250"/>
      <c r="FG141" s="250"/>
      <c r="FH141" s="250"/>
      <c r="FI141" s="250"/>
      <c r="FJ141" s="673">
        <v>47</v>
      </c>
      <c r="FK141" s="460">
        <f t="shared" ca="1" si="479"/>
        <v>0</v>
      </c>
      <c r="FL141" s="460">
        <f t="shared" ref="FL141:HW144" ca="1" si="487">IF($FJ66&lt;FL$94,"",SQRT(FL66/FL$15))</f>
        <v>0.16623611640525637</v>
      </c>
      <c r="FM141" s="460">
        <f t="shared" ca="1" si="487"/>
        <v>0.17063020809805587</v>
      </c>
      <c r="FN141" s="460">
        <f t="shared" ca="1" si="487"/>
        <v>0.16737118028910991</v>
      </c>
      <c r="FO141" s="460">
        <f t="shared" ca="1" si="487"/>
        <v>0.16493556777349205</v>
      </c>
      <c r="FP141" s="460">
        <f t="shared" ca="1" si="487"/>
        <v>0.16311903474279285</v>
      </c>
      <c r="FQ141" s="460">
        <f t="shared" ca="1" si="487"/>
        <v>0.16176858193325719</v>
      </c>
      <c r="FR141" s="460">
        <f t="shared" ca="1" si="487"/>
        <v>0.16076975638245111</v>
      </c>
      <c r="FS141" s="460">
        <f t="shared" ca="1" si="487"/>
        <v>0.16003706623066638</v>
      </c>
      <c r="FT141" s="460">
        <f t="shared" ca="1" si="487"/>
        <v>0.15950680063286185</v>
      </c>
      <c r="FU141" s="460">
        <f t="shared" ca="1" si="487"/>
        <v>0.1591316550716679</v>
      </c>
      <c r="FV141" s="460">
        <f t="shared" ca="1" si="487"/>
        <v>0.15887671257808328</v>
      </c>
      <c r="FW141" s="460">
        <f t="shared" ca="1" si="487"/>
        <v>0.15871644408662508</v>
      </c>
      <c r="FX141" s="460">
        <f t="shared" ca="1" si="487"/>
        <v>0.15863247576301898</v>
      </c>
      <c r="FY141" s="460">
        <f t="shared" ca="1" si="487"/>
        <v>0.15861193468896947</v>
      </c>
      <c r="FZ141" s="460">
        <f t="shared" ca="1" si="487"/>
        <v>0.15864623205767062</v>
      </c>
      <c r="GA141" s="460">
        <f t="shared" ca="1" si="487"/>
        <v>0.1587301789972845</v>
      </c>
      <c r="GB141" s="460">
        <f t="shared" ca="1" si="487"/>
        <v>0.15886135728458553</v>
      </c>
      <c r="GC141" s="460">
        <f t="shared" ca="1" si="487"/>
        <v>0.159039687788461</v>
      </c>
      <c r="GD141" s="460">
        <f t="shared" ca="1" si="487"/>
        <v>0.15926715519605233</v>
      </c>
      <c r="GE141" s="460">
        <f t="shared" ca="1" si="487"/>
        <v>0.15954765972038013</v>
      </c>
      <c r="GF141" s="460">
        <f t="shared" ca="1" si="487"/>
        <v>0.15988697606789315</v>
      </c>
      <c r="GG141" s="460">
        <f t="shared" ca="1" si="487"/>
        <v>0.16029280774600876</v>
      </c>
      <c r="GH141" s="460">
        <f t="shared" ca="1" si="487"/>
        <v>0.16077493145887525</v>
      </c>
      <c r="GI141" s="460">
        <f t="shared" ca="1" si="487"/>
        <v>0.16134543243235722</v>
      </c>
      <c r="GJ141" s="460">
        <f t="shared" ca="1" si="487"/>
        <v>0.16201903755121611</v>
      </c>
      <c r="GK141" s="460">
        <f t="shared" ca="1" si="487"/>
        <v>0.16281355972799824</v>
      </c>
      <c r="GL141" s="460">
        <f t="shared" ca="1" si="487"/>
        <v>0.16375047458318859</v>
      </c>
      <c r="GM141" s="460">
        <f t="shared" ca="1" si="487"/>
        <v>0.16485566009318861</v>
      </c>
      <c r="GN141" s="460">
        <f t="shared" ca="1" si="487"/>
        <v>0.16616034242798669</v>
      </c>
      <c r="GO141" s="460">
        <f t="shared" ca="1" si="487"/>
        <v>0.16770230827130755</v>
      </c>
      <c r="GP141" s="460">
        <f t="shared" ca="1" si="487"/>
        <v>0.16952746771467894</v>
      </c>
      <c r="GQ141" s="460">
        <f t="shared" ca="1" si="487"/>
        <v>0.17169188568037738</v>
      </c>
      <c r="GR141" s="460">
        <f t="shared" ca="1" si="487"/>
        <v>0.17426444887364978</v>
      </c>
      <c r="GS141" s="460">
        <f t="shared" ca="1" si="487"/>
        <v>0.17733040748936715</v>
      </c>
      <c r="GT141" s="460">
        <f t="shared" ca="1" si="487"/>
        <v>0.18099613903899986</v>
      </c>
      <c r="GU141" s="460">
        <f t="shared" ca="1" si="487"/>
        <v>0.18539564640335549</v>
      </c>
      <c r="GV141" s="460">
        <f t="shared" ca="1" si="487"/>
        <v>0.19069955784137585</v>
      </c>
      <c r="GW141" s="460">
        <f t="shared" ca="1" si="487"/>
        <v>0.19712780130818872</v>
      </c>
      <c r="GX141" s="460">
        <f t="shared" ca="1" si="487"/>
        <v>0.20496777995311158</v>
      </c>
      <c r="GY141" s="460">
        <f t="shared" ca="1" si="487"/>
        <v>0.2146009599273353</v>
      </c>
      <c r="GZ141" s="460">
        <f t="shared" ca="1" si="487"/>
        <v>0.22654262560367228</v>
      </c>
      <c r="HA141" s="460">
        <f t="shared" ca="1" si="487"/>
        <v>0.24150278604982431</v>
      </c>
      <c r="HB141" s="460">
        <f t="shared" ca="1" si="487"/>
        <v>0.26048205690465764</v>
      </c>
      <c r="HC141" s="460">
        <f t="shared" ca="1" si="487"/>
        <v>0.28492729921950688</v>
      </c>
      <c r="HD141" s="460">
        <f t="shared" ca="1" si="487"/>
        <v>0.31699322343880426</v>
      </c>
      <c r="HE141" s="460">
        <f t="shared" ca="1" si="487"/>
        <v>0.36000009545899192</v>
      </c>
      <c r="HF141" s="460" t="str">
        <f t="shared" si="487"/>
        <v/>
      </c>
      <c r="HG141" s="460" t="str">
        <f t="shared" si="487"/>
        <v/>
      </c>
      <c r="HH141" s="460" t="str">
        <f t="shared" si="487"/>
        <v/>
      </c>
      <c r="HI141" s="460" t="str">
        <f t="shared" si="487"/>
        <v/>
      </c>
      <c r="HJ141" s="460" t="str">
        <f t="shared" si="487"/>
        <v/>
      </c>
      <c r="HK141" s="460" t="str">
        <f t="shared" si="487"/>
        <v/>
      </c>
      <c r="HL141" s="460" t="str">
        <f t="shared" si="487"/>
        <v/>
      </c>
      <c r="HM141" s="460" t="str">
        <f t="shared" si="487"/>
        <v/>
      </c>
      <c r="HN141" s="460" t="str">
        <f t="shared" si="487"/>
        <v/>
      </c>
      <c r="HO141" s="460" t="str">
        <f t="shared" si="487"/>
        <v/>
      </c>
      <c r="HP141" s="460" t="str">
        <f t="shared" si="487"/>
        <v/>
      </c>
      <c r="HQ141" s="460" t="str">
        <f t="shared" si="487"/>
        <v/>
      </c>
      <c r="HR141" s="460" t="str">
        <f t="shared" si="487"/>
        <v/>
      </c>
      <c r="HS141" s="460" t="str">
        <f t="shared" si="487"/>
        <v/>
      </c>
      <c r="HT141" s="460" t="str">
        <f t="shared" si="487"/>
        <v/>
      </c>
      <c r="HU141" s="460" t="str">
        <f t="shared" si="487"/>
        <v/>
      </c>
      <c r="HV141" s="460" t="str">
        <f t="shared" si="487"/>
        <v/>
      </c>
      <c r="HW141" s="460" t="str">
        <f t="shared" si="487"/>
        <v/>
      </c>
      <c r="HX141" s="460" t="str">
        <f t="shared" si="486"/>
        <v/>
      </c>
      <c r="HY141" s="460" t="str">
        <f t="shared" si="486"/>
        <v/>
      </c>
      <c r="HZ141" s="460" t="str">
        <f t="shared" si="486"/>
        <v/>
      </c>
      <c r="IA141" s="460" t="str">
        <f t="shared" si="486"/>
        <v/>
      </c>
      <c r="IB141" s="460" t="str">
        <f t="shared" si="486"/>
        <v/>
      </c>
      <c r="IC141" s="460" t="str">
        <f t="shared" si="486"/>
        <v/>
      </c>
      <c r="ID141" s="674" t="str">
        <f t="shared" si="486"/>
        <v/>
      </c>
      <c r="IE141" s="250"/>
    </row>
    <row r="142" spans="8:239">
      <c r="H142" s="51">
        <f t="shared" ca="1" si="315"/>
        <v>0</v>
      </c>
      <c r="I142" s="379">
        <f t="shared" si="316"/>
        <v>40483</v>
      </c>
      <c r="J142" s="377"/>
      <c r="K142" s="104" t="s">
        <v>268</v>
      </c>
      <c r="L142" s="392">
        <f t="shared" si="317"/>
        <v>1.7250000000000014</v>
      </c>
      <c r="M142" s="171"/>
      <c r="N142" s="382">
        <v>0</v>
      </c>
      <c r="O142" s="171">
        <f t="shared" si="272"/>
        <v>0</v>
      </c>
      <c r="P142" s="377"/>
      <c r="Q142" s="104" t="s">
        <v>268</v>
      </c>
      <c r="R142" s="377">
        <f t="shared" ca="1" si="417"/>
        <v>0.51644780830063752</v>
      </c>
      <c r="S142" s="832">
        <f t="shared" si="435"/>
        <v>0.3600000000000001</v>
      </c>
      <c r="T142" s="831">
        <f t="shared" si="418"/>
        <v>0.99999999943720075</v>
      </c>
      <c r="U142" s="545">
        <f t="shared" si="419"/>
        <v>0.99999999999999978</v>
      </c>
      <c r="V142" s="389">
        <v>0</v>
      </c>
      <c r="W142" s="434">
        <f t="shared" si="455"/>
        <v>0</v>
      </c>
      <c r="X142" s="415">
        <f t="shared" si="456"/>
        <v>1.7744318181818199</v>
      </c>
      <c r="Y142" s="322">
        <f t="shared" si="457"/>
        <v>-1.1931</v>
      </c>
      <c r="Z142" s="322">
        <f t="shared" ca="1" si="458"/>
        <v>0.58133181818181989</v>
      </c>
      <c r="AA142" s="429">
        <f t="shared" si="277"/>
        <v>1.1931</v>
      </c>
      <c r="AB142" s="433">
        <f t="shared" ca="1" si="278"/>
        <v>1.1931</v>
      </c>
      <c r="AC142" s="229">
        <v>40471</v>
      </c>
      <c r="AD142" s="229">
        <v>40467</v>
      </c>
      <c r="AE142" s="229">
        <v>40466</v>
      </c>
      <c r="AF142" s="229">
        <v>40462</v>
      </c>
      <c r="AG142" s="249" t="s">
        <v>499</v>
      </c>
      <c r="AH142" s="247" t="s">
        <v>499</v>
      </c>
      <c r="AI142" s="146">
        <v>22</v>
      </c>
      <c r="AJ142" s="41">
        <v>15</v>
      </c>
      <c r="AK142" s="41">
        <v>7</v>
      </c>
      <c r="AL142" s="293">
        <v>22</v>
      </c>
      <c r="AM142" s="41">
        <v>10</v>
      </c>
      <c r="AN142" s="147">
        <v>12</v>
      </c>
      <c r="AO142" s="374"/>
      <c r="AP142" s="153">
        <f t="shared" ca="1" si="318"/>
        <v>1</v>
      </c>
      <c r="AQ142" s="374"/>
      <c r="AR142" s="153">
        <f t="shared" ca="1" si="420"/>
        <v>1</v>
      </c>
      <c r="AS142" s="272">
        <f t="shared" si="459"/>
        <v>0</v>
      </c>
      <c r="AT142" s="157">
        <f t="shared" si="319"/>
        <v>0</v>
      </c>
      <c r="AU142" s="157">
        <f t="shared" si="280"/>
        <v>0</v>
      </c>
      <c r="AV142" s="271">
        <f t="shared" ca="1" si="430"/>
        <v>9.9999999999999995E-7</v>
      </c>
      <c r="AW142" s="158" t="str">
        <f t="shared" ca="1" si="460"/>
        <v/>
      </c>
      <c r="AX142" s="157">
        <f t="shared" ca="1" si="421"/>
        <v>4.1506196545726019E-4</v>
      </c>
      <c r="AY142" s="157">
        <f t="shared" ca="1" si="422"/>
        <v>1.4242714167921571E-4</v>
      </c>
      <c r="AZ142" s="157">
        <f t="shared" ca="1" si="423"/>
        <v>1.271590345084058E-5</v>
      </c>
      <c r="BA142" s="157">
        <f t="shared" ca="1" si="424"/>
        <v>1.5894879313550725E-6</v>
      </c>
      <c r="BB142" s="157">
        <f t="shared" ca="1" si="425"/>
        <v>5.497799873823417E-8</v>
      </c>
      <c r="BC142" s="157">
        <f t="shared" ca="1" si="426"/>
        <v>5.0529437678465781E-9</v>
      </c>
      <c r="BD142" s="151">
        <f t="shared" ca="1" si="461"/>
        <v>0</v>
      </c>
      <c r="BE142" s="152">
        <f t="shared" ca="1" si="462"/>
        <v>0</v>
      </c>
      <c r="BF142" s="40">
        <f t="shared" si="463"/>
        <v>2010</v>
      </c>
      <c r="BG142" s="144">
        <f t="shared" si="464"/>
        <v>11</v>
      </c>
      <c r="BH142" s="145">
        <f t="shared" ca="1" si="465"/>
        <v>3722</v>
      </c>
      <c r="BI142" s="313">
        <f t="shared" ca="1" si="439"/>
        <v>10.234086242299794</v>
      </c>
      <c r="BJ142" s="42">
        <f t="shared" ca="1" si="288"/>
        <v>10.288221019227178</v>
      </c>
      <c r="BK142" s="42">
        <f t="shared" ca="1" si="289"/>
        <v>10.290958870014311</v>
      </c>
      <c r="BL142" s="42">
        <f t="shared" ca="1" si="440"/>
        <v>10.313483915126625</v>
      </c>
      <c r="BM142" s="150" t="e">
        <f t="shared" ca="1" si="291"/>
        <v>#DIV/0!</v>
      </c>
      <c r="BN142" s="42" t="e">
        <f t="shared" ca="1" si="292"/>
        <v>#DIV/0!</v>
      </c>
      <c r="BO142" s="293">
        <f t="shared" si="441"/>
        <v>22</v>
      </c>
      <c r="BP142" s="41">
        <f t="shared" si="442"/>
        <v>15</v>
      </c>
      <c r="BQ142" s="41">
        <f t="shared" si="443"/>
        <v>7</v>
      </c>
      <c r="BR142" s="305" t="str">
        <f t="shared" ca="1" si="295"/>
        <v/>
      </c>
      <c r="BS142" s="305" t="str">
        <f t="shared" ca="1" si="444"/>
        <v/>
      </c>
      <c r="BT142" s="307" t="str">
        <f t="shared" ca="1" si="445"/>
        <v/>
      </c>
      <c r="BU142" s="161" t="str">
        <f t="shared" ca="1" si="298"/>
        <v/>
      </c>
      <c r="BV142" s="161" t="str">
        <f t="shared" ca="1" si="299"/>
        <v/>
      </c>
      <c r="BW142" s="308" t="str">
        <f t="shared" ca="1" si="300"/>
        <v/>
      </c>
      <c r="BX142" s="309" t="str">
        <f t="shared" ca="1" si="301"/>
        <v/>
      </c>
      <c r="BY142" s="308" t="str">
        <f t="shared" ca="1" si="446"/>
        <v/>
      </c>
      <c r="BZ142" s="309" t="str">
        <f t="shared" ca="1" si="447"/>
        <v/>
      </c>
      <c r="CA142" s="154" t="str">
        <f t="shared" ca="1" si="302"/>
        <v/>
      </c>
      <c r="CB142" s="154" t="str">
        <f t="shared" ca="1" si="303"/>
        <v/>
      </c>
      <c r="CC142" s="154" t="str">
        <f t="shared" ca="1" si="304"/>
        <v/>
      </c>
      <c r="CD142" s="154" t="str">
        <f t="shared" ca="1" si="305"/>
        <v/>
      </c>
      <c r="CE142" s="310">
        <v>1</v>
      </c>
      <c r="CF142" s="162">
        <f ca="1">IF(BD142,_xll.xCrudeAPO(BU142,BV142,CA142,CB142,S143,S144,BI142,BL142,BP142,BQ142,0,Strike1,AO142,CE142,0,BL142,IF(OptControl=4,0,1),0,1),0)</f>
        <v>0</v>
      </c>
      <c r="CG142" s="163">
        <f ca="1">IF(BD142,_xll.xCrudeAPO(BU142,BV142,CA142,CB142,S143,S144,BI142,BL142,BP142,BQ142,0,Strike1,AO142,CE142,0,BL142,IF(OptControl=4,0,1),1,1)+_xll.xCrudeAPO(BU142,BV142,CA142,CB142,S143,S144,BI142,BL142,BP142,BQ142,0,Strike1,AO142,CE142,0,BL142,IF(OptControl=4,0,1),1,2)+IF(OR(VolSkewFlag=2,ABS(BS142)&lt;0.0001),0,IF(BS142&gt;0,-1,1)*CH142*Strike1/BR142^2*BY142/10%),0)</f>
        <v>0</v>
      </c>
      <c r="CH142" s="163">
        <f ca="1">IF(BD142,(_xll.xCrudeAPO(BU142,BV142,CA142,CB142,S143,S144,BI142,BL142,BP142,BQ142,0,Strike1,AO142,CE142,0,BL142,IF(OptControl=4,0,1),3,1)+_xll.xCrudeAPO(BU142,BV142,CA142,CB142,S143,S144,BI142,BL142,BP142,BQ142,0,Strike1,AO142,CE142,0,BL142,IF(OptControl=4,0,1),3,2))/100,0)</f>
        <v>0</v>
      </c>
      <c r="CI142" s="163">
        <f ca="1">IF(BD142,_xll.xCrudeAPO(BU142,BV142,CA142,CB142,S143,S144,BI142-DaysForThetaCalculation/365.25,BL142-DaysForThetaCalculation/365.25,BP142,BQ142,0,Strike1,AO142,CE142,0,BL142,IF(OptControl=4,0,1),0,1)-_xll.xCrudeAPO(BU142,BV142,CA142,CB142,S143,S144,BI142,BL142,BP142,BQ142,0,Strike1,AO142,CE142,0,BL142,IF(OptControl=4,0,1),0,1),0)</f>
        <v>0</v>
      </c>
      <c r="CJ142" s="311">
        <f ca="1">IF(BD142,_xll.xCrudeAPO(BU142,BV142,CC142,CD142,S143,S144,BI142,BL142,BP142,BQ142,0,Strike2,AO142,CE142,0,BL142,IF(OptControl=3,1,0),0,1),0)</f>
        <v>0</v>
      </c>
      <c r="CK142" s="163">
        <f ca="1">IF(BD142,_xll.xCrudeAPO(BU142,BV142,CC142,CD142,S143,S144,BI142,BL142,BP142,BQ142,0,Strike2,AO142,CE142,0,BL142,IF(OptControl=3,1,0),1,1)+_xll.xCrudeAPO(BU142,BV142,CC142,CD142,S143,S144,BI142,BL142,BP142,BQ142,0,Strike2,AO142,CE142,0,BL142,IF(OptControl=3,1,0),1,2)+IF(OR(VolSkewFlag=2,ABS(BT142)&lt;0.0001),0,IF(BT142&gt;0,-1,1)*CL142*Strike2/BR142^2*BZ142/10%),0)</f>
        <v>0</v>
      </c>
      <c r="CL142" s="163">
        <f ca="1">IF(BD142,(_xll.xCrudeAPO(BU142,BV142,CC142,CD142,S143,S144,BI142,BL142,BP142,BQ142,0,Strike2,AO142,CE142,0,BL142,IF(OptControl=3,1,0),3,1)+_xll.xCrudeAPO(BU142,BV142,CC142,CD142,S143,S144,BI142,BL142,BP142,BQ142,0,Strike2,AO142,CE142,0,BL142,IF(OptControl=3,1,0),3,2))/100,0)</f>
        <v>0</v>
      </c>
      <c r="CM142" s="164">
        <f ca="1">IF(BD142,_xll.xCrudeAPO(BU142,BV142,CC142,CD142,S143,S144,BI142-DaysForThetaCalculation/365.25,BL142-DaysForThetaCalculation/365.25,BP142,BQ142,0,Strike2,AO142,CE142,0,BL142,IF(OptControl=3,1,0),0,1)-_xll.xCrudeAPO(BU142,BV142,CC142,CD142,S143,S144,BI142,BL142,BP142,BQ142,0,Strike2,AO142,CE142,0,BL142,IF(OptControl=3,1,0),0,1),0)</f>
        <v>0</v>
      </c>
      <c r="CN142" s="53"/>
      <c r="CO142" s="796" t="str">
        <f t="shared" ca="1" si="323"/>
        <v/>
      </c>
      <c r="CP142" s="800" t="str">
        <f t="shared" ca="1" si="324"/>
        <v/>
      </c>
      <c r="CQ142" s="797" t="str">
        <f t="shared" ca="1" si="325"/>
        <v/>
      </c>
      <c r="CR142" s="797" t="str">
        <f t="shared" ca="1" si="326"/>
        <v/>
      </c>
      <c r="CS142" s="797" t="str">
        <f t="shared" ca="1" si="327"/>
        <v/>
      </c>
      <c r="CT142" s="797" t="str">
        <f t="shared" ca="1" si="328"/>
        <v/>
      </c>
      <c r="CU142" s="798" t="str">
        <f t="shared" ca="1" si="329"/>
        <v/>
      </c>
      <c r="CV142" s="799" t="str">
        <f t="shared" ca="1" si="330"/>
        <v/>
      </c>
      <c r="CW142" s="799" t="str">
        <f t="shared" ca="1" si="331"/>
        <v/>
      </c>
      <c r="CX142" s="163">
        <f ca="1">IF(BD142,_xll.EURO(CP142,Strike1,AO142,AO142,CV142,CO142,IF(OptControl=4,0,1),0),0)</f>
        <v>0</v>
      </c>
      <c r="CY142" s="163">
        <f ca="1">IF(BD142,_xll.EURO(CP142,Strike1,AO142,AO142,CV142,CO142,IF(OptControl=4,0,1),1)+IF(OR(VolSkewFlag=2,ABS(CQ142)&lt;0.0001),0,IF(CQ142&gt;0,-1,1)*CZ142*100*Strike1/CP142^2*CS142/10%),0)</f>
        <v>0</v>
      </c>
      <c r="CZ142" s="163">
        <f ca="1">IF(BD142,_xll.EURO(CP142,Strike1,AO142,AO142,CV142,CO142,IF(OptControl=4,0,1),3)/100,0)</f>
        <v>0</v>
      </c>
      <c r="DA142" s="163">
        <f ca="1">IF(BD142,_xll.EURO(CP142,Strike1,AO142,AO142,CV142,CO142,IF(OptControl=4,0,1),0)-_xll.EURO(CP142,Strike1,AO142,AO142,CV142,CO142-1,IF(OptControl=4,0,1),0),0)</f>
        <v>0</v>
      </c>
      <c r="DB142" s="163">
        <f ca="1">IF(BD142,_xll.EURO(CP142,Strike2,AO142,AO142,CW142,CO142,IF(OptControl=3,1,0),0),0)</f>
        <v>0</v>
      </c>
      <c r="DC142" s="163">
        <f ca="1">IF(BD142,_xll.EURO(CP142,Strike2,AO142,AO142,CW142,CO142,IF(OptControl=3,1,0),1)+IF(OR(VolSkewFlag=2,ABS(CR142)&lt;0.0001),0,IF(CR142&gt;0,-1,1)*DD142*100*Strike2/CP142^2*CT142/10%),0)</f>
        <v>0</v>
      </c>
      <c r="DD142" s="163">
        <f ca="1">IF(BD142,_xll.EURO(CP142,Strike2,AO142,AO142,CW142,CO142,IF(OptControl=3,1,0),3)/100,0)</f>
        <v>0</v>
      </c>
      <c r="DE142" s="164">
        <f ca="1">IF(BD142,_xll.EURO(CP142,Strike2,AO142,AO142,CW142,CO142,IF(OptControl=3,1,0),0)-_xll.EURO(CP142,Strike2,AO142,AO142,CW142,CO142-1,IF(OptControl=3,1,0),0),0)</f>
        <v>0</v>
      </c>
      <c r="DG142" s="667">
        <f t="shared" ca="1" si="332"/>
        <v>40269</v>
      </c>
      <c r="DH142" s="475">
        <v>20.260000000000002</v>
      </c>
      <c r="DI142" s="665">
        <v>20.328181818181854</v>
      </c>
      <c r="DJ142" s="666">
        <f t="shared" ca="1" si="466"/>
        <v>40269</v>
      </c>
      <c r="DK142" s="475">
        <v>19.063729757531991</v>
      </c>
      <c r="DL142" s="665">
        <v>19.036681818181854</v>
      </c>
      <c r="DM142" s="667">
        <f t="shared" ca="1" si="467"/>
        <v>40269</v>
      </c>
      <c r="DN142" s="668">
        <f t="shared" si="468"/>
        <v>19.113729757531992</v>
      </c>
      <c r="DO142" s="667">
        <f t="shared" ca="1" si="333"/>
        <v>40269</v>
      </c>
      <c r="DP142" s="579">
        <f t="shared" si="334"/>
        <v>19.036681818181854</v>
      </c>
      <c r="DQ142" s="821">
        <v>0</v>
      </c>
      <c r="DR142" s="666">
        <f t="shared" ca="1" si="469"/>
        <v>40269</v>
      </c>
      <c r="DS142" s="669">
        <v>0.15139999999999904</v>
      </c>
      <c r="DT142" s="606">
        <v>0.15058181818181723</v>
      </c>
      <c r="DU142" s="666">
        <f t="shared" ca="1" si="470"/>
        <v>40269</v>
      </c>
      <c r="DV142" s="669">
        <v>0.15139999999999904</v>
      </c>
      <c r="DW142" s="606">
        <v>0.15058181818181723</v>
      </c>
      <c r="DX142" s="667">
        <f t="shared" ca="1" si="471"/>
        <v>40269</v>
      </c>
      <c r="DY142" s="606">
        <v>0.35</v>
      </c>
      <c r="DZ142" s="667">
        <f t="shared" ca="1" si="335"/>
        <v>40269</v>
      </c>
      <c r="EA142" s="606">
        <f t="shared" si="336"/>
        <v>0.15058181818181723</v>
      </c>
      <c r="EB142" s="1"/>
      <c r="EC142" s="118" t="str">
        <f t="shared" ca="1" si="472"/>
        <v/>
      </c>
      <c r="ED142" s="119" t="str">
        <f t="shared" ca="1" si="313"/>
        <v/>
      </c>
      <c r="EE142" s="112" t="str">
        <f t="shared" ca="1" si="314"/>
        <v/>
      </c>
      <c r="EF142" s="120">
        <f ca="1">IF(BD142,_xll.xASN(BR142,Strike1,AO142,ED142,0,BO142,0,BI142,BL142,IF(OptControl=4,0,1),0),0)</f>
        <v>0</v>
      </c>
      <c r="EG142" s="111">
        <f ca="1">IF(BD142,_xll.xASN(BR142,Strike2,AO142,EE142,0,BO142,0,BI142,BL142,IF(OptControl=3,1,0),0),0)</f>
        <v>0</v>
      </c>
      <c r="EL142" s="55"/>
      <c r="EM142" s="1"/>
      <c r="EN142" s="106"/>
      <c r="EO142" s="106"/>
      <c r="EP142" s="1"/>
      <c r="EQ142" s="683" t="s">
        <v>355</v>
      </c>
      <c r="ES142" s="455"/>
      <c r="ET142" s="36"/>
      <c r="EU142" s="107"/>
      <c r="EV142" s="475"/>
      <c r="EW142" s="456"/>
      <c r="EX142" s="456"/>
      <c r="EY142" s="250"/>
      <c r="EZ142" s="250"/>
      <c r="FA142" s="250"/>
      <c r="FB142" s="250"/>
      <c r="FC142" s="250"/>
      <c r="FD142" s="250"/>
      <c r="FE142" s="250"/>
      <c r="FF142" s="250"/>
      <c r="FG142" s="250"/>
      <c r="FH142" s="250"/>
      <c r="FI142" s="250"/>
      <c r="FJ142" s="673">
        <v>48</v>
      </c>
      <c r="FK142" s="460">
        <f t="shared" ca="1" si="479"/>
        <v>0</v>
      </c>
      <c r="FL142" s="460">
        <f t="shared" ca="1" si="487"/>
        <v>0.16621990916779561</v>
      </c>
      <c r="FM142" s="460">
        <f t="shared" ca="1" si="487"/>
        <v>0.17061075104749995</v>
      </c>
      <c r="FN142" s="460">
        <f t="shared" ca="1" si="487"/>
        <v>0.16734885794232407</v>
      </c>
      <c r="FO142" s="460">
        <f t="shared" ca="1" si="487"/>
        <v>0.16490983940250531</v>
      </c>
      <c r="FP142" s="460">
        <f t="shared" ca="1" si="487"/>
        <v>0.16308927410438587</v>
      </c>
      <c r="FQ142" s="460">
        <f t="shared" ca="1" si="487"/>
        <v>0.1617340618062974</v>
      </c>
      <c r="FR142" s="460">
        <f t="shared" ca="1" si="487"/>
        <v>0.16072963052693032</v>
      </c>
      <c r="FS142" s="460">
        <f t="shared" ca="1" si="487"/>
        <v>0.15999034829848072</v>
      </c>
      <c r="FT142" s="460">
        <f t="shared" ca="1" si="487"/>
        <v>0.1594523394745761</v>
      </c>
      <c r="FU142" s="460">
        <f t="shared" ca="1" si="487"/>
        <v>0.15906810578014419</v>
      </c>
      <c r="FV142" s="460">
        <f t="shared" ca="1" si="487"/>
        <v>0.15880250248490943</v>
      </c>
      <c r="FW142" s="460">
        <f t="shared" ca="1" si="487"/>
        <v>0.15862973277564413</v>
      </c>
      <c r="FX142" s="460">
        <f t="shared" ca="1" si="487"/>
        <v>0.15853110798040565</v>
      </c>
      <c r="FY142" s="460">
        <f t="shared" ca="1" si="487"/>
        <v>0.15849338480280112</v>
      </c>
      <c r="FZ142" s="460">
        <f t="shared" ca="1" si="487"/>
        <v>0.15850753844086096</v>
      </c>
      <c r="GA142" s="460">
        <f t="shared" ca="1" si="487"/>
        <v>0.15856786636178818</v>
      </c>
      <c r="GB142" s="460">
        <f t="shared" ca="1" si="487"/>
        <v>0.15867134456307633</v>
      </c>
      <c r="GC142" s="460">
        <f t="shared" ca="1" si="487"/>
        <v>0.15881717861720013</v>
      </c>
      <c r="GD142" s="460">
        <f t="shared" ca="1" si="487"/>
        <v>0.15900650736587202</v>
      </c>
      <c r="GE142" s="460">
        <f t="shared" ca="1" si="487"/>
        <v>0.15924222908641625</v>
      </c>
      <c r="GF142" s="460">
        <f t="shared" ca="1" si="487"/>
        <v>0.15952892928147019</v>
      </c>
      <c r="GG142" s="460">
        <f t="shared" ca="1" si="487"/>
        <v>0.15987289670975779</v>
      </c>
      <c r="GH142" s="460">
        <f t="shared" ca="1" si="487"/>
        <v>0.16028222049250981</v>
      </c>
      <c r="GI142" s="460">
        <f t="shared" ca="1" si="487"/>
        <v>0.1607669666096686</v>
      </c>
      <c r="GJ142" s="460">
        <f t="shared" ca="1" si="487"/>
        <v>0.16133943730133035</v>
      </c>
      <c r="GK142" s="460">
        <f t="shared" ca="1" si="487"/>
        <v>0.16201452226325291</v>
      </c>
      <c r="GL142" s="460">
        <f t="shared" ca="1" si="487"/>
        <v>0.16281015656035525</v>
      </c>
      <c r="GM142" s="460">
        <f t="shared" ca="1" si="487"/>
        <v>0.16374790746608547</v>
      </c>
      <c r="GN142" s="460">
        <f t="shared" ca="1" si="487"/>
        <v>0.164853721730474</v>
      </c>
      <c r="GO142" s="460">
        <f t="shared" ca="1" si="487"/>
        <v>0.16615887713344091</v>
      </c>
      <c r="GP142" s="460">
        <f t="shared" ca="1" si="487"/>
        <v>0.16770119909218087</v>
      </c>
      <c r="GQ142" s="460">
        <f t="shared" ca="1" si="487"/>
        <v>0.1695266267711007</v>
      </c>
      <c r="GR142" s="460">
        <f t="shared" ca="1" si="487"/>
        <v>0.17169124691705398</v>
      </c>
      <c r="GS142" s="460">
        <f t="shared" ca="1" si="487"/>
        <v>0.17426396262111576</v>
      </c>
      <c r="GT142" s="460">
        <f t="shared" ca="1" si="487"/>
        <v>0.17733003638269065</v>
      </c>
      <c r="GU142" s="460">
        <f t="shared" ca="1" si="487"/>
        <v>0.18099585495482701</v>
      </c>
      <c r="GV142" s="460">
        <f t="shared" ca="1" si="487"/>
        <v>0.1853954281609175</v>
      </c>
      <c r="GW142" s="460">
        <f t="shared" ca="1" si="487"/>
        <v>0.19069938947663981</v>
      </c>
      <c r="GX142" s="460">
        <f t="shared" ca="1" si="487"/>
        <v>0.19712767077799806</v>
      </c>
      <c r="GY142" s="460">
        <f t="shared" ca="1" si="487"/>
        <v>0.20496767816190958</v>
      </c>
      <c r="GZ142" s="460">
        <f t="shared" ca="1" si="487"/>
        <v>0.21460087999586808</v>
      </c>
      <c r="HA142" s="460">
        <f t="shared" ca="1" si="487"/>
        <v>0.22654256231915387</v>
      </c>
      <c r="HB142" s="460">
        <f t="shared" ca="1" si="487"/>
        <v>0.24150273545208895</v>
      </c>
      <c r="HC142" s="460">
        <f t="shared" ca="1" si="487"/>
        <v>0.26048201597405857</v>
      </c>
      <c r="HD142" s="460">
        <f t="shared" ca="1" si="487"/>
        <v>0.2849272656406675</v>
      </c>
      <c r="HE142" s="460">
        <f t="shared" ca="1" si="487"/>
        <v>0.3169931954204312</v>
      </c>
      <c r="HF142" s="460">
        <f t="shared" ca="1" si="487"/>
        <v>0.36000007159424396</v>
      </c>
      <c r="HG142" s="460" t="str">
        <f t="shared" si="487"/>
        <v/>
      </c>
      <c r="HH142" s="460" t="str">
        <f t="shared" si="487"/>
        <v/>
      </c>
      <c r="HI142" s="460" t="str">
        <f t="shared" si="487"/>
        <v/>
      </c>
      <c r="HJ142" s="460" t="str">
        <f t="shared" si="487"/>
        <v/>
      </c>
      <c r="HK142" s="460" t="str">
        <f t="shared" si="487"/>
        <v/>
      </c>
      <c r="HL142" s="460" t="str">
        <f t="shared" si="487"/>
        <v/>
      </c>
      <c r="HM142" s="460" t="str">
        <f t="shared" si="487"/>
        <v/>
      </c>
      <c r="HN142" s="460" t="str">
        <f t="shared" si="487"/>
        <v/>
      </c>
      <c r="HO142" s="460" t="str">
        <f t="shared" si="487"/>
        <v/>
      </c>
      <c r="HP142" s="460" t="str">
        <f t="shared" si="487"/>
        <v/>
      </c>
      <c r="HQ142" s="460" t="str">
        <f t="shared" si="487"/>
        <v/>
      </c>
      <c r="HR142" s="460" t="str">
        <f t="shared" si="487"/>
        <v/>
      </c>
      <c r="HS142" s="460" t="str">
        <f t="shared" si="487"/>
        <v/>
      </c>
      <c r="HT142" s="460" t="str">
        <f t="shared" si="487"/>
        <v/>
      </c>
      <c r="HU142" s="460" t="str">
        <f t="shared" si="487"/>
        <v/>
      </c>
      <c r="HV142" s="460" t="str">
        <f t="shared" si="487"/>
        <v/>
      </c>
      <c r="HW142" s="460" t="str">
        <f t="shared" si="487"/>
        <v/>
      </c>
      <c r="HX142" s="460" t="str">
        <f t="shared" si="486"/>
        <v/>
      </c>
      <c r="HY142" s="460" t="str">
        <f t="shared" si="486"/>
        <v/>
      </c>
      <c r="HZ142" s="460" t="str">
        <f t="shared" si="486"/>
        <v/>
      </c>
      <c r="IA142" s="460" t="str">
        <f t="shared" si="486"/>
        <v/>
      </c>
      <c r="IB142" s="460" t="str">
        <f t="shared" si="486"/>
        <v/>
      </c>
      <c r="IC142" s="460" t="str">
        <f t="shared" si="486"/>
        <v/>
      </c>
      <c r="ID142" s="674" t="str">
        <f t="shared" si="486"/>
        <v/>
      </c>
      <c r="IE142" s="250"/>
    </row>
    <row r="143" spans="8:239">
      <c r="H143" s="51">
        <f t="shared" ca="1" si="315"/>
        <v>0</v>
      </c>
      <c r="I143" s="379">
        <f t="shared" si="316"/>
        <v>40513</v>
      </c>
      <c r="J143" s="377"/>
      <c r="K143" s="104" t="s">
        <v>268</v>
      </c>
      <c r="L143" s="392">
        <f t="shared" si="317"/>
        <v>1.7625000000000015</v>
      </c>
      <c r="M143" s="171"/>
      <c r="N143" s="382">
        <v>0</v>
      </c>
      <c r="O143" s="171">
        <f t="shared" si="272"/>
        <v>0</v>
      </c>
      <c r="P143" s="377"/>
      <c r="Q143" s="104" t="s">
        <v>268</v>
      </c>
      <c r="R143" s="377">
        <f t="shared" ca="1" si="417"/>
        <v>0.56981108336305986</v>
      </c>
      <c r="S143" s="832">
        <f t="shared" si="435"/>
        <v>0.3600000000000001</v>
      </c>
      <c r="T143" s="831">
        <f t="shared" si="418"/>
        <v>0.99999999951880658</v>
      </c>
      <c r="U143" s="545">
        <f t="shared" si="419"/>
        <v>0.99999999999999978</v>
      </c>
      <c r="V143" s="389">
        <v>0</v>
      </c>
      <c r="W143" s="434">
        <f t="shared" si="455"/>
        <v>0</v>
      </c>
      <c r="X143" s="415">
        <f t="shared" si="456"/>
        <v>1.8146739130434799</v>
      </c>
      <c r="Y143" s="322">
        <f t="shared" si="457"/>
        <v>-1.1931</v>
      </c>
      <c r="Z143" s="322">
        <f t="shared" ca="1" si="458"/>
        <v>0.62157391304347986</v>
      </c>
      <c r="AA143" s="429">
        <f t="shared" si="277"/>
        <v>1.1931</v>
      </c>
      <c r="AB143" s="433">
        <f t="shared" ca="1" si="278"/>
        <v>1.1931</v>
      </c>
      <c r="AC143" s="229">
        <v>40502</v>
      </c>
      <c r="AD143" s="229">
        <v>40498</v>
      </c>
      <c r="AE143" s="229">
        <v>40497</v>
      </c>
      <c r="AF143" s="229">
        <v>40493</v>
      </c>
      <c r="AG143" s="249" t="s">
        <v>499</v>
      </c>
      <c r="AH143" s="247" t="s">
        <v>499</v>
      </c>
      <c r="AI143" s="146">
        <v>23</v>
      </c>
      <c r="AJ143" s="41">
        <v>14</v>
      </c>
      <c r="AK143" s="41">
        <v>9</v>
      </c>
      <c r="AL143" s="293">
        <v>23</v>
      </c>
      <c r="AM143" s="41">
        <v>10</v>
      </c>
      <c r="AN143" s="147">
        <v>13</v>
      </c>
      <c r="AO143" s="374"/>
      <c r="AP143" s="153">
        <f t="shared" ca="1" si="318"/>
        <v>1</v>
      </c>
      <c r="AQ143" s="374"/>
      <c r="AR143" s="153">
        <f t="shared" ca="1" si="420"/>
        <v>1</v>
      </c>
      <c r="AS143" s="272">
        <f t="shared" si="459"/>
        <v>0</v>
      </c>
      <c r="AT143" s="157">
        <f t="shared" si="319"/>
        <v>0</v>
      </c>
      <c r="AU143" s="157">
        <f t="shared" si="280"/>
        <v>0</v>
      </c>
      <c r="AV143" s="271">
        <f t="shared" ca="1" si="430"/>
        <v>9.9999999999999995E-7</v>
      </c>
      <c r="AW143" s="158" t="str">
        <f t="shared" ca="1" si="460"/>
        <v/>
      </c>
      <c r="AX143" s="157">
        <f t="shared" ca="1" si="421"/>
        <v>4.0127182457540565E-4</v>
      </c>
      <c r="AY143" s="157">
        <f t="shared" ca="1" si="422"/>
        <v>1.3677969938212026E-4</v>
      </c>
      <c r="AZ143" s="157">
        <f t="shared" ca="1" si="423"/>
        <v>1.2002214629788927E-5</v>
      </c>
      <c r="BA143" s="157">
        <f t="shared" ca="1" si="424"/>
        <v>1.5002768287236159E-6</v>
      </c>
      <c r="BB143" s="157">
        <f t="shared" ca="1" si="425"/>
        <v>5.0168235035842439E-8</v>
      </c>
      <c r="BC143" s="157">
        <f t="shared" ca="1" si="426"/>
        <v>4.5016611256097259E-9</v>
      </c>
      <c r="BD143" s="151">
        <f t="shared" ca="1" si="461"/>
        <v>0</v>
      </c>
      <c r="BE143" s="152">
        <f t="shared" ca="1" si="462"/>
        <v>0</v>
      </c>
      <c r="BF143" s="40">
        <f t="shared" si="463"/>
        <v>2010</v>
      </c>
      <c r="BG143" s="144">
        <f t="shared" si="464"/>
        <v>12</v>
      </c>
      <c r="BH143" s="145">
        <f t="shared" ca="1" si="465"/>
        <v>3753</v>
      </c>
      <c r="BI143" s="313">
        <f t="shared" ca="1" si="439"/>
        <v>10.316221765913758</v>
      </c>
      <c r="BJ143" s="42">
        <f t="shared" ca="1" si="288"/>
        <v>10.366217302026604</v>
      </c>
      <c r="BK143" s="42">
        <f t="shared" ca="1" si="289"/>
        <v>10.368955152813736</v>
      </c>
      <c r="BL143" s="42">
        <f t="shared" ca="1" si="440"/>
        <v>10.39835728952772</v>
      </c>
      <c r="BM143" s="150" t="e">
        <f t="shared" ca="1" si="291"/>
        <v>#DIV/0!</v>
      </c>
      <c r="BN143" s="42" t="e">
        <f t="shared" ca="1" si="292"/>
        <v>#DIV/0!</v>
      </c>
      <c r="BO143" s="293">
        <f t="shared" si="441"/>
        <v>23</v>
      </c>
      <c r="BP143" s="41">
        <f t="shared" si="442"/>
        <v>14</v>
      </c>
      <c r="BQ143" s="41">
        <f t="shared" si="443"/>
        <v>9</v>
      </c>
      <c r="BR143" s="305" t="str">
        <f t="shared" ca="1" si="295"/>
        <v/>
      </c>
      <c r="BS143" s="305" t="str">
        <f t="shared" ca="1" si="444"/>
        <v/>
      </c>
      <c r="BT143" s="307" t="str">
        <f t="shared" ca="1" si="445"/>
        <v/>
      </c>
      <c r="BU143" s="161" t="str">
        <f t="shared" ca="1" si="298"/>
        <v/>
      </c>
      <c r="BV143" s="161" t="str">
        <f t="shared" ca="1" si="299"/>
        <v/>
      </c>
      <c r="BW143" s="308" t="str">
        <f t="shared" ca="1" si="300"/>
        <v/>
      </c>
      <c r="BX143" s="309" t="str">
        <f t="shared" ca="1" si="301"/>
        <v/>
      </c>
      <c r="BY143" s="308" t="str">
        <f t="shared" ca="1" si="446"/>
        <v/>
      </c>
      <c r="BZ143" s="309" t="str">
        <f t="shared" ca="1" si="447"/>
        <v/>
      </c>
      <c r="CA143" s="154" t="str">
        <f t="shared" ca="1" si="302"/>
        <v/>
      </c>
      <c r="CB143" s="154" t="str">
        <f t="shared" ca="1" si="303"/>
        <v/>
      </c>
      <c r="CC143" s="154" t="str">
        <f t="shared" ca="1" si="304"/>
        <v/>
      </c>
      <c r="CD143" s="154" t="str">
        <f t="shared" ca="1" si="305"/>
        <v/>
      </c>
      <c r="CE143" s="310">
        <v>1</v>
      </c>
      <c r="CF143" s="162">
        <f ca="1">IF(BD143,_xll.xCrudeAPO(BU143,BV143,CA143,CB143,S144,S145,BI143,BL143,BP143,BQ143,0,Strike1,AO143,CE143,0,BL143,IF(OptControl=4,0,1),0,1),0)</f>
        <v>0</v>
      </c>
      <c r="CG143" s="163">
        <f ca="1">IF(BD143,_xll.xCrudeAPO(BU143,BV143,CA143,CB143,S144,S145,BI143,BL143,BP143,BQ143,0,Strike1,AO143,CE143,0,BL143,IF(OptControl=4,0,1),1,1)+_xll.xCrudeAPO(BU143,BV143,CA143,CB143,S144,S145,BI143,BL143,BP143,BQ143,0,Strike1,AO143,CE143,0,BL143,IF(OptControl=4,0,1),1,2)+IF(OR(VolSkewFlag=2,ABS(BS143)&lt;0.0001),0,IF(BS143&gt;0,-1,1)*CH143*Strike1/BR143^2*BY143/10%),0)</f>
        <v>0</v>
      </c>
      <c r="CH143" s="163">
        <f ca="1">IF(BD143,(_xll.xCrudeAPO(BU143,BV143,CA143,CB143,S144,S145,BI143,BL143,BP143,BQ143,0,Strike1,AO143,CE143,0,BL143,IF(OptControl=4,0,1),3,1)+_xll.xCrudeAPO(BU143,BV143,CA143,CB143,S144,S145,BI143,BL143,BP143,BQ143,0,Strike1,AO143,CE143,0,BL143,IF(OptControl=4,0,1),3,2))/100,0)</f>
        <v>0</v>
      </c>
      <c r="CI143" s="163">
        <f ca="1">IF(BD143,_xll.xCrudeAPO(BU143,BV143,CA143,CB143,S144,S145,BI143-DaysForThetaCalculation/365.25,BL143-DaysForThetaCalculation/365.25,BP143,BQ143,0,Strike1,AO143,CE143,0,BL143,IF(OptControl=4,0,1),0,1)-_xll.xCrudeAPO(BU143,BV143,CA143,CB143,S144,S145,BI143,BL143,BP143,BQ143,0,Strike1,AO143,CE143,0,BL143,IF(OptControl=4,0,1),0,1),0)</f>
        <v>0</v>
      </c>
      <c r="CJ143" s="311">
        <f ca="1">IF(BD143,_xll.xCrudeAPO(BU143,BV143,CC143,CD143,S144,S145,BI143,BL143,BP143,BQ143,0,Strike2,AO143,CE143,0,BL143,IF(OptControl=3,1,0),0,1),0)</f>
        <v>0</v>
      </c>
      <c r="CK143" s="163">
        <f ca="1">IF(BD143,_xll.xCrudeAPO(BU143,BV143,CC143,CD143,S144,S145,BI143,BL143,BP143,BQ143,0,Strike2,AO143,CE143,0,BL143,IF(OptControl=3,1,0),1,1)+_xll.xCrudeAPO(BU143,BV143,CC143,CD143,S144,S145,BI143,BL143,BP143,BQ143,0,Strike2,AO143,CE143,0,BL143,IF(OptControl=3,1,0),1,2)+IF(OR(VolSkewFlag=2,ABS(BT143)&lt;0.0001),0,IF(BT143&gt;0,-1,1)*CL143*Strike2/BR143^2*BZ143/10%),0)</f>
        <v>0</v>
      </c>
      <c r="CL143" s="163">
        <f ca="1">IF(BD143,(_xll.xCrudeAPO(BU143,BV143,CC143,CD143,S144,S145,BI143,BL143,BP143,BQ143,0,Strike2,AO143,CE143,0,BL143,IF(OptControl=3,1,0),3,1)+_xll.xCrudeAPO(BU143,BV143,CC143,CD143,S144,S145,BI143,BL143,BP143,BQ143,0,Strike2,AO143,CE143,0,BL143,IF(OptControl=3,1,0),3,2))/100,0)</f>
        <v>0</v>
      </c>
      <c r="CM143" s="164">
        <f ca="1">IF(BD143,_xll.xCrudeAPO(BU143,BV143,CC143,CD143,S144,S145,BI143-DaysForThetaCalculation/365.25,BL143-DaysForThetaCalculation/365.25,BP143,BQ143,0,Strike2,AO143,CE143,0,BL143,IF(OptControl=3,1,0),0,1)-_xll.xCrudeAPO(BU143,BV143,CC143,CD143,S144,S145,BI143,BL143,BP143,BQ143,0,Strike2,AO143,CE143,0,BL143,IF(OptControl=3,1,0),0,1),0)</f>
        <v>0</v>
      </c>
      <c r="CN143" s="53"/>
      <c r="CO143" s="796" t="str">
        <f t="shared" ca="1" si="323"/>
        <v/>
      </c>
      <c r="CP143" s="800" t="str">
        <f t="shared" ca="1" si="324"/>
        <v/>
      </c>
      <c r="CQ143" s="797" t="str">
        <f t="shared" ca="1" si="325"/>
        <v/>
      </c>
      <c r="CR143" s="797" t="str">
        <f t="shared" ca="1" si="326"/>
        <v/>
      </c>
      <c r="CS143" s="797" t="str">
        <f t="shared" ca="1" si="327"/>
        <v/>
      </c>
      <c r="CT143" s="797" t="str">
        <f t="shared" ca="1" si="328"/>
        <v/>
      </c>
      <c r="CU143" s="798" t="str">
        <f t="shared" ca="1" si="329"/>
        <v/>
      </c>
      <c r="CV143" s="799" t="str">
        <f t="shared" ca="1" si="330"/>
        <v/>
      </c>
      <c r="CW143" s="799" t="str">
        <f t="shared" ca="1" si="331"/>
        <v/>
      </c>
      <c r="CX143" s="163">
        <f ca="1">IF(BD143,_xll.EURO(CP143,Strike1,AO143,AO143,CV143,CO143,IF(OptControl=4,0,1),0),0)</f>
        <v>0</v>
      </c>
      <c r="CY143" s="163">
        <f ca="1">IF(BD143,_xll.EURO(CP143,Strike1,AO143,AO143,CV143,CO143,IF(OptControl=4,0,1),1)+IF(OR(VolSkewFlag=2,ABS(CQ143)&lt;0.0001),0,IF(CQ143&gt;0,-1,1)*CZ143*100*Strike1/CP143^2*CS143/10%),0)</f>
        <v>0</v>
      </c>
      <c r="CZ143" s="163">
        <f ca="1">IF(BD143,_xll.EURO(CP143,Strike1,AO143,AO143,CV143,CO143,IF(OptControl=4,0,1),3)/100,0)</f>
        <v>0</v>
      </c>
      <c r="DA143" s="163">
        <f ca="1">IF(BD143,_xll.EURO(CP143,Strike1,AO143,AO143,CV143,CO143,IF(OptControl=4,0,1),0)-_xll.EURO(CP143,Strike1,AO143,AO143,CV143,CO143-1,IF(OptControl=4,0,1),0),0)</f>
        <v>0</v>
      </c>
      <c r="DB143" s="163">
        <f ca="1">IF(BD143,_xll.EURO(CP143,Strike2,AO143,AO143,CW143,CO143,IF(OptControl=3,1,0),0),0)</f>
        <v>0</v>
      </c>
      <c r="DC143" s="163">
        <f ca="1">IF(BD143,_xll.EURO(CP143,Strike2,AO143,AO143,CW143,CO143,IF(OptControl=3,1,0),1)+IF(OR(VolSkewFlag=2,ABS(CR143)&lt;0.0001),0,IF(CR143&gt;0,-1,1)*DD143*100*Strike2/CP143^2*CT143/10%),0)</f>
        <v>0</v>
      </c>
      <c r="DD143" s="163">
        <f ca="1">IF(BD143,_xll.EURO(CP143,Strike2,AO143,AO143,CW143,CO143,IF(OptControl=3,1,0),3)/100,0)</f>
        <v>0</v>
      </c>
      <c r="DE143" s="164">
        <f ca="1">IF(BD143,_xll.EURO(CP143,Strike2,AO143,AO143,CW143,CO143,IF(OptControl=3,1,0),0)-_xll.EURO(CP143,Strike2,AO143,AO143,CW143,CO143-1,IF(OptControl=3,1,0),0),0)</f>
        <v>0</v>
      </c>
      <c r="DG143" s="667">
        <f t="shared" ca="1" si="332"/>
        <v>40299</v>
      </c>
      <c r="DH143" s="475">
        <v>20.309999999999999</v>
      </c>
      <c r="DI143" s="665">
        <v>20.376666666666704</v>
      </c>
      <c r="DJ143" s="666">
        <f t="shared" ca="1" si="466"/>
        <v>40299</v>
      </c>
      <c r="DK143" s="475">
        <v>19.14363095574469</v>
      </c>
      <c r="DL143" s="665">
        <v>19.085166666666705</v>
      </c>
      <c r="DM143" s="667">
        <f t="shared" ca="1" si="467"/>
        <v>40299</v>
      </c>
      <c r="DN143" s="668">
        <f t="shared" si="468"/>
        <v>19.193630955744691</v>
      </c>
      <c r="DO143" s="667">
        <f t="shared" ca="1" si="333"/>
        <v>40299</v>
      </c>
      <c r="DP143" s="579">
        <f t="shared" si="334"/>
        <v>19.085166666666705</v>
      </c>
      <c r="DQ143" s="821">
        <v>0</v>
      </c>
      <c r="DR143" s="666">
        <f t="shared" ca="1" si="469"/>
        <v>40299</v>
      </c>
      <c r="DS143" s="669">
        <v>0.15079999999999902</v>
      </c>
      <c r="DT143" s="606">
        <v>0.14999999999999905</v>
      </c>
      <c r="DU143" s="666">
        <f t="shared" ca="1" si="470"/>
        <v>40299</v>
      </c>
      <c r="DV143" s="669">
        <v>0.15079999999999902</v>
      </c>
      <c r="DW143" s="606">
        <v>0.14999999999999905</v>
      </c>
      <c r="DX143" s="667">
        <f t="shared" ca="1" si="471"/>
        <v>40299</v>
      </c>
      <c r="DY143" s="606">
        <v>0.35</v>
      </c>
      <c r="DZ143" s="667">
        <f t="shared" ca="1" si="335"/>
        <v>40299</v>
      </c>
      <c r="EA143" s="606">
        <f t="shared" si="336"/>
        <v>0.14999999999999905</v>
      </c>
      <c r="EB143" s="1"/>
      <c r="EC143" s="118" t="str">
        <f t="shared" ca="1" si="472"/>
        <v/>
      </c>
      <c r="ED143" s="119" t="str">
        <f t="shared" ca="1" si="313"/>
        <v/>
      </c>
      <c r="EE143" s="112" t="str">
        <f t="shared" ca="1" si="314"/>
        <v/>
      </c>
      <c r="EF143" s="120">
        <f ca="1">IF(BD143,_xll.xASN(BR143,Strike1,AO143,ED143,0,BO143,0,BI143,BL143,IF(OptControl=4,0,1),0),0)</f>
        <v>0</v>
      </c>
      <c r="EG143" s="111">
        <f ca="1">IF(BD143,_xll.xASN(BR143,Strike2,AO143,EE143,0,BO143,0,BI143,BL143,IF(OptControl=3,1,0),0),0)</f>
        <v>0</v>
      </c>
      <c r="EL143" s="55"/>
      <c r="EM143" s="1"/>
      <c r="EN143" s="106"/>
      <c r="EO143" s="106"/>
      <c r="EP143" s="1"/>
      <c r="EQ143" s="683" t="s">
        <v>356</v>
      </c>
      <c r="ES143" s="455"/>
      <c r="ET143" s="36"/>
      <c r="EU143" s="107"/>
      <c r="EV143" s="475"/>
      <c r="EW143" s="456"/>
      <c r="EX143" s="456"/>
      <c r="EY143" s="250"/>
      <c r="EZ143" s="250"/>
      <c r="FA143" s="250"/>
      <c r="FB143" s="250"/>
      <c r="FC143" s="250"/>
      <c r="FD143" s="250"/>
      <c r="FE143" s="250"/>
      <c r="FF143" s="250"/>
      <c r="FG143" s="250"/>
      <c r="FH143" s="250"/>
      <c r="FI143" s="250"/>
      <c r="FJ143" s="673">
        <v>49</v>
      </c>
      <c r="FK143" s="460">
        <f t="shared" ca="1" si="479"/>
        <v>0</v>
      </c>
      <c r="FL143" s="460">
        <f t="shared" ca="1" si="487"/>
        <v>0.16620605342872399</v>
      </c>
      <c r="FM143" s="460">
        <f t="shared" ca="1" si="487"/>
        <v>0.17059411730379023</v>
      </c>
      <c r="FN143" s="460">
        <f t="shared" ca="1" si="487"/>
        <v>0.16732977506581728</v>
      </c>
      <c r="FO143" s="460">
        <f t="shared" ca="1" si="487"/>
        <v>0.16488784532552514</v>
      </c>
      <c r="FP143" s="460">
        <f t="shared" ca="1" si="487"/>
        <v>0.16306383373755196</v>
      </c>
      <c r="FQ143" s="460">
        <f t="shared" ca="1" si="487"/>
        <v>0.16170455385255611</v>
      </c>
      <c r="FR143" s="460">
        <f t="shared" ca="1" si="487"/>
        <v>0.16069533210392578</v>
      </c>
      <c r="FS143" s="460">
        <f t="shared" ca="1" si="487"/>
        <v>0.15995041697218532</v>
      </c>
      <c r="FT143" s="460">
        <f t="shared" ca="1" si="487"/>
        <v>0.15940579223550289</v>
      </c>
      <c r="FU143" s="460">
        <f t="shared" ca="1" si="487"/>
        <v>0.1590137944075084</v>
      </c>
      <c r="FV143" s="460">
        <f t="shared" ca="1" si="487"/>
        <v>0.15873908464060585</v>
      </c>
      <c r="FW143" s="460">
        <f t="shared" ca="1" si="487"/>
        <v>0.1585556380448406</v>
      </c>
      <c r="FX143" s="460">
        <f t="shared" ca="1" si="487"/>
        <v>0.15844449792381479</v>
      </c>
      <c r="FY143" s="460">
        <f t="shared" ca="1" si="487"/>
        <v>0.15839210590074113</v>
      </c>
      <c r="FZ143" s="460">
        <f t="shared" ca="1" si="487"/>
        <v>0.15838906658263768</v>
      </c>
      <c r="GA143" s="460">
        <f t="shared" ca="1" si="487"/>
        <v>0.15842924125477958</v>
      </c>
      <c r="GB143" s="460">
        <f t="shared" ca="1" si="487"/>
        <v>0.1585090920898764</v>
      </c>
      <c r="GC143" s="460">
        <f t="shared" ca="1" si="487"/>
        <v>0.15862721873742014</v>
      </c>
      <c r="GD143" s="460">
        <f t="shared" ca="1" si="487"/>
        <v>0.1587840446166611</v>
      </c>
      <c r="GE143" s="460">
        <f t="shared" ca="1" si="487"/>
        <v>0.15898162204893035</v>
      </c>
      <c r="GF143" s="460">
        <f t="shared" ca="1" si="487"/>
        <v>0.15922353450418913</v>
      </c>
      <c r="GG143" s="460">
        <f t="shared" ca="1" si="487"/>
        <v>0.1595148814522877</v>
      </c>
      <c r="GH143" s="460">
        <f t="shared" ca="1" si="487"/>
        <v>0.15986233719115631</v>
      </c>
      <c r="GI143" s="460">
        <f t="shared" ca="1" si="487"/>
        <v>0.16027428005238559</v>
      </c>
      <c r="GJ143" s="460">
        <f t="shared" ca="1" si="487"/>
        <v>0.16076099297276369</v>
      </c>
      <c r="GK143" s="460">
        <f t="shared" ca="1" si="487"/>
        <v>0.16133494095306011</v>
      </c>
      <c r="GL143" s="460">
        <f t="shared" ca="1" si="487"/>
        <v>0.16201113579728055</v>
      </c>
      <c r="GM143" s="460">
        <f t="shared" ca="1" si="487"/>
        <v>0.16280760418462298</v>
      </c>
      <c r="GN143" s="460">
        <f t="shared" ca="1" si="487"/>
        <v>0.16374598212825808</v>
      </c>
      <c r="GO143" s="460">
        <f t="shared" ca="1" si="487"/>
        <v>0.16485226795843805</v>
      </c>
      <c r="GP143" s="460">
        <f t="shared" ca="1" si="487"/>
        <v>0.16615777816253149</v>
      </c>
      <c r="GQ143" s="460">
        <f t="shared" ca="1" si="487"/>
        <v>0.1677003672078359</v>
      </c>
      <c r="GR143" s="460">
        <f t="shared" ca="1" si="487"/>
        <v>0.16952599606341703</v>
      </c>
      <c r="GS143" s="460">
        <f t="shared" ca="1" si="487"/>
        <v>0.17169076784456144</v>
      </c>
      <c r="GT143" s="460">
        <f t="shared" ca="1" si="487"/>
        <v>0.17426359793171523</v>
      </c>
      <c r="GU143" s="460">
        <f t="shared" ca="1" si="487"/>
        <v>0.17732975805268331</v>
      </c>
      <c r="GV143" s="460">
        <f t="shared" ca="1" si="487"/>
        <v>0.18099564189169734</v>
      </c>
      <c r="GW143" s="460">
        <f t="shared" ca="1" si="487"/>
        <v>0.18539526447908899</v>
      </c>
      <c r="GX143" s="460">
        <f t="shared" ca="1" si="487"/>
        <v>0.19069926320308783</v>
      </c>
      <c r="GY143" s="460">
        <f t="shared" ca="1" si="487"/>
        <v>0.19712757288035501</v>
      </c>
      <c r="GZ143" s="460">
        <f t="shared" ca="1" si="487"/>
        <v>0.20496760181850807</v>
      </c>
      <c r="HA143" s="460">
        <f t="shared" ca="1" si="487"/>
        <v>0.21460082004726769</v>
      </c>
      <c r="HB143" s="460">
        <f t="shared" ca="1" si="487"/>
        <v>0.22654251485576515</v>
      </c>
      <c r="HC143" s="460">
        <f t="shared" ca="1" si="487"/>
        <v>0.24150269750378736</v>
      </c>
      <c r="HD143" s="460">
        <f t="shared" ca="1" si="487"/>
        <v>0.26048198527610922</v>
      </c>
      <c r="HE143" s="460">
        <f t="shared" ca="1" si="487"/>
        <v>0.28492724045653789</v>
      </c>
      <c r="HF143" s="460">
        <f t="shared" ca="1" si="487"/>
        <v>0.31699317440665148</v>
      </c>
      <c r="HG143" s="460">
        <f t="shared" ca="1" si="487"/>
        <v>0.360000053695683</v>
      </c>
      <c r="HH143" s="460" t="str">
        <f t="shared" si="487"/>
        <v/>
      </c>
      <c r="HI143" s="460" t="str">
        <f t="shared" si="487"/>
        <v/>
      </c>
      <c r="HJ143" s="460" t="str">
        <f t="shared" si="487"/>
        <v/>
      </c>
      <c r="HK143" s="460" t="str">
        <f t="shared" si="487"/>
        <v/>
      </c>
      <c r="HL143" s="460" t="str">
        <f t="shared" si="487"/>
        <v/>
      </c>
      <c r="HM143" s="460" t="str">
        <f t="shared" si="487"/>
        <v/>
      </c>
      <c r="HN143" s="460" t="str">
        <f t="shared" si="487"/>
        <v/>
      </c>
      <c r="HO143" s="460" t="str">
        <f t="shared" si="487"/>
        <v/>
      </c>
      <c r="HP143" s="460" t="str">
        <f t="shared" si="487"/>
        <v/>
      </c>
      <c r="HQ143" s="460" t="str">
        <f t="shared" si="487"/>
        <v/>
      </c>
      <c r="HR143" s="460" t="str">
        <f t="shared" si="487"/>
        <v/>
      </c>
      <c r="HS143" s="460" t="str">
        <f t="shared" si="487"/>
        <v/>
      </c>
      <c r="HT143" s="460" t="str">
        <f t="shared" si="487"/>
        <v/>
      </c>
      <c r="HU143" s="460" t="str">
        <f t="shared" si="487"/>
        <v/>
      </c>
      <c r="HV143" s="460" t="str">
        <f t="shared" si="487"/>
        <v/>
      </c>
      <c r="HW143" s="460" t="str">
        <f t="shared" si="487"/>
        <v/>
      </c>
      <c r="HX143" s="460" t="str">
        <f t="shared" si="486"/>
        <v/>
      </c>
      <c r="HY143" s="460" t="str">
        <f t="shared" si="486"/>
        <v/>
      </c>
      <c r="HZ143" s="460" t="str">
        <f t="shared" si="486"/>
        <v/>
      </c>
      <c r="IA143" s="460" t="str">
        <f t="shared" si="486"/>
        <v/>
      </c>
      <c r="IB143" s="460" t="str">
        <f t="shared" si="486"/>
        <v/>
      </c>
      <c r="IC143" s="460" t="str">
        <f t="shared" si="486"/>
        <v/>
      </c>
      <c r="ID143" s="674" t="str">
        <f t="shared" si="486"/>
        <v/>
      </c>
      <c r="IE143" s="250"/>
    </row>
    <row r="144" spans="8:239">
      <c r="H144" s="51">
        <f t="shared" ca="1" si="315"/>
        <v>0</v>
      </c>
      <c r="I144" s="379">
        <f t="shared" si="316"/>
        <v>40544</v>
      </c>
      <c r="J144" s="377"/>
      <c r="K144" s="104" t="s">
        <v>268</v>
      </c>
      <c r="L144" s="392">
        <f t="shared" si="317"/>
        <v>1.8000000000000016</v>
      </c>
      <c r="M144" s="171"/>
      <c r="N144" s="382">
        <v>0</v>
      </c>
      <c r="O144" s="171">
        <f t="shared" si="272"/>
        <v>0</v>
      </c>
      <c r="P144" s="377"/>
      <c r="Q144" s="104" t="s">
        <v>268</v>
      </c>
      <c r="R144" s="377">
        <f t="shared" ca="1" si="417"/>
        <v>0.59093243053078659</v>
      </c>
      <c r="S144" s="832">
        <f t="shared" si="435"/>
        <v>0.3600000000000001</v>
      </c>
      <c r="T144" s="831">
        <f t="shared" si="418"/>
        <v>0.99999999958857955</v>
      </c>
      <c r="U144" s="545">
        <f t="shared" si="419"/>
        <v>0.99999999999999978</v>
      </c>
      <c r="V144" s="389">
        <v>0</v>
      </c>
      <c r="W144" s="434">
        <f t="shared" si="455"/>
        <v>0</v>
      </c>
      <c r="X144" s="415">
        <f t="shared" si="456"/>
        <v>1.8500000000000019</v>
      </c>
      <c r="Y144" s="322">
        <f t="shared" si="457"/>
        <v>-1.1684999999999999</v>
      </c>
      <c r="Z144" s="322">
        <f t="shared" ca="1" si="458"/>
        <v>0.68150000000000199</v>
      </c>
      <c r="AA144" s="429">
        <f t="shared" si="277"/>
        <v>1.1684999999999999</v>
      </c>
      <c r="AB144" s="433">
        <f t="shared" ca="1" si="278"/>
        <v>1.1684999999999999</v>
      </c>
      <c r="AC144" s="229">
        <v>40532</v>
      </c>
      <c r="AD144" s="229">
        <v>40528</v>
      </c>
      <c r="AE144" s="229">
        <v>40527</v>
      </c>
      <c r="AF144" s="229">
        <v>40523</v>
      </c>
      <c r="AG144" s="249" t="s">
        <v>499</v>
      </c>
      <c r="AH144" s="247" t="s">
        <v>499</v>
      </c>
      <c r="AI144" s="146">
        <v>21</v>
      </c>
      <c r="AJ144" s="41">
        <v>14</v>
      </c>
      <c r="AK144" s="41">
        <v>7</v>
      </c>
      <c r="AL144" s="293">
        <v>21</v>
      </c>
      <c r="AM144" s="41">
        <v>10</v>
      </c>
      <c r="AN144" s="147">
        <v>11</v>
      </c>
      <c r="AO144" s="374"/>
      <c r="AP144" s="153">
        <f t="shared" ca="1" si="318"/>
        <v>1</v>
      </c>
      <c r="AQ144" s="374"/>
      <c r="AR144" s="153">
        <f t="shared" ca="1" si="420"/>
        <v>1</v>
      </c>
      <c r="AS144" s="272">
        <f t="shared" si="459"/>
        <v>0</v>
      </c>
      <c r="AT144" s="157">
        <f t="shared" si="319"/>
        <v>0</v>
      </c>
      <c r="AU144" s="157">
        <f t="shared" si="280"/>
        <v>0</v>
      </c>
      <c r="AV144" s="271">
        <f t="shared" ca="1" si="430"/>
        <v>9.9999999999999995E-7</v>
      </c>
      <c r="AW144" s="158" t="str">
        <f t="shared" ca="1" si="460"/>
        <v/>
      </c>
      <c r="AX144" s="157">
        <f t="shared" ca="1" si="421"/>
        <v>3.8793985139227505E-4</v>
      </c>
      <c r="AY144" s="157">
        <f t="shared" ca="1" si="422"/>
        <v>1.3135618634543825E-4</v>
      </c>
      <c r="AZ144" s="157">
        <f t="shared" ca="1" si="423"/>
        <v>1.1328582084350188E-5</v>
      </c>
      <c r="BA144" s="157">
        <f t="shared" ca="1" si="424"/>
        <v>1.4160727605437735E-6</v>
      </c>
      <c r="BB144" s="157">
        <f t="shared" ca="1" si="425"/>
        <v>4.577925469049853E-8</v>
      </c>
      <c r="BC144" s="157">
        <f t="shared" ca="1" si="426"/>
        <v>4.0105241263078962E-9</v>
      </c>
      <c r="BD144" s="151">
        <f t="shared" ca="1" si="461"/>
        <v>0</v>
      </c>
      <c r="BE144" s="152">
        <f t="shared" ca="1" si="462"/>
        <v>0</v>
      </c>
      <c r="BF144" s="40">
        <f t="shared" si="463"/>
        <v>2011</v>
      </c>
      <c r="BG144" s="144">
        <f t="shared" si="464"/>
        <v>1</v>
      </c>
      <c r="BH144" s="145">
        <f t="shared" ca="1" si="465"/>
        <v>3783</v>
      </c>
      <c r="BI144" s="313">
        <f t="shared" ca="1" si="439"/>
        <v>10.401095140314853</v>
      </c>
      <c r="BJ144" s="42">
        <f t="shared" ca="1" si="288"/>
        <v>10.455852156057496</v>
      </c>
      <c r="BK144" s="42">
        <f t="shared" ca="1" si="289"/>
        <v>10.458590006844629</v>
      </c>
      <c r="BL144" s="42">
        <f t="shared" ca="1" si="440"/>
        <v>10.483230663928817</v>
      </c>
      <c r="BM144" s="150" t="e">
        <f t="shared" ca="1" si="291"/>
        <v>#DIV/0!</v>
      </c>
      <c r="BN144" s="42" t="e">
        <f t="shared" ca="1" si="292"/>
        <v>#DIV/0!</v>
      </c>
      <c r="BO144" s="293">
        <f t="shared" si="441"/>
        <v>21</v>
      </c>
      <c r="BP144" s="41">
        <f t="shared" si="442"/>
        <v>14</v>
      </c>
      <c r="BQ144" s="41">
        <f t="shared" si="443"/>
        <v>7</v>
      </c>
      <c r="BR144" s="305" t="str">
        <f t="shared" ca="1" si="295"/>
        <v/>
      </c>
      <c r="BS144" s="305" t="str">
        <f t="shared" ca="1" si="444"/>
        <v/>
      </c>
      <c r="BT144" s="307" t="str">
        <f t="shared" ca="1" si="445"/>
        <v/>
      </c>
      <c r="BU144" s="161" t="str">
        <f t="shared" ca="1" si="298"/>
        <v/>
      </c>
      <c r="BV144" s="161" t="str">
        <f t="shared" ca="1" si="299"/>
        <v/>
      </c>
      <c r="BW144" s="308" t="str">
        <f t="shared" ca="1" si="300"/>
        <v/>
      </c>
      <c r="BX144" s="309" t="str">
        <f t="shared" ca="1" si="301"/>
        <v/>
      </c>
      <c r="BY144" s="308" t="str">
        <f t="shared" ca="1" si="446"/>
        <v/>
      </c>
      <c r="BZ144" s="309" t="str">
        <f t="shared" ca="1" si="447"/>
        <v/>
      </c>
      <c r="CA144" s="154" t="str">
        <f t="shared" ca="1" si="302"/>
        <v/>
      </c>
      <c r="CB144" s="154" t="str">
        <f t="shared" ca="1" si="303"/>
        <v/>
      </c>
      <c r="CC144" s="154" t="str">
        <f t="shared" ca="1" si="304"/>
        <v/>
      </c>
      <c r="CD144" s="154" t="str">
        <f t="shared" ca="1" si="305"/>
        <v/>
      </c>
      <c r="CE144" s="310">
        <v>1</v>
      </c>
      <c r="CF144" s="162">
        <f ca="1">IF(BD144,_xll.xCrudeAPO(BU144,BV144,CA144,CB144,S145,S146,BI144,BL144,BP144,BQ144,0,Strike1,AO144,CE144,0,BL144,IF(OptControl=4,0,1),0,1),0)</f>
        <v>0</v>
      </c>
      <c r="CG144" s="163">
        <f ca="1">IF(BD144,_xll.xCrudeAPO(BU144,BV144,CA144,CB144,S145,S146,BI144,BL144,BP144,BQ144,0,Strike1,AO144,CE144,0,BL144,IF(OptControl=4,0,1),1,1)+_xll.xCrudeAPO(BU144,BV144,CA144,CB144,S145,S146,BI144,BL144,BP144,BQ144,0,Strike1,AO144,CE144,0,BL144,IF(OptControl=4,0,1),1,2)+IF(OR(VolSkewFlag=2,ABS(BS144)&lt;0.0001),0,IF(BS144&gt;0,-1,1)*CH144*Strike1/BR144^2*BY144/10%),0)</f>
        <v>0</v>
      </c>
      <c r="CH144" s="163">
        <f ca="1">IF(BD144,(_xll.xCrudeAPO(BU144,BV144,CA144,CB144,S145,S146,BI144,BL144,BP144,BQ144,0,Strike1,AO144,CE144,0,BL144,IF(OptControl=4,0,1),3,1)+_xll.xCrudeAPO(BU144,BV144,CA144,CB144,S145,S146,BI144,BL144,BP144,BQ144,0,Strike1,AO144,CE144,0,BL144,IF(OptControl=4,0,1),3,2))/100,0)</f>
        <v>0</v>
      </c>
      <c r="CI144" s="163">
        <f ca="1">IF(BD144,_xll.xCrudeAPO(BU144,BV144,CA144,CB144,S145,S146,BI144-DaysForThetaCalculation/365.25,BL144-DaysForThetaCalculation/365.25,BP144,BQ144,0,Strike1,AO144,CE144,0,BL144,IF(OptControl=4,0,1),0,1)-_xll.xCrudeAPO(BU144,BV144,CA144,CB144,S145,S146,BI144,BL144,BP144,BQ144,0,Strike1,AO144,CE144,0,BL144,IF(OptControl=4,0,1),0,1),0)</f>
        <v>0</v>
      </c>
      <c r="CJ144" s="311">
        <f ca="1">IF(BD144,_xll.xCrudeAPO(BU144,BV144,CC144,CD144,S145,S146,BI144,BL144,BP144,BQ144,0,Strike2,AO144,CE144,0,BL144,IF(OptControl=3,1,0),0,1),0)</f>
        <v>0</v>
      </c>
      <c r="CK144" s="163">
        <f ca="1">IF(BD144,_xll.xCrudeAPO(BU144,BV144,CC144,CD144,S145,S146,BI144,BL144,BP144,BQ144,0,Strike2,AO144,CE144,0,BL144,IF(OptControl=3,1,0),1,1)+_xll.xCrudeAPO(BU144,BV144,CC144,CD144,S145,S146,BI144,BL144,BP144,BQ144,0,Strike2,AO144,CE144,0,BL144,IF(OptControl=3,1,0),1,2)+IF(OR(VolSkewFlag=2,ABS(BT144)&lt;0.0001),0,IF(BT144&gt;0,-1,1)*CL144*Strike2/BR144^2*BZ144/10%),0)</f>
        <v>0</v>
      </c>
      <c r="CL144" s="163">
        <f ca="1">IF(BD144,(_xll.xCrudeAPO(BU144,BV144,CC144,CD144,S145,S146,BI144,BL144,BP144,BQ144,0,Strike2,AO144,CE144,0,BL144,IF(OptControl=3,1,0),3,1)+_xll.xCrudeAPO(BU144,BV144,CC144,CD144,S145,S146,BI144,BL144,BP144,BQ144,0,Strike2,AO144,CE144,0,BL144,IF(OptControl=3,1,0),3,2))/100,0)</f>
        <v>0</v>
      </c>
      <c r="CM144" s="164">
        <f ca="1">IF(BD144,_xll.xCrudeAPO(BU144,BV144,CC144,CD144,S145,S146,BI144-DaysForThetaCalculation/365.25,BL144-DaysForThetaCalculation/365.25,BP144,BQ144,0,Strike2,AO144,CE144,0,BL144,IF(OptControl=3,1,0),0,1)-_xll.xCrudeAPO(BU144,BV144,CC144,CD144,S145,S146,BI144,BL144,BP144,BQ144,0,Strike2,AO144,CE144,0,BL144,IF(OptControl=3,1,0),0,1),0)</f>
        <v>0</v>
      </c>
      <c r="CN144" s="53"/>
      <c r="CO144" s="796" t="str">
        <f t="shared" ca="1" si="323"/>
        <v/>
      </c>
      <c r="CP144" s="800" t="str">
        <f t="shared" ca="1" si="324"/>
        <v/>
      </c>
      <c r="CQ144" s="797" t="str">
        <f t="shared" ca="1" si="325"/>
        <v/>
      </c>
      <c r="CR144" s="797" t="str">
        <f t="shared" ca="1" si="326"/>
        <v/>
      </c>
      <c r="CS144" s="797" t="str">
        <f t="shared" ca="1" si="327"/>
        <v/>
      </c>
      <c r="CT144" s="797" t="str">
        <f t="shared" ca="1" si="328"/>
        <v/>
      </c>
      <c r="CU144" s="798" t="str">
        <f t="shared" ca="1" si="329"/>
        <v/>
      </c>
      <c r="CV144" s="799" t="str">
        <f t="shared" ca="1" si="330"/>
        <v/>
      </c>
      <c r="CW144" s="799" t="str">
        <f t="shared" ca="1" si="331"/>
        <v/>
      </c>
      <c r="CX144" s="163">
        <f ca="1">IF(BD144,_xll.EURO(CP144,Strike1,AO144,AO144,CV144,CO144,IF(OptControl=4,0,1),0),0)</f>
        <v>0</v>
      </c>
      <c r="CY144" s="163">
        <f ca="1">IF(BD144,_xll.EURO(CP144,Strike1,AO144,AO144,CV144,CO144,IF(OptControl=4,0,1),1)+IF(OR(VolSkewFlag=2,ABS(CQ144)&lt;0.0001),0,IF(CQ144&gt;0,-1,1)*CZ144*100*Strike1/CP144^2*CS144/10%),0)</f>
        <v>0</v>
      </c>
      <c r="CZ144" s="163">
        <f ca="1">IF(BD144,_xll.EURO(CP144,Strike1,AO144,AO144,CV144,CO144,IF(OptControl=4,0,1),3)/100,0)</f>
        <v>0</v>
      </c>
      <c r="DA144" s="163">
        <f ca="1">IF(BD144,_xll.EURO(CP144,Strike1,AO144,AO144,CV144,CO144,IF(OptControl=4,0,1),0)-_xll.EURO(CP144,Strike1,AO144,AO144,CV144,CO144-1,IF(OptControl=4,0,1),0),0)</f>
        <v>0</v>
      </c>
      <c r="DB144" s="163">
        <f ca="1">IF(BD144,_xll.EURO(CP144,Strike2,AO144,AO144,CW144,CO144,IF(OptControl=3,1,0),0),0)</f>
        <v>0</v>
      </c>
      <c r="DC144" s="163">
        <f ca="1">IF(BD144,_xll.EURO(CP144,Strike2,AO144,AO144,CW144,CO144,IF(OptControl=3,1,0),1)+IF(OR(VolSkewFlag=2,ABS(CR144)&lt;0.0001),0,IF(CR144&gt;0,-1,1)*DD144*100*Strike2/CP144^2*CT144/10%),0)</f>
        <v>0</v>
      </c>
      <c r="DD144" s="163">
        <f ca="1">IF(BD144,_xll.EURO(CP144,Strike2,AO144,AO144,CW144,CO144,IF(OptControl=3,1,0),3)/100,0)</f>
        <v>0</v>
      </c>
      <c r="DE144" s="164">
        <f ca="1">IF(BD144,_xll.EURO(CP144,Strike2,AO144,AO144,CW144,CO144,IF(OptControl=3,1,0),0)-_xll.EURO(CP144,Strike2,AO144,AO144,CW144,CO144-1,IF(OptControl=3,1,0),0),0)</f>
        <v>0</v>
      </c>
      <c r="DG144" s="667">
        <f t="shared" ca="1" si="332"/>
        <v>40330</v>
      </c>
      <c r="DH144" s="475">
        <v>20.36</v>
      </c>
      <c r="DI144" s="665">
        <v>20.428181818181855</v>
      </c>
      <c r="DJ144" s="666">
        <f t="shared" ca="1" si="466"/>
        <v>40330</v>
      </c>
      <c r="DK144" s="475">
        <v>18.94755753687949</v>
      </c>
      <c r="DL144" s="665">
        <v>19.136681818181856</v>
      </c>
      <c r="DM144" s="667">
        <f t="shared" ca="1" si="467"/>
        <v>40330</v>
      </c>
      <c r="DN144" s="668">
        <f t="shared" si="468"/>
        <v>18.997557536879491</v>
      </c>
      <c r="DO144" s="667">
        <f t="shared" ca="1" si="333"/>
        <v>40330</v>
      </c>
      <c r="DP144" s="579">
        <f t="shared" si="334"/>
        <v>19.136681818181856</v>
      </c>
      <c r="DQ144" s="821">
        <v>0</v>
      </c>
      <c r="DR144" s="666">
        <f t="shared" ca="1" si="469"/>
        <v>40330</v>
      </c>
      <c r="DS144" s="669">
        <v>0.15019999999999903</v>
      </c>
      <c r="DT144" s="606">
        <v>0.1493818181818172</v>
      </c>
      <c r="DU144" s="666">
        <f t="shared" ca="1" si="470"/>
        <v>40330</v>
      </c>
      <c r="DV144" s="669">
        <v>0.15019999999999903</v>
      </c>
      <c r="DW144" s="606">
        <v>0.1493818181818172</v>
      </c>
      <c r="DX144" s="667">
        <f t="shared" ca="1" si="471"/>
        <v>40330</v>
      </c>
      <c r="DY144" s="606">
        <v>0.35</v>
      </c>
      <c r="DZ144" s="667">
        <f t="shared" ca="1" si="335"/>
        <v>40330</v>
      </c>
      <c r="EA144" s="606">
        <f t="shared" si="336"/>
        <v>0.1493818181818172</v>
      </c>
      <c r="EB144" s="1"/>
      <c r="EC144" s="118" t="str">
        <f t="shared" ca="1" si="472"/>
        <v/>
      </c>
      <c r="ED144" s="119" t="str">
        <f t="shared" ca="1" si="313"/>
        <v/>
      </c>
      <c r="EE144" s="112" t="str">
        <f t="shared" ca="1" si="314"/>
        <v/>
      </c>
      <c r="EF144" s="120">
        <f ca="1">IF(BD144,_xll.xASN(BR144,Strike1,AO144,ED144,0,BO144,0,BI144,BL144,IF(OptControl=4,0,1),0),0)</f>
        <v>0</v>
      </c>
      <c r="EG144" s="111">
        <f ca="1">IF(BD144,_xll.xASN(BR144,Strike2,AO144,EE144,0,BO144,0,BI144,BL144,IF(OptControl=3,1,0),0),0)</f>
        <v>0</v>
      </c>
      <c r="EL144" s="55"/>
      <c r="EM144" s="1"/>
      <c r="EN144" s="106"/>
      <c r="EO144" s="106"/>
      <c r="EP144" s="1"/>
      <c r="EQ144" s="683" t="s">
        <v>357</v>
      </c>
      <c r="ES144" s="455"/>
      <c r="ET144" s="36"/>
      <c r="EU144" s="107"/>
      <c r="EV144" s="475"/>
      <c r="EW144" s="456"/>
      <c r="EX144" s="456"/>
      <c r="EY144" s="250"/>
      <c r="EZ144" s="250"/>
      <c r="FA144" s="250"/>
      <c r="FB144" s="250"/>
      <c r="FC144" s="250"/>
      <c r="FD144" s="250"/>
      <c r="FE144" s="250"/>
      <c r="FF144" s="250"/>
      <c r="FG144" s="250"/>
      <c r="FH144" s="250"/>
      <c r="FI144" s="250"/>
      <c r="FJ144" s="673">
        <v>50</v>
      </c>
      <c r="FK144" s="460">
        <f t="shared" ca="1" si="479"/>
        <v>0</v>
      </c>
      <c r="FL144" s="460">
        <f t="shared" ca="1" si="487"/>
        <v>0.16619420783092376</v>
      </c>
      <c r="FM144" s="460">
        <f t="shared" ca="1" si="487"/>
        <v>0.17057989694000622</v>
      </c>
      <c r="FN144" s="460">
        <f t="shared" ca="1" si="487"/>
        <v>0.16731346120179427</v>
      </c>
      <c r="FO144" s="460">
        <f t="shared" ca="1" si="487"/>
        <v>0.16486904307955522</v>
      </c>
      <c r="FP144" s="460">
        <f t="shared" ca="1" si="487"/>
        <v>0.16304208586292604</v>
      </c>
      <c r="FQ144" s="460">
        <f t="shared" ca="1" si="487"/>
        <v>0.16167932948883684</v>
      </c>
      <c r="FR144" s="460">
        <f t="shared" ca="1" si="487"/>
        <v>0.1606660136636838</v>
      </c>
      <c r="FS144" s="460">
        <f t="shared" ca="1" si="487"/>
        <v>0.15991628482714723</v>
      </c>
      <c r="FT144" s="460">
        <f t="shared" ca="1" si="487"/>
        <v>0.15936600680612645</v>
      </c>
      <c r="FU144" s="460">
        <f t="shared" ca="1" si="487"/>
        <v>0.15896737518826951</v>
      </c>
      <c r="FV144" s="460">
        <f t="shared" ca="1" si="487"/>
        <v>0.15868488560720759</v>
      </c>
      <c r="FW144" s="460">
        <f t="shared" ca="1" si="487"/>
        <v>0.1584923187859521</v>
      </c>
      <c r="FX144" s="460">
        <f t="shared" ca="1" si="487"/>
        <v>0.15837048971478901</v>
      </c>
      <c r="FY144" s="460">
        <f t="shared" ca="1" si="487"/>
        <v>0.15830557178494284</v>
      </c>
      <c r="FZ144" s="460">
        <f t="shared" ca="1" si="487"/>
        <v>0.15828785434099266</v>
      </c>
      <c r="GA144" s="460">
        <f t="shared" ca="1" si="487"/>
        <v>0.15831082791751511</v>
      </c>
      <c r="GB144" s="460">
        <f t="shared" ca="1" si="487"/>
        <v>0.15837051836521859</v>
      </c>
      <c r="GC144" s="460">
        <f t="shared" ca="1" si="487"/>
        <v>0.15846501138594249</v>
      </c>
      <c r="GD144" s="460">
        <f t="shared" ca="1" si="487"/>
        <v>0.15859412436817799</v>
      </c>
      <c r="GE144" s="460">
        <f t="shared" ca="1" si="487"/>
        <v>0.15875919411625689</v>
      </c>
      <c r="GF144" s="460">
        <f t="shared" ca="1" si="487"/>
        <v>0.1589629580612241</v>
      </c>
      <c r="GG144" s="460">
        <f t="shared" ca="1" si="487"/>
        <v>0.15920951356751878</v>
      </c>
      <c r="GH144" s="460">
        <f t="shared" ca="1" si="487"/>
        <v>0.15950434558040089</v>
      </c>
      <c r="GI144" s="460">
        <f t="shared" ca="1" si="487"/>
        <v>0.1598544175522052</v>
      </c>
      <c r="GJ144" s="460">
        <f t="shared" ca="1" si="487"/>
        <v>0.16026832472229247</v>
      </c>
      <c r="GK144" s="460">
        <f t="shared" ca="1" si="487"/>
        <v>0.16075651274508493</v>
      </c>
      <c r="GL144" s="460">
        <f t="shared" ca="1" si="487"/>
        <v>0.1613315686918575</v>
      </c>
      <c r="GM144" s="460">
        <f t="shared" ca="1" si="487"/>
        <v>0.16200859594780123</v>
      </c>
      <c r="GN144" s="460">
        <f t="shared" ca="1" si="487"/>
        <v>0.16280568990282379</v>
      </c>
      <c r="GO144" s="460">
        <f t="shared" ca="1" si="487"/>
        <v>0.16374453812488762</v>
      </c>
      <c r="GP144" s="460">
        <f t="shared" ca="1" si="487"/>
        <v>0.16485117762941104</v>
      </c>
      <c r="GQ144" s="460">
        <f t="shared" ca="1" si="487"/>
        <v>0.16615695393434951</v>
      </c>
      <c r="GR144" s="460">
        <f t="shared" ca="1" si="487"/>
        <v>0.16769974329457712</v>
      </c>
      <c r="GS144" s="460">
        <f t="shared" ca="1" si="487"/>
        <v>0.16952552303265428</v>
      </c>
      <c r="GT144" s="460">
        <f t="shared" ca="1" si="487"/>
        <v>0.17169040854019202</v>
      </c>
      <c r="GU144" s="460">
        <f t="shared" ca="1" si="487"/>
        <v>0.17426332441466486</v>
      </c>
      <c r="GV144" s="460">
        <f t="shared" ca="1" si="487"/>
        <v>0.17732954930517777</v>
      </c>
      <c r="GW144" s="460">
        <f t="shared" ca="1" si="487"/>
        <v>0.1809954820943501</v>
      </c>
      <c r="GX144" s="460">
        <f t="shared" ca="1" si="487"/>
        <v>0.18539514171771765</v>
      </c>
      <c r="GY144" s="460">
        <f t="shared" ca="1" si="487"/>
        <v>0.19069916849792379</v>
      </c>
      <c r="GZ144" s="460">
        <f t="shared" ca="1" si="487"/>
        <v>0.19712749945712274</v>
      </c>
      <c r="HA144" s="460">
        <f t="shared" ca="1" si="487"/>
        <v>0.20496754456095695</v>
      </c>
      <c r="HB144" s="460">
        <f t="shared" ca="1" si="487"/>
        <v>0.21460077508581743</v>
      </c>
      <c r="HC144" s="460">
        <f t="shared" ca="1" si="487"/>
        <v>0.22654247925822354</v>
      </c>
      <c r="HD144" s="460">
        <f t="shared" ca="1" si="487"/>
        <v>0.24150266904256126</v>
      </c>
      <c r="HE144" s="460">
        <f t="shared" ca="1" si="487"/>
        <v>0.26048196225264725</v>
      </c>
      <c r="HF144" s="460">
        <f t="shared" ca="1" si="487"/>
        <v>0.28492722156844075</v>
      </c>
      <c r="HG144" s="460">
        <f t="shared" ca="1" si="487"/>
        <v>0.31699315864631666</v>
      </c>
      <c r="HH144" s="460">
        <f t="shared" ca="1" si="487"/>
        <v>0.36000004027176224</v>
      </c>
      <c r="HI144" s="460" t="str">
        <f t="shared" si="487"/>
        <v/>
      </c>
      <c r="HJ144" s="460" t="str">
        <f t="shared" si="487"/>
        <v/>
      </c>
      <c r="HK144" s="460" t="str">
        <f t="shared" si="487"/>
        <v/>
      </c>
      <c r="HL144" s="460" t="str">
        <f t="shared" si="487"/>
        <v/>
      </c>
      <c r="HM144" s="460" t="str">
        <f t="shared" si="487"/>
        <v/>
      </c>
      <c r="HN144" s="460" t="str">
        <f t="shared" si="487"/>
        <v/>
      </c>
      <c r="HO144" s="460" t="str">
        <f t="shared" si="487"/>
        <v/>
      </c>
      <c r="HP144" s="460" t="str">
        <f t="shared" si="487"/>
        <v/>
      </c>
      <c r="HQ144" s="460" t="str">
        <f t="shared" si="487"/>
        <v/>
      </c>
      <c r="HR144" s="460" t="str">
        <f t="shared" si="487"/>
        <v/>
      </c>
      <c r="HS144" s="460" t="str">
        <f t="shared" si="487"/>
        <v/>
      </c>
      <c r="HT144" s="460" t="str">
        <f t="shared" si="487"/>
        <v/>
      </c>
      <c r="HU144" s="460" t="str">
        <f t="shared" si="487"/>
        <v/>
      </c>
      <c r="HV144" s="460" t="str">
        <f t="shared" si="487"/>
        <v/>
      </c>
      <c r="HW144" s="460" t="str">
        <f t="shared" ref="HW144:ID147" si="488">IF($FJ69&lt;HW$94,"",SQRT(HW69/HW$15))</f>
        <v/>
      </c>
      <c r="HX144" s="460" t="str">
        <f t="shared" si="488"/>
        <v/>
      </c>
      <c r="HY144" s="460" t="str">
        <f t="shared" si="488"/>
        <v/>
      </c>
      <c r="HZ144" s="460" t="str">
        <f t="shared" si="488"/>
        <v/>
      </c>
      <c r="IA144" s="460" t="str">
        <f t="shared" si="488"/>
        <v/>
      </c>
      <c r="IB144" s="460" t="str">
        <f t="shared" si="488"/>
        <v/>
      </c>
      <c r="IC144" s="460" t="str">
        <f t="shared" si="488"/>
        <v/>
      </c>
      <c r="ID144" s="674" t="str">
        <f t="shared" si="488"/>
        <v/>
      </c>
      <c r="IE144" s="250"/>
    </row>
    <row r="145" spans="8:239">
      <c r="H145" s="51">
        <f t="shared" ca="1" si="315"/>
        <v>0</v>
      </c>
      <c r="I145" s="379">
        <f t="shared" si="316"/>
        <v>40575</v>
      </c>
      <c r="J145" s="377"/>
      <c r="K145" s="104" t="s">
        <v>268</v>
      </c>
      <c r="L145" s="392">
        <f t="shared" si="317"/>
        <v>1.8375000000000017</v>
      </c>
      <c r="M145" s="171"/>
      <c r="N145" s="382">
        <v>0</v>
      </c>
      <c r="O145" s="171">
        <f t="shared" si="272"/>
        <v>0</v>
      </c>
      <c r="P145" s="377"/>
      <c r="Q145" s="104" t="s">
        <v>268</v>
      </c>
      <c r="R145" s="377">
        <f t="shared" ca="1" si="417"/>
        <v>0.64514428420709002</v>
      </c>
      <c r="S145" s="832">
        <f t="shared" si="435"/>
        <v>0.3600000000000001</v>
      </c>
      <c r="T145" s="831">
        <f t="shared" si="418"/>
        <v>0.99999999964823549</v>
      </c>
      <c r="U145" s="545">
        <f t="shared" si="419"/>
        <v>0.99999999999999978</v>
      </c>
      <c r="V145" s="389">
        <v>0</v>
      </c>
      <c r="W145" s="434">
        <f t="shared" si="455"/>
        <v>0</v>
      </c>
      <c r="X145" s="415">
        <f t="shared" si="456"/>
        <v>1.8862500000000018</v>
      </c>
      <c r="Y145" s="322">
        <f t="shared" si="457"/>
        <v>-1.1684999999999999</v>
      </c>
      <c r="Z145" s="322">
        <f t="shared" ca="1" si="458"/>
        <v>0.71775000000000189</v>
      </c>
      <c r="AA145" s="429">
        <f t="shared" si="277"/>
        <v>1.1684999999999999</v>
      </c>
      <c r="AB145" s="433">
        <f t="shared" ca="1" si="278"/>
        <v>1.1684999999999999</v>
      </c>
      <c r="AC145" s="229">
        <v>40563</v>
      </c>
      <c r="AD145" s="229">
        <v>40559</v>
      </c>
      <c r="AE145" s="229">
        <v>40558</v>
      </c>
      <c r="AF145" s="229">
        <v>40554</v>
      </c>
      <c r="AG145" s="249" t="s">
        <v>499</v>
      </c>
      <c r="AH145" s="247" t="s">
        <v>499</v>
      </c>
      <c r="AI145" s="146">
        <v>20</v>
      </c>
      <c r="AJ145" s="41">
        <v>14</v>
      </c>
      <c r="AK145" s="41">
        <v>6</v>
      </c>
      <c r="AL145" s="293">
        <v>20</v>
      </c>
      <c r="AM145" s="41">
        <v>10</v>
      </c>
      <c r="AN145" s="147">
        <v>10</v>
      </c>
      <c r="AO145" s="374"/>
      <c r="AP145" s="153">
        <f t="shared" ca="1" si="318"/>
        <v>1</v>
      </c>
      <c r="AQ145" s="374"/>
      <c r="AR145" s="153">
        <f t="shared" ca="1" si="420"/>
        <v>1</v>
      </c>
      <c r="AS145" s="272">
        <f t="shared" si="459"/>
        <v>0</v>
      </c>
      <c r="AT145" s="157">
        <f t="shared" si="319"/>
        <v>0</v>
      </c>
      <c r="AU145" s="157">
        <f t="shared" si="280"/>
        <v>0</v>
      </c>
      <c r="AV145" s="271">
        <f t="shared" ca="1" si="430"/>
        <v>9.9999999999999995E-7</v>
      </c>
      <c r="AW145" s="158" t="str">
        <f t="shared" ca="1" si="460"/>
        <v/>
      </c>
      <c r="AX145" s="157">
        <f t="shared" ca="1" si="421"/>
        <v>3.7505082360941963E-4</v>
      </c>
      <c r="AY145" s="157">
        <f t="shared" ca="1" si="422"/>
        <v>1.2614772344990974E-4</v>
      </c>
      <c r="AZ145" s="157">
        <f t="shared" ca="1" si="423"/>
        <v>1.0692757628524179E-5</v>
      </c>
      <c r="BA145" s="157">
        <f t="shared" ca="1" si="424"/>
        <v>1.3365947035655224E-6</v>
      </c>
      <c r="BB145" s="157">
        <f t="shared" ca="1" si="425"/>
        <v>4.1774245367018406E-8</v>
      </c>
      <c r="BC145" s="157">
        <f t="shared" ca="1" si="426"/>
        <v>3.5729708031986042E-9</v>
      </c>
      <c r="BD145" s="151">
        <f t="shared" ca="1" si="461"/>
        <v>0</v>
      </c>
      <c r="BE145" s="152">
        <f t="shared" ca="1" si="462"/>
        <v>0</v>
      </c>
      <c r="BF145" s="40">
        <f t="shared" si="463"/>
        <v>2011</v>
      </c>
      <c r="BG145" s="144">
        <f t="shared" si="464"/>
        <v>2</v>
      </c>
      <c r="BH145" s="145">
        <f t="shared" ca="1" si="465"/>
        <v>3814</v>
      </c>
      <c r="BI145" s="313">
        <f t="shared" ca="1" si="439"/>
        <v>10.485968514715948</v>
      </c>
      <c r="BJ145" s="42">
        <f t="shared" ca="1" si="288"/>
        <v>10.537713894592745</v>
      </c>
      <c r="BK145" s="42">
        <f t="shared" ca="1" si="289"/>
        <v>10.540451745379878</v>
      </c>
      <c r="BL145" s="42">
        <f t="shared" ca="1" si="440"/>
        <v>10.559890485968515</v>
      </c>
      <c r="BM145" s="150" t="e">
        <f t="shared" ca="1" si="291"/>
        <v>#DIV/0!</v>
      </c>
      <c r="BN145" s="42" t="e">
        <f t="shared" ca="1" si="292"/>
        <v>#DIV/0!</v>
      </c>
      <c r="BO145" s="293">
        <f t="shared" si="441"/>
        <v>20</v>
      </c>
      <c r="BP145" s="41">
        <f t="shared" si="442"/>
        <v>14</v>
      </c>
      <c r="BQ145" s="41">
        <f t="shared" si="443"/>
        <v>6</v>
      </c>
      <c r="BR145" s="305" t="str">
        <f t="shared" ca="1" si="295"/>
        <v/>
      </c>
      <c r="BS145" s="305" t="str">
        <f t="shared" ca="1" si="444"/>
        <v/>
      </c>
      <c r="BT145" s="307" t="str">
        <f t="shared" ca="1" si="445"/>
        <v/>
      </c>
      <c r="BU145" s="161" t="str">
        <f t="shared" ca="1" si="298"/>
        <v/>
      </c>
      <c r="BV145" s="161" t="str">
        <f t="shared" ca="1" si="299"/>
        <v/>
      </c>
      <c r="BW145" s="308" t="str">
        <f t="shared" ca="1" si="300"/>
        <v/>
      </c>
      <c r="BX145" s="309" t="str">
        <f t="shared" ca="1" si="301"/>
        <v/>
      </c>
      <c r="BY145" s="308" t="str">
        <f t="shared" ca="1" si="446"/>
        <v/>
      </c>
      <c r="BZ145" s="309" t="str">
        <f t="shared" ca="1" si="447"/>
        <v/>
      </c>
      <c r="CA145" s="154" t="str">
        <f t="shared" ca="1" si="302"/>
        <v/>
      </c>
      <c r="CB145" s="154" t="str">
        <f t="shared" ca="1" si="303"/>
        <v/>
      </c>
      <c r="CC145" s="154" t="str">
        <f t="shared" ca="1" si="304"/>
        <v/>
      </c>
      <c r="CD145" s="154" t="str">
        <f t="shared" ca="1" si="305"/>
        <v/>
      </c>
      <c r="CE145" s="310">
        <v>1</v>
      </c>
      <c r="CF145" s="162">
        <f ca="1">IF(BD145,_xll.xCrudeAPO(BU145,BV145,CA145,CB145,S146,S147,BI145,BL145,BP145,BQ145,0,Strike1,AO145,CE145,0,BL145,IF(OptControl=4,0,1),0,1),0)</f>
        <v>0</v>
      </c>
      <c r="CG145" s="163">
        <f ca="1">IF(BD145,_xll.xCrudeAPO(BU145,BV145,CA145,CB145,S146,S147,BI145,BL145,BP145,BQ145,0,Strike1,AO145,CE145,0,BL145,IF(OptControl=4,0,1),1,1)+_xll.xCrudeAPO(BU145,BV145,CA145,CB145,S146,S147,BI145,BL145,BP145,BQ145,0,Strike1,AO145,CE145,0,BL145,IF(OptControl=4,0,1),1,2)+IF(OR(VolSkewFlag=2,ABS(BS145)&lt;0.0001),0,IF(BS145&gt;0,-1,1)*CH145*Strike1/BR145^2*BY145/10%),0)</f>
        <v>0</v>
      </c>
      <c r="CH145" s="163">
        <f ca="1">IF(BD145,(_xll.xCrudeAPO(BU145,BV145,CA145,CB145,S146,S147,BI145,BL145,BP145,BQ145,0,Strike1,AO145,CE145,0,BL145,IF(OptControl=4,0,1),3,1)+_xll.xCrudeAPO(BU145,BV145,CA145,CB145,S146,S147,BI145,BL145,BP145,BQ145,0,Strike1,AO145,CE145,0,BL145,IF(OptControl=4,0,1),3,2))/100,0)</f>
        <v>0</v>
      </c>
      <c r="CI145" s="163">
        <f ca="1">IF(BD145,_xll.xCrudeAPO(BU145,BV145,CA145,CB145,S146,S147,BI145-DaysForThetaCalculation/365.25,BL145-DaysForThetaCalculation/365.25,BP145,BQ145,0,Strike1,AO145,CE145,0,BL145,IF(OptControl=4,0,1),0,1)-_xll.xCrudeAPO(BU145,BV145,CA145,CB145,S146,S147,BI145,BL145,BP145,BQ145,0,Strike1,AO145,CE145,0,BL145,IF(OptControl=4,0,1),0,1),0)</f>
        <v>0</v>
      </c>
      <c r="CJ145" s="311">
        <f ca="1">IF(BD145,_xll.xCrudeAPO(BU145,BV145,CC145,CD145,S146,S147,BI145,BL145,BP145,BQ145,0,Strike2,AO145,CE145,0,BL145,IF(OptControl=3,1,0),0,1),0)</f>
        <v>0</v>
      </c>
      <c r="CK145" s="163">
        <f ca="1">IF(BD145,_xll.xCrudeAPO(BU145,BV145,CC145,CD145,S146,S147,BI145,BL145,BP145,BQ145,0,Strike2,AO145,CE145,0,BL145,IF(OptControl=3,1,0),1,1)+_xll.xCrudeAPO(BU145,BV145,CC145,CD145,S146,S147,BI145,BL145,BP145,BQ145,0,Strike2,AO145,CE145,0,BL145,IF(OptControl=3,1,0),1,2)+IF(OR(VolSkewFlag=2,ABS(BT145)&lt;0.0001),0,IF(BT145&gt;0,-1,1)*CL145*Strike2/BR145^2*BZ145/10%),0)</f>
        <v>0</v>
      </c>
      <c r="CL145" s="163">
        <f ca="1">IF(BD145,(_xll.xCrudeAPO(BU145,BV145,CC145,CD145,S146,S147,BI145,BL145,BP145,BQ145,0,Strike2,AO145,CE145,0,BL145,IF(OptControl=3,1,0),3,1)+_xll.xCrudeAPO(BU145,BV145,CC145,CD145,S146,S147,BI145,BL145,BP145,BQ145,0,Strike2,AO145,CE145,0,BL145,IF(OptControl=3,1,0),3,2))/100,0)</f>
        <v>0</v>
      </c>
      <c r="CM145" s="164">
        <f ca="1">IF(BD145,_xll.xCrudeAPO(BU145,BV145,CC145,CD145,S146,S147,BI145-DaysForThetaCalculation/365.25,BL145-DaysForThetaCalculation/365.25,BP145,BQ145,0,Strike2,AO145,CE145,0,BL145,IF(OptControl=3,1,0),0,1)-_xll.xCrudeAPO(BU145,BV145,CC145,CD145,S146,S147,BI145,BL145,BP145,BQ145,0,Strike2,AO145,CE145,0,BL145,IF(OptControl=3,1,0),0,1),0)</f>
        <v>0</v>
      </c>
      <c r="CN145" s="53"/>
      <c r="CO145" s="796" t="str">
        <f t="shared" ca="1" si="323"/>
        <v/>
      </c>
      <c r="CP145" s="800" t="str">
        <f t="shared" ca="1" si="324"/>
        <v/>
      </c>
      <c r="CQ145" s="797" t="str">
        <f t="shared" ca="1" si="325"/>
        <v/>
      </c>
      <c r="CR145" s="797" t="str">
        <f t="shared" ca="1" si="326"/>
        <v/>
      </c>
      <c r="CS145" s="797" t="str">
        <f t="shared" ca="1" si="327"/>
        <v/>
      </c>
      <c r="CT145" s="797" t="str">
        <f t="shared" ca="1" si="328"/>
        <v/>
      </c>
      <c r="CU145" s="798" t="str">
        <f t="shared" ca="1" si="329"/>
        <v/>
      </c>
      <c r="CV145" s="799" t="str">
        <f t="shared" ca="1" si="330"/>
        <v/>
      </c>
      <c r="CW145" s="799" t="str">
        <f t="shared" ca="1" si="331"/>
        <v/>
      </c>
      <c r="CX145" s="163">
        <f ca="1">IF(BD145,_xll.EURO(CP145,Strike1,AO145,AO145,CV145,CO145,IF(OptControl=4,0,1),0),0)</f>
        <v>0</v>
      </c>
      <c r="CY145" s="163">
        <f ca="1">IF(BD145,_xll.EURO(CP145,Strike1,AO145,AO145,CV145,CO145,IF(OptControl=4,0,1),1)+IF(OR(VolSkewFlag=2,ABS(CQ145)&lt;0.0001),0,IF(CQ145&gt;0,-1,1)*CZ145*100*Strike1/CP145^2*CS145/10%),0)</f>
        <v>0</v>
      </c>
      <c r="CZ145" s="163">
        <f ca="1">IF(BD145,_xll.EURO(CP145,Strike1,AO145,AO145,CV145,CO145,IF(OptControl=4,0,1),3)/100,0)</f>
        <v>0</v>
      </c>
      <c r="DA145" s="163">
        <f ca="1">IF(BD145,_xll.EURO(CP145,Strike1,AO145,AO145,CV145,CO145,IF(OptControl=4,0,1),0)-_xll.EURO(CP145,Strike1,AO145,AO145,CV145,CO145-1,IF(OptControl=4,0,1),0),0)</f>
        <v>0</v>
      </c>
      <c r="DB145" s="163">
        <f ca="1">IF(BD145,_xll.EURO(CP145,Strike2,AO145,AO145,CW145,CO145,IF(OptControl=3,1,0),0),0)</f>
        <v>0</v>
      </c>
      <c r="DC145" s="163">
        <f ca="1">IF(BD145,_xll.EURO(CP145,Strike2,AO145,AO145,CW145,CO145,IF(OptControl=3,1,0),1)+IF(OR(VolSkewFlag=2,ABS(CR145)&lt;0.0001),0,IF(CR145&gt;0,-1,1)*DD145*100*Strike2/CP145^2*CT145/10%),0)</f>
        <v>0</v>
      </c>
      <c r="DD145" s="163">
        <f ca="1">IF(BD145,_xll.EURO(CP145,Strike2,AO145,AO145,CW145,CO145,IF(OptControl=3,1,0),3)/100,0)</f>
        <v>0</v>
      </c>
      <c r="DE145" s="164">
        <f ca="1">IF(BD145,_xll.EURO(CP145,Strike2,AO145,AO145,CW145,CO145,IF(OptControl=3,1,0),0)-_xll.EURO(CP145,Strike2,AO145,AO145,CW145,CO145-1,IF(OptControl=3,1,0),0),0)</f>
        <v>0</v>
      </c>
      <c r="DG145" s="667">
        <f t="shared" ca="1" si="332"/>
        <v>40360</v>
      </c>
      <c r="DH145" s="475">
        <v>20.41</v>
      </c>
      <c r="DI145" s="665">
        <v>20.478181818181852</v>
      </c>
      <c r="DJ145" s="666">
        <f t="shared" ca="1" si="466"/>
        <v>40360</v>
      </c>
      <c r="DK145" s="475">
        <v>19.210265875564172</v>
      </c>
      <c r="DL145" s="665">
        <v>19.211281818181853</v>
      </c>
      <c r="DM145" s="667">
        <f t="shared" ca="1" si="467"/>
        <v>40360</v>
      </c>
      <c r="DN145" s="668">
        <f t="shared" si="468"/>
        <v>19.260265875564173</v>
      </c>
      <c r="DO145" s="667">
        <f t="shared" ca="1" si="333"/>
        <v>40360</v>
      </c>
      <c r="DP145" s="579">
        <f t="shared" si="334"/>
        <v>19.211281818181853</v>
      </c>
      <c r="DQ145" s="821">
        <v>0</v>
      </c>
      <c r="DR145" s="666">
        <f t="shared" ca="1" si="469"/>
        <v>40360</v>
      </c>
      <c r="DS145" s="669">
        <v>0.14959999999999904</v>
      </c>
      <c r="DT145" s="606">
        <v>0.14878181818181721</v>
      </c>
      <c r="DU145" s="666">
        <f t="shared" ca="1" si="470"/>
        <v>40360</v>
      </c>
      <c r="DV145" s="669">
        <v>0.14959999999999904</v>
      </c>
      <c r="DW145" s="606">
        <v>0.14878181818181721</v>
      </c>
      <c r="DX145" s="667">
        <f t="shared" ca="1" si="471"/>
        <v>40360</v>
      </c>
      <c r="DY145" s="606">
        <v>0.35</v>
      </c>
      <c r="DZ145" s="667">
        <f t="shared" ca="1" si="335"/>
        <v>40360</v>
      </c>
      <c r="EA145" s="606">
        <f t="shared" si="336"/>
        <v>0.14878181818181721</v>
      </c>
      <c r="EB145" s="1"/>
      <c r="EC145" s="118" t="str">
        <f t="shared" ca="1" si="472"/>
        <v/>
      </c>
      <c r="ED145" s="119" t="str">
        <f t="shared" ca="1" si="313"/>
        <v/>
      </c>
      <c r="EE145" s="112" t="str">
        <f t="shared" ca="1" si="314"/>
        <v/>
      </c>
      <c r="EF145" s="120">
        <f ca="1">IF(BD145,_xll.xASN(BR145,Strike1,AO145,ED145,0,BO145,0,BI145,BL145,IF(OptControl=4,0,1),0),0)</f>
        <v>0</v>
      </c>
      <c r="EG145" s="111">
        <f ca="1">IF(BD145,_xll.xASN(BR145,Strike2,AO145,EE145,0,BO145,0,BI145,BL145,IF(OptControl=3,1,0),0),0)</f>
        <v>0</v>
      </c>
      <c r="EL145" s="55"/>
      <c r="EM145" s="1"/>
      <c r="EN145" s="106"/>
      <c r="EO145" s="106"/>
      <c r="EP145" s="1"/>
      <c r="EQ145" s="683" t="s">
        <v>358</v>
      </c>
      <c r="ES145" s="455"/>
      <c r="ET145" s="36"/>
      <c r="EU145" s="107"/>
      <c r="EV145" s="475"/>
      <c r="EW145" s="456"/>
      <c r="EX145" s="456"/>
      <c r="EY145" s="250"/>
      <c r="EZ145" s="250"/>
      <c r="FA145" s="250"/>
      <c r="FB145" s="250"/>
      <c r="FC145" s="250"/>
      <c r="FD145" s="250"/>
      <c r="FE145" s="250"/>
      <c r="FF145" s="250"/>
      <c r="FG145" s="250"/>
      <c r="FH145" s="250"/>
      <c r="FI145" s="250"/>
      <c r="FJ145" s="673">
        <v>51</v>
      </c>
      <c r="FK145" s="460">
        <f t="shared" ca="1" si="479"/>
        <v>0</v>
      </c>
      <c r="FL145" s="460">
        <f t="shared" ref="FL145:HW148" ca="1" si="489">IF($FJ70&lt;FL$94,"",SQRT(FL70/FL$15))</f>
        <v>0.1661840806189637</v>
      </c>
      <c r="FM145" s="460">
        <f t="shared" ca="1" si="489"/>
        <v>0.17056773961594809</v>
      </c>
      <c r="FN145" s="460">
        <f t="shared" ca="1" si="489"/>
        <v>0.16729951430654461</v>
      </c>
      <c r="FO145" s="460">
        <f t="shared" ca="1" si="489"/>
        <v>0.16485296912529726</v>
      </c>
      <c r="FP145" s="460">
        <f t="shared" ca="1" si="489"/>
        <v>0.16302349408985878</v>
      </c>
      <c r="FQ145" s="460">
        <f t="shared" ca="1" si="489"/>
        <v>0.16165776626597661</v>
      </c>
      <c r="FR145" s="460">
        <f t="shared" ca="1" si="489"/>
        <v>0.16064095130230052</v>
      </c>
      <c r="FS145" s="460">
        <f t="shared" ca="1" si="489"/>
        <v>0.15988710852202973</v>
      </c>
      <c r="FT145" s="460">
        <f t="shared" ca="1" si="489"/>
        <v>0.15933199936956319</v>
      </c>
      <c r="FU145" s="460">
        <f t="shared" ca="1" si="489"/>
        <v>0.15892769918158237</v>
      </c>
      <c r="FV145" s="460">
        <f t="shared" ca="1" si="489"/>
        <v>0.15863856240284444</v>
      </c>
      <c r="FW145" s="460">
        <f t="shared" ca="1" si="489"/>
        <v>0.15843820400698197</v>
      </c>
      <c r="FX145" s="460">
        <f t="shared" ca="1" si="489"/>
        <v>0.1583072443949618</v>
      </c>
      <c r="FY145" s="460">
        <f t="shared" ca="1" si="489"/>
        <v>0.15823162846725036</v>
      </c>
      <c r="FZ145" s="460">
        <f t="shared" ca="1" si="489"/>
        <v>0.15820137718078878</v>
      </c>
      <c r="GA145" s="460">
        <f t="shared" ca="1" si="489"/>
        <v>0.15820966567118133</v>
      </c>
      <c r="GB145" s="460">
        <f t="shared" ca="1" si="489"/>
        <v>0.15825214891867323</v>
      </c>
      <c r="GC145" s="460">
        <f t="shared" ca="1" si="489"/>
        <v>0.15832647619804777</v>
      </c>
      <c r="GD145" s="460">
        <f t="shared" ca="1" si="489"/>
        <v>0.15843195085799208</v>
      </c>
      <c r="GE145" s="460">
        <f t="shared" ca="1" si="489"/>
        <v>0.15856930359124646</v>
      </c>
      <c r="GF145" s="460">
        <f t="shared" ca="1" si="489"/>
        <v>0.15874055624095373</v>
      </c>
      <c r="GG145" s="460">
        <f t="shared" ca="1" si="489"/>
        <v>0.15894896007044429</v>
      </c>
      <c r="GH145" s="460">
        <f t="shared" ca="1" si="489"/>
        <v>0.15919899786501604</v>
      </c>
      <c r="GI145" s="460">
        <f t="shared" ca="1" si="489"/>
        <v>0.15949644367648577</v>
      </c>
      <c r="GJ145" s="460">
        <f t="shared" ca="1" si="489"/>
        <v>0.15984847782299189</v>
      </c>
      <c r="GK145" s="460">
        <f t="shared" ca="1" si="489"/>
        <v>0.16026385822472253</v>
      </c>
      <c r="GL145" s="460">
        <f t="shared" ca="1" si="489"/>
        <v>0.1607531525743259</v>
      </c>
      <c r="GM145" s="460">
        <f t="shared" ca="1" si="489"/>
        <v>0.16132903949595548</v>
      </c>
      <c r="GN145" s="460">
        <f t="shared" ca="1" si="489"/>
        <v>0.16200669106069177</v>
      </c>
      <c r="GO145" s="460">
        <f t="shared" ca="1" si="489"/>
        <v>0.16280425419147443</v>
      </c>
      <c r="GP145" s="460">
        <f t="shared" ca="1" si="489"/>
        <v>0.16374345512235972</v>
      </c>
      <c r="GQ145" s="460">
        <f t="shared" ca="1" si="489"/>
        <v>0.16485035988264082</v>
      </c>
      <c r="GR145" s="460">
        <f t="shared" ca="1" si="489"/>
        <v>0.16615633576321295</v>
      </c>
      <c r="GS145" s="460">
        <f t="shared" ca="1" si="489"/>
        <v>0.16769927535963308</v>
      </c>
      <c r="GT145" s="460">
        <f t="shared" ca="1" si="489"/>
        <v>0.16952516825958222</v>
      </c>
      <c r="GU145" s="460">
        <f t="shared" ca="1" si="489"/>
        <v>0.17169013906191502</v>
      </c>
      <c r="GV145" s="460">
        <f t="shared" ca="1" si="489"/>
        <v>0.17426311927687707</v>
      </c>
      <c r="GW145" s="460">
        <f t="shared" ca="1" si="489"/>
        <v>0.17732939274454859</v>
      </c>
      <c r="GX145" s="460">
        <f t="shared" ca="1" si="489"/>
        <v>0.18099536224633966</v>
      </c>
      <c r="GY145" s="460">
        <f t="shared" ca="1" si="489"/>
        <v>0.1853950496466891</v>
      </c>
      <c r="GZ145" s="460">
        <f t="shared" ca="1" si="489"/>
        <v>0.19069909746905075</v>
      </c>
      <c r="HA145" s="460">
        <f t="shared" ca="1" si="489"/>
        <v>0.19712744438969851</v>
      </c>
      <c r="HB145" s="460">
        <f t="shared" ca="1" si="489"/>
        <v>0.20496750161779365</v>
      </c>
      <c r="HC145" s="460">
        <f t="shared" ca="1" si="489"/>
        <v>0.2146007413647297</v>
      </c>
      <c r="HD145" s="460">
        <f t="shared" ca="1" si="489"/>
        <v>0.22654245256006739</v>
      </c>
      <c r="HE145" s="460">
        <f t="shared" ca="1" si="489"/>
        <v>0.24150264769664162</v>
      </c>
      <c r="HF145" s="460">
        <f t="shared" ca="1" si="489"/>
        <v>0.26048194498505078</v>
      </c>
      <c r="HG145" s="460">
        <f t="shared" ca="1" si="489"/>
        <v>0.28492720740236788</v>
      </c>
      <c r="HH145" s="460">
        <f t="shared" ca="1" si="489"/>
        <v>0.31699314682606555</v>
      </c>
      <c r="HI145" s="460">
        <f t="shared" ca="1" si="489"/>
        <v>0.36000003020382165</v>
      </c>
      <c r="HJ145" s="460" t="str">
        <f t="shared" si="489"/>
        <v/>
      </c>
      <c r="HK145" s="460" t="str">
        <f t="shared" si="489"/>
        <v/>
      </c>
      <c r="HL145" s="460" t="str">
        <f t="shared" si="489"/>
        <v/>
      </c>
      <c r="HM145" s="460" t="str">
        <f t="shared" si="489"/>
        <v/>
      </c>
      <c r="HN145" s="460" t="str">
        <f t="shared" si="489"/>
        <v/>
      </c>
      <c r="HO145" s="460" t="str">
        <f t="shared" si="489"/>
        <v/>
      </c>
      <c r="HP145" s="460" t="str">
        <f t="shared" si="489"/>
        <v/>
      </c>
      <c r="HQ145" s="460" t="str">
        <f t="shared" si="489"/>
        <v/>
      </c>
      <c r="HR145" s="460" t="str">
        <f t="shared" si="489"/>
        <v/>
      </c>
      <c r="HS145" s="460" t="str">
        <f t="shared" si="489"/>
        <v/>
      </c>
      <c r="HT145" s="460" t="str">
        <f t="shared" si="489"/>
        <v/>
      </c>
      <c r="HU145" s="460" t="str">
        <f t="shared" si="489"/>
        <v/>
      </c>
      <c r="HV145" s="460" t="str">
        <f t="shared" si="489"/>
        <v/>
      </c>
      <c r="HW145" s="460" t="str">
        <f t="shared" si="489"/>
        <v/>
      </c>
      <c r="HX145" s="460" t="str">
        <f t="shared" si="488"/>
        <v/>
      </c>
      <c r="HY145" s="460" t="str">
        <f t="shared" si="488"/>
        <v/>
      </c>
      <c r="HZ145" s="460" t="str">
        <f t="shared" si="488"/>
        <v/>
      </c>
      <c r="IA145" s="460" t="str">
        <f t="shared" si="488"/>
        <v/>
      </c>
      <c r="IB145" s="460" t="str">
        <f t="shared" si="488"/>
        <v/>
      </c>
      <c r="IC145" s="460" t="str">
        <f t="shared" si="488"/>
        <v/>
      </c>
      <c r="ID145" s="674" t="str">
        <f t="shared" si="488"/>
        <v/>
      </c>
      <c r="IE145" s="250"/>
    </row>
    <row r="146" spans="8:239">
      <c r="H146" s="51">
        <f t="shared" ca="1" si="315"/>
        <v>0</v>
      </c>
      <c r="I146" s="379">
        <f t="shared" si="316"/>
        <v>40603</v>
      </c>
      <c r="J146" s="377"/>
      <c r="K146" s="104" t="s">
        <v>268</v>
      </c>
      <c r="L146" s="392">
        <f t="shared" si="317"/>
        <v>1.8750000000000018</v>
      </c>
      <c r="M146" s="171"/>
      <c r="N146" s="382">
        <v>0</v>
      </c>
      <c r="O146" s="171">
        <f t="shared" si="272"/>
        <v>0</v>
      </c>
      <c r="P146" s="377"/>
      <c r="Q146" s="104" t="s">
        <v>268</v>
      </c>
      <c r="R146" s="377">
        <f t="shared" ca="1" si="417"/>
        <v>0.71455065072083102</v>
      </c>
      <c r="S146" s="832">
        <f t="shared" si="435"/>
        <v>0.3600000000000001</v>
      </c>
      <c r="T146" s="831">
        <f t="shared" si="418"/>
        <v>0.99999999969924125</v>
      </c>
      <c r="U146" s="545">
        <f t="shared" si="419"/>
        <v>0.99999999999999978</v>
      </c>
      <c r="V146" s="389">
        <v>0</v>
      </c>
      <c r="W146" s="434">
        <f t="shared" si="455"/>
        <v>0</v>
      </c>
      <c r="X146" s="415">
        <f t="shared" si="456"/>
        <v>1.9271739130434802</v>
      </c>
      <c r="Y146" s="322">
        <f t="shared" si="457"/>
        <v>-1.1684999999999999</v>
      </c>
      <c r="Z146" s="322">
        <f t="shared" ca="1" si="458"/>
        <v>0.75867391304348031</v>
      </c>
      <c r="AA146" s="429">
        <f t="shared" si="277"/>
        <v>1.1684999999999999</v>
      </c>
      <c r="AB146" s="433">
        <f t="shared" ca="1" si="278"/>
        <v>1.1684999999999999</v>
      </c>
      <c r="AC146" s="229">
        <v>40594</v>
      </c>
      <c r="AD146" s="229">
        <v>40590</v>
      </c>
      <c r="AE146" s="229">
        <v>40589</v>
      </c>
      <c r="AF146" s="229">
        <v>40585</v>
      </c>
      <c r="AG146" s="249" t="s">
        <v>499</v>
      </c>
      <c r="AH146" s="247" t="s">
        <v>499</v>
      </c>
      <c r="AI146" s="146">
        <v>23</v>
      </c>
      <c r="AJ146" s="41">
        <v>14</v>
      </c>
      <c r="AK146" s="41">
        <v>9</v>
      </c>
      <c r="AL146" s="293">
        <v>23</v>
      </c>
      <c r="AM146" s="41">
        <v>10</v>
      </c>
      <c r="AN146" s="147">
        <v>13</v>
      </c>
      <c r="AO146" s="374"/>
      <c r="AP146" s="153">
        <f t="shared" ca="1" si="318"/>
        <v>1</v>
      </c>
      <c r="AQ146" s="374"/>
      <c r="AR146" s="153">
        <f t="shared" ca="1" si="420"/>
        <v>1</v>
      </c>
      <c r="AS146" s="272">
        <f t="shared" si="459"/>
        <v>0</v>
      </c>
      <c r="AT146" s="157">
        <f t="shared" si="319"/>
        <v>0</v>
      </c>
      <c r="AU146" s="157">
        <f t="shared" si="280"/>
        <v>0</v>
      </c>
      <c r="AV146" s="271">
        <f t="shared" ca="1" si="430"/>
        <v>9.9999999999999995E-7</v>
      </c>
      <c r="AW146" s="158" t="str">
        <f t="shared" ca="1" si="460"/>
        <v/>
      </c>
      <c r="AX146" s="157">
        <f t="shared" ca="1" si="421"/>
        <v>3.6259002467851383E-4</v>
      </c>
      <c r="AY146" s="157">
        <f t="shared" ca="1" si="422"/>
        <v>1.2114578364620392E-4</v>
      </c>
      <c r="AZ146" s="157">
        <f t="shared" ca="1" si="423"/>
        <v>1.0092619257295193E-5</v>
      </c>
      <c r="BA146" s="157">
        <f t="shared" ca="1" si="424"/>
        <v>1.2615774071618991E-6</v>
      </c>
      <c r="BB146" s="157">
        <f t="shared" ca="1" si="425"/>
        <v>3.8119615266389453E-8</v>
      </c>
      <c r="BC146" s="157">
        <f t="shared" ca="1" si="426"/>
        <v>3.1831551085224907E-9</v>
      </c>
      <c r="BD146" s="151">
        <f t="shared" ca="1" si="461"/>
        <v>0</v>
      </c>
      <c r="BE146" s="152">
        <f t="shared" ca="1" si="462"/>
        <v>0</v>
      </c>
      <c r="BF146" s="40">
        <f t="shared" si="463"/>
        <v>2011</v>
      </c>
      <c r="BG146" s="144">
        <f t="shared" si="464"/>
        <v>3</v>
      </c>
      <c r="BH146" s="145">
        <f t="shared" ca="1" si="465"/>
        <v>3845</v>
      </c>
      <c r="BI146" s="313">
        <f t="shared" ca="1" si="439"/>
        <v>10.562628336755647</v>
      </c>
      <c r="BJ146" s="42">
        <f t="shared" ca="1" si="288"/>
        <v>10.612623872868493</v>
      </c>
      <c r="BK146" s="42">
        <f t="shared" ca="1" si="289"/>
        <v>10.615361723655626</v>
      </c>
      <c r="BL146" s="42">
        <f t="shared" ca="1" si="440"/>
        <v>10.64476386036961</v>
      </c>
      <c r="BM146" s="150" t="e">
        <f t="shared" ca="1" si="291"/>
        <v>#DIV/0!</v>
      </c>
      <c r="BN146" s="42" t="e">
        <f t="shared" ca="1" si="292"/>
        <v>#DIV/0!</v>
      </c>
      <c r="BO146" s="293">
        <f t="shared" si="441"/>
        <v>23</v>
      </c>
      <c r="BP146" s="41">
        <f t="shared" si="442"/>
        <v>14</v>
      </c>
      <c r="BQ146" s="41">
        <f t="shared" si="443"/>
        <v>9</v>
      </c>
      <c r="BR146" s="305" t="str">
        <f t="shared" ca="1" si="295"/>
        <v/>
      </c>
      <c r="BS146" s="305" t="str">
        <f t="shared" ca="1" si="444"/>
        <v/>
      </c>
      <c r="BT146" s="307" t="str">
        <f t="shared" ca="1" si="445"/>
        <v/>
      </c>
      <c r="BU146" s="161" t="str">
        <f t="shared" ca="1" si="298"/>
        <v/>
      </c>
      <c r="BV146" s="161" t="str">
        <f t="shared" ca="1" si="299"/>
        <v/>
      </c>
      <c r="BW146" s="308" t="str">
        <f t="shared" ca="1" si="300"/>
        <v/>
      </c>
      <c r="BX146" s="309" t="str">
        <f t="shared" ca="1" si="301"/>
        <v/>
      </c>
      <c r="BY146" s="308" t="str">
        <f t="shared" ca="1" si="446"/>
        <v/>
      </c>
      <c r="BZ146" s="309" t="str">
        <f t="shared" ca="1" si="447"/>
        <v/>
      </c>
      <c r="CA146" s="154" t="str">
        <f t="shared" ca="1" si="302"/>
        <v/>
      </c>
      <c r="CB146" s="154" t="str">
        <f t="shared" ca="1" si="303"/>
        <v/>
      </c>
      <c r="CC146" s="154" t="str">
        <f t="shared" ca="1" si="304"/>
        <v/>
      </c>
      <c r="CD146" s="154" t="str">
        <f t="shared" ca="1" si="305"/>
        <v/>
      </c>
      <c r="CE146" s="310">
        <v>1</v>
      </c>
      <c r="CF146" s="162">
        <f ca="1">IF(BD146,_xll.xCrudeAPO(BU146,BV146,CA146,CB146,S147,S148,BI146,BL146,BP146,BQ146,0,Strike1,AO146,CE146,0,BL146,IF(OptControl=4,0,1),0,1),0)</f>
        <v>0</v>
      </c>
      <c r="CG146" s="163">
        <f ca="1">IF(BD146,_xll.xCrudeAPO(BU146,BV146,CA146,CB146,S147,S148,BI146,BL146,BP146,BQ146,0,Strike1,AO146,CE146,0,BL146,IF(OptControl=4,0,1),1,1)+_xll.xCrudeAPO(BU146,BV146,CA146,CB146,S147,S148,BI146,BL146,BP146,BQ146,0,Strike1,AO146,CE146,0,BL146,IF(OptControl=4,0,1),1,2)+IF(OR(VolSkewFlag=2,ABS(BS146)&lt;0.0001),0,IF(BS146&gt;0,-1,1)*CH146*Strike1/BR146^2*BY146/10%),0)</f>
        <v>0</v>
      </c>
      <c r="CH146" s="163">
        <f ca="1">IF(BD146,(_xll.xCrudeAPO(BU146,BV146,CA146,CB146,S147,S148,BI146,BL146,BP146,BQ146,0,Strike1,AO146,CE146,0,BL146,IF(OptControl=4,0,1),3,1)+_xll.xCrudeAPO(BU146,BV146,CA146,CB146,S147,S148,BI146,BL146,BP146,BQ146,0,Strike1,AO146,CE146,0,BL146,IF(OptControl=4,0,1),3,2))/100,0)</f>
        <v>0</v>
      </c>
      <c r="CI146" s="163">
        <f ca="1">IF(BD146,_xll.xCrudeAPO(BU146,BV146,CA146,CB146,S147,S148,BI146-DaysForThetaCalculation/365.25,BL146-DaysForThetaCalculation/365.25,BP146,BQ146,0,Strike1,AO146,CE146,0,BL146,IF(OptControl=4,0,1),0,1)-_xll.xCrudeAPO(BU146,BV146,CA146,CB146,S147,S148,BI146,BL146,BP146,BQ146,0,Strike1,AO146,CE146,0,BL146,IF(OptControl=4,0,1),0,1),0)</f>
        <v>0</v>
      </c>
      <c r="CJ146" s="311">
        <f ca="1">IF(BD146,_xll.xCrudeAPO(BU146,BV146,CC146,CD146,S147,S148,BI146,BL146,BP146,BQ146,0,Strike2,AO146,CE146,0,BL146,IF(OptControl=3,1,0),0,1),0)</f>
        <v>0</v>
      </c>
      <c r="CK146" s="163">
        <f ca="1">IF(BD146,_xll.xCrudeAPO(BU146,BV146,CC146,CD146,S147,S148,BI146,BL146,BP146,BQ146,0,Strike2,AO146,CE146,0,BL146,IF(OptControl=3,1,0),1,1)+_xll.xCrudeAPO(BU146,BV146,CC146,CD146,S147,S148,BI146,BL146,BP146,BQ146,0,Strike2,AO146,CE146,0,BL146,IF(OptControl=3,1,0),1,2)+IF(OR(VolSkewFlag=2,ABS(BT146)&lt;0.0001),0,IF(BT146&gt;0,-1,1)*CL146*Strike2/BR146^2*BZ146/10%),0)</f>
        <v>0</v>
      </c>
      <c r="CL146" s="163">
        <f ca="1">IF(BD146,(_xll.xCrudeAPO(BU146,BV146,CC146,CD146,S147,S148,BI146,BL146,BP146,BQ146,0,Strike2,AO146,CE146,0,BL146,IF(OptControl=3,1,0),3,1)+_xll.xCrudeAPO(BU146,BV146,CC146,CD146,S147,S148,BI146,BL146,BP146,BQ146,0,Strike2,AO146,CE146,0,BL146,IF(OptControl=3,1,0),3,2))/100,0)</f>
        <v>0</v>
      </c>
      <c r="CM146" s="164">
        <f ca="1">IF(BD146,_xll.xCrudeAPO(BU146,BV146,CC146,CD146,S147,S148,BI146-DaysForThetaCalculation/365.25,BL146-DaysForThetaCalculation/365.25,BP146,BQ146,0,Strike2,AO146,CE146,0,BL146,IF(OptControl=3,1,0),0,1)-_xll.xCrudeAPO(BU146,BV146,CC146,CD146,S147,S148,BI146,BL146,BP146,BQ146,0,Strike2,AO146,CE146,0,BL146,IF(OptControl=3,1,0),0,1),0)</f>
        <v>0</v>
      </c>
      <c r="CN146" s="53"/>
      <c r="CO146" s="796" t="str">
        <f t="shared" ca="1" si="323"/>
        <v/>
      </c>
      <c r="CP146" s="800" t="str">
        <f t="shared" ca="1" si="324"/>
        <v/>
      </c>
      <c r="CQ146" s="797" t="str">
        <f t="shared" ca="1" si="325"/>
        <v/>
      </c>
      <c r="CR146" s="797" t="str">
        <f t="shared" ca="1" si="326"/>
        <v/>
      </c>
      <c r="CS146" s="797" t="str">
        <f t="shared" ca="1" si="327"/>
        <v/>
      </c>
      <c r="CT146" s="797" t="str">
        <f t="shared" ca="1" si="328"/>
        <v/>
      </c>
      <c r="CU146" s="798" t="str">
        <f t="shared" ca="1" si="329"/>
        <v/>
      </c>
      <c r="CV146" s="799" t="str">
        <f t="shared" ca="1" si="330"/>
        <v/>
      </c>
      <c r="CW146" s="799" t="str">
        <f t="shared" ca="1" si="331"/>
        <v/>
      </c>
      <c r="CX146" s="163">
        <f ca="1">IF(BD146,_xll.EURO(CP146,Strike1,AO146,AO146,CV146,CO146,IF(OptControl=4,0,1),0),0)</f>
        <v>0</v>
      </c>
      <c r="CY146" s="163">
        <f ca="1">IF(BD146,_xll.EURO(CP146,Strike1,AO146,AO146,CV146,CO146,IF(OptControl=4,0,1),1)+IF(OR(VolSkewFlag=2,ABS(CQ146)&lt;0.0001),0,IF(CQ146&gt;0,-1,1)*CZ146*100*Strike1/CP146^2*CS146/10%),0)</f>
        <v>0</v>
      </c>
      <c r="CZ146" s="163">
        <f ca="1">IF(BD146,_xll.EURO(CP146,Strike1,AO146,AO146,CV146,CO146,IF(OptControl=4,0,1),3)/100,0)</f>
        <v>0</v>
      </c>
      <c r="DA146" s="163">
        <f ca="1">IF(BD146,_xll.EURO(CP146,Strike1,AO146,AO146,CV146,CO146,IF(OptControl=4,0,1),0)-_xll.EURO(CP146,Strike1,AO146,AO146,CV146,CO146-1,IF(OptControl=4,0,1),0),0)</f>
        <v>0</v>
      </c>
      <c r="DB146" s="163">
        <f ca="1">IF(BD146,_xll.EURO(CP146,Strike2,AO146,AO146,CW146,CO146,IF(OptControl=3,1,0),0),0)</f>
        <v>0</v>
      </c>
      <c r="DC146" s="163">
        <f ca="1">IF(BD146,_xll.EURO(CP146,Strike2,AO146,AO146,CW146,CO146,IF(OptControl=3,1,0),1)+IF(OR(VolSkewFlag=2,ABS(CR146)&lt;0.0001),0,IF(CR146&gt;0,-1,1)*DD146*100*Strike2/CP146^2*CT146/10%),0)</f>
        <v>0</v>
      </c>
      <c r="DD146" s="163">
        <f ca="1">IF(BD146,_xll.EURO(CP146,Strike2,AO146,AO146,CW146,CO146,IF(OptControl=3,1,0),3)/100,0)</f>
        <v>0</v>
      </c>
      <c r="DE146" s="164">
        <f ca="1">IF(BD146,_xll.EURO(CP146,Strike2,AO146,AO146,CW146,CO146,IF(OptControl=3,1,0),0)-_xll.EURO(CP146,Strike2,AO146,AO146,CW146,CO146-1,IF(OptControl=3,1,0),0),0)</f>
        <v>0</v>
      </c>
      <c r="DG146" s="667">
        <f t="shared" ca="1" si="332"/>
        <v>40391</v>
      </c>
      <c r="DH146" s="475">
        <v>20.46</v>
      </c>
      <c r="DI146" s="665">
        <v>20.525909090909128</v>
      </c>
      <c r="DJ146" s="666">
        <f t="shared" ca="1" si="466"/>
        <v>40391</v>
      </c>
      <c r="DK146" s="475">
        <v>19.075361770363262</v>
      </c>
      <c r="DL146" s="665">
        <v>19.259009090909128</v>
      </c>
      <c r="DM146" s="667">
        <f t="shared" ca="1" si="467"/>
        <v>40391</v>
      </c>
      <c r="DN146" s="668">
        <f t="shared" si="468"/>
        <v>19.125361770363263</v>
      </c>
      <c r="DO146" s="667">
        <f t="shared" ca="1" si="333"/>
        <v>40391</v>
      </c>
      <c r="DP146" s="579">
        <f t="shared" si="334"/>
        <v>19.259009090909128</v>
      </c>
      <c r="DQ146" s="821">
        <v>0</v>
      </c>
      <c r="DR146" s="666">
        <f t="shared" ca="1" si="469"/>
        <v>40391</v>
      </c>
      <c r="DS146" s="669">
        <v>0.14899999999999902</v>
      </c>
      <c r="DT146" s="606">
        <v>0.14820909090908993</v>
      </c>
      <c r="DU146" s="666">
        <f t="shared" ca="1" si="470"/>
        <v>40391</v>
      </c>
      <c r="DV146" s="669">
        <v>0.14899999999999902</v>
      </c>
      <c r="DW146" s="606">
        <v>0.14820909090908993</v>
      </c>
      <c r="DX146" s="667">
        <f t="shared" ca="1" si="471"/>
        <v>40391</v>
      </c>
      <c r="DY146" s="606">
        <v>0.35</v>
      </c>
      <c r="DZ146" s="667">
        <f t="shared" ca="1" si="335"/>
        <v>40391</v>
      </c>
      <c r="EA146" s="606">
        <f t="shared" si="336"/>
        <v>0.14820909090908993</v>
      </c>
      <c r="EB146" s="1"/>
      <c r="EC146" s="118" t="str">
        <f t="shared" ca="1" si="472"/>
        <v/>
      </c>
      <c r="ED146" s="119" t="str">
        <f t="shared" ca="1" si="313"/>
        <v/>
      </c>
      <c r="EE146" s="112" t="str">
        <f t="shared" ca="1" si="314"/>
        <v/>
      </c>
      <c r="EF146" s="120">
        <f ca="1">IF(BD146,_xll.xASN(BR146,Strike1,AO146,ED146,0,BO146,0,BI146,BL146,IF(OptControl=4,0,1),0),0)</f>
        <v>0</v>
      </c>
      <c r="EG146" s="111">
        <f ca="1">IF(BD146,_xll.xASN(BR146,Strike2,AO146,EE146,0,BO146,0,BI146,BL146,IF(OptControl=3,1,0),0),0)</f>
        <v>0</v>
      </c>
      <c r="EL146" s="55"/>
      <c r="EM146" s="1"/>
      <c r="EN146" s="106"/>
      <c r="EO146" s="106"/>
      <c r="EP146" s="1"/>
      <c r="EQ146" s="683" t="s">
        <v>359</v>
      </c>
      <c r="ES146" s="455"/>
      <c r="ET146" s="36"/>
      <c r="EU146" s="107"/>
      <c r="EV146" s="475"/>
      <c r="EW146" s="456"/>
      <c r="EX146" s="456"/>
      <c r="EY146" s="250"/>
      <c r="EZ146" s="250"/>
      <c r="FA146" s="250"/>
      <c r="FB146" s="250"/>
      <c r="FC146" s="250"/>
      <c r="FD146" s="250"/>
      <c r="FE146" s="250"/>
      <c r="FF146" s="250"/>
      <c r="FG146" s="250"/>
      <c r="FH146" s="250"/>
      <c r="FI146" s="250"/>
      <c r="FJ146" s="673">
        <v>52</v>
      </c>
      <c r="FK146" s="460">
        <f t="shared" ca="1" si="479"/>
        <v>0</v>
      </c>
      <c r="FL146" s="460">
        <f t="shared" ca="1" si="489"/>
        <v>0.16617542241862138</v>
      </c>
      <c r="FM146" s="460">
        <f t="shared" ca="1" si="489"/>
        <v>0.17055734589841012</v>
      </c>
      <c r="FN146" s="460">
        <f t="shared" ca="1" si="489"/>
        <v>0.16728759077717989</v>
      </c>
      <c r="FO146" s="460">
        <f t="shared" ca="1" si="489"/>
        <v>0.16483922733144829</v>
      </c>
      <c r="FP146" s="460">
        <f t="shared" ca="1" si="489"/>
        <v>0.16300760006792461</v>
      </c>
      <c r="FQ146" s="460">
        <f t="shared" ca="1" si="489"/>
        <v>0.16163933234758635</v>
      </c>
      <c r="FR146" s="460">
        <f t="shared" ca="1" si="489"/>
        <v>0.16061952656826456</v>
      </c>
      <c r="FS146" s="460">
        <f t="shared" ca="1" si="489"/>
        <v>0.15986216766239841</v>
      </c>
      <c r="FT146" s="460">
        <f t="shared" ca="1" si="489"/>
        <v>0.15930292966578904</v>
      </c>
      <c r="FU146" s="460">
        <f t="shared" ca="1" si="489"/>
        <v>0.15889378527637524</v>
      </c>
      <c r="FV146" s="460">
        <f t="shared" ca="1" si="489"/>
        <v>0.1585989684631742</v>
      </c>
      <c r="FW146" s="460">
        <f t="shared" ca="1" si="489"/>
        <v>0.1583919528137756</v>
      </c>
      <c r="FX146" s="460">
        <f t="shared" ca="1" si="489"/>
        <v>0.15825319280681277</v>
      </c>
      <c r="FY146" s="460">
        <f t="shared" ca="1" si="489"/>
        <v>0.15816843860171917</v>
      </c>
      <c r="FZ146" s="460">
        <f t="shared" ca="1" si="489"/>
        <v>0.15812748253159628</v>
      </c>
      <c r="GA146" s="460">
        <f t="shared" ca="1" si="489"/>
        <v>0.15812323122767327</v>
      </c>
      <c r="GB146" s="460">
        <f t="shared" ca="1" si="489"/>
        <v>0.15815102416882287</v>
      </c>
      <c r="GC146" s="460">
        <f t="shared" ca="1" si="489"/>
        <v>0.15820813966954175</v>
      </c>
      <c r="GD146" s="460">
        <f t="shared" ca="1" si="489"/>
        <v>0.15829344457266967</v>
      </c>
      <c r="GE146" s="460">
        <f t="shared" ca="1" si="489"/>
        <v>0.15840715546202933</v>
      </c>
      <c r="GF146" s="460">
        <f t="shared" ca="1" si="489"/>
        <v>0.15855068800854785</v>
      </c>
      <c r="GG146" s="460">
        <f t="shared" ca="1" si="489"/>
        <v>0.15872657783447627</v>
      </c>
      <c r="GH146" s="460">
        <f t="shared" ca="1" si="489"/>
        <v>0.15893846157735955</v>
      </c>
      <c r="GI146" s="460">
        <f t="shared" ca="1" si="489"/>
        <v>0.15919111108813896</v>
      </c>
      <c r="GJ146" s="460">
        <f t="shared" ca="1" si="489"/>
        <v>0.15949051724854946</v>
      </c>
      <c r="GK146" s="460">
        <f t="shared" ca="1" si="489"/>
        <v>0.15984402302608181</v>
      </c>
      <c r="GL146" s="460">
        <f t="shared" ca="1" si="489"/>
        <v>0.16026050835154515</v>
      </c>
      <c r="GM146" s="460">
        <f t="shared" ca="1" si="489"/>
        <v>0.16075063244625659</v>
      </c>
      <c r="GN146" s="460">
        <f t="shared" ca="1" si="489"/>
        <v>0.16132714259902897</v>
      </c>
      <c r="GO146" s="460">
        <f t="shared" ca="1" si="489"/>
        <v>0.1620052623953597</v>
      </c>
      <c r="GP146" s="460">
        <f t="shared" ca="1" si="489"/>
        <v>0.16280317740796238</v>
      </c>
      <c r="GQ146" s="460">
        <f t="shared" ca="1" si="489"/>
        <v>0.16374264287046381</v>
      </c>
      <c r="GR146" s="460">
        <f t="shared" ca="1" si="489"/>
        <v>0.16484974657256307</v>
      </c>
      <c r="GS146" s="460">
        <f t="shared" ca="1" si="489"/>
        <v>0.16615587213486058</v>
      </c>
      <c r="GT146" s="460">
        <f t="shared" ca="1" si="489"/>
        <v>0.16769892440842504</v>
      </c>
      <c r="GU146" s="460">
        <f t="shared" ca="1" si="489"/>
        <v>0.16952490217977825</v>
      </c>
      <c r="GV146" s="460">
        <f t="shared" ca="1" si="489"/>
        <v>0.17168993695320722</v>
      </c>
      <c r="GW146" s="460">
        <f t="shared" ca="1" si="489"/>
        <v>0.1742629654235362</v>
      </c>
      <c r="GX146" s="460">
        <f t="shared" ca="1" si="489"/>
        <v>0.17732927532407675</v>
      </c>
      <c r="GY146" s="460">
        <f t="shared" ca="1" si="489"/>
        <v>0.1809952723603318</v>
      </c>
      <c r="GZ146" s="460">
        <f t="shared" ca="1" si="489"/>
        <v>0.18539498059341769</v>
      </c>
      <c r="HA146" s="460">
        <f t="shared" ca="1" si="489"/>
        <v>0.190699044197396</v>
      </c>
      <c r="HB146" s="460">
        <f t="shared" ca="1" si="489"/>
        <v>0.19712740308913043</v>
      </c>
      <c r="HC146" s="460">
        <f t="shared" ca="1" si="489"/>
        <v>0.20496746941042113</v>
      </c>
      <c r="HD146" s="460">
        <f t="shared" ca="1" si="489"/>
        <v>0.21460071607391393</v>
      </c>
      <c r="HE146" s="460">
        <f t="shared" ca="1" si="489"/>
        <v>0.22654243253645023</v>
      </c>
      <c r="HF146" s="460">
        <f t="shared" ca="1" si="489"/>
        <v>0.24150263168720187</v>
      </c>
      <c r="HG146" s="460">
        <f t="shared" ca="1" si="489"/>
        <v>0.26048193203435344</v>
      </c>
      <c r="HH146" s="460">
        <f t="shared" ca="1" si="489"/>
        <v>0.2849271967778132</v>
      </c>
      <c r="HI146" s="460">
        <f t="shared" ca="1" si="489"/>
        <v>0.31699313796087714</v>
      </c>
      <c r="HJ146" s="460">
        <f t="shared" ca="1" si="489"/>
        <v>0.36000002265286624</v>
      </c>
      <c r="HK146" s="460" t="str">
        <f t="shared" si="489"/>
        <v/>
      </c>
      <c r="HL146" s="460" t="str">
        <f t="shared" si="489"/>
        <v/>
      </c>
      <c r="HM146" s="460" t="str">
        <f t="shared" si="489"/>
        <v/>
      </c>
      <c r="HN146" s="460" t="str">
        <f t="shared" si="489"/>
        <v/>
      </c>
      <c r="HO146" s="460" t="str">
        <f t="shared" si="489"/>
        <v/>
      </c>
      <c r="HP146" s="460" t="str">
        <f t="shared" si="489"/>
        <v/>
      </c>
      <c r="HQ146" s="460" t="str">
        <f t="shared" si="489"/>
        <v/>
      </c>
      <c r="HR146" s="460" t="str">
        <f t="shared" si="489"/>
        <v/>
      </c>
      <c r="HS146" s="460" t="str">
        <f t="shared" si="489"/>
        <v/>
      </c>
      <c r="HT146" s="460" t="str">
        <f t="shared" si="489"/>
        <v/>
      </c>
      <c r="HU146" s="460" t="str">
        <f t="shared" si="489"/>
        <v/>
      </c>
      <c r="HV146" s="460" t="str">
        <f t="shared" si="489"/>
        <v/>
      </c>
      <c r="HW146" s="460" t="str">
        <f t="shared" si="489"/>
        <v/>
      </c>
      <c r="HX146" s="460" t="str">
        <f t="shared" si="488"/>
        <v/>
      </c>
      <c r="HY146" s="460" t="str">
        <f t="shared" si="488"/>
        <v/>
      </c>
      <c r="HZ146" s="460" t="str">
        <f t="shared" si="488"/>
        <v/>
      </c>
      <c r="IA146" s="460" t="str">
        <f t="shared" si="488"/>
        <v/>
      </c>
      <c r="IB146" s="460" t="str">
        <f t="shared" si="488"/>
        <v/>
      </c>
      <c r="IC146" s="460" t="str">
        <f t="shared" si="488"/>
        <v/>
      </c>
      <c r="ID146" s="674" t="str">
        <f t="shared" si="488"/>
        <v/>
      </c>
      <c r="IE146" s="250"/>
    </row>
    <row r="147" spans="8:239">
      <c r="H147" s="51">
        <f t="shared" ca="1" si="315"/>
        <v>0</v>
      </c>
      <c r="I147" s="379">
        <f t="shared" si="316"/>
        <v>40634</v>
      </c>
      <c r="J147" s="377"/>
      <c r="K147" s="104" t="s">
        <v>268</v>
      </c>
      <c r="L147" s="392">
        <f t="shared" si="317"/>
        <v>1.9125000000000019</v>
      </c>
      <c r="M147" s="171"/>
      <c r="N147" s="382">
        <v>0</v>
      </c>
      <c r="O147" s="171">
        <f t="shared" ref="O147:O195" si="490">M147+N147</f>
        <v>0</v>
      </c>
      <c r="P147" s="377"/>
      <c r="Q147" s="104" t="s">
        <v>268</v>
      </c>
      <c r="R147" s="377">
        <f t="shared" ca="1" si="417"/>
        <v>0.72094934927917276</v>
      </c>
      <c r="S147" s="832">
        <f t="shared" si="435"/>
        <v>0.3600000000000001</v>
      </c>
      <c r="T147" s="831">
        <f t="shared" si="418"/>
        <v>0.99999999974285125</v>
      </c>
      <c r="U147" s="545">
        <f t="shared" si="419"/>
        <v>0.99999999999999978</v>
      </c>
      <c r="V147" s="389">
        <v>0</v>
      </c>
      <c r="W147" s="434">
        <f t="shared" ref="W147:W178" si="491">(J148*AJ147+J149*AK147)/AI147</f>
        <v>0</v>
      </c>
      <c r="X147" s="415">
        <f t="shared" ref="X147:X178" si="492">(L148*AJ147+L149*AK147)/AI147</f>
        <v>1.9625000000000019</v>
      </c>
      <c r="Y147" s="322">
        <f t="shared" ref="Y147:Y178" si="493">IF(Q149="extra",W147-AA147,(P148*AM147+P149*AN147)/AL147)</f>
        <v>-1.2915000000000001</v>
      </c>
      <c r="Z147" s="322">
        <f t="shared" ref="Z147:Z178" ca="1" si="494">IF(Q149="extra",X147-AB147,(R148*AM147+R149*AN147)/AL147)</f>
        <v>0.67100000000000182</v>
      </c>
      <c r="AA147" s="429">
        <f t="shared" ref="AA147:AA210" si="495">IF(Q149="extra",INDEX(BrentSeasonalityTable,INT((BG147-1)/3)+1)*VLOOKUP(MAX(BF147,$AB$4),PriceSpreadTable,3),W147-Y147)</f>
        <v>1.2915000000000001</v>
      </c>
      <c r="AB147" s="433">
        <f t="shared" ref="AB147:AB210" ca="1" si="496">IF(Q149="extra",INDEX(BrentSeasonalityTable,INT((BG147-1)/3)+1)*VLOOKUP(MAX(BF147,$AB$4),PriceSpreadTable,3),X147-Z147)</f>
        <v>1.2915000000000001</v>
      </c>
      <c r="AC147" s="229">
        <v>40622</v>
      </c>
      <c r="AD147" s="229">
        <v>40618</v>
      </c>
      <c r="AE147" s="229">
        <v>40617</v>
      </c>
      <c r="AF147" s="229">
        <v>40613</v>
      </c>
      <c r="AG147" s="249" t="s">
        <v>499</v>
      </c>
      <c r="AH147" s="247" t="s">
        <v>499</v>
      </c>
      <c r="AI147" s="146">
        <v>21</v>
      </c>
      <c r="AJ147" s="41">
        <v>14</v>
      </c>
      <c r="AK147" s="41">
        <v>7</v>
      </c>
      <c r="AL147" s="293">
        <v>21</v>
      </c>
      <c r="AM147" s="41">
        <v>10</v>
      </c>
      <c r="AN147" s="147">
        <v>11</v>
      </c>
      <c r="AO147" s="374"/>
      <c r="AP147" s="153">
        <f t="shared" ca="1" si="318"/>
        <v>1</v>
      </c>
      <c r="AQ147" s="374"/>
      <c r="AR147" s="153">
        <f t="shared" ca="1" si="420"/>
        <v>1</v>
      </c>
      <c r="AS147" s="272">
        <f t="shared" ref="AS147:AS178" si="497">(O148*AJ147+O149*AK147)/AI147</f>
        <v>0</v>
      </c>
      <c r="AT147" s="157">
        <f t="shared" si="319"/>
        <v>0</v>
      </c>
      <c r="AU147" s="157">
        <f t="shared" ref="AU147:AU210" si="498">(AT148*AM147+AT149*AN147)/AL147</f>
        <v>0</v>
      </c>
      <c r="AV147" s="271">
        <f t="shared" ca="1" si="430"/>
        <v>9.9999999999999995E-7</v>
      </c>
      <c r="AW147" s="158" t="str">
        <f t="shared" ref="AW147:AW178" ca="1" si="499">IF($I147-DateToday+15&gt;=$T$8,"",IF($I147-DateToday+15&lt;$T$5,1,MATCH($I147-DateToday+15,$T$5:$T$8)))</f>
        <v/>
      </c>
      <c r="AX147" s="157">
        <f t="shared" ca="1" si="421"/>
        <v>3.5054322699816433E-4</v>
      </c>
      <c r="AY147" s="157">
        <f t="shared" ca="1" si="422"/>
        <v>1.1634217799483682E-4</v>
      </c>
      <c r="AZ147" s="157">
        <f t="shared" ca="1" si="423"/>
        <v>9.5261640646375232E-6</v>
      </c>
      <c r="BA147" s="157">
        <f t="shared" ca="1" si="424"/>
        <v>1.1907705080796904E-6</v>
      </c>
      <c r="BB147" s="157">
        <f t="shared" ca="1" si="425"/>
        <v>3.4784711376373711E-8</v>
      </c>
      <c r="BC147" s="157">
        <f t="shared" ca="1" si="426"/>
        <v>2.835868805824556E-9</v>
      </c>
      <c r="BD147" s="151">
        <f t="shared" ref="BD147:BD178" ca="1" si="500">IF(OR(DateStart&gt;=I148,DateEnd&lt;I147),0,IF(VolumeOverrideFlag,V147,Volume))</f>
        <v>0</v>
      </c>
      <c r="BE147" s="152">
        <f t="shared" ref="BE147:BE178" ca="1" si="501">IF(OR(DateStart2&gt;=I148,DateEnd2&lt;I147),0,IF(VolumeOverrideFlag,V147,VolumeSwaption))</f>
        <v>0</v>
      </c>
      <c r="BF147" s="40">
        <f t="shared" ref="BF147:BF178" si="502">YEAR(I147)</f>
        <v>2011</v>
      </c>
      <c r="BG147" s="144">
        <f t="shared" ref="BG147:BG178" si="503">MONTH(I147)</f>
        <v>4</v>
      </c>
      <c r="BH147" s="145">
        <f t="shared" ref="BH147:BH178" ca="1" si="504">AD147-DateToday+1</f>
        <v>3873</v>
      </c>
      <c r="BI147" s="313">
        <f t="shared" ca="1" si="439"/>
        <v>10.647501711156742</v>
      </c>
      <c r="BJ147" s="42">
        <f t="shared" ref="BJ147:BJ210" ca="1" si="505">BI147+(BL147-BI147)*CHOOSE(Underlying,AJ147/AI147,AM147/AL147)</f>
        <v>10.700433493041297</v>
      </c>
      <c r="BK147" s="42">
        <f t="shared" ref="BK147:BK210" ca="1" si="506">BJ147+1/365.25</f>
        <v>10.70317134382843</v>
      </c>
      <c r="BL147" s="42">
        <f t="shared" ca="1" si="440"/>
        <v>10.726899383983573</v>
      </c>
      <c r="BM147" s="150" t="e">
        <f t="shared" ref="BM147:BM210" ca="1" si="507">MAX(BI147-(BJ147-BI147)*(S148^2/O148^2-1),0)</f>
        <v>#DIV/0!</v>
      </c>
      <c r="BN147" s="42" t="e">
        <f t="shared" ref="BN147:BN210" ca="1" si="508">MAX(BL147+(BL147-BK147)*(S149^2/O149^2-1),0)</f>
        <v>#DIV/0!</v>
      </c>
      <c r="BO147" s="293">
        <f t="shared" si="441"/>
        <v>21</v>
      </c>
      <c r="BP147" s="41">
        <f t="shared" si="442"/>
        <v>14</v>
      </c>
      <c r="BQ147" s="41">
        <f t="shared" si="443"/>
        <v>7</v>
      </c>
      <c r="BR147" s="305" t="str">
        <f t="shared" ref="BR147:BR210" ca="1" si="509">IF(BD147,IF(Underlying=1,X147,Z147)+UnderlyingPriceAsian-SwapPriceCurve,"")</f>
        <v/>
      </c>
      <c r="BS147" s="305" t="str">
        <f t="shared" ca="1" si="444"/>
        <v/>
      </c>
      <c r="BT147" s="307" t="str">
        <f t="shared" ca="1" si="445"/>
        <v/>
      </c>
      <c r="BU147" s="161" t="str">
        <f t="shared" ref="BU147:BU210" ca="1" si="510">IF(BD147,IF(Underlying=1,L148,R148)+UnderlyingPriceAsian-SwapPriceCurve,"")</f>
        <v/>
      </c>
      <c r="BV147" s="161" t="str">
        <f t="shared" ref="BV147:BV210" ca="1" si="511">IF(BD147,IF(Underlying=1,L149,R149)+UnderlyingPriceAsian-SwapPriceCurve,"")</f>
        <v/>
      </c>
      <c r="BW147" s="308" t="str">
        <f t="shared" ref="BW147:BW210" ca="1" si="512">IF(BD147,IF(Underlying=1,O148,AT148),"")</f>
        <v/>
      </c>
      <c r="BX147" s="309" t="str">
        <f t="shared" ref="BX147:BX210" ca="1" si="513">IF(BD147,IF(Underlying=1,O149,AT149),"")</f>
        <v/>
      </c>
      <c r="BY147" s="308" t="str">
        <f t="shared" ca="1" si="446"/>
        <v/>
      </c>
      <c r="BZ147" s="309" t="str">
        <f t="shared" ca="1" si="447"/>
        <v/>
      </c>
      <c r="CA147" s="154" t="str">
        <f t="shared" ref="CA147:CA210" ca="1" si="514">IF($BD147,$BW147+IF(VolSkewFlag=1,IF(BS147&gt;0,$BA147*MIN(BS147/10%,1)+($BB147-$BA147)*MAX(0,MIN(BS147/10%-1,1))+($BC147-$BB147)*MAX(0,BS147/10%-2),$AZ147*MIN(-BS147/10%,1)+($AY147-$AZ147)*MAX(0,MIN(-BS147/10%-1,1))+($AX147-$AY147)*MAX(0,-BS147/10%-2)),0),"")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CB147" s="154" t="str">
        <f t="shared" ref="CB147:CB210" ca="1" si="515">IF($BD147,$BX147+IF(VolSkewFlag=1,IF(BS147&gt;0,$BA147*MIN(BS147/10%,1)+($BB147-$BA147)*MAX(0,MIN(BS147/10%-1,1))+($BC147-$BB147)*MAX(0,BS147/10%-2),$AZ147*MIN(-BS147/10%,1)+($AY147-$AZ147)*MAX(0,MIN(-BS147/10%-1,1))+($AX147-$AY147)*MAX(0,-BS147/10%-2)),0),"")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CC147" s="154" t="str">
        <f t="shared" ref="CC147:CC210" ca="1" si="516">IF($BD147,$BW147+IF(VolSkewFlag=1,IF(BT147&gt;0,$BA147*MIN(BT147/10%,1)+($BB147-$BA147)*MAX(0,MIN(BT147/10%-1,1))+($BC147-$BB147)*MAX(0,BT147/10%-2),$AZ147*MIN(-BT147/10%,1)+($AY147-$AZ147)*MAX(0,MIN(-BT147/10%-1,1))+($AX147-$AY147)*MAX(0,-BT147/10%-2)),0),"")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CD147" s="154" t="str">
        <f t="shared" ref="CD147:CD210" ca="1" si="517">IF($BD147,$BX147+IF(VolSkewFlag=1,IF(BT147&gt;0,$BA147*MIN(BT147/10%,1)+($BB147-$BA147)*MAX(0,MIN(BT147/10%-1,1))+($BC147-$BB147)*MAX(0,BT147/10%-2),$AZ147*MIN(-BT147/10%,1)+($AY147-$AZ147)*MAX(0,MIN(-BT147/10%-1,1))+($AX147-$AY147)*MAX(0,-BT147/10%-2)),0),"")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CE147" s="310">
        <v>1</v>
      </c>
      <c r="CF147" s="162">
        <f ca="1">IF(BD147,_xll.xCrudeAPO(BU147,BV147,CA147,CB147,S148,S149,BI147,BL147,BP147,BQ147,0,Strike1,AO147,CE147,0,BL147,IF(OptControl=4,0,1),0,1),0)</f>
        <v>0</v>
      </c>
      <c r="CG147" s="163">
        <f ca="1">IF(BD147,_xll.xCrudeAPO(BU147,BV147,CA147,CB147,S148,S149,BI147,BL147,BP147,BQ147,0,Strike1,AO147,CE147,0,BL147,IF(OptControl=4,0,1),1,1)+_xll.xCrudeAPO(BU147,BV147,CA147,CB147,S148,S149,BI147,BL147,BP147,BQ147,0,Strike1,AO147,CE147,0,BL147,IF(OptControl=4,0,1),1,2)+IF(OR(VolSkewFlag=2,ABS(BS147)&lt;0.0001),0,IF(BS147&gt;0,-1,1)*CH147*Strike1/BR147^2*BY147/10%),0)</f>
        <v>0</v>
      </c>
      <c r="CH147" s="163">
        <f ca="1">IF(BD147,(_xll.xCrudeAPO(BU147,BV147,CA147,CB147,S148,S149,BI147,BL147,BP147,BQ147,0,Strike1,AO147,CE147,0,BL147,IF(OptControl=4,0,1),3,1)+_xll.xCrudeAPO(BU147,BV147,CA147,CB147,S148,S149,BI147,BL147,BP147,BQ147,0,Strike1,AO147,CE147,0,BL147,IF(OptControl=4,0,1),3,2))/100,0)</f>
        <v>0</v>
      </c>
      <c r="CI147" s="163">
        <f ca="1">IF(BD147,_xll.xCrudeAPO(BU147,BV147,CA147,CB147,S148,S149,BI147-DaysForThetaCalculation/365.25,BL147-DaysForThetaCalculation/365.25,BP147,BQ147,0,Strike1,AO147,CE147,0,BL147,IF(OptControl=4,0,1),0,1)-_xll.xCrudeAPO(BU147,BV147,CA147,CB147,S148,S149,BI147,BL147,BP147,BQ147,0,Strike1,AO147,CE147,0,BL147,IF(OptControl=4,0,1),0,1),0)</f>
        <v>0</v>
      </c>
      <c r="CJ147" s="311">
        <f ca="1">IF(BD147,_xll.xCrudeAPO(BU147,BV147,CC147,CD147,S148,S149,BI147,BL147,BP147,BQ147,0,Strike2,AO147,CE147,0,BL147,IF(OptControl=3,1,0),0,1),0)</f>
        <v>0</v>
      </c>
      <c r="CK147" s="163">
        <f ca="1">IF(BD147,_xll.xCrudeAPO(BU147,BV147,CC147,CD147,S148,S149,BI147,BL147,BP147,BQ147,0,Strike2,AO147,CE147,0,BL147,IF(OptControl=3,1,0),1,1)+_xll.xCrudeAPO(BU147,BV147,CC147,CD147,S148,S149,BI147,BL147,BP147,BQ147,0,Strike2,AO147,CE147,0,BL147,IF(OptControl=3,1,0),1,2)+IF(OR(VolSkewFlag=2,ABS(BT147)&lt;0.0001),0,IF(BT147&gt;0,-1,1)*CL147*Strike2/BR147^2*BZ147/10%),0)</f>
        <v>0</v>
      </c>
      <c r="CL147" s="163">
        <f ca="1">IF(BD147,(_xll.xCrudeAPO(BU147,BV147,CC147,CD147,S148,S149,BI147,BL147,BP147,BQ147,0,Strike2,AO147,CE147,0,BL147,IF(OptControl=3,1,0),3,1)+_xll.xCrudeAPO(BU147,BV147,CC147,CD147,S148,S149,BI147,BL147,BP147,BQ147,0,Strike2,AO147,CE147,0,BL147,IF(OptControl=3,1,0),3,2))/100,0)</f>
        <v>0</v>
      </c>
      <c r="CM147" s="164">
        <f ca="1">IF(BD147,_xll.xCrudeAPO(BU147,BV147,CC147,CD147,S148,S149,BI147-DaysForThetaCalculation/365.25,BL147-DaysForThetaCalculation/365.25,BP147,BQ147,0,Strike2,AO147,CE147,0,BL147,IF(OptControl=3,1,0),0,1)-_xll.xCrudeAPO(BU147,BV147,CC147,CD147,S148,S149,BI147,BL147,BP147,BQ147,0,Strike2,AO147,CE147,0,BL147,IF(OptControl=3,1,0),0,1),0)</f>
        <v>0</v>
      </c>
      <c r="CN147" s="53"/>
      <c r="CO147" s="796" t="str">
        <f t="shared" ca="1" si="323"/>
        <v/>
      </c>
      <c r="CP147" s="800" t="str">
        <f t="shared" ca="1" si="324"/>
        <v/>
      </c>
      <c r="CQ147" s="797" t="str">
        <f t="shared" ca="1" si="325"/>
        <v/>
      </c>
      <c r="CR147" s="797" t="str">
        <f t="shared" ca="1" si="326"/>
        <v/>
      </c>
      <c r="CS147" s="797" t="str">
        <f t="shared" ca="1" si="327"/>
        <v/>
      </c>
      <c r="CT147" s="797" t="str">
        <f t="shared" ca="1" si="328"/>
        <v/>
      </c>
      <c r="CU147" s="798" t="str">
        <f t="shared" ca="1" si="329"/>
        <v/>
      </c>
      <c r="CV147" s="799" t="str">
        <f t="shared" ca="1" si="330"/>
        <v/>
      </c>
      <c r="CW147" s="799" t="str">
        <f t="shared" ca="1" si="331"/>
        <v/>
      </c>
      <c r="CX147" s="163">
        <f ca="1">IF(BD147,_xll.EURO(CP147,Strike1,AO147,AO147,CV147,CO147,IF(OptControl=4,0,1),0),0)</f>
        <v>0</v>
      </c>
      <c r="CY147" s="163">
        <f ca="1">IF(BD147,_xll.EURO(CP147,Strike1,AO147,AO147,CV147,CO147,IF(OptControl=4,0,1),1)+IF(OR(VolSkewFlag=2,ABS(CQ147)&lt;0.0001),0,IF(CQ147&gt;0,-1,1)*CZ147*100*Strike1/CP147^2*CS147/10%),0)</f>
        <v>0</v>
      </c>
      <c r="CZ147" s="163">
        <f ca="1">IF(BD147,_xll.EURO(CP147,Strike1,AO147,AO147,CV147,CO147,IF(OptControl=4,0,1),3)/100,0)</f>
        <v>0</v>
      </c>
      <c r="DA147" s="163">
        <f ca="1">IF(BD147,_xll.EURO(CP147,Strike1,AO147,AO147,CV147,CO147,IF(OptControl=4,0,1),0)-_xll.EURO(CP147,Strike1,AO147,AO147,CV147,CO147-1,IF(OptControl=4,0,1),0),0)</f>
        <v>0</v>
      </c>
      <c r="DB147" s="163">
        <f ca="1">IF(BD147,_xll.EURO(CP147,Strike2,AO147,AO147,CW147,CO147,IF(OptControl=3,1,0),0),0)</f>
        <v>0</v>
      </c>
      <c r="DC147" s="163">
        <f ca="1">IF(BD147,_xll.EURO(CP147,Strike2,AO147,AO147,CW147,CO147,IF(OptControl=3,1,0),1)+IF(OR(VolSkewFlag=2,ABS(CR147)&lt;0.0001),0,IF(CR147&gt;0,-1,1)*DD147*100*Strike2/CP147^2*CT147/10%),0)</f>
        <v>0</v>
      </c>
      <c r="DD147" s="163">
        <f ca="1">IF(BD147,_xll.EURO(CP147,Strike2,AO147,AO147,CW147,CO147,IF(OptControl=3,1,0),3)/100,0)</f>
        <v>0</v>
      </c>
      <c r="DE147" s="164">
        <f ca="1">IF(BD147,_xll.EURO(CP147,Strike2,AO147,AO147,CW147,CO147,IF(OptControl=3,1,0),0)-_xll.EURO(CP147,Strike2,AO147,AO147,CW147,CO147-1,IF(OptControl=3,1,0),0),0)</f>
        <v>0</v>
      </c>
      <c r="DG147" s="667">
        <f t="shared" ca="1" si="332"/>
        <v>40422</v>
      </c>
      <c r="DH147" s="475">
        <v>20.51</v>
      </c>
      <c r="DI147" s="665">
        <v>20.578181818181857</v>
      </c>
      <c r="DJ147" s="666">
        <f t="shared" ref="DJ147:DJ178" ca="1" si="518">DG147</f>
        <v>40422</v>
      </c>
      <c r="DK147" s="475">
        <v>19.324548524697345</v>
      </c>
      <c r="DL147" s="665">
        <v>19.311281818181858</v>
      </c>
      <c r="DM147" s="667">
        <f t="shared" ref="DM147:DM178" ca="1" si="519">DG147</f>
        <v>40422</v>
      </c>
      <c r="DN147" s="668">
        <f t="shared" ref="DN147:DN178" si="520">DK147+BrentPhyBrentSpread</f>
        <v>19.374548524697346</v>
      </c>
      <c r="DO147" s="667">
        <f t="shared" ca="1" si="333"/>
        <v>40422</v>
      </c>
      <c r="DP147" s="579">
        <f t="shared" si="334"/>
        <v>19.311281818181858</v>
      </c>
      <c r="DQ147" s="821">
        <v>0</v>
      </c>
      <c r="DR147" s="666">
        <f t="shared" ref="DR147:DR178" ca="1" si="521">DG147</f>
        <v>40422</v>
      </c>
      <c r="DS147" s="669">
        <v>0.14839999999999903</v>
      </c>
      <c r="DT147" s="606">
        <v>0.14758181818181718</v>
      </c>
      <c r="DU147" s="666">
        <f t="shared" ref="DU147:DU178" ca="1" si="522">DG147</f>
        <v>40422</v>
      </c>
      <c r="DV147" s="669">
        <v>0.14839999999999903</v>
      </c>
      <c r="DW147" s="606">
        <v>0.14758181818181718</v>
      </c>
      <c r="DX147" s="667">
        <f t="shared" ref="DX147:DX178" ca="1" si="523">DG147</f>
        <v>40422</v>
      </c>
      <c r="DY147" s="606">
        <v>0.35</v>
      </c>
      <c r="DZ147" s="667">
        <f t="shared" ca="1" si="335"/>
        <v>40422</v>
      </c>
      <c r="EA147" s="606">
        <f t="shared" si="336"/>
        <v>0.14758181818181718</v>
      </c>
      <c r="EB147" s="1"/>
      <c r="EC147" s="118" t="str">
        <f t="shared" ref="EC147:EC178" ca="1" si="524">IF(BD147,IF(Underlying=1,AS147,AU147),"")</f>
        <v/>
      </c>
      <c r="ED147" s="119" t="str">
        <f t="shared" ref="ED147:ED210" ca="1" si="525">IF($BD147,$EC147+IF(VolSkewFlag=1,IF(BS147&gt;0,$BA147*MIN(BS147/10%,1)+($BB147-$BA147)*MAX(0,MIN(BS147/10%-1,1))+($BC147-$BB147)*MAX(0,BS147/10%-2),$AZ147*MIN(-BS147/10%,1)+($AY147-$AZ147)*MAX(0,MIN(-BS147/10%-1,1))+($AX147-$AY147)*MAX(0,-BS147/10%-2)),0),"")</f>
        <v/>
      </c>
      <c r="EE147" s="112" t="str">
        <f t="shared" ref="EE147:EE210" ca="1" si="526">IF($BD147,$EC147+IF(VolSkewFlag=1,IF(BT147&gt;0,$BA147*MIN(BT147/10%,1)+($BB147-$BA147)*MAX(0,MIN(BT147/10%-1,1))+($BC147-$BB147)*MAX(0,BT147/10%-2),$AZ147*MIN(-BT147/10%,1)+($AY147-$AZ147)*MAX(0,MIN(-BT147/10%-1,1))+($AX147-$AY147)*MAX(0,-BT147/10%-2)),0),"")</f>
        <v/>
      </c>
      <c r="EF147" s="120">
        <f ca="1">IF(BD147,_xll.xASN(BR147,Strike1,AO147,ED147,0,BO147,0,BI147,BL147,IF(OptControl=4,0,1),0),0)</f>
        <v>0</v>
      </c>
      <c r="EG147" s="111">
        <f ca="1">IF(BD147,_xll.xASN(BR147,Strike2,AO147,EE147,0,BO147,0,BI147,BL147,IF(OptControl=3,1,0),0),0)</f>
        <v>0</v>
      </c>
      <c r="EL147" s="55"/>
      <c r="EM147" s="1"/>
      <c r="EN147" s="106"/>
      <c r="EO147" s="106"/>
      <c r="EP147" s="1"/>
      <c r="EQ147" s="683" t="s">
        <v>360</v>
      </c>
      <c r="ES147" s="455"/>
      <c r="ET147" s="36"/>
      <c r="EU147" s="107"/>
      <c r="EV147" s="475"/>
      <c r="EW147" s="456"/>
      <c r="EX147" s="456"/>
      <c r="EY147" s="250"/>
      <c r="EZ147" s="250"/>
      <c r="FA147" s="250"/>
      <c r="FB147" s="250"/>
      <c r="FC147" s="250"/>
      <c r="FD147" s="250"/>
      <c r="FE147" s="250"/>
      <c r="FF147" s="250"/>
      <c r="FG147" s="250"/>
      <c r="FH147" s="250"/>
      <c r="FI147" s="250"/>
      <c r="FJ147" s="673">
        <v>53</v>
      </c>
      <c r="FK147" s="460">
        <f t="shared" ca="1" si="479"/>
        <v>0</v>
      </c>
      <c r="FL147" s="460">
        <f t="shared" ca="1" si="489"/>
        <v>0.16616802007097492</v>
      </c>
      <c r="FM147" s="460">
        <f t="shared" ca="1" si="489"/>
        <v>0.17054845985069036</v>
      </c>
      <c r="FN147" s="460">
        <f t="shared" ca="1" si="489"/>
        <v>0.16727739693882532</v>
      </c>
      <c r="FO147" s="460">
        <f t="shared" ca="1" si="489"/>
        <v>0.16482747914810364</v>
      </c>
      <c r="FP147" s="460">
        <f t="shared" ca="1" si="489"/>
        <v>0.16299401210012618</v>
      </c>
      <c r="FQ147" s="460">
        <f t="shared" ca="1" si="489"/>
        <v>0.16162357327489502</v>
      </c>
      <c r="FR147" s="460">
        <f t="shared" ca="1" si="489"/>
        <v>0.16060121104088204</v>
      </c>
      <c r="FS147" s="460">
        <f t="shared" ca="1" si="489"/>
        <v>0.15984084679498065</v>
      </c>
      <c r="FT147" s="460">
        <f t="shared" ca="1" si="489"/>
        <v>0.1592780799324717</v>
      </c>
      <c r="FU147" s="460">
        <f t="shared" ca="1" si="489"/>
        <v>0.15886479552360858</v>
      </c>
      <c r="FV147" s="460">
        <f t="shared" ca="1" si="489"/>
        <v>0.15856512470648418</v>
      </c>
      <c r="FW147" s="460">
        <f t="shared" ca="1" si="489"/>
        <v>0.15835242042436812</v>
      </c>
      <c r="FX147" s="460">
        <f t="shared" ca="1" si="489"/>
        <v>0.15820699562197402</v>
      </c>
      <c r="FY147" s="460">
        <f t="shared" ca="1" si="489"/>
        <v>0.15811443440668593</v>
      </c>
      <c r="FZ147" s="460">
        <f t="shared" ca="1" si="489"/>
        <v>0.15806433425678706</v>
      </c>
      <c r="GA147" s="460">
        <f t="shared" ca="1" si="489"/>
        <v>0.15804937307985578</v>
      </c>
      <c r="GB147" s="460">
        <f t="shared" ca="1" si="489"/>
        <v>0.15806462176283667</v>
      </c>
      <c r="GC147" s="460">
        <f t="shared" ca="1" si="489"/>
        <v>0.15810704304205395</v>
      </c>
      <c r="GD147" s="460">
        <f t="shared" ca="1" si="489"/>
        <v>0.15817513273269315</v>
      </c>
      <c r="GE147" s="460">
        <f t="shared" ca="1" si="489"/>
        <v>0.15826867085363616</v>
      </c>
      <c r="GF147" s="460">
        <f t="shared" ca="1" si="489"/>
        <v>0.15838855891505729</v>
      </c>
      <c r="GG147" s="460">
        <f t="shared" ca="1" si="489"/>
        <v>0.15853672632152374</v>
      </c>
      <c r="GH147" s="460">
        <f t="shared" ca="1" si="489"/>
        <v>0.15871609402961823</v>
      </c>
      <c r="GI147" s="460">
        <f t="shared" ca="1" si="489"/>
        <v>0.15893058770754592</v>
      </c>
      <c r="GJ147" s="460">
        <f t="shared" ca="1" si="489"/>
        <v>0.15918519600548123</v>
      </c>
      <c r="GK147" s="460">
        <f t="shared" ca="1" si="489"/>
        <v>0.15948607242759716</v>
      </c>
      <c r="GL147" s="460">
        <f t="shared" ca="1" si="489"/>
        <v>0.15984068192839937</v>
      </c>
      <c r="GM147" s="460">
        <f t="shared" ca="1" si="489"/>
        <v>0.1602579959466621</v>
      </c>
      <c r="GN147" s="460">
        <f t="shared" ca="1" si="489"/>
        <v>0.16074874235020464</v>
      </c>
      <c r="GO147" s="460">
        <f t="shared" ca="1" si="489"/>
        <v>0.16132571992633413</v>
      </c>
      <c r="GP147" s="460">
        <f t="shared" ca="1" si="489"/>
        <v>0.16200419089636059</v>
      </c>
      <c r="GQ147" s="460">
        <f t="shared" ca="1" si="489"/>
        <v>0.16280236982032836</v>
      </c>
      <c r="GR147" s="460">
        <f t="shared" ca="1" si="489"/>
        <v>0.1637420336815418</v>
      </c>
      <c r="GS147" s="460">
        <f t="shared" ca="1" si="489"/>
        <v>0.16484928659000486</v>
      </c>
      <c r="GT147" s="460">
        <f t="shared" ca="1" si="489"/>
        <v>0.16615552441359627</v>
      </c>
      <c r="GU147" s="460">
        <f t="shared" ca="1" si="489"/>
        <v>0.16769866119501908</v>
      </c>
      <c r="GV147" s="460">
        <f t="shared" ca="1" si="489"/>
        <v>0.16952470261992519</v>
      </c>
      <c r="GW147" s="460">
        <f t="shared" ca="1" si="489"/>
        <v>0.17168978537167637</v>
      </c>
      <c r="GX147" s="460">
        <f t="shared" ca="1" si="489"/>
        <v>0.17426285003353059</v>
      </c>
      <c r="GY147" s="460">
        <f t="shared" ca="1" si="489"/>
        <v>0.17732918725872282</v>
      </c>
      <c r="GZ147" s="460">
        <f t="shared" ca="1" si="489"/>
        <v>0.18099520494582591</v>
      </c>
      <c r="HA147" s="460">
        <f t="shared" ca="1" si="489"/>
        <v>0.18539492880346412</v>
      </c>
      <c r="HB147" s="460">
        <f t="shared" ca="1" si="489"/>
        <v>0.19069900424365496</v>
      </c>
      <c r="HC147" s="460">
        <f t="shared" ca="1" si="489"/>
        <v>0.19712737211370429</v>
      </c>
      <c r="HD147" s="460">
        <f t="shared" ca="1" si="489"/>
        <v>0.2049674452548918</v>
      </c>
      <c r="HE147" s="460">
        <f t="shared" ca="1" si="489"/>
        <v>0.2146006971058021</v>
      </c>
      <c r="HF147" s="460">
        <f t="shared" ca="1" si="489"/>
        <v>0.22654241751873738</v>
      </c>
      <c r="HG147" s="460">
        <f t="shared" ca="1" si="489"/>
        <v>0.24150261968012215</v>
      </c>
      <c r="HH147" s="460">
        <f t="shared" ca="1" si="489"/>
        <v>0.26048192232133038</v>
      </c>
      <c r="HI147" s="460">
        <f t="shared" ca="1" si="489"/>
        <v>0.28492718880939716</v>
      </c>
      <c r="HJ147" s="460">
        <f t="shared" ca="1" si="489"/>
        <v>0.31699313131198592</v>
      </c>
      <c r="HK147" s="460">
        <f t="shared" ca="1" si="489"/>
        <v>0.36000001698964967</v>
      </c>
      <c r="HL147" s="460" t="str">
        <f t="shared" si="489"/>
        <v/>
      </c>
      <c r="HM147" s="460" t="str">
        <f t="shared" si="489"/>
        <v/>
      </c>
      <c r="HN147" s="460" t="str">
        <f t="shared" si="489"/>
        <v/>
      </c>
      <c r="HO147" s="460" t="str">
        <f t="shared" si="489"/>
        <v/>
      </c>
      <c r="HP147" s="460" t="str">
        <f t="shared" si="489"/>
        <v/>
      </c>
      <c r="HQ147" s="460" t="str">
        <f t="shared" si="489"/>
        <v/>
      </c>
      <c r="HR147" s="460" t="str">
        <f t="shared" si="489"/>
        <v/>
      </c>
      <c r="HS147" s="460" t="str">
        <f t="shared" si="489"/>
        <v/>
      </c>
      <c r="HT147" s="460" t="str">
        <f t="shared" si="489"/>
        <v/>
      </c>
      <c r="HU147" s="460" t="str">
        <f t="shared" si="489"/>
        <v/>
      </c>
      <c r="HV147" s="460" t="str">
        <f t="shared" si="489"/>
        <v/>
      </c>
      <c r="HW147" s="460" t="str">
        <f t="shared" si="489"/>
        <v/>
      </c>
      <c r="HX147" s="460" t="str">
        <f t="shared" si="488"/>
        <v/>
      </c>
      <c r="HY147" s="460" t="str">
        <f t="shared" si="488"/>
        <v/>
      </c>
      <c r="HZ147" s="460" t="str">
        <f t="shared" si="488"/>
        <v/>
      </c>
      <c r="IA147" s="460" t="str">
        <f t="shared" si="488"/>
        <v/>
      </c>
      <c r="IB147" s="460" t="str">
        <f t="shared" si="488"/>
        <v/>
      </c>
      <c r="IC147" s="460" t="str">
        <f t="shared" si="488"/>
        <v/>
      </c>
      <c r="ID147" s="674" t="str">
        <f t="shared" si="488"/>
        <v/>
      </c>
      <c r="IE147" s="250"/>
    </row>
    <row r="148" spans="8:239">
      <c r="H148" s="51">
        <f t="shared" ref="H148:H211" ca="1" si="527">VLOOKUP(I148,$EJ$20:$EL$54,3)</f>
        <v>0</v>
      </c>
      <c r="I148" s="379">
        <f t="shared" ref="I148:I211" si="528">EOMONTH(I147,0)+1</f>
        <v>40664</v>
      </c>
      <c r="J148" s="377"/>
      <c r="K148" s="104" t="s">
        <v>268</v>
      </c>
      <c r="L148" s="392">
        <f t="shared" ref="L148:L211" si="529">IF(ISNUMBER(K148),J148+K148/100,IF(K148="extra",L147+VLOOKUP(BF148,PriceSpreadTable,2)/12,IF(K148="inter",interpolateprices($K$19:$L$200,ROW(K148)-ROW(FirstPricingMonth)+1),interpolatechanges($J$19:$K$200,ROW(K148)-ROW(FirstPricingMonth)+1))))</f>
        <v>1.950000000000002</v>
      </c>
      <c r="M148" s="171"/>
      <c r="N148" s="382">
        <v>0</v>
      </c>
      <c r="O148" s="171">
        <f t="shared" si="490"/>
        <v>0</v>
      </c>
      <c r="P148" s="377"/>
      <c r="Q148" s="104" t="s">
        <v>268</v>
      </c>
      <c r="R148" s="377">
        <f t="shared" ca="1" si="417"/>
        <v>0.78769280824679377</v>
      </c>
      <c r="S148" s="832">
        <f t="shared" si="435"/>
        <v>0.3600000000000001</v>
      </c>
      <c r="T148" s="831">
        <f t="shared" si="418"/>
        <v>0.99999999978013787</v>
      </c>
      <c r="U148" s="545">
        <f t="shared" si="419"/>
        <v>0.99999999999999978</v>
      </c>
      <c r="V148" s="389">
        <v>0</v>
      </c>
      <c r="W148" s="434">
        <f t="shared" si="491"/>
        <v>0</v>
      </c>
      <c r="X148" s="415">
        <f t="shared" si="492"/>
        <v>1.9994318181818203</v>
      </c>
      <c r="Y148" s="322">
        <f t="shared" si="493"/>
        <v>-1.2915000000000001</v>
      </c>
      <c r="Z148" s="322">
        <f t="shared" ca="1" si="494"/>
        <v>0.70793181818182016</v>
      </c>
      <c r="AA148" s="429">
        <f t="shared" si="495"/>
        <v>1.2915000000000001</v>
      </c>
      <c r="AB148" s="433">
        <f t="shared" ca="1" si="496"/>
        <v>1.2915000000000001</v>
      </c>
      <c r="AC148" s="229">
        <v>40653</v>
      </c>
      <c r="AD148" s="229">
        <v>40649</v>
      </c>
      <c r="AE148" s="229">
        <v>40648</v>
      </c>
      <c r="AF148" s="229">
        <v>40644</v>
      </c>
      <c r="AG148" s="249" t="s">
        <v>499</v>
      </c>
      <c r="AH148" s="247" t="s">
        <v>499</v>
      </c>
      <c r="AI148" s="146">
        <v>22</v>
      </c>
      <c r="AJ148" s="41">
        <v>15</v>
      </c>
      <c r="AK148" s="41">
        <v>7</v>
      </c>
      <c r="AL148" s="293">
        <v>22</v>
      </c>
      <c r="AM148" s="41">
        <v>10</v>
      </c>
      <c r="AN148" s="147">
        <v>12</v>
      </c>
      <c r="AO148" s="374"/>
      <c r="AP148" s="153">
        <f t="shared" ref="AP148:AP211" ca="1" si="530">(1+AO148/2)^(-2*BL148)</f>
        <v>1</v>
      </c>
      <c r="AQ148" s="374"/>
      <c r="AR148" s="153">
        <f t="shared" ca="1" si="420"/>
        <v>1</v>
      </c>
      <c r="AS148" s="272">
        <f t="shared" si="497"/>
        <v>0</v>
      </c>
      <c r="AT148" s="157">
        <f t="shared" ref="AT148:AT211" si="531">O148*VLOOKUP(BF148,BrentVolTable,2)+VLOOKUP(BF148,BrentVolTable,3)</f>
        <v>0</v>
      </c>
      <c r="AU148" s="157">
        <f t="shared" si="498"/>
        <v>0</v>
      </c>
      <c r="AV148" s="271">
        <f t="shared" ca="1" si="430"/>
        <v>9.9999999999999995E-7</v>
      </c>
      <c r="AW148" s="158" t="str">
        <f t="shared" ca="1" si="499"/>
        <v/>
      </c>
      <c r="AX148" s="157">
        <f t="shared" ca="1" si="421"/>
        <v>3.3889667566899329E-4</v>
      </c>
      <c r="AY148" s="157">
        <f t="shared" ca="1" si="422"/>
        <v>1.1172904225962656E-4</v>
      </c>
      <c r="AZ148" s="157">
        <f t="shared" ca="1" si="423"/>
        <v>8.9915015590027898E-6</v>
      </c>
      <c r="BA148" s="157">
        <f t="shared" ca="1" si="424"/>
        <v>1.1239376948753487E-6</v>
      </c>
      <c r="BB148" s="157">
        <f t="shared" ca="1" si="425"/>
        <v>3.1741562371026179E-8</v>
      </c>
      <c r="BC148" s="157">
        <f t="shared" ca="1" si="426"/>
        <v>2.5264718839232684E-9</v>
      </c>
      <c r="BD148" s="151">
        <f t="shared" ca="1" si="500"/>
        <v>0</v>
      </c>
      <c r="BE148" s="152">
        <f t="shared" ca="1" si="501"/>
        <v>0</v>
      </c>
      <c r="BF148" s="40">
        <f t="shared" si="502"/>
        <v>2011</v>
      </c>
      <c r="BG148" s="144">
        <f t="shared" si="503"/>
        <v>5</v>
      </c>
      <c r="BH148" s="145">
        <f t="shared" ca="1" si="504"/>
        <v>3904</v>
      </c>
      <c r="BI148" s="313">
        <f t="shared" ca="1" si="439"/>
        <v>10.729637234770705</v>
      </c>
      <c r="BJ148" s="42">
        <f t="shared" ca="1" si="505"/>
        <v>10.785638728143862</v>
      </c>
      <c r="BK148" s="42">
        <f t="shared" ca="1" si="506"/>
        <v>10.788376578930995</v>
      </c>
      <c r="BL148" s="42">
        <f t="shared" ca="1" si="440"/>
        <v>10.811772758384668</v>
      </c>
      <c r="BM148" s="150" t="e">
        <f t="shared" ca="1" si="507"/>
        <v>#DIV/0!</v>
      </c>
      <c r="BN148" s="42" t="e">
        <f t="shared" ca="1" si="508"/>
        <v>#DIV/0!</v>
      </c>
      <c r="BO148" s="293">
        <f t="shared" si="441"/>
        <v>22</v>
      </c>
      <c r="BP148" s="41">
        <f t="shared" si="442"/>
        <v>15</v>
      </c>
      <c r="BQ148" s="41">
        <f t="shared" si="443"/>
        <v>7</v>
      </c>
      <c r="BR148" s="305" t="str">
        <f t="shared" ca="1" si="509"/>
        <v/>
      </c>
      <c r="BS148" s="305" t="str">
        <f t="shared" ca="1" si="444"/>
        <v/>
      </c>
      <c r="BT148" s="307" t="str">
        <f t="shared" ca="1" si="445"/>
        <v/>
      </c>
      <c r="BU148" s="161" t="str">
        <f t="shared" ca="1" si="510"/>
        <v/>
      </c>
      <c r="BV148" s="161" t="str">
        <f t="shared" ca="1" si="511"/>
        <v/>
      </c>
      <c r="BW148" s="308" t="str">
        <f t="shared" ca="1" si="512"/>
        <v/>
      </c>
      <c r="BX148" s="309" t="str">
        <f t="shared" ca="1" si="513"/>
        <v/>
      </c>
      <c r="BY148" s="308" t="str">
        <f t="shared" ca="1" si="446"/>
        <v/>
      </c>
      <c r="BZ148" s="309" t="str">
        <f t="shared" ca="1" si="447"/>
        <v/>
      </c>
      <c r="CA148" s="154" t="str">
        <f t="shared" ca="1" si="514"/>
        <v/>
      </c>
      <c r="CB148" s="154" t="str">
        <f t="shared" ca="1" si="515"/>
        <v/>
      </c>
      <c r="CC148" s="154" t="str">
        <f t="shared" ca="1" si="516"/>
        <v/>
      </c>
      <c r="CD148" s="154" t="str">
        <f t="shared" ca="1" si="517"/>
        <v/>
      </c>
      <c r="CE148" s="310">
        <v>1</v>
      </c>
      <c r="CF148" s="162">
        <f ca="1">IF(BD148,_xll.xCrudeAPO(BU148,BV148,CA148,CB148,S149,S150,BI148,BL148,BP148,BQ148,0,Strike1,AO148,CE148,0,BL148,IF(OptControl=4,0,1),0,1),0)</f>
        <v>0</v>
      </c>
      <c r="CG148" s="163">
        <f ca="1">IF(BD148,_xll.xCrudeAPO(BU148,BV148,CA148,CB148,S149,S150,BI148,BL148,BP148,BQ148,0,Strike1,AO148,CE148,0,BL148,IF(OptControl=4,0,1),1,1)+_xll.xCrudeAPO(BU148,BV148,CA148,CB148,S149,S150,BI148,BL148,BP148,BQ148,0,Strike1,AO148,CE148,0,BL148,IF(OptControl=4,0,1),1,2)+IF(OR(VolSkewFlag=2,ABS(BS148)&lt;0.0001),0,IF(BS148&gt;0,-1,1)*CH148*Strike1/BR148^2*BY148/10%),0)</f>
        <v>0</v>
      </c>
      <c r="CH148" s="163">
        <f ca="1">IF(BD148,(_xll.xCrudeAPO(BU148,BV148,CA148,CB148,S149,S150,BI148,BL148,BP148,BQ148,0,Strike1,AO148,CE148,0,BL148,IF(OptControl=4,0,1),3,1)+_xll.xCrudeAPO(BU148,BV148,CA148,CB148,S149,S150,BI148,BL148,BP148,BQ148,0,Strike1,AO148,CE148,0,BL148,IF(OptControl=4,0,1),3,2))/100,0)</f>
        <v>0</v>
      </c>
      <c r="CI148" s="163">
        <f ca="1">IF(BD148,_xll.xCrudeAPO(BU148,BV148,CA148,CB148,S149,S150,BI148-DaysForThetaCalculation/365.25,BL148-DaysForThetaCalculation/365.25,BP148,BQ148,0,Strike1,AO148,CE148,0,BL148,IF(OptControl=4,0,1),0,1)-_xll.xCrudeAPO(BU148,BV148,CA148,CB148,S149,S150,BI148,BL148,BP148,BQ148,0,Strike1,AO148,CE148,0,BL148,IF(OptControl=4,0,1),0,1),0)</f>
        <v>0</v>
      </c>
      <c r="CJ148" s="311">
        <f ca="1">IF(BD148,_xll.xCrudeAPO(BU148,BV148,CC148,CD148,S149,S150,BI148,BL148,BP148,BQ148,0,Strike2,AO148,CE148,0,BL148,IF(OptControl=3,1,0),0,1),0)</f>
        <v>0</v>
      </c>
      <c r="CK148" s="163">
        <f ca="1">IF(BD148,_xll.xCrudeAPO(BU148,BV148,CC148,CD148,S149,S150,BI148,BL148,BP148,BQ148,0,Strike2,AO148,CE148,0,BL148,IF(OptControl=3,1,0),1,1)+_xll.xCrudeAPO(BU148,BV148,CC148,CD148,S149,S150,BI148,BL148,BP148,BQ148,0,Strike2,AO148,CE148,0,BL148,IF(OptControl=3,1,0),1,2)+IF(OR(VolSkewFlag=2,ABS(BT148)&lt;0.0001),0,IF(BT148&gt;0,-1,1)*CL148*Strike2/BR148^2*BZ148/10%),0)</f>
        <v>0</v>
      </c>
      <c r="CL148" s="163">
        <f ca="1">IF(BD148,(_xll.xCrudeAPO(BU148,BV148,CC148,CD148,S149,S150,BI148,BL148,BP148,BQ148,0,Strike2,AO148,CE148,0,BL148,IF(OptControl=3,1,0),3,1)+_xll.xCrudeAPO(BU148,BV148,CC148,CD148,S149,S150,BI148,BL148,BP148,BQ148,0,Strike2,AO148,CE148,0,BL148,IF(OptControl=3,1,0),3,2))/100,0)</f>
        <v>0</v>
      </c>
      <c r="CM148" s="164">
        <f ca="1">IF(BD148,_xll.xCrudeAPO(BU148,BV148,CC148,CD148,S149,S150,BI148-DaysForThetaCalculation/365.25,BL148-DaysForThetaCalculation/365.25,BP148,BQ148,0,Strike2,AO148,CE148,0,BL148,IF(OptControl=3,1,0),0,1)-_xll.xCrudeAPO(BU148,BV148,CC148,CD148,S149,S150,BI148,BL148,BP148,BQ148,0,Strike2,AO148,CE148,0,BL148,IF(OptControl=3,1,0),0,1),0)</f>
        <v>0</v>
      </c>
      <c r="CN148" s="53"/>
      <c r="CO148" s="796" t="str">
        <f t="shared" ref="CO148:CO211" ca="1" si="532">IF(BD148,CHOOSE(Underlying,AD148,AF148)-DateToday+1,"")</f>
        <v/>
      </c>
      <c r="CP148" s="800" t="str">
        <f t="shared" ref="CP148:CP211" ca="1" si="533">IF(BD148,CHOOSE(Underlying,L148,R148),"")</f>
        <v/>
      </c>
      <c r="CQ148" s="797" t="str">
        <f t="shared" ref="CQ148:CQ211" ca="1" si="534">IF(BD148,Strike1/CP148-1,"")</f>
        <v/>
      </c>
      <c r="CR148" s="797" t="str">
        <f t="shared" ref="CR148:CR211" ca="1" si="535">IF(BD148,Strike2/CP148-1,"")</f>
        <v/>
      </c>
      <c r="CS148" s="797" t="str">
        <f t="shared" ref="CS148:CS211" ca="1" si="536">IF(BD148,IF(CQ148&gt;0,IF(CQ148&gt;0.2,BC147-BB147,IF(CQ148&gt;0.1,BB147-BA147,BA147)),IF(CQ148&lt;-0.2,AX147-AY147,IF(CQ148&lt;-0.1,AY147-AZ147,AZ147))),"")</f>
        <v/>
      </c>
      <c r="CT148" s="797" t="str">
        <f t="shared" ref="CT148:CT211" ca="1" si="537">IF(BD148,IF(CR148&gt;0,IF(CR148&gt;0.2,BC147-BB147,IF(CR148&gt;0.1,BB147-BA147,BA147)),IF(CR148&lt;-0.2,AX147-AY147,IF(CR148&lt;-0.1,AY147-AZ147,AZ147))),"")</f>
        <v/>
      </c>
      <c r="CU148" s="798" t="str">
        <f t="shared" ref="CU148:CU211" ca="1" si="538">IF(BD148,CHOOSE(Underlying,O148,AT148),"")</f>
        <v/>
      </c>
      <c r="CV148" s="799" t="str">
        <f t="shared" ref="CV148:CV211" ca="1" si="539">IF(BD148,CU148+IF(VolSkewFlag=1,IF(CQ148&gt;0,BA147*MIN(CQ148/10%,1)+(BB147-BA147)*MAX(0,MIN(CQ148/10%-1,1))+(BC147-BB147)*MAX(0,CQ148/10%-2),AZ147*MIN(-CQ148/10%,1)+(AY147-AZ147)*MAX(0,MIN(-CQ148/10%-1,1))+(AX147-AY147)*MAX(0,-CQ148/10%-2)),0),"")</f>
        <v/>
      </c>
      <c r="CW148" s="799" t="str">
        <f t="shared" ref="CW148:CW211" ca="1" si="540">IF(BD148,CU148+IF(VolSkewFlag=1,IF(CR148&gt;0,BA147*MIN(CR148/10%,1)+(BB147-BA147)*MAX(0,MIN(CR148/10%-1,1))+(BC147-BB147)*MAX(0,CR148/10%-2),AZ147*MIN(-CR148/10%,1)+(AY147-AZ147)*MAX(0,MIN(-CR148/10%-1,1))+(AX147-AY147)*MAX(0,-CR148/10%-2)),0),"")</f>
        <v/>
      </c>
      <c r="CX148" s="163">
        <f ca="1">IF(BD148,_xll.EURO(CP148,Strike1,AO148,AO148,CV148,CO148,IF(OptControl=4,0,1),0),0)</f>
        <v>0</v>
      </c>
      <c r="CY148" s="163">
        <f ca="1">IF(BD148,_xll.EURO(CP148,Strike1,AO148,AO148,CV148,CO148,IF(OptControl=4,0,1),1)+IF(OR(VolSkewFlag=2,ABS(CQ148)&lt;0.0001),0,IF(CQ148&gt;0,-1,1)*CZ148*100*Strike1/CP148^2*CS148/10%),0)</f>
        <v>0</v>
      </c>
      <c r="CZ148" s="163">
        <f ca="1">IF(BD148,_xll.EURO(CP148,Strike1,AO148,AO148,CV148,CO148,IF(OptControl=4,0,1),3)/100,0)</f>
        <v>0</v>
      </c>
      <c r="DA148" s="163">
        <f ca="1">IF(BD148,_xll.EURO(CP148,Strike1,AO148,AO148,CV148,CO148,IF(OptControl=4,0,1),0)-_xll.EURO(CP148,Strike1,AO148,AO148,CV148,CO148-1,IF(OptControl=4,0,1),0),0)</f>
        <v>0</v>
      </c>
      <c r="DB148" s="163">
        <f ca="1">IF(BD148,_xll.EURO(CP148,Strike2,AO148,AO148,CW148,CO148,IF(OptControl=3,1,0),0),0)</f>
        <v>0</v>
      </c>
      <c r="DC148" s="163">
        <f ca="1">IF(BD148,_xll.EURO(CP148,Strike2,AO148,AO148,CW148,CO148,IF(OptControl=3,1,0),1)+IF(OR(VolSkewFlag=2,ABS(CR148)&lt;0.0001),0,IF(CR148&gt;0,-1,1)*DD148*100*Strike2/CP148^2*CT148/10%),0)</f>
        <v>0</v>
      </c>
      <c r="DD148" s="163">
        <f ca="1">IF(BD148,_xll.EURO(CP148,Strike2,AO148,AO148,CW148,CO148,IF(OptControl=3,1,0),3)/100,0)</f>
        <v>0</v>
      </c>
      <c r="DE148" s="164">
        <f ca="1">IF(BD148,_xll.EURO(CP148,Strike2,AO148,AO148,CW148,CO148,IF(OptControl=3,1,0),0)-_xll.EURO(CP148,Strike2,AO148,AO148,CW148,CO148-1,IF(OptControl=3,1,0),0),0)</f>
        <v>0</v>
      </c>
      <c r="DG148" s="667">
        <f t="shared" ref="DG148:DG211" ca="1" si="541">EOMONTH(DG147,0)+1</f>
        <v>40452</v>
      </c>
      <c r="DH148" s="475">
        <v>20.56</v>
      </c>
      <c r="DI148" s="665">
        <v>20.626666666666704</v>
      </c>
      <c r="DJ148" s="666">
        <f t="shared" ca="1" si="518"/>
        <v>40452</v>
      </c>
      <c r="DK148" s="475">
        <v>19.204392896085615</v>
      </c>
      <c r="DL148" s="665">
        <v>19.433566666666703</v>
      </c>
      <c r="DM148" s="667">
        <f t="shared" ca="1" si="519"/>
        <v>40452</v>
      </c>
      <c r="DN148" s="668">
        <f t="shared" si="520"/>
        <v>19.254392896085616</v>
      </c>
      <c r="DO148" s="667">
        <f t="shared" ref="DO148:DO196" ca="1" si="542">DG148</f>
        <v>40452</v>
      </c>
      <c r="DP148" s="579">
        <f t="shared" ref="DP148:DP196" si="543">DL148+DQ148</f>
        <v>19.433566666666703</v>
      </c>
      <c r="DQ148" s="821">
        <v>0</v>
      </c>
      <c r="DR148" s="666">
        <f t="shared" ca="1" si="521"/>
        <v>40452</v>
      </c>
      <c r="DS148" s="669">
        <v>0.14779999999999902</v>
      </c>
      <c r="DT148" s="606">
        <v>0.14699999999999902</v>
      </c>
      <c r="DU148" s="666">
        <f t="shared" ca="1" si="522"/>
        <v>40452</v>
      </c>
      <c r="DV148" s="669">
        <v>0.14779999999999902</v>
      </c>
      <c r="DW148" s="606">
        <v>0.14699999999999902</v>
      </c>
      <c r="DX148" s="667">
        <f t="shared" ca="1" si="523"/>
        <v>40452</v>
      </c>
      <c r="DY148" s="606">
        <v>0.35</v>
      </c>
      <c r="DZ148" s="667">
        <f t="shared" ref="DZ148:DZ196" ca="1" si="544">DR148</f>
        <v>40452</v>
      </c>
      <c r="EA148" s="606">
        <f t="shared" ref="EA148:EA196" si="545">DT148</f>
        <v>0.14699999999999902</v>
      </c>
      <c r="EB148" s="1"/>
      <c r="EC148" s="118" t="str">
        <f t="shared" ca="1" si="524"/>
        <v/>
      </c>
      <c r="ED148" s="119" t="str">
        <f t="shared" ca="1" si="525"/>
        <v/>
      </c>
      <c r="EE148" s="112" t="str">
        <f t="shared" ca="1" si="526"/>
        <v/>
      </c>
      <c r="EF148" s="120">
        <f ca="1">IF(BD148,_xll.xASN(BR148,Strike1,AO148,ED148,0,BO148,0,BI148,BL148,IF(OptControl=4,0,1),0),0)</f>
        <v>0</v>
      </c>
      <c r="EG148" s="111">
        <f ca="1">IF(BD148,_xll.xASN(BR148,Strike2,AO148,EE148,0,BO148,0,BI148,BL148,IF(OptControl=3,1,0),0),0)</f>
        <v>0</v>
      </c>
      <c r="EL148" s="55"/>
      <c r="EM148" s="1"/>
      <c r="EN148" s="106"/>
      <c r="EO148" s="106"/>
      <c r="EP148" s="1"/>
      <c r="EQ148" s="683" t="s">
        <v>361</v>
      </c>
      <c r="ES148" s="455"/>
      <c r="ET148" s="36"/>
      <c r="EU148" s="107"/>
      <c r="EV148" s="475"/>
      <c r="EW148" s="456"/>
      <c r="EX148" s="456"/>
      <c r="EY148" s="250"/>
      <c r="EZ148" s="250"/>
      <c r="FA148" s="250"/>
      <c r="FB148" s="250"/>
      <c r="FC148" s="250"/>
      <c r="FD148" s="250"/>
      <c r="FE148" s="250"/>
      <c r="FF148" s="250"/>
      <c r="FG148" s="250"/>
      <c r="FH148" s="250"/>
      <c r="FI148" s="250"/>
      <c r="FJ148" s="673">
        <v>54</v>
      </c>
      <c r="FK148" s="460">
        <f t="shared" ca="1" si="479"/>
        <v>0</v>
      </c>
      <c r="FL148" s="460">
        <f t="shared" ca="1" si="489"/>
        <v>0.16616169136610487</v>
      </c>
      <c r="FM148" s="460">
        <f t="shared" ca="1" si="489"/>
        <v>0.17054086270442162</v>
      </c>
      <c r="FN148" s="460">
        <f t="shared" ca="1" si="489"/>
        <v>0.16726868177663864</v>
      </c>
      <c r="FO148" s="460">
        <f t="shared" ca="1" si="489"/>
        <v>0.16481743521913664</v>
      </c>
      <c r="FP148" s="460">
        <f t="shared" ca="1" si="489"/>
        <v>0.16298239542629661</v>
      </c>
      <c r="FQ148" s="460">
        <f t="shared" ca="1" si="489"/>
        <v>0.16161010067663453</v>
      </c>
      <c r="FR148" s="460">
        <f t="shared" ca="1" si="489"/>
        <v>0.16058555318012285</v>
      </c>
      <c r="FS148" s="460">
        <f t="shared" ca="1" si="489"/>
        <v>0.1598226200608539</v>
      </c>
      <c r="FT148" s="460">
        <f t="shared" ca="1" si="489"/>
        <v>0.15925683696501758</v>
      </c>
      <c r="FU148" s="460">
        <f t="shared" ca="1" si="489"/>
        <v>0.15884001413502674</v>
      </c>
      <c r="FV148" s="460">
        <f t="shared" ca="1" si="489"/>
        <v>0.15853619491697316</v>
      </c>
      <c r="FW148" s="460">
        <f t="shared" ca="1" si="489"/>
        <v>0.1583186292790659</v>
      </c>
      <c r="FX148" s="460">
        <f t="shared" ca="1" si="489"/>
        <v>0.15816750939526356</v>
      </c>
      <c r="FY148" s="460">
        <f t="shared" ca="1" si="489"/>
        <v>0.15806827772812287</v>
      </c>
      <c r="FZ148" s="460">
        <f t="shared" ca="1" si="489"/>
        <v>0.15801036560659074</v>
      </c>
      <c r="GA148" s="460">
        <f t="shared" ca="1" si="489"/>
        <v>0.15798625599808805</v>
      </c>
      <c r="GB148" s="460">
        <f t="shared" ca="1" si="489"/>
        <v>0.1579907909910504</v>
      </c>
      <c r="GC148" s="460">
        <f t="shared" ca="1" si="489"/>
        <v>0.15802066466420914</v>
      </c>
      <c r="GD148" s="460">
        <f t="shared" ca="1" si="489"/>
        <v>0.15807405719697729</v>
      </c>
      <c r="GE148" s="460">
        <f t="shared" ca="1" si="489"/>
        <v>0.15815037753005676</v>
      </c>
      <c r="GF148" s="460">
        <f t="shared" ca="1" si="489"/>
        <v>0.15825009056436107</v>
      </c>
      <c r="GG148" s="460">
        <f t="shared" ca="1" si="489"/>
        <v>0.15837461150482815</v>
      </c>
      <c r="GH148" s="460">
        <f t="shared" ca="1" si="489"/>
        <v>0.15852625505625573</v>
      </c>
      <c r="GI148" s="460">
        <f t="shared" ca="1" si="489"/>
        <v>0.15870823117597468</v>
      </c>
      <c r="GJ148" s="460">
        <f t="shared" ca="1" si="489"/>
        <v>0.1589246823051858</v>
      </c>
      <c r="GK148" s="460">
        <f t="shared" ca="1" si="489"/>
        <v>0.15918075969348786</v>
      </c>
      <c r="GL148" s="460">
        <f t="shared" ca="1" si="489"/>
        <v>0.15948273881188299</v>
      </c>
      <c r="GM148" s="460">
        <f t="shared" ca="1" si="489"/>
        <v>0.15983817610513745</v>
      </c>
      <c r="GN148" s="460">
        <f t="shared" ca="1" si="489"/>
        <v>0.1602561116429998</v>
      </c>
      <c r="GO148" s="460">
        <f t="shared" ca="1" si="489"/>
        <v>0.16074732477816567</v>
      </c>
      <c r="GP148" s="460">
        <f t="shared" ca="1" si="489"/>
        <v>0.16132465292181297</v>
      </c>
      <c r="GQ148" s="460">
        <f t="shared" ca="1" si="489"/>
        <v>0.1620033872721113</v>
      </c>
      <c r="GR148" s="460">
        <f t="shared" ca="1" si="489"/>
        <v>0.16280176412960276</v>
      </c>
      <c r="GS148" s="460">
        <f t="shared" ca="1" si="489"/>
        <v>0.16374157678985038</v>
      </c>
      <c r="GT148" s="460">
        <f t="shared" ca="1" si="489"/>
        <v>0.16484894160308616</v>
      </c>
      <c r="GU148" s="460">
        <f t="shared" ca="1" si="489"/>
        <v>0.1661552636226481</v>
      </c>
      <c r="GV148" s="460">
        <f t="shared" ca="1" si="489"/>
        <v>0.16769846378496456</v>
      </c>
      <c r="GW148" s="460">
        <f t="shared" ca="1" si="489"/>
        <v>0.16952455295003541</v>
      </c>
      <c r="GX148" s="460">
        <f t="shared" ca="1" si="489"/>
        <v>0.17168967168552823</v>
      </c>
      <c r="GY148" s="460">
        <f t="shared" ca="1" si="489"/>
        <v>0.17426276349102629</v>
      </c>
      <c r="GZ148" s="460">
        <f t="shared" ca="1" si="489"/>
        <v>0.17732912120970737</v>
      </c>
      <c r="HA148" s="460">
        <f t="shared" ca="1" si="489"/>
        <v>0.18099515438494648</v>
      </c>
      <c r="HB148" s="460">
        <f t="shared" ca="1" si="489"/>
        <v>0.18539488996099898</v>
      </c>
      <c r="HC148" s="460">
        <f t="shared" ca="1" si="489"/>
        <v>0.19069897427834914</v>
      </c>
      <c r="HD148" s="460">
        <f t="shared" ca="1" si="489"/>
        <v>0.19712734888213473</v>
      </c>
      <c r="HE148" s="460">
        <f t="shared" ca="1" si="489"/>
        <v>0.20496742713824476</v>
      </c>
      <c r="HF148" s="460">
        <f t="shared" ca="1" si="489"/>
        <v>0.2146006828797182</v>
      </c>
      <c r="HG148" s="460">
        <f t="shared" ca="1" si="489"/>
        <v>0.22654240625545277</v>
      </c>
      <c r="HH148" s="460">
        <f t="shared" ca="1" si="489"/>
        <v>0.24150261067481227</v>
      </c>
      <c r="HI148" s="460">
        <f t="shared" ca="1" si="489"/>
        <v>0.26048191503656309</v>
      </c>
      <c r="HJ148" s="460">
        <f t="shared" ca="1" si="489"/>
        <v>0.28492718283308516</v>
      </c>
      <c r="HK148" s="460">
        <f t="shared" ca="1" si="489"/>
        <v>0.3169931263253174</v>
      </c>
      <c r="HL148" s="460">
        <f t="shared" ca="1" si="489"/>
        <v>0.36000001274223725</v>
      </c>
      <c r="HM148" s="460" t="str">
        <f t="shared" si="489"/>
        <v/>
      </c>
      <c r="HN148" s="460" t="str">
        <f t="shared" si="489"/>
        <v/>
      </c>
      <c r="HO148" s="460" t="str">
        <f t="shared" si="489"/>
        <v/>
      </c>
      <c r="HP148" s="460" t="str">
        <f t="shared" si="489"/>
        <v/>
      </c>
      <c r="HQ148" s="460" t="str">
        <f t="shared" si="489"/>
        <v/>
      </c>
      <c r="HR148" s="460" t="str">
        <f t="shared" si="489"/>
        <v/>
      </c>
      <c r="HS148" s="460" t="str">
        <f t="shared" si="489"/>
        <v/>
      </c>
      <c r="HT148" s="460" t="str">
        <f t="shared" si="489"/>
        <v/>
      </c>
      <c r="HU148" s="460" t="str">
        <f t="shared" si="489"/>
        <v/>
      </c>
      <c r="HV148" s="460" t="str">
        <f t="shared" si="489"/>
        <v/>
      </c>
      <c r="HW148" s="460" t="str">
        <f t="shared" ref="HW148:ID151" si="546">IF($FJ73&lt;HW$94,"",SQRT(HW73/HW$15))</f>
        <v/>
      </c>
      <c r="HX148" s="460" t="str">
        <f t="shared" si="546"/>
        <v/>
      </c>
      <c r="HY148" s="460" t="str">
        <f t="shared" si="546"/>
        <v/>
      </c>
      <c r="HZ148" s="460" t="str">
        <f t="shared" si="546"/>
        <v/>
      </c>
      <c r="IA148" s="460" t="str">
        <f t="shared" si="546"/>
        <v/>
      </c>
      <c r="IB148" s="460" t="str">
        <f t="shared" si="546"/>
        <v/>
      </c>
      <c r="IC148" s="460" t="str">
        <f t="shared" si="546"/>
        <v/>
      </c>
      <c r="ID148" s="674" t="str">
        <f t="shared" si="546"/>
        <v/>
      </c>
      <c r="IE148" s="250"/>
    </row>
    <row r="149" spans="8:239">
      <c r="H149" s="51">
        <f t="shared" ca="1" si="527"/>
        <v>0</v>
      </c>
      <c r="I149" s="379">
        <f t="shared" si="528"/>
        <v>40695</v>
      </c>
      <c r="J149" s="377"/>
      <c r="K149" s="104" t="s">
        <v>268</v>
      </c>
      <c r="L149" s="392">
        <f t="shared" si="529"/>
        <v>1.987500000000002</v>
      </c>
      <c r="M149" s="171"/>
      <c r="N149" s="382">
        <v>0</v>
      </c>
      <c r="O149" s="171">
        <f t="shared" si="490"/>
        <v>0</v>
      </c>
      <c r="P149" s="377"/>
      <c r="Q149" s="104" t="s">
        <v>268</v>
      </c>
      <c r="R149" s="377">
        <f t="shared" ref="R149:R195" ca="1" si="547">IF(ISNUMBER(Q149),P149+Q149/100,IF(Q149="extra",(Z147*AL147-R148*AM147)/AN147,IF(Q149="inter",interpolateprices($Q$19:$R$260,ROW(Q149)-ROW(FirstPricingMonth)+1),interpolatechanges($P$19:$Q$260,ROW(Q149)-ROW(FirstPricingMonth)+1))))</f>
        <v>0.56491562886655455</v>
      </c>
      <c r="S149" s="832">
        <f t="shared" si="435"/>
        <v>0.3600000000000001</v>
      </c>
      <c r="T149" s="831">
        <f t="shared" ref="T149:T212" si="548">SQRT((1-(1-T148^2/U148)*T$18)*U149)</f>
        <v>0.99999999981201793</v>
      </c>
      <c r="U149" s="545">
        <f t="shared" ref="U149:U212" si="549">1-(1-U148)*U$18</f>
        <v>0.99999999999999978</v>
      </c>
      <c r="V149" s="389">
        <v>0</v>
      </c>
      <c r="W149" s="434">
        <f t="shared" si="491"/>
        <v>0</v>
      </c>
      <c r="X149" s="415">
        <f t="shared" si="492"/>
        <v>2.0386363636363658</v>
      </c>
      <c r="Y149" s="322">
        <f t="shared" si="493"/>
        <v>-1.2915000000000001</v>
      </c>
      <c r="Z149" s="322">
        <f t="shared" ca="1" si="494"/>
        <v>0.74713636363636571</v>
      </c>
      <c r="AA149" s="429">
        <f t="shared" si="495"/>
        <v>1.2915000000000001</v>
      </c>
      <c r="AB149" s="433">
        <f t="shared" ca="1" si="496"/>
        <v>1.2915000000000001</v>
      </c>
      <c r="AC149" s="229">
        <v>40683</v>
      </c>
      <c r="AD149" s="229">
        <v>40679</v>
      </c>
      <c r="AE149" s="229">
        <v>40678</v>
      </c>
      <c r="AF149" s="229">
        <v>40674</v>
      </c>
      <c r="AG149" s="249" t="s">
        <v>499</v>
      </c>
      <c r="AH149" s="247" t="s">
        <v>499</v>
      </c>
      <c r="AI149" s="146">
        <v>22</v>
      </c>
      <c r="AJ149" s="41">
        <v>14</v>
      </c>
      <c r="AK149" s="41">
        <v>8</v>
      </c>
      <c r="AL149" s="293">
        <v>22</v>
      </c>
      <c r="AM149" s="41">
        <v>10</v>
      </c>
      <c r="AN149" s="147">
        <v>12</v>
      </c>
      <c r="AO149" s="374"/>
      <c r="AP149" s="153">
        <f t="shared" ca="1" si="530"/>
        <v>1</v>
      </c>
      <c r="AQ149" s="374"/>
      <c r="AR149" s="153">
        <f t="shared" ref="AR149:AR212" ca="1" si="550">(1+AQ149/2)^(-2*BH149/365.25)</f>
        <v>1</v>
      </c>
      <c r="AS149" s="272">
        <f t="shared" si="497"/>
        <v>0</v>
      </c>
      <c r="AT149" s="157">
        <f t="shared" si="531"/>
        <v>0</v>
      </c>
      <c r="AU149" s="157">
        <f t="shared" si="498"/>
        <v>0</v>
      </c>
      <c r="AV149" s="271">
        <f t="shared" ca="1" si="430"/>
        <v>9.9999999999999995E-7</v>
      </c>
      <c r="AW149" s="158" t="str">
        <f t="shared" ca="1" si="499"/>
        <v/>
      </c>
      <c r="AX149" s="157">
        <f t="shared" ref="AX149:AX212" ca="1" si="551">IF($AW149="",AX148^2/AX147,INDEX(U$5:U$8,$AW149)^((INDEX($T$5:$T$8,$AW149+1)-($I149-DateToday+15))/(INDEX($T$5:$T$8,$AW149+1)-INDEX($T$5:$T$8,$AW149)))/INDEX(U$5:U$8,$AW149+1)^((INDEX($T$5:$T$8,$AW149)-($I149-DateToday+15))/(INDEX($T$5:$T$8,$AW149+1)-INDEX($T$5:$T$8,$AW149))))</f>
        <v>3.2763707278844745E-4</v>
      </c>
      <c r="AY149" s="157">
        <f t="shared" ref="AY149:AY212" ca="1" si="552">IF($AW149="",AY148^2/AY147,INDEX(V$5:V$8,$AW149)^((INDEX($T$5:$T$8,$AW149+1)-($I149-DateToday+15))/(INDEX($T$5:$T$8,$AW149+1)-INDEX($T$5:$T$8,$AW149)))/INDEX(V$5:V$8,$AW149+1)^((INDEX($T$5:$T$8,$AW149)-($I149-DateToday+15))/(INDEX($T$5:$T$8,$AW149+1)-INDEX($T$5:$T$8,$AW149))))</f>
        <v>1.0729882403273747E-4</v>
      </c>
      <c r="AZ149" s="157">
        <f t="shared" ref="AZ149:AZ212" ca="1" si="553">IF($AW149="",AZ148^2/AZ147,INDEX(W$5:W$8,$AW149)^((INDEX($T$5:$T$8,$AW149+1)-($I149-DateToday+15))/(INDEX($T$5:$T$8,$AW149+1)-INDEX($T$5:$T$8,$AW149)))/INDEX(W$5:W$8,$AW149+1)^((INDEX($T$5:$T$8,$AW149)-($I149-DateToday+15))/(INDEX($T$5:$T$8,$AW149+1)-INDEX($T$5:$T$8,$AW149))))</f>
        <v>8.4868473539801339E-6</v>
      </c>
      <c r="BA149" s="157">
        <f t="shared" ref="BA149:BA212" ca="1" si="554">IF($AW149="",BA148^2/BA147,INDEX(X$5:X$8,$AW149)^((INDEX($T$5:$T$8,$AW149+1)-($I149-DateToday+15))/(INDEX($T$5:$T$8,$AW149+1)-INDEX($T$5:$T$8,$AW149)))/INDEX(X$5:X$8,$AW149+1)^((INDEX($T$5:$T$8,$AW149)-($I149-DateToday+15))/(INDEX($T$5:$T$8,$AW149+1)-INDEX($T$5:$T$8,$AW149))))</f>
        <v>1.0608559192475167E-6</v>
      </c>
      <c r="BB149" s="157">
        <f t="shared" ref="BB149:BB212" ca="1" si="555">IF($AW149="",BB148^2/BB147,INDEX(Y$5:Y$8,$AW149)^((INDEX($T$5:$T$8,$AW149+1)-($I149-DateToday+15))/(INDEX($T$5:$T$8,$AW149+1)-INDEX($T$5:$T$8,$AW149)))/INDEX(Y$5:Y$8,$AW149+1)^((INDEX($T$5:$T$8,$AW149)-($I149-DateToday+15))/(INDEX($T$5:$T$8,$AW149+1)-INDEX($T$5:$T$8,$AW149))))</f>
        <v>2.8964644002711839E-8</v>
      </c>
      <c r="BC149" s="157">
        <f t="shared" ref="BC149:BC212" ca="1" si="556">IF($AW149="",BC148^2/BC147,INDEX(Z$5:Z$8,$AW149)^((INDEX($T$5:$T$8,$AW149+1)-($I149-DateToday+15))/(INDEX($T$5:$T$8,$AW149+1)-INDEX($T$5:$T$8,$AW149)))/INDEX(Z$5:Z$8,$AW149+1)^((INDEX($T$5:$T$8,$AW149)-($I149-DateToday+15))/(INDEX($T$5:$T$8,$AW149+1)-INDEX($T$5:$T$8,$AW149))))</f>
        <v>2.2508305628048452E-9</v>
      </c>
      <c r="BD149" s="151">
        <f t="shared" ca="1" si="500"/>
        <v>0</v>
      </c>
      <c r="BE149" s="152">
        <f t="shared" ca="1" si="501"/>
        <v>0</v>
      </c>
      <c r="BF149" s="40">
        <f t="shared" si="502"/>
        <v>2011</v>
      </c>
      <c r="BG149" s="144">
        <f t="shared" si="503"/>
        <v>6</v>
      </c>
      <c r="BH149" s="145">
        <f t="shared" ca="1" si="504"/>
        <v>3934</v>
      </c>
      <c r="BI149" s="313">
        <f t="shared" ca="1" si="439"/>
        <v>10.8145106091718</v>
      </c>
      <c r="BJ149" s="42">
        <f t="shared" ca="1" si="505"/>
        <v>10.865036400970691</v>
      </c>
      <c r="BK149" s="42">
        <f t="shared" ca="1" si="506"/>
        <v>10.867774251757824</v>
      </c>
      <c r="BL149" s="42">
        <f t="shared" ca="1" si="440"/>
        <v>10.89390828199863</v>
      </c>
      <c r="BM149" s="150" t="e">
        <f t="shared" ca="1" si="507"/>
        <v>#DIV/0!</v>
      </c>
      <c r="BN149" s="42" t="e">
        <f t="shared" ca="1" si="508"/>
        <v>#DIV/0!</v>
      </c>
      <c r="BO149" s="293">
        <f t="shared" si="441"/>
        <v>22</v>
      </c>
      <c r="BP149" s="41">
        <f t="shared" si="442"/>
        <v>14</v>
      </c>
      <c r="BQ149" s="41">
        <f t="shared" si="443"/>
        <v>8</v>
      </c>
      <c r="BR149" s="305" t="str">
        <f t="shared" ca="1" si="509"/>
        <v/>
      </c>
      <c r="BS149" s="305" t="str">
        <f t="shared" ca="1" si="444"/>
        <v/>
      </c>
      <c r="BT149" s="307" t="str">
        <f t="shared" ca="1" si="445"/>
        <v/>
      </c>
      <c r="BU149" s="161" t="str">
        <f t="shared" ca="1" si="510"/>
        <v/>
      </c>
      <c r="BV149" s="161" t="str">
        <f t="shared" ca="1" si="511"/>
        <v/>
      </c>
      <c r="BW149" s="308" t="str">
        <f t="shared" ca="1" si="512"/>
        <v/>
      </c>
      <c r="BX149" s="309" t="str">
        <f t="shared" ca="1" si="513"/>
        <v/>
      </c>
      <c r="BY149" s="308" t="str">
        <f t="shared" ca="1" si="446"/>
        <v/>
      </c>
      <c r="BZ149" s="309" t="str">
        <f t="shared" ca="1" si="447"/>
        <v/>
      </c>
      <c r="CA149" s="154" t="str">
        <f t="shared" ca="1" si="514"/>
        <v/>
      </c>
      <c r="CB149" s="154" t="str">
        <f t="shared" ca="1" si="515"/>
        <v/>
      </c>
      <c r="CC149" s="154" t="str">
        <f t="shared" ca="1" si="516"/>
        <v/>
      </c>
      <c r="CD149" s="154" t="str">
        <f t="shared" ca="1" si="517"/>
        <v/>
      </c>
      <c r="CE149" s="310">
        <v>1</v>
      </c>
      <c r="CF149" s="162">
        <f ca="1">IF(BD149,_xll.xCrudeAPO(BU149,BV149,CA149,CB149,S150,S151,BI149,BL149,BP149,BQ149,0,Strike1,AO149,CE149,0,BL149,IF(OptControl=4,0,1),0,1),0)</f>
        <v>0</v>
      </c>
      <c r="CG149" s="163">
        <f ca="1">IF(BD149,_xll.xCrudeAPO(BU149,BV149,CA149,CB149,S150,S151,BI149,BL149,BP149,BQ149,0,Strike1,AO149,CE149,0,BL149,IF(OptControl=4,0,1),1,1)+_xll.xCrudeAPO(BU149,BV149,CA149,CB149,S150,S151,BI149,BL149,BP149,BQ149,0,Strike1,AO149,CE149,0,BL149,IF(OptControl=4,0,1),1,2)+IF(OR(VolSkewFlag=2,ABS(BS149)&lt;0.0001),0,IF(BS149&gt;0,-1,1)*CH149*Strike1/BR149^2*BY149/10%),0)</f>
        <v>0</v>
      </c>
      <c r="CH149" s="163">
        <f ca="1">IF(BD149,(_xll.xCrudeAPO(BU149,BV149,CA149,CB149,S150,S151,BI149,BL149,BP149,BQ149,0,Strike1,AO149,CE149,0,BL149,IF(OptControl=4,0,1),3,1)+_xll.xCrudeAPO(BU149,BV149,CA149,CB149,S150,S151,BI149,BL149,BP149,BQ149,0,Strike1,AO149,CE149,0,BL149,IF(OptControl=4,0,1),3,2))/100,0)</f>
        <v>0</v>
      </c>
      <c r="CI149" s="163">
        <f ca="1">IF(BD149,_xll.xCrudeAPO(BU149,BV149,CA149,CB149,S150,S151,BI149-DaysForThetaCalculation/365.25,BL149-DaysForThetaCalculation/365.25,BP149,BQ149,0,Strike1,AO149,CE149,0,BL149,IF(OptControl=4,0,1),0,1)-_xll.xCrudeAPO(BU149,BV149,CA149,CB149,S150,S151,BI149,BL149,BP149,BQ149,0,Strike1,AO149,CE149,0,BL149,IF(OptControl=4,0,1),0,1),0)</f>
        <v>0</v>
      </c>
      <c r="CJ149" s="311">
        <f ca="1">IF(BD149,_xll.xCrudeAPO(BU149,BV149,CC149,CD149,S150,S151,BI149,BL149,BP149,BQ149,0,Strike2,AO149,CE149,0,BL149,IF(OptControl=3,1,0),0,1),0)</f>
        <v>0</v>
      </c>
      <c r="CK149" s="163">
        <f ca="1">IF(BD149,_xll.xCrudeAPO(BU149,BV149,CC149,CD149,S150,S151,BI149,BL149,BP149,BQ149,0,Strike2,AO149,CE149,0,BL149,IF(OptControl=3,1,0),1,1)+_xll.xCrudeAPO(BU149,BV149,CC149,CD149,S150,S151,BI149,BL149,BP149,BQ149,0,Strike2,AO149,CE149,0,BL149,IF(OptControl=3,1,0),1,2)+IF(OR(VolSkewFlag=2,ABS(BT149)&lt;0.0001),0,IF(BT149&gt;0,-1,1)*CL149*Strike2/BR149^2*BZ149/10%),0)</f>
        <v>0</v>
      </c>
      <c r="CL149" s="163">
        <f ca="1">IF(BD149,(_xll.xCrudeAPO(BU149,BV149,CC149,CD149,S150,S151,BI149,BL149,BP149,BQ149,0,Strike2,AO149,CE149,0,BL149,IF(OptControl=3,1,0),3,1)+_xll.xCrudeAPO(BU149,BV149,CC149,CD149,S150,S151,BI149,BL149,BP149,BQ149,0,Strike2,AO149,CE149,0,BL149,IF(OptControl=3,1,0),3,2))/100,0)</f>
        <v>0</v>
      </c>
      <c r="CM149" s="164">
        <f ca="1">IF(BD149,_xll.xCrudeAPO(BU149,BV149,CC149,CD149,S150,S151,BI149-DaysForThetaCalculation/365.25,BL149-DaysForThetaCalculation/365.25,BP149,BQ149,0,Strike2,AO149,CE149,0,BL149,IF(OptControl=3,1,0),0,1)-_xll.xCrudeAPO(BU149,BV149,CC149,CD149,S150,S151,BI149,BL149,BP149,BQ149,0,Strike2,AO149,CE149,0,BL149,IF(OptControl=3,1,0),0,1),0)</f>
        <v>0</v>
      </c>
      <c r="CN149" s="53"/>
      <c r="CO149" s="796" t="str">
        <f t="shared" ca="1" si="532"/>
        <v/>
      </c>
      <c r="CP149" s="800" t="str">
        <f t="shared" ca="1" si="533"/>
        <v/>
      </c>
      <c r="CQ149" s="797" t="str">
        <f t="shared" ca="1" si="534"/>
        <v/>
      </c>
      <c r="CR149" s="797" t="str">
        <f t="shared" ca="1" si="535"/>
        <v/>
      </c>
      <c r="CS149" s="797" t="str">
        <f t="shared" ca="1" si="536"/>
        <v/>
      </c>
      <c r="CT149" s="797" t="str">
        <f t="shared" ca="1" si="537"/>
        <v/>
      </c>
      <c r="CU149" s="798" t="str">
        <f t="shared" ca="1" si="538"/>
        <v/>
      </c>
      <c r="CV149" s="799" t="str">
        <f t="shared" ca="1" si="539"/>
        <v/>
      </c>
      <c r="CW149" s="799" t="str">
        <f t="shared" ca="1" si="540"/>
        <v/>
      </c>
      <c r="CX149" s="163">
        <f ca="1">IF(BD149,_xll.EURO(CP149,Strike1,AO149,AO149,CV149,CO149,IF(OptControl=4,0,1),0),0)</f>
        <v>0</v>
      </c>
      <c r="CY149" s="163">
        <f ca="1">IF(BD149,_xll.EURO(CP149,Strike1,AO149,AO149,CV149,CO149,IF(OptControl=4,0,1),1)+IF(OR(VolSkewFlag=2,ABS(CQ149)&lt;0.0001),0,IF(CQ149&gt;0,-1,1)*CZ149*100*Strike1/CP149^2*CS149/10%),0)</f>
        <v>0</v>
      </c>
      <c r="CZ149" s="163">
        <f ca="1">IF(BD149,_xll.EURO(CP149,Strike1,AO149,AO149,CV149,CO149,IF(OptControl=4,0,1),3)/100,0)</f>
        <v>0</v>
      </c>
      <c r="DA149" s="163">
        <f ca="1">IF(BD149,_xll.EURO(CP149,Strike1,AO149,AO149,CV149,CO149,IF(OptControl=4,0,1),0)-_xll.EURO(CP149,Strike1,AO149,AO149,CV149,CO149-1,IF(OptControl=4,0,1),0),0)</f>
        <v>0</v>
      </c>
      <c r="DB149" s="163">
        <f ca="1">IF(BD149,_xll.EURO(CP149,Strike2,AO149,AO149,CW149,CO149,IF(OptControl=3,1,0),0),0)</f>
        <v>0</v>
      </c>
      <c r="DC149" s="163">
        <f ca="1">IF(BD149,_xll.EURO(CP149,Strike2,AO149,AO149,CW149,CO149,IF(OptControl=3,1,0),1)+IF(OR(VolSkewFlag=2,ABS(CR149)&lt;0.0001),0,IF(CR149&gt;0,-1,1)*DD149*100*Strike2/CP149^2*CT149/10%),0)</f>
        <v>0</v>
      </c>
      <c r="DD149" s="163">
        <f ca="1">IF(BD149,_xll.EURO(CP149,Strike2,AO149,AO149,CW149,CO149,IF(OptControl=3,1,0),3)/100,0)</f>
        <v>0</v>
      </c>
      <c r="DE149" s="164">
        <f ca="1">IF(BD149,_xll.EURO(CP149,Strike2,AO149,AO149,CW149,CO149,IF(OptControl=3,1,0),0)-_xll.EURO(CP149,Strike2,AO149,AO149,CW149,CO149-1,IF(OptControl=3,1,0),0),0)</f>
        <v>0</v>
      </c>
      <c r="DG149" s="667">
        <f t="shared" ca="1" si="541"/>
        <v>40483</v>
      </c>
      <c r="DH149" s="475">
        <v>20.61</v>
      </c>
      <c r="DI149" s="665">
        <v>20.675909090909133</v>
      </c>
      <c r="DJ149" s="666">
        <f t="shared" ca="1" si="518"/>
        <v>40483</v>
      </c>
      <c r="DK149" s="475">
        <v>19.400355919928728</v>
      </c>
      <c r="DL149" s="665">
        <v>19.482809090909132</v>
      </c>
      <c r="DM149" s="667">
        <f t="shared" ca="1" si="519"/>
        <v>40483</v>
      </c>
      <c r="DN149" s="668">
        <f t="shared" si="520"/>
        <v>19.450355919928729</v>
      </c>
      <c r="DO149" s="667">
        <f t="shared" ca="1" si="542"/>
        <v>40483</v>
      </c>
      <c r="DP149" s="579">
        <f t="shared" si="543"/>
        <v>19.482809090909132</v>
      </c>
      <c r="DQ149" s="821">
        <v>0</v>
      </c>
      <c r="DR149" s="666">
        <f t="shared" ca="1" si="521"/>
        <v>40483</v>
      </c>
      <c r="DS149" s="669">
        <v>0.14719999999999903</v>
      </c>
      <c r="DT149" s="606">
        <v>0.14640909090908993</v>
      </c>
      <c r="DU149" s="666">
        <f t="shared" ca="1" si="522"/>
        <v>40483</v>
      </c>
      <c r="DV149" s="669">
        <v>0.14719999999999903</v>
      </c>
      <c r="DW149" s="606">
        <v>0.14640909090908993</v>
      </c>
      <c r="DX149" s="667">
        <f t="shared" ca="1" si="523"/>
        <v>40483</v>
      </c>
      <c r="DY149" s="606">
        <v>0.35</v>
      </c>
      <c r="DZ149" s="667">
        <f t="shared" ca="1" si="544"/>
        <v>40483</v>
      </c>
      <c r="EA149" s="606">
        <f t="shared" si="545"/>
        <v>0.14640909090908993</v>
      </c>
      <c r="EB149" s="1"/>
      <c r="EC149" s="118" t="str">
        <f t="shared" ca="1" si="524"/>
        <v/>
      </c>
      <c r="ED149" s="119" t="str">
        <f t="shared" ca="1" si="525"/>
        <v/>
      </c>
      <c r="EE149" s="112" t="str">
        <f t="shared" ca="1" si="526"/>
        <v/>
      </c>
      <c r="EF149" s="120">
        <f ca="1">IF(BD149,_xll.xASN(BR149,Strike1,AO149,ED149,0,BO149,0,BI149,BL149,IF(OptControl=4,0,1),0),0)</f>
        <v>0</v>
      </c>
      <c r="EG149" s="111">
        <f ca="1">IF(BD149,_xll.xASN(BR149,Strike2,AO149,EE149,0,BO149,0,BI149,BL149,IF(OptControl=3,1,0),0),0)</f>
        <v>0</v>
      </c>
      <c r="EL149" s="55"/>
      <c r="EM149" s="1"/>
      <c r="EN149" s="106"/>
      <c r="EO149" s="106"/>
      <c r="EP149" s="1"/>
      <c r="EQ149" s="683" t="s">
        <v>362</v>
      </c>
      <c r="ES149" s="455"/>
      <c r="ET149" s="36"/>
      <c r="EU149" s="107"/>
      <c r="EV149" s="475"/>
      <c r="EW149" s="456"/>
      <c r="EX149" s="456"/>
      <c r="EY149" s="250"/>
      <c r="EZ149" s="250"/>
      <c r="FA149" s="250"/>
      <c r="FB149" s="250"/>
      <c r="FC149" s="250"/>
      <c r="FD149" s="250"/>
      <c r="FE149" s="250"/>
      <c r="FF149" s="250"/>
      <c r="FG149" s="250"/>
      <c r="FH149" s="250"/>
      <c r="FI149" s="250"/>
      <c r="FJ149" s="673">
        <v>55</v>
      </c>
      <c r="FK149" s="460">
        <f t="shared" ca="1" si="479"/>
        <v>0</v>
      </c>
      <c r="FL149" s="460">
        <f t="shared" ref="FL149:HW152" ca="1" si="557">IF($FJ74&lt;FL$94,"",SQRT(FL74/FL$15))</f>
        <v>0.16615628054446807</v>
      </c>
      <c r="FM149" s="460">
        <f t="shared" ca="1" si="557"/>
        <v>0.17053436745468656</v>
      </c>
      <c r="FN149" s="460">
        <f t="shared" ca="1" si="557"/>
        <v>0.16726123072933663</v>
      </c>
      <c r="FO149" s="460">
        <f t="shared" ca="1" si="557"/>
        <v>0.16480884822109976</v>
      </c>
      <c r="FP149" s="460">
        <f t="shared" ca="1" si="557"/>
        <v>0.16297246392937029</v>
      </c>
      <c r="FQ149" s="460">
        <f t="shared" ca="1" si="557"/>
        <v>0.16159858263494123</v>
      </c>
      <c r="FR149" s="460">
        <f t="shared" ca="1" si="557"/>
        <v>0.16057216710901578</v>
      </c>
      <c r="FS149" s="460">
        <f t="shared" ca="1" si="557"/>
        <v>0.15980703810904379</v>
      </c>
      <c r="FT149" s="460">
        <f t="shared" ca="1" si="557"/>
        <v>0.1592386768258327</v>
      </c>
      <c r="FU149" s="460">
        <f t="shared" ca="1" si="557"/>
        <v>0.1588188295925454</v>
      </c>
      <c r="FV149" s="460">
        <f t="shared" ca="1" si="557"/>
        <v>0.15851146478694292</v>
      </c>
      <c r="FW149" s="460">
        <f t="shared" ca="1" si="557"/>
        <v>0.15828974446199662</v>
      </c>
      <c r="FX149" s="460">
        <f t="shared" ca="1" si="557"/>
        <v>0.15813375770850219</v>
      </c>
      <c r="FY149" s="460">
        <f t="shared" ca="1" si="557"/>
        <v>0.15802882612343519</v>
      </c>
      <c r="FZ149" s="460">
        <f t="shared" ca="1" si="557"/>
        <v>0.15796423930773446</v>
      </c>
      <c r="GA149" s="460">
        <f t="shared" ca="1" si="557"/>
        <v>0.15793231400651933</v>
      </c>
      <c r="GB149" s="460">
        <f t="shared" ca="1" si="557"/>
        <v>0.15792769730406378</v>
      </c>
      <c r="GC149" s="460">
        <f t="shared" ca="1" si="557"/>
        <v>0.15794685442444631</v>
      </c>
      <c r="GD149" s="460">
        <f t="shared" ca="1" si="557"/>
        <v>0.15798769684023853</v>
      </c>
      <c r="GE149" s="460">
        <f t="shared" ca="1" si="557"/>
        <v>0.15804931781316986</v>
      </c>
      <c r="GF149" s="460">
        <f t="shared" ca="1" si="557"/>
        <v>0.15813181112807947</v>
      </c>
      <c r="GG149" s="460">
        <f t="shared" ca="1" si="557"/>
        <v>0.15823615534740459</v>
      </c>
      <c r="GH149" s="460">
        <f t="shared" ca="1" si="557"/>
        <v>0.15836415094715633</v>
      </c>
      <c r="GI149" s="460">
        <f t="shared" ca="1" si="557"/>
        <v>0.15851840160730474</v>
      </c>
      <c r="GJ149" s="460">
        <f t="shared" ca="1" si="557"/>
        <v>0.1587023340357421</v>
      </c>
      <c r="GK149" s="460">
        <f t="shared" ca="1" si="557"/>
        <v>0.15892025325341561</v>
      </c>
      <c r="GL149" s="460">
        <f t="shared" ca="1" si="557"/>
        <v>0.15917743245949287</v>
      </c>
      <c r="GM149" s="460">
        <f t="shared" ca="1" si="557"/>
        <v>0.15948023860009733</v>
      </c>
      <c r="GN149" s="460">
        <f t="shared" ca="1" si="557"/>
        <v>0.15983629673769106</v>
      </c>
      <c r="GO149" s="460">
        <f t="shared" ca="1" si="557"/>
        <v>0.16025469841525308</v>
      </c>
      <c r="GP149" s="460">
        <f t="shared" ca="1" si="557"/>
        <v>0.16074626159913644</v>
      </c>
      <c r="GQ149" s="460">
        <f t="shared" ca="1" si="557"/>
        <v>0.16132385266842211</v>
      </c>
      <c r="GR149" s="460">
        <f t="shared" ca="1" si="557"/>
        <v>0.16200278455392428</v>
      </c>
      <c r="GS149" s="460">
        <f t="shared" ca="1" si="557"/>
        <v>0.16280130986155866</v>
      </c>
      <c r="GT149" s="460">
        <f t="shared" ca="1" si="557"/>
        <v>0.1637412341210818</v>
      </c>
      <c r="GU149" s="460">
        <f t="shared" ca="1" si="557"/>
        <v>0.16484868286289719</v>
      </c>
      <c r="GV149" s="460">
        <f t="shared" ca="1" si="557"/>
        <v>0.16615506802943697</v>
      </c>
      <c r="GW149" s="460">
        <f t="shared" ca="1" si="557"/>
        <v>0.16769831572742364</v>
      </c>
      <c r="GX149" s="460">
        <f t="shared" ca="1" si="557"/>
        <v>0.16952444069761807</v>
      </c>
      <c r="GY149" s="460">
        <f t="shared" ca="1" si="557"/>
        <v>0.17168958642091706</v>
      </c>
      <c r="GZ149" s="460">
        <f t="shared" ca="1" si="557"/>
        <v>0.17426269858414811</v>
      </c>
      <c r="HA149" s="460">
        <f t="shared" ca="1" si="557"/>
        <v>0.17732907167294579</v>
      </c>
      <c r="HB149" s="460">
        <f t="shared" ca="1" si="557"/>
        <v>0.18099511646428695</v>
      </c>
      <c r="HC149" s="460">
        <f t="shared" ca="1" si="557"/>
        <v>0.1853948608291501</v>
      </c>
      <c r="HD149" s="460">
        <f t="shared" ca="1" si="557"/>
        <v>0.19069895180436985</v>
      </c>
      <c r="HE149" s="460">
        <f t="shared" ca="1" si="557"/>
        <v>0.19712733145845754</v>
      </c>
      <c r="HF149" s="460">
        <f t="shared" ca="1" si="557"/>
        <v>0.20496741355075951</v>
      </c>
      <c r="HG149" s="460">
        <f t="shared" ca="1" si="557"/>
        <v>0.21460067221015536</v>
      </c>
      <c r="HH149" s="460">
        <f t="shared" ca="1" si="557"/>
        <v>0.22654239780798927</v>
      </c>
      <c r="HI149" s="460">
        <f t="shared" ca="1" si="557"/>
        <v>0.24150260392082989</v>
      </c>
      <c r="HJ149" s="460">
        <f t="shared" ca="1" si="557"/>
        <v>0.26048190957298767</v>
      </c>
      <c r="HK149" s="460">
        <f t="shared" ca="1" si="557"/>
        <v>0.28492717835085113</v>
      </c>
      <c r="HL149" s="460">
        <f t="shared" ca="1" si="557"/>
        <v>0.31699312258531609</v>
      </c>
      <c r="HM149" s="460">
        <f t="shared" ca="1" si="557"/>
        <v>0.36000000955667794</v>
      </c>
      <c r="HN149" s="460" t="str">
        <f t="shared" si="557"/>
        <v/>
      </c>
      <c r="HO149" s="460" t="str">
        <f t="shared" si="557"/>
        <v/>
      </c>
      <c r="HP149" s="460" t="str">
        <f t="shared" si="557"/>
        <v/>
      </c>
      <c r="HQ149" s="460" t="str">
        <f t="shared" si="557"/>
        <v/>
      </c>
      <c r="HR149" s="460" t="str">
        <f t="shared" si="557"/>
        <v/>
      </c>
      <c r="HS149" s="460" t="str">
        <f t="shared" si="557"/>
        <v/>
      </c>
      <c r="HT149" s="460" t="str">
        <f t="shared" si="557"/>
        <v/>
      </c>
      <c r="HU149" s="460" t="str">
        <f t="shared" si="557"/>
        <v/>
      </c>
      <c r="HV149" s="460" t="str">
        <f t="shared" si="557"/>
        <v/>
      </c>
      <c r="HW149" s="460" t="str">
        <f t="shared" si="557"/>
        <v/>
      </c>
      <c r="HX149" s="460" t="str">
        <f t="shared" si="546"/>
        <v/>
      </c>
      <c r="HY149" s="460" t="str">
        <f t="shared" si="546"/>
        <v/>
      </c>
      <c r="HZ149" s="460" t="str">
        <f t="shared" si="546"/>
        <v/>
      </c>
      <c r="IA149" s="460" t="str">
        <f t="shared" si="546"/>
        <v/>
      </c>
      <c r="IB149" s="460" t="str">
        <f t="shared" si="546"/>
        <v/>
      </c>
      <c r="IC149" s="460" t="str">
        <f t="shared" si="546"/>
        <v/>
      </c>
      <c r="ID149" s="674" t="str">
        <f t="shared" si="546"/>
        <v/>
      </c>
      <c r="IE149" s="250"/>
    </row>
    <row r="150" spans="8:239">
      <c r="H150" s="51">
        <f t="shared" ca="1" si="527"/>
        <v>0</v>
      </c>
      <c r="I150" s="379">
        <f t="shared" si="528"/>
        <v>40725</v>
      </c>
      <c r="J150" s="377"/>
      <c r="K150" s="104" t="s">
        <v>268</v>
      </c>
      <c r="L150" s="392">
        <f t="shared" si="529"/>
        <v>2.0250000000000021</v>
      </c>
      <c r="M150" s="171"/>
      <c r="N150" s="382">
        <v>0</v>
      </c>
      <c r="O150" s="171">
        <f t="shared" si="490"/>
        <v>0</v>
      </c>
      <c r="P150" s="377"/>
      <c r="Q150" s="104" t="s">
        <v>268</v>
      </c>
      <c r="R150" s="377">
        <f t="shared" ca="1" si="547"/>
        <v>0.82711197594454156</v>
      </c>
      <c r="S150" s="832">
        <f t="shared" si="435"/>
        <v>0.3600000000000001</v>
      </c>
      <c r="T150" s="831">
        <f t="shared" si="548"/>
        <v>0.99999999983927523</v>
      </c>
      <c r="U150" s="545">
        <f t="shared" si="549"/>
        <v>0.99999999999999978</v>
      </c>
      <c r="V150" s="389">
        <v>0</v>
      </c>
      <c r="W150" s="434">
        <f t="shared" si="491"/>
        <v>0</v>
      </c>
      <c r="X150" s="415">
        <f t="shared" si="492"/>
        <v>2.0756250000000023</v>
      </c>
      <c r="Y150" s="322">
        <f t="shared" si="493"/>
        <v>-1.2668999999999999</v>
      </c>
      <c r="Z150" s="322">
        <f t="shared" ca="1" si="494"/>
        <v>0.80872500000000236</v>
      </c>
      <c r="AA150" s="429">
        <f t="shared" si="495"/>
        <v>1.2668999999999999</v>
      </c>
      <c r="AB150" s="433">
        <f t="shared" ca="1" si="496"/>
        <v>1.2668999999999999</v>
      </c>
      <c r="AC150" s="229">
        <v>40714</v>
      </c>
      <c r="AD150" s="229">
        <v>40710</v>
      </c>
      <c r="AE150" s="229">
        <v>40709</v>
      </c>
      <c r="AF150" s="229">
        <v>40705</v>
      </c>
      <c r="AG150" s="249" t="s">
        <v>499</v>
      </c>
      <c r="AH150" s="247" t="s">
        <v>499</v>
      </c>
      <c r="AI150" s="146">
        <v>20</v>
      </c>
      <c r="AJ150" s="41">
        <v>13</v>
      </c>
      <c r="AK150" s="41">
        <v>7</v>
      </c>
      <c r="AL150" s="293">
        <v>21</v>
      </c>
      <c r="AM150" s="41">
        <v>10</v>
      </c>
      <c r="AN150" s="147">
        <v>11</v>
      </c>
      <c r="AO150" s="374"/>
      <c r="AP150" s="153">
        <f t="shared" ca="1" si="530"/>
        <v>1</v>
      </c>
      <c r="AQ150" s="374"/>
      <c r="AR150" s="153">
        <f t="shared" ca="1" si="550"/>
        <v>1</v>
      </c>
      <c r="AS150" s="272">
        <f t="shared" si="497"/>
        <v>0</v>
      </c>
      <c r="AT150" s="157">
        <f t="shared" si="531"/>
        <v>0</v>
      </c>
      <c r="AU150" s="157">
        <f t="shared" si="498"/>
        <v>0</v>
      </c>
      <c r="AV150" s="271">
        <f t="shared" ref="AV150:AV213" ca="1" si="558">SQRT(MAX(0.000000000001,(O150^2*BH150-S150^2*(BH150-BH149))/BH149))</f>
        <v>9.9999999999999995E-7</v>
      </c>
      <c r="AW150" s="158" t="str">
        <f t="shared" ca="1" si="499"/>
        <v/>
      </c>
      <c r="AX150" s="157">
        <f t="shared" ca="1" si="551"/>
        <v>3.1675156226740125E-4</v>
      </c>
      <c r="AY150" s="157">
        <f t="shared" ca="1" si="552"/>
        <v>1.0304427037023491E-4</v>
      </c>
      <c r="AZ150" s="157">
        <f t="shared" ca="1" si="553"/>
        <v>8.0105172130724479E-6</v>
      </c>
      <c r="BA150" s="157">
        <f t="shared" ca="1" si="554"/>
        <v>1.001314651634056E-6</v>
      </c>
      <c r="BB150" s="157">
        <f t="shared" ca="1" si="555"/>
        <v>2.6430665018859572E-8</v>
      </c>
      <c r="BC150" s="157">
        <f t="shared" ca="1" si="556"/>
        <v>2.0052620631539328E-9</v>
      </c>
      <c r="BD150" s="151">
        <f t="shared" ca="1" si="500"/>
        <v>0</v>
      </c>
      <c r="BE150" s="152">
        <f t="shared" ca="1" si="501"/>
        <v>0</v>
      </c>
      <c r="BF150" s="40">
        <f t="shared" si="502"/>
        <v>2011</v>
      </c>
      <c r="BG150" s="144">
        <f t="shared" si="503"/>
        <v>7</v>
      </c>
      <c r="BH150" s="145">
        <f t="shared" ca="1" si="504"/>
        <v>3965</v>
      </c>
      <c r="BI150" s="313">
        <f t="shared" ca="1" si="439"/>
        <v>10.896646132785763</v>
      </c>
      <c r="BJ150" s="42">
        <f t="shared" ca="1" si="505"/>
        <v>10.950034223134839</v>
      </c>
      <c r="BK150" s="42">
        <f t="shared" ca="1" si="506"/>
        <v>10.952772073921972</v>
      </c>
      <c r="BL150" s="42">
        <f t="shared" ca="1" si="440"/>
        <v>10.978781656399725</v>
      </c>
      <c r="BM150" s="150" t="e">
        <f t="shared" ca="1" si="507"/>
        <v>#DIV/0!</v>
      </c>
      <c r="BN150" s="42" t="e">
        <f t="shared" ca="1" si="508"/>
        <v>#DIV/0!</v>
      </c>
      <c r="BO150" s="293">
        <f t="shared" si="441"/>
        <v>20</v>
      </c>
      <c r="BP150" s="41">
        <f t="shared" si="442"/>
        <v>13</v>
      </c>
      <c r="BQ150" s="41">
        <f t="shared" si="443"/>
        <v>7</v>
      </c>
      <c r="BR150" s="305" t="str">
        <f t="shared" ca="1" si="509"/>
        <v/>
      </c>
      <c r="BS150" s="305" t="str">
        <f t="shared" ca="1" si="444"/>
        <v/>
      </c>
      <c r="BT150" s="307" t="str">
        <f t="shared" ca="1" si="445"/>
        <v/>
      </c>
      <c r="BU150" s="161" t="str">
        <f t="shared" ca="1" si="510"/>
        <v/>
      </c>
      <c r="BV150" s="161" t="str">
        <f t="shared" ca="1" si="511"/>
        <v/>
      </c>
      <c r="BW150" s="308" t="str">
        <f t="shared" ca="1" si="512"/>
        <v/>
      </c>
      <c r="BX150" s="309" t="str">
        <f t="shared" ca="1" si="513"/>
        <v/>
      </c>
      <c r="BY150" s="308" t="str">
        <f t="shared" ca="1" si="446"/>
        <v/>
      </c>
      <c r="BZ150" s="309" t="str">
        <f t="shared" ca="1" si="447"/>
        <v/>
      </c>
      <c r="CA150" s="154" t="str">
        <f t="shared" ca="1" si="514"/>
        <v/>
      </c>
      <c r="CB150" s="154" t="str">
        <f t="shared" ca="1" si="515"/>
        <v/>
      </c>
      <c r="CC150" s="154" t="str">
        <f t="shared" ca="1" si="516"/>
        <v/>
      </c>
      <c r="CD150" s="154" t="str">
        <f t="shared" ca="1" si="517"/>
        <v/>
      </c>
      <c r="CE150" s="310">
        <v>1</v>
      </c>
      <c r="CF150" s="162">
        <f ca="1">IF(BD150,_xll.xCrudeAPO(BU150,BV150,CA150,CB150,S151,S152,BI150,BL150,BP150,BQ150,0,Strike1,AO150,CE150,0,BL150,IF(OptControl=4,0,1),0,1),0)</f>
        <v>0</v>
      </c>
      <c r="CG150" s="163">
        <f ca="1">IF(BD150,_xll.xCrudeAPO(BU150,BV150,CA150,CB150,S151,S152,BI150,BL150,BP150,BQ150,0,Strike1,AO150,CE150,0,BL150,IF(OptControl=4,0,1),1,1)+_xll.xCrudeAPO(BU150,BV150,CA150,CB150,S151,S152,BI150,BL150,BP150,BQ150,0,Strike1,AO150,CE150,0,BL150,IF(OptControl=4,0,1),1,2)+IF(OR(VolSkewFlag=2,ABS(BS150)&lt;0.0001),0,IF(BS150&gt;0,-1,1)*CH150*Strike1/BR150^2*BY150/10%),0)</f>
        <v>0</v>
      </c>
      <c r="CH150" s="163">
        <f ca="1">IF(BD150,(_xll.xCrudeAPO(BU150,BV150,CA150,CB150,S151,S152,BI150,BL150,BP150,BQ150,0,Strike1,AO150,CE150,0,BL150,IF(OptControl=4,0,1),3,1)+_xll.xCrudeAPO(BU150,BV150,CA150,CB150,S151,S152,BI150,BL150,BP150,BQ150,0,Strike1,AO150,CE150,0,BL150,IF(OptControl=4,0,1),3,2))/100,0)</f>
        <v>0</v>
      </c>
      <c r="CI150" s="163">
        <f ca="1">IF(BD150,_xll.xCrudeAPO(BU150,BV150,CA150,CB150,S151,S152,BI150-DaysForThetaCalculation/365.25,BL150-DaysForThetaCalculation/365.25,BP150,BQ150,0,Strike1,AO150,CE150,0,BL150,IF(OptControl=4,0,1),0,1)-_xll.xCrudeAPO(BU150,BV150,CA150,CB150,S151,S152,BI150,BL150,BP150,BQ150,0,Strike1,AO150,CE150,0,BL150,IF(OptControl=4,0,1),0,1),0)</f>
        <v>0</v>
      </c>
      <c r="CJ150" s="311">
        <f ca="1">IF(BD150,_xll.xCrudeAPO(BU150,BV150,CC150,CD150,S151,S152,BI150,BL150,BP150,BQ150,0,Strike2,AO150,CE150,0,BL150,IF(OptControl=3,1,0),0,1),0)</f>
        <v>0</v>
      </c>
      <c r="CK150" s="163">
        <f ca="1">IF(BD150,_xll.xCrudeAPO(BU150,BV150,CC150,CD150,S151,S152,BI150,BL150,BP150,BQ150,0,Strike2,AO150,CE150,0,BL150,IF(OptControl=3,1,0),1,1)+_xll.xCrudeAPO(BU150,BV150,CC150,CD150,S151,S152,BI150,BL150,BP150,BQ150,0,Strike2,AO150,CE150,0,BL150,IF(OptControl=3,1,0),1,2)+IF(OR(VolSkewFlag=2,ABS(BT150)&lt;0.0001),0,IF(BT150&gt;0,-1,1)*CL150*Strike2/BR150^2*BZ150/10%),0)</f>
        <v>0</v>
      </c>
      <c r="CL150" s="163">
        <f ca="1">IF(BD150,(_xll.xCrudeAPO(BU150,BV150,CC150,CD150,S151,S152,BI150,BL150,BP150,BQ150,0,Strike2,AO150,CE150,0,BL150,IF(OptControl=3,1,0),3,1)+_xll.xCrudeAPO(BU150,BV150,CC150,CD150,S151,S152,BI150,BL150,BP150,BQ150,0,Strike2,AO150,CE150,0,BL150,IF(OptControl=3,1,0),3,2))/100,0)</f>
        <v>0</v>
      </c>
      <c r="CM150" s="164">
        <f ca="1">IF(BD150,_xll.xCrudeAPO(BU150,BV150,CC150,CD150,S151,S152,BI150-DaysForThetaCalculation/365.25,BL150-DaysForThetaCalculation/365.25,BP150,BQ150,0,Strike2,AO150,CE150,0,BL150,IF(OptControl=3,1,0),0,1)-_xll.xCrudeAPO(BU150,BV150,CC150,CD150,S151,S152,BI150,BL150,BP150,BQ150,0,Strike2,AO150,CE150,0,BL150,IF(OptControl=3,1,0),0,1),0)</f>
        <v>0</v>
      </c>
      <c r="CN150" s="53"/>
      <c r="CO150" s="796" t="str">
        <f t="shared" ca="1" si="532"/>
        <v/>
      </c>
      <c r="CP150" s="800" t="str">
        <f t="shared" ca="1" si="533"/>
        <v/>
      </c>
      <c r="CQ150" s="797" t="str">
        <f t="shared" ca="1" si="534"/>
        <v/>
      </c>
      <c r="CR150" s="797" t="str">
        <f t="shared" ca="1" si="535"/>
        <v/>
      </c>
      <c r="CS150" s="797" t="str">
        <f t="shared" ca="1" si="536"/>
        <v/>
      </c>
      <c r="CT150" s="797" t="str">
        <f t="shared" ca="1" si="537"/>
        <v/>
      </c>
      <c r="CU150" s="798" t="str">
        <f t="shared" ca="1" si="538"/>
        <v/>
      </c>
      <c r="CV150" s="799" t="str">
        <f t="shared" ca="1" si="539"/>
        <v/>
      </c>
      <c r="CW150" s="799" t="str">
        <f t="shared" ca="1" si="540"/>
        <v/>
      </c>
      <c r="CX150" s="163">
        <f ca="1">IF(BD150,_xll.EURO(CP150,Strike1,AO150,AO150,CV150,CO150,IF(OptControl=4,0,1),0),0)</f>
        <v>0</v>
      </c>
      <c r="CY150" s="163">
        <f ca="1">IF(BD150,_xll.EURO(CP150,Strike1,AO150,AO150,CV150,CO150,IF(OptControl=4,0,1),1)+IF(OR(VolSkewFlag=2,ABS(CQ150)&lt;0.0001),0,IF(CQ150&gt;0,-1,1)*CZ150*100*Strike1/CP150^2*CS150/10%),0)</f>
        <v>0</v>
      </c>
      <c r="CZ150" s="163">
        <f ca="1">IF(BD150,_xll.EURO(CP150,Strike1,AO150,AO150,CV150,CO150,IF(OptControl=4,0,1),3)/100,0)</f>
        <v>0</v>
      </c>
      <c r="DA150" s="163">
        <f ca="1">IF(BD150,_xll.EURO(CP150,Strike1,AO150,AO150,CV150,CO150,IF(OptControl=4,0,1),0)-_xll.EURO(CP150,Strike1,AO150,AO150,CV150,CO150-1,IF(OptControl=4,0,1),0),0)</f>
        <v>0</v>
      </c>
      <c r="DB150" s="163">
        <f ca="1">IF(BD150,_xll.EURO(CP150,Strike2,AO150,AO150,CW150,CO150,IF(OptControl=3,1,0),0),0)</f>
        <v>0</v>
      </c>
      <c r="DC150" s="163">
        <f ca="1">IF(BD150,_xll.EURO(CP150,Strike2,AO150,AO150,CW150,CO150,IF(OptControl=3,1,0),1)+IF(OR(VolSkewFlag=2,ABS(CR150)&lt;0.0001),0,IF(CR150&gt;0,-1,1)*DD150*100*Strike2/CP150^2*CT150/10%),0)</f>
        <v>0</v>
      </c>
      <c r="DD150" s="163">
        <f ca="1">IF(BD150,_xll.EURO(CP150,Strike2,AO150,AO150,CW150,CO150,IF(OptControl=3,1,0),3)/100,0)</f>
        <v>0</v>
      </c>
      <c r="DE150" s="164">
        <f ca="1">IF(BD150,_xll.EURO(CP150,Strike2,AO150,AO150,CW150,CO150,IF(OptControl=3,1,0),0)-_xll.EURO(CP150,Strike2,AO150,AO150,CW150,CO150-1,IF(OptControl=3,1,0),0),0)</f>
        <v>0</v>
      </c>
      <c r="DG150" s="667">
        <f t="shared" ca="1" si="541"/>
        <v>40513</v>
      </c>
      <c r="DH150" s="475">
        <v>20.66</v>
      </c>
      <c r="DI150" s="665">
        <v>20.729565217391347</v>
      </c>
      <c r="DJ150" s="666">
        <f t="shared" ca="1" si="518"/>
        <v>40513</v>
      </c>
      <c r="DK150" s="475">
        <v>19.463758254610319</v>
      </c>
      <c r="DL150" s="665">
        <v>19.536465217391346</v>
      </c>
      <c r="DM150" s="667">
        <f t="shared" ca="1" si="519"/>
        <v>40513</v>
      </c>
      <c r="DN150" s="668">
        <f t="shared" si="520"/>
        <v>19.51375825461032</v>
      </c>
      <c r="DO150" s="667">
        <f t="shared" ca="1" si="542"/>
        <v>40513</v>
      </c>
      <c r="DP150" s="579">
        <f t="shared" si="543"/>
        <v>19.536465217391346</v>
      </c>
      <c r="DQ150" s="821">
        <v>0</v>
      </c>
      <c r="DR150" s="666">
        <f t="shared" ca="1" si="521"/>
        <v>40513</v>
      </c>
      <c r="DS150" s="669">
        <v>0.14659999999999904</v>
      </c>
      <c r="DT150" s="606">
        <v>0.14576521739130338</v>
      </c>
      <c r="DU150" s="666">
        <f t="shared" ca="1" si="522"/>
        <v>40513</v>
      </c>
      <c r="DV150" s="669">
        <v>0.14659999999999904</v>
      </c>
      <c r="DW150" s="606">
        <v>0.14576521739130338</v>
      </c>
      <c r="DX150" s="667">
        <f t="shared" ca="1" si="523"/>
        <v>40513</v>
      </c>
      <c r="DY150" s="606">
        <v>0.35</v>
      </c>
      <c r="DZ150" s="667">
        <f t="shared" ca="1" si="544"/>
        <v>40513</v>
      </c>
      <c r="EA150" s="606">
        <f t="shared" si="545"/>
        <v>0.14576521739130338</v>
      </c>
      <c r="EB150" s="1"/>
      <c r="EC150" s="118" t="str">
        <f t="shared" ca="1" si="524"/>
        <v/>
      </c>
      <c r="ED150" s="119" t="str">
        <f t="shared" ca="1" si="525"/>
        <v/>
      </c>
      <c r="EE150" s="112" t="str">
        <f t="shared" ca="1" si="526"/>
        <v/>
      </c>
      <c r="EF150" s="120">
        <f ca="1">IF(BD150,_xll.xASN(BR150,Strike1,AO150,ED150,0,BO150,0,BI150,BL150,IF(OptControl=4,0,1),0),0)</f>
        <v>0</v>
      </c>
      <c r="EG150" s="111">
        <f ca="1">IF(BD150,_xll.xASN(BR150,Strike2,AO150,EE150,0,BO150,0,BI150,BL150,IF(OptControl=3,1,0),0),0)</f>
        <v>0</v>
      </c>
      <c r="EL150" s="55"/>
      <c r="EM150" s="1"/>
      <c r="EN150" s="106"/>
      <c r="EO150" s="106"/>
      <c r="EP150" s="1"/>
      <c r="EQ150" s="683" t="s">
        <v>363</v>
      </c>
      <c r="ES150" s="455"/>
      <c r="ET150" s="36"/>
      <c r="EU150" s="107"/>
      <c r="EV150" s="475"/>
      <c r="EW150" s="456"/>
      <c r="EX150" s="456"/>
      <c r="EY150" s="250"/>
      <c r="EZ150" s="250"/>
      <c r="FA150" s="250"/>
      <c r="FB150" s="250"/>
      <c r="FC150" s="250"/>
      <c r="FD150" s="250"/>
      <c r="FE150" s="250"/>
      <c r="FF150" s="250"/>
      <c r="FG150" s="250"/>
      <c r="FH150" s="250"/>
      <c r="FI150" s="250"/>
      <c r="FJ150" s="673">
        <v>56</v>
      </c>
      <c r="FK150" s="460">
        <f t="shared" ca="1" si="479"/>
        <v>0</v>
      </c>
      <c r="FL150" s="460">
        <f t="shared" ca="1" si="557"/>
        <v>0.16615165445353788</v>
      </c>
      <c r="FM150" s="460">
        <f t="shared" ca="1" si="557"/>
        <v>0.1705288142430067</v>
      </c>
      <c r="FN150" s="460">
        <f t="shared" ca="1" si="557"/>
        <v>0.16725486038825033</v>
      </c>
      <c r="FO150" s="460">
        <f t="shared" ca="1" si="557"/>
        <v>0.16480150674802277</v>
      </c>
      <c r="FP150" s="460">
        <f t="shared" ca="1" si="557"/>
        <v>0.16296397305444577</v>
      </c>
      <c r="FQ150" s="460">
        <f t="shared" ca="1" si="557"/>
        <v>0.16158873546204541</v>
      </c>
      <c r="FR150" s="460">
        <f t="shared" ca="1" si="557"/>
        <v>0.16056072304142471</v>
      </c>
      <c r="FS150" s="460">
        <f t="shared" ca="1" si="557"/>
        <v>0.1597937169333018</v>
      </c>
      <c r="FT150" s="460">
        <f t="shared" ca="1" si="557"/>
        <v>0.1592231518057344</v>
      </c>
      <c r="FU150" s="460">
        <f t="shared" ca="1" si="557"/>
        <v>0.15880071939956691</v>
      </c>
      <c r="FV150" s="460">
        <f t="shared" ca="1" si="557"/>
        <v>0.15849032406319111</v>
      </c>
      <c r="FW150" s="460">
        <f t="shared" ca="1" si="557"/>
        <v>0.1582650527758801</v>
      </c>
      <c r="FX150" s="460">
        <f t="shared" ca="1" si="557"/>
        <v>0.15810490662076421</v>
      </c>
      <c r="FY150" s="460">
        <f t="shared" ca="1" si="557"/>
        <v>0.15799510403057948</v>
      </c>
      <c r="FZ150" s="460">
        <f t="shared" ca="1" si="557"/>
        <v>0.15792481366956382</v>
      </c>
      <c r="GA150" s="460">
        <f t="shared" ca="1" si="557"/>
        <v>0.15788621049244314</v>
      </c>
      <c r="GB150" s="460">
        <f t="shared" ca="1" si="557"/>
        <v>0.15787377530646585</v>
      </c>
      <c r="GC150" s="460">
        <f t="shared" ca="1" si="557"/>
        <v>0.15788377828354552</v>
      </c>
      <c r="GD150" s="460">
        <f t="shared" ca="1" si="557"/>
        <v>0.15791390199949323</v>
      </c>
      <c r="GE150" s="460">
        <f t="shared" ca="1" si="557"/>
        <v>0.15796297097226064</v>
      </c>
      <c r="GF150" s="460">
        <f t="shared" ca="1" si="557"/>
        <v>0.15803076327531429</v>
      </c>
      <c r="GG150" s="460">
        <f t="shared" ca="1" si="557"/>
        <v>0.15811788632659643</v>
      </c>
      <c r="GH150" s="460">
        <f t="shared" ca="1" si="557"/>
        <v>0.15822570393468732</v>
      </c>
      <c r="GI150" s="460">
        <f t="shared" ca="1" si="557"/>
        <v>0.15835630552890248</v>
      </c>
      <c r="GJ150" s="460">
        <f t="shared" ca="1" si="557"/>
        <v>0.15851251152059154</v>
      </c>
      <c r="GK150" s="460">
        <f t="shared" ca="1" si="557"/>
        <v>0.15869791118056756</v>
      </c>
      <c r="GL150" s="460">
        <f t="shared" ca="1" si="557"/>
        <v>0.15891693146458802</v>
      </c>
      <c r="GM150" s="460">
        <f t="shared" ca="1" si="557"/>
        <v>0.15917493703399657</v>
      </c>
      <c r="GN150" s="460">
        <f t="shared" ca="1" si="557"/>
        <v>0.1594783634412581</v>
      </c>
      <c r="GO150" s="460">
        <f t="shared" ca="1" si="557"/>
        <v>0.15983488721210626</v>
      </c>
      <c r="GP150" s="460">
        <f t="shared" ca="1" si="557"/>
        <v>0.16025363849444299</v>
      </c>
      <c r="GQ150" s="460">
        <f t="shared" ca="1" si="557"/>
        <v>0.16074546421486452</v>
      </c>
      <c r="GR150" s="460">
        <f t="shared" ca="1" si="557"/>
        <v>0.16132325247837892</v>
      </c>
      <c r="GS150" s="460">
        <f t="shared" ca="1" si="557"/>
        <v>0.16200233251528406</v>
      </c>
      <c r="GT150" s="460">
        <f t="shared" ca="1" si="557"/>
        <v>0.16280096916052555</v>
      </c>
      <c r="GU150" s="460">
        <f t="shared" ca="1" si="557"/>
        <v>0.16374097711950542</v>
      </c>
      <c r="GV150" s="460">
        <f t="shared" ca="1" si="557"/>
        <v>0.16484848880775543</v>
      </c>
      <c r="GW150" s="460">
        <f t="shared" ca="1" si="557"/>
        <v>0.16615492133452855</v>
      </c>
      <c r="GX150" s="460">
        <f t="shared" ca="1" si="557"/>
        <v>0.16769820468426797</v>
      </c>
      <c r="GY150" s="460">
        <f t="shared" ca="1" si="557"/>
        <v>0.16952435650830502</v>
      </c>
      <c r="GZ150" s="460">
        <f t="shared" ca="1" si="557"/>
        <v>0.17168952247245872</v>
      </c>
      <c r="HA150" s="460">
        <f t="shared" ca="1" si="557"/>
        <v>0.17426264990398946</v>
      </c>
      <c r="HB150" s="460">
        <f t="shared" ca="1" si="557"/>
        <v>0.17732903452037463</v>
      </c>
      <c r="HC150" s="460">
        <f t="shared" ca="1" si="557"/>
        <v>0.18099508802379227</v>
      </c>
      <c r="HD150" s="460">
        <f t="shared" ca="1" si="557"/>
        <v>0.18539483898026349</v>
      </c>
      <c r="HE150" s="460">
        <f t="shared" ca="1" si="557"/>
        <v>0.19069893494888532</v>
      </c>
      <c r="HF150" s="460">
        <f t="shared" ca="1" si="557"/>
        <v>0.19712731839069966</v>
      </c>
      <c r="HG150" s="460">
        <f t="shared" ca="1" si="557"/>
        <v>0.20496740336014557</v>
      </c>
      <c r="HH150" s="460">
        <f t="shared" ca="1" si="557"/>
        <v>0.21460066420798313</v>
      </c>
      <c r="HI150" s="460">
        <f t="shared" ca="1" si="557"/>
        <v>0.22654239147239164</v>
      </c>
      <c r="HJ150" s="460">
        <f t="shared" ca="1" si="557"/>
        <v>0.24150259885534311</v>
      </c>
      <c r="HK150" s="460">
        <f t="shared" ca="1" si="557"/>
        <v>0.26048190547530603</v>
      </c>
      <c r="HL150" s="460">
        <f t="shared" ca="1" si="557"/>
        <v>0.28492717498917564</v>
      </c>
      <c r="HM150" s="460">
        <f t="shared" ca="1" si="557"/>
        <v>0.31699311978031514</v>
      </c>
      <c r="HN150" s="460">
        <f t="shared" ca="1" si="557"/>
        <v>0.36000000716750846</v>
      </c>
      <c r="HO150" s="460" t="str">
        <f t="shared" si="557"/>
        <v/>
      </c>
      <c r="HP150" s="460" t="str">
        <f t="shared" si="557"/>
        <v/>
      </c>
      <c r="HQ150" s="460" t="str">
        <f t="shared" si="557"/>
        <v/>
      </c>
      <c r="HR150" s="460" t="str">
        <f t="shared" si="557"/>
        <v/>
      </c>
      <c r="HS150" s="460" t="str">
        <f t="shared" si="557"/>
        <v/>
      </c>
      <c r="HT150" s="460" t="str">
        <f t="shared" si="557"/>
        <v/>
      </c>
      <c r="HU150" s="460" t="str">
        <f t="shared" si="557"/>
        <v/>
      </c>
      <c r="HV150" s="460" t="str">
        <f t="shared" si="557"/>
        <v/>
      </c>
      <c r="HW150" s="460" t="str">
        <f t="shared" si="557"/>
        <v/>
      </c>
      <c r="HX150" s="460" t="str">
        <f t="shared" si="546"/>
        <v/>
      </c>
      <c r="HY150" s="460" t="str">
        <f t="shared" si="546"/>
        <v/>
      </c>
      <c r="HZ150" s="460" t="str">
        <f t="shared" si="546"/>
        <v/>
      </c>
      <c r="IA150" s="460" t="str">
        <f t="shared" si="546"/>
        <v/>
      </c>
      <c r="IB150" s="460" t="str">
        <f t="shared" si="546"/>
        <v/>
      </c>
      <c r="IC150" s="460" t="str">
        <f t="shared" si="546"/>
        <v/>
      </c>
      <c r="ID150" s="674" t="str">
        <f t="shared" si="546"/>
        <v/>
      </c>
      <c r="IE150" s="250"/>
    </row>
    <row r="151" spans="8:239">
      <c r="H151" s="51">
        <f t="shared" ca="1" si="527"/>
        <v>0</v>
      </c>
      <c r="I151" s="379">
        <f t="shared" si="528"/>
        <v>40756</v>
      </c>
      <c r="J151" s="377"/>
      <c r="K151" s="104" t="s">
        <v>268</v>
      </c>
      <c r="L151" s="392">
        <f t="shared" si="529"/>
        <v>2.0625000000000022</v>
      </c>
      <c r="M151" s="171"/>
      <c r="N151" s="382">
        <v>0</v>
      </c>
      <c r="O151" s="171">
        <f t="shared" si="490"/>
        <v>0</v>
      </c>
      <c r="P151" s="377"/>
      <c r="Q151" s="104" t="s">
        <v>268</v>
      </c>
      <c r="R151" s="377">
        <f t="shared" ca="1" si="547"/>
        <v>0.68049002004621928</v>
      </c>
      <c r="S151" s="832">
        <f t="shared" si="435"/>
        <v>0.3600000000000001</v>
      </c>
      <c r="T151" s="831">
        <f t="shared" si="548"/>
        <v>0.99999999986258037</v>
      </c>
      <c r="U151" s="545">
        <f t="shared" si="549"/>
        <v>0.99999999999999978</v>
      </c>
      <c r="V151" s="389">
        <v>0</v>
      </c>
      <c r="W151" s="434">
        <f t="shared" si="491"/>
        <v>0</v>
      </c>
      <c r="X151" s="415">
        <f t="shared" si="492"/>
        <v>2.1130434782608716</v>
      </c>
      <c r="Y151" s="322">
        <f t="shared" si="493"/>
        <v>-1.2668999999999999</v>
      </c>
      <c r="Z151" s="322">
        <f t="shared" ca="1" si="494"/>
        <v>0.84614347826087166</v>
      </c>
      <c r="AA151" s="429">
        <f t="shared" si="495"/>
        <v>1.2668999999999999</v>
      </c>
      <c r="AB151" s="433">
        <f t="shared" ca="1" si="496"/>
        <v>1.2668999999999999</v>
      </c>
      <c r="AC151" s="229">
        <v>40744</v>
      </c>
      <c r="AD151" s="229">
        <v>40740</v>
      </c>
      <c r="AE151" s="229">
        <v>40739</v>
      </c>
      <c r="AF151" s="229">
        <v>40735</v>
      </c>
      <c r="AG151" s="249" t="s">
        <v>499</v>
      </c>
      <c r="AH151" s="247" t="s">
        <v>499</v>
      </c>
      <c r="AI151" s="146">
        <v>23</v>
      </c>
      <c r="AJ151" s="41">
        <v>15</v>
      </c>
      <c r="AK151" s="41">
        <v>8</v>
      </c>
      <c r="AL151" s="293">
        <v>23</v>
      </c>
      <c r="AM151" s="41">
        <v>10</v>
      </c>
      <c r="AN151" s="147">
        <v>13</v>
      </c>
      <c r="AO151" s="374"/>
      <c r="AP151" s="153">
        <f t="shared" ca="1" si="530"/>
        <v>1</v>
      </c>
      <c r="AQ151" s="374"/>
      <c r="AR151" s="153">
        <f t="shared" ca="1" si="550"/>
        <v>1</v>
      </c>
      <c r="AS151" s="272">
        <f t="shared" si="497"/>
        <v>0</v>
      </c>
      <c r="AT151" s="157">
        <f t="shared" si="531"/>
        <v>0</v>
      </c>
      <c r="AU151" s="157">
        <f t="shared" si="498"/>
        <v>0</v>
      </c>
      <c r="AV151" s="271">
        <f t="shared" ca="1" si="558"/>
        <v>9.9999999999999995E-7</v>
      </c>
      <c r="AW151" s="158" t="str">
        <f t="shared" ca="1" si="499"/>
        <v/>
      </c>
      <c r="AX151" s="157">
        <f t="shared" ca="1" si="551"/>
        <v>3.0622771515121744E-4</v>
      </c>
      <c r="AY151" s="157">
        <f t="shared" ca="1" si="552"/>
        <v>9.895841591790813E-5</v>
      </c>
      <c r="AZ151" s="157">
        <f t="shared" ca="1" si="553"/>
        <v>7.5609214287136313E-6</v>
      </c>
      <c r="BA151" s="157">
        <f t="shared" ca="1" si="554"/>
        <v>9.4511517858920391E-7</v>
      </c>
      <c r="BB151" s="157">
        <f t="shared" ca="1" si="555"/>
        <v>2.4118371807841378E-8</v>
      </c>
      <c r="BC151" s="157">
        <f t="shared" ca="1" si="556"/>
        <v>1.7864854015992889E-9</v>
      </c>
      <c r="BD151" s="151">
        <f t="shared" ca="1" si="500"/>
        <v>0</v>
      </c>
      <c r="BE151" s="152">
        <f t="shared" ca="1" si="501"/>
        <v>0</v>
      </c>
      <c r="BF151" s="40">
        <f t="shared" si="502"/>
        <v>2011</v>
      </c>
      <c r="BG151" s="144">
        <f t="shared" si="503"/>
        <v>8</v>
      </c>
      <c r="BH151" s="145">
        <f t="shared" ca="1" si="504"/>
        <v>3995</v>
      </c>
      <c r="BI151" s="313">
        <f t="shared" ca="1" si="439"/>
        <v>10.981519507186858</v>
      </c>
      <c r="BJ151" s="42">
        <f t="shared" ca="1" si="505"/>
        <v>11.035086153022052</v>
      </c>
      <c r="BK151" s="42">
        <f t="shared" ca="1" si="506"/>
        <v>11.037824003809185</v>
      </c>
      <c r="BL151" s="42">
        <f t="shared" ca="1" si="440"/>
        <v>11.063655030800822</v>
      </c>
      <c r="BM151" s="150" t="e">
        <f t="shared" ca="1" si="507"/>
        <v>#DIV/0!</v>
      </c>
      <c r="BN151" s="42" t="e">
        <f t="shared" ca="1" si="508"/>
        <v>#DIV/0!</v>
      </c>
      <c r="BO151" s="293">
        <f t="shared" si="441"/>
        <v>23</v>
      </c>
      <c r="BP151" s="41">
        <f t="shared" si="442"/>
        <v>15</v>
      </c>
      <c r="BQ151" s="41">
        <f t="shared" si="443"/>
        <v>8</v>
      </c>
      <c r="BR151" s="305" t="str">
        <f t="shared" ca="1" si="509"/>
        <v/>
      </c>
      <c r="BS151" s="305" t="str">
        <f t="shared" ca="1" si="444"/>
        <v/>
      </c>
      <c r="BT151" s="307" t="str">
        <f t="shared" ca="1" si="445"/>
        <v/>
      </c>
      <c r="BU151" s="161" t="str">
        <f t="shared" ca="1" si="510"/>
        <v/>
      </c>
      <c r="BV151" s="161" t="str">
        <f t="shared" ca="1" si="511"/>
        <v/>
      </c>
      <c r="BW151" s="308" t="str">
        <f t="shared" ca="1" si="512"/>
        <v/>
      </c>
      <c r="BX151" s="309" t="str">
        <f t="shared" ca="1" si="513"/>
        <v/>
      </c>
      <c r="BY151" s="308" t="str">
        <f t="shared" ca="1" si="446"/>
        <v/>
      </c>
      <c r="BZ151" s="309" t="str">
        <f t="shared" ca="1" si="447"/>
        <v/>
      </c>
      <c r="CA151" s="154" t="str">
        <f t="shared" ca="1" si="514"/>
        <v/>
      </c>
      <c r="CB151" s="154" t="str">
        <f t="shared" ca="1" si="515"/>
        <v/>
      </c>
      <c r="CC151" s="154" t="str">
        <f t="shared" ca="1" si="516"/>
        <v/>
      </c>
      <c r="CD151" s="154" t="str">
        <f t="shared" ca="1" si="517"/>
        <v/>
      </c>
      <c r="CE151" s="310">
        <v>1</v>
      </c>
      <c r="CF151" s="162">
        <f ca="1">IF(BD151,_xll.xCrudeAPO(BU151,BV151,CA151,CB151,S152,S153,BI151,BL151,BP151,BQ151,0,Strike1,AO151,CE151,0,BL151,IF(OptControl=4,0,1),0,1),0)</f>
        <v>0</v>
      </c>
      <c r="CG151" s="163">
        <f ca="1">IF(BD151,_xll.xCrudeAPO(BU151,BV151,CA151,CB151,S152,S153,BI151,BL151,BP151,BQ151,0,Strike1,AO151,CE151,0,BL151,IF(OptControl=4,0,1),1,1)+_xll.xCrudeAPO(BU151,BV151,CA151,CB151,S152,S153,BI151,BL151,BP151,BQ151,0,Strike1,AO151,CE151,0,BL151,IF(OptControl=4,0,1),1,2)+IF(OR(VolSkewFlag=2,ABS(BS151)&lt;0.0001),0,IF(BS151&gt;0,-1,1)*CH151*Strike1/BR151^2*BY151/10%),0)</f>
        <v>0</v>
      </c>
      <c r="CH151" s="163">
        <f ca="1">IF(BD151,(_xll.xCrudeAPO(BU151,BV151,CA151,CB151,S152,S153,BI151,BL151,BP151,BQ151,0,Strike1,AO151,CE151,0,BL151,IF(OptControl=4,0,1),3,1)+_xll.xCrudeAPO(BU151,BV151,CA151,CB151,S152,S153,BI151,BL151,BP151,BQ151,0,Strike1,AO151,CE151,0,BL151,IF(OptControl=4,0,1),3,2))/100,0)</f>
        <v>0</v>
      </c>
      <c r="CI151" s="163">
        <f ca="1">IF(BD151,_xll.xCrudeAPO(BU151,BV151,CA151,CB151,S152,S153,BI151-DaysForThetaCalculation/365.25,BL151-DaysForThetaCalculation/365.25,BP151,BQ151,0,Strike1,AO151,CE151,0,BL151,IF(OptControl=4,0,1),0,1)-_xll.xCrudeAPO(BU151,BV151,CA151,CB151,S152,S153,BI151,BL151,BP151,BQ151,0,Strike1,AO151,CE151,0,BL151,IF(OptControl=4,0,1),0,1),0)</f>
        <v>0</v>
      </c>
      <c r="CJ151" s="311">
        <f ca="1">IF(BD151,_xll.xCrudeAPO(BU151,BV151,CC151,CD151,S152,S153,BI151,BL151,BP151,BQ151,0,Strike2,AO151,CE151,0,BL151,IF(OptControl=3,1,0),0,1),0)</f>
        <v>0</v>
      </c>
      <c r="CK151" s="163">
        <f ca="1">IF(BD151,_xll.xCrudeAPO(BU151,BV151,CC151,CD151,S152,S153,BI151,BL151,BP151,BQ151,0,Strike2,AO151,CE151,0,BL151,IF(OptControl=3,1,0),1,1)+_xll.xCrudeAPO(BU151,BV151,CC151,CD151,S152,S153,BI151,BL151,BP151,BQ151,0,Strike2,AO151,CE151,0,BL151,IF(OptControl=3,1,0),1,2)+IF(OR(VolSkewFlag=2,ABS(BT151)&lt;0.0001),0,IF(BT151&gt;0,-1,1)*CL151*Strike2/BR151^2*BZ151/10%),0)</f>
        <v>0</v>
      </c>
      <c r="CL151" s="163">
        <f ca="1">IF(BD151,(_xll.xCrudeAPO(BU151,BV151,CC151,CD151,S152,S153,BI151,BL151,BP151,BQ151,0,Strike2,AO151,CE151,0,BL151,IF(OptControl=3,1,0),3,1)+_xll.xCrudeAPO(BU151,BV151,CC151,CD151,S152,S153,BI151,BL151,BP151,BQ151,0,Strike2,AO151,CE151,0,BL151,IF(OptControl=3,1,0),3,2))/100,0)</f>
        <v>0</v>
      </c>
      <c r="CM151" s="164">
        <f ca="1">IF(BD151,_xll.xCrudeAPO(BU151,BV151,CC151,CD151,S152,S153,BI151-DaysForThetaCalculation/365.25,BL151-DaysForThetaCalculation/365.25,BP151,BQ151,0,Strike2,AO151,CE151,0,BL151,IF(OptControl=3,1,0),0,1)-_xll.xCrudeAPO(BU151,BV151,CC151,CD151,S152,S153,BI151,BL151,BP151,BQ151,0,Strike2,AO151,CE151,0,BL151,IF(OptControl=3,1,0),0,1),0)</f>
        <v>0</v>
      </c>
      <c r="CN151" s="53"/>
      <c r="CO151" s="796" t="str">
        <f t="shared" ca="1" si="532"/>
        <v/>
      </c>
      <c r="CP151" s="800" t="str">
        <f t="shared" ca="1" si="533"/>
        <v/>
      </c>
      <c r="CQ151" s="797" t="str">
        <f t="shared" ca="1" si="534"/>
        <v/>
      </c>
      <c r="CR151" s="797" t="str">
        <f t="shared" ca="1" si="535"/>
        <v/>
      </c>
      <c r="CS151" s="797" t="str">
        <f t="shared" ca="1" si="536"/>
        <v/>
      </c>
      <c r="CT151" s="797" t="str">
        <f t="shared" ca="1" si="537"/>
        <v/>
      </c>
      <c r="CU151" s="798" t="str">
        <f t="shared" ca="1" si="538"/>
        <v/>
      </c>
      <c r="CV151" s="799" t="str">
        <f t="shared" ca="1" si="539"/>
        <v/>
      </c>
      <c r="CW151" s="799" t="str">
        <f t="shared" ca="1" si="540"/>
        <v/>
      </c>
      <c r="CX151" s="163">
        <f ca="1">IF(BD151,_xll.EURO(CP151,Strike1,AO151,AO151,CV151,CO151,IF(OptControl=4,0,1),0),0)</f>
        <v>0</v>
      </c>
      <c r="CY151" s="163">
        <f ca="1">IF(BD151,_xll.EURO(CP151,Strike1,AO151,AO151,CV151,CO151,IF(OptControl=4,0,1),1)+IF(OR(VolSkewFlag=2,ABS(CQ151)&lt;0.0001),0,IF(CQ151&gt;0,-1,1)*CZ151*100*Strike1/CP151^2*CS151/10%),0)</f>
        <v>0</v>
      </c>
      <c r="CZ151" s="163">
        <f ca="1">IF(BD151,_xll.EURO(CP151,Strike1,AO151,AO151,CV151,CO151,IF(OptControl=4,0,1),3)/100,0)</f>
        <v>0</v>
      </c>
      <c r="DA151" s="163">
        <f ca="1">IF(BD151,_xll.EURO(CP151,Strike1,AO151,AO151,CV151,CO151,IF(OptControl=4,0,1),0)-_xll.EURO(CP151,Strike1,AO151,AO151,CV151,CO151-1,IF(OptControl=4,0,1),0),0)</f>
        <v>0</v>
      </c>
      <c r="DB151" s="163">
        <f ca="1">IF(BD151,_xll.EURO(CP151,Strike2,AO151,AO151,CW151,CO151,IF(OptControl=3,1,0),0),0)</f>
        <v>0</v>
      </c>
      <c r="DC151" s="163">
        <f ca="1">IF(BD151,_xll.EURO(CP151,Strike2,AO151,AO151,CW151,CO151,IF(OptControl=3,1,0),1)+IF(OR(VolSkewFlag=2,ABS(CR151)&lt;0.0001),0,IF(CR151&gt;0,-1,1)*DD151*100*Strike2/CP151^2*CT151/10%),0)</f>
        <v>0</v>
      </c>
      <c r="DD151" s="163">
        <f ca="1">IF(BD151,_xll.EURO(CP151,Strike2,AO151,AO151,CW151,CO151,IF(OptControl=3,1,0),3)/100,0)</f>
        <v>0</v>
      </c>
      <c r="DE151" s="164">
        <f ca="1">IF(BD151,_xll.EURO(CP151,Strike2,AO151,AO151,CW151,CO151,IF(OptControl=3,1,0),0)-_xll.EURO(CP151,Strike2,AO151,AO151,CW151,CO151-1,IF(OptControl=3,1,0),0),0)</f>
        <v>0</v>
      </c>
      <c r="DG151" s="667">
        <f t="shared" ca="1" si="541"/>
        <v>40544</v>
      </c>
      <c r="DH151" s="475">
        <v>20.71</v>
      </c>
      <c r="DI151" s="665">
        <v>20.776666666666706</v>
      </c>
      <c r="DJ151" s="666">
        <f t="shared" ca="1" si="518"/>
        <v>40544</v>
      </c>
      <c r="DK151" s="475">
        <v>19.498684787824811</v>
      </c>
      <c r="DL151" s="665">
        <v>19.608166666666705</v>
      </c>
      <c r="DM151" s="667">
        <f t="shared" ca="1" si="519"/>
        <v>40544</v>
      </c>
      <c r="DN151" s="668">
        <f t="shared" si="520"/>
        <v>19.548684787824811</v>
      </c>
      <c r="DO151" s="667">
        <f t="shared" ca="1" si="542"/>
        <v>40544</v>
      </c>
      <c r="DP151" s="579">
        <f t="shared" si="543"/>
        <v>19.608166666666705</v>
      </c>
      <c r="DQ151" s="821">
        <v>0</v>
      </c>
      <c r="DR151" s="666">
        <f t="shared" ca="1" si="521"/>
        <v>40544</v>
      </c>
      <c r="DS151" s="669">
        <v>0.14599999999999902</v>
      </c>
      <c r="DT151" s="606">
        <v>0.14519999999999902</v>
      </c>
      <c r="DU151" s="666">
        <f t="shared" ca="1" si="522"/>
        <v>40544</v>
      </c>
      <c r="DV151" s="669">
        <v>0.14599999999999902</v>
      </c>
      <c r="DW151" s="606">
        <v>0.14519999999999902</v>
      </c>
      <c r="DX151" s="667">
        <f t="shared" ca="1" si="523"/>
        <v>40544</v>
      </c>
      <c r="DY151" s="606">
        <v>0.35</v>
      </c>
      <c r="DZ151" s="667">
        <f t="shared" ca="1" si="544"/>
        <v>40544</v>
      </c>
      <c r="EA151" s="606">
        <f t="shared" si="545"/>
        <v>0.14519999999999902</v>
      </c>
      <c r="EB151" s="1"/>
      <c r="EC151" s="118" t="str">
        <f t="shared" ca="1" si="524"/>
        <v/>
      </c>
      <c r="ED151" s="119" t="str">
        <f t="shared" ca="1" si="525"/>
        <v/>
      </c>
      <c r="EE151" s="112" t="str">
        <f t="shared" ca="1" si="526"/>
        <v/>
      </c>
      <c r="EF151" s="120">
        <f ca="1">IF(BD151,_xll.xASN(BR151,Strike1,AO151,ED151,0,BO151,0,BI151,BL151,IF(OptControl=4,0,1),0),0)</f>
        <v>0</v>
      </c>
      <c r="EG151" s="111">
        <f ca="1">IF(BD151,_xll.xASN(BR151,Strike2,AO151,EE151,0,BO151,0,BI151,BL151,IF(OptControl=3,1,0),0),0)</f>
        <v>0</v>
      </c>
      <c r="EL151" s="55"/>
      <c r="EM151" s="1"/>
      <c r="EN151" s="106"/>
      <c r="EO151" s="106"/>
      <c r="EP151" s="1"/>
      <c r="EQ151" s="683" t="s">
        <v>364</v>
      </c>
      <c r="ES151" s="455"/>
      <c r="ET151" s="36"/>
      <c r="EU151" s="107"/>
      <c r="EV151" s="475"/>
      <c r="EW151" s="456"/>
      <c r="EX151" s="456"/>
      <c r="EY151" s="250"/>
      <c r="EZ151" s="250"/>
      <c r="FA151" s="250"/>
      <c r="FB151" s="250"/>
      <c r="FC151" s="250"/>
      <c r="FD151" s="250"/>
      <c r="FE151" s="250"/>
      <c r="FF151" s="250"/>
      <c r="FG151" s="250"/>
      <c r="FH151" s="250"/>
      <c r="FI151" s="250"/>
      <c r="FJ151" s="673">
        <v>57</v>
      </c>
      <c r="FK151" s="460">
        <f t="shared" ca="1" si="479"/>
        <v>0</v>
      </c>
      <c r="FL151" s="460">
        <f t="shared" ca="1" si="557"/>
        <v>0.16614769926389938</v>
      </c>
      <c r="FM151" s="460">
        <f t="shared" ca="1" si="557"/>
        <v>0.17052406641284151</v>
      </c>
      <c r="FN151" s="460">
        <f t="shared" ca="1" si="557"/>
        <v>0.16724941396910276</v>
      </c>
      <c r="FO151" s="460">
        <f t="shared" ca="1" si="557"/>
        <v>0.16479523008842303</v>
      </c>
      <c r="FP151" s="460">
        <f t="shared" ca="1" si="557"/>
        <v>0.16295671376203755</v>
      </c>
      <c r="FQ151" s="460">
        <f t="shared" ca="1" si="557"/>
        <v>0.16158031667945516</v>
      </c>
      <c r="FR151" s="460">
        <f t="shared" ca="1" si="557"/>
        <v>0.16055093911155177</v>
      </c>
      <c r="FS151" s="460">
        <f t="shared" ca="1" si="557"/>
        <v>0.15978232834628736</v>
      </c>
      <c r="FT151" s="460">
        <f t="shared" ca="1" si="557"/>
        <v>0.15920987930151626</v>
      </c>
      <c r="FU151" s="460">
        <f t="shared" ca="1" si="557"/>
        <v>0.15878523707825248</v>
      </c>
      <c r="FV151" s="460">
        <f t="shared" ca="1" si="557"/>
        <v>0.15847225132986742</v>
      </c>
      <c r="FW151" s="460">
        <f t="shared" ca="1" si="557"/>
        <v>0.15824394491617544</v>
      </c>
      <c r="FX151" s="460">
        <f t="shared" ca="1" si="557"/>
        <v>0.15808024376758298</v>
      </c>
      <c r="FY151" s="460">
        <f t="shared" ca="1" si="557"/>
        <v>0.15796627823983997</v>
      </c>
      <c r="FZ151" s="460">
        <f t="shared" ca="1" si="557"/>
        <v>0.15789111377213735</v>
      </c>
      <c r="GA151" s="460">
        <f t="shared" ca="1" si="557"/>
        <v>0.15784680432916032</v>
      </c>
      <c r="GB151" s="460">
        <f t="shared" ca="1" si="557"/>
        <v>0.1578276888809747</v>
      </c>
      <c r="GC151" s="460">
        <f t="shared" ca="1" si="557"/>
        <v>0.15782987128142562</v>
      </c>
      <c r="GD151" s="460">
        <f t="shared" ca="1" si="557"/>
        <v>0.15785083901815686</v>
      </c>
      <c r="GE151" s="460">
        <f t="shared" ca="1" si="557"/>
        <v>0.15788918768077853</v>
      </c>
      <c r="GF151" s="460">
        <f t="shared" ca="1" si="557"/>
        <v>0.15794442657127722</v>
      </c>
      <c r="GG151" s="460">
        <f t="shared" ca="1" si="557"/>
        <v>0.15801684737192251</v>
      </c>
      <c r="GH151" s="460">
        <f t="shared" ca="1" si="557"/>
        <v>0.15810744272548419</v>
      </c>
      <c r="GI151" s="460">
        <f t="shared" ca="1" si="557"/>
        <v>0.1582178653751494</v>
      </c>
      <c r="GJ151" s="460">
        <f t="shared" ca="1" si="557"/>
        <v>0.15835042146521217</v>
      </c>
      <c r="GK151" s="460">
        <f t="shared" ca="1" si="557"/>
        <v>0.15850809395555654</v>
      </c>
      <c r="GL151" s="460">
        <f t="shared" ca="1" si="557"/>
        <v>0.15869459403918673</v>
      </c>
      <c r="GM151" s="460">
        <f t="shared" ca="1" si="557"/>
        <v>0.15891444012296729</v>
      </c>
      <c r="GN151" s="460">
        <f t="shared" ca="1" si="557"/>
        <v>0.15917306546487439</v>
      </c>
      <c r="GO151" s="460">
        <f t="shared" ca="1" si="557"/>
        <v>0.15947695707212867</v>
      </c>
      <c r="GP151" s="460">
        <f t="shared" ca="1" si="557"/>
        <v>0.15983383006791763</v>
      </c>
      <c r="GQ151" s="460">
        <f t="shared" ca="1" si="557"/>
        <v>0.16025284355383548</v>
      </c>
      <c r="GR151" s="460">
        <f t="shared" ca="1" si="557"/>
        <v>0.16074486617666053</v>
      </c>
      <c r="GS151" s="460">
        <f t="shared" ca="1" si="557"/>
        <v>0.16132280233584656</v>
      </c>
      <c r="GT151" s="460">
        <f t="shared" ca="1" si="557"/>
        <v>0.1620019934863039</v>
      </c>
      <c r="GU151" s="460">
        <f t="shared" ca="1" si="557"/>
        <v>0.16280071363475077</v>
      </c>
      <c r="GV151" s="460">
        <f t="shared" ca="1" si="557"/>
        <v>0.16374078436832309</v>
      </c>
      <c r="GW151" s="460">
        <f t="shared" ca="1" si="557"/>
        <v>0.16484834326639908</v>
      </c>
      <c r="GX151" s="460">
        <f t="shared" ca="1" si="557"/>
        <v>0.16615481131334731</v>
      </c>
      <c r="GY151" s="460">
        <f t="shared" ca="1" si="557"/>
        <v>0.16769812140190116</v>
      </c>
      <c r="GZ151" s="460">
        <f t="shared" ca="1" si="557"/>
        <v>0.16952429336632027</v>
      </c>
      <c r="HA151" s="460">
        <f t="shared" ca="1" si="557"/>
        <v>0.17168947451111496</v>
      </c>
      <c r="HB151" s="460">
        <f t="shared" ca="1" si="557"/>
        <v>0.17426261339387053</v>
      </c>
      <c r="HC151" s="460">
        <f t="shared" ca="1" si="557"/>
        <v>0.17732900665594623</v>
      </c>
      <c r="HD151" s="460">
        <f t="shared" ca="1" si="557"/>
        <v>0.18099506669342133</v>
      </c>
      <c r="HE151" s="460">
        <f t="shared" ca="1" si="557"/>
        <v>0.18539482259359849</v>
      </c>
      <c r="HF151" s="460">
        <f t="shared" ca="1" si="557"/>
        <v>0.19069892230727195</v>
      </c>
      <c r="HG151" s="460">
        <f t="shared" ca="1" si="557"/>
        <v>0.19712730858988128</v>
      </c>
      <c r="HH151" s="460">
        <f t="shared" ca="1" si="557"/>
        <v>0.20496739571718509</v>
      </c>
      <c r="HI151" s="460">
        <f t="shared" ca="1" si="557"/>
        <v>0.21460065820635399</v>
      </c>
      <c r="HJ151" s="460">
        <f t="shared" ca="1" si="557"/>
        <v>0.22654238672069343</v>
      </c>
      <c r="HK151" s="460">
        <f t="shared" ca="1" si="557"/>
        <v>0.24150259505622798</v>
      </c>
      <c r="HL151" s="460">
        <f t="shared" ca="1" si="557"/>
        <v>0.26048190240204483</v>
      </c>
      <c r="HM151" s="460">
        <f t="shared" ca="1" si="557"/>
        <v>0.28492717246791904</v>
      </c>
      <c r="HN151" s="460">
        <f t="shared" ca="1" si="557"/>
        <v>0.31699311767656441</v>
      </c>
      <c r="HO151" s="460">
        <f t="shared" ca="1" si="557"/>
        <v>0.36000000537563137</v>
      </c>
      <c r="HP151" s="460" t="str">
        <f t="shared" si="557"/>
        <v/>
      </c>
      <c r="HQ151" s="460" t="str">
        <f t="shared" si="557"/>
        <v/>
      </c>
      <c r="HR151" s="460" t="str">
        <f t="shared" si="557"/>
        <v/>
      </c>
      <c r="HS151" s="460" t="str">
        <f t="shared" si="557"/>
        <v/>
      </c>
      <c r="HT151" s="460" t="str">
        <f t="shared" si="557"/>
        <v/>
      </c>
      <c r="HU151" s="460" t="str">
        <f t="shared" si="557"/>
        <v/>
      </c>
      <c r="HV151" s="460" t="str">
        <f t="shared" si="557"/>
        <v/>
      </c>
      <c r="HW151" s="460" t="str">
        <f t="shared" si="557"/>
        <v/>
      </c>
      <c r="HX151" s="460" t="str">
        <f t="shared" si="546"/>
        <v/>
      </c>
      <c r="HY151" s="460" t="str">
        <f t="shared" si="546"/>
        <v/>
      </c>
      <c r="HZ151" s="460" t="str">
        <f t="shared" si="546"/>
        <v/>
      </c>
      <c r="IA151" s="460" t="str">
        <f t="shared" si="546"/>
        <v/>
      </c>
      <c r="IB151" s="460" t="str">
        <f t="shared" si="546"/>
        <v/>
      </c>
      <c r="IC151" s="460" t="str">
        <f t="shared" si="546"/>
        <v/>
      </c>
      <c r="ID151" s="674" t="str">
        <f t="shared" si="546"/>
        <v/>
      </c>
      <c r="IE151" s="250"/>
    </row>
    <row r="152" spans="8:239">
      <c r="H152" s="51">
        <f t="shared" ca="1" si="527"/>
        <v>0</v>
      </c>
      <c r="I152" s="379">
        <f t="shared" si="528"/>
        <v>40787</v>
      </c>
      <c r="J152" s="377"/>
      <c r="K152" s="104" t="s">
        <v>268</v>
      </c>
      <c r="L152" s="392">
        <f t="shared" si="529"/>
        <v>2.1000000000000023</v>
      </c>
      <c r="M152" s="171"/>
      <c r="N152" s="382">
        <v>0</v>
      </c>
      <c r="O152" s="171">
        <f t="shared" si="490"/>
        <v>0</v>
      </c>
      <c r="P152" s="377"/>
      <c r="Q152" s="104" t="s">
        <v>268</v>
      </c>
      <c r="R152" s="377">
        <f t="shared" ca="1" si="547"/>
        <v>0.92530225450344161</v>
      </c>
      <c r="S152" s="832">
        <f t="shared" si="435"/>
        <v>0.3600000000000001</v>
      </c>
      <c r="T152" s="831">
        <f t="shared" si="548"/>
        <v>0.99999999988250621</v>
      </c>
      <c r="U152" s="545">
        <f t="shared" si="549"/>
        <v>0.99999999999999978</v>
      </c>
      <c r="V152" s="389">
        <v>0</v>
      </c>
      <c r="W152" s="434">
        <f t="shared" si="491"/>
        <v>0</v>
      </c>
      <c r="X152" s="415">
        <f t="shared" si="492"/>
        <v>2.1511363636363661</v>
      </c>
      <c r="Y152" s="322">
        <f t="shared" si="493"/>
        <v>-1.2668999999999999</v>
      </c>
      <c r="Z152" s="322">
        <f t="shared" ca="1" si="494"/>
        <v>0.88423636363636615</v>
      </c>
      <c r="AA152" s="429">
        <f t="shared" si="495"/>
        <v>1.2668999999999999</v>
      </c>
      <c r="AB152" s="433">
        <f t="shared" ca="1" si="496"/>
        <v>1.2668999999999999</v>
      </c>
      <c r="AC152" s="229">
        <v>40775</v>
      </c>
      <c r="AD152" s="229">
        <v>40771</v>
      </c>
      <c r="AE152" s="229">
        <v>40770</v>
      </c>
      <c r="AF152" s="229">
        <v>40766</v>
      </c>
      <c r="AG152" s="249" t="s">
        <v>499</v>
      </c>
      <c r="AH152" s="247" t="s">
        <v>499</v>
      </c>
      <c r="AI152" s="146">
        <v>22</v>
      </c>
      <c r="AJ152" s="41">
        <v>14</v>
      </c>
      <c r="AK152" s="41">
        <v>8</v>
      </c>
      <c r="AL152" s="293">
        <v>22</v>
      </c>
      <c r="AM152" s="41">
        <v>10</v>
      </c>
      <c r="AN152" s="147">
        <v>12</v>
      </c>
      <c r="AO152" s="374"/>
      <c r="AP152" s="153">
        <f t="shared" ca="1" si="530"/>
        <v>1</v>
      </c>
      <c r="AQ152" s="374"/>
      <c r="AR152" s="153">
        <f t="shared" ca="1" si="550"/>
        <v>1</v>
      </c>
      <c r="AS152" s="272">
        <f t="shared" si="497"/>
        <v>0</v>
      </c>
      <c r="AT152" s="157">
        <f t="shared" si="531"/>
        <v>0</v>
      </c>
      <c r="AU152" s="157">
        <f t="shared" si="498"/>
        <v>0</v>
      </c>
      <c r="AV152" s="271">
        <f t="shared" ca="1" si="558"/>
        <v>9.9999999999999995E-7</v>
      </c>
      <c r="AW152" s="158" t="str">
        <f t="shared" ca="1" si="499"/>
        <v/>
      </c>
      <c r="AX152" s="157">
        <f t="shared" ca="1" si="551"/>
        <v>2.9605351542850511E-4</v>
      </c>
      <c r="AY152" s="157">
        <f t="shared" ca="1" si="552"/>
        <v>9.5034571507921566E-5</v>
      </c>
      <c r="AZ152" s="157">
        <f t="shared" ca="1" si="553"/>
        <v>7.1365595167673666E-6</v>
      </c>
      <c r="BA152" s="157">
        <f t="shared" ca="1" si="554"/>
        <v>8.9206993959592083E-7</v>
      </c>
      <c r="BB152" s="157">
        <f t="shared" ca="1" si="555"/>
        <v>2.2008370135454759E-8</v>
      </c>
      <c r="BC152" s="157">
        <f t="shared" ca="1" si="556"/>
        <v>1.591577554261234E-9</v>
      </c>
      <c r="BD152" s="151">
        <f t="shared" ca="1" si="500"/>
        <v>0</v>
      </c>
      <c r="BE152" s="152">
        <f t="shared" ca="1" si="501"/>
        <v>0</v>
      </c>
      <c r="BF152" s="40">
        <f t="shared" si="502"/>
        <v>2011</v>
      </c>
      <c r="BG152" s="144">
        <f t="shared" si="503"/>
        <v>9</v>
      </c>
      <c r="BH152" s="145">
        <f t="shared" ca="1" si="504"/>
        <v>4026</v>
      </c>
      <c r="BI152" s="313">
        <f t="shared" ca="1" si="439"/>
        <v>11.066392881587953</v>
      </c>
      <c r="BJ152" s="42">
        <f t="shared" ca="1" si="505"/>
        <v>11.116918673386845</v>
      </c>
      <c r="BK152" s="42">
        <f t="shared" ca="1" si="506"/>
        <v>11.119656524173978</v>
      </c>
      <c r="BL152" s="42">
        <f t="shared" ca="1" si="440"/>
        <v>11.145790554414784</v>
      </c>
      <c r="BM152" s="150" t="e">
        <f t="shared" ca="1" si="507"/>
        <v>#DIV/0!</v>
      </c>
      <c r="BN152" s="42" t="e">
        <f t="shared" ca="1" si="508"/>
        <v>#DIV/0!</v>
      </c>
      <c r="BO152" s="293">
        <f t="shared" si="441"/>
        <v>22</v>
      </c>
      <c r="BP152" s="41">
        <f t="shared" si="442"/>
        <v>14</v>
      </c>
      <c r="BQ152" s="41">
        <f t="shared" si="443"/>
        <v>8</v>
      </c>
      <c r="BR152" s="305" t="str">
        <f t="shared" ca="1" si="509"/>
        <v/>
      </c>
      <c r="BS152" s="305" t="str">
        <f t="shared" ca="1" si="444"/>
        <v/>
      </c>
      <c r="BT152" s="307" t="str">
        <f t="shared" ca="1" si="445"/>
        <v/>
      </c>
      <c r="BU152" s="161" t="str">
        <f t="shared" ca="1" si="510"/>
        <v/>
      </c>
      <c r="BV152" s="161" t="str">
        <f t="shared" ca="1" si="511"/>
        <v/>
      </c>
      <c r="BW152" s="308" t="str">
        <f t="shared" ca="1" si="512"/>
        <v/>
      </c>
      <c r="BX152" s="309" t="str">
        <f t="shared" ca="1" si="513"/>
        <v/>
      </c>
      <c r="BY152" s="308" t="str">
        <f t="shared" ca="1" si="446"/>
        <v/>
      </c>
      <c r="BZ152" s="309" t="str">
        <f t="shared" ca="1" si="447"/>
        <v/>
      </c>
      <c r="CA152" s="154" t="str">
        <f t="shared" ca="1" si="514"/>
        <v/>
      </c>
      <c r="CB152" s="154" t="str">
        <f t="shared" ca="1" si="515"/>
        <v/>
      </c>
      <c r="CC152" s="154" t="str">
        <f t="shared" ca="1" si="516"/>
        <v/>
      </c>
      <c r="CD152" s="154" t="str">
        <f t="shared" ca="1" si="517"/>
        <v/>
      </c>
      <c r="CE152" s="310">
        <v>1</v>
      </c>
      <c r="CF152" s="162">
        <f ca="1">IF(BD152,_xll.xCrudeAPO(BU152,BV152,CA152,CB152,S153,S154,BI152,BL152,BP152,BQ152,0,Strike1,AO152,CE152,0,BL152,IF(OptControl=4,0,1),0,1),0)</f>
        <v>0</v>
      </c>
      <c r="CG152" s="163">
        <f ca="1">IF(BD152,_xll.xCrudeAPO(BU152,BV152,CA152,CB152,S153,S154,BI152,BL152,BP152,BQ152,0,Strike1,AO152,CE152,0,BL152,IF(OptControl=4,0,1),1,1)+_xll.xCrudeAPO(BU152,BV152,CA152,CB152,S153,S154,BI152,BL152,BP152,BQ152,0,Strike1,AO152,CE152,0,BL152,IF(OptControl=4,0,1),1,2)+IF(OR(VolSkewFlag=2,ABS(BS152)&lt;0.0001),0,IF(BS152&gt;0,-1,1)*CH152*Strike1/BR152^2*BY152/10%),0)</f>
        <v>0</v>
      </c>
      <c r="CH152" s="163">
        <f ca="1">IF(BD152,(_xll.xCrudeAPO(BU152,BV152,CA152,CB152,S153,S154,BI152,BL152,BP152,BQ152,0,Strike1,AO152,CE152,0,BL152,IF(OptControl=4,0,1),3,1)+_xll.xCrudeAPO(BU152,BV152,CA152,CB152,S153,S154,BI152,BL152,BP152,BQ152,0,Strike1,AO152,CE152,0,BL152,IF(OptControl=4,0,1),3,2))/100,0)</f>
        <v>0</v>
      </c>
      <c r="CI152" s="163">
        <f ca="1">IF(BD152,_xll.xCrudeAPO(BU152,BV152,CA152,CB152,S153,S154,BI152-DaysForThetaCalculation/365.25,BL152-DaysForThetaCalculation/365.25,BP152,BQ152,0,Strike1,AO152,CE152,0,BL152,IF(OptControl=4,0,1),0,1)-_xll.xCrudeAPO(BU152,BV152,CA152,CB152,S153,S154,BI152,BL152,BP152,BQ152,0,Strike1,AO152,CE152,0,BL152,IF(OptControl=4,0,1),0,1),0)</f>
        <v>0</v>
      </c>
      <c r="CJ152" s="311">
        <f ca="1">IF(BD152,_xll.xCrudeAPO(BU152,BV152,CC152,CD152,S153,S154,BI152,BL152,BP152,BQ152,0,Strike2,AO152,CE152,0,BL152,IF(OptControl=3,1,0),0,1),0)</f>
        <v>0</v>
      </c>
      <c r="CK152" s="163">
        <f ca="1">IF(BD152,_xll.xCrudeAPO(BU152,BV152,CC152,CD152,S153,S154,BI152,BL152,BP152,BQ152,0,Strike2,AO152,CE152,0,BL152,IF(OptControl=3,1,0),1,1)+_xll.xCrudeAPO(BU152,BV152,CC152,CD152,S153,S154,BI152,BL152,BP152,BQ152,0,Strike2,AO152,CE152,0,BL152,IF(OptControl=3,1,0),1,2)+IF(OR(VolSkewFlag=2,ABS(BT152)&lt;0.0001),0,IF(BT152&gt;0,-1,1)*CL152*Strike2/BR152^2*BZ152/10%),0)</f>
        <v>0</v>
      </c>
      <c r="CL152" s="163">
        <f ca="1">IF(BD152,(_xll.xCrudeAPO(BU152,BV152,CC152,CD152,S153,S154,BI152,BL152,BP152,BQ152,0,Strike2,AO152,CE152,0,BL152,IF(OptControl=3,1,0),3,1)+_xll.xCrudeAPO(BU152,BV152,CC152,CD152,S153,S154,BI152,BL152,BP152,BQ152,0,Strike2,AO152,CE152,0,BL152,IF(OptControl=3,1,0),3,2))/100,0)</f>
        <v>0</v>
      </c>
      <c r="CM152" s="164">
        <f ca="1">IF(BD152,_xll.xCrudeAPO(BU152,BV152,CC152,CD152,S153,S154,BI152-DaysForThetaCalculation/365.25,BL152-DaysForThetaCalculation/365.25,BP152,BQ152,0,Strike2,AO152,CE152,0,BL152,IF(OptControl=3,1,0),0,1)-_xll.xCrudeAPO(BU152,BV152,CC152,CD152,S153,S154,BI152,BL152,BP152,BQ152,0,Strike2,AO152,CE152,0,BL152,IF(OptControl=3,1,0),0,1),0)</f>
        <v>0</v>
      </c>
      <c r="CN152" s="53"/>
      <c r="CO152" s="796" t="str">
        <f t="shared" ca="1" si="532"/>
        <v/>
      </c>
      <c r="CP152" s="800" t="str">
        <f t="shared" ca="1" si="533"/>
        <v/>
      </c>
      <c r="CQ152" s="797" t="str">
        <f t="shared" ca="1" si="534"/>
        <v/>
      </c>
      <c r="CR152" s="797" t="str">
        <f t="shared" ca="1" si="535"/>
        <v/>
      </c>
      <c r="CS152" s="797" t="str">
        <f t="shared" ca="1" si="536"/>
        <v/>
      </c>
      <c r="CT152" s="797" t="str">
        <f t="shared" ca="1" si="537"/>
        <v/>
      </c>
      <c r="CU152" s="798" t="str">
        <f t="shared" ca="1" si="538"/>
        <v/>
      </c>
      <c r="CV152" s="799" t="str">
        <f t="shared" ca="1" si="539"/>
        <v/>
      </c>
      <c r="CW152" s="799" t="str">
        <f t="shared" ca="1" si="540"/>
        <v/>
      </c>
      <c r="CX152" s="163">
        <f ca="1">IF(BD152,_xll.EURO(CP152,Strike1,AO152,AO152,CV152,CO152,IF(OptControl=4,0,1),0),0)</f>
        <v>0</v>
      </c>
      <c r="CY152" s="163">
        <f ca="1">IF(BD152,_xll.EURO(CP152,Strike1,AO152,AO152,CV152,CO152,IF(OptControl=4,0,1),1)+IF(OR(VolSkewFlag=2,ABS(CQ152)&lt;0.0001),0,IF(CQ152&gt;0,-1,1)*CZ152*100*Strike1/CP152^2*CS152/10%),0)</f>
        <v>0</v>
      </c>
      <c r="CZ152" s="163">
        <f ca="1">IF(BD152,_xll.EURO(CP152,Strike1,AO152,AO152,CV152,CO152,IF(OptControl=4,0,1),3)/100,0)</f>
        <v>0</v>
      </c>
      <c r="DA152" s="163">
        <f ca="1">IF(BD152,_xll.EURO(CP152,Strike1,AO152,AO152,CV152,CO152,IF(OptControl=4,0,1),0)-_xll.EURO(CP152,Strike1,AO152,AO152,CV152,CO152-1,IF(OptControl=4,0,1),0),0)</f>
        <v>0</v>
      </c>
      <c r="DB152" s="163">
        <f ca="1">IF(BD152,_xll.EURO(CP152,Strike2,AO152,AO152,CW152,CO152,IF(OptControl=3,1,0),0),0)</f>
        <v>0</v>
      </c>
      <c r="DC152" s="163">
        <f ca="1">IF(BD152,_xll.EURO(CP152,Strike2,AO152,AO152,CW152,CO152,IF(OptControl=3,1,0),1)+IF(OR(VolSkewFlag=2,ABS(CR152)&lt;0.0001),0,IF(CR152&gt;0,-1,1)*DD152*100*Strike2/CP152^2*CT152/10%),0)</f>
        <v>0</v>
      </c>
      <c r="DD152" s="163">
        <f ca="1">IF(BD152,_xll.EURO(CP152,Strike2,AO152,AO152,CW152,CO152,IF(OptControl=3,1,0),3)/100,0)</f>
        <v>0</v>
      </c>
      <c r="DE152" s="164">
        <f ca="1">IF(BD152,_xll.EURO(CP152,Strike2,AO152,AO152,CW152,CO152,IF(OptControl=3,1,0),0)-_xll.EURO(CP152,Strike2,AO152,AO152,CW152,CO152-1,IF(OptControl=3,1,0),0),0)</f>
        <v>0</v>
      </c>
      <c r="DG152" s="667">
        <f t="shared" ca="1" si="541"/>
        <v>40575</v>
      </c>
      <c r="DH152" s="475">
        <v>20.76</v>
      </c>
      <c r="DI152" s="665">
        <v>20.824999999999999</v>
      </c>
      <c r="DJ152" s="666">
        <f t="shared" ca="1" si="518"/>
        <v>40575</v>
      </c>
      <c r="DK152" s="475">
        <v>19.565527086288679</v>
      </c>
      <c r="DL152" s="665">
        <v>19.656500000000044</v>
      </c>
      <c r="DM152" s="667">
        <f t="shared" ca="1" si="519"/>
        <v>40575</v>
      </c>
      <c r="DN152" s="668">
        <f t="shared" si="520"/>
        <v>19.615527086288679</v>
      </c>
      <c r="DO152" s="667">
        <f t="shared" ca="1" si="542"/>
        <v>40575</v>
      </c>
      <c r="DP152" s="579">
        <f t="shared" si="543"/>
        <v>19.656500000000044</v>
      </c>
      <c r="DQ152" s="821">
        <v>0</v>
      </c>
      <c r="DR152" s="666">
        <f t="shared" ca="1" si="521"/>
        <v>40575</v>
      </c>
      <c r="DS152" s="669">
        <v>0.14539999999999903</v>
      </c>
      <c r="DT152" s="606">
        <v>0.14461999999999903</v>
      </c>
      <c r="DU152" s="666">
        <f t="shared" ca="1" si="522"/>
        <v>40575</v>
      </c>
      <c r="DV152" s="669">
        <v>0.14539999999999903</v>
      </c>
      <c r="DW152" s="606">
        <v>0.14461999999999903</v>
      </c>
      <c r="DX152" s="667">
        <f t="shared" ca="1" si="523"/>
        <v>40575</v>
      </c>
      <c r="DY152" s="606">
        <v>0.35</v>
      </c>
      <c r="DZ152" s="667">
        <f t="shared" ca="1" si="544"/>
        <v>40575</v>
      </c>
      <c r="EA152" s="606">
        <f t="shared" si="545"/>
        <v>0.14461999999999903</v>
      </c>
      <c r="EB152" s="1"/>
      <c r="EC152" s="118" t="str">
        <f t="shared" ca="1" si="524"/>
        <v/>
      </c>
      <c r="ED152" s="119" t="str">
        <f t="shared" ca="1" si="525"/>
        <v/>
      </c>
      <c r="EE152" s="112" t="str">
        <f t="shared" ca="1" si="526"/>
        <v/>
      </c>
      <c r="EF152" s="120">
        <f ca="1">IF(BD152,_xll.xASN(BR152,Strike1,AO152,ED152,0,BO152,0,BI152,BL152,IF(OptControl=4,0,1),0),0)</f>
        <v>0</v>
      </c>
      <c r="EG152" s="111">
        <f ca="1">IF(BD152,_xll.xASN(BR152,Strike2,AO152,EE152,0,BO152,0,BI152,BL152,IF(OptControl=3,1,0),0),0)</f>
        <v>0</v>
      </c>
      <c r="EL152" s="55"/>
      <c r="EM152" s="1"/>
      <c r="EN152" s="106"/>
      <c r="EO152" s="106"/>
      <c r="EP152" s="1"/>
      <c r="EQ152" s="683" t="s">
        <v>365</v>
      </c>
      <c r="ES152" s="455"/>
      <c r="ET152" s="36"/>
      <c r="EU152" s="107"/>
      <c r="EV152" s="475"/>
      <c r="EW152" s="456"/>
      <c r="EX152" s="456"/>
      <c r="EY152" s="250"/>
      <c r="EZ152" s="250"/>
      <c r="FA152" s="250"/>
      <c r="FB152" s="250"/>
      <c r="FC152" s="250"/>
      <c r="FD152" s="250"/>
      <c r="FE152" s="250"/>
      <c r="FF152" s="250"/>
      <c r="FG152" s="250"/>
      <c r="FH152" s="250"/>
      <c r="FI152" s="250"/>
      <c r="FJ152" s="673">
        <v>58</v>
      </c>
      <c r="FK152" s="460">
        <f t="shared" ca="1" si="479"/>
        <v>0</v>
      </c>
      <c r="FL152" s="460">
        <f t="shared" ca="1" si="557"/>
        <v>0.16614431766309476</v>
      </c>
      <c r="FM152" s="460">
        <f t="shared" ca="1" si="557"/>
        <v>0.17052000713926516</v>
      </c>
      <c r="FN152" s="460">
        <f t="shared" ca="1" si="557"/>
        <v>0.16724475744336384</v>
      </c>
      <c r="FO152" s="460">
        <f t="shared" ca="1" si="557"/>
        <v>0.16478986376367469</v>
      </c>
      <c r="FP152" s="460">
        <f t="shared" ca="1" si="557"/>
        <v>0.16295050736355271</v>
      </c>
      <c r="FQ152" s="460">
        <f t="shared" ca="1" si="557"/>
        <v>0.16157311902254851</v>
      </c>
      <c r="FR152" s="460">
        <f t="shared" ca="1" si="557"/>
        <v>0.16054257439821223</v>
      </c>
      <c r="FS152" s="460">
        <f t="shared" ca="1" si="557"/>
        <v>0.15977259184868162</v>
      </c>
      <c r="FT152" s="460">
        <f t="shared" ca="1" si="557"/>
        <v>0.15919853232493431</v>
      </c>
      <c r="FU152" s="460">
        <f t="shared" ca="1" si="557"/>
        <v>0.15877200107767714</v>
      </c>
      <c r="FV152" s="460">
        <f t="shared" ca="1" si="557"/>
        <v>0.1584568010326409</v>
      </c>
      <c r="FW152" s="460">
        <f t="shared" ca="1" si="557"/>
        <v>0.15822590027759284</v>
      </c>
      <c r="FX152" s="460">
        <f t="shared" ca="1" si="557"/>
        <v>0.15805916055591371</v>
      </c>
      <c r="FY152" s="460">
        <f t="shared" ca="1" si="557"/>
        <v>0.15794163701136019</v>
      </c>
      <c r="FZ152" s="460">
        <f t="shared" ca="1" si="557"/>
        <v>0.15786230695414669</v>
      </c>
      <c r="GA152" s="460">
        <f t="shared" ca="1" si="557"/>
        <v>0.15781312107830578</v>
      </c>
      <c r="GB152" s="460">
        <f t="shared" ca="1" si="557"/>
        <v>0.15778829732385777</v>
      </c>
      <c r="GC152" s="460">
        <f t="shared" ca="1" si="557"/>
        <v>0.1577837976723733</v>
      </c>
      <c r="GD152" s="460">
        <f t="shared" ca="1" si="557"/>
        <v>0.15779694326264548</v>
      </c>
      <c r="GE152" s="460">
        <f t="shared" ca="1" si="557"/>
        <v>0.15782613456911543</v>
      </c>
      <c r="GF152" s="460">
        <f t="shared" ca="1" si="557"/>
        <v>0.15787065194174252</v>
      </c>
      <c r="GG152" s="460">
        <f t="shared" ca="1" si="557"/>
        <v>0.15793051827053955</v>
      </c>
      <c r="GH152" s="460">
        <f t="shared" ca="1" si="557"/>
        <v>0.15800641044437871</v>
      </c>
      <c r="GI152" s="460">
        <f t="shared" ca="1" si="557"/>
        <v>0.15809961002465003</v>
      </c>
      <c r="GJ152" s="460">
        <f t="shared" ca="1" si="557"/>
        <v>0.15821198645549597</v>
      </c>
      <c r="GK152" s="460">
        <f t="shared" ca="1" si="557"/>
        <v>0.15834600841744431</v>
      </c>
      <c r="GL152" s="460">
        <f t="shared" ca="1" si="557"/>
        <v>0.15850478078178035</v>
      </c>
      <c r="GM152" s="460">
        <f t="shared" ca="1" si="557"/>
        <v>0.15869210618315105</v>
      </c>
      <c r="GN152" s="460">
        <f t="shared" ca="1" si="557"/>
        <v>0.15891257161675176</v>
      </c>
      <c r="GO152" s="460">
        <f t="shared" ca="1" si="557"/>
        <v>0.15917166178803274</v>
      </c>
      <c r="GP152" s="460">
        <f t="shared" ca="1" si="557"/>
        <v>0.15947590229528158</v>
      </c>
      <c r="GQ152" s="460">
        <f t="shared" ca="1" si="557"/>
        <v>0.15983303720977618</v>
      </c>
      <c r="GR152" s="460">
        <f t="shared" ca="1" si="557"/>
        <v>0.16025224734837978</v>
      </c>
      <c r="GS152" s="460">
        <f t="shared" ca="1" si="557"/>
        <v>0.16074441764800759</v>
      </c>
      <c r="GT152" s="460">
        <f t="shared" ca="1" si="557"/>
        <v>0.16132246472894729</v>
      </c>
      <c r="GU152" s="460">
        <f t="shared" ca="1" si="557"/>
        <v>0.16200173921456881</v>
      </c>
      <c r="GV152" s="460">
        <f t="shared" ca="1" si="557"/>
        <v>0.16280052199041964</v>
      </c>
      <c r="GW152" s="460">
        <f t="shared" ca="1" si="557"/>
        <v>0.16374063980493628</v>
      </c>
      <c r="GX152" s="460">
        <f t="shared" ca="1" si="557"/>
        <v>0.16484823411038185</v>
      </c>
      <c r="GY152" s="460">
        <f t="shared" ca="1" si="557"/>
        <v>0.16615472879746127</v>
      </c>
      <c r="GZ152" s="460">
        <f t="shared" ca="1" si="557"/>
        <v>0.1676980589401261</v>
      </c>
      <c r="HA152" s="460">
        <f t="shared" ca="1" si="557"/>
        <v>0.16952424600983168</v>
      </c>
      <c r="HB152" s="460">
        <f t="shared" ca="1" si="557"/>
        <v>0.17168943854010718</v>
      </c>
      <c r="HC152" s="460">
        <f t="shared" ca="1" si="557"/>
        <v>0.17426258601128128</v>
      </c>
      <c r="HD152" s="460">
        <f t="shared" ca="1" si="557"/>
        <v>0.17732898575762499</v>
      </c>
      <c r="HE152" s="460">
        <f t="shared" ca="1" si="557"/>
        <v>0.18099505069564306</v>
      </c>
      <c r="HF152" s="460">
        <f t="shared" ca="1" si="557"/>
        <v>0.18539481030359975</v>
      </c>
      <c r="HG152" s="460">
        <f t="shared" ca="1" si="557"/>
        <v>0.19069891282606194</v>
      </c>
      <c r="HH152" s="460">
        <f t="shared" ca="1" si="557"/>
        <v>0.19712730123926744</v>
      </c>
      <c r="HI152" s="460">
        <f t="shared" ca="1" si="557"/>
        <v>0.20496738998496472</v>
      </c>
      <c r="HJ152" s="460">
        <f t="shared" ca="1" si="557"/>
        <v>0.21460065370513212</v>
      </c>
      <c r="HK152" s="460">
        <f t="shared" ca="1" si="557"/>
        <v>0.22654238315691974</v>
      </c>
      <c r="HL152" s="460">
        <f t="shared" ca="1" si="557"/>
        <v>0.24150259220689166</v>
      </c>
      <c r="HM152" s="460">
        <f t="shared" ca="1" si="557"/>
        <v>0.26048190009709898</v>
      </c>
      <c r="HN152" s="460">
        <f t="shared" ca="1" si="557"/>
        <v>0.28492717057697659</v>
      </c>
      <c r="HO152" s="460">
        <f t="shared" ca="1" si="557"/>
        <v>0.31699311609875136</v>
      </c>
      <c r="HP152" s="460">
        <f t="shared" ca="1" si="557"/>
        <v>0.3600000040317235</v>
      </c>
      <c r="HQ152" s="460" t="str">
        <f t="shared" si="557"/>
        <v/>
      </c>
      <c r="HR152" s="460" t="str">
        <f t="shared" si="557"/>
        <v/>
      </c>
      <c r="HS152" s="460" t="str">
        <f t="shared" si="557"/>
        <v/>
      </c>
      <c r="HT152" s="460" t="str">
        <f t="shared" si="557"/>
        <v/>
      </c>
      <c r="HU152" s="460" t="str">
        <f t="shared" si="557"/>
        <v/>
      </c>
      <c r="HV152" s="460" t="str">
        <f t="shared" si="557"/>
        <v/>
      </c>
      <c r="HW152" s="460" t="str">
        <f t="shared" ref="HW152:ID155" si="559">IF($FJ77&lt;HW$94,"",SQRT(HW77/HW$15))</f>
        <v/>
      </c>
      <c r="HX152" s="460" t="str">
        <f t="shared" si="559"/>
        <v/>
      </c>
      <c r="HY152" s="460" t="str">
        <f t="shared" si="559"/>
        <v/>
      </c>
      <c r="HZ152" s="460" t="str">
        <f t="shared" si="559"/>
        <v/>
      </c>
      <c r="IA152" s="460" t="str">
        <f t="shared" si="559"/>
        <v/>
      </c>
      <c r="IB152" s="460" t="str">
        <f t="shared" si="559"/>
        <v/>
      </c>
      <c r="IC152" s="460" t="str">
        <f t="shared" si="559"/>
        <v/>
      </c>
      <c r="ID152" s="674" t="str">
        <f t="shared" si="559"/>
        <v/>
      </c>
      <c r="IE152" s="250"/>
    </row>
    <row r="153" spans="8:239">
      <c r="H153" s="51">
        <f t="shared" ca="1" si="527"/>
        <v>0</v>
      </c>
      <c r="I153" s="379">
        <f t="shared" si="528"/>
        <v>40817</v>
      </c>
      <c r="J153" s="377"/>
      <c r="K153" s="104" t="s">
        <v>268</v>
      </c>
      <c r="L153" s="392">
        <f t="shared" si="529"/>
        <v>2.1375000000000024</v>
      </c>
      <c r="M153" s="171"/>
      <c r="N153" s="382">
        <v>0</v>
      </c>
      <c r="O153" s="171">
        <f t="shared" si="490"/>
        <v>0</v>
      </c>
      <c r="P153" s="377"/>
      <c r="Q153" s="104" t="s">
        <v>268</v>
      </c>
      <c r="R153" s="377">
        <f t="shared" ca="1" si="547"/>
        <v>0.7852521119204332</v>
      </c>
      <c r="S153" s="832">
        <f t="shared" si="435"/>
        <v>0.3600000000000001</v>
      </c>
      <c r="T153" s="831">
        <f t="shared" si="548"/>
        <v>0.9999999998995428</v>
      </c>
      <c r="U153" s="545">
        <f t="shared" si="549"/>
        <v>0.99999999999999978</v>
      </c>
      <c r="V153" s="389">
        <v>0</v>
      </c>
      <c r="W153" s="434">
        <f t="shared" si="491"/>
        <v>0</v>
      </c>
      <c r="X153" s="415">
        <f t="shared" si="492"/>
        <v>2.1875000000000027</v>
      </c>
      <c r="Y153" s="322">
        <f t="shared" si="493"/>
        <v>-1.1931</v>
      </c>
      <c r="Z153" s="322">
        <f t="shared" ca="1" si="494"/>
        <v>0.99440000000000262</v>
      </c>
      <c r="AA153" s="429">
        <f t="shared" si="495"/>
        <v>1.1931</v>
      </c>
      <c r="AB153" s="433">
        <f t="shared" ca="1" si="496"/>
        <v>1.1931</v>
      </c>
      <c r="AC153" s="229">
        <v>40806</v>
      </c>
      <c r="AD153" s="229">
        <v>40802</v>
      </c>
      <c r="AE153" s="229">
        <v>40801</v>
      </c>
      <c r="AF153" s="229">
        <v>40797</v>
      </c>
      <c r="AG153" s="249" t="s">
        <v>499</v>
      </c>
      <c r="AH153" s="247" t="s">
        <v>499</v>
      </c>
      <c r="AI153" s="146">
        <v>21</v>
      </c>
      <c r="AJ153" s="41">
        <v>14</v>
      </c>
      <c r="AK153" s="41">
        <v>7</v>
      </c>
      <c r="AL153" s="293">
        <v>21</v>
      </c>
      <c r="AM153" s="41">
        <v>10</v>
      </c>
      <c r="AN153" s="147">
        <v>11</v>
      </c>
      <c r="AO153" s="374"/>
      <c r="AP153" s="153">
        <f t="shared" ca="1" si="530"/>
        <v>1</v>
      </c>
      <c r="AQ153" s="374"/>
      <c r="AR153" s="153">
        <f t="shared" ca="1" si="550"/>
        <v>1</v>
      </c>
      <c r="AS153" s="272">
        <f t="shared" si="497"/>
        <v>0</v>
      </c>
      <c r="AT153" s="157">
        <f t="shared" si="531"/>
        <v>0</v>
      </c>
      <c r="AU153" s="157">
        <f t="shared" si="498"/>
        <v>0</v>
      </c>
      <c r="AV153" s="271">
        <f t="shared" ca="1" si="558"/>
        <v>9.9999999999999995E-7</v>
      </c>
      <c r="AW153" s="158" t="str">
        <f t="shared" ca="1" si="499"/>
        <v/>
      </c>
      <c r="AX153" s="157">
        <f t="shared" ca="1" si="551"/>
        <v>2.8621734631137179E-4</v>
      </c>
      <c r="AY153" s="157">
        <f t="shared" ca="1" si="552"/>
        <v>9.1266313207625312E-5</v>
      </c>
      <c r="AZ153" s="157">
        <f t="shared" ca="1" si="553"/>
        <v>6.7360152088007965E-6</v>
      </c>
      <c r="BA153" s="157">
        <f t="shared" ca="1" si="554"/>
        <v>8.4200190110009956E-7</v>
      </c>
      <c r="BB153" s="157">
        <f t="shared" ca="1" si="555"/>
        <v>2.0082962476832654E-8</v>
      </c>
      <c r="BC153" s="157">
        <f t="shared" ca="1" si="556"/>
        <v>1.4179344029122681E-9</v>
      </c>
      <c r="BD153" s="151">
        <f t="shared" ca="1" si="500"/>
        <v>0</v>
      </c>
      <c r="BE153" s="152">
        <f t="shared" ca="1" si="501"/>
        <v>0</v>
      </c>
      <c r="BF153" s="40">
        <f t="shared" si="502"/>
        <v>2011</v>
      </c>
      <c r="BG153" s="144">
        <f t="shared" si="503"/>
        <v>10</v>
      </c>
      <c r="BH153" s="145">
        <f t="shared" ca="1" si="504"/>
        <v>4057</v>
      </c>
      <c r="BI153" s="313">
        <f t="shared" ca="1" si="439"/>
        <v>11.148528405201917</v>
      </c>
      <c r="BJ153" s="42">
        <f t="shared" ca="1" si="505"/>
        <v>11.203285420944558</v>
      </c>
      <c r="BK153" s="42">
        <f t="shared" ca="1" si="506"/>
        <v>11.206023271731691</v>
      </c>
      <c r="BL153" s="42">
        <f t="shared" ca="1" si="440"/>
        <v>11.230663928815879</v>
      </c>
      <c r="BM153" s="150" t="e">
        <f t="shared" ca="1" si="507"/>
        <v>#DIV/0!</v>
      </c>
      <c r="BN153" s="42" t="e">
        <f t="shared" ca="1" si="508"/>
        <v>#DIV/0!</v>
      </c>
      <c r="BO153" s="293">
        <f t="shared" si="441"/>
        <v>21</v>
      </c>
      <c r="BP153" s="41">
        <f t="shared" si="442"/>
        <v>14</v>
      </c>
      <c r="BQ153" s="41">
        <f t="shared" si="443"/>
        <v>7</v>
      </c>
      <c r="BR153" s="305" t="str">
        <f t="shared" ca="1" si="509"/>
        <v/>
      </c>
      <c r="BS153" s="305" t="str">
        <f t="shared" ca="1" si="444"/>
        <v/>
      </c>
      <c r="BT153" s="307" t="str">
        <f t="shared" ca="1" si="445"/>
        <v/>
      </c>
      <c r="BU153" s="161" t="str">
        <f t="shared" ca="1" si="510"/>
        <v/>
      </c>
      <c r="BV153" s="161" t="str">
        <f t="shared" ca="1" si="511"/>
        <v/>
      </c>
      <c r="BW153" s="308" t="str">
        <f t="shared" ca="1" si="512"/>
        <v/>
      </c>
      <c r="BX153" s="309" t="str">
        <f t="shared" ca="1" si="513"/>
        <v/>
      </c>
      <c r="BY153" s="308" t="str">
        <f t="shared" ca="1" si="446"/>
        <v/>
      </c>
      <c r="BZ153" s="309" t="str">
        <f t="shared" ca="1" si="447"/>
        <v/>
      </c>
      <c r="CA153" s="154" t="str">
        <f t="shared" ca="1" si="514"/>
        <v/>
      </c>
      <c r="CB153" s="154" t="str">
        <f t="shared" ca="1" si="515"/>
        <v/>
      </c>
      <c r="CC153" s="154" t="str">
        <f t="shared" ca="1" si="516"/>
        <v/>
      </c>
      <c r="CD153" s="154" t="str">
        <f t="shared" ca="1" si="517"/>
        <v/>
      </c>
      <c r="CE153" s="310">
        <v>1</v>
      </c>
      <c r="CF153" s="162">
        <f ca="1">IF(BD153,_xll.xCrudeAPO(BU153,BV153,CA153,CB153,S154,S155,BI153,BL153,BP153,BQ153,0,Strike1,AO153,CE153,0,BL153,IF(OptControl=4,0,1),0,1),0)</f>
        <v>0</v>
      </c>
      <c r="CG153" s="163">
        <f ca="1">IF(BD153,_xll.xCrudeAPO(BU153,BV153,CA153,CB153,S154,S155,BI153,BL153,BP153,BQ153,0,Strike1,AO153,CE153,0,BL153,IF(OptControl=4,0,1),1,1)+_xll.xCrudeAPO(BU153,BV153,CA153,CB153,S154,S155,BI153,BL153,BP153,BQ153,0,Strike1,AO153,CE153,0,BL153,IF(OptControl=4,0,1),1,2)+IF(OR(VolSkewFlag=2,ABS(BS153)&lt;0.0001),0,IF(BS153&gt;0,-1,1)*CH153*Strike1/BR153^2*BY153/10%),0)</f>
        <v>0</v>
      </c>
      <c r="CH153" s="163">
        <f ca="1">IF(BD153,(_xll.xCrudeAPO(BU153,BV153,CA153,CB153,S154,S155,BI153,BL153,BP153,BQ153,0,Strike1,AO153,CE153,0,BL153,IF(OptControl=4,0,1),3,1)+_xll.xCrudeAPO(BU153,BV153,CA153,CB153,S154,S155,BI153,BL153,BP153,BQ153,0,Strike1,AO153,CE153,0,BL153,IF(OptControl=4,0,1),3,2))/100,0)</f>
        <v>0</v>
      </c>
      <c r="CI153" s="163">
        <f ca="1">IF(BD153,_xll.xCrudeAPO(BU153,BV153,CA153,CB153,S154,S155,BI153-DaysForThetaCalculation/365.25,BL153-DaysForThetaCalculation/365.25,BP153,BQ153,0,Strike1,AO153,CE153,0,BL153,IF(OptControl=4,0,1),0,1)-_xll.xCrudeAPO(BU153,BV153,CA153,CB153,S154,S155,BI153,BL153,BP153,BQ153,0,Strike1,AO153,CE153,0,BL153,IF(OptControl=4,0,1),0,1),0)</f>
        <v>0</v>
      </c>
      <c r="CJ153" s="311">
        <f ca="1">IF(BD153,_xll.xCrudeAPO(BU153,BV153,CC153,CD153,S154,S155,BI153,BL153,BP153,BQ153,0,Strike2,AO153,CE153,0,BL153,IF(OptControl=3,1,0),0,1),0)</f>
        <v>0</v>
      </c>
      <c r="CK153" s="163">
        <f ca="1">IF(BD153,_xll.xCrudeAPO(BU153,BV153,CC153,CD153,S154,S155,BI153,BL153,BP153,BQ153,0,Strike2,AO153,CE153,0,BL153,IF(OptControl=3,1,0),1,1)+_xll.xCrudeAPO(BU153,BV153,CC153,CD153,S154,S155,BI153,BL153,BP153,BQ153,0,Strike2,AO153,CE153,0,BL153,IF(OptControl=3,1,0),1,2)+IF(OR(VolSkewFlag=2,ABS(BT153)&lt;0.0001),0,IF(BT153&gt;0,-1,1)*CL153*Strike2/BR153^2*BZ153/10%),0)</f>
        <v>0</v>
      </c>
      <c r="CL153" s="163">
        <f ca="1">IF(BD153,(_xll.xCrudeAPO(BU153,BV153,CC153,CD153,S154,S155,BI153,BL153,BP153,BQ153,0,Strike2,AO153,CE153,0,BL153,IF(OptControl=3,1,0),3,1)+_xll.xCrudeAPO(BU153,BV153,CC153,CD153,S154,S155,BI153,BL153,BP153,BQ153,0,Strike2,AO153,CE153,0,BL153,IF(OptControl=3,1,0),3,2))/100,0)</f>
        <v>0</v>
      </c>
      <c r="CM153" s="164">
        <f ca="1">IF(BD153,_xll.xCrudeAPO(BU153,BV153,CC153,CD153,S154,S155,BI153-DaysForThetaCalculation/365.25,BL153-DaysForThetaCalculation/365.25,BP153,BQ153,0,Strike2,AO153,CE153,0,BL153,IF(OptControl=3,1,0),0,1)-_xll.xCrudeAPO(BU153,BV153,CC153,CD153,S154,S155,BI153,BL153,BP153,BQ153,0,Strike2,AO153,CE153,0,BL153,IF(OptControl=3,1,0),0,1),0)</f>
        <v>0</v>
      </c>
      <c r="CN153" s="53"/>
      <c r="CO153" s="796" t="str">
        <f t="shared" ca="1" si="532"/>
        <v/>
      </c>
      <c r="CP153" s="800" t="str">
        <f t="shared" ca="1" si="533"/>
        <v/>
      </c>
      <c r="CQ153" s="797" t="str">
        <f t="shared" ca="1" si="534"/>
        <v/>
      </c>
      <c r="CR153" s="797" t="str">
        <f t="shared" ca="1" si="535"/>
        <v/>
      </c>
      <c r="CS153" s="797" t="str">
        <f t="shared" ca="1" si="536"/>
        <v/>
      </c>
      <c r="CT153" s="797" t="str">
        <f t="shared" ca="1" si="537"/>
        <v/>
      </c>
      <c r="CU153" s="798" t="str">
        <f t="shared" ca="1" si="538"/>
        <v/>
      </c>
      <c r="CV153" s="799" t="str">
        <f t="shared" ca="1" si="539"/>
        <v/>
      </c>
      <c r="CW153" s="799" t="str">
        <f t="shared" ca="1" si="540"/>
        <v/>
      </c>
      <c r="CX153" s="163">
        <f ca="1">IF(BD153,_xll.EURO(CP153,Strike1,AO153,AO153,CV153,CO153,IF(OptControl=4,0,1),0),0)</f>
        <v>0</v>
      </c>
      <c r="CY153" s="163">
        <f ca="1">IF(BD153,_xll.EURO(CP153,Strike1,AO153,AO153,CV153,CO153,IF(OptControl=4,0,1),1)+IF(OR(VolSkewFlag=2,ABS(CQ153)&lt;0.0001),0,IF(CQ153&gt;0,-1,1)*CZ153*100*Strike1/CP153^2*CS153/10%),0)</f>
        <v>0</v>
      </c>
      <c r="CZ153" s="163">
        <f ca="1">IF(BD153,_xll.EURO(CP153,Strike1,AO153,AO153,CV153,CO153,IF(OptControl=4,0,1),3)/100,0)</f>
        <v>0</v>
      </c>
      <c r="DA153" s="163">
        <f ca="1">IF(BD153,_xll.EURO(CP153,Strike1,AO153,AO153,CV153,CO153,IF(OptControl=4,0,1),0)-_xll.EURO(CP153,Strike1,AO153,AO153,CV153,CO153-1,IF(OptControl=4,0,1),0),0)</f>
        <v>0</v>
      </c>
      <c r="DB153" s="163">
        <f ca="1">IF(BD153,_xll.EURO(CP153,Strike2,AO153,AO153,CW153,CO153,IF(OptControl=3,1,0),0),0)</f>
        <v>0</v>
      </c>
      <c r="DC153" s="163">
        <f ca="1">IF(BD153,_xll.EURO(CP153,Strike2,AO153,AO153,CW153,CO153,IF(OptControl=3,1,0),1)+IF(OR(VolSkewFlag=2,ABS(CR153)&lt;0.0001),0,IF(CR153&gt;0,-1,1)*DD153*100*Strike2/CP153^2*CT153/10%),0)</f>
        <v>0</v>
      </c>
      <c r="DD153" s="163">
        <f ca="1">IF(BD153,_xll.EURO(CP153,Strike2,AO153,AO153,CW153,CO153,IF(OptControl=3,1,0),3)/100,0)</f>
        <v>0</v>
      </c>
      <c r="DE153" s="164">
        <f ca="1">IF(BD153,_xll.EURO(CP153,Strike2,AO153,AO153,CW153,CO153,IF(OptControl=3,1,0),0)-_xll.EURO(CP153,Strike2,AO153,AO153,CW153,CO153-1,IF(OptControl=3,1,0),0),0)</f>
        <v>0</v>
      </c>
      <c r="DG153" s="667">
        <f t="shared" ca="1" si="541"/>
        <v>40603</v>
      </c>
      <c r="DH153" s="475">
        <v>20.81</v>
      </c>
      <c r="DI153" s="665">
        <v>20.879565217391349</v>
      </c>
      <c r="DJ153" s="666">
        <f t="shared" ca="1" si="518"/>
        <v>40603</v>
      </c>
      <c r="DK153" s="475">
        <v>19.64692992155582</v>
      </c>
      <c r="DL153" s="665">
        <v>19.711065217391351</v>
      </c>
      <c r="DM153" s="667">
        <f t="shared" ca="1" si="519"/>
        <v>40603</v>
      </c>
      <c r="DN153" s="668">
        <f t="shared" si="520"/>
        <v>19.696929921555821</v>
      </c>
      <c r="DO153" s="667">
        <f t="shared" ca="1" si="542"/>
        <v>40603</v>
      </c>
      <c r="DP153" s="579">
        <f t="shared" si="543"/>
        <v>19.711065217391351</v>
      </c>
      <c r="DQ153" s="821">
        <v>0</v>
      </c>
      <c r="DR153" s="666">
        <f t="shared" ca="1" si="521"/>
        <v>40603</v>
      </c>
      <c r="DS153" s="669">
        <v>0.14479999999999904</v>
      </c>
      <c r="DT153" s="606">
        <v>0.14396521739130339</v>
      </c>
      <c r="DU153" s="666">
        <f t="shared" ca="1" si="522"/>
        <v>40603</v>
      </c>
      <c r="DV153" s="669">
        <v>0.14479999999999904</v>
      </c>
      <c r="DW153" s="606">
        <v>0.14396521739130339</v>
      </c>
      <c r="DX153" s="667">
        <f t="shared" ca="1" si="523"/>
        <v>40603</v>
      </c>
      <c r="DY153" s="606">
        <v>0.35</v>
      </c>
      <c r="DZ153" s="667">
        <f t="shared" ca="1" si="544"/>
        <v>40603</v>
      </c>
      <c r="EA153" s="606">
        <f t="shared" si="545"/>
        <v>0.14396521739130339</v>
      </c>
      <c r="EB153" s="1"/>
      <c r="EC153" s="118" t="str">
        <f t="shared" ca="1" si="524"/>
        <v/>
      </c>
      <c r="ED153" s="119" t="str">
        <f t="shared" ca="1" si="525"/>
        <v/>
      </c>
      <c r="EE153" s="112" t="str">
        <f t="shared" ca="1" si="526"/>
        <v/>
      </c>
      <c r="EF153" s="120">
        <f ca="1">IF(BD153,_xll.xASN(BR153,Strike1,AO153,ED153,0,BO153,0,BI153,BL153,IF(OptControl=4,0,1),0),0)</f>
        <v>0</v>
      </c>
      <c r="EG153" s="111">
        <f ca="1">IF(BD153,_xll.xASN(BR153,Strike2,AO153,EE153,0,BO153,0,BI153,BL153,IF(OptControl=3,1,0),0),0)</f>
        <v>0</v>
      </c>
      <c r="EL153" s="55"/>
      <c r="EM153" s="1"/>
      <c r="EN153" s="106"/>
      <c r="EO153" s="106"/>
      <c r="EP153" s="1"/>
      <c r="EQ153" s="683" t="s">
        <v>366</v>
      </c>
      <c r="ES153" s="455"/>
      <c r="ET153" s="36"/>
      <c r="EU153" s="107"/>
      <c r="EV153" s="475"/>
      <c r="EW153" s="456"/>
      <c r="EX153" s="456"/>
      <c r="EY153" s="250"/>
      <c r="EZ153" s="250"/>
      <c r="FA153" s="250"/>
      <c r="FB153" s="250"/>
      <c r="FC153" s="250"/>
      <c r="FD153" s="250"/>
      <c r="FE153" s="250"/>
      <c r="FF153" s="250"/>
      <c r="FG153" s="250"/>
      <c r="FH153" s="250"/>
      <c r="FI153" s="250"/>
      <c r="FJ153" s="673">
        <v>59</v>
      </c>
      <c r="FK153" s="460">
        <f t="shared" ca="1" si="479"/>
        <v>0</v>
      </c>
      <c r="FL153" s="460">
        <f t="shared" ref="FL153:HW156" ca="1" si="560">IF($FJ78&lt;FL$94,"",SQRT(FL78/FL$15))</f>
        <v>0.166141426457519</v>
      </c>
      <c r="FM153" s="460">
        <f t="shared" ca="1" si="560"/>
        <v>0.17051653654896567</v>
      </c>
      <c r="FN153" s="460">
        <f t="shared" ca="1" si="560"/>
        <v>0.16724077623274089</v>
      </c>
      <c r="FO153" s="460">
        <f t="shared" ca="1" si="560"/>
        <v>0.16478527571625542</v>
      </c>
      <c r="FP153" s="460">
        <f t="shared" ca="1" si="560"/>
        <v>0.16294520110960381</v>
      </c>
      <c r="FQ153" s="460">
        <f t="shared" ca="1" si="560"/>
        <v>0.16156696531989989</v>
      </c>
      <c r="FR153" s="460">
        <f t="shared" ca="1" si="560"/>
        <v>0.16053542296793177</v>
      </c>
      <c r="FS153" s="460">
        <f t="shared" ca="1" si="560"/>
        <v>0.15976426768728008</v>
      </c>
      <c r="FT153" s="460">
        <f t="shared" ca="1" si="560"/>
        <v>0.1591888314015289</v>
      </c>
      <c r="FU153" s="460">
        <f t="shared" ca="1" si="560"/>
        <v>0.1587606853089196</v>
      </c>
      <c r="FV153" s="460">
        <f t="shared" ca="1" si="560"/>
        <v>0.15844359240979769</v>
      </c>
      <c r="FW153" s="460">
        <f t="shared" ca="1" si="560"/>
        <v>0.15821047399843224</v>
      </c>
      <c r="FX153" s="460">
        <f t="shared" ca="1" si="560"/>
        <v>0.15804113698838693</v>
      </c>
      <c r="FY153" s="460">
        <f t="shared" ca="1" si="560"/>
        <v>0.15792057228571746</v>
      </c>
      <c r="FZ153" s="460">
        <f t="shared" ca="1" si="560"/>
        <v>0.15783768194419301</v>
      </c>
      <c r="GA153" s="460">
        <f t="shared" ca="1" si="560"/>
        <v>0.15778432848987675</v>
      </c>
      <c r="GB153" s="460">
        <f t="shared" ca="1" si="560"/>
        <v>0.15775462655793215</v>
      </c>
      <c r="GC153" s="460">
        <f t="shared" ca="1" si="560"/>
        <v>0.15774441706988074</v>
      </c>
      <c r="GD153" s="460">
        <f t="shared" ca="1" si="560"/>
        <v>0.15775087926592227</v>
      </c>
      <c r="GE153" s="460">
        <f t="shared" ca="1" si="560"/>
        <v>0.15777224724856048</v>
      </c>
      <c r="GF153" s="460">
        <f t="shared" ca="1" si="560"/>
        <v>0.15780760623233436</v>
      </c>
      <c r="GG153" s="460">
        <f t="shared" ca="1" si="560"/>
        <v>0.15785675013746539</v>
      </c>
      <c r="GH153" s="460">
        <f t="shared" ca="1" si="560"/>
        <v>0.15792008704498636</v>
      </c>
      <c r="GI153" s="460">
        <f t="shared" ca="1" si="560"/>
        <v>0.15799858274872092</v>
      </c>
      <c r="GJ153" s="460">
        <f t="shared" ca="1" si="560"/>
        <v>0.15809373549902442</v>
      </c>
      <c r="GK153" s="460">
        <f t="shared" ca="1" si="560"/>
        <v>0.15820757726575579</v>
      </c>
      <c r="GL153" s="460">
        <f t="shared" ca="1" si="560"/>
        <v>0.15834269863161848</v>
      </c>
      <c r="GM153" s="460">
        <f t="shared" ca="1" si="560"/>
        <v>0.15850229590144821</v>
      </c>
      <c r="GN153" s="460">
        <f t="shared" ca="1" si="560"/>
        <v>0.15869024029112433</v>
      </c>
      <c r="GO153" s="460">
        <f t="shared" ca="1" si="560"/>
        <v>0.15891117023709009</v>
      </c>
      <c r="GP153" s="460">
        <f t="shared" ca="1" si="560"/>
        <v>0.15917060903040151</v>
      </c>
      <c r="GQ153" s="460">
        <f t="shared" ca="1" si="560"/>
        <v>0.15947511121264629</v>
      </c>
      <c r="GR153" s="460">
        <f t="shared" ca="1" si="560"/>
        <v>0.15983244256617002</v>
      </c>
      <c r="GS153" s="460">
        <f t="shared" ca="1" si="560"/>
        <v>0.16025180019428806</v>
      </c>
      <c r="GT153" s="460">
        <f t="shared" ca="1" si="560"/>
        <v>0.16074408125151787</v>
      </c>
      <c r="GU153" s="460">
        <f t="shared" ca="1" si="560"/>
        <v>0.16132221152377291</v>
      </c>
      <c r="GV153" s="460">
        <f t="shared" ca="1" si="560"/>
        <v>0.16200154851076745</v>
      </c>
      <c r="GW153" s="460">
        <f t="shared" ca="1" si="560"/>
        <v>0.16280037825717125</v>
      </c>
      <c r="GX153" s="460">
        <f t="shared" ca="1" si="560"/>
        <v>0.16374053138239628</v>
      </c>
      <c r="GY153" s="460">
        <f t="shared" ca="1" si="560"/>
        <v>0.16484815224336888</v>
      </c>
      <c r="GZ153" s="460">
        <f t="shared" ca="1" si="560"/>
        <v>0.16615466691054681</v>
      </c>
      <c r="HA153" s="460">
        <f t="shared" ca="1" si="560"/>
        <v>0.16769801209379476</v>
      </c>
      <c r="HB153" s="460">
        <f t="shared" ca="1" si="560"/>
        <v>0.1695242104924653</v>
      </c>
      <c r="HC153" s="460">
        <f t="shared" ca="1" si="560"/>
        <v>0.1716894115618513</v>
      </c>
      <c r="HD153" s="460">
        <f t="shared" ca="1" si="560"/>
        <v>0.17426256547433941</v>
      </c>
      <c r="HE153" s="460">
        <f t="shared" ca="1" si="560"/>
        <v>0.17732897008388399</v>
      </c>
      <c r="HF153" s="460">
        <f t="shared" ca="1" si="560"/>
        <v>0.18099503869730937</v>
      </c>
      <c r="HG153" s="460">
        <f t="shared" ca="1" si="560"/>
        <v>0.18539480108610071</v>
      </c>
      <c r="HH153" s="460">
        <f t="shared" ca="1" si="560"/>
        <v>0.19069890571515438</v>
      </c>
      <c r="HI153" s="460">
        <f t="shared" ca="1" si="560"/>
        <v>0.19712729572630711</v>
      </c>
      <c r="HJ153" s="460">
        <f t="shared" ca="1" si="560"/>
        <v>0.20496738568579947</v>
      </c>
      <c r="HK153" s="460">
        <f t="shared" ca="1" si="560"/>
        <v>0.21460065032921571</v>
      </c>
      <c r="HL153" s="460">
        <f t="shared" ca="1" si="560"/>
        <v>0.22654238048408951</v>
      </c>
      <c r="HM153" s="460">
        <f t="shared" ca="1" si="560"/>
        <v>0.24150259006988944</v>
      </c>
      <c r="HN153" s="460">
        <f t="shared" ca="1" si="560"/>
        <v>0.26048189836838959</v>
      </c>
      <c r="HO153" s="460">
        <f t="shared" ca="1" si="560"/>
        <v>0.28492716915876976</v>
      </c>
      <c r="HP153" s="460">
        <f t="shared" ca="1" si="560"/>
        <v>0.31699311491539151</v>
      </c>
      <c r="HQ153" s="460">
        <f t="shared" ca="1" si="560"/>
        <v>0.36000000302379265</v>
      </c>
      <c r="HR153" s="460" t="str">
        <f t="shared" si="560"/>
        <v/>
      </c>
      <c r="HS153" s="460" t="str">
        <f t="shared" si="560"/>
        <v/>
      </c>
      <c r="HT153" s="460" t="str">
        <f t="shared" si="560"/>
        <v/>
      </c>
      <c r="HU153" s="460" t="str">
        <f t="shared" si="560"/>
        <v/>
      </c>
      <c r="HV153" s="460" t="str">
        <f t="shared" si="560"/>
        <v/>
      </c>
      <c r="HW153" s="460" t="str">
        <f t="shared" si="560"/>
        <v/>
      </c>
      <c r="HX153" s="460" t="str">
        <f t="shared" si="559"/>
        <v/>
      </c>
      <c r="HY153" s="460" t="str">
        <f t="shared" si="559"/>
        <v/>
      </c>
      <c r="HZ153" s="460" t="str">
        <f t="shared" si="559"/>
        <v/>
      </c>
      <c r="IA153" s="460" t="str">
        <f t="shared" si="559"/>
        <v/>
      </c>
      <c r="IB153" s="460" t="str">
        <f t="shared" si="559"/>
        <v/>
      </c>
      <c r="IC153" s="460" t="str">
        <f t="shared" si="559"/>
        <v/>
      </c>
      <c r="ID153" s="674" t="str">
        <f t="shared" si="559"/>
        <v/>
      </c>
      <c r="IE153" s="250"/>
    </row>
    <row r="154" spans="8:239">
      <c r="H154" s="51">
        <f t="shared" ca="1" si="527"/>
        <v>0</v>
      </c>
      <c r="I154" s="379">
        <f t="shared" si="528"/>
        <v>40848</v>
      </c>
      <c r="J154" s="377"/>
      <c r="K154" s="104" t="s">
        <v>268</v>
      </c>
      <c r="L154" s="392">
        <f t="shared" si="529"/>
        <v>2.1750000000000025</v>
      </c>
      <c r="M154" s="171"/>
      <c r="N154" s="382">
        <v>0</v>
      </c>
      <c r="O154" s="171">
        <f t="shared" si="490"/>
        <v>0</v>
      </c>
      <c r="P154" s="377"/>
      <c r="Q154" s="104" t="s">
        <v>268</v>
      </c>
      <c r="R154" s="377">
        <f t="shared" ca="1" si="547"/>
        <v>0.96672324006631027</v>
      </c>
      <c r="S154" s="832">
        <f t="shared" si="435"/>
        <v>0.3600000000000001</v>
      </c>
      <c r="T154" s="831">
        <f t="shared" si="548"/>
        <v>0.99999999991410915</v>
      </c>
      <c r="U154" s="545">
        <f t="shared" si="549"/>
        <v>0.99999999999999978</v>
      </c>
      <c r="V154" s="389">
        <v>0</v>
      </c>
      <c r="W154" s="434">
        <f t="shared" si="491"/>
        <v>0</v>
      </c>
      <c r="X154" s="415">
        <f t="shared" si="492"/>
        <v>2.2261363636363662</v>
      </c>
      <c r="Y154" s="322">
        <f t="shared" si="493"/>
        <v>-1.1931</v>
      </c>
      <c r="Z154" s="322">
        <f t="shared" ca="1" si="494"/>
        <v>1.0330363636363662</v>
      </c>
      <c r="AA154" s="429">
        <f t="shared" si="495"/>
        <v>1.1931</v>
      </c>
      <c r="AB154" s="433">
        <f t="shared" ca="1" si="496"/>
        <v>1.1931</v>
      </c>
      <c r="AC154" s="229">
        <v>40836</v>
      </c>
      <c r="AD154" s="229">
        <v>40832</v>
      </c>
      <c r="AE154" s="229">
        <v>40831</v>
      </c>
      <c r="AF154" s="229">
        <v>40827</v>
      </c>
      <c r="AG154" s="249" t="s">
        <v>499</v>
      </c>
      <c r="AH154" s="247" t="s">
        <v>499</v>
      </c>
      <c r="AI154" s="146">
        <v>22</v>
      </c>
      <c r="AJ154" s="41">
        <v>14</v>
      </c>
      <c r="AK154" s="41">
        <v>8</v>
      </c>
      <c r="AL154" s="293">
        <v>22</v>
      </c>
      <c r="AM154" s="41">
        <v>10</v>
      </c>
      <c r="AN154" s="147">
        <v>12</v>
      </c>
      <c r="AO154" s="374"/>
      <c r="AP154" s="153">
        <f t="shared" ca="1" si="530"/>
        <v>1</v>
      </c>
      <c r="AQ154" s="374"/>
      <c r="AR154" s="153">
        <f t="shared" ca="1" si="550"/>
        <v>1</v>
      </c>
      <c r="AS154" s="272">
        <f t="shared" si="497"/>
        <v>0</v>
      </c>
      <c r="AT154" s="157">
        <f t="shared" si="531"/>
        <v>0</v>
      </c>
      <c r="AU154" s="157">
        <f t="shared" si="498"/>
        <v>0</v>
      </c>
      <c r="AV154" s="271">
        <f t="shared" ca="1" si="558"/>
        <v>9.9999999999999995E-7</v>
      </c>
      <c r="AW154" s="158" t="str">
        <f t="shared" ca="1" si="499"/>
        <v/>
      </c>
      <c r="AX154" s="157">
        <f t="shared" ca="1" si="551"/>
        <v>2.7670797697150446E-4</v>
      </c>
      <c r="AY154" s="157">
        <f t="shared" ca="1" si="552"/>
        <v>8.7647471802596147E-5</v>
      </c>
      <c r="AZ154" s="157">
        <f t="shared" ca="1" si="553"/>
        <v>6.3579517254202859E-6</v>
      </c>
      <c r="BA154" s="157">
        <f t="shared" ca="1" si="554"/>
        <v>7.9474396567753574E-7</v>
      </c>
      <c r="BB154" s="157">
        <f t="shared" ca="1" si="555"/>
        <v>1.8325999579411128E-8</v>
      </c>
      <c r="BC154" s="157">
        <f t="shared" ca="1" si="556"/>
        <v>1.2632359419616255E-9</v>
      </c>
      <c r="BD154" s="151">
        <f t="shared" ca="1" si="500"/>
        <v>0</v>
      </c>
      <c r="BE154" s="152">
        <f t="shared" ca="1" si="501"/>
        <v>0</v>
      </c>
      <c r="BF154" s="40">
        <f t="shared" si="502"/>
        <v>2011</v>
      </c>
      <c r="BG154" s="144">
        <f t="shared" si="503"/>
        <v>11</v>
      </c>
      <c r="BH154" s="145">
        <f t="shared" ca="1" si="504"/>
        <v>4087</v>
      </c>
      <c r="BI154" s="313">
        <f t="shared" ca="1" si="439"/>
        <v>11.233401779603012</v>
      </c>
      <c r="BJ154" s="42">
        <f t="shared" ca="1" si="505"/>
        <v>11.283927571401904</v>
      </c>
      <c r="BK154" s="42">
        <f t="shared" ca="1" si="506"/>
        <v>11.286665422189037</v>
      </c>
      <c r="BL154" s="42">
        <f t="shared" ca="1" si="440"/>
        <v>11.312799452429843</v>
      </c>
      <c r="BM154" s="150" t="e">
        <f t="shared" ca="1" si="507"/>
        <v>#DIV/0!</v>
      </c>
      <c r="BN154" s="42" t="e">
        <f t="shared" ca="1" si="508"/>
        <v>#DIV/0!</v>
      </c>
      <c r="BO154" s="293">
        <f t="shared" si="441"/>
        <v>22</v>
      </c>
      <c r="BP154" s="41">
        <f t="shared" si="442"/>
        <v>14</v>
      </c>
      <c r="BQ154" s="41">
        <f t="shared" si="443"/>
        <v>8</v>
      </c>
      <c r="BR154" s="305" t="str">
        <f t="shared" ca="1" si="509"/>
        <v/>
      </c>
      <c r="BS154" s="305" t="str">
        <f t="shared" ca="1" si="444"/>
        <v/>
      </c>
      <c r="BT154" s="307" t="str">
        <f t="shared" ca="1" si="445"/>
        <v/>
      </c>
      <c r="BU154" s="161" t="str">
        <f t="shared" ca="1" si="510"/>
        <v/>
      </c>
      <c r="BV154" s="161" t="str">
        <f t="shared" ca="1" si="511"/>
        <v/>
      </c>
      <c r="BW154" s="308" t="str">
        <f t="shared" ca="1" si="512"/>
        <v/>
      </c>
      <c r="BX154" s="309" t="str">
        <f t="shared" ca="1" si="513"/>
        <v/>
      </c>
      <c r="BY154" s="308" t="str">
        <f t="shared" ca="1" si="446"/>
        <v/>
      </c>
      <c r="BZ154" s="309" t="str">
        <f t="shared" ca="1" si="447"/>
        <v/>
      </c>
      <c r="CA154" s="154" t="str">
        <f t="shared" ca="1" si="514"/>
        <v/>
      </c>
      <c r="CB154" s="154" t="str">
        <f t="shared" ca="1" si="515"/>
        <v/>
      </c>
      <c r="CC154" s="154" t="str">
        <f t="shared" ca="1" si="516"/>
        <v/>
      </c>
      <c r="CD154" s="154" t="str">
        <f t="shared" ca="1" si="517"/>
        <v/>
      </c>
      <c r="CE154" s="310">
        <v>1</v>
      </c>
      <c r="CF154" s="162">
        <f ca="1">IF(BD154,_xll.xCrudeAPO(BU154,BV154,CA154,CB154,S155,S156,BI154,BL154,BP154,BQ154,0,Strike1,AO154,CE154,0,BL154,IF(OptControl=4,0,1),0,1),0)</f>
        <v>0</v>
      </c>
      <c r="CG154" s="163">
        <f ca="1">IF(BD154,_xll.xCrudeAPO(BU154,BV154,CA154,CB154,S155,S156,BI154,BL154,BP154,BQ154,0,Strike1,AO154,CE154,0,BL154,IF(OptControl=4,0,1),1,1)+_xll.xCrudeAPO(BU154,BV154,CA154,CB154,S155,S156,BI154,BL154,BP154,BQ154,0,Strike1,AO154,CE154,0,BL154,IF(OptControl=4,0,1),1,2)+IF(OR(VolSkewFlag=2,ABS(BS154)&lt;0.0001),0,IF(BS154&gt;0,-1,1)*CH154*Strike1/BR154^2*BY154/10%),0)</f>
        <v>0</v>
      </c>
      <c r="CH154" s="163">
        <f ca="1">IF(BD154,(_xll.xCrudeAPO(BU154,BV154,CA154,CB154,S155,S156,BI154,BL154,BP154,BQ154,0,Strike1,AO154,CE154,0,BL154,IF(OptControl=4,0,1),3,1)+_xll.xCrudeAPO(BU154,BV154,CA154,CB154,S155,S156,BI154,BL154,BP154,BQ154,0,Strike1,AO154,CE154,0,BL154,IF(OptControl=4,0,1),3,2))/100,0)</f>
        <v>0</v>
      </c>
      <c r="CI154" s="163">
        <f ca="1">IF(BD154,_xll.xCrudeAPO(BU154,BV154,CA154,CB154,S155,S156,BI154-DaysForThetaCalculation/365.25,BL154-DaysForThetaCalculation/365.25,BP154,BQ154,0,Strike1,AO154,CE154,0,BL154,IF(OptControl=4,0,1),0,1)-_xll.xCrudeAPO(BU154,BV154,CA154,CB154,S155,S156,BI154,BL154,BP154,BQ154,0,Strike1,AO154,CE154,0,BL154,IF(OptControl=4,0,1),0,1),0)</f>
        <v>0</v>
      </c>
      <c r="CJ154" s="311">
        <f ca="1">IF(BD154,_xll.xCrudeAPO(BU154,BV154,CC154,CD154,S155,S156,BI154,BL154,BP154,BQ154,0,Strike2,AO154,CE154,0,BL154,IF(OptControl=3,1,0),0,1),0)</f>
        <v>0</v>
      </c>
      <c r="CK154" s="163">
        <f ca="1">IF(BD154,_xll.xCrudeAPO(BU154,BV154,CC154,CD154,S155,S156,BI154,BL154,BP154,BQ154,0,Strike2,AO154,CE154,0,BL154,IF(OptControl=3,1,0),1,1)+_xll.xCrudeAPO(BU154,BV154,CC154,CD154,S155,S156,BI154,BL154,BP154,BQ154,0,Strike2,AO154,CE154,0,BL154,IF(OptControl=3,1,0),1,2)+IF(OR(VolSkewFlag=2,ABS(BT154)&lt;0.0001),0,IF(BT154&gt;0,-1,1)*CL154*Strike2/BR154^2*BZ154/10%),0)</f>
        <v>0</v>
      </c>
      <c r="CL154" s="163">
        <f ca="1">IF(BD154,(_xll.xCrudeAPO(BU154,BV154,CC154,CD154,S155,S156,BI154,BL154,BP154,BQ154,0,Strike2,AO154,CE154,0,BL154,IF(OptControl=3,1,0),3,1)+_xll.xCrudeAPO(BU154,BV154,CC154,CD154,S155,S156,BI154,BL154,BP154,BQ154,0,Strike2,AO154,CE154,0,BL154,IF(OptControl=3,1,0),3,2))/100,0)</f>
        <v>0</v>
      </c>
      <c r="CM154" s="164">
        <f ca="1">IF(BD154,_xll.xCrudeAPO(BU154,BV154,CC154,CD154,S155,S156,BI154-DaysForThetaCalculation/365.25,BL154-DaysForThetaCalculation/365.25,BP154,BQ154,0,Strike2,AO154,CE154,0,BL154,IF(OptControl=3,1,0),0,1)-_xll.xCrudeAPO(BU154,BV154,CC154,CD154,S155,S156,BI154,BL154,BP154,BQ154,0,Strike2,AO154,CE154,0,BL154,IF(OptControl=3,1,0),0,1),0)</f>
        <v>0</v>
      </c>
      <c r="CN154" s="53"/>
      <c r="CO154" s="796" t="str">
        <f t="shared" ca="1" si="532"/>
        <v/>
      </c>
      <c r="CP154" s="800" t="str">
        <f t="shared" ca="1" si="533"/>
        <v/>
      </c>
      <c r="CQ154" s="797" t="str">
        <f t="shared" ca="1" si="534"/>
        <v/>
      </c>
      <c r="CR154" s="797" t="str">
        <f t="shared" ca="1" si="535"/>
        <v/>
      </c>
      <c r="CS154" s="797" t="str">
        <f t="shared" ca="1" si="536"/>
        <v/>
      </c>
      <c r="CT154" s="797" t="str">
        <f t="shared" ca="1" si="537"/>
        <v/>
      </c>
      <c r="CU154" s="798" t="str">
        <f t="shared" ca="1" si="538"/>
        <v/>
      </c>
      <c r="CV154" s="799" t="str">
        <f t="shared" ca="1" si="539"/>
        <v/>
      </c>
      <c r="CW154" s="799" t="str">
        <f t="shared" ca="1" si="540"/>
        <v/>
      </c>
      <c r="CX154" s="163">
        <f ca="1">IF(BD154,_xll.EURO(CP154,Strike1,AO154,AO154,CV154,CO154,IF(OptControl=4,0,1),0),0)</f>
        <v>0</v>
      </c>
      <c r="CY154" s="163">
        <f ca="1">IF(BD154,_xll.EURO(CP154,Strike1,AO154,AO154,CV154,CO154,IF(OptControl=4,0,1),1)+IF(OR(VolSkewFlag=2,ABS(CQ154)&lt;0.0001),0,IF(CQ154&gt;0,-1,1)*CZ154*100*Strike1/CP154^2*CS154/10%),0)</f>
        <v>0</v>
      </c>
      <c r="CZ154" s="163">
        <f ca="1">IF(BD154,_xll.EURO(CP154,Strike1,AO154,AO154,CV154,CO154,IF(OptControl=4,0,1),3)/100,0)</f>
        <v>0</v>
      </c>
      <c r="DA154" s="163">
        <f ca="1">IF(BD154,_xll.EURO(CP154,Strike1,AO154,AO154,CV154,CO154,IF(OptControl=4,0,1),0)-_xll.EURO(CP154,Strike1,AO154,AO154,CV154,CO154-1,IF(OptControl=4,0,1),0),0)</f>
        <v>0</v>
      </c>
      <c r="DB154" s="163">
        <f ca="1">IF(BD154,_xll.EURO(CP154,Strike2,AO154,AO154,CW154,CO154,IF(OptControl=3,1,0),0),0)</f>
        <v>0</v>
      </c>
      <c r="DC154" s="163">
        <f ca="1">IF(BD154,_xll.EURO(CP154,Strike2,AO154,AO154,CW154,CO154,IF(OptControl=3,1,0),1)+IF(OR(VolSkewFlag=2,ABS(CR154)&lt;0.0001),0,IF(CR154&gt;0,-1,1)*DD154*100*Strike2/CP154^2*CT154/10%),0)</f>
        <v>0</v>
      </c>
      <c r="DD154" s="163">
        <f ca="1">IF(BD154,_xll.EURO(CP154,Strike2,AO154,AO154,CW154,CO154,IF(OptControl=3,1,0),3)/100,0)</f>
        <v>0</v>
      </c>
      <c r="DE154" s="164">
        <f ca="1">IF(BD154,_xll.EURO(CP154,Strike2,AO154,AO154,CW154,CO154,IF(OptControl=3,1,0),0)-_xll.EURO(CP154,Strike2,AO154,AO154,CW154,CO154-1,IF(OptControl=3,1,0),0),0)</f>
        <v>0</v>
      </c>
      <c r="DG154" s="667">
        <f t="shared" ca="1" si="541"/>
        <v>40634</v>
      </c>
      <c r="DH154" s="475">
        <v>20.86</v>
      </c>
      <c r="DI154" s="665">
        <v>20.926666666666708</v>
      </c>
      <c r="DJ154" s="666">
        <f t="shared" ca="1" si="518"/>
        <v>40634</v>
      </c>
      <c r="DK154" s="475">
        <v>19.666070078444271</v>
      </c>
      <c r="DL154" s="665">
        <v>19.635166666666709</v>
      </c>
      <c r="DM154" s="667">
        <f t="shared" ca="1" si="519"/>
        <v>40634</v>
      </c>
      <c r="DN154" s="668">
        <f t="shared" si="520"/>
        <v>19.716070078444272</v>
      </c>
      <c r="DO154" s="667">
        <f t="shared" ca="1" si="542"/>
        <v>40634</v>
      </c>
      <c r="DP154" s="579">
        <f t="shared" si="543"/>
        <v>19.635166666666709</v>
      </c>
      <c r="DQ154" s="821">
        <v>0</v>
      </c>
      <c r="DR154" s="666">
        <f t="shared" ca="1" si="521"/>
        <v>40634</v>
      </c>
      <c r="DS154" s="669">
        <v>0.14419999999999902</v>
      </c>
      <c r="DT154" s="606">
        <v>0.14339999999999903</v>
      </c>
      <c r="DU154" s="666">
        <f t="shared" ca="1" si="522"/>
        <v>40634</v>
      </c>
      <c r="DV154" s="669">
        <v>0.14419999999999902</v>
      </c>
      <c r="DW154" s="606">
        <v>0.14339999999999903</v>
      </c>
      <c r="DX154" s="667">
        <f t="shared" ca="1" si="523"/>
        <v>40634</v>
      </c>
      <c r="DY154" s="606">
        <v>0.35</v>
      </c>
      <c r="DZ154" s="667">
        <f t="shared" ca="1" si="544"/>
        <v>40634</v>
      </c>
      <c r="EA154" s="606">
        <f t="shared" si="545"/>
        <v>0.14339999999999903</v>
      </c>
      <c r="EB154" s="1"/>
      <c r="EC154" s="118" t="str">
        <f t="shared" ca="1" si="524"/>
        <v/>
      </c>
      <c r="ED154" s="119" t="str">
        <f t="shared" ca="1" si="525"/>
        <v/>
      </c>
      <c r="EE154" s="112" t="str">
        <f t="shared" ca="1" si="526"/>
        <v/>
      </c>
      <c r="EF154" s="120">
        <f ca="1">IF(BD154,_xll.xASN(BR154,Strike1,AO154,ED154,0,BO154,0,BI154,BL154,IF(OptControl=4,0,1),0),0)</f>
        <v>0</v>
      </c>
      <c r="EG154" s="111">
        <f ca="1">IF(BD154,_xll.xASN(BR154,Strike2,AO154,EE154,0,BO154,0,BI154,BL154,IF(OptControl=3,1,0),0),0)</f>
        <v>0</v>
      </c>
      <c r="EL154" s="55"/>
      <c r="EM154" s="1"/>
      <c r="EN154" s="106"/>
      <c r="EO154" s="106"/>
      <c r="EP154" s="1"/>
      <c r="EQ154" s="683" t="s">
        <v>367</v>
      </c>
      <c r="ES154" s="455"/>
      <c r="ET154" s="36"/>
      <c r="EU154" s="107"/>
      <c r="EV154" s="475"/>
      <c r="EW154" s="456"/>
      <c r="EX154" s="456"/>
      <c r="EY154" s="250"/>
      <c r="EZ154" s="250"/>
      <c r="FA154" s="250"/>
      <c r="FB154" s="250"/>
      <c r="FC154" s="250"/>
      <c r="FD154" s="250"/>
      <c r="FE154" s="250"/>
      <c r="FF154" s="250"/>
      <c r="FG154" s="250"/>
      <c r="FH154" s="250"/>
      <c r="FI154" s="250"/>
      <c r="FJ154" s="673">
        <v>60</v>
      </c>
      <c r="FK154" s="460">
        <f t="shared" ca="1" si="479"/>
        <v>0</v>
      </c>
      <c r="FL154" s="460">
        <f t="shared" ca="1" si="560"/>
        <v>0.16613895452288735</v>
      </c>
      <c r="FM154" s="460">
        <f t="shared" ca="1" si="560"/>
        <v>0.17051356925903269</v>
      </c>
      <c r="FN154" s="460">
        <f t="shared" ca="1" si="560"/>
        <v>0.16723737238456252</v>
      </c>
      <c r="FO154" s="460">
        <f t="shared" ca="1" si="560"/>
        <v>0.16478135305284752</v>
      </c>
      <c r="FP154" s="460">
        <f t="shared" ca="1" si="560"/>
        <v>0.16294066442092434</v>
      </c>
      <c r="FQ154" s="460">
        <f t="shared" ca="1" si="560"/>
        <v>0.16156170411905055</v>
      </c>
      <c r="FR154" s="460">
        <f t="shared" ca="1" si="560"/>
        <v>0.16052930878716029</v>
      </c>
      <c r="FS154" s="460">
        <f t="shared" ca="1" si="560"/>
        <v>0.15975715092696927</v>
      </c>
      <c r="FT154" s="460">
        <f t="shared" ca="1" si="560"/>
        <v>0.15918053765408088</v>
      </c>
      <c r="FU154" s="460">
        <f t="shared" ca="1" si="560"/>
        <v>0.15875101106616446</v>
      </c>
      <c r="FV154" s="460">
        <f t="shared" ca="1" si="560"/>
        <v>0.15843230004690842</v>
      </c>
      <c r="FW154" s="460">
        <f t="shared" ca="1" si="560"/>
        <v>0.15819728590888818</v>
      </c>
      <c r="FX154" s="460">
        <f t="shared" ca="1" si="560"/>
        <v>0.15802572872277576</v>
      </c>
      <c r="FY154" s="460">
        <f t="shared" ca="1" si="560"/>
        <v>0.15790256452148255</v>
      </c>
      <c r="FZ154" s="460">
        <f t="shared" ca="1" si="560"/>
        <v>0.15781663108307017</v>
      </c>
      <c r="GA154" s="460">
        <f t="shared" ca="1" si="560"/>
        <v>0.15775971564381763</v>
      </c>
      <c r="GB154" s="460">
        <f t="shared" ca="1" si="560"/>
        <v>0.15772584464167438</v>
      </c>
      <c r="GC154" s="460">
        <f t="shared" ca="1" si="560"/>
        <v>0.15771075566765186</v>
      </c>
      <c r="GD154" s="460">
        <f t="shared" ca="1" si="560"/>
        <v>0.157711506879398</v>
      </c>
      <c r="GE154" s="460">
        <f t="shared" ca="1" si="560"/>
        <v>0.15772619046108408</v>
      </c>
      <c r="GF154" s="460">
        <f t="shared" ca="1" si="560"/>
        <v>0.15775372523799674</v>
      </c>
      <c r="GG154" s="460">
        <f t="shared" ca="1" si="560"/>
        <v>0.15779370997974845</v>
      </c>
      <c r="GH154" s="460">
        <f t="shared" ca="1" si="560"/>
        <v>0.15784632378425761</v>
      </c>
      <c r="GI154" s="460">
        <f t="shared" ca="1" si="560"/>
        <v>0.1579122636258215</v>
      </c>
      <c r="GJ154" s="460">
        <f t="shared" ca="1" si="560"/>
        <v>0.15799271197697759</v>
      </c>
      <c r="GK154" s="460">
        <f t="shared" ca="1" si="560"/>
        <v>0.15808932960480515</v>
      </c>
      <c r="GL154" s="460">
        <f t="shared" ca="1" si="560"/>
        <v>0.15820427037345075</v>
      </c>
      <c r="GM154" s="460">
        <f t="shared" ca="1" si="560"/>
        <v>0.15834021629224909</v>
      </c>
      <c r="GN154" s="460">
        <f t="shared" ca="1" si="560"/>
        <v>0.15850043224119909</v>
      </c>
      <c r="GO154" s="460">
        <f t="shared" ca="1" si="560"/>
        <v>0.15868884087210428</v>
      </c>
      <c r="GP154" s="460">
        <f t="shared" ca="1" si="560"/>
        <v>0.15891011920234385</v>
      </c>
      <c r="GQ154" s="460">
        <f t="shared" ca="1" si="560"/>
        <v>0.15916981946217806</v>
      </c>
      <c r="GR154" s="460">
        <f t="shared" ca="1" si="560"/>
        <v>0.15947451790066977</v>
      </c>
      <c r="GS154" s="460">
        <f t="shared" ca="1" si="560"/>
        <v>0.15983199658346547</v>
      </c>
      <c r="GT154" s="460">
        <f t="shared" ca="1" si="560"/>
        <v>0.16025146482871927</v>
      </c>
      <c r="GU154" s="460">
        <f t="shared" ca="1" si="560"/>
        <v>0.16074382895415065</v>
      </c>
      <c r="GV154" s="460">
        <f t="shared" ca="1" si="560"/>
        <v>0.16132202161989206</v>
      </c>
      <c r="GW154" s="460">
        <f t="shared" ca="1" si="560"/>
        <v>0.16200140548291639</v>
      </c>
      <c r="GX154" s="460">
        <f t="shared" ca="1" si="560"/>
        <v>0.16280027045723505</v>
      </c>
      <c r="GY154" s="460">
        <f t="shared" ca="1" si="560"/>
        <v>0.16374045006549115</v>
      </c>
      <c r="GZ154" s="460">
        <f t="shared" ca="1" si="560"/>
        <v>0.16484809084310917</v>
      </c>
      <c r="HA154" s="460">
        <f t="shared" ca="1" si="560"/>
        <v>0.16615462049536092</v>
      </c>
      <c r="HB154" s="460">
        <f t="shared" ca="1" si="560"/>
        <v>0.16769797695904634</v>
      </c>
      <c r="HC154" s="460">
        <f t="shared" ca="1" si="560"/>
        <v>0.16952418385444046</v>
      </c>
      <c r="HD154" s="460">
        <f t="shared" ca="1" si="560"/>
        <v>0.17168939132815947</v>
      </c>
      <c r="HE154" s="460">
        <f t="shared" ca="1" si="560"/>
        <v>0.17426255007163294</v>
      </c>
      <c r="HF154" s="460">
        <f t="shared" ca="1" si="560"/>
        <v>0.17732895832857831</v>
      </c>
      <c r="HG154" s="460">
        <f t="shared" ca="1" si="560"/>
        <v>0.18099502969855913</v>
      </c>
      <c r="HH154" s="460">
        <f t="shared" ca="1" si="560"/>
        <v>0.18539479417297641</v>
      </c>
      <c r="HI154" s="460">
        <f t="shared" ca="1" si="560"/>
        <v>0.19069890038197373</v>
      </c>
      <c r="HJ154" s="460">
        <f t="shared" ca="1" si="560"/>
        <v>0.19712729159158682</v>
      </c>
      <c r="HK154" s="460">
        <f t="shared" ca="1" si="560"/>
        <v>0.20496738246142546</v>
      </c>
      <c r="HL154" s="460">
        <f t="shared" ca="1" si="560"/>
        <v>0.21460064779727844</v>
      </c>
      <c r="HM154" s="460">
        <f t="shared" ca="1" si="560"/>
        <v>0.22654237847946684</v>
      </c>
      <c r="HN154" s="460">
        <f t="shared" ca="1" si="560"/>
        <v>0.24150258846713779</v>
      </c>
      <c r="HO154" s="460">
        <f t="shared" ca="1" si="560"/>
        <v>0.26048189707185754</v>
      </c>
      <c r="HP154" s="460">
        <f t="shared" ca="1" si="560"/>
        <v>0.28492716809511454</v>
      </c>
      <c r="HQ154" s="460">
        <f t="shared" ca="1" si="560"/>
        <v>0.31699311402787173</v>
      </c>
      <c r="HR154" s="460">
        <f t="shared" ca="1" si="560"/>
        <v>0.36000000226784445</v>
      </c>
      <c r="HS154" s="460" t="str">
        <f t="shared" si="560"/>
        <v/>
      </c>
      <c r="HT154" s="460" t="str">
        <f t="shared" si="560"/>
        <v/>
      </c>
      <c r="HU154" s="460" t="str">
        <f t="shared" si="560"/>
        <v/>
      </c>
      <c r="HV154" s="460" t="str">
        <f t="shared" si="560"/>
        <v/>
      </c>
      <c r="HW154" s="460" t="str">
        <f t="shared" si="560"/>
        <v/>
      </c>
      <c r="HX154" s="460" t="str">
        <f t="shared" si="559"/>
        <v/>
      </c>
      <c r="HY154" s="460" t="str">
        <f t="shared" si="559"/>
        <v/>
      </c>
      <c r="HZ154" s="460" t="str">
        <f t="shared" si="559"/>
        <v/>
      </c>
      <c r="IA154" s="460" t="str">
        <f t="shared" si="559"/>
        <v/>
      </c>
      <c r="IB154" s="460" t="str">
        <f t="shared" si="559"/>
        <v/>
      </c>
      <c r="IC154" s="460" t="str">
        <f t="shared" si="559"/>
        <v/>
      </c>
      <c r="ID154" s="674" t="str">
        <f t="shared" si="559"/>
        <v/>
      </c>
      <c r="IE154" s="250"/>
    </row>
    <row r="155" spans="8:239">
      <c r="H155" s="51">
        <f t="shared" ca="1" si="527"/>
        <v>0</v>
      </c>
      <c r="I155" s="379">
        <f t="shared" si="528"/>
        <v>40878</v>
      </c>
      <c r="J155" s="377"/>
      <c r="K155" s="104" t="s">
        <v>268</v>
      </c>
      <c r="L155" s="392">
        <f t="shared" si="529"/>
        <v>2.2125000000000026</v>
      </c>
      <c r="M155" s="171"/>
      <c r="N155" s="382">
        <v>0</v>
      </c>
      <c r="O155" s="171">
        <f t="shared" si="490"/>
        <v>0</v>
      </c>
      <c r="P155" s="377"/>
      <c r="Q155" s="104" t="s">
        <v>268</v>
      </c>
      <c r="R155" s="377">
        <f t="shared" ca="1" si="547"/>
        <v>1.0195606908488137</v>
      </c>
      <c r="S155" s="832">
        <f t="shared" si="435"/>
        <v>0.3600000000000001</v>
      </c>
      <c r="T155" s="831">
        <f t="shared" si="548"/>
        <v>0.9999999999265633</v>
      </c>
      <c r="U155" s="545">
        <f t="shared" si="549"/>
        <v>0.99999999999999978</v>
      </c>
      <c r="V155" s="389">
        <v>0</v>
      </c>
      <c r="W155" s="434">
        <f t="shared" si="491"/>
        <v>0</v>
      </c>
      <c r="X155" s="415">
        <f t="shared" si="492"/>
        <v>2.2636363636363659</v>
      </c>
      <c r="Y155" s="322">
        <f t="shared" si="493"/>
        <v>-1.1931</v>
      </c>
      <c r="Z155" s="322">
        <f t="shared" ca="1" si="494"/>
        <v>1.0705363636363658</v>
      </c>
      <c r="AA155" s="429">
        <f t="shared" si="495"/>
        <v>1.1931</v>
      </c>
      <c r="AB155" s="433">
        <f t="shared" ca="1" si="496"/>
        <v>1.1931</v>
      </c>
      <c r="AC155" s="229">
        <v>40867</v>
      </c>
      <c r="AD155" s="229">
        <v>40863</v>
      </c>
      <c r="AE155" s="229">
        <v>40862</v>
      </c>
      <c r="AF155" s="229">
        <v>40858</v>
      </c>
      <c r="AG155" s="249" t="s">
        <v>499</v>
      </c>
      <c r="AH155" s="247" t="s">
        <v>499</v>
      </c>
      <c r="AI155" s="146">
        <v>22</v>
      </c>
      <c r="AJ155" s="41">
        <v>14</v>
      </c>
      <c r="AK155" s="41">
        <v>8</v>
      </c>
      <c r="AL155" s="293">
        <v>22</v>
      </c>
      <c r="AM155" s="41">
        <v>10</v>
      </c>
      <c r="AN155" s="147">
        <v>12</v>
      </c>
      <c r="AO155" s="374"/>
      <c r="AP155" s="153">
        <f t="shared" ca="1" si="530"/>
        <v>1</v>
      </c>
      <c r="AQ155" s="374"/>
      <c r="AR155" s="153">
        <f t="shared" ca="1" si="550"/>
        <v>1</v>
      </c>
      <c r="AS155" s="272">
        <f t="shared" si="497"/>
        <v>0</v>
      </c>
      <c r="AT155" s="157">
        <f t="shared" si="531"/>
        <v>0</v>
      </c>
      <c r="AU155" s="157">
        <f t="shared" si="498"/>
        <v>0</v>
      </c>
      <c r="AV155" s="271">
        <f t="shared" ca="1" si="558"/>
        <v>9.9999999999999995E-7</v>
      </c>
      <c r="AW155" s="158" t="str">
        <f t="shared" ca="1" si="499"/>
        <v/>
      </c>
      <c r="AX155" s="157">
        <f t="shared" ca="1" si="551"/>
        <v>2.675145497169349E-4</v>
      </c>
      <c r="AY155" s="157">
        <f t="shared" ca="1" si="552"/>
        <v>8.4172122696691206E-5</v>
      </c>
      <c r="AZ155" s="157">
        <f t="shared" ca="1" si="553"/>
        <v>6.0011073148944601E-6</v>
      </c>
      <c r="BA155" s="157">
        <f t="shared" ca="1" si="554"/>
        <v>7.5013841436180751E-7</v>
      </c>
      <c r="BB155" s="157">
        <f t="shared" ca="1" si="555"/>
        <v>1.6722745011947243E-8</v>
      </c>
      <c r="BC155" s="157">
        <f t="shared" ca="1" si="556"/>
        <v>1.1254152814024149E-9</v>
      </c>
      <c r="BD155" s="151">
        <f t="shared" ca="1" si="500"/>
        <v>0</v>
      </c>
      <c r="BE155" s="152">
        <f t="shared" ca="1" si="501"/>
        <v>0</v>
      </c>
      <c r="BF155" s="40">
        <f t="shared" si="502"/>
        <v>2011</v>
      </c>
      <c r="BG155" s="144">
        <f t="shared" si="503"/>
        <v>12</v>
      </c>
      <c r="BH155" s="145">
        <f t="shared" ca="1" si="504"/>
        <v>4118</v>
      </c>
      <c r="BI155" s="313">
        <f t="shared" ca="1" si="439"/>
        <v>11.315537303216974</v>
      </c>
      <c r="BJ155" s="42">
        <f t="shared" ca="1" si="505"/>
        <v>11.367805363698588</v>
      </c>
      <c r="BK155" s="42">
        <f t="shared" ca="1" si="506"/>
        <v>11.370543214485721</v>
      </c>
      <c r="BL155" s="42">
        <f t="shared" ca="1" si="440"/>
        <v>11.397672826830938</v>
      </c>
      <c r="BM155" s="150" t="e">
        <f t="shared" ca="1" si="507"/>
        <v>#DIV/0!</v>
      </c>
      <c r="BN155" s="42" t="e">
        <f t="shared" ca="1" si="508"/>
        <v>#DIV/0!</v>
      </c>
      <c r="BO155" s="293">
        <f t="shared" si="441"/>
        <v>22</v>
      </c>
      <c r="BP155" s="41">
        <f t="shared" si="442"/>
        <v>14</v>
      </c>
      <c r="BQ155" s="41">
        <f t="shared" si="443"/>
        <v>8</v>
      </c>
      <c r="BR155" s="305" t="str">
        <f t="shared" ca="1" si="509"/>
        <v/>
      </c>
      <c r="BS155" s="305" t="str">
        <f t="shared" ca="1" si="444"/>
        <v/>
      </c>
      <c r="BT155" s="307" t="str">
        <f t="shared" ca="1" si="445"/>
        <v/>
      </c>
      <c r="BU155" s="161" t="str">
        <f t="shared" ca="1" si="510"/>
        <v/>
      </c>
      <c r="BV155" s="161" t="str">
        <f t="shared" ca="1" si="511"/>
        <v/>
      </c>
      <c r="BW155" s="308" t="str">
        <f t="shared" ca="1" si="512"/>
        <v/>
      </c>
      <c r="BX155" s="309" t="str">
        <f t="shared" ca="1" si="513"/>
        <v/>
      </c>
      <c r="BY155" s="308" t="str">
        <f t="shared" ca="1" si="446"/>
        <v/>
      </c>
      <c r="BZ155" s="309" t="str">
        <f t="shared" ca="1" si="447"/>
        <v/>
      </c>
      <c r="CA155" s="154" t="str">
        <f t="shared" ca="1" si="514"/>
        <v/>
      </c>
      <c r="CB155" s="154" t="str">
        <f t="shared" ca="1" si="515"/>
        <v/>
      </c>
      <c r="CC155" s="154" t="str">
        <f t="shared" ca="1" si="516"/>
        <v/>
      </c>
      <c r="CD155" s="154" t="str">
        <f t="shared" ca="1" si="517"/>
        <v/>
      </c>
      <c r="CE155" s="310">
        <v>1</v>
      </c>
      <c r="CF155" s="162">
        <f ca="1">IF(BD155,_xll.xCrudeAPO(BU155,BV155,CA155,CB155,S156,S157,BI155,BL155,BP155,BQ155,0,Strike1,AO155,CE155,0,BL155,IF(OptControl=4,0,1),0,1),0)</f>
        <v>0</v>
      </c>
      <c r="CG155" s="163">
        <f ca="1">IF(BD155,_xll.xCrudeAPO(BU155,BV155,CA155,CB155,S156,S157,BI155,BL155,BP155,BQ155,0,Strike1,AO155,CE155,0,BL155,IF(OptControl=4,0,1),1,1)+_xll.xCrudeAPO(BU155,BV155,CA155,CB155,S156,S157,BI155,BL155,BP155,BQ155,0,Strike1,AO155,CE155,0,BL155,IF(OptControl=4,0,1),1,2)+IF(OR(VolSkewFlag=2,ABS(BS155)&lt;0.0001),0,IF(BS155&gt;0,-1,1)*CH155*Strike1/BR155^2*BY155/10%),0)</f>
        <v>0</v>
      </c>
      <c r="CH155" s="163">
        <f ca="1">IF(BD155,(_xll.xCrudeAPO(BU155,BV155,CA155,CB155,S156,S157,BI155,BL155,BP155,BQ155,0,Strike1,AO155,CE155,0,BL155,IF(OptControl=4,0,1),3,1)+_xll.xCrudeAPO(BU155,BV155,CA155,CB155,S156,S157,BI155,BL155,BP155,BQ155,0,Strike1,AO155,CE155,0,BL155,IF(OptControl=4,0,1),3,2))/100,0)</f>
        <v>0</v>
      </c>
      <c r="CI155" s="163">
        <f ca="1">IF(BD155,_xll.xCrudeAPO(BU155,BV155,CA155,CB155,S156,S157,BI155-DaysForThetaCalculation/365.25,BL155-DaysForThetaCalculation/365.25,BP155,BQ155,0,Strike1,AO155,CE155,0,BL155,IF(OptControl=4,0,1),0,1)-_xll.xCrudeAPO(BU155,BV155,CA155,CB155,S156,S157,BI155,BL155,BP155,BQ155,0,Strike1,AO155,CE155,0,BL155,IF(OptControl=4,0,1),0,1),0)</f>
        <v>0</v>
      </c>
      <c r="CJ155" s="311">
        <f ca="1">IF(BD155,_xll.xCrudeAPO(BU155,BV155,CC155,CD155,S156,S157,BI155,BL155,BP155,BQ155,0,Strike2,AO155,CE155,0,BL155,IF(OptControl=3,1,0),0,1),0)</f>
        <v>0</v>
      </c>
      <c r="CK155" s="163">
        <f ca="1">IF(BD155,_xll.xCrudeAPO(BU155,BV155,CC155,CD155,S156,S157,BI155,BL155,BP155,BQ155,0,Strike2,AO155,CE155,0,BL155,IF(OptControl=3,1,0),1,1)+_xll.xCrudeAPO(BU155,BV155,CC155,CD155,S156,S157,BI155,BL155,BP155,BQ155,0,Strike2,AO155,CE155,0,BL155,IF(OptControl=3,1,0),1,2)+IF(OR(VolSkewFlag=2,ABS(BT155)&lt;0.0001),0,IF(BT155&gt;0,-1,1)*CL155*Strike2/BR155^2*BZ155/10%),0)</f>
        <v>0</v>
      </c>
      <c r="CL155" s="163">
        <f ca="1">IF(BD155,(_xll.xCrudeAPO(BU155,BV155,CC155,CD155,S156,S157,BI155,BL155,BP155,BQ155,0,Strike2,AO155,CE155,0,BL155,IF(OptControl=3,1,0),3,1)+_xll.xCrudeAPO(BU155,BV155,CC155,CD155,S156,S157,BI155,BL155,BP155,BQ155,0,Strike2,AO155,CE155,0,BL155,IF(OptControl=3,1,0),3,2))/100,0)</f>
        <v>0</v>
      </c>
      <c r="CM155" s="164">
        <f ca="1">IF(BD155,_xll.xCrudeAPO(BU155,BV155,CC155,CD155,S156,S157,BI155-DaysForThetaCalculation/365.25,BL155-DaysForThetaCalculation/365.25,BP155,BQ155,0,Strike2,AO155,CE155,0,BL155,IF(OptControl=3,1,0),0,1)-_xll.xCrudeAPO(BU155,BV155,CC155,CD155,S156,S157,BI155,BL155,BP155,BQ155,0,Strike2,AO155,CE155,0,BL155,IF(OptControl=3,1,0),0,1),0)</f>
        <v>0</v>
      </c>
      <c r="CN155" s="53"/>
      <c r="CO155" s="796" t="str">
        <f t="shared" ca="1" si="532"/>
        <v/>
      </c>
      <c r="CP155" s="800" t="str">
        <f t="shared" ca="1" si="533"/>
        <v/>
      </c>
      <c r="CQ155" s="797" t="str">
        <f t="shared" ca="1" si="534"/>
        <v/>
      </c>
      <c r="CR155" s="797" t="str">
        <f t="shared" ca="1" si="535"/>
        <v/>
      </c>
      <c r="CS155" s="797" t="str">
        <f t="shared" ca="1" si="536"/>
        <v/>
      </c>
      <c r="CT155" s="797" t="str">
        <f t="shared" ca="1" si="537"/>
        <v/>
      </c>
      <c r="CU155" s="798" t="str">
        <f t="shared" ca="1" si="538"/>
        <v/>
      </c>
      <c r="CV155" s="799" t="str">
        <f t="shared" ca="1" si="539"/>
        <v/>
      </c>
      <c r="CW155" s="799" t="str">
        <f t="shared" ca="1" si="540"/>
        <v/>
      </c>
      <c r="CX155" s="163">
        <f ca="1">IF(BD155,_xll.EURO(CP155,Strike1,AO155,AO155,CV155,CO155,IF(OptControl=4,0,1),0),0)</f>
        <v>0</v>
      </c>
      <c r="CY155" s="163">
        <f ca="1">IF(BD155,_xll.EURO(CP155,Strike1,AO155,AO155,CV155,CO155,IF(OptControl=4,0,1),1)+IF(OR(VolSkewFlag=2,ABS(CQ155)&lt;0.0001),0,IF(CQ155&gt;0,-1,1)*CZ155*100*Strike1/CP155^2*CS155/10%),0)</f>
        <v>0</v>
      </c>
      <c r="CZ155" s="163">
        <f ca="1">IF(BD155,_xll.EURO(CP155,Strike1,AO155,AO155,CV155,CO155,IF(OptControl=4,0,1),3)/100,0)</f>
        <v>0</v>
      </c>
      <c r="DA155" s="163">
        <f ca="1">IF(BD155,_xll.EURO(CP155,Strike1,AO155,AO155,CV155,CO155,IF(OptControl=4,0,1),0)-_xll.EURO(CP155,Strike1,AO155,AO155,CV155,CO155-1,IF(OptControl=4,0,1),0),0)</f>
        <v>0</v>
      </c>
      <c r="DB155" s="163">
        <f ca="1">IF(BD155,_xll.EURO(CP155,Strike2,AO155,AO155,CW155,CO155,IF(OptControl=3,1,0),0),0)</f>
        <v>0</v>
      </c>
      <c r="DC155" s="163">
        <f ca="1">IF(BD155,_xll.EURO(CP155,Strike2,AO155,AO155,CW155,CO155,IF(OptControl=3,1,0),1)+IF(OR(VolSkewFlag=2,ABS(CR155)&lt;0.0001),0,IF(CR155&gt;0,-1,1)*DD155*100*Strike2/CP155^2*CT155/10%),0)</f>
        <v>0</v>
      </c>
      <c r="DD155" s="163">
        <f ca="1">IF(BD155,_xll.EURO(CP155,Strike2,AO155,AO155,CW155,CO155,IF(OptControl=3,1,0),3)/100,0)</f>
        <v>0</v>
      </c>
      <c r="DE155" s="164">
        <f ca="1">IF(BD155,_xll.EURO(CP155,Strike2,AO155,AO155,CW155,CO155,IF(OptControl=3,1,0),0)-_xll.EURO(CP155,Strike2,AO155,AO155,CW155,CO155-1,IF(OptControl=3,1,0),0),0)</f>
        <v>0</v>
      </c>
      <c r="DG155" s="667">
        <f t="shared" ca="1" si="541"/>
        <v>40664</v>
      </c>
      <c r="DH155" s="475">
        <v>20.91</v>
      </c>
      <c r="DI155" s="665">
        <v>20.975909090909134</v>
      </c>
      <c r="DJ155" s="666">
        <f t="shared" ca="1" si="518"/>
        <v>40664</v>
      </c>
      <c r="DK155" s="475">
        <v>19.745676862735255</v>
      </c>
      <c r="DL155" s="665">
        <v>19.684409090909135</v>
      </c>
      <c r="DM155" s="667">
        <f t="shared" ca="1" si="519"/>
        <v>40664</v>
      </c>
      <c r="DN155" s="668">
        <f t="shared" si="520"/>
        <v>19.795676862735256</v>
      </c>
      <c r="DO155" s="667">
        <f t="shared" ca="1" si="542"/>
        <v>40664</v>
      </c>
      <c r="DP155" s="579">
        <f t="shared" si="543"/>
        <v>19.684409090909135</v>
      </c>
      <c r="DQ155" s="821">
        <v>0</v>
      </c>
      <c r="DR155" s="666">
        <f t="shared" ca="1" si="521"/>
        <v>40664</v>
      </c>
      <c r="DS155" s="669">
        <v>0.14359999999999903</v>
      </c>
      <c r="DT155" s="606">
        <v>0.14280909090908997</v>
      </c>
      <c r="DU155" s="666">
        <f t="shared" ca="1" si="522"/>
        <v>40664</v>
      </c>
      <c r="DV155" s="669">
        <v>0.14359999999999903</v>
      </c>
      <c r="DW155" s="606">
        <v>0.14280909090908997</v>
      </c>
      <c r="DX155" s="667">
        <f t="shared" ca="1" si="523"/>
        <v>40664</v>
      </c>
      <c r="DY155" s="606">
        <v>0.35</v>
      </c>
      <c r="DZ155" s="667">
        <f t="shared" ca="1" si="544"/>
        <v>40664</v>
      </c>
      <c r="EA155" s="606">
        <f t="shared" si="545"/>
        <v>0.14280909090908997</v>
      </c>
      <c r="EB155" s="1"/>
      <c r="EC155" s="118" t="str">
        <f t="shared" ca="1" si="524"/>
        <v/>
      </c>
      <c r="ED155" s="119" t="str">
        <f t="shared" ca="1" si="525"/>
        <v/>
      </c>
      <c r="EE155" s="112" t="str">
        <f t="shared" ca="1" si="526"/>
        <v/>
      </c>
      <c r="EF155" s="120">
        <f ca="1">IF(BD155,_xll.xASN(BR155,Strike1,AO155,ED155,0,BO155,0,BI155,BL155,IF(OptControl=4,0,1),0),0)</f>
        <v>0</v>
      </c>
      <c r="EG155" s="111">
        <f ca="1">IF(BD155,_xll.xASN(BR155,Strike2,AO155,EE155,0,BO155,0,BI155,BL155,IF(OptControl=3,1,0),0),0)</f>
        <v>0</v>
      </c>
      <c r="EL155" s="55"/>
      <c r="EM155" s="1"/>
      <c r="EN155" s="106"/>
      <c r="EO155" s="106"/>
      <c r="EP155" s="1"/>
      <c r="EQ155" s="683" t="s">
        <v>368</v>
      </c>
      <c r="ES155" s="455"/>
      <c r="ET155" s="36"/>
      <c r="EU155" s="107"/>
      <c r="EV155" s="475"/>
      <c r="EW155" s="456"/>
      <c r="EX155" s="456"/>
      <c r="EY155" s="250"/>
      <c r="EZ155" s="250"/>
      <c r="FA155" s="250"/>
      <c r="FB155" s="250"/>
      <c r="FC155" s="250"/>
      <c r="FD155" s="250"/>
      <c r="FE155" s="250"/>
      <c r="FF155" s="250"/>
      <c r="FG155" s="250"/>
      <c r="FH155" s="250"/>
      <c r="FI155" s="250"/>
      <c r="FJ155" s="673">
        <v>61</v>
      </c>
      <c r="FK155" s="460">
        <f t="shared" ca="1" si="479"/>
        <v>0</v>
      </c>
      <c r="FL155" s="460">
        <f t="shared" ca="1" si="560"/>
        <v>0.16613684105250284</v>
      </c>
      <c r="FM155" s="460">
        <f t="shared" ca="1" si="560"/>
        <v>0.17051103227348965</v>
      </c>
      <c r="FN155" s="460">
        <f t="shared" ca="1" si="560"/>
        <v>0.16723446215789747</v>
      </c>
      <c r="FO155" s="460">
        <f t="shared" ca="1" si="560"/>
        <v>0.16477799926126002</v>
      </c>
      <c r="FP155" s="460">
        <f t="shared" ca="1" si="560"/>
        <v>0.16293678566792771</v>
      </c>
      <c r="FQ155" s="460">
        <f t="shared" ca="1" si="560"/>
        <v>0.16155720594942588</v>
      </c>
      <c r="FR155" s="460">
        <f t="shared" ca="1" si="560"/>
        <v>0.16052408137613561</v>
      </c>
      <c r="FS155" s="460">
        <f t="shared" ca="1" si="560"/>
        <v>0.15975106638760564</v>
      </c>
      <c r="FT155" s="460">
        <f t="shared" ca="1" si="560"/>
        <v>0.15917344689624729</v>
      </c>
      <c r="FU155" s="460">
        <f t="shared" ca="1" si="560"/>
        <v>0.1587427401291816</v>
      </c>
      <c r="FV155" s="460">
        <f t="shared" ca="1" si="560"/>
        <v>0.15842264581464102</v>
      </c>
      <c r="FW155" s="460">
        <f t="shared" ca="1" si="560"/>
        <v>0.15818601110040012</v>
      </c>
      <c r="FX155" s="460">
        <f t="shared" ca="1" si="560"/>
        <v>0.15801255603320602</v>
      </c>
      <c r="FY155" s="460">
        <f t="shared" ca="1" si="560"/>
        <v>0.15788716976603345</v>
      </c>
      <c r="FZ155" s="460">
        <f t="shared" ca="1" si="560"/>
        <v>0.15779863517130416</v>
      </c>
      <c r="GA155" s="460">
        <f t="shared" ca="1" si="560"/>
        <v>0.15773867518108473</v>
      </c>
      <c r="GB155" s="460">
        <f t="shared" ca="1" si="560"/>
        <v>0.15770124091853621</v>
      </c>
      <c r="GC155" s="460">
        <f t="shared" ca="1" si="560"/>
        <v>0.15768198175552248</v>
      </c>
      <c r="GD155" s="460">
        <f t="shared" ca="1" si="560"/>
        <v>0.15767785249994165</v>
      </c>
      <c r="GE155" s="460">
        <f t="shared" ca="1" si="560"/>
        <v>0.15768682423653602</v>
      </c>
      <c r="GF155" s="460">
        <f t="shared" ca="1" si="560"/>
        <v>0.15770767385745543</v>
      </c>
      <c r="GG155" s="460">
        <f t="shared" ca="1" si="560"/>
        <v>0.1577398337300738</v>
      </c>
      <c r="GH155" s="460">
        <f t="shared" ca="1" si="560"/>
        <v>0.15778328779030909</v>
      </c>
      <c r="GI155" s="460">
        <f t="shared" ca="1" si="560"/>
        <v>0.15783850401935179</v>
      </c>
      <c r="GJ155" s="460">
        <f t="shared" ca="1" si="560"/>
        <v>0.15790639606144785</v>
      </c>
      <c r="GK155" s="460">
        <f t="shared" ca="1" si="560"/>
        <v>0.15798830889817</v>
      </c>
      <c r="GL155" s="460">
        <f t="shared" ca="1" si="560"/>
        <v>0.15808602518414072</v>
      </c>
      <c r="GM155" s="460">
        <f t="shared" ca="1" si="560"/>
        <v>0.15820179020422193</v>
      </c>
      <c r="GN155" s="460">
        <f t="shared" ca="1" si="560"/>
        <v>0.15833835453772205</v>
      </c>
      <c r="GO155" s="460">
        <f t="shared" ca="1" si="560"/>
        <v>0.15849903449601224</v>
      </c>
      <c r="GP155" s="460">
        <f t="shared" ca="1" si="560"/>
        <v>0.15868779130783919</v>
      </c>
      <c r="GQ155" s="460">
        <f t="shared" ca="1" si="560"/>
        <v>0.15890933092628418</v>
      </c>
      <c r="GR155" s="460">
        <f t="shared" ca="1" si="560"/>
        <v>0.15916922728601049</v>
      </c>
      <c r="GS155" s="460">
        <f t="shared" ca="1" si="560"/>
        <v>0.15947407291668744</v>
      </c>
      <c r="GT155" s="460">
        <f t="shared" ca="1" si="560"/>
        <v>0.15983166209643704</v>
      </c>
      <c r="GU155" s="460">
        <f t="shared" ca="1" si="560"/>
        <v>0.16025121330454276</v>
      </c>
      <c r="GV155" s="460">
        <f t="shared" ca="1" si="560"/>
        <v>0.16074363973112518</v>
      </c>
      <c r="GW155" s="460">
        <f t="shared" ca="1" si="560"/>
        <v>0.1613218791919814</v>
      </c>
      <c r="GX155" s="460">
        <f t="shared" ca="1" si="560"/>
        <v>0.16200129821202822</v>
      </c>
      <c r="GY155" s="460">
        <f t="shared" ca="1" si="560"/>
        <v>0.16280018960728279</v>
      </c>
      <c r="GZ155" s="460">
        <f t="shared" ca="1" si="560"/>
        <v>0.16374038907781238</v>
      </c>
      <c r="HA155" s="460">
        <f t="shared" ca="1" si="560"/>
        <v>0.16484804479291434</v>
      </c>
      <c r="HB155" s="460">
        <f t="shared" ca="1" si="560"/>
        <v>0.16615458568397157</v>
      </c>
      <c r="HC155" s="460">
        <f t="shared" ca="1" si="560"/>
        <v>0.16769795060798498</v>
      </c>
      <c r="HD155" s="460">
        <f t="shared" ca="1" si="560"/>
        <v>0.1695241638759219</v>
      </c>
      <c r="HE155" s="460">
        <f t="shared" ca="1" si="560"/>
        <v>0.17168937615289051</v>
      </c>
      <c r="HF155" s="460">
        <f t="shared" ca="1" si="560"/>
        <v>0.17426253851960313</v>
      </c>
      <c r="HG155" s="460">
        <f t="shared" ca="1" si="560"/>
        <v>0.17732894951209902</v>
      </c>
      <c r="HH155" s="460">
        <f t="shared" ca="1" si="560"/>
        <v>0.1809950229494964</v>
      </c>
      <c r="HI155" s="460">
        <f t="shared" ca="1" si="560"/>
        <v>0.18539478898813319</v>
      </c>
      <c r="HJ155" s="460">
        <f t="shared" ca="1" si="560"/>
        <v>0.19069889638208826</v>
      </c>
      <c r="HK155" s="460">
        <f t="shared" ca="1" si="560"/>
        <v>0.19712728849054656</v>
      </c>
      <c r="HL155" s="460">
        <f t="shared" ca="1" si="560"/>
        <v>0.20496738004314505</v>
      </c>
      <c r="HM155" s="460">
        <f t="shared" ca="1" si="560"/>
        <v>0.21460064589832548</v>
      </c>
      <c r="HN155" s="460">
        <f t="shared" ca="1" si="560"/>
        <v>0.22654237697599985</v>
      </c>
      <c r="HO155" s="460">
        <f t="shared" ca="1" si="560"/>
        <v>0.24150258726507401</v>
      </c>
      <c r="HP155" s="460">
        <f t="shared" ca="1" si="560"/>
        <v>0.26048189609945843</v>
      </c>
      <c r="HQ155" s="460">
        <f t="shared" ca="1" si="560"/>
        <v>0.28492716729737327</v>
      </c>
      <c r="HR155" s="460">
        <f t="shared" ca="1" si="560"/>
        <v>0.31699311336223179</v>
      </c>
      <c r="HS155" s="460">
        <f t="shared" ca="1" si="560"/>
        <v>0.36000000170088331</v>
      </c>
      <c r="HT155" s="460" t="str">
        <f t="shared" si="560"/>
        <v/>
      </c>
      <c r="HU155" s="460" t="str">
        <f t="shared" si="560"/>
        <v/>
      </c>
      <c r="HV155" s="460" t="str">
        <f t="shared" si="560"/>
        <v/>
      </c>
      <c r="HW155" s="460" t="str">
        <f t="shared" si="560"/>
        <v/>
      </c>
      <c r="HX155" s="460" t="str">
        <f t="shared" si="559"/>
        <v/>
      </c>
      <c r="HY155" s="460" t="str">
        <f t="shared" si="559"/>
        <v/>
      </c>
      <c r="HZ155" s="460" t="str">
        <f t="shared" si="559"/>
        <v/>
      </c>
      <c r="IA155" s="460" t="str">
        <f t="shared" si="559"/>
        <v/>
      </c>
      <c r="IB155" s="460" t="str">
        <f t="shared" si="559"/>
        <v/>
      </c>
      <c r="IC155" s="460" t="str">
        <f t="shared" si="559"/>
        <v/>
      </c>
      <c r="ID155" s="674" t="str">
        <f t="shared" si="559"/>
        <v/>
      </c>
      <c r="IE155" s="250"/>
    </row>
    <row r="156" spans="8:239">
      <c r="H156" s="51">
        <f t="shared" ca="1" si="527"/>
        <v>0</v>
      </c>
      <c r="I156" s="379">
        <f t="shared" si="528"/>
        <v>40909</v>
      </c>
      <c r="J156" s="377"/>
      <c r="K156" s="104" t="s">
        <v>268</v>
      </c>
      <c r="L156" s="392">
        <f t="shared" si="529"/>
        <v>2.2500000000000027</v>
      </c>
      <c r="M156" s="171"/>
      <c r="N156" s="382">
        <v>0</v>
      </c>
      <c r="O156" s="171">
        <f t="shared" si="490"/>
        <v>0</v>
      </c>
      <c r="P156" s="377"/>
      <c r="Q156" s="104" t="s">
        <v>268</v>
      </c>
      <c r="R156" s="377">
        <f t="shared" ca="1" si="547"/>
        <v>1.0442660909593267</v>
      </c>
      <c r="S156" s="832">
        <f t="shared" si="435"/>
        <v>0.3600000000000001</v>
      </c>
      <c r="T156" s="831">
        <f t="shared" si="548"/>
        <v>0.99999999993721156</v>
      </c>
      <c r="U156" s="545">
        <f t="shared" si="549"/>
        <v>0.99999999999999978</v>
      </c>
      <c r="V156" s="389">
        <v>0</v>
      </c>
      <c r="W156" s="434">
        <f t="shared" si="491"/>
        <v>0</v>
      </c>
      <c r="X156" s="415">
        <f t="shared" si="492"/>
        <v>2.2994318181818212</v>
      </c>
      <c r="Y156" s="322">
        <f t="shared" si="493"/>
        <v>-1.1684999999999999</v>
      </c>
      <c r="Z156" s="322">
        <f t="shared" ca="1" si="494"/>
        <v>1.1309318181818213</v>
      </c>
      <c r="AA156" s="429">
        <f t="shared" si="495"/>
        <v>1.1684999999999999</v>
      </c>
      <c r="AB156" s="433">
        <f t="shared" ca="1" si="496"/>
        <v>1.1684999999999999</v>
      </c>
      <c r="AC156" s="229">
        <v>40897</v>
      </c>
      <c r="AD156" s="229">
        <v>40893</v>
      </c>
      <c r="AE156" s="229">
        <v>40892</v>
      </c>
      <c r="AF156" s="229">
        <v>40888</v>
      </c>
      <c r="AG156" s="249" t="s">
        <v>499</v>
      </c>
      <c r="AH156" s="247" t="s">
        <v>499</v>
      </c>
      <c r="AI156" s="146">
        <v>22</v>
      </c>
      <c r="AJ156" s="41">
        <v>15</v>
      </c>
      <c r="AK156" s="41">
        <v>7</v>
      </c>
      <c r="AL156" s="293">
        <v>22</v>
      </c>
      <c r="AM156" s="41">
        <v>10</v>
      </c>
      <c r="AN156" s="147">
        <v>12</v>
      </c>
      <c r="AO156" s="374"/>
      <c r="AP156" s="153">
        <f t="shared" ca="1" si="530"/>
        <v>1</v>
      </c>
      <c r="AQ156" s="374"/>
      <c r="AR156" s="153">
        <f t="shared" ca="1" si="550"/>
        <v>1</v>
      </c>
      <c r="AS156" s="272">
        <f t="shared" si="497"/>
        <v>0</v>
      </c>
      <c r="AT156" s="157">
        <f t="shared" si="531"/>
        <v>0</v>
      </c>
      <c r="AU156" s="157">
        <f t="shared" si="498"/>
        <v>0</v>
      </c>
      <c r="AV156" s="271">
        <f t="shared" ca="1" si="558"/>
        <v>9.9999999999999995E-7</v>
      </c>
      <c r="AW156" s="158" t="str">
        <f t="shared" ca="1" si="499"/>
        <v/>
      </c>
      <c r="AX156" s="157">
        <f t="shared" ca="1" si="551"/>
        <v>2.5862656759484794E-4</v>
      </c>
      <c r="AY156" s="157">
        <f t="shared" ca="1" si="552"/>
        <v>8.0834576212579135E-5</v>
      </c>
      <c r="AZ156" s="157">
        <f t="shared" ca="1" si="553"/>
        <v>5.6642910421750923E-6</v>
      </c>
      <c r="BA156" s="157">
        <f t="shared" ca="1" si="554"/>
        <v>7.0803638027188654E-7</v>
      </c>
      <c r="BB156" s="157">
        <f t="shared" ca="1" si="555"/>
        <v>1.5259751563499295E-8</v>
      </c>
      <c r="BC156" s="157">
        <f t="shared" ca="1" si="556"/>
        <v>1.0026310315769596E-9</v>
      </c>
      <c r="BD156" s="151">
        <f t="shared" ca="1" si="500"/>
        <v>0</v>
      </c>
      <c r="BE156" s="152">
        <f t="shared" ca="1" si="501"/>
        <v>0</v>
      </c>
      <c r="BF156" s="40">
        <f t="shared" si="502"/>
        <v>2012</v>
      </c>
      <c r="BG156" s="144">
        <f t="shared" si="503"/>
        <v>1</v>
      </c>
      <c r="BH156" s="145">
        <f t="shared" ca="1" si="504"/>
        <v>4148</v>
      </c>
      <c r="BI156" s="313">
        <f t="shared" ca="1" si="439"/>
        <v>11.400410677618069</v>
      </c>
      <c r="BJ156" s="42">
        <f t="shared" ca="1" si="505"/>
        <v>11.456412170991227</v>
      </c>
      <c r="BK156" s="42">
        <f t="shared" ca="1" si="506"/>
        <v>11.45915002177836</v>
      </c>
      <c r="BL156" s="42">
        <f t="shared" ca="1" si="440"/>
        <v>11.482546201232033</v>
      </c>
      <c r="BM156" s="150" t="e">
        <f t="shared" ca="1" si="507"/>
        <v>#DIV/0!</v>
      </c>
      <c r="BN156" s="42" t="e">
        <f t="shared" ca="1" si="508"/>
        <v>#DIV/0!</v>
      </c>
      <c r="BO156" s="293">
        <f t="shared" si="441"/>
        <v>22</v>
      </c>
      <c r="BP156" s="41">
        <f t="shared" si="442"/>
        <v>15</v>
      </c>
      <c r="BQ156" s="41">
        <f t="shared" si="443"/>
        <v>7</v>
      </c>
      <c r="BR156" s="305" t="str">
        <f t="shared" ca="1" si="509"/>
        <v/>
      </c>
      <c r="BS156" s="305" t="str">
        <f t="shared" ca="1" si="444"/>
        <v/>
      </c>
      <c r="BT156" s="307" t="str">
        <f t="shared" ca="1" si="445"/>
        <v/>
      </c>
      <c r="BU156" s="161" t="str">
        <f t="shared" ca="1" si="510"/>
        <v/>
      </c>
      <c r="BV156" s="161" t="str">
        <f t="shared" ca="1" si="511"/>
        <v/>
      </c>
      <c r="BW156" s="308" t="str">
        <f t="shared" ca="1" si="512"/>
        <v/>
      </c>
      <c r="BX156" s="309" t="str">
        <f t="shared" ca="1" si="513"/>
        <v/>
      </c>
      <c r="BY156" s="308" t="str">
        <f t="shared" ca="1" si="446"/>
        <v/>
      </c>
      <c r="BZ156" s="309" t="str">
        <f t="shared" ca="1" si="447"/>
        <v/>
      </c>
      <c r="CA156" s="154" t="str">
        <f t="shared" ca="1" si="514"/>
        <v/>
      </c>
      <c r="CB156" s="154" t="str">
        <f t="shared" ca="1" si="515"/>
        <v/>
      </c>
      <c r="CC156" s="154" t="str">
        <f t="shared" ca="1" si="516"/>
        <v/>
      </c>
      <c r="CD156" s="154" t="str">
        <f t="shared" ca="1" si="517"/>
        <v/>
      </c>
      <c r="CE156" s="310">
        <v>1</v>
      </c>
      <c r="CF156" s="162">
        <f ca="1">IF(BD156,_xll.xCrudeAPO(BU156,BV156,CA156,CB156,S157,S158,BI156,BL156,BP156,BQ156,0,Strike1,AO156,CE156,0,BL156,IF(OptControl=4,0,1),0,1),0)</f>
        <v>0</v>
      </c>
      <c r="CG156" s="163">
        <f ca="1">IF(BD156,_xll.xCrudeAPO(BU156,BV156,CA156,CB156,S157,S158,BI156,BL156,BP156,BQ156,0,Strike1,AO156,CE156,0,BL156,IF(OptControl=4,0,1),1,1)+_xll.xCrudeAPO(BU156,BV156,CA156,CB156,S157,S158,BI156,BL156,BP156,BQ156,0,Strike1,AO156,CE156,0,BL156,IF(OptControl=4,0,1),1,2)+IF(OR(VolSkewFlag=2,ABS(BS156)&lt;0.0001),0,IF(BS156&gt;0,-1,1)*CH156*Strike1/BR156^2*BY156/10%),0)</f>
        <v>0</v>
      </c>
      <c r="CH156" s="163">
        <f ca="1">IF(BD156,(_xll.xCrudeAPO(BU156,BV156,CA156,CB156,S157,S158,BI156,BL156,BP156,BQ156,0,Strike1,AO156,CE156,0,BL156,IF(OptControl=4,0,1),3,1)+_xll.xCrudeAPO(BU156,BV156,CA156,CB156,S157,S158,BI156,BL156,BP156,BQ156,0,Strike1,AO156,CE156,0,BL156,IF(OptControl=4,0,1),3,2))/100,0)</f>
        <v>0</v>
      </c>
      <c r="CI156" s="163">
        <f ca="1">IF(BD156,_xll.xCrudeAPO(BU156,BV156,CA156,CB156,S157,S158,BI156-DaysForThetaCalculation/365.25,BL156-DaysForThetaCalculation/365.25,BP156,BQ156,0,Strike1,AO156,CE156,0,BL156,IF(OptControl=4,0,1),0,1)-_xll.xCrudeAPO(BU156,BV156,CA156,CB156,S157,S158,BI156,BL156,BP156,BQ156,0,Strike1,AO156,CE156,0,BL156,IF(OptControl=4,0,1),0,1),0)</f>
        <v>0</v>
      </c>
      <c r="CJ156" s="311">
        <f ca="1">IF(BD156,_xll.xCrudeAPO(BU156,BV156,CC156,CD156,S157,S158,BI156,BL156,BP156,BQ156,0,Strike2,AO156,CE156,0,BL156,IF(OptControl=3,1,0),0,1),0)</f>
        <v>0</v>
      </c>
      <c r="CK156" s="163">
        <f ca="1">IF(BD156,_xll.xCrudeAPO(BU156,BV156,CC156,CD156,S157,S158,BI156,BL156,BP156,BQ156,0,Strike2,AO156,CE156,0,BL156,IF(OptControl=3,1,0),1,1)+_xll.xCrudeAPO(BU156,BV156,CC156,CD156,S157,S158,BI156,BL156,BP156,BQ156,0,Strike2,AO156,CE156,0,BL156,IF(OptControl=3,1,0),1,2)+IF(OR(VolSkewFlag=2,ABS(BT156)&lt;0.0001),0,IF(BT156&gt;0,-1,1)*CL156*Strike2/BR156^2*BZ156/10%),0)</f>
        <v>0</v>
      </c>
      <c r="CL156" s="163">
        <f ca="1">IF(BD156,(_xll.xCrudeAPO(BU156,BV156,CC156,CD156,S157,S158,BI156,BL156,BP156,BQ156,0,Strike2,AO156,CE156,0,BL156,IF(OptControl=3,1,0),3,1)+_xll.xCrudeAPO(BU156,BV156,CC156,CD156,S157,S158,BI156,BL156,BP156,BQ156,0,Strike2,AO156,CE156,0,BL156,IF(OptControl=3,1,0),3,2))/100,0)</f>
        <v>0</v>
      </c>
      <c r="CM156" s="164">
        <f ca="1">IF(BD156,_xll.xCrudeAPO(BU156,BV156,CC156,CD156,S157,S158,BI156-DaysForThetaCalculation/365.25,BL156-DaysForThetaCalculation/365.25,BP156,BQ156,0,Strike2,AO156,CE156,0,BL156,IF(OptControl=3,1,0),0,1)-_xll.xCrudeAPO(BU156,BV156,CC156,CD156,S157,S158,BI156,BL156,BP156,BQ156,0,Strike2,AO156,CE156,0,BL156,IF(OptControl=3,1,0),0,1),0)</f>
        <v>0</v>
      </c>
      <c r="CN156" s="53"/>
      <c r="CO156" s="796" t="str">
        <f t="shared" ca="1" si="532"/>
        <v/>
      </c>
      <c r="CP156" s="800" t="str">
        <f t="shared" ca="1" si="533"/>
        <v/>
      </c>
      <c r="CQ156" s="797" t="str">
        <f t="shared" ca="1" si="534"/>
        <v/>
      </c>
      <c r="CR156" s="797" t="str">
        <f t="shared" ca="1" si="535"/>
        <v/>
      </c>
      <c r="CS156" s="797" t="str">
        <f t="shared" ca="1" si="536"/>
        <v/>
      </c>
      <c r="CT156" s="797" t="str">
        <f t="shared" ca="1" si="537"/>
        <v/>
      </c>
      <c r="CU156" s="798" t="str">
        <f t="shared" ca="1" si="538"/>
        <v/>
      </c>
      <c r="CV156" s="799" t="str">
        <f t="shared" ca="1" si="539"/>
        <v/>
      </c>
      <c r="CW156" s="799" t="str">
        <f t="shared" ca="1" si="540"/>
        <v/>
      </c>
      <c r="CX156" s="163">
        <f ca="1">IF(BD156,_xll.EURO(CP156,Strike1,AO156,AO156,CV156,CO156,IF(OptControl=4,0,1),0),0)</f>
        <v>0</v>
      </c>
      <c r="CY156" s="163">
        <f ca="1">IF(BD156,_xll.EURO(CP156,Strike1,AO156,AO156,CV156,CO156,IF(OptControl=4,0,1),1)+IF(OR(VolSkewFlag=2,ABS(CQ156)&lt;0.0001),0,IF(CQ156&gt;0,-1,1)*CZ156*100*Strike1/CP156^2*CS156/10%),0)</f>
        <v>0</v>
      </c>
      <c r="CZ156" s="163">
        <f ca="1">IF(BD156,_xll.EURO(CP156,Strike1,AO156,AO156,CV156,CO156,IF(OptControl=4,0,1),3)/100,0)</f>
        <v>0</v>
      </c>
      <c r="DA156" s="163">
        <f ca="1">IF(BD156,_xll.EURO(CP156,Strike1,AO156,AO156,CV156,CO156,IF(OptControl=4,0,1),0)-_xll.EURO(CP156,Strike1,AO156,AO156,CV156,CO156-1,IF(OptControl=4,0,1),0),0)</f>
        <v>0</v>
      </c>
      <c r="DB156" s="163">
        <f ca="1">IF(BD156,_xll.EURO(CP156,Strike2,AO156,AO156,CW156,CO156,IF(OptControl=3,1,0),0),0)</f>
        <v>0</v>
      </c>
      <c r="DC156" s="163">
        <f ca="1">IF(BD156,_xll.EURO(CP156,Strike2,AO156,AO156,CW156,CO156,IF(OptControl=3,1,0),1)+IF(OR(VolSkewFlag=2,ABS(CR156)&lt;0.0001),0,IF(CR156&gt;0,-1,1)*DD156*100*Strike2/CP156^2*CT156/10%),0)</f>
        <v>0</v>
      </c>
      <c r="DD156" s="163">
        <f ca="1">IF(BD156,_xll.EURO(CP156,Strike2,AO156,AO156,CW156,CO156,IF(OptControl=3,1,0),3)/100,0)</f>
        <v>0</v>
      </c>
      <c r="DE156" s="164">
        <f ca="1">IF(BD156,_xll.EURO(CP156,Strike2,AO156,AO156,CW156,CO156,IF(OptControl=3,1,0),0)-_xll.EURO(CP156,Strike2,AO156,AO156,CW156,CO156-1,IF(OptControl=3,1,0),0),0)</f>
        <v>0</v>
      </c>
      <c r="DG156" s="667">
        <f t="shared" ca="1" si="541"/>
        <v>40695</v>
      </c>
      <c r="DH156" s="475">
        <v>20.96</v>
      </c>
      <c r="DI156" s="665">
        <v>21.028181818181864</v>
      </c>
      <c r="DJ156" s="666">
        <f t="shared" ca="1" si="518"/>
        <v>40695</v>
      </c>
      <c r="DK156" s="475">
        <v>19.534702852058942</v>
      </c>
      <c r="DL156" s="665">
        <v>19.736681818181864</v>
      </c>
      <c r="DM156" s="667">
        <f t="shared" ca="1" si="519"/>
        <v>40695</v>
      </c>
      <c r="DN156" s="668">
        <f t="shared" si="520"/>
        <v>19.584702852058943</v>
      </c>
      <c r="DO156" s="667">
        <f t="shared" ca="1" si="542"/>
        <v>40695</v>
      </c>
      <c r="DP156" s="579">
        <f t="shared" si="543"/>
        <v>19.736681818181864</v>
      </c>
      <c r="DQ156" s="821">
        <v>0</v>
      </c>
      <c r="DR156" s="666">
        <f t="shared" ca="1" si="521"/>
        <v>40695</v>
      </c>
      <c r="DS156" s="669">
        <v>0.14299999999999904</v>
      </c>
      <c r="DT156" s="606">
        <v>0.14218181818181722</v>
      </c>
      <c r="DU156" s="666">
        <f t="shared" ca="1" si="522"/>
        <v>40695</v>
      </c>
      <c r="DV156" s="669">
        <v>0.14299999999999904</v>
      </c>
      <c r="DW156" s="606">
        <v>0.14218181818181722</v>
      </c>
      <c r="DX156" s="667">
        <f t="shared" ca="1" si="523"/>
        <v>40695</v>
      </c>
      <c r="DY156" s="606">
        <v>0.35</v>
      </c>
      <c r="DZ156" s="667">
        <f t="shared" ca="1" si="544"/>
        <v>40695</v>
      </c>
      <c r="EA156" s="606">
        <f t="shared" si="545"/>
        <v>0.14218181818181722</v>
      </c>
      <c r="EB156" s="1"/>
      <c r="EC156" s="118" t="str">
        <f t="shared" ca="1" si="524"/>
        <v/>
      </c>
      <c r="ED156" s="119" t="str">
        <f t="shared" ca="1" si="525"/>
        <v/>
      </c>
      <c r="EE156" s="112" t="str">
        <f t="shared" ca="1" si="526"/>
        <v/>
      </c>
      <c r="EF156" s="120">
        <f ca="1">IF(BD156,_xll.xASN(BR156,Strike1,AO156,ED156,0,BO156,0,BI156,BL156,IF(OptControl=4,0,1),0),0)</f>
        <v>0</v>
      </c>
      <c r="EG156" s="111">
        <f ca="1">IF(BD156,_xll.xASN(BR156,Strike2,AO156,EE156,0,BO156,0,BI156,BL156,IF(OptControl=3,1,0),0),0)</f>
        <v>0</v>
      </c>
      <c r="EL156" s="55"/>
      <c r="EM156" s="1"/>
      <c r="EN156" s="106"/>
      <c r="EO156" s="106"/>
      <c r="EP156" s="1"/>
      <c r="EQ156" s="683" t="s">
        <v>369</v>
      </c>
      <c r="ES156" s="455"/>
      <c r="ET156" s="36"/>
      <c r="EU156" s="107"/>
      <c r="EV156" s="475"/>
      <c r="EW156" s="456"/>
      <c r="EX156" s="456"/>
      <c r="EY156" s="250"/>
      <c r="EZ156" s="250"/>
      <c r="FA156" s="250"/>
      <c r="FB156" s="250"/>
      <c r="FC156" s="250"/>
      <c r="FD156" s="250"/>
      <c r="FE156" s="250"/>
      <c r="FF156" s="250"/>
      <c r="FG156" s="250"/>
      <c r="FH156" s="250"/>
      <c r="FI156" s="250"/>
      <c r="FJ156" s="673">
        <v>62</v>
      </c>
      <c r="FK156" s="460">
        <f t="shared" ca="1" si="479"/>
        <v>0</v>
      </c>
      <c r="FL156" s="460">
        <f t="shared" ca="1" si="560"/>
        <v>0.16613503405997787</v>
      </c>
      <c r="FM156" s="460">
        <f t="shared" ca="1" si="560"/>
        <v>0.17050886318546343</v>
      </c>
      <c r="FN156" s="460">
        <f t="shared" ca="1" si="560"/>
        <v>0.16723197396053793</v>
      </c>
      <c r="FO156" s="460">
        <f t="shared" ca="1" si="560"/>
        <v>0.16477513183204592</v>
      </c>
      <c r="FP156" s="460">
        <f t="shared" ca="1" si="560"/>
        <v>0.16293346941878334</v>
      </c>
      <c r="FQ156" s="460">
        <f t="shared" ca="1" si="560"/>
        <v>0.16155336012923774</v>
      </c>
      <c r="FR156" s="460">
        <f t="shared" ca="1" si="560"/>
        <v>0.16051961209580209</v>
      </c>
      <c r="FS156" s="460">
        <f t="shared" ca="1" si="560"/>
        <v>0.15974586431894949</v>
      </c>
      <c r="FT156" s="460">
        <f t="shared" ca="1" si="560"/>
        <v>0.15916738458793955</v>
      </c>
      <c r="FU156" s="460">
        <f t="shared" ca="1" si="560"/>
        <v>0.15873566887320589</v>
      </c>
      <c r="FV156" s="460">
        <f t="shared" ca="1" si="560"/>
        <v>0.158414391985507</v>
      </c>
      <c r="FW156" s="460">
        <f t="shared" ca="1" si="560"/>
        <v>0.15817637187599851</v>
      </c>
      <c r="FX156" s="460">
        <f t="shared" ca="1" si="560"/>
        <v>0.15800129439051885</v>
      </c>
      <c r="FY156" s="460">
        <f t="shared" ca="1" si="560"/>
        <v>0.15787400862644446</v>
      </c>
      <c r="FZ156" s="460">
        <f t="shared" ca="1" si="560"/>
        <v>0.15778325054847664</v>
      </c>
      <c r="GA156" s="460">
        <f t="shared" ca="1" si="560"/>
        <v>0.15772068815867038</v>
      </c>
      <c r="GB156" s="460">
        <f t="shared" ca="1" si="560"/>
        <v>0.15768020825459575</v>
      </c>
      <c r="GC156" s="460">
        <f t="shared" ca="1" si="560"/>
        <v>0.15765738487457504</v>
      </c>
      <c r="GD156" s="460">
        <f t="shared" ca="1" si="560"/>
        <v>0.15764908459090859</v>
      </c>
      <c r="GE156" s="460">
        <f t="shared" ca="1" si="560"/>
        <v>0.15765317512415905</v>
      </c>
      <c r="GF156" s="460">
        <f t="shared" ca="1" si="560"/>
        <v>0.15766831225438954</v>
      </c>
      <c r="GG156" s="460">
        <f t="shared" ca="1" si="560"/>
        <v>0.1576937864047338</v>
      </c>
      <c r="GH156" s="460">
        <f t="shared" ca="1" si="560"/>
        <v>0.15772941509913163</v>
      </c>
      <c r="GI156" s="460">
        <f t="shared" ca="1" si="560"/>
        <v>0.1577754711482296</v>
      </c>
      <c r="GJ156" s="460">
        <f t="shared" ca="1" si="560"/>
        <v>0.15783263919567245</v>
      </c>
      <c r="GK156" s="460">
        <f t="shared" ca="1" si="560"/>
        <v>0.15790199538816754</v>
      </c>
      <c r="GL156" s="460">
        <f t="shared" ca="1" si="560"/>
        <v>0.15798500658906436</v>
      </c>
      <c r="GM156" s="460">
        <f t="shared" ca="1" si="560"/>
        <v>0.15808354686864243</v>
      </c>
      <c r="GN156" s="460">
        <f t="shared" ca="1" si="560"/>
        <v>0.15819993007730032</v>
      </c>
      <c r="GO156" s="460">
        <f t="shared" ca="1" si="560"/>
        <v>0.15833695822182678</v>
      </c>
      <c r="GP156" s="460">
        <f t="shared" ca="1" si="560"/>
        <v>0.15849798618712208</v>
      </c>
      <c r="GQ156" s="460">
        <f t="shared" ca="1" si="560"/>
        <v>0.15868700413464043</v>
      </c>
      <c r="GR156" s="460">
        <f t="shared" ca="1" si="560"/>
        <v>0.15890873971923941</v>
      </c>
      <c r="GS156" s="460">
        <f t="shared" ca="1" si="560"/>
        <v>0.1591687831538848</v>
      </c>
      <c r="GT156" s="460">
        <f t="shared" ca="1" si="560"/>
        <v>0.15947373917870067</v>
      </c>
      <c r="GU156" s="460">
        <f t="shared" ca="1" si="560"/>
        <v>0.15983141123116582</v>
      </c>
      <c r="GV156" s="460">
        <f t="shared" ca="1" si="560"/>
        <v>0.16025102466141031</v>
      </c>
      <c r="GW156" s="460">
        <f t="shared" ca="1" si="560"/>
        <v>0.16074349781385605</v>
      </c>
      <c r="GX156" s="460">
        <f t="shared" ca="1" si="560"/>
        <v>0.16132177237104847</v>
      </c>
      <c r="GY156" s="460">
        <f t="shared" ca="1" si="560"/>
        <v>0.16200121775886195</v>
      </c>
      <c r="GZ156" s="460">
        <f t="shared" ca="1" si="560"/>
        <v>0.16280012896981866</v>
      </c>
      <c r="HA156" s="460">
        <f t="shared" ca="1" si="560"/>
        <v>0.16374034333705323</v>
      </c>
      <c r="HB156" s="460">
        <f t="shared" ca="1" si="560"/>
        <v>0.16484801025526832</v>
      </c>
      <c r="HC156" s="460">
        <f t="shared" ca="1" si="560"/>
        <v>0.16615455957542952</v>
      </c>
      <c r="HD156" s="460">
        <f t="shared" ca="1" si="560"/>
        <v>0.16769793084468898</v>
      </c>
      <c r="HE156" s="460">
        <f t="shared" ca="1" si="560"/>
        <v>0.16952414889203288</v>
      </c>
      <c r="HF156" s="460">
        <f t="shared" ca="1" si="560"/>
        <v>0.17168936477143884</v>
      </c>
      <c r="HG156" s="460">
        <f t="shared" ca="1" si="560"/>
        <v>0.17426252985558077</v>
      </c>
      <c r="HH156" s="460">
        <f t="shared" ca="1" si="560"/>
        <v>0.17732894289973955</v>
      </c>
      <c r="HI156" s="460">
        <f t="shared" ca="1" si="560"/>
        <v>0.18099501788769939</v>
      </c>
      <c r="HJ156" s="460">
        <f t="shared" ca="1" si="560"/>
        <v>0.1853947850995008</v>
      </c>
      <c r="HK156" s="460">
        <f t="shared" ca="1" si="560"/>
        <v>0.19069889338217411</v>
      </c>
      <c r="HL156" s="460">
        <f t="shared" ca="1" si="560"/>
        <v>0.19712728616476644</v>
      </c>
      <c r="HM156" s="460">
        <f t="shared" ca="1" si="560"/>
        <v>0.2049673782294347</v>
      </c>
      <c r="HN156" s="460">
        <f t="shared" ca="1" si="560"/>
        <v>0.21460064447411076</v>
      </c>
      <c r="HO156" s="460">
        <f t="shared" ca="1" si="560"/>
        <v>0.22654237584839956</v>
      </c>
      <c r="HP156" s="460">
        <f t="shared" ca="1" si="560"/>
        <v>0.2415025863635262</v>
      </c>
      <c r="HQ156" s="460">
        <f t="shared" ca="1" si="560"/>
        <v>0.2604818953701592</v>
      </c>
      <c r="HR156" s="460">
        <f t="shared" ca="1" si="560"/>
        <v>0.2849271666990672</v>
      </c>
      <c r="HS156" s="460">
        <f t="shared" ca="1" si="560"/>
        <v>0.31699311286300191</v>
      </c>
      <c r="HT156" s="460">
        <f t="shared" ca="1" si="560"/>
        <v>0.36000000127566245</v>
      </c>
      <c r="HU156" s="460" t="str">
        <f t="shared" si="560"/>
        <v/>
      </c>
      <c r="HV156" s="460" t="str">
        <f t="shared" si="560"/>
        <v/>
      </c>
      <c r="HW156" s="460" t="str">
        <f t="shared" ref="HW156:ID163" si="561">IF($FJ81&lt;HW$94,"",SQRT(HW81/HW$15))</f>
        <v/>
      </c>
      <c r="HX156" s="460" t="str">
        <f t="shared" si="561"/>
        <v/>
      </c>
      <c r="HY156" s="460" t="str">
        <f t="shared" si="561"/>
        <v/>
      </c>
      <c r="HZ156" s="460" t="str">
        <f t="shared" si="561"/>
        <v/>
      </c>
      <c r="IA156" s="460" t="str">
        <f t="shared" si="561"/>
        <v/>
      </c>
      <c r="IB156" s="460" t="str">
        <f t="shared" si="561"/>
        <v/>
      </c>
      <c r="IC156" s="460" t="str">
        <f t="shared" si="561"/>
        <v/>
      </c>
      <c r="ID156" s="674" t="str">
        <f t="shared" si="561"/>
        <v/>
      </c>
      <c r="IE156" s="250"/>
    </row>
    <row r="157" spans="8:239">
      <c r="H157" s="51">
        <f t="shared" ca="1" si="527"/>
        <v>0</v>
      </c>
      <c r="I157" s="379">
        <f t="shared" si="528"/>
        <v>40940</v>
      </c>
      <c r="J157" s="377"/>
      <c r="K157" s="104" t="s">
        <v>268</v>
      </c>
      <c r="L157" s="392">
        <f t="shared" si="529"/>
        <v>2.2875000000000028</v>
      </c>
      <c r="M157" s="171"/>
      <c r="N157" s="382">
        <v>0</v>
      </c>
      <c r="O157" s="171">
        <f t="shared" si="490"/>
        <v>0</v>
      </c>
      <c r="P157" s="377"/>
      <c r="Q157" s="104" t="s">
        <v>268</v>
      </c>
      <c r="R157" s="377">
        <f t="shared" ca="1" si="547"/>
        <v>1.0924282575338986</v>
      </c>
      <c r="S157" s="832">
        <f t="shared" si="435"/>
        <v>0.3600000000000001</v>
      </c>
      <c r="T157" s="831">
        <f t="shared" si="548"/>
        <v>0.99999999994631583</v>
      </c>
      <c r="U157" s="545">
        <f t="shared" si="549"/>
        <v>0.99999999999999978</v>
      </c>
      <c r="V157" s="389">
        <v>0</v>
      </c>
      <c r="W157" s="434">
        <f t="shared" si="491"/>
        <v>0</v>
      </c>
      <c r="X157" s="415">
        <f t="shared" si="492"/>
        <v>2.337500000000003</v>
      </c>
      <c r="Y157" s="322">
        <f t="shared" si="493"/>
        <v>-1.1684999999999999</v>
      </c>
      <c r="Z157" s="322">
        <f t="shared" ca="1" si="494"/>
        <v>1.1690000000000031</v>
      </c>
      <c r="AA157" s="429">
        <f t="shared" si="495"/>
        <v>1.1684999999999999</v>
      </c>
      <c r="AB157" s="433">
        <f t="shared" ca="1" si="496"/>
        <v>1.1684999999999999</v>
      </c>
      <c r="AC157" s="229">
        <v>40928</v>
      </c>
      <c r="AD157" s="229">
        <v>40924</v>
      </c>
      <c r="AE157" s="229">
        <v>40923</v>
      </c>
      <c r="AF157" s="229">
        <v>40919</v>
      </c>
      <c r="AG157" s="249" t="s">
        <v>499</v>
      </c>
      <c r="AH157" s="247" t="s">
        <v>499</v>
      </c>
      <c r="AI157" s="146">
        <v>21</v>
      </c>
      <c r="AJ157" s="41">
        <v>14</v>
      </c>
      <c r="AK157" s="41">
        <v>7</v>
      </c>
      <c r="AL157" s="293">
        <v>21</v>
      </c>
      <c r="AM157" s="41">
        <v>10</v>
      </c>
      <c r="AN157" s="147">
        <v>11</v>
      </c>
      <c r="AO157" s="374"/>
      <c r="AP157" s="153">
        <f t="shared" ca="1" si="530"/>
        <v>1</v>
      </c>
      <c r="AQ157" s="374"/>
      <c r="AR157" s="153">
        <f t="shared" ca="1" si="550"/>
        <v>1</v>
      </c>
      <c r="AS157" s="272">
        <f t="shared" si="497"/>
        <v>0</v>
      </c>
      <c r="AT157" s="157">
        <f t="shared" si="531"/>
        <v>0</v>
      </c>
      <c r="AU157" s="157">
        <f t="shared" si="498"/>
        <v>0</v>
      </c>
      <c r="AV157" s="271">
        <f t="shared" ca="1" si="558"/>
        <v>9.9999999999999995E-7</v>
      </c>
      <c r="AW157" s="158" t="str">
        <f t="shared" ca="1" si="499"/>
        <v/>
      </c>
      <c r="AX157" s="157">
        <f t="shared" ca="1" si="551"/>
        <v>2.500338824062778E-4</v>
      </c>
      <c r="AY157" s="157">
        <f t="shared" ca="1" si="552"/>
        <v>7.7629368276869231E-5</v>
      </c>
      <c r="AZ157" s="157">
        <f t="shared" ca="1" si="553"/>
        <v>5.3463788142620895E-6</v>
      </c>
      <c r="BA157" s="157">
        <f t="shared" ca="1" si="554"/>
        <v>6.6829735178276119E-7</v>
      </c>
      <c r="BB157" s="157">
        <f t="shared" ca="1" si="555"/>
        <v>1.3924748455672608E-8</v>
      </c>
      <c r="BC157" s="157">
        <f t="shared" ca="1" si="556"/>
        <v>8.9324270079963833E-10</v>
      </c>
      <c r="BD157" s="151">
        <f t="shared" ca="1" si="500"/>
        <v>0</v>
      </c>
      <c r="BE157" s="152">
        <f t="shared" ca="1" si="501"/>
        <v>0</v>
      </c>
      <c r="BF157" s="40">
        <f t="shared" si="502"/>
        <v>2012</v>
      </c>
      <c r="BG157" s="144">
        <f t="shared" si="503"/>
        <v>2</v>
      </c>
      <c r="BH157" s="145">
        <f t="shared" ca="1" si="504"/>
        <v>4179</v>
      </c>
      <c r="BI157" s="313">
        <f t="shared" ca="1" si="439"/>
        <v>11.485284052019164</v>
      </c>
      <c r="BJ157" s="42">
        <f t="shared" ca="1" si="505"/>
        <v>11.53639060004563</v>
      </c>
      <c r="BK157" s="42">
        <f t="shared" ca="1" si="506"/>
        <v>11.539128450832763</v>
      </c>
      <c r="BL157" s="42">
        <f t="shared" ca="1" si="440"/>
        <v>11.561943874058864</v>
      </c>
      <c r="BM157" s="150" t="e">
        <f t="shared" ca="1" si="507"/>
        <v>#DIV/0!</v>
      </c>
      <c r="BN157" s="42" t="e">
        <f t="shared" ca="1" si="508"/>
        <v>#DIV/0!</v>
      </c>
      <c r="BO157" s="293">
        <f t="shared" si="441"/>
        <v>21</v>
      </c>
      <c r="BP157" s="41">
        <f t="shared" si="442"/>
        <v>14</v>
      </c>
      <c r="BQ157" s="41">
        <f t="shared" si="443"/>
        <v>7</v>
      </c>
      <c r="BR157" s="305" t="str">
        <f t="shared" ca="1" si="509"/>
        <v/>
      </c>
      <c r="BS157" s="305" t="str">
        <f t="shared" ca="1" si="444"/>
        <v/>
      </c>
      <c r="BT157" s="307" t="str">
        <f t="shared" ca="1" si="445"/>
        <v/>
      </c>
      <c r="BU157" s="161" t="str">
        <f t="shared" ca="1" si="510"/>
        <v/>
      </c>
      <c r="BV157" s="161" t="str">
        <f t="shared" ca="1" si="511"/>
        <v/>
      </c>
      <c r="BW157" s="308" t="str">
        <f t="shared" ca="1" si="512"/>
        <v/>
      </c>
      <c r="BX157" s="309" t="str">
        <f t="shared" ca="1" si="513"/>
        <v/>
      </c>
      <c r="BY157" s="308" t="str">
        <f t="shared" ca="1" si="446"/>
        <v/>
      </c>
      <c r="BZ157" s="309" t="str">
        <f t="shared" ca="1" si="447"/>
        <v/>
      </c>
      <c r="CA157" s="154" t="str">
        <f t="shared" ca="1" si="514"/>
        <v/>
      </c>
      <c r="CB157" s="154" t="str">
        <f t="shared" ca="1" si="515"/>
        <v/>
      </c>
      <c r="CC157" s="154" t="str">
        <f t="shared" ca="1" si="516"/>
        <v/>
      </c>
      <c r="CD157" s="154" t="str">
        <f t="shared" ca="1" si="517"/>
        <v/>
      </c>
      <c r="CE157" s="310">
        <v>1</v>
      </c>
      <c r="CF157" s="162">
        <f ca="1">IF(BD157,_xll.xCrudeAPO(BU157,BV157,CA157,CB157,S158,S159,BI157,BL157,BP157,BQ157,0,Strike1,AO157,CE157,0,BL157,IF(OptControl=4,0,1),0,1),0)</f>
        <v>0</v>
      </c>
      <c r="CG157" s="163">
        <f ca="1">IF(BD157,_xll.xCrudeAPO(BU157,BV157,CA157,CB157,S158,S159,BI157,BL157,BP157,BQ157,0,Strike1,AO157,CE157,0,BL157,IF(OptControl=4,0,1),1,1)+_xll.xCrudeAPO(BU157,BV157,CA157,CB157,S158,S159,BI157,BL157,BP157,BQ157,0,Strike1,AO157,CE157,0,BL157,IF(OptControl=4,0,1),1,2)+IF(OR(VolSkewFlag=2,ABS(BS157)&lt;0.0001),0,IF(BS157&gt;0,-1,1)*CH157*Strike1/BR157^2*BY157/10%),0)</f>
        <v>0</v>
      </c>
      <c r="CH157" s="163">
        <f ca="1">IF(BD157,(_xll.xCrudeAPO(BU157,BV157,CA157,CB157,S158,S159,BI157,BL157,BP157,BQ157,0,Strike1,AO157,CE157,0,BL157,IF(OptControl=4,0,1),3,1)+_xll.xCrudeAPO(BU157,BV157,CA157,CB157,S158,S159,BI157,BL157,BP157,BQ157,0,Strike1,AO157,CE157,0,BL157,IF(OptControl=4,0,1),3,2))/100,0)</f>
        <v>0</v>
      </c>
      <c r="CI157" s="163">
        <f ca="1">IF(BD157,_xll.xCrudeAPO(BU157,BV157,CA157,CB157,S158,S159,BI157-DaysForThetaCalculation/365.25,BL157-DaysForThetaCalculation/365.25,BP157,BQ157,0,Strike1,AO157,CE157,0,BL157,IF(OptControl=4,0,1),0,1)-_xll.xCrudeAPO(BU157,BV157,CA157,CB157,S158,S159,BI157,BL157,BP157,BQ157,0,Strike1,AO157,CE157,0,BL157,IF(OptControl=4,0,1),0,1),0)</f>
        <v>0</v>
      </c>
      <c r="CJ157" s="311">
        <f ca="1">IF(BD157,_xll.xCrudeAPO(BU157,BV157,CC157,CD157,S158,S159,BI157,BL157,BP157,BQ157,0,Strike2,AO157,CE157,0,BL157,IF(OptControl=3,1,0),0,1),0)</f>
        <v>0</v>
      </c>
      <c r="CK157" s="163">
        <f ca="1">IF(BD157,_xll.xCrudeAPO(BU157,BV157,CC157,CD157,S158,S159,BI157,BL157,BP157,BQ157,0,Strike2,AO157,CE157,0,BL157,IF(OptControl=3,1,0),1,1)+_xll.xCrudeAPO(BU157,BV157,CC157,CD157,S158,S159,BI157,BL157,BP157,BQ157,0,Strike2,AO157,CE157,0,BL157,IF(OptControl=3,1,0),1,2)+IF(OR(VolSkewFlag=2,ABS(BT157)&lt;0.0001),0,IF(BT157&gt;0,-1,1)*CL157*Strike2/BR157^2*BZ157/10%),0)</f>
        <v>0</v>
      </c>
      <c r="CL157" s="163">
        <f ca="1">IF(BD157,(_xll.xCrudeAPO(BU157,BV157,CC157,CD157,S158,S159,BI157,BL157,BP157,BQ157,0,Strike2,AO157,CE157,0,BL157,IF(OptControl=3,1,0),3,1)+_xll.xCrudeAPO(BU157,BV157,CC157,CD157,S158,S159,BI157,BL157,BP157,BQ157,0,Strike2,AO157,CE157,0,BL157,IF(OptControl=3,1,0),3,2))/100,0)</f>
        <v>0</v>
      </c>
      <c r="CM157" s="164">
        <f ca="1">IF(BD157,_xll.xCrudeAPO(BU157,BV157,CC157,CD157,S158,S159,BI157-DaysForThetaCalculation/365.25,BL157-DaysForThetaCalculation/365.25,BP157,BQ157,0,Strike2,AO157,CE157,0,BL157,IF(OptControl=3,1,0),0,1)-_xll.xCrudeAPO(BU157,BV157,CC157,CD157,S158,S159,BI157,BL157,BP157,BQ157,0,Strike2,AO157,CE157,0,BL157,IF(OptControl=3,1,0),0,1),0)</f>
        <v>0</v>
      </c>
      <c r="CN157" s="53"/>
      <c r="CO157" s="796" t="str">
        <f t="shared" ca="1" si="532"/>
        <v/>
      </c>
      <c r="CP157" s="800" t="str">
        <f t="shared" ca="1" si="533"/>
        <v/>
      </c>
      <c r="CQ157" s="797" t="str">
        <f t="shared" ca="1" si="534"/>
        <v/>
      </c>
      <c r="CR157" s="797" t="str">
        <f t="shared" ca="1" si="535"/>
        <v/>
      </c>
      <c r="CS157" s="797" t="str">
        <f t="shared" ca="1" si="536"/>
        <v/>
      </c>
      <c r="CT157" s="797" t="str">
        <f t="shared" ca="1" si="537"/>
        <v/>
      </c>
      <c r="CU157" s="798" t="str">
        <f t="shared" ca="1" si="538"/>
        <v/>
      </c>
      <c r="CV157" s="799" t="str">
        <f t="shared" ca="1" si="539"/>
        <v/>
      </c>
      <c r="CW157" s="799" t="str">
        <f t="shared" ca="1" si="540"/>
        <v/>
      </c>
      <c r="CX157" s="163">
        <f ca="1">IF(BD157,_xll.EURO(CP157,Strike1,AO157,AO157,CV157,CO157,IF(OptControl=4,0,1),0),0)</f>
        <v>0</v>
      </c>
      <c r="CY157" s="163">
        <f ca="1">IF(BD157,_xll.EURO(CP157,Strike1,AO157,AO157,CV157,CO157,IF(OptControl=4,0,1),1)+IF(OR(VolSkewFlag=2,ABS(CQ157)&lt;0.0001),0,IF(CQ157&gt;0,-1,1)*CZ157*100*Strike1/CP157^2*CS157/10%),0)</f>
        <v>0</v>
      </c>
      <c r="CZ157" s="163">
        <f ca="1">IF(BD157,_xll.EURO(CP157,Strike1,AO157,AO157,CV157,CO157,IF(OptControl=4,0,1),3)/100,0)</f>
        <v>0</v>
      </c>
      <c r="DA157" s="163">
        <f ca="1">IF(BD157,_xll.EURO(CP157,Strike1,AO157,AO157,CV157,CO157,IF(OptControl=4,0,1),0)-_xll.EURO(CP157,Strike1,AO157,AO157,CV157,CO157-1,IF(OptControl=4,0,1),0),0)</f>
        <v>0</v>
      </c>
      <c r="DB157" s="163">
        <f ca="1">IF(BD157,_xll.EURO(CP157,Strike2,AO157,AO157,CW157,CO157,IF(OptControl=3,1,0),0),0)</f>
        <v>0</v>
      </c>
      <c r="DC157" s="163">
        <f ca="1">IF(BD157,_xll.EURO(CP157,Strike2,AO157,AO157,CW157,CO157,IF(OptControl=3,1,0),1)+IF(OR(VolSkewFlag=2,ABS(CR157)&lt;0.0001),0,IF(CR157&gt;0,-1,1)*DD157*100*Strike2/CP157^2*CT157/10%),0)</f>
        <v>0</v>
      </c>
      <c r="DD157" s="163">
        <f ca="1">IF(BD157,_xll.EURO(CP157,Strike2,AO157,AO157,CW157,CO157,IF(OptControl=3,1,0),3)/100,0)</f>
        <v>0</v>
      </c>
      <c r="DE157" s="164">
        <f ca="1">IF(BD157,_xll.EURO(CP157,Strike2,AO157,AO157,CW157,CO157,IF(OptControl=3,1,0),0)-_xll.EURO(CP157,Strike2,AO157,AO157,CW157,CO157-1,IF(OptControl=3,1,0),0),0)</f>
        <v>0</v>
      </c>
      <c r="DG157" s="667">
        <f t="shared" ca="1" si="541"/>
        <v>40725</v>
      </c>
      <c r="DH157" s="475">
        <v>21.01</v>
      </c>
      <c r="DI157" s="665">
        <v>21.077500000000001</v>
      </c>
      <c r="DJ157" s="666">
        <f t="shared" ca="1" si="518"/>
        <v>40725</v>
      </c>
      <c r="DK157" s="475">
        <v>19.809164289950964</v>
      </c>
      <c r="DL157" s="665">
        <v>19.810600000000047</v>
      </c>
      <c r="DM157" s="667">
        <f t="shared" ca="1" si="519"/>
        <v>40725</v>
      </c>
      <c r="DN157" s="668">
        <f t="shared" si="520"/>
        <v>19.859164289950964</v>
      </c>
      <c r="DO157" s="667">
        <f t="shared" ca="1" si="542"/>
        <v>40725</v>
      </c>
      <c r="DP157" s="579">
        <f t="shared" si="543"/>
        <v>19.810600000000047</v>
      </c>
      <c r="DQ157" s="821">
        <v>0</v>
      </c>
      <c r="DR157" s="666">
        <f t="shared" ca="1" si="521"/>
        <v>40725</v>
      </c>
      <c r="DS157" s="669">
        <v>0.14239999999999903</v>
      </c>
      <c r="DT157" s="606">
        <v>0.14158999999999902</v>
      </c>
      <c r="DU157" s="666">
        <f t="shared" ca="1" si="522"/>
        <v>40725</v>
      </c>
      <c r="DV157" s="669">
        <v>0.14239999999999903</v>
      </c>
      <c r="DW157" s="606">
        <v>0.14158999999999902</v>
      </c>
      <c r="DX157" s="667">
        <f t="shared" ca="1" si="523"/>
        <v>40725</v>
      </c>
      <c r="DY157" s="606">
        <v>0.35</v>
      </c>
      <c r="DZ157" s="667">
        <f t="shared" ca="1" si="544"/>
        <v>40725</v>
      </c>
      <c r="EA157" s="606">
        <f t="shared" si="545"/>
        <v>0.14158999999999902</v>
      </c>
      <c r="EB157" s="1"/>
      <c r="EC157" s="118" t="str">
        <f t="shared" ca="1" si="524"/>
        <v/>
      </c>
      <c r="ED157" s="119" t="str">
        <f t="shared" ca="1" si="525"/>
        <v/>
      </c>
      <c r="EE157" s="112" t="str">
        <f t="shared" ca="1" si="526"/>
        <v/>
      </c>
      <c r="EF157" s="120">
        <f ca="1">IF(BD157,_xll.xASN(BR157,Strike1,AO157,ED157,0,BO157,0,BI157,BL157,IF(OptControl=4,0,1),0),0)</f>
        <v>0</v>
      </c>
      <c r="EG157" s="111">
        <f ca="1">IF(BD157,_xll.xASN(BR157,Strike2,AO157,EE157,0,BO157,0,BI157,BL157,IF(OptControl=3,1,0),0),0)</f>
        <v>0</v>
      </c>
      <c r="EL157" s="55"/>
      <c r="EM157" s="1"/>
      <c r="EN157" s="106"/>
      <c r="EO157" s="106"/>
      <c r="EP157" s="1"/>
      <c r="EQ157" s="683" t="s">
        <v>370</v>
      </c>
      <c r="ES157" s="455"/>
      <c r="ET157" s="36"/>
      <c r="EU157" s="107"/>
      <c r="EV157" s="475"/>
      <c r="EW157" s="456"/>
      <c r="EX157" s="456"/>
      <c r="EY157" s="250"/>
      <c r="EZ157" s="250"/>
      <c r="FA157" s="250"/>
      <c r="FB157" s="250"/>
      <c r="FC157" s="250"/>
      <c r="FD157" s="250"/>
      <c r="FE157" s="250"/>
      <c r="FF157" s="250"/>
      <c r="FG157" s="250"/>
      <c r="FH157" s="250"/>
      <c r="FI157" s="250"/>
      <c r="FJ157" s="673">
        <v>63</v>
      </c>
      <c r="FK157" s="460">
        <f t="shared" ca="1" si="479"/>
        <v>0</v>
      </c>
      <c r="FL157" s="460">
        <f t="shared" ref="FL157:HW160" ca="1" si="562">IF($FJ82&lt;FL$94,"",SQRT(FL82/FL$15))</f>
        <v>0.16613348909939135</v>
      </c>
      <c r="FM157" s="460">
        <f t="shared" ca="1" si="562"/>
        <v>0.17050700864050364</v>
      </c>
      <c r="FN157" s="460">
        <f t="shared" ca="1" si="562"/>
        <v>0.167229846585743</v>
      </c>
      <c r="FO157" s="460">
        <f t="shared" ca="1" si="562"/>
        <v>0.16477268022582406</v>
      </c>
      <c r="FP157" s="460">
        <f t="shared" ca="1" si="562"/>
        <v>0.16293063408765746</v>
      </c>
      <c r="FQ157" s="460">
        <f t="shared" ca="1" si="562"/>
        <v>0.16155007203692573</v>
      </c>
      <c r="FR157" s="460">
        <f t="shared" ca="1" si="562"/>
        <v>0.16051579097522026</v>
      </c>
      <c r="FS157" s="460">
        <f t="shared" ca="1" si="562"/>
        <v>0.15974141670558431</v>
      </c>
      <c r="FT157" s="460">
        <f t="shared" ca="1" si="562"/>
        <v>0.15916220152605975</v>
      </c>
      <c r="FU157" s="460">
        <f t="shared" ca="1" si="562"/>
        <v>0.15872962323819009</v>
      </c>
      <c r="FV157" s="460">
        <f t="shared" ca="1" si="562"/>
        <v>0.15840733535592474</v>
      </c>
      <c r="FW157" s="460">
        <f t="shared" ca="1" si="562"/>
        <v>0.15816813087775111</v>
      </c>
      <c r="FX157" s="460">
        <f t="shared" ca="1" si="562"/>
        <v>0.15799166642201656</v>
      </c>
      <c r="FY157" s="460">
        <f t="shared" ca="1" si="562"/>
        <v>0.15786275685810799</v>
      </c>
      <c r="FZ157" s="460">
        <f t="shared" ca="1" si="562"/>
        <v>0.15777009807137318</v>
      </c>
      <c r="GA157" s="460">
        <f t="shared" ca="1" si="562"/>
        <v>0.15770531113530906</v>
      </c>
      <c r="GB157" s="460">
        <f t="shared" ca="1" si="562"/>
        <v>0.15766222789919515</v>
      </c>
      <c r="GC157" s="460">
        <f t="shared" ca="1" si="562"/>
        <v>0.15763635805972889</v>
      </c>
      <c r="GD157" s="460">
        <f t="shared" ca="1" si="562"/>
        <v>0.15762449284160412</v>
      </c>
      <c r="GE157" s="460">
        <f t="shared" ca="1" si="562"/>
        <v>0.15762441171744823</v>
      </c>
      <c r="GF157" s="460">
        <f t="shared" ca="1" si="562"/>
        <v>0.15763466709232213</v>
      </c>
      <c r="GG157" s="460">
        <f t="shared" ca="1" si="562"/>
        <v>0.15765442826777959</v>
      </c>
      <c r="GH157" s="460">
        <f t="shared" ca="1" si="562"/>
        <v>0.15768337081519268</v>
      </c>
      <c r="GI157" s="460">
        <f t="shared" ca="1" si="562"/>
        <v>0.15772160112592509</v>
      </c>
      <c r="GJ157" s="460">
        <f t="shared" ca="1" si="562"/>
        <v>0.15776960866666997</v>
      </c>
      <c r="GK157" s="460">
        <f t="shared" ca="1" si="562"/>
        <v>0.15782824057791284</v>
      </c>
      <c r="GL157" s="460">
        <f t="shared" ca="1" si="562"/>
        <v>0.15789869488320737</v>
      </c>
      <c r="GM157" s="460">
        <f t="shared" ca="1" si="562"/>
        <v>0.15798252985723513</v>
      </c>
      <c r="GN157" s="460">
        <f t="shared" ca="1" si="562"/>
        <v>0.1580816881320187</v>
      </c>
      <c r="GO157" s="460">
        <f t="shared" ca="1" si="562"/>
        <v>0.15819853498210912</v>
      </c>
      <c r="GP157" s="460">
        <f t="shared" ca="1" si="562"/>
        <v>0.15833591098490532</v>
      </c>
      <c r="GQ157" s="460">
        <f t="shared" ca="1" si="562"/>
        <v>0.15849719995545447</v>
      </c>
      <c r="GR157" s="460">
        <f t="shared" ca="1" si="562"/>
        <v>0.15868641375474132</v>
      </c>
      <c r="GS157" s="460">
        <f t="shared" ca="1" si="562"/>
        <v>0.15890829631395584</v>
      </c>
      <c r="GT157" s="460">
        <f t="shared" ca="1" si="562"/>
        <v>0.15916845005479055</v>
      </c>
      <c r="GU157" s="460">
        <f t="shared" ca="1" si="562"/>
        <v>0.15947348887521068</v>
      </c>
      <c r="GV157" s="460">
        <f t="shared" ca="1" si="562"/>
        <v>0.15983122308221231</v>
      </c>
      <c r="GW157" s="460">
        <f t="shared" ca="1" si="562"/>
        <v>0.16025088317906092</v>
      </c>
      <c r="GX157" s="460">
        <f t="shared" ca="1" si="562"/>
        <v>0.16074339137590427</v>
      </c>
      <c r="GY157" s="460">
        <f t="shared" ca="1" si="562"/>
        <v>0.16132169225534865</v>
      </c>
      <c r="GZ157" s="460">
        <f t="shared" ca="1" si="562"/>
        <v>0.1620011574189873</v>
      </c>
      <c r="HA157" s="460">
        <f t="shared" ca="1" si="562"/>
        <v>0.16280008349172048</v>
      </c>
      <c r="HB157" s="460">
        <f t="shared" ca="1" si="562"/>
        <v>0.16374030903148398</v>
      </c>
      <c r="HC157" s="460">
        <f t="shared" ca="1" si="562"/>
        <v>0.16484798435203377</v>
      </c>
      <c r="HD157" s="460">
        <f t="shared" ca="1" si="562"/>
        <v>0.16615453999402305</v>
      </c>
      <c r="HE157" s="460">
        <f t="shared" ca="1" si="562"/>
        <v>0.16769791602221695</v>
      </c>
      <c r="HF157" s="460">
        <f t="shared" ca="1" si="562"/>
        <v>0.1695241376541162</v>
      </c>
      <c r="HG157" s="460">
        <f t="shared" ca="1" si="562"/>
        <v>0.17168935623535009</v>
      </c>
      <c r="HH157" s="460">
        <f t="shared" ca="1" si="562"/>
        <v>0.17426252335756398</v>
      </c>
      <c r="HI157" s="460">
        <f t="shared" ca="1" si="562"/>
        <v>0.17732893794046994</v>
      </c>
      <c r="HJ157" s="460">
        <f t="shared" ca="1" si="562"/>
        <v>0.18099501409135163</v>
      </c>
      <c r="HK157" s="460">
        <f t="shared" ca="1" si="562"/>
        <v>0.18539478218302644</v>
      </c>
      <c r="HL157" s="460">
        <f t="shared" ca="1" si="562"/>
        <v>0.19069889113223853</v>
      </c>
      <c r="HM157" s="460">
        <f t="shared" ca="1" si="562"/>
        <v>0.19712728442043134</v>
      </c>
      <c r="HN157" s="460">
        <f t="shared" ca="1" si="562"/>
        <v>0.20496737686915195</v>
      </c>
      <c r="HO157" s="460">
        <f t="shared" ca="1" si="562"/>
        <v>0.2146006434059497</v>
      </c>
      <c r="HP157" s="460">
        <f t="shared" ca="1" si="562"/>
        <v>0.22654237500269939</v>
      </c>
      <c r="HQ157" s="460">
        <f t="shared" ca="1" si="562"/>
        <v>0.24150258568736538</v>
      </c>
      <c r="HR157" s="460">
        <f t="shared" ca="1" si="562"/>
        <v>0.26048189482318468</v>
      </c>
      <c r="HS157" s="460">
        <f t="shared" ca="1" si="562"/>
        <v>0.2849271662503377</v>
      </c>
      <c r="HT157" s="460">
        <f t="shared" ca="1" si="562"/>
        <v>0.31699311248857936</v>
      </c>
      <c r="HU157" s="460">
        <f t="shared" ca="1" si="562"/>
        <v>0.36000000095674684</v>
      </c>
      <c r="HV157" s="460" t="str">
        <f t="shared" si="562"/>
        <v/>
      </c>
      <c r="HW157" s="460" t="str">
        <f t="shared" si="562"/>
        <v/>
      </c>
      <c r="HX157" s="460" t="str">
        <f t="shared" si="561"/>
        <v/>
      </c>
      <c r="HY157" s="460" t="str">
        <f t="shared" si="561"/>
        <v/>
      </c>
      <c r="HZ157" s="460" t="str">
        <f t="shared" si="561"/>
        <v/>
      </c>
      <c r="IA157" s="460" t="str">
        <f t="shared" si="561"/>
        <v/>
      </c>
      <c r="IB157" s="460" t="str">
        <f t="shared" si="561"/>
        <v/>
      </c>
      <c r="IC157" s="460" t="str">
        <f t="shared" si="561"/>
        <v/>
      </c>
      <c r="ID157" s="674" t="str">
        <f t="shared" si="561"/>
        <v/>
      </c>
      <c r="IE157" s="250"/>
    </row>
    <row r="158" spans="8:239">
      <c r="H158" s="51">
        <f t="shared" ca="1" si="527"/>
        <v>0</v>
      </c>
      <c r="I158" s="379">
        <f t="shared" si="528"/>
        <v>40969</v>
      </c>
      <c r="J158" s="377"/>
      <c r="K158" s="104" t="s">
        <v>268</v>
      </c>
      <c r="L158" s="392">
        <f t="shared" si="529"/>
        <v>2.3250000000000028</v>
      </c>
      <c r="M158" s="171"/>
      <c r="N158" s="382">
        <v>0</v>
      </c>
      <c r="O158" s="171">
        <f t="shared" si="490"/>
        <v>0</v>
      </c>
      <c r="P158" s="377"/>
      <c r="Q158" s="104" t="s">
        <v>268</v>
      </c>
      <c r="R158" s="377">
        <f t="shared" ca="1" si="547"/>
        <v>1.163018118721757</v>
      </c>
      <c r="S158" s="832">
        <f t="shared" si="435"/>
        <v>0.3600000000000001</v>
      </c>
      <c r="T158" s="831">
        <f t="shared" si="548"/>
        <v>0.99999999995410005</v>
      </c>
      <c r="U158" s="545">
        <f t="shared" si="549"/>
        <v>0.99999999999999978</v>
      </c>
      <c r="V158" s="389">
        <v>0</v>
      </c>
      <c r="W158" s="434">
        <f t="shared" si="491"/>
        <v>0</v>
      </c>
      <c r="X158" s="415">
        <f t="shared" si="492"/>
        <v>2.3761363636363666</v>
      </c>
      <c r="Y158" s="322">
        <f t="shared" si="493"/>
        <v>-1.1684999999999999</v>
      </c>
      <c r="Z158" s="322">
        <f t="shared" ca="1" si="494"/>
        <v>1.2076363636363667</v>
      </c>
      <c r="AA158" s="429">
        <f t="shared" si="495"/>
        <v>1.1684999999999999</v>
      </c>
      <c r="AB158" s="433">
        <f t="shared" ca="1" si="496"/>
        <v>1.1684999999999999</v>
      </c>
      <c r="AC158" s="229">
        <v>40959</v>
      </c>
      <c r="AD158" s="229">
        <v>40955</v>
      </c>
      <c r="AE158" s="229">
        <v>40954</v>
      </c>
      <c r="AF158" s="229">
        <v>40950</v>
      </c>
      <c r="AG158" s="249" t="s">
        <v>499</v>
      </c>
      <c r="AH158" s="247" t="s">
        <v>499</v>
      </c>
      <c r="AI158" s="146">
        <v>22</v>
      </c>
      <c r="AJ158" s="41">
        <v>14</v>
      </c>
      <c r="AK158" s="41">
        <v>8</v>
      </c>
      <c r="AL158" s="293">
        <v>22</v>
      </c>
      <c r="AM158" s="41">
        <v>10</v>
      </c>
      <c r="AN158" s="147">
        <v>12</v>
      </c>
      <c r="AO158" s="374"/>
      <c r="AP158" s="153">
        <f t="shared" ca="1" si="530"/>
        <v>1</v>
      </c>
      <c r="AQ158" s="374"/>
      <c r="AR158" s="153">
        <f t="shared" ca="1" si="550"/>
        <v>1</v>
      </c>
      <c r="AS158" s="272">
        <f t="shared" si="497"/>
        <v>0</v>
      </c>
      <c r="AT158" s="157">
        <f t="shared" si="531"/>
        <v>0</v>
      </c>
      <c r="AU158" s="157">
        <f t="shared" si="498"/>
        <v>0</v>
      </c>
      <c r="AV158" s="271">
        <f t="shared" ca="1" si="558"/>
        <v>9.9999999999999995E-7</v>
      </c>
      <c r="AW158" s="158" t="str">
        <f t="shared" ca="1" si="499"/>
        <v/>
      </c>
      <c r="AX158" s="157">
        <f t="shared" ca="1" si="551"/>
        <v>2.417266831190074E-4</v>
      </c>
      <c r="AY158" s="157">
        <f t="shared" ca="1" si="552"/>
        <v>7.4551251474588669E-5</v>
      </c>
      <c r="AZ158" s="157">
        <f t="shared" ca="1" si="553"/>
        <v>5.0463096286475983E-6</v>
      </c>
      <c r="BA158" s="157">
        <f t="shared" ca="1" si="554"/>
        <v>6.3078870358094978E-7</v>
      </c>
      <c r="BB158" s="157">
        <f t="shared" ca="1" si="555"/>
        <v>1.2706538422129645E-8</v>
      </c>
      <c r="BC158" s="157">
        <f t="shared" ca="1" si="556"/>
        <v>7.9578877713061152E-10</v>
      </c>
      <c r="BD158" s="151">
        <f t="shared" ca="1" si="500"/>
        <v>0</v>
      </c>
      <c r="BE158" s="152">
        <f t="shared" ca="1" si="501"/>
        <v>0</v>
      </c>
      <c r="BF158" s="40">
        <f t="shared" si="502"/>
        <v>2012</v>
      </c>
      <c r="BG158" s="144">
        <f t="shared" si="503"/>
        <v>3</v>
      </c>
      <c r="BH158" s="145">
        <f t="shared" ca="1" si="504"/>
        <v>4210</v>
      </c>
      <c r="BI158" s="313">
        <f t="shared" ca="1" si="439"/>
        <v>11.564681724845997</v>
      </c>
      <c r="BJ158" s="42">
        <f t="shared" ca="1" si="505"/>
        <v>11.616949785327609</v>
      </c>
      <c r="BK158" s="42">
        <f t="shared" ca="1" si="506"/>
        <v>11.619687636114742</v>
      </c>
      <c r="BL158" s="42">
        <f t="shared" ca="1" si="440"/>
        <v>11.646817248459959</v>
      </c>
      <c r="BM158" s="150" t="e">
        <f t="shared" ca="1" si="507"/>
        <v>#DIV/0!</v>
      </c>
      <c r="BN158" s="42" t="e">
        <f t="shared" ca="1" si="508"/>
        <v>#DIV/0!</v>
      </c>
      <c r="BO158" s="293">
        <f t="shared" si="441"/>
        <v>22</v>
      </c>
      <c r="BP158" s="41">
        <f t="shared" si="442"/>
        <v>14</v>
      </c>
      <c r="BQ158" s="41">
        <f t="shared" si="443"/>
        <v>8</v>
      </c>
      <c r="BR158" s="305" t="str">
        <f t="shared" ca="1" si="509"/>
        <v/>
      </c>
      <c r="BS158" s="305" t="str">
        <f t="shared" ca="1" si="444"/>
        <v/>
      </c>
      <c r="BT158" s="307" t="str">
        <f t="shared" ca="1" si="445"/>
        <v/>
      </c>
      <c r="BU158" s="161" t="str">
        <f t="shared" ca="1" si="510"/>
        <v/>
      </c>
      <c r="BV158" s="161" t="str">
        <f t="shared" ca="1" si="511"/>
        <v/>
      </c>
      <c r="BW158" s="308" t="str">
        <f t="shared" ca="1" si="512"/>
        <v/>
      </c>
      <c r="BX158" s="309" t="str">
        <f t="shared" ca="1" si="513"/>
        <v/>
      </c>
      <c r="BY158" s="308" t="str">
        <f t="shared" ca="1" si="446"/>
        <v/>
      </c>
      <c r="BZ158" s="309" t="str">
        <f t="shared" ca="1" si="447"/>
        <v/>
      </c>
      <c r="CA158" s="154" t="str">
        <f t="shared" ca="1" si="514"/>
        <v/>
      </c>
      <c r="CB158" s="154" t="str">
        <f t="shared" ca="1" si="515"/>
        <v/>
      </c>
      <c r="CC158" s="154" t="str">
        <f t="shared" ca="1" si="516"/>
        <v/>
      </c>
      <c r="CD158" s="154" t="str">
        <f t="shared" ca="1" si="517"/>
        <v/>
      </c>
      <c r="CE158" s="310">
        <v>1</v>
      </c>
      <c r="CF158" s="162">
        <f ca="1">IF(BD158,_xll.xCrudeAPO(BU158,BV158,CA158,CB158,S159,S160,BI158,BL158,BP158,BQ158,0,Strike1,AO158,CE158,0,BL158,IF(OptControl=4,0,1),0,1),0)</f>
        <v>0</v>
      </c>
      <c r="CG158" s="163">
        <f ca="1">IF(BD158,_xll.xCrudeAPO(BU158,BV158,CA158,CB158,S159,S160,BI158,BL158,BP158,BQ158,0,Strike1,AO158,CE158,0,BL158,IF(OptControl=4,0,1),1,1)+_xll.xCrudeAPO(BU158,BV158,CA158,CB158,S159,S160,BI158,BL158,BP158,BQ158,0,Strike1,AO158,CE158,0,BL158,IF(OptControl=4,0,1),1,2)+IF(OR(VolSkewFlag=2,ABS(BS158)&lt;0.0001),0,IF(BS158&gt;0,-1,1)*CH158*Strike1/BR158^2*BY158/10%),0)</f>
        <v>0</v>
      </c>
      <c r="CH158" s="163">
        <f ca="1">IF(BD158,(_xll.xCrudeAPO(BU158,BV158,CA158,CB158,S159,S160,BI158,BL158,BP158,BQ158,0,Strike1,AO158,CE158,0,BL158,IF(OptControl=4,0,1),3,1)+_xll.xCrudeAPO(BU158,BV158,CA158,CB158,S159,S160,BI158,BL158,BP158,BQ158,0,Strike1,AO158,CE158,0,BL158,IF(OptControl=4,0,1),3,2))/100,0)</f>
        <v>0</v>
      </c>
      <c r="CI158" s="163">
        <f ca="1">IF(BD158,_xll.xCrudeAPO(BU158,BV158,CA158,CB158,S159,S160,BI158-DaysForThetaCalculation/365.25,BL158-DaysForThetaCalculation/365.25,BP158,BQ158,0,Strike1,AO158,CE158,0,BL158,IF(OptControl=4,0,1),0,1)-_xll.xCrudeAPO(BU158,BV158,CA158,CB158,S159,S160,BI158,BL158,BP158,BQ158,0,Strike1,AO158,CE158,0,BL158,IF(OptControl=4,0,1),0,1),0)</f>
        <v>0</v>
      </c>
      <c r="CJ158" s="311">
        <f ca="1">IF(BD158,_xll.xCrudeAPO(BU158,BV158,CC158,CD158,S159,S160,BI158,BL158,BP158,BQ158,0,Strike2,AO158,CE158,0,BL158,IF(OptControl=3,1,0),0,1),0)</f>
        <v>0</v>
      </c>
      <c r="CK158" s="163">
        <f ca="1">IF(BD158,_xll.xCrudeAPO(BU158,BV158,CC158,CD158,S159,S160,BI158,BL158,BP158,BQ158,0,Strike2,AO158,CE158,0,BL158,IF(OptControl=3,1,0),1,1)+_xll.xCrudeAPO(BU158,BV158,CC158,CD158,S159,S160,BI158,BL158,BP158,BQ158,0,Strike2,AO158,CE158,0,BL158,IF(OptControl=3,1,0),1,2)+IF(OR(VolSkewFlag=2,ABS(BT158)&lt;0.0001),0,IF(BT158&gt;0,-1,1)*CL158*Strike2/BR158^2*BZ158/10%),0)</f>
        <v>0</v>
      </c>
      <c r="CL158" s="163">
        <f ca="1">IF(BD158,(_xll.xCrudeAPO(BU158,BV158,CC158,CD158,S159,S160,BI158,BL158,BP158,BQ158,0,Strike2,AO158,CE158,0,BL158,IF(OptControl=3,1,0),3,1)+_xll.xCrudeAPO(BU158,BV158,CC158,CD158,S159,S160,BI158,BL158,BP158,BQ158,0,Strike2,AO158,CE158,0,BL158,IF(OptControl=3,1,0),3,2))/100,0)</f>
        <v>0</v>
      </c>
      <c r="CM158" s="164">
        <f ca="1">IF(BD158,_xll.xCrudeAPO(BU158,BV158,CC158,CD158,S159,S160,BI158-DaysForThetaCalculation/365.25,BL158-DaysForThetaCalculation/365.25,BP158,BQ158,0,Strike2,AO158,CE158,0,BL158,IF(OptControl=3,1,0),0,1)-_xll.xCrudeAPO(BU158,BV158,CC158,CD158,S159,S160,BI158,BL158,BP158,BQ158,0,Strike2,AO158,CE158,0,BL158,IF(OptControl=3,1,0),0,1),0)</f>
        <v>0</v>
      </c>
      <c r="CN158" s="53"/>
      <c r="CO158" s="796" t="str">
        <f t="shared" ca="1" si="532"/>
        <v/>
      </c>
      <c r="CP158" s="800" t="str">
        <f t="shared" ca="1" si="533"/>
        <v/>
      </c>
      <c r="CQ158" s="797" t="str">
        <f t="shared" ca="1" si="534"/>
        <v/>
      </c>
      <c r="CR158" s="797" t="str">
        <f t="shared" ca="1" si="535"/>
        <v/>
      </c>
      <c r="CS158" s="797" t="str">
        <f t="shared" ca="1" si="536"/>
        <v/>
      </c>
      <c r="CT158" s="797" t="str">
        <f t="shared" ca="1" si="537"/>
        <v/>
      </c>
      <c r="CU158" s="798" t="str">
        <f t="shared" ca="1" si="538"/>
        <v/>
      </c>
      <c r="CV158" s="799" t="str">
        <f t="shared" ca="1" si="539"/>
        <v/>
      </c>
      <c r="CW158" s="799" t="str">
        <f t="shared" ca="1" si="540"/>
        <v/>
      </c>
      <c r="CX158" s="163">
        <f ca="1">IF(BD158,_xll.EURO(CP158,Strike1,AO158,AO158,CV158,CO158,IF(OptControl=4,0,1),0),0)</f>
        <v>0</v>
      </c>
      <c r="CY158" s="163">
        <f ca="1">IF(BD158,_xll.EURO(CP158,Strike1,AO158,AO158,CV158,CO158,IF(OptControl=4,0,1),1)+IF(OR(VolSkewFlag=2,ABS(CQ158)&lt;0.0001),0,IF(CQ158&gt;0,-1,1)*CZ158*100*Strike1/CP158^2*CS158/10%),0)</f>
        <v>0</v>
      </c>
      <c r="CZ158" s="163">
        <f ca="1">IF(BD158,_xll.EURO(CP158,Strike1,AO158,AO158,CV158,CO158,IF(OptControl=4,0,1),3)/100,0)</f>
        <v>0</v>
      </c>
      <c r="DA158" s="163">
        <f ca="1">IF(BD158,_xll.EURO(CP158,Strike1,AO158,AO158,CV158,CO158,IF(OptControl=4,0,1),0)-_xll.EURO(CP158,Strike1,AO158,AO158,CV158,CO158-1,IF(OptControl=4,0,1),0),0)</f>
        <v>0</v>
      </c>
      <c r="DB158" s="163">
        <f ca="1">IF(BD158,_xll.EURO(CP158,Strike2,AO158,AO158,CW158,CO158,IF(OptControl=3,1,0),0),0)</f>
        <v>0</v>
      </c>
      <c r="DC158" s="163">
        <f ca="1">IF(BD158,_xll.EURO(CP158,Strike2,AO158,AO158,CW158,CO158,IF(OptControl=3,1,0),1)+IF(OR(VolSkewFlag=2,ABS(CR158)&lt;0.0001),0,IF(CR158&gt;0,-1,1)*DD158*100*Strike2/CP158^2*CT158/10%),0)</f>
        <v>0</v>
      </c>
      <c r="DD158" s="163">
        <f ca="1">IF(BD158,_xll.EURO(CP158,Strike2,AO158,AO158,CW158,CO158,IF(OptControl=3,1,0),3)/100,0)</f>
        <v>0</v>
      </c>
      <c r="DE158" s="164">
        <f ca="1">IF(BD158,_xll.EURO(CP158,Strike2,AO158,AO158,CW158,CO158,IF(OptControl=3,1,0),0)-_xll.EURO(CP158,Strike2,AO158,AO158,CW158,CO158-1,IF(OptControl=3,1,0),0),0)</f>
        <v>0</v>
      </c>
      <c r="DG158" s="667">
        <f t="shared" ca="1" si="541"/>
        <v>40756</v>
      </c>
      <c r="DH158" s="475">
        <v>21.06</v>
      </c>
      <c r="DI158" s="665">
        <v>21.127391304347871</v>
      </c>
      <c r="DJ158" s="666">
        <f t="shared" ca="1" si="518"/>
        <v>40756</v>
      </c>
      <c r="DK158" s="475">
        <v>19.676279758374282</v>
      </c>
      <c r="DL158" s="665">
        <v>19.860491304347871</v>
      </c>
      <c r="DM158" s="667">
        <f t="shared" ca="1" si="519"/>
        <v>40756</v>
      </c>
      <c r="DN158" s="668">
        <f t="shared" si="520"/>
        <v>19.726279758374282</v>
      </c>
      <c r="DO158" s="667">
        <f t="shared" ca="1" si="542"/>
        <v>40756</v>
      </c>
      <c r="DP158" s="579">
        <f t="shared" si="543"/>
        <v>19.860491304347871</v>
      </c>
      <c r="DQ158" s="821">
        <v>0</v>
      </c>
      <c r="DR158" s="666">
        <f t="shared" ca="1" si="521"/>
        <v>40756</v>
      </c>
      <c r="DS158" s="669">
        <v>0.14179999999999901</v>
      </c>
      <c r="DT158" s="606">
        <v>0.14099130434782511</v>
      </c>
      <c r="DU158" s="666">
        <f t="shared" ca="1" si="522"/>
        <v>40756</v>
      </c>
      <c r="DV158" s="669">
        <v>0.14179999999999901</v>
      </c>
      <c r="DW158" s="606">
        <v>0.14099130434782511</v>
      </c>
      <c r="DX158" s="667">
        <f t="shared" ca="1" si="523"/>
        <v>40756</v>
      </c>
      <c r="DY158" s="606">
        <v>0.35</v>
      </c>
      <c r="DZ158" s="667">
        <f t="shared" ca="1" si="544"/>
        <v>40756</v>
      </c>
      <c r="EA158" s="606">
        <f t="shared" si="545"/>
        <v>0.14099130434782511</v>
      </c>
      <c r="EB158" s="1"/>
      <c r="EC158" s="118" t="str">
        <f t="shared" ca="1" si="524"/>
        <v/>
      </c>
      <c r="ED158" s="119" t="str">
        <f t="shared" ca="1" si="525"/>
        <v/>
      </c>
      <c r="EE158" s="112" t="str">
        <f t="shared" ca="1" si="526"/>
        <v/>
      </c>
      <c r="EF158" s="120">
        <f ca="1">IF(BD158,_xll.xASN(BR158,Strike1,AO158,ED158,0,BO158,0,BI158,BL158,IF(OptControl=4,0,1),0),0)</f>
        <v>0</v>
      </c>
      <c r="EG158" s="111">
        <f ca="1">IF(BD158,_xll.xASN(BR158,Strike2,AO158,EE158,0,BO158,0,BI158,BL158,IF(OptControl=3,1,0),0),0)</f>
        <v>0</v>
      </c>
      <c r="EL158" s="55"/>
      <c r="EM158" s="1"/>
      <c r="EN158" s="106"/>
      <c r="EO158" s="106"/>
      <c r="EP158" s="1"/>
      <c r="EQ158" s="683" t="s">
        <v>371</v>
      </c>
      <c r="ES158" s="455"/>
      <c r="ET158" s="36"/>
      <c r="EU158" s="107"/>
      <c r="EV158" s="475"/>
      <c r="EW158" s="456"/>
      <c r="EX158" s="456"/>
      <c r="EY158" s="250"/>
      <c r="EZ158" s="250"/>
      <c r="FA158" s="250"/>
      <c r="FB158" s="250"/>
      <c r="FC158" s="250"/>
      <c r="FD158" s="250"/>
      <c r="FE158" s="250"/>
      <c r="FF158" s="250"/>
      <c r="FG158" s="250"/>
      <c r="FH158" s="250"/>
      <c r="FI158" s="250"/>
      <c r="FJ158" s="673">
        <v>64</v>
      </c>
      <c r="FK158" s="460">
        <f t="shared" ca="1" si="479"/>
        <v>0</v>
      </c>
      <c r="FL158" s="460">
        <f t="shared" ca="1" si="562"/>
        <v>0.16613216817126447</v>
      </c>
      <c r="FM158" s="460">
        <f t="shared" ca="1" si="562"/>
        <v>0.17050542302305957</v>
      </c>
      <c r="FN158" s="460">
        <f t="shared" ca="1" si="562"/>
        <v>0.16722802770510936</v>
      </c>
      <c r="FO158" s="460">
        <f t="shared" ca="1" si="562"/>
        <v>0.16477058413595258</v>
      </c>
      <c r="FP158" s="460">
        <f t="shared" ca="1" si="562"/>
        <v>0.16292820992478882</v>
      </c>
      <c r="FQ158" s="460">
        <f t="shared" ca="1" si="562"/>
        <v>0.16154726077936601</v>
      </c>
      <c r="FR158" s="460">
        <f t="shared" ca="1" si="562"/>
        <v>0.16051252400053254</v>
      </c>
      <c r="FS158" s="460">
        <f t="shared" ca="1" si="562"/>
        <v>0.15973761410970724</v>
      </c>
      <c r="FT158" s="460">
        <f t="shared" ca="1" si="562"/>
        <v>0.15915777016292082</v>
      </c>
      <c r="FU158" s="460">
        <f t="shared" ca="1" si="562"/>
        <v>0.15872445443139258</v>
      </c>
      <c r="FV158" s="460">
        <f t="shared" ca="1" si="562"/>
        <v>0.15840130222587789</v>
      </c>
      <c r="FW158" s="460">
        <f t="shared" ca="1" si="562"/>
        <v>0.15816108521796396</v>
      </c>
      <c r="FX158" s="460">
        <f t="shared" ca="1" si="562"/>
        <v>0.15798343504693416</v>
      </c>
      <c r="FY158" s="460">
        <f t="shared" ca="1" si="562"/>
        <v>0.15785313733153022</v>
      </c>
      <c r="FZ158" s="460">
        <f t="shared" ca="1" si="562"/>
        <v>0.15775885370879972</v>
      </c>
      <c r="GA158" s="460">
        <f t="shared" ca="1" si="562"/>
        <v>0.15769216515506979</v>
      </c>
      <c r="GB158" s="460">
        <f t="shared" ca="1" si="562"/>
        <v>0.15764685657543345</v>
      </c>
      <c r="GC158" s="460">
        <f t="shared" ca="1" si="562"/>
        <v>0.15761838270458861</v>
      </c>
      <c r="GD158" s="460">
        <f t="shared" ca="1" si="562"/>
        <v>0.15760347041357875</v>
      </c>
      <c r="GE158" s="460">
        <f t="shared" ca="1" si="562"/>
        <v>0.15759982381687607</v>
      </c>
      <c r="GF158" s="460">
        <f t="shared" ca="1" si="562"/>
        <v>0.157605907062353</v>
      </c>
      <c r="GG158" s="460">
        <f t="shared" ca="1" si="562"/>
        <v>0.15762078606844432</v>
      </c>
      <c r="GH158" s="460">
        <f t="shared" ca="1" si="562"/>
        <v>0.15764401527782212</v>
      </c>
      <c r="GI158" s="460">
        <f t="shared" ca="1" si="562"/>
        <v>0.15767555912303688</v>
      </c>
      <c r="GJ158" s="460">
        <f t="shared" ca="1" si="562"/>
        <v>0.15771574064602017</v>
      </c>
      <c r="GK158" s="460">
        <f t="shared" ca="1" si="562"/>
        <v>0.15776521180550018</v>
      </c>
      <c r="GL158" s="460">
        <f t="shared" ca="1" si="562"/>
        <v>0.15782494161459321</v>
      </c>
      <c r="GM158" s="460">
        <f t="shared" ca="1" si="562"/>
        <v>0.15789621950448726</v>
      </c>
      <c r="GN158" s="460">
        <f t="shared" ca="1" si="562"/>
        <v>0.15798067230836321</v>
      </c>
      <c r="GO158" s="460">
        <f t="shared" ca="1" si="562"/>
        <v>0.1580802940795509</v>
      </c>
      <c r="GP158" s="460">
        <f t="shared" ca="1" si="562"/>
        <v>0.1581974886607157</v>
      </c>
      <c r="GQ158" s="460">
        <f t="shared" ca="1" si="562"/>
        <v>0.15833512555721418</v>
      </c>
      <c r="GR158" s="460">
        <f t="shared" ca="1" si="562"/>
        <v>0.15849661028170375</v>
      </c>
      <c r="GS158" s="460">
        <f t="shared" ca="1" si="562"/>
        <v>0.15868597096981701</v>
      </c>
      <c r="GT158" s="460">
        <f t="shared" ca="1" si="562"/>
        <v>0.15890796375999314</v>
      </c>
      <c r="GU158" s="460">
        <f t="shared" ca="1" si="562"/>
        <v>0.15916820023046993</v>
      </c>
      <c r="GV158" s="460">
        <f t="shared" ca="1" si="562"/>
        <v>0.15947330114759312</v>
      </c>
      <c r="GW158" s="460">
        <f t="shared" ca="1" si="562"/>
        <v>0.15983108197049717</v>
      </c>
      <c r="GX158" s="460">
        <f t="shared" ca="1" si="562"/>
        <v>0.16025077706729896</v>
      </c>
      <c r="GY158" s="460">
        <f t="shared" ca="1" si="562"/>
        <v>0.16074331154744029</v>
      </c>
      <c r="GZ158" s="460">
        <f t="shared" ca="1" si="562"/>
        <v>0.16132163216857387</v>
      </c>
      <c r="HA158" s="460">
        <f t="shared" ca="1" si="562"/>
        <v>0.16200111216408125</v>
      </c>
      <c r="HB158" s="460">
        <f t="shared" ca="1" si="562"/>
        <v>0.16280004938314696</v>
      </c>
      <c r="HC158" s="460">
        <f t="shared" ca="1" si="562"/>
        <v>0.16374028330230697</v>
      </c>
      <c r="HD158" s="460">
        <f t="shared" ca="1" si="562"/>
        <v>0.16484796492460788</v>
      </c>
      <c r="HE158" s="460">
        <f t="shared" ca="1" si="562"/>
        <v>0.16615452530796809</v>
      </c>
      <c r="HF158" s="460">
        <f t="shared" ca="1" si="562"/>
        <v>0.16769790490536296</v>
      </c>
      <c r="HG158" s="460">
        <f t="shared" ca="1" si="562"/>
        <v>0.16952412922567869</v>
      </c>
      <c r="HH158" s="460">
        <f t="shared" ca="1" si="562"/>
        <v>0.17168934983328352</v>
      </c>
      <c r="HI158" s="460">
        <f t="shared" ca="1" si="562"/>
        <v>0.17426251848405142</v>
      </c>
      <c r="HJ158" s="460">
        <f t="shared" ca="1" si="562"/>
        <v>0.17732893422101775</v>
      </c>
      <c r="HK158" s="460">
        <f t="shared" ca="1" si="562"/>
        <v>0.18099501124409076</v>
      </c>
      <c r="HL158" s="460">
        <f t="shared" ca="1" si="562"/>
        <v>0.18539477999567072</v>
      </c>
      <c r="HM158" s="460">
        <f t="shared" ca="1" si="562"/>
        <v>0.19069888944478686</v>
      </c>
      <c r="HN158" s="460">
        <f t="shared" ca="1" si="562"/>
        <v>0.19712728311218</v>
      </c>
      <c r="HO158" s="460">
        <f t="shared" ca="1" si="562"/>
        <v>0.20496737584893987</v>
      </c>
      <c r="HP158" s="460">
        <f t="shared" ca="1" si="562"/>
        <v>0.21460064260482892</v>
      </c>
      <c r="HQ158" s="460">
        <f t="shared" ca="1" si="562"/>
        <v>0.22654237436842431</v>
      </c>
      <c r="HR158" s="460">
        <f t="shared" ca="1" si="562"/>
        <v>0.24150258518024467</v>
      </c>
      <c r="HS158" s="460">
        <f t="shared" ca="1" si="562"/>
        <v>0.26048189441295388</v>
      </c>
      <c r="HT158" s="460">
        <f t="shared" ca="1" si="562"/>
        <v>0.28492716591379053</v>
      </c>
      <c r="HU158" s="460">
        <f t="shared" ca="1" si="562"/>
        <v>0.31699311220776261</v>
      </c>
      <c r="HV158" s="460">
        <f t="shared" ca="1" si="562"/>
        <v>0.36000000071756011</v>
      </c>
      <c r="HW158" s="460" t="str">
        <f t="shared" si="562"/>
        <v/>
      </c>
      <c r="HX158" s="460" t="str">
        <f t="shared" si="561"/>
        <v/>
      </c>
      <c r="HY158" s="460" t="str">
        <f t="shared" si="561"/>
        <v/>
      </c>
      <c r="HZ158" s="460" t="str">
        <f t="shared" si="561"/>
        <v/>
      </c>
      <c r="IA158" s="460" t="str">
        <f t="shared" si="561"/>
        <v/>
      </c>
      <c r="IB158" s="460" t="str">
        <f t="shared" si="561"/>
        <v/>
      </c>
      <c r="IC158" s="460" t="str">
        <f t="shared" si="561"/>
        <v/>
      </c>
      <c r="ID158" s="674" t="str">
        <f t="shared" si="561"/>
        <v/>
      </c>
      <c r="IE158" s="250"/>
    </row>
    <row r="159" spans="8:239">
      <c r="H159" s="51">
        <f t="shared" ca="1" si="527"/>
        <v>0</v>
      </c>
      <c r="I159" s="379">
        <f t="shared" si="528"/>
        <v>41000</v>
      </c>
      <c r="J159" s="377"/>
      <c r="K159" s="104" t="s">
        <v>268</v>
      </c>
      <c r="L159" s="392">
        <f t="shared" si="529"/>
        <v>2.3625000000000029</v>
      </c>
      <c r="M159" s="171"/>
      <c r="N159" s="382">
        <v>0</v>
      </c>
      <c r="O159" s="171">
        <f t="shared" si="490"/>
        <v>0</v>
      </c>
      <c r="P159" s="377"/>
      <c r="Q159" s="104" t="s">
        <v>268</v>
      </c>
      <c r="R159" s="377">
        <f t="shared" ca="1" si="547"/>
        <v>1.1744380738893179</v>
      </c>
      <c r="S159" s="832">
        <f t="shared" si="435"/>
        <v>0.3600000000000001</v>
      </c>
      <c r="T159" s="831">
        <f t="shared" si="548"/>
        <v>0.9999999999607555</v>
      </c>
      <c r="U159" s="545">
        <f t="shared" si="549"/>
        <v>0.99999999999999978</v>
      </c>
      <c r="V159" s="389">
        <v>0</v>
      </c>
      <c r="W159" s="434">
        <f t="shared" si="491"/>
        <v>0</v>
      </c>
      <c r="X159" s="415">
        <f t="shared" si="492"/>
        <v>2.4107142857142883</v>
      </c>
      <c r="Y159" s="322">
        <f t="shared" si="493"/>
        <v>-1.2915000000000001</v>
      </c>
      <c r="Z159" s="322">
        <f t="shared" ca="1" si="494"/>
        <v>1.1192142857142882</v>
      </c>
      <c r="AA159" s="429">
        <f t="shared" si="495"/>
        <v>1.2915000000000001</v>
      </c>
      <c r="AB159" s="433">
        <f t="shared" ca="1" si="496"/>
        <v>1.2915000000000001</v>
      </c>
      <c r="AC159" s="229">
        <v>40988</v>
      </c>
      <c r="AD159" s="229">
        <v>40984</v>
      </c>
      <c r="AE159" s="229">
        <v>40983</v>
      </c>
      <c r="AF159" s="229">
        <v>40979</v>
      </c>
      <c r="AG159" s="249" t="s">
        <v>499</v>
      </c>
      <c r="AH159" s="247" t="s">
        <v>499</v>
      </c>
      <c r="AI159" s="146">
        <v>21</v>
      </c>
      <c r="AJ159" s="41">
        <v>15</v>
      </c>
      <c r="AK159" s="41">
        <v>6</v>
      </c>
      <c r="AL159" s="293">
        <v>21</v>
      </c>
      <c r="AM159" s="41">
        <v>10</v>
      </c>
      <c r="AN159" s="147">
        <v>11</v>
      </c>
      <c r="AO159" s="374"/>
      <c r="AP159" s="153">
        <f t="shared" ca="1" si="530"/>
        <v>1</v>
      </c>
      <c r="AQ159" s="374"/>
      <c r="AR159" s="153">
        <f t="shared" ca="1" si="550"/>
        <v>1</v>
      </c>
      <c r="AS159" s="272">
        <f t="shared" si="497"/>
        <v>0</v>
      </c>
      <c r="AT159" s="157">
        <f t="shared" si="531"/>
        <v>0</v>
      </c>
      <c r="AU159" s="157">
        <f t="shared" si="498"/>
        <v>0</v>
      </c>
      <c r="AV159" s="271">
        <f t="shared" ca="1" si="558"/>
        <v>9.9999999999999995E-7</v>
      </c>
      <c r="AW159" s="158" t="str">
        <f t="shared" ca="1" si="499"/>
        <v/>
      </c>
      <c r="AX159" s="157">
        <f t="shared" ca="1" si="551"/>
        <v>2.3369548466544118E-4</v>
      </c>
      <c r="AY159" s="157">
        <f t="shared" ca="1" si="552"/>
        <v>7.1595186458362701E-5</v>
      </c>
      <c r="AZ159" s="157">
        <f t="shared" ca="1" si="553"/>
        <v>4.7630820323187641E-6</v>
      </c>
      <c r="BA159" s="157">
        <f t="shared" ca="1" si="554"/>
        <v>5.9538525403984552E-7</v>
      </c>
      <c r="BB159" s="157">
        <f t="shared" ca="1" si="555"/>
        <v>1.1594903792124415E-8</v>
      </c>
      <c r="BC159" s="157">
        <f t="shared" ca="1" si="556"/>
        <v>7.0896720145612917E-10</v>
      </c>
      <c r="BD159" s="151">
        <f t="shared" ca="1" si="500"/>
        <v>0</v>
      </c>
      <c r="BE159" s="152">
        <f t="shared" ca="1" si="501"/>
        <v>0</v>
      </c>
      <c r="BF159" s="40">
        <f t="shared" si="502"/>
        <v>2012</v>
      </c>
      <c r="BG159" s="144">
        <f t="shared" si="503"/>
        <v>4</v>
      </c>
      <c r="BH159" s="145">
        <f t="shared" ca="1" si="504"/>
        <v>4239</v>
      </c>
      <c r="BI159" s="313">
        <f t="shared" ca="1" si="439"/>
        <v>11.649555099247092</v>
      </c>
      <c r="BJ159" s="42">
        <f t="shared" ca="1" si="505"/>
        <v>11.706267722694829</v>
      </c>
      <c r="BK159" s="42">
        <f t="shared" ca="1" si="506"/>
        <v>11.709005573481962</v>
      </c>
      <c r="BL159" s="42">
        <f t="shared" ca="1" si="440"/>
        <v>11.728952772073923</v>
      </c>
      <c r="BM159" s="150" t="e">
        <f t="shared" ca="1" si="507"/>
        <v>#DIV/0!</v>
      </c>
      <c r="BN159" s="42" t="e">
        <f t="shared" ca="1" si="508"/>
        <v>#DIV/0!</v>
      </c>
      <c r="BO159" s="293">
        <f t="shared" si="441"/>
        <v>21</v>
      </c>
      <c r="BP159" s="41">
        <f t="shared" si="442"/>
        <v>15</v>
      </c>
      <c r="BQ159" s="41">
        <f t="shared" si="443"/>
        <v>6</v>
      </c>
      <c r="BR159" s="305" t="str">
        <f t="shared" ca="1" si="509"/>
        <v/>
      </c>
      <c r="BS159" s="305" t="str">
        <f t="shared" ca="1" si="444"/>
        <v/>
      </c>
      <c r="BT159" s="307" t="str">
        <f t="shared" ca="1" si="445"/>
        <v/>
      </c>
      <c r="BU159" s="161" t="str">
        <f t="shared" ca="1" si="510"/>
        <v/>
      </c>
      <c r="BV159" s="161" t="str">
        <f t="shared" ca="1" si="511"/>
        <v/>
      </c>
      <c r="BW159" s="308" t="str">
        <f t="shared" ca="1" si="512"/>
        <v/>
      </c>
      <c r="BX159" s="309" t="str">
        <f t="shared" ca="1" si="513"/>
        <v/>
      </c>
      <c r="BY159" s="308" t="str">
        <f t="shared" ca="1" si="446"/>
        <v/>
      </c>
      <c r="BZ159" s="309" t="str">
        <f t="shared" ca="1" si="447"/>
        <v/>
      </c>
      <c r="CA159" s="154" t="str">
        <f t="shared" ca="1" si="514"/>
        <v/>
      </c>
      <c r="CB159" s="154" t="str">
        <f t="shared" ca="1" si="515"/>
        <v/>
      </c>
      <c r="CC159" s="154" t="str">
        <f t="shared" ca="1" si="516"/>
        <v/>
      </c>
      <c r="CD159" s="154" t="str">
        <f t="shared" ca="1" si="517"/>
        <v/>
      </c>
      <c r="CE159" s="310">
        <v>1</v>
      </c>
      <c r="CF159" s="162">
        <f ca="1">IF(BD159,_xll.xCrudeAPO(BU159,BV159,CA159,CB159,S160,S161,BI159,BL159,BP159,BQ159,0,Strike1,AO159,CE159,0,BL159,IF(OptControl=4,0,1),0,1),0)</f>
        <v>0</v>
      </c>
      <c r="CG159" s="163">
        <f ca="1">IF(BD159,_xll.xCrudeAPO(BU159,BV159,CA159,CB159,S160,S161,BI159,BL159,BP159,BQ159,0,Strike1,AO159,CE159,0,BL159,IF(OptControl=4,0,1),1,1)+_xll.xCrudeAPO(BU159,BV159,CA159,CB159,S160,S161,BI159,BL159,BP159,BQ159,0,Strike1,AO159,CE159,0,BL159,IF(OptControl=4,0,1),1,2)+IF(OR(VolSkewFlag=2,ABS(BS159)&lt;0.0001),0,IF(BS159&gt;0,-1,1)*CH159*Strike1/BR159^2*BY159/10%),0)</f>
        <v>0</v>
      </c>
      <c r="CH159" s="163">
        <f ca="1">IF(BD159,(_xll.xCrudeAPO(BU159,BV159,CA159,CB159,S160,S161,BI159,BL159,BP159,BQ159,0,Strike1,AO159,CE159,0,BL159,IF(OptControl=4,0,1),3,1)+_xll.xCrudeAPO(BU159,BV159,CA159,CB159,S160,S161,BI159,BL159,BP159,BQ159,0,Strike1,AO159,CE159,0,BL159,IF(OptControl=4,0,1),3,2))/100,0)</f>
        <v>0</v>
      </c>
      <c r="CI159" s="163">
        <f ca="1">IF(BD159,_xll.xCrudeAPO(BU159,BV159,CA159,CB159,S160,S161,BI159-DaysForThetaCalculation/365.25,BL159-DaysForThetaCalculation/365.25,BP159,BQ159,0,Strike1,AO159,CE159,0,BL159,IF(OptControl=4,0,1),0,1)-_xll.xCrudeAPO(BU159,BV159,CA159,CB159,S160,S161,BI159,BL159,BP159,BQ159,0,Strike1,AO159,CE159,0,BL159,IF(OptControl=4,0,1),0,1),0)</f>
        <v>0</v>
      </c>
      <c r="CJ159" s="311">
        <f ca="1">IF(BD159,_xll.xCrudeAPO(BU159,BV159,CC159,CD159,S160,S161,BI159,BL159,BP159,BQ159,0,Strike2,AO159,CE159,0,BL159,IF(OptControl=3,1,0),0,1),0)</f>
        <v>0</v>
      </c>
      <c r="CK159" s="163">
        <f ca="1">IF(BD159,_xll.xCrudeAPO(BU159,BV159,CC159,CD159,S160,S161,BI159,BL159,BP159,BQ159,0,Strike2,AO159,CE159,0,BL159,IF(OptControl=3,1,0),1,1)+_xll.xCrudeAPO(BU159,BV159,CC159,CD159,S160,S161,BI159,BL159,BP159,BQ159,0,Strike2,AO159,CE159,0,BL159,IF(OptControl=3,1,0),1,2)+IF(OR(VolSkewFlag=2,ABS(BT159)&lt;0.0001),0,IF(BT159&gt;0,-1,1)*CL159*Strike2/BR159^2*BZ159/10%),0)</f>
        <v>0</v>
      </c>
      <c r="CL159" s="163">
        <f ca="1">IF(BD159,(_xll.xCrudeAPO(BU159,BV159,CC159,CD159,S160,S161,BI159,BL159,BP159,BQ159,0,Strike2,AO159,CE159,0,BL159,IF(OptControl=3,1,0),3,1)+_xll.xCrudeAPO(BU159,BV159,CC159,CD159,S160,S161,BI159,BL159,BP159,BQ159,0,Strike2,AO159,CE159,0,BL159,IF(OptControl=3,1,0),3,2))/100,0)</f>
        <v>0</v>
      </c>
      <c r="CM159" s="164">
        <f ca="1">IF(BD159,_xll.xCrudeAPO(BU159,BV159,CC159,CD159,S160,S161,BI159-DaysForThetaCalculation/365.25,BL159-DaysForThetaCalculation/365.25,BP159,BQ159,0,Strike2,AO159,CE159,0,BL159,IF(OptControl=3,1,0),0,1)-_xll.xCrudeAPO(BU159,BV159,CC159,CD159,S160,S161,BI159,BL159,BP159,BQ159,0,Strike2,AO159,CE159,0,BL159,IF(OptControl=3,1,0),0,1),0)</f>
        <v>0</v>
      </c>
      <c r="CN159" s="53"/>
      <c r="CO159" s="796" t="str">
        <f t="shared" ca="1" si="532"/>
        <v/>
      </c>
      <c r="CP159" s="800" t="str">
        <f t="shared" ca="1" si="533"/>
        <v/>
      </c>
      <c r="CQ159" s="797" t="str">
        <f t="shared" ca="1" si="534"/>
        <v/>
      </c>
      <c r="CR159" s="797" t="str">
        <f t="shared" ca="1" si="535"/>
        <v/>
      </c>
      <c r="CS159" s="797" t="str">
        <f t="shared" ca="1" si="536"/>
        <v/>
      </c>
      <c r="CT159" s="797" t="str">
        <f t="shared" ca="1" si="537"/>
        <v/>
      </c>
      <c r="CU159" s="798" t="str">
        <f t="shared" ca="1" si="538"/>
        <v/>
      </c>
      <c r="CV159" s="799" t="str">
        <f t="shared" ca="1" si="539"/>
        <v/>
      </c>
      <c r="CW159" s="799" t="str">
        <f t="shared" ca="1" si="540"/>
        <v/>
      </c>
      <c r="CX159" s="163">
        <f ca="1">IF(BD159,_xll.EURO(CP159,Strike1,AO159,AO159,CV159,CO159,IF(OptControl=4,0,1),0),0)</f>
        <v>0</v>
      </c>
      <c r="CY159" s="163">
        <f ca="1">IF(BD159,_xll.EURO(CP159,Strike1,AO159,AO159,CV159,CO159,IF(OptControl=4,0,1),1)+IF(OR(VolSkewFlag=2,ABS(CQ159)&lt;0.0001),0,IF(CQ159&gt;0,-1,1)*CZ159*100*Strike1/CP159^2*CS159/10%),0)</f>
        <v>0</v>
      </c>
      <c r="CZ159" s="163">
        <f ca="1">IF(BD159,_xll.EURO(CP159,Strike1,AO159,AO159,CV159,CO159,IF(OptControl=4,0,1),3)/100,0)</f>
        <v>0</v>
      </c>
      <c r="DA159" s="163">
        <f ca="1">IF(BD159,_xll.EURO(CP159,Strike1,AO159,AO159,CV159,CO159,IF(OptControl=4,0,1),0)-_xll.EURO(CP159,Strike1,AO159,AO159,CV159,CO159-1,IF(OptControl=4,0,1),0),0)</f>
        <v>0</v>
      </c>
      <c r="DB159" s="163">
        <f ca="1">IF(BD159,_xll.EURO(CP159,Strike2,AO159,AO159,CW159,CO159,IF(OptControl=3,1,0),0),0)</f>
        <v>0</v>
      </c>
      <c r="DC159" s="163">
        <f ca="1">IF(BD159,_xll.EURO(CP159,Strike2,AO159,AO159,CW159,CO159,IF(OptControl=3,1,0),1)+IF(OR(VolSkewFlag=2,ABS(CR159)&lt;0.0001),0,IF(CR159&gt;0,-1,1)*DD159*100*Strike2/CP159^2*CT159/10%),0)</f>
        <v>0</v>
      </c>
      <c r="DD159" s="163">
        <f ca="1">IF(BD159,_xll.EURO(CP159,Strike2,AO159,AO159,CW159,CO159,IF(OptControl=3,1,0),3)/100,0)</f>
        <v>0</v>
      </c>
      <c r="DE159" s="164">
        <f ca="1">IF(BD159,_xll.EURO(CP159,Strike2,AO159,AO159,CW159,CO159,IF(OptControl=3,1,0),0)-_xll.EURO(CP159,Strike2,AO159,AO159,CW159,CO159-1,IF(OptControl=3,1,0),0),0)</f>
        <v>0</v>
      </c>
      <c r="DG159" s="667">
        <f t="shared" ca="1" si="541"/>
        <v>40787</v>
      </c>
      <c r="DH159" s="475">
        <v>21.11</v>
      </c>
      <c r="DI159" s="665">
        <v>21.178181818181862</v>
      </c>
      <c r="DJ159" s="666">
        <f t="shared" ca="1" si="518"/>
        <v>40787</v>
      </c>
      <c r="DK159" s="475">
        <v>19.932709310568924</v>
      </c>
      <c r="DL159" s="665">
        <v>19.911281818181862</v>
      </c>
      <c r="DM159" s="667">
        <f t="shared" ca="1" si="519"/>
        <v>40787</v>
      </c>
      <c r="DN159" s="668">
        <f t="shared" si="520"/>
        <v>19.982709310568925</v>
      </c>
      <c r="DO159" s="667">
        <f t="shared" ca="1" si="542"/>
        <v>40787</v>
      </c>
      <c r="DP159" s="579">
        <f t="shared" si="543"/>
        <v>19.911281818181862</v>
      </c>
      <c r="DQ159" s="821">
        <v>0</v>
      </c>
      <c r="DR159" s="666">
        <f t="shared" ca="1" si="521"/>
        <v>40787</v>
      </c>
      <c r="DS159" s="669">
        <v>0.14119999999999905</v>
      </c>
      <c r="DT159" s="606">
        <v>0.14038181818181722</v>
      </c>
      <c r="DU159" s="666">
        <f t="shared" ca="1" si="522"/>
        <v>40787</v>
      </c>
      <c r="DV159" s="669">
        <v>0.14119999999999905</v>
      </c>
      <c r="DW159" s="606">
        <v>0.14038181818181722</v>
      </c>
      <c r="DX159" s="667">
        <f t="shared" ca="1" si="523"/>
        <v>40787</v>
      </c>
      <c r="DY159" s="606">
        <v>0.35</v>
      </c>
      <c r="DZ159" s="667">
        <f t="shared" ca="1" si="544"/>
        <v>40787</v>
      </c>
      <c r="EA159" s="606">
        <f t="shared" si="545"/>
        <v>0.14038181818181722</v>
      </c>
      <c r="EB159" s="1"/>
      <c r="EC159" s="118" t="str">
        <f t="shared" ca="1" si="524"/>
        <v/>
      </c>
      <c r="ED159" s="119" t="str">
        <f t="shared" ca="1" si="525"/>
        <v/>
      </c>
      <c r="EE159" s="112" t="str">
        <f t="shared" ca="1" si="526"/>
        <v/>
      </c>
      <c r="EF159" s="120">
        <f ca="1">IF(BD159,_xll.xASN(BR159,Strike1,AO159,ED159,0,BO159,0,BI159,BL159,IF(OptControl=4,0,1),0),0)</f>
        <v>0</v>
      </c>
      <c r="EG159" s="111">
        <f ca="1">IF(BD159,_xll.xASN(BR159,Strike2,AO159,EE159,0,BO159,0,BI159,BL159,IF(OptControl=3,1,0),0),0)</f>
        <v>0</v>
      </c>
      <c r="EL159" s="55"/>
      <c r="EM159" s="1"/>
      <c r="EN159" s="106"/>
      <c r="EO159" s="106"/>
      <c r="EP159" s="1"/>
      <c r="EQ159" s="683" t="s">
        <v>372</v>
      </c>
      <c r="ES159" s="455"/>
      <c r="ET159" s="36"/>
      <c r="EU159" s="107"/>
      <c r="EV159" s="475"/>
      <c r="EW159" s="456"/>
      <c r="EX159" s="456"/>
      <c r="EY159" s="250"/>
      <c r="EZ159" s="250"/>
      <c r="FA159" s="250"/>
      <c r="FB159" s="250"/>
      <c r="FC159" s="250"/>
      <c r="FD159" s="250"/>
      <c r="FE159" s="250"/>
      <c r="FF159" s="250"/>
      <c r="FG159" s="250"/>
      <c r="FH159" s="250"/>
      <c r="FI159" s="250"/>
      <c r="FJ159" s="673">
        <v>65</v>
      </c>
      <c r="FK159" s="460">
        <f t="shared" ref="FK159:FK166" ca="1" si="563">IF($FJ84&lt;FK$94,"",SQRT(FK84/FK$15))</f>
        <v>0</v>
      </c>
      <c r="FL159" s="460">
        <f t="shared" ca="1" si="562"/>
        <v>0.16613103878734684</v>
      </c>
      <c r="FM159" s="460">
        <f t="shared" ca="1" si="562"/>
        <v>0.17050406733366619</v>
      </c>
      <c r="FN159" s="460">
        <f t="shared" ca="1" si="562"/>
        <v>0.16722647258030843</v>
      </c>
      <c r="FO159" s="460">
        <f t="shared" ca="1" si="562"/>
        <v>0.16476879200356354</v>
      </c>
      <c r="FP159" s="460">
        <f t="shared" ca="1" si="562"/>
        <v>0.16292613729860991</v>
      </c>
      <c r="FQ159" s="460">
        <f t="shared" ca="1" si="562"/>
        <v>0.16154485719901229</v>
      </c>
      <c r="FR159" s="460">
        <f t="shared" ca="1" si="562"/>
        <v>0.16050973079814745</v>
      </c>
      <c r="FS159" s="460">
        <f t="shared" ca="1" si="562"/>
        <v>0.1597343629732377</v>
      </c>
      <c r="FT159" s="460">
        <f t="shared" ca="1" si="562"/>
        <v>0.15915398146057233</v>
      </c>
      <c r="FU159" s="460">
        <f t="shared" ca="1" si="562"/>
        <v>0.15872003525592335</v>
      </c>
      <c r="FV159" s="460">
        <f t="shared" ca="1" si="562"/>
        <v>0.1583961441103921</v>
      </c>
      <c r="FW159" s="460">
        <f t="shared" ca="1" si="562"/>
        <v>0.15815506146664379</v>
      </c>
      <c r="FX159" s="460">
        <f t="shared" ca="1" si="562"/>
        <v>0.15797639761449331</v>
      </c>
      <c r="FY159" s="460">
        <f t="shared" ca="1" si="562"/>
        <v>0.15784491317382154</v>
      </c>
      <c r="FZ159" s="460">
        <f t="shared" ca="1" si="562"/>
        <v>0.15774924051366532</v>
      </c>
      <c r="GA159" s="460">
        <f t="shared" ca="1" si="562"/>
        <v>0.15768092634681857</v>
      </c>
      <c r="GB159" s="460">
        <f t="shared" ca="1" si="562"/>
        <v>0.1576337154678423</v>
      </c>
      <c r="GC159" s="460">
        <f t="shared" ca="1" si="562"/>
        <v>0.15760301565552662</v>
      </c>
      <c r="GD159" s="460">
        <f t="shared" ca="1" si="562"/>
        <v>0.15758549880863371</v>
      </c>
      <c r="GE159" s="460">
        <f t="shared" ca="1" si="562"/>
        <v>0.15757880467896623</v>
      </c>
      <c r="GF159" s="460">
        <f t="shared" ca="1" si="562"/>
        <v>0.15758132204833</v>
      </c>
      <c r="GG159" s="460">
        <f t="shared" ca="1" si="562"/>
        <v>0.15759202857103144</v>
      </c>
      <c r="GH159" s="460">
        <f t="shared" ca="1" si="562"/>
        <v>0.15761037530053601</v>
      </c>
      <c r="GI159" s="460">
        <f t="shared" ca="1" si="562"/>
        <v>0.15763620553535412</v>
      </c>
      <c r="GJ159" s="460">
        <f t="shared" ca="1" si="562"/>
        <v>0.15766970035392003</v>
      </c>
      <c r="GK159" s="460">
        <f t="shared" ca="1" si="562"/>
        <v>0.15771134528609138</v>
      </c>
      <c r="GL159" s="460">
        <f t="shared" ca="1" si="562"/>
        <v>0.1577619141596229</v>
      </c>
      <c r="GM159" s="460">
        <f t="shared" ca="1" si="562"/>
        <v>0.15782246739210348</v>
      </c>
      <c r="GN159" s="460">
        <f t="shared" ca="1" si="562"/>
        <v>0.15789436297044712</v>
      </c>
      <c r="GO159" s="460">
        <f t="shared" ca="1" si="562"/>
        <v>0.15797927914670926</v>
      </c>
      <c r="GP159" s="460">
        <f t="shared" ca="1" si="562"/>
        <v>0.15807924854020003</v>
      </c>
      <c r="GQ159" s="460">
        <f t="shared" ca="1" si="562"/>
        <v>0.15819670391967064</v>
      </c>
      <c r="GR159" s="460">
        <f t="shared" ca="1" si="562"/>
        <v>0.15833453648644585</v>
      </c>
      <c r="GS159" s="460">
        <f t="shared" ca="1" si="562"/>
        <v>0.15849616802639077</v>
      </c>
      <c r="GT159" s="460">
        <f t="shared" ca="1" si="562"/>
        <v>0.15868563888112378</v>
      </c>
      <c r="GU159" s="460">
        <f t="shared" ca="1" si="562"/>
        <v>0.15890771434452122</v>
      </c>
      <c r="GV159" s="460">
        <f t="shared" ca="1" si="562"/>
        <v>0.1591680128622294</v>
      </c>
      <c r="GW159" s="460">
        <f t="shared" ca="1" si="562"/>
        <v>0.15947316035187989</v>
      </c>
      <c r="GX159" s="460">
        <f t="shared" ca="1" si="562"/>
        <v>0.15983097613671088</v>
      </c>
      <c r="GY159" s="460">
        <f t="shared" ca="1" si="562"/>
        <v>0.16025069748347734</v>
      </c>
      <c r="GZ159" s="460">
        <f t="shared" ca="1" si="562"/>
        <v>0.16074325167609241</v>
      </c>
      <c r="HA159" s="460">
        <f t="shared" ca="1" si="562"/>
        <v>0.16132158710349273</v>
      </c>
      <c r="HB159" s="460">
        <f t="shared" ca="1" si="562"/>
        <v>0.16200107822290183</v>
      </c>
      <c r="HC159" s="460">
        <f t="shared" ca="1" si="562"/>
        <v>0.16280002380171676</v>
      </c>
      <c r="HD159" s="460">
        <f t="shared" ca="1" si="562"/>
        <v>0.1637402640054243</v>
      </c>
      <c r="HE159" s="460">
        <f t="shared" ca="1" si="562"/>
        <v>0.1648479503540384</v>
      </c>
      <c r="HF159" s="460">
        <f t="shared" ca="1" si="562"/>
        <v>0.16615451429342692</v>
      </c>
      <c r="HG159" s="460">
        <f t="shared" ca="1" si="562"/>
        <v>0.16769789656772249</v>
      </c>
      <c r="HH159" s="460">
        <f t="shared" ca="1" si="562"/>
        <v>0.16952412290435054</v>
      </c>
      <c r="HI159" s="460">
        <f t="shared" ca="1" si="562"/>
        <v>0.17168934503173358</v>
      </c>
      <c r="HJ159" s="460">
        <f t="shared" ca="1" si="562"/>
        <v>0.17426251482891697</v>
      </c>
      <c r="HK159" s="460">
        <f t="shared" ca="1" si="562"/>
        <v>0.17732893143142855</v>
      </c>
      <c r="HL159" s="460">
        <f t="shared" ca="1" si="562"/>
        <v>0.18099500910864516</v>
      </c>
      <c r="HM159" s="460">
        <f t="shared" ca="1" si="562"/>
        <v>0.18539477835515392</v>
      </c>
      <c r="HN159" s="460">
        <f t="shared" ca="1" si="562"/>
        <v>0.19069888817919808</v>
      </c>
      <c r="HO159" s="460">
        <f t="shared" ca="1" si="562"/>
        <v>0.19712728213099151</v>
      </c>
      <c r="HP159" s="460">
        <f t="shared" ca="1" si="562"/>
        <v>0.20496737508378082</v>
      </c>
      <c r="HQ159" s="460">
        <f t="shared" ca="1" si="562"/>
        <v>0.2146006420039884</v>
      </c>
      <c r="HR159" s="460">
        <f t="shared" ca="1" si="562"/>
        <v>0.22654237389271789</v>
      </c>
      <c r="HS159" s="460">
        <f t="shared" ca="1" si="562"/>
        <v>0.24150258479990422</v>
      </c>
      <c r="HT159" s="460">
        <f t="shared" ca="1" si="562"/>
        <v>0.26048189410528066</v>
      </c>
      <c r="HU159" s="460">
        <f t="shared" ca="1" si="562"/>
        <v>0.28492716566138016</v>
      </c>
      <c r="HV159" s="460">
        <f t="shared" ca="1" si="562"/>
        <v>0.31699311199714997</v>
      </c>
      <c r="HW159" s="460">
        <f t="shared" ca="1" si="562"/>
        <v>0.36000000053817005</v>
      </c>
      <c r="HX159" s="460" t="str">
        <f t="shared" si="561"/>
        <v/>
      </c>
      <c r="HY159" s="460" t="str">
        <f t="shared" si="561"/>
        <v/>
      </c>
      <c r="HZ159" s="460" t="str">
        <f t="shared" si="561"/>
        <v/>
      </c>
      <c r="IA159" s="460" t="str">
        <f t="shared" si="561"/>
        <v/>
      </c>
      <c r="IB159" s="460" t="str">
        <f t="shared" si="561"/>
        <v/>
      </c>
      <c r="IC159" s="460" t="str">
        <f t="shared" si="561"/>
        <v/>
      </c>
      <c r="ID159" s="674" t="str">
        <f t="shared" si="561"/>
        <v/>
      </c>
      <c r="IE159" s="250"/>
    </row>
    <row r="160" spans="8:239">
      <c r="H160" s="51">
        <f t="shared" ca="1" si="527"/>
        <v>0</v>
      </c>
      <c r="I160" s="379">
        <f t="shared" si="528"/>
        <v>41030</v>
      </c>
      <c r="J160" s="377"/>
      <c r="K160" s="104" t="s">
        <v>268</v>
      </c>
      <c r="L160" s="392">
        <f t="shared" si="529"/>
        <v>2.400000000000003</v>
      </c>
      <c r="M160" s="171"/>
      <c r="N160" s="382">
        <v>0</v>
      </c>
      <c r="O160" s="171">
        <f t="shared" si="490"/>
        <v>0</v>
      </c>
      <c r="P160" s="377"/>
      <c r="Q160" s="104" t="s">
        <v>268</v>
      </c>
      <c r="R160" s="377">
        <f t="shared" ca="1" si="547"/>
        <v>1.2353016050922407</v>
      </c>
      <c r="S160" s="832">
        <f t="shared" ref="S160:S223" si="564">S$19+(S159-S$19)*S$18</f>
        <v>0.3600000000000001</v>
      </c>
      <c r="T160" s="831">
        <f t="shared" si="548"/>
        <v>0.99999999996644595</v>
      </c>
      <c r="U160" s="545">
        <f t="shared" si="549"/>
        <v>0.99999999999999978</v>
      </c>
      <c r="V160" s="389">
        <v>0</v>
      </c>
      <c r="W160" s="434">
        <f t="shared" si="491"/>
        <v>0</v>
      </c>
      <c r="X160" s="415">
        <f t="shared" si="492"/>
        <v>2.4521739130434814</v>
      </c>
      <c r="Y160" s="322">
        <f t="shared" si="493"/>
        <v>-1.2915000000000001</v>
      </c>
      <c r="Z160" s="322">
        <f t="shared" ca="1" si="494"/>
        <v>1.1606739130434813</v>
      </c>
      <c r="AA160" s="429">
        <f t="shared" si="495"/>
        <v>1.2915000000000001</v>
      </c>
      <c r="AB160" s="433">
        <f t="shared" ca="1" si="496"/>
        <v>1.2915000000000001</v>
      </c>
      <c r="AC160" s="229">
        <v>41019</v>
      </c>
      <c r="AD160" s="229">
        <v>41015</v>
      </c>
      <c r="AE160" s="229">
        <v>41014</v>
      </c>
      <c r="AF160" s="229">
        <v>41010</v>
      </c>
      <c r="AG160" s="249" t="s">
        <v>499</v>
      </c>
      <c r="AH160" s="247" t="s">
        <v>499</v>
      </c>
      <c r="AI160" s="146">
        <v>23</v>
      </c>
      <c r="AJ160" s="41">
        <v>14</v>
      </c>
      <c r="AK160" s="41">
        <v>9</v>
      </c>
      <c r="AL160" s="293">
        <v>23</v>
      </c>
      <c r="AM160" s="41">
        <v>10</v>
      </c>
      <c r="AN160" s="147">
        <v>13</v>
      </c>
      <c r="AO160" s="374"/>
      <c r="AP160" s="153">
        <f t="shared" ca="1" si="530"/>
        <v>1</v>
      </c>
      <c r="AQ160" s="374"/>
      <c r="AR160" s="153">
        <f t="shared" ca="1" si="550"/>
        <v>1</v>
      </c>
      <c r="AS160" s="272">
        <f t="shared" si="497"/>
        <v>0</v>
      </c>
      <c r="AT160" s="157">
        <f t="shared" si="531"/>
        <v>0</v>
      </c>
      <c r="AU160" s="157">
        <f t="shared" si="498"/>
        <v>0</v>
      </c>
      <c r="AV160" s="271">
        <f t="shared" ca="1" si="558"/>
        <v>9.9999999999999995E-7</v>
      </c>
      <c r="AW160" s="158" t="str">
        <f t="shared" ca="1" si="499"/>
        <v/>
      </c>
      <c r="AX160" s="157">
        <f t="shared" ca="1" si="551"/>
        <v>2.2593111711266057E-4</v>
      </c>
      <c r="AY160" s="157">
        <f t="shared" ca="1" si="552"/>
        <v>6.8756333698233248E-5</v>
      </c>
      <c r="AZ160" s="157">
        <f t="shared" ca="1" si="553"/>
        <v>4.4957507795013974E-6</v>
      </c>
      <c r="BA160" s="157">
        <f t="shared" ca="1" si="554"/>
        <v>5.6196884743767468E-7</v>
      </c>
      <c r="BB160" s="157">
        <f t="shared" ca="1" si="555"/>
        <v>1.0580520790341922E-8</v>
      </c>
      <c r="BC160" s="157">
        <f t="shared" ca="1" si="556"/>
        <v>6.3161797098080852E-10</v>
      </c>
      <c r="BD160" s="151">
        <f t="shared" ca="1" si="500"/>
        <v>0</v>
      </c>
      <c r="BE160" s="152">
        <f t="shared" ca="1" si="501"/>
        <v>0</v>
      </c>
      <c r="BF160" s="40">
        <f t="shared" si="502"/>
        <v>2012</v>
      </c>
      <c r="BG160" s="144">
        <f t="shared" si="503"/>
        <v>5</v>
      </c>
      <c r="BH160" s="145">
        <f t="shared" ca="1" si="504"/>
        <v>4270</v>
      </c>
      <c r="BI160" s="313">
        <f t="shared" ca="1" si="439"/>
        <v>11.731690622861054</v>
      </c>
      <c r="BJ160" s="42">
        <f t="shared" ca="1" si="505"/>
        <v>11.781686158973901</v>
      </c>
      <c r="BK160" s="42">
        <f t="shared" ca="1" si="506"/>
        <v>11.784424009761034</v>
      </c>
      <c r="BL160" s="42">
        <f t="shared" ca="1" si="440"/>
        <v>11.813826146475018</v>
      </c>
      <c r="BM160" s="150" t="e">
        <f t="shared" ca="1" si="507"/>
        <v>#DIV/0!</v>
      </c>
      <c r="BN160" s="42" t="e">
        <f t="shared" ca="1" si="508"/>
        <v>#DIV/0!</v>
      </c>
      <c r="BO160" s="293">
        <f t="shared" si="441"/>
        <v>23</v>
      </c>
      <c r="BP160" s="41">
        <f t="shared" si="442"/>
        <v>14</v>
      </c>
      <c r="BQ160" s="41">
        <f t="shared" si="443"/>
        <v>9</v>
      </c>
      <c r="BR160" s="305" t="str">
        <f t="shared" ca="1" si="509"/>
        <v/>
      </c>
      <c r="BS160" s="305" t="str">
        <f t="shared" ca="1" si="444"/>
        <v/>
      </c>
      <c r="BT160" s="307" t="str">
        <f t="shared" ca="1" si="445"/>
        <v/>
      </c>
      <c r="BU160" s="161" t="str">
        <f t="shared" ca="1" si="510"/>
        <v/>
      </c>
      <c r="BV160" s="161" t="str">
        <f t="shared" ca="1" si="511"/>
        <v/>
      </c>
      <c r="BW160" s="308" t="str">
        <f t="shared" ca="1" si="512"/>
        <v/>
      </c>
      <c r="BX160" s="309" t="str">
        <f t="shared" ca="1" si="513"/>
        <v/>
      </c>
      <c r="BY160" s="308" t="str">
        <f t="shared" ca="1" si="446"/>
        <v/>
      </c>
      <c r="BZ160" s="309" t="str">
        <f t="shared" ca="1" si="447"/>
        <v/>
      </c>
      <c r="CA160" s="154" t="str">
        <f t="shared" ca="1" si="514"/>
        <v/>
      </c>
      <c r="CB160" s="154" t="str">
        <f t="shared" ca="1" si="515"/>
        <v/>
      </c>
      <c r="CC160" s="154" t="str">
        <f t="shared" ca="1" si="516"/>
        <v/>
      </c>
      <c r="CD160" s="154" t="str">
        <f t="shared" ca="1" si="517"/>
        <v/>
      </c>
      <c r="CE160" s="310">
        <v>1</v>
      </c>
      <c r="CF160" s="162">
        <f ca="1">IF(BD160,_xll.xCrudeAPO(BU160,BV160,CA160,CB160,S161,S162,BI160,BL160,BP160,BQ160,0,Strike1,AO160,CE160,0,BL160,IF(OptControl=4,0,1),0,1),0)</f>
        <v>0</v>
      </c>
      <c r="CG160" s="163">
        <f ca="1">IF(BD160,_xll.xCrudeAPO(BU160,BV160,CA160,CB160,S161,S162,BI160,BL160,BP160,BQ160,0,Strike1,AO160,CE160,0,BL160,IF(OptControl=4,0,1),1,1)+_xll.xCrudeAPO(BU160,BV160,CA160,CB160,S161,S162,BI160,BL160,BP160,BQ160,0,Strike1,AO160,CE160,0,BL160,IF(OptControl=4,0,1),1,2)+IF(OR(VolSkewFlag=2,ABS(BS160)&lt;0.0001),0,IF(BS160&gt;0,-1,1)*CH160*Strike1/BR160^2*BY160/10%),0)</f>
        <v>0</v>
      </c>
      <c r="CH160" s="163">
        <f ca="1">IF(BD160,(_xll.xCrudeAPO(BU160,BV160,CA160,CB160,S161,S162,BI160,BL160,BP160,BQ160,0,Strike1,AO160,CE160,0,BL160,IF(OptControl=4,0,1),3,1)+_xll.xCrudeAPO(BU160,BV160,CA160,CB160,S161,S162,BI160,BL160,BP160,BQ160,0,Strike1,AO160,CE160,0,BL160,IF(OptControl=4,0,1),3,2))/100,0)</f>
        <v>0</v>
      </c>
      <c r="CI160" s="163">
        <f ca="1">IF(BD160,_xll.xCrudeAPO(BU160,BV160,CA160,CB160,S161,S162,BI160-DaysForThetaCalculation/365.25,BL160-DaysForThetaCalculation/365.25,BP160,BQ160,0,Strike1,AO160,CE160,0,BL160,IF(OptControl=4,0,1),0,1)-_xll.xCrudeAPO(BU160,BV160,CA160,CB160,S161,S162,BI160,BL160,BP160,BQ160,0,Strike1,AO160,CE160,0,BL160,IF(OptControl=4,0,1),0,1),0)</f>
        <v>0</v>
      </c>
      <c r="CJ160" s="311">
        <f ca="1">IF(BD160,_xll.xCrudeAPO(BU160,BV160,CC160,CD160,S161,S162,BI160,BL160,BP160,BQ160,0,Strike2,AO160,CE160,0,BL160,IF(OptControl=3,1,0),0,1),0)</f>
        <v>0</v>
      </c>
      <c r="CK160" s="163">
        <f ca="1">IF(BD160,_xll.xCrudeAPO(BU160,BV160,CC160,CD160,S161,S162,BI160,BL160,BP160,BQ160,0,Strike2,AO160,CE160,0,BL160,IF(OptControl=3,1,0),1,1)+_xll.xCrudeAPO(BU160,BV160,CC160,CD160,S161,S162,BI160,BL160,BP160,BQ160,0,Strike2,AO160,CE160,0,BL160,IF(OptControl=3,1,0),1,2)+IF(OR(VolSkewFlag=2,ABS(BT160)&lt;0.0001),0,IF(BT160&gt;0,-1,1)*CL160*Strike2/BR160^2*BZ160/10%),0)</f>
        <v>0</v>
      </c>
      <c r="CL160" s="163">
        <f ca="1">IF(BD160,(_xll.xCrudeAPO(BU160,BV160,CC160,CD160,S161,S162,BI160,BL160,BP160,BQ160,0,Strike2,AO160,CE160,0,BL160,IF(OptControl=3,1,0),3,1)+_xll.xCrudeAPO(BU160,BV160,CC160,CD160,S161,S162,BI160,BL160,BP160,BQ160,0,Strike2,AO160,CE160,0,BL160,IF(OptControl=3,1,0),3,2))/100,0)</f>
        <v>0</v>
      </c>
      <c r="CM160" s="164">
        <f ca="1">IF(BD160,_xll.xCrudeAPO(BU160,BV160,CC160,CD160,S161,S162,BI160-DaysForThetaCalculation/365.25,BL160-DaysForThetaCalculation/365.25,BP160,BQ160,0,Strike2,AO160,CE160,0,BL160,IF(OptControl=3,1,0),0,1)-_xll.xCrudeAPO(BU160,BV160,CC160,CD160,S161,S162,BI160,BL160,BP160,BQ160,0,Strike2,AO160,CE160,0,BL160,IF(OptControl=3,1,0),0,1),0)</f>
        <v>0</v>
      </c>
      <c r="CN160" s="53"/>
      <c r="CO160" s="796" t="str">
        <f t="shared" ca="1" si="532"/>
        <v/>
      </c>
      <c r="CP160" s="800" t="str">
        <f t="shared" ca="1" si="533"/>
        <v/>
      </c>
      <c r="CQ160" s="797" t="str">
        <f t="shared" ca="1" si="534"/>
        <v/>
      </c>
      <c r="CR160" s="797" t="str">
        <f t="shared" ca="1" si="535"/>
        <v/>
      </c>
      <c r="CS160" s="797" t="str">
        <f t="shared" ca="1" si="536"/>
        <v/>
      </c>
      <c r="CT160" s="797" t="str">
        <f t="shared" ca="1" si="537"/>
        <v/>
      </c>
      <c r="CU160" s="798" t="str">
        <f t="shared" ca="1" si="538"/>
        <v/>
      </c>
      <c r="CV160" s="799" t="str">
        <f t="shared" ca="1" si="539"/>
        <v/>
      </c>
      <c r="CW160" s="799" t="str">
        <f t="shared" ca="1" si="540"/>
        <v/>
      </c>
      <c r="CX160" s="163">
        <f ca="1">IF(BD160,_xll.EURO(CP160,Strike1,AO160,AO160,CV160,CO160,IF(OptControl=4,0,1),0),0)</f>
        <v>0</v>
      </c>
      <c r="CY160" s="163">
        <f ca="1">IF(BD160,_xll.EURO(CP160,Strike1,AO160,AO160,CV160,CO160,IF(OptControl=4,0,1),1)+IF(OR(VolSkewFlag=2,ABS(CQ160)&lt;0.0001),0,IF(CQ160&gt;0,-1,1)*CZ160*100*Strike1/CP160^2*CS160/10%),0)</f>
        <v>0</v>
      </c>
      <c r="CZ160" s="163">
        <f ca="1">IF(BD160,_xll.EURO(CP160,Strike1,AO160,AO160,CV160,CO160,IF(OptControl=4,0,1),3)/100,0)</f>
        <v>0</v>
      </c>
      <c r="DA160" s="163">
        <f ca="1">IF(BD160,_xll.EURO(CP160,Strike1,AO160,AO160,CV160,CO160,IF(OptControl=4,0,1),0)-_xll.EURO(CP160,Strike1,AO160,AO160,CV160,CO160-1,IF(OptControl=4,0,1),0),0)</f>
        <v>0</v>
      </c>
      <c r="DB160" s="163">
        <f ca="1">IF(BD160,_xll.EURO(CP160,Strike2,AO160,AO160,CW160,CO160,IF(OptControl=3,1,0),0),0)</f>
        <v>0</v>
      </c>
      <c r="DC160" s="163">
        <f ca="1">IF(BD160,_xll.EURO(CP160,Strike2,AO160,AO160,CW160,CO160,IF(OptControl=3,1,0),1)+IF(OR(VolSkewFlag=2,ABS(CR160)&lt;0.0001),0,IF(CR160&gt;0,-1,1)*DD160*100*Strike2/CP160^2*CT160/10%),0)</f>
        <v>0</v>
      </c>
      <c r="DD160" s="163">
        <f ca="1">IF(BD160,_xll.EURO(CP160,Strike2,AO160,AO160,CW160,CO160,IF(OptControl=3,1,0),3)/100,0)</f>
        <v>0</v>
      </c>
      <c r="DE160" s="164">
        <f ca="1">IF(BD160,_xll.EURO(CP160,Strike2,AO160,AO160,CW160,CO160,IF(OptControl=3,1,0),0)-_xll.EURO(CP160,Strike2,AO160,AO160,CW160,CO160-1,IF(OptControl=3,1,0),0),0)</f>
        <v>0</v>
      </c>
      <c r="DG160" s="667">
        <f t="shared" ca="1" si="541"/>
        <v>40817</v>
      </c>
      <c r="DH160" s="475">
        <v>21.16</v>
      </c>
      <c r="DI160" s="665">
        <v>21.226666666666716</v>
      </c>
      <c r="DJ160" s="666">
        <f t="shared" ca="1" si="518"/>
        <v>40817</v>
      </c>
      <c r="DK160" s="475">
        <v>19.804938991870138</v>
      </c>
      <c r="DL160" s="665">
        <v>20.033566666666715</v>
      </c>
      <c r="DM160" s="667">
        <f t="shared" ca="1" si="519"/>
        <v>40817</v>
      </c>
      <c r="DN160" s="668">
        <f t="shared" si="520"/>
        <v>19.854938991870139</v>
      </c>
      <c r="DO160" s="667">
        <f t="shared" ca="1" si="542"/>
        <v>40817</v>
      </c>
      <c r="DP160" s="579">
        <f t="shared" si="543"/>
        <v>20.033566666666715</v>
      </c>
      <c r="DQ160" s="821">
        <v>0</v>
      </c>
      <c r="DR160" s="666">
        <f t="shared" ca="1" si="521"/>
        <v>40817</v>
      </c>
      <c r="DS160" s="669">
        <v>0.14059999999999903</v>
      </c>
      <c r="DT160" s="606">
        <v>0.13979999999999901</v>
      </c>
      <c r="DU160" s="666">
        <f t="shared" ca="1" si="522"/>
        <v>40817</v>
      </c>
      <c r="DV160" s="669">
        <v>0.14059999999999903</v>
      </c>
      <c r="DW160" s="606">
        <v>0.13979999999999901</v>
      </c>
      <c r="DX160" s="667">
        <f t="shared" ca="1" si="523"/>
        <v>40817</v>
      </c>
      <c r="DY160" s="606">
        <v>0.35</v>
      </c>
      <c r="DZ160" s="667">
        <f t="shared" ca="1" si="544"/>
        <v>40817</v>
      </c>
      <c r="EA160" s="606">
        <f t="shared" si="545"/>
        <v>0.13979999999999901</v>
      </c>
      <c r="EB160" s="1"/>
      <c r="EC160" s="118" t="str">
        <f t="shared" ca="1" si="524"/>
        <v/>
      </c>
      <c r="ED160" s="119" t="str">
        <f t="shared" ca="1" si="525"/>
        <v/>
      </c>
      <c r="EE160" s="112" t="str">
        <f t="shared" ca="1" si="526"/>
        <v/>
      </c>
      <c r="EF160" s="120">
        <f ca="1">IF(BD160,_xll.xASN(BR160,Strike1,AO160,ED160,0,BO160,0,BI160,BL160,IF(OptControl=4,0,1),0),0)</f>
        <v>0</v>
      </c>
      <c r="EG160" s="111">
        <f ca="1">IF(BD160,_xll.xASN(BR160,Strike2,AO160,EE160,0,BO160,0,BI160,BL160,IF(OptControl=3,1,0),0),0)</f>
        <v>0</v>
      </c>
      <c r="EL160" s="55"/>
      <c r="EM160" s="1"/>
      <c r="EN160" s="106"/>
      <c r="EO160" s="106"/>
      <c r="EP160" s="1"/>
      <c r="EQ160" s="683" t="s">
        <v>373</v>
      </c>
      <c r="ES160" s="455"/>
      <c r="ET160" s="36"/>
      <c r="EU160" s="107"/>
      <c r="EV160" s="475"/>
      <c r="EW160" s="456"/>
      <c r="EX160" s="456"/>
      <c r="EY160" s="250"/>
      <c r="EZ160" s="250"/>
      <c r="FA160" s="250"/>
      <c r="FB160" s="250"/>
      <c r="FC160" s="250"/>
      <c r="FD160" s="250"/>
      <c r="FE160" s="250"/>
      <c r="FF160" s="250"/>
      <c r="FG160" s="250"/>
      <c r="FH160" s="250"/>
      <c r="FI160" s="250"/>
      <c r="FJ160" s="673">
        <v>66</v>
      </c>
      <c r="FK160" s="460">
        <f t="shared" ca="1" si="563"/>
        <v>0</v>
      </c>
      <c r="FL160" s="460">
        <f t="shared" ref="FL160:FZ160" ca="1" si="565">IF($FJ85&lt;FL$94,"",SQRT(FL85/FL$15))</f>
        <v>0.16613007317113757</v>
      </c>
      <c r="FM160" s="460">
        <f t="shared" ca="1" si="565"/>
        <v>0.17050290822911915</v>
      </c>
      <c r="FN160" s="460">
        <f t="shared" ca="1" si="565"/>
        <v>0.16722514296186491</v>
      </c>
      <c r="FO160" s="460">
        <f t="shared" ca="1" si="565"/>
        <v>0.16476725974824499</v>
      </c>
      <c r="FP160" s="460">
        <f t="shared" ca="1" si="565"/>
        <v>0.16292436522740433</v>
      </c>
      <c r="FQ160" s="460">
        <f t="shared" ca="1" si="565"/>
        <v>0.16154280217060285</v>
      </c>
      <c r="FR160" s="460">
        <f t="shared" ca="1" si="565"/>
        <v>0.16050734265467992</v>
      </c>
      <c r="FS160" s="460">
        <f t="shared" ca="1" si="565"/>
        <v>0.15973158331223361</v>
      </c>
      <c r="FT160" s="460">
        <f t="shared" ca="1" si="565"/>
        <v>0.15915074220276643</v>
      </c>
      <c r="FU160" s="460">
        <f t="shared" ca="1" si="565"/>
        <v>0.1587162569737213</v>
      </c>
      <c r="FV160" s="460">
        <f t="shared" ca="1" si="565"/>
        <v>0.15839173407567514</v>
      </c>
      <c r="FW160" s="460">
        <f t="shared" ca="1" si="565"/>
        <v>0.15814991136964179</v>
      </c>
      <c r="FX160" s="460">
        <f t="shared" ca="1" si="565"/>
        <v>0.15797038089721818</v>
      </c>
      <c r="FY160" s="460">
        <f t="shared" ca="1" si="565"/>
        <v>0.15783788191189044</v>
      </c>
      <c r="FZ160" s="460">
        <f t="shared" ca="1" si="565"/>
        <v>0.15774102176898694</v>
      </c>
      <c r="GA160" s="460">
        <f t="shared" ca="1" si="562"/>
        <v>0.1576713179002667</v>
      </c>
      <c r="GB160" s="460">
        <f t="shared" ca="1" si="562"/>
        <v>0.15762248082533276</v>
      </c>
      <c r="GC160" s="460">
        <f t="shared" ca="1" si="562"/>
        <v>0.15758987820242157</v>
      </c>
      <c r="GD160" s="460">
        <f t="shared" ca="1" si="562"/>
        <v>0.15757013496559655</v>
      </c>
      <c r="GE160" s="460">
        <f t="shared" ca="1" si="562"/>
        <v>0.15756083588666764</v>
      </c>
      <c r="GF160" s="460">
        <f t="shared" ca="1" si="562"/>
        <v>0.15756030537800686</v>
      </c>
      <c r="GG160" s="460">
        <f t="shared" ca="1" si="562"/>
        <v>0.15756744572192036</v>
      </c>
      <c r="GH160" s="460">
        <f t="shared" ca="1" si="562"/>
        <v>0.15758161970254031</v>
      </c>
      <c r="GI160" s="460">
        <f t="shared" ca="1" si="562"/>
        <v>0.15760256722460483</v>
      </c>
      <c r="GJ160" s="460">
        <f t="shared" ca="1" si="562"/>
        <v>0.15763034822850314</v>
      </c>
      <c r="GK160" s="460">
        <f t="shared" ca="1" si="562"/>
        <v>0.15766530627708228</v>
      </c>
      <c r="GL160" s="460">
        <f t="shared" ca="1" si="562"/>
        <v>0.15770804876614486</v>
      </c>
      <c r="GM160" s="460">
        <f t="shared" ca="1" si="562"/>
        <v>0.15775944092521493</v>
      </c>
      <c r="GN160" s="460">
        <f t="shared" ca="1" si="562"/>
        <v>0.15782061172523615</v>
      </c>
      <c r="GO160" s="460">
        <f t="shared" ca="1" si="562"/>
        <v>0.15789297056991708</v>
      </c>
      <c r="GP160" s="460">
        <f t="shared" ca="1" si="562"/>
        <v>0.15797823427546878</v>
      </c>
      <c r="GQ160" s="460">
        <f t="shared" ca="1" si="562"/>
        <v>0.15807846438568687</v>
      </c>
      <c r="GR160" s="460">
        <f t="shared" ca="1" si="562"/>
        <v>0.15819611536388684</v>
      </c>
      <c r="GS160" s="460">
        <f t="shared" ca="1" si="562"/>
        <v>0.15833409468336965</v>
      </c>
      <c r="GT160" s="460">
        <f t="shared" ca="1" si="562"/>
        <v>0.15849583633490602</v>
      </c>
      <c r="GU160" s="460">
        <f t="shared" ca="1" si="562"/>
        <v>0.15868538981460392</v>
      </c>
      <c r="GV160" s="460">
        <f t="shared" ca="1" si="562"/>
        <v>0.15890752728291721</v>
      </c>
      <c r="GW160" s="460">
        <f t="shared" ca="1" si="562"/>
        <v>0.15916787233604898</v>
      </c>
      <c r="GX160" s="460">
        <f t="shared" ca="1" si="562"/>
        <v>0.15947305475509507</v>
      </c>
      <c r="GY160" s="460">
        <f t="shared" ca="1" si="562"/>
        <v>0.15983089676137099</v>
      </c>
      <c r="GZ160" s="460">
        <f t="shared" ca="1" si="562"/>
        <v>0.16025063779561124</v>
      </c>
      <c r="HA160" s="460">
        <f t="shared" ca="1" si="562"/>
        <v>0.16074320677258144</v>
      </c>
      <c r="HB160" s="460">
        <f t="shared" ca="1" si="562"/>
        <v>0.16132155330468198</v>
      </c>
      <c r="HC160" s="460">
        <f t="shared" ca="1" si="562"/>
        <v>0.16200105276701718</v>
      </c>
      <c r="HD160" s="460">
        <f t="shared" ca="1" si="562"/>
        <v>0.16280000461564417</v>
      </c>
      <c r="HE160" s="460">
        <f t="shared" ca="1" si="562"/>
        <v>0.16374024953276217</v>
      </c>
      <c r="HF160" s="460">
        <f t="shared" ca="1" si="562"/>
        <v>0.16484793942611131</v>
      </c>
      <c r="HG160" s="460">
        <f t="shared" ca="1" si="562"/>
        <v>0.16615450603252108</v>
      </c>
      <c r="HH160" s="460">
        <f t="shared" ca="1" si="562"/>
        <v>0.16769789031449209</v>
      </c>
      <c r="HI160" s="460">
        <f t="shared" ca="1" si="562"/>
        <v>0.16952411816335441</v>
      </c>
      <c r="HJ160" s="460">
        <f t="shared" ca="1" si="562"/>
        <v>0.17168934143057116</v>
      </c>
      <c r="HK160" s="460">
        <f t="shared" ca="1" si="562"/>
        <v>0.1742625120875661</v>
      </c>
      <c r="HL160" s="460">
        <f t="shared" ca="1" si="562"/>
        <v>0.17732892933923672</v>
      </c>
      <c r="HM160" s="460">
        <f t="shared" ca="1" si="562"/>
        <v>0.18099500750706093</v>
      </c>
      <c r="HN160" s="460">
        <f t="shared" ca="1" si="562"/>
        <v>0.18539477712476632</v>
      </c>
      <c r="HO160" s="460">
        <f t="shared" ca="1" si="562"/>
        <v>0.1906988872300065</v>
      </c>
      <c r="HP160" s="460">
        <f t="shared" ca="1" si="562"/>
        <v>0.19712728139510011</v>
      </c>
      <c r="HQ160" s="460">
        <f t="shared" ca="1" si="562"/>
        <v>0.20496737450991162</v>
      </c>
      <c r="HR160" s="460">
        <f t="shared" ca="1" si="562"/>
        <v>0.2146006415533579</v>
      </c>
      <c r="HS160" s="460">
        <f t="shared" ca="1" si="562"/>
        <v>0.22654237353593812</v>
      </c>
      <c r="HT160" s="460">
        <f t="shared" ca="1" si="562"/>
        <v>0.24150258451464879</v>
      </c>
      <c r="HU160" s="460">
        <f t="shared" ca="1" si="562"/>
        <v>0.26048189387452581</v>
      </c>
      <c r="HV160" s="460">
        <f t="shared" ca="1" si="562"/>
        <v>0.28492716547207242</v>
      </c>
      <c r="HW160" s="460">
        <f t="shared" ca="1" si="562"/>
        <v>0.31699311183919049</v>
      </c>
      <c r="HX160" s="460">
        <f t="shared" ca="1" si="561"/>
        <v>0.36000000040362756</v>
      </c>
      <c r="HY160" s="460" t="str">
        <f t="shared" si="561"/>
        <v/>
      </c>
      <c r="HZ160" s="460" t="str">
        <f t="shared" si="561"/>
        <v/>
      </c>
      <c r="IA160" s="460" t="str">
        <f t="shared" si="561"/>
        <v/>
      </c>
      <c r="IB160" s="460" t="str">
        <f t="shared" si="561"/>
        <v/>
      </c>
      <c r="IC160" s="460" t="str">
        <f t="shared" si="561"/>
        <v/>
      </c>
      <c r="ID160" s="674" t="str">
        <f t="shared" si="561"/>
        <v/>
      </c>
      <c r="IE160" s="250"/>
    </row>
    <row r="161" spans="8:239">
      <c r="H161" s="51">
        <f t="shared" ca="1" si="527"/>
        <v>0</v>
      </c>
      <c r="I161" s="379">
        <f t="shared" si="528"/>
        <v>41061</v>
      </c>
      <c r="J161" s="377"/>
      <c r="K161" s="104" t="s">
        <v>268</v>
      </c>
      <c r="L161" s="392">
        <f t="shared" si="529"/>
        <v>2.4375000000000031</v>
      </c>
      <c r="M161" s="171"/>
      <c r="N161" s="382">
        <v>0</v>
      </c>
      <c r="O161" s="171">
        <f t="shared" si="490"/>
        <v>0</v>
      </c>
      <c r="P161" s="377"/>
      <c r="Q161" s="104" t="s">
        <v>268</v>
      </c>
      <c r="R161" s="377">
        <f t="shared" ca="1" si="547"/>
        <v>1.0136803590070587</v>
      </c>
      <c r="S161" s="832">
        <f t="shared" si="564"/>
        <v>0.3600000000000001</v>
      </c>
      <c r="T161" s="831">
        <f t="shared" si="548"/>
        <v>0.99999999997131128</v>
      </c>
      <c r="U161" s="545">
        <f t="shared" si="549"/>
        <v>0.99999999999999978</v>
      </c>
      <c r="V161" s="389">
        <v>0</v>
      </c>
      <c r="W161" s="434">
        <f t="shared" si="491"/>
        <v>0</v>
      </c>
      <c r="X161" s="415">
        <f t="shared" si="492"/>
        <v>2.4875000000000034</v>
      </c>
      <c r="Y161" s="322">
        <f t="shared" si="493"/>
        <v>-1.2915000000000001</v>
      </c>
      <c r="Z161" s="322">
        <f t="shared" ca="1" si="494"/>
        <v>1.1960000000000033</v>
      </c>
      <c r="AA161" s="429">
        <f t="shared" si="495"/>
        <v>1.2915000000000001</v>
      </c>
      <c r="AB161" s="433">
        <f t="shared" ca="1" si="496"/>
        <v>1.2915000000000001</v>
      </c>
      <c r="AC161" s="229">
        <v>41049</v>
      </c>
      <c r="AD161" s="229">
        <v>41045</v>
      </c>
      <c r="AE161" s="229">
        <v>41044</v>
      </c>
      <c r="AF161" s="229">
        <v>41040</v>
      </c>
      <c r="AG161" s="249" t="s">
        <v>499</v>
      </c>
      <c r="AH161" s="247" t="s">
        <v>499</v>
      </c>
      <c r="AI161" s="146">
        <v>21</v>
      </c>
      <c r="AJ161" s="41">
        <v>14</v>
      </c>
      <c r="AK161" s="41">
        <v>7</v>
      </c>
      <c r="AL161" s="293">
        <v>21</v>
      </c>
      <c r="AM161" s="41">
        <v>10</v>
      </c>
      <c r="AN161" s="147">
        <v>11</v>
      </c>
      <c r="AO161" s="374"/>
      <c r="AP161" s="153">
        <f t="shared" ca="1" si="530"/>
        <v>1</v>
      </c>
      <c r="AQ161" s="374"/>
      <c r="AR161" s="153">
        <f t="shared" ca="1" si="550"/>
        <v>1</v>
      </c>
      <c r="AS161" s="272">
        <f t="shared" si="497"/>
        <v>0</v>
      </c>
      <c r="AT161" s="157">
        <f t="shared" si="531"/>
        <v>0</v>
      </c>
      <c r="AU161" s="157">
        <f t="shared" si="498"/>
        <v>0</v>
      </c>
      <c r="AV161" s="271">
        <f t="shared" ca="1" si="558"/>
        <v>9.9999999999999995E-7</v>
      </c>
      <c r="AW161" s="158" t="str">
        <f t="shared" ca="1" si="499"/>
        <v/>
      </c>
      <c r="AX161" s="157">
        <f t="shared" ca="1" si="551"/>
        <v>2.1842471519229676E-4</v>
      </c>
      <c r="AY161" s="157">
        <f t="shared" ca="1" si="552"/>
        <v>6.6030045558609134E-5</v>
      </c>
      <c r="AZ161" s="157">
        <f t="shared" ca="1" si="553"/>
        <v>4.2434236769900695E-6</v>
      </c>
      <c r="BA161" s="157">
        <f t="shared" ca="1" si="554"/>
        <v>5.3042795962375869E-7</v>
      </c>
      <c r="BB161" s="157">
        <f t="shared" ca="1" si="555"/>
        <v>9.6548813342371574E-9</v>
      </c>
      <c r="BC161" s="157">
        <f t="shared" ca="1" si="556"/>
        <v>5.6270764070120374E-10</v>
      </c>
      <c r="BD161" s="151">
        <f t="shared" ca="1" si="500"/>
        <v>0</v>
      </c>
      <c r="BE161" s="152">
        <f t="shared" ca="1" si="501"/>
        <v>0</v>
      </c>
      <c r="BF161" s="40">
        <f t="shared" si="502"/>
        <v>2012</v>
      </c>
      <c r="BG161" s="144">
        <f t="shared" si="503"/>
        <v>6</v>
      </c>
      <c r="BH161" s="145">
        <f t="shared" ca="1" si="504"/>
        <v>4300</v>
      </c>
      <c r="BI161" s="313">
        <f t="shared" ca="1" si="439"/>
        <v>11.816563997262149</v>
      </c>
      <c r="BJ161" s="42">
        <f t="shared" ca="1" si="505"/>
        <v>11.869495779146703</v>
      </c>
      <c r="BK161" s="42">
        <f t="shared" ca="1" si="506"/>
        <v>11.872233629933836</v>
      </c>
      <c r="BL161" s="42">
        <f t="shared" ca="1" si="440"/>
        <v>11.89596167008898</v>
      </c>
      <c r="BM161" s="150" t="e">
        <f t="shared" ca="1" si="507"/>
        <v>#DIV/0!</v>
      </c>
      <c r="BN161" s="42" t="e">
        <f t="shared" ca="1" si="508"/>
        <v>#DIV/0!</v>
      </c>
      <c r="BO161" s="293">
        <f t="shared" si="441"/>
        <v>21</v>
      </c>
      <c r="BP161" s="41">
        <f t="shared" si="442"/>
        <v>14</v>
      </c>
      <c r="BQ161" s="41">
        <f t="shared" si="443"/>
        <v>7</v>
      </c>
      <c r="BR161" s="305" t="str">
        <f t="shared" ca="1" si="509"/>
        <v/>
      </c>
      <c r="BS161" s="305" t="str">
        <f t="shared" ca="1" si="444"/>
        <v/>
      </c>
      <c r="BT161" s="307" t="str">
        <f t="shared" ca="1" si="445"/>
        <v/>
      </c>
      <c r="BU161" s="161" t="str">
        <f t="shared" ca="1" si="510"/>
        <v/>
      </c>
      <c r="BV161" s="161" t="str">
        <f t="shared" ca="1" si="511"/>
        <v/>
      </c>
      <c r="BW161" s="308" t="str">
        <f t="shared" ca="1" si="512"/>
        <v/>
      </c>
      <c r="BX161" s="309" t="str">
        <f t="shared" ca="1" si="513"/>
        <v/>
      </c>
      <c r="BY161" s="308" t="str">
        <f t="shared" ca="1" si="446"/>
        <v/>
      </c>
      <c r="BZ161" s="309" t="str">
        <f t="shared" ca="1" si="447"/>
        <v/>
      </c>
      <c r="CA161" s="154" t="str">
        <f t="shared" ca="1" si="514"/>
        <v/>
      </c>
      <c r="CB161" s="154" t="str">
        <f t="shared" ca="1" si="515"/>
        <v/>
      </c>
      <c r="CC161" s="154" t="str">
        <f t="shared" ca="1" si="516"/>
        <v/>
      </c>
      <c r="CD161" s="154" t="str">
        <f t="shared" ca="1" si="517"/>
        <v/>
      </c>
      <c r="CE161" s="310">
        <v>1</v>
      </c>
      <c r="CF161" s="162">
        <f ca="1">IF(BD161,_xll.xCrudeAPO(BU161,BV161,CA161,CB161,S162,S163,BI161,BL161,BP161,BQ161,0,Strike1,AO161,CE161,0,BL161,IF(OptControl=4,0,1),0,1),0)</f>
        <v>0</v>
      </c>
      <c r="CG161" s="163">
        <f ca="1">IF(BD161,_xll.xCrudeAPO(BU161,BV161,CA161,CB161,S162,S163,BI161,BL161,BP161,BQ161,0,Strike1,AO161,CE161,0,BL161,IF(OptControl=4,0,1),1,1)+_xll.xCrudeAPO(BU161,BV161,CA161,CB161,S162,S163,BI161,BL161,BP161,BQ161,0,Strike1,AO161,CE161,0,BL161,IF(OptControl=4,0,1),1,2)+IF(OR(VolSkewFlag=2,ABS(BS161)&lt;0.0001),0,IF(BS161&gt;0,-1,1)*CH161*Strike1/BR161^2*BY161/10%),0)</f>
        <v>0</v>
      </c>
      <c r="CH161" s="163">
        <f ca="1">IF(BD161,(_xll.xCrudeAPO(BU161,BV161,CA161,CB161,S162,S163,BI161,BL161,BP161,BQ161,0,Strike1,AO161,CE161,0,BL161,IF(OptControl=4,0,1),3,1)+_xll.xCrudeAPO(BU161,BV161,CA161,CB161,S162,S163,BI161,BL161,BP161,BQ161,0,Strike1,AO161,CE161,0,BL161,IF(OptControl=4,0,1),3,2))/100,0)</f>
        <v>0</v>
      </c>
      <c r="CI161" s="163">
        <f ca="1">IF(BD161,_xll.xCrudeAPO(BU161,BV161,CA161,CB161,S162,S163,BI161-DaysForThetaCalculation/365.25,BL161-DaysForThetaCalculation/365.25,BP161,BQ161,0,Strike1,AO161,CE161,0,BL161,IF(OptControl=4,0,1),0,1)-_xll.xCrudeAPO(BU161,BV161,CA161,CB161,S162,S163,BI161,BL161,BP161,BQ161,0,Strike1,AO161,CE161,0,BL161,IF(OptControl=4,0,1),0,1),0)</f>
        <v>0</v>
      </c>
      <c r="CJ161" s="311">
        <f ca="1">IF(BD161,_xll.xCrudeAPO(BU161,BV161,CC161,CD161,S162,S163,BI161,BL161,BP161,BQ161,0,Strike2,AO161,CE161,0,BL161,IF(OptControl=3,1,0),0,1),0)</f>
        <v>0</v>
      </c>
      <c r="CK161" s="163">
        <f ca="1">IF(BD161,_xll.xCrudeAPO(BU161,BV161,CC161,CD161,S162,S163,BI161,BL161,BP161,BQ161,0,Strike2,AO161,CE161,0,BL161,IF(OptControl=3,1,0),1,1)+_xll.xCrudeAPO(BU161,BV161,CC161,CD161,S162,S163,BI161,BL161,BP161,BQ161,0,Strike2,AO161,CE161,0,BL161,IF(OptControl=3,1,0),1,2)+IF(OR(VolSkewFlag=2,ABS(BT161)&lt;0.0001),0,IF(BT161&gt;0,-1,1)*CL161*Strike2/BR161^2*BZ161/10%),0)</f>
        <v>0</v>
      </c>
      <c r="CL161" s="163">
        <f ca="1">IF(BD161,(_xll.xCrudeAPO(BU161,BV161,CC161,CD161,S162,S163,BI161,BL161,BP161,BQ161,0,Strike2,AO161,CE161,0,BL161,IF(OptControl=3,1,0),3,1)+_xll.xCrudeAPO(BU161,BV161,CC161,CD161,S162,S163,BI161,BL161,BP161,BQ161,0,Strike2,AO161,CE161,0,BL161,IF(OptControl=3,1,0),3,2))/100,0)</f>
        <v>0</v>
      </c>
      <c r="CM161" s="164">
        <f ca="1">IF(BD161,_xll.xCrudeAPO(BU161,BV161,CC161,CD161,S162,S163,BI161-DaysForThetaCalculation/365.25,BL161-DaysForThetaCalculation/365.25,BP161,BQ161,0,Strike2,AO161,CE161,0,BL161,IF(OptControl=3,1,0),0,1)-_xll.xCrudeAPO(BU161,BV161,CC161,CD161,S162,S163,BI161,BL161,BP161,BQ161,0,Strike2,AO161,CE161,0,BL161,IF(OptControl=3,1,0),0,1),0)</f>
        <v>0</v>
      </c>
      <c r="CN161" s="53"/>
      <c r="CO161" s="796" t="str">
        <f t="shared" ca="1" si="532"/>
        <v/>
      </c>
      <c r="CP161" s="800" t="str">
        <f t="shared" ca="1" si="533"/>
        <v/>
      </c>
      <c r="CQ161" s="797" t="str">
        <f t="shared" ca="1" si="534"/>
        <v/>
      </c>
      <c r="CR161" s="797" t="str">
        <f t="shared" ca="1" si="535"/>
        <v/>
      </c>
      <c r="CS161" s="797" t="str">
        <f t="shared" ca="1" si="536"/>
        <v/>
      </c>
      <c r="CT161" s="797" t="str">
        <f t="shared" ca="1" si="537"/>
        <v/>
      </c>
      <c r="CU161" s="798" t="str">
        <f t="shared" ca="1" si="538"/>
        <v/>
      </c>
      <c r="CV161" s="799" t="str">
        <f t="shared" ca="1" si="539"/>
        <v/>
      </c>
      <c r="CW161" s="799" t="str">
        <f t="shared" ca="1" si="540"/>
        <v/>
      </c>
      <c r="CX161" s="163">
        <f ca="1">IF(BD161,_xll.EURO(CP161,Strike1,AO161,AO161,CV161,CO161,IF(OptControl=4,0,1),0),0)</f>
        <v>0</v>
      </c>
      <c r="CY161" s="163">
        <f ca="1">IF(BD161,_xll.EURO(CP161,Strike1,AO161,AO161,CV161,CO161,IF(OptControl=4,0,1),1)+IF(OR(VolSkewFlag=2,ABS(CQ161)&lt;0.0001),0,IF(CQ161&gt;0,-1,1)*CZ161*100*Strike1/CP161^2*CS161/10%),0)</f>
        <v>0</v>
      </c>
      <c r="CZ161" s="163">
        <f ca="1">IF(BD161,_xll.EURO(CP161,Strike1,AO161,AO161,CV161,CO161,IF(OptControl=4,0,1),3)/100,0)</f>
        <v>0</v>
      </c>
      <c r="DA161" s="163">
        <f ca="1">IF(BD161,_xll.EURO(CP161,Strike1,AO161,AO161,CV161,CO161,IF(OptControl=4,0,1),0)-_xll.EURO(CP161,Strike1,AO161,AO161,CV161,CO161-1,IF(OptControl=4,0,1),0),0)</f>
        <v>0</v>
      </c>
      <c r="DB161" s="163">
        <f ca="1">IF(BD161,_xll.EURO(CP161,Strike2,AO161,AO161,CW161,CO161,IF(OptControl=3,1,0),0),0)</f>
        <v>0</v>
      </c>
      <c r="DC161" s="163">
        <f ca="1">IF(BD161,_xll.EURO(CP161,Strike2,AO161,AO161,CW161,CO161,IF(OptControl=3,1,0),1)+IF(OR(VolSkewFlag=2,ABS(CR161)&lt;0.0001),0,IF(CR161&gt;0,-1,1)*DD161*100*Strike2/CP161^2*CT161/10%),0)</f>
        <v>0</v>
      </c>
      <c r="DD161" s="163">
        <f ca="1">IF(BD161,_xll.EURO(CP161,Strike2,AO161,AO161,CW161,CO161,IF(OptControl=3,1,0),3)/100,0)</f>
        <v>0</v>
      </c>
      <c r="DE161" s="164">
        <f ca="1">IF(BD161,_xll.EURO(CP161,Strike2,AO161,AO161,CW161,CO161,IF(OptControl=3,1,0),0)-_xll.EURO(CP161,Strike2,AO161,AO161,CW161,CO161-1,IF(OptControl=3,1,0),0),0)</f>
        <v>0</v>
      </c>
      <c r="DG161" s="667">
        <f t="shared" ca="1" si="541"/>
        <v>40848</v>
      </c>
      <c r="DH161" s="475">
        <v>21.21</v>
      </c>
      <c r="DI161" s="665">
        <v>21.278181818181864</v>
      </c>
      <c r="DJ161" s="666">
        <f t="shared" ca="1" si="518"/>
        <v>40848</v>
      </c>
      <c r="DK161" s="475">
        <v>19.9999008401083</v>
      </c>
      <c r="DL161" s="665">
        <v>20.085081818181862</v>
      </c>
      <c r="DM161" s="667">
        <f t="shared" ca="1" si="519"/>
        <v>40848</v>
      </c>
      <c r="DN161" s="668">
        <f t="shared" si="520"/>
        <v>20.0499008401083</v>
      </c>
      <c r="DO161" s="667">
        <f t="shared" ca="1" si="542"/>
        <v>40848</v>
      </c>
      <c r="DP161" s="579">
        <f t="shared" si="543"/>
        <v>20.085081818181862</v>
      </c>
      <c r="DQ161" s="821">
        <v>0</v>
      </c>
      <c r="DR161" s="666">
        <f t="shared" ca="1" si="521"/>
        <v>40848</v>
      </c>
      <c r="DS161" s="669">
        <v>0.13999999999999901</v>
      </c>
      <c r="DT161" s="606">
        <v>0.13918181818181721</v>
      </c>
      <c r="DU161" s="666">
        <f t="shared" ca="1" si="522"/>
        <v>40848</v>
      </c>
      <c r="DV161" s="669">
        <v>0.13999999999999901</v>
      </c>
      <c r="DW161" s="606">
        <v>0.13918181818181721</v>
      </c>
      <c r="DX161" s="667">
        <f t="shared" ca="1" si="523"/>
        <v>40848</v>
      </c>
      <c r="DY161" s="606">
        <v>0.35</v>
      </c>
      <c r="DZ161" s="667">
        <f t="shared" ca="1" si="544"/>
        <v>40848</v>
      </c>
      <c r="EA161" s="606">
        <f t="shared" si="545"/>
        <v>0.13918181818181721</v>
      </c>
      <c r="EB161" s="1"/>
      <c r="EC161" s="118" t="str">
        <f t="shared" ca="1" si="524"/>
        <v/>
      </c>
      <c r="ED161" s="119" t="str">
        <f t="shared" ca="1" si="525"/>
        <v/>
      </c>
      <c r="EE161" s="112" t="str">
        <f t="shared" ca="1" si="526"/>
        <v/>
      </c>
      <c r="EF161" s="120">
        <f ca="1">IF(BD161,_xll.xASN(BR161,Strike1,AO161,ED161,0,BO161,0,BI161,BL161,IF(OptControl=4,0,1),0),0)</f>
        <v>0</v>
      </c>
      <c r="EG161" s="111">
        <f ca="1">IF(BD161,_xll.xASN(BR161,Strike2,AO161,EE161,0,BO161,0,BI161,BL161,IF(OptControl=3,1,0),0),0)</f>
        <v>0</v>
      </c>
      <c r="EL161" s="55"/>
      <c r="EM161" s="1"/>
      <c r="EN161" s="106"/>
      <c r="EO161" s="106"/>
      <c r="EP161" s="1"/>
      <c r="EQ161" s="683" t="s">
        <v>374</v>
      </c>
      <c r="ES161" s="455"/>
      <c r="ET161" s="36"/>
      <c r="EU161" s="107"/>
      <c r="EV161" s="475"/>
      <c r="EW161" s="456"/>
      <c r="EX161" s="456"/>
      <c r="EY161" s="250"/>
      <c r="EZ161" s="250"/>
      <c r="FA161" s="250"/>
      <c r="FB161" s="250"/>
      <c r="FC161" s="250"/>
      <c r="FD161" s="250"/>
      <c r="FE161" s="250"/>
      <c r="FF161" s="250"/>
      <c r="FG161" s="250"/>
      <c r="FH161" s="250"/>
      <c r="FI161" s="250"/>
      <c r="FJ161" s="673">
        <v>67</v>
      </c>
      <c r="FK161" s="460">
        <f t="shared" ca="1" si="563"/>
        <v>0</v>
      </c>
      <c r="FL161" s="460">
        <f t="shared" ref="FL161:HW164" ca="1" si="566">IF($FJ86&lt;FL$94,"",SQRT(FL86/FL$15))</f>
        <v>0.16612924757442529</v>
      </c>
      <c r="FM161" s="460">
        <f t="shared" ca="1" si="566"/>
        <v>0.17050191720195704</v>
      </c>
      <c r="FN161" s="460">
        <f t="shared" ca="1" si="566"/>
        <v>0.16722400614778993</v>
      </c>
      <c r="FO161" s="460">
        <f t="shared" ca="1" si="566"/>
        <v>0.16476594968301392</v>
      </c>
      <c r="FP161" s="460">
        <f t="shared" ca="1" si="566"/>
        <v>0.16292285012419758</v>
      </c>
      <c r="FQ161" s="460">
        <f t="shared" ca="1" si="566"/>
        <v>0.16154104514528486</v>
      </c>
      <c r="FR161" s="460">
        <f t="shared" ca="1" si="566"/>
        <v>0.16050530082459755</v>
      </c>
      <c r="FS161" s="460">
        <f t="shared" ca="1" si="566"/>
        <v>0.15972920674643071</v>
      </c>
      <c r="FT161" s="460">
        <f t="shared" ca="1" si="566"/>
        <v>0.15914797269779804</v>
      </c>
      <c r="FU161" s="460">
        <f t="shared" ca="1" si="566"/>
        <v>0.15871302662491316</v>
      </c>
      <c r="FV161" s="460">
        <f t="shared" ca="1" si="566"/>
        <v>0.1583879636085829</v>
      </c>
      <c r="FW161" s="460">
        <f t="shared" ca="1" si="566"/>
        <v>0.15814550819048903</v>
      </c>
      <c r="FX161" s="460">
        <f t="shared" ca="1" si="566"/>
        <v>0.15796523681407901</v>
      </c>
      <c r="FY161" s="460">
        <f t="shared" ca="1" si="566"/>
        <v>0.15783187047014907</v>
      </c>
      <c r="FZ161" s="460">
        <f t="shared" ca="1" si="566"/>
        <v>0.15773399513493813</v>
      </c>
      <c r="GA161" s="460">
        <f t="shared" ca="1" si="566"/>
        <v>0.15766310321536106</v>
      </c>
      <c r="GB161" s="460">
        <f t="shared" ca="1" si="566"/>
        <v>0.15761287594021781</v>
      </c>
      <c r="GC161" s="460">
        <f t="shared" ca="1" si="566"/>
        <v>0.15757864668421831</v>
      </c>
      <c r="GD161" s="460">
        <f t="shared" ca="1" si="566"/>
        <v>0.15755700025335603</v>
      </c>
      <c r="GE161" s="460">
        <f t="shared" ca="1" si="566"/>
        <v>0.15754547444814904</v>
      </c>
      <c r="GF161" s="460">
        <f t="shared" ca="1" si="566"/>
        <v>0.15754233869519307</v>
      </c>
      <c r="GG161" s="460">
        <f t="shared" ca="1" si="566"/>
        <v>0.1575464309022872</v>
      </c>
      <c r="GH161" s="460">
        <f t="shared" ca="1" si="566"/>
        <v>0.15755703847711316</v>
      </c>
      <c r="GI161" s="460">
        <f t="shared" ca="1" si="566"/>
        <v>0.15757381305117205</v>
      </c>
      <c r="GJ161" s="460">
        <f t="shared" ca="1" si="566"/>
        <v>0.15759671116765647</v>
      </c>
      <c r="GK161" s="460">
        <f t="shared" ca="1" si="566"/>
        <v>0.15762595524836479</v>
      </c>
      <c r="GL161" s="460">
        <f t="shared" ca="1" si="566"/>
        <v>0.15766201071945404</v>
      </c>
      <c r="GM161" s="460">
        <f t="shared" ca="1" si="566"/>
        <v>0.15770557637618499</v>
      </c>
      <c r="GN161" s="460">
        <f t="shared" ca="1" si="566"/>
        <v>0.15775758599940895</v>
      </c>
      <c r="GO161" s="460">
        <f t="shared" ca="1" si="566"/>
        <v>0.15781921997508569</v>
      </c>
      <c r="GP161" s="460">
        <f t="shared" ca="1" si="566"/>
        <v>0.15789192626951948</v>
      </c>
      <c r="GQ161" s="460">
        <f t="shared" ca="1" si="566"/>
        <v>0.15797745062203841</v>
      </c>
      <c r="GR161" s="460">
        <f t="shared" ca="1" si="566"/>
        <v>0.15807787626980199</v>
      </c>
      <c r="GS161" s="460">
        <f t="shared" ca="1" si="566"/>
        <v>0.158195673947049</v>
      </c>
      <c r="GT161" s="460">
        <f t="shared" ca="1" si="566"/>
        <v>0.15833376333106247</v>
      </c>
      <c r="GU161" s="460">
        <f t="shared" ca="1" si="566"/>
        <v>0.15849558756629251</v>
      </c>
      <c r="GV161" s="460">
        <f t="shared" ca="1" si="566"/>
        <v>0.15868520301471398</v>
      </c>
      <c r="GW161" s="460">
        <f t="shared" ca="1" si="566"/>
        <v>0.15890738698671419</v>
      </c>
      <c r="GX161" s="460">
        <f t="shared" ca="1" si="566"/>
        <v>0.15916776694141374</v>
      </c>
      <c r="GY161" s="460">
        <f t="shared" ca="1" si="566"/>
        <v>0.15947297555750628</v>
      </c>
      <c r="GZ161" s="460">
        <f t="shared" ca="1" si="566"/>
        <v>0.15983083722986621</v>
      </c>
      <c r="HA161" s="460">
        <f t="shared" ca="1" si="566"/>
        <v>0.16025059302971159</v>
      </c>
      <c r="HB161" s="460">
        <f t="shared" ca="1" si="566"/>
        <v>0.16074317309494829</v>
      </c>
      <c r="HC161" s="460">
        <f t="shared" ca="1" si="566"/>
        <v>0.16132152795557383</v>
      </c>
      <c r="HD161" s="460">
        <f t="shared" ca="1" si="566"/>
        <v>0.16200103367510377</v>
      </c>
      <c r="HE161" s="460">
        <f t="shared" ca="1" si="566"/>
        <v>0.16279999022608965</v>
      </c>
      <c r="HF161" s="460">
        <f t="shared" ca="1" si="566"/>
        <v>0.16374023867826565</v>
      </c>
      <c r="HG161" s="460">
        <f t="shared" ca="1" si="566"/>
        <v>0.16484793123016606</v>
      </c>
      <c r="HH161" s="460">
        <f t="shared" ca="1" si="566"/>
        <v>0.16615449983684169</v>
      </c>
      <c r="HI161" s="460">
        <f t="shared" ca="1" si="566"/>
        <v>0.16769788562456928</v>
      </c>
      <c r="HJ161" s="460">
        <f t="shared" ca="1" si="566"/>
        <v>0.16952411460760733</v>
      </c>
      <c r="HK161" s="460">
        <f t="shared" ca="1" si="566"/>
        <v>0.17168933872969927</v>
      </c>
      <c r="HL161" s="460">
        <f t="shared" ca="1" si="566"/>
        <v>0.17426251003155299</v>
      </c>
      <c r="HM161" s="460">
        <f t="shared" ca="1" si="566"/>
        <v>0.17732892777009279</v>
      </c>
      <c r="HN161" s="460">
        <f t="shared" ca="1" si="566"/>
        <v>0.18099500630587276</v>
      </c>
      <c r="HO161" s="460">
        <f t="shared" ca="1" si="566"/>
        <v>0.18539477620197561</v>
      </c>
      <c r="HP161" s="460">
        <f t="shared" ca="1" si="566"/>
        <v>0.19069888651811281</v>
      </c>
      <c r="HQ161" s="460">
        <f t="shared" ca="1" si="566"/>
        <v>0.19712728084318165</v>
      </c>
      <c r="HR161" s="460">
        <f t="shared" ca="1" si="566"/>
        <v>0.20496737407950957</v>
      </c>
      <c r="HS161" s="460">
        <f t="shared" ca="1" si="566"/>
        <v>0.21460064121538508</v>
      </c>
      <c r="HT161" s="460">
        <f t="shared" ca="1" si="566"/>
        <v>0.22654237326835325</v>
      </c>
      <c r="HU161" s="460">
        <f t="shared" ca="1" si="566"/>
        <v>0.24150258430070731</v>
      </c>
      <c r="HV161" s="460">
        <f t="shared" ca="1" si="566"/>
        <v>0.26048189370145969</v>
      </c>
      <c r="HW161" s="460">
        <f t="shared" ca="1" si="566"/>
        <v>0.2849271653300916</v>
      </c>
      <c r="HX161" s="460">
        <f t="shared" ca="1" si="561"/>
        <v>0.31699311172072092</v>
      </c>
      <c r="HY161" s="460">
        <f t="shared" ca="1" si="561"/>
        <v>0.36000000030272067</v>
      </c>
      <c r="HZ161" s="460" t="str">
        <f t="shared" si="561"/>
        <v/>
      </c>
      <c r="IA161" s="460" t="str">
        <f t="shared" si="561"/>
        <v/>
      </c>
      <c r="IB161" s="460" t="str">
        <f t="shared" si="561"/>
        <v/>
      </c>
      <c r="IC161" s="460" t="str">
        <f t="shared" si="561"/>
        <v/>
      </c>
      <c r="ID161" s="674" t="str">
        <f t="shared" si="561"/>
        <v/>
      </c>
      <c r="IE161" s="250"/>
    </row>
    <row r="162" spans="8:239">
      <c r="H162" s="51">
        <f t="shared" ca="1" si="527"/>
        <v>0</v>
      </c>
      <c r="I162" s="379">
        <f t="shared" si="528"/>
        <v>41091</v>
      </c>
      <c r="J162" s="377"/>
      <c r="K162" s="104" t="s">
        <v>268</v>
      </c>
      <c r="L162" s="392">
        <f t="shared" si="529"/>
        <v>2.4750000000000032</v>
      </c>
      <c r="M162" s="171"/>
      <c r="N162" s="382">
        <v>0</v>
      </c>
      <c r="O162" s="171">
        <f t="shared" si="490"/>
        <v>0</v>
      </c>
      <c r="P162" s="377"/>
      <c r="Q162" s="104" t="s">
        <v>268</v>
      </c>
      <c r="R162" s="377">
        <f t="shared" ca="1" si="547"/>
        <v>1.2737458776868833</v>
      </c>
      <c r="S162" s="832">
        <f t="shared" si="564"/>
        <v>0.3600000000000001</v>
      </c>
      <c r="T162" s="831">
        <f t="shared" si="548"/>
        <v>0.99999999997547118</v>
      </c>
      <c r="U162" s="545">
        <f t="shared" si="549"/>
        <v>0.99999999999999978</v>
      </c>
      <c r="V162" s="389">
        <v>0</v>
      </c>
      <c r="W162" s="434">
        <f t="shared" si="491"/>
        <v>0</v>
      </c>
      <c r="X162" s="415">
        <f t="shared" si="492"/>
        <v>2.5250000000000035</v>
      </c>
      <c r="Y162" s="322">
        <f t="shared" si="493"/>
        <v>-1.2668999999999999</v>
      </c>
      <c r="Z162" s="322">
        <f t="shared" ca="1" si="494"/>
        <v>1.2581000000000035</v>
      </c>
      <c r="AA162" s="429">
        <f t="shared" si="495"/>
        <v>1.2668999999999999</v>
      </c>
      <c r="AB162" s="433">
        <f t="shared" ca="1" si="496"/>
        <v>1.2668999999999999</v>
      </c>
      <c r="AC162" s="229">
        <v>41080</v>
      </c>
      <c r="AD162" s="229">
        <v>41076</v>
      </c>
      <c r="AE162" s="229">
        <v>41075</v>
      </c>
      <c r="AF162" s="229">
        <v>41071</v>
      </c>
      <c r="AG162" s="249" t="s">
        <v>499</v>
      </c>
      <c r="AH162" s="247" t="s">
        <v>499</v>
      </c>
      <c r="AI162" s="146">
        <v>21</v>
      </c>
      <c r="AJ162" s="41">
        <v>14</v>
      </c>
      <c r="AK162" s="41">
        <v>7</v>
      </c>
      <c r="AL162" s="293">
        <v>22</v>
      </c>
      <c r="AM162" s="41">
        <v>10</v>
      </c>
      <c r="AN162" s="147">
        <v>12</v>
      </c>
      <c r="AO162" s="374"/>
      <c r="AP162" s="153">
        <f t="shared" ca="1" si="530"/>
        <v>1</v>
      </c>
      <c r="AQ162" s="374"/>
      <c r="AR162" s="153">
        <f t="shared" ca="1" si="550"/>
        <v>1</v>
      </c>
      <c r="AS162" s="272">
        <f t="shared" si="497"/>
        <v>0</v>
      </c>
      <c r="AT162" s="157">
        <f t="shared" si="531"/>
        <v>0</v>
      </c>
      <c r="AU162" s="157">
        <f t="shared" si="498"/>
        <v>0</v>
      </c>
      <c r="AV162" s="271">
        <f t="shared" ca="1" si="558"/>
        <v>9.9999999999999995E-7</v>
      </c>
      <c r="AW162" s="158" t="str">
        <f t="shared" ca="1" si="499"/>
        <v/>
      </c>
      <c r="AX162" s="157">
        <f t="shared" ca="1" si="551"/>
        <v>2.1116770817826606E-4</v>
      </c>
      <c r="AY162" s="157">
        <f t="shared" ca="1" si="552"/>
        <v>6.3411858689376718E-5</v>
      </c>
      <c r="AZ162" s="157">
        <f t="shared" ca="1" si="553"/>
        <v>4.0052586065362265E-6</v>
      </c>
      <c r="BA162" s="157">
        <f t="shared" ca="1" si="554"/>
        <v>5.0065732581702831E-7</v>
      </c>
      <c r="BB162" s="157">
        <f t="shared" ca="1" si="555"/>
        <v>8.8102216729530819E-9</v>
      </c>
      <c r="BC162" s="157">
        <f t="shared" ca="1" si="556"/>
        <v>5.0131551578847648E-10</v>
      </c>
      <c r="BD162" s="151">
        <f t="shared" ca="1" si="500"/>
        <v>0</v>
      </c>
      <c r="BE162" s="152">
        <f t="shared" ca="1" si="501"/>
        <v>0</v>
      </c>
      <c r="BF162" s="40">
        <f t="shared" si="502"/>
        <v>2012</v>
      </c>
      <c r="BG162" s="144">
        <f t="shared" si="503"/>
        <v>7</v>
      </c>
      <c r="BH162" s="145">
        <f t="shared" ca="1" si="504"/>
        <v>4331</v>
      </c>
      <c r="BI162" s="313">
        <f t="shared" ca="1" si="439"/>
        <v>11.898699520876113</v>
      </c>
      <c r="BJ162" s="42">
        <f t="shared" ca="1" si="505"/>
        <v>11.953456536618754</v>
      </c>
      <c r="BK162" s="42">
        <f t="shared" ca="1" si="506"/>
        <v>11.956194387405887</v>
      </c>
      <c r="BL162" s="42">
        <f t="shared" ca="1" si="440"/>
        <v>11.980835044490075</v>
      </c>
      <c r="BM162" s="150" t="e">
        <f t="shared" ca="1" si="507"/>
        <v>#DIV/0!</v>
      </c>
      <c r="BN162" s="42" t="e">
        <f t="shared" ca="1" si="508"/>
        <v>#DIV/0!</v>
      </c>
      <c r="BO162" s="293">
        <f t="shared" si="441"/>
        <v>21</v>
      </c>
      <c r="BP162" s="41">
        <f t="shared" si="442"/>
        <v>14</v>
      </c>
      <c r="BQ162" s="41">
        <f t="shared" si="443"/>
        <v>7</v>
      </c>
      <c r="BR162" s="305" t="str">
        <f t="shared" ca="1" si="509"/>
        <v/>
      </c>
      <c r="BS162" s="305" t="str">
        <f t="shared" ca="1" si="444"/>
        <v/>
      </c>
      <c r="BT162" s="307" t="str">
        <f t="shared" ca="1" si="445"/>
        <v/>
      </c>
      <c r="BU162" s="161" t="str">
        <f t="shared" ca="1" si="510"/>
        <v/>
      </c>
      <c r="BV162" s="161" t="str">
        <f t="shared" ca="1" si="511"/>
        <v/>
      </c>
      <c r="BW162" s="308" t="str">
        <f t="shared" ca="1" si="512"/>
        <v/>
      </c>
      <c r="BX162" s="309" t="str">
        <f t="shared" ca="1" si="513"/>
        <v/>
      </c>
      <c r="BY162" s="308" t="str">
        <f t="shared" ca="1" si="446"/>
        <v/>
      </c>
      <c r="BZ162" s="309" t="str">
        <f t="shared" ca="1" si="447"/>
        <v/>
      </c>
      <c r="CA162" s="154" t="str">
        <f t="shared" ca="1" si="514"/>
        <v/>
      </c>
      <c r="CB162" s="154" t="str">
        <f t="shared" ca="1" si="515"/>
        <v/>
      </c>
      <c r="CC162" s="154" t="str">
        <f t="shared" ca="1" si="516"/>
        <v/>
      </c>
      <c r="CD162" s="154" t="str">
        <f t="shared" ca="1" si="517"/>
        <v/>
      </c>
      <c r="CE162" s="310">
        <v>1</v>
      </c>
      <c r="CF162" s="162">
        <f ca="1">IF(BD162,_xll.xCrudeAPO(BU162,BV162,CA162,CB162,S163,S164,BI162,BL162,BP162,BQ162,0,Strike1,AO162,CE162,0,BL162,IF(OptControl=4,0,1),0,1),0)</f>
        <v>0</v>
      </c>
      <c r="CG162" s="163">
        <f ca="1">IF(BD162,_xll.xCrudeAPO(BU162,BV162,CA162,CB162,S163,S164,BI162,BL162,BP162,BQ162,0,Strike1,AO162,CE162,0,BL162,IF(OptControl=4,0,1),1,1)+_xll.xCrudeAPO(BU162,BV162,CA162,CB162,S163,S164,BI162,BL162,BP162,BQ162,0,Strike1,AO162,CE162,0,BL162,IF(OptControl=4,0,1),1,2)+IF(OR(VolSkewFlag=2,ABS(BS162)&lt;0.0001),0,IF(BS162&gt;0,-1,1)*CH162*Strike1/BR162^2*BY162/10%),0)</f>
        <v>0</v>
      </c>
      <c r="CH162" s="163">
        <f ca="1">IF(BD162,(_xll.xCrudeAPO(BU162,BV162,CA162,CB162,S163,S164,BI162,BL162,BP162,BQ162,0,Strike1,AO162,CE162,0,BL162,IF(OptControl=4,0,1),3,1)+_xll.xCrudeAPO(BU162,BV162,CA162,CB162,S163,S164,BI162,BL162,BP162,BQ162,0,Strike1,AO162,CE162,0,BL162,IF(OptControl=4,0,1),3,2))/100,0)</f>
        <v>0</v>
      </c>
      <c r="CI162" s="163">
        <f ca="1">IF(BD162,_xll.xCrudeAPO(BU162,BV162,CA162,CB162,S163,S164,BI162-DaysForThetaCalculation/365.25,BL162-DaysForThetaCalculation/365.25,BP162,BQ162,0,Strike1,AO162,CE162,0,BL162,IF(OptControl=4,0,1),0,1)-_xll.xCrudeAPO(BU162,BV162,CA162,CB162,S163,S164,BI162,BL162,BP162,BQ162,0,Strike1,AO162,CE162,0,BL162,IF(OptControl=4,0,1),0,1),0)</f>
        <v>0</v>
      </c>
      <c r="CJ162" s="311">
        <f ca="1">IF(BD162,_xll.xCrudeAPO(BU162,BV162,CC162,CD162,S163,S164,BI162,BL162,BP162,BQ162,0,Strike2,AO162,CE162,0,BL162,IF(OptControl=3,1,0),0,1),0)</f>
        <v>0</v>
      </c>
      <c r="CK162" s="163">
        <f ca="1">IF(BD162,_xll.xCrudeAPO(BU162,BV162,CC162,CD162,S163,S164,BI162,BL162,BP162,BQ162,0,Strike2,AO162,CE162,0,BL162,IF(OptControl=3,1,0),1,1)+_xll.xCrudeAPO(BU162,BV162,CC162,CD162,S163,S164,BI162,BL162,BP162,BQ162,0,Strike2,AO162,CE162,0,BL162,IF(OptControl=3,1,0),1,2)+IF(OR(VolSkewFlag=2,ABS(BT162)&lt;0.0001),0,IF(BT162&gt;0,-1,1)*CL162*Strike2/BR162^2*BZ162/10%),0)</f>
        <v>0</v>
      </c>
      <c r="CL162" s="163">
        <f ca="1">IF(BD162,(_xll.xCrudeAPO(BU162,BV162,CC162,CD162,S163,S164,BI162,BL162,BP162,BQ162,0,Strike2,AO162,CE162,0,BL162,IF(OptControl=3,1,0),3,1)+_xll.xCrudeAPO(BU162,BV162,CC162,CD162,S163,S164,BI162,BL162,BP162,BQ162,0,Strike2,AO162,CE162,0,BL162,IF(OptControl=3,1,0),3,2))/100,0)</f>
        <v>0</v>
      </c>
      <c r="CM162" s="164">
        <f ca="1">IF(BD162,_xll.xCrudeAPO(BU162,BV162,CC162,CD162,S163,S164,BI162-DaysForThetaCalculation/365.25,BL162-DaysForThetaCalculation/365.25,BP162,BQ162,0,Strike2,AO162,CE162,0,BL162,IF(OptControl=3,1,0),0,1)-_xll.xCrudeAPO(BU162,BV162,CC162,CD162,S163,S164,BI162,BL162,BP162,BQ162,0,Strike2,AO162,CE162,0,BL162,IF(OptControl=3,1,0),0,1),0)</f>
        <v>0</v>
      </c>
      <c r="CN162" s="53"/>
      <c r="CO162" s="796" t="str">
        <f t="shared" ca="1" si="532"/>
        <v/>
      </c>
      <c r="CP162" s="800" t="str">
        <f t="shared" ca="1" si="533"/>
        <v/>
      </c>
      <c r="CQ162" s="797" t="str">
        <f t="shared" ca="1" si="534"/>
        <v/>
      </c>
      <c r="CR162" s="797" t="str">
        <f t="shared" ca="1" si="535"/>
        <v/>
      </c>
      <c r="CS162" s="797" t="str">
        <f t="shared" ca="1" si="536"/>
        <v/>
      </c>
      <c r="CT162" s="797" t="str">
        <f t="shared" ca="1" si="537"/>
        <v/>
      </c>
      <c r="CU162" s="798" t="str">
        <f t="shared" ca="1" si="538"/>
        <v/>
      </c>
      <c r="CV162" s="799" t="str">
        <f t="shared" ca="1" si="539"/>
        <v/>
      </c>
      <c r="CW162" s="799" t="str">
        <f t="shared" ca="1" si="540"/>
        <v/>
      </c>
      <c r="CX162" s="163">
        <f ca="1">IF(BD162,_xll.EURO(CP162,Strike1,AO162,AO162,CV162,CO162,IF(OptControl=4,0,1),0),0)</f>
        <v>0</v>
      </c>
      <c r="CY162" s="163">
        <f ca="1">IF(BD162,_xll.EURO(CP162,Strike1,AO162,AO162,CV162,CO162,IF(OptControl=4,0,1),1)+IF(OR(VolSkewFlag=2,ABS(CQ162)&lt;0.0001),0,IF(CQ162&gt;0,-1,1)*CZ162*100*Strike1/CP162^2*CS162/10%),0)</f>
        <v>0</v>
      </c>
      <c r="CZ162" s="163">
        <f ca="1">IF(BD162,_xll.EURO(CP162,Strike1,AO162,AO162,CV162,CO162,IF(OptControl=4,0,1),3)/100,0)</f>
        <v>0</v>
      </c>
      <c r="DA162" s="163">
        <f ca="1">IF(BD162,_xll.EURO(CP162,Strike1,AO162,AO162,CV162,CO162,IF(OptControl=4,0,1),0)-_xll.EURO(CP162,Strike1,AO162,AO162,CV162,CO162-1,IF(OptControl=4,0,1),0),0)</f>
        <v>0</v>
      </c>
      <c r="DB162" s="163">
        <f ca="1">IF(BD162,_xll.EURO(CP162,Strike2,AO162,AO162,CW162,CO162,IF(OptControl=3,1,0),0),0)</f>
        <v>0</v>
      </c>
      <c r="DC162" s="163">
        <f ca="1">IF(BD162,_xll.EURO(CP162,Strike2,AO162,AO162,CW162,CO162,IF(OptControl=3,1,0),1)+IF(OR(VolSkewFlag=2,ABS(CR162)&lt;0.0001),0,IF(CR162&gt;0,-1,1)*DD162*100*Strike2/CP162^2*CT162/10%),0)</f>
        <v>0</v>
      </c>
      <c r="DD162" s="163">
        <f ca="1">IF(BD162,_xll.EURO(CP162,Strike2,AO162,AO162,CW162,CO162,IF(OptControl=3,1,0),3)/100,0)</f>
        <v>0</v>
      </c>
      <c r="DE162" s="164">
        <f ca="1">IF(BD162,_xll.EURO(CP162,Strike2,AO162,AO162,CW162,CO162,IF(OptControl=3,1,0),0)-_xll.EURO(CP162,Strike2,AO162,AO162,CW162,CO162-1,IF(OptControl=3,1,0),0),0)</f>
        <v>0</v>
      </c>
      <c r="DG162" s="667">
        <f t="shared" ca="1" si="541"/>
        <v>40878</v>
      </c>
      <c r="DH162" s="475">
        <v>21.26</v>
      </c>
      <c r="DI162" s="665">
        <v>21.328181818181864</v>
      </c>
      <c r="DJ162" s="666">
        <f t="shared" ca="1" si="518"/>
        <v>40878</v>
      </c>
      <c r="DK162" s="475">
        <v>20.064171963538005</v>
      </c>
      <c r="DL162" s="665">
        <v>20.135081818181863</v>
      </c>
      <c r="DM162" s="667">
        <f t="shared" ca="1" si="519"/>
        <v>40878</v>
      </c>
      <c r="DN162" s="668">
        <f t="shared" si="520"/>
        <v>20.114171963538006</v>
      </c>
      <c r="DO162" s="667">
        <f t="shared" ca="1" si="542"/>
        <v>40878</v>
      </c>
      <c r="DP162" s="579">
        <f t="shared" si="543"/>
        <v>20.135081818181863</v>
      </c>
      <c r="DQ162" s="821">
        <v>0</v>
      </c>
      <c r="DR162" s="666">
        <f t="shared" ca="1" si="521"/>
        <v>40878</v>
      </c>
      <c r="DS162" s="669">
        <v>0.13939999999999902</v>
      </c>
      <c r="DT162" s="606">
        <v>0.13858181818181722</v>
      </c>
      <c r="DU162" s="666">
        <f t="shared" ca="1" si="522"/>
        <v>40878</v>
      </c>
      <c r="DV162" s="669">
        <v>0.13939999999999902</v>
      </c>
      <c r="DW162" s="606">
        <v>0.13858181818181722</v>
      </c>
      <c r="DX162" s="667">
        <f t="shared" ca="1" si="523"/>
        <v>40878</v>
      </c>
      <c r="DY162" s="606">
        <v>0.35</v>
      </c>
      <c r="DZ162" s="667">
        <f t="shared" ca="1" si="544"/>
        <v>40878</v>
      </c>
      <c r="EA162" s="606">
        <f t="shared" si="545"/>
        <v>0.13858181818181722</v>
      </c>
      <c r="EB162" s="1"/>
      <c r="EC162" s="118" t="str">
        <f t="shared" ca="1" si="524"/>
        <v/>
      </c>
      <c r="ED162" s="119" t="str">
        <f t="shared" ca="1" si="525"/>
        <v/>
      </c>
      <c r="EE162" s="112" t="str">
        <f t="shared" ca="1" si="526"/>
        <v/>
      </c>
      <c r="EF162" s="120">
        <f ca="1">IF(BD162,_xll.xASN(BR162,Strike1,AO162,ED162,0,BO162,0,BI162,BL162,IF(OptControl=4,0,1),0),0)</f>
        <v>0</v>
      </c>
      <c r="EG162" s="111">
        <f ca="1">IF(BD162,_xll.xASN(BR162,Strike2,AO162,EE162,0,BO162,0,BI162,BL162,IF(OptControl=3,1,0),0),0)</f>
        <v>0</v>
      </c>
      <c r="EL162" s="55"/>
      <c r="EM162" s="1"/>
      <c r="EN162" s="106"/>
      <c r="EO162" s="106"/>
      <c r="EP162" s="1"/>
      <c r="EQ162" s="683" t="s">
        <v>375</v>
      </c>
      <c r="ES162" s="455"/>
      <c r="ET162" s="36"/>
      <c r="EU162" s="107"/>
      <c r="EV162" s="475"/>
      <c r="EW162" s="456"/>
      <c r="EX162" s="456"/>
      <c r="EY162" s="250"/>
      <c r="EZ162" s="250"/>
      <c r="FA162" s="250"/>
      <c r="FB162" s="250"/>
      <c r="FC162" s="250"/>
      <c r="FD162" s="250"/>
      <c r="FE162" s="250"/>
      <c r="FF162" s="250"/>
      <c r="FG162" s="250"/>
      <c r="FH162" s="250"/>
      <c r="FI162" s="250"/>
      <c r="FJ162" s="673">
        <v>68</v>
      </c>
      <c r="FK162" s="460">
        <f t="shared" ca="1" si="563"/>
        <v>0</v>
      </c>
      <c r="FL162" s="460">
        <f t="shared" ca="1" si="566"/>
        <v>0.16612854169299857</v>
      </c>
      <c r="FM162" s="460">
        <f t="shared" ca="1" si="566"/>
        <v>0.17050106987901545</v>
      </c>
      <c r="FN162" s="460">
        <f t="shared" ca="1" si="566"/>
        <v>0.16722303417884249</v>
      </c>
      <c r="FO162" s="460">
        <f t="shared" ca="1" si="566"/>
        <v>0.16476482958679298</v>
      </c>
      <c r="FP162" s="460">
        <f t="shared" ca="1" si="566"/>
        <v>0.16292155472387579</v>
      </c>
      <c r="FQ162" s="460">
        <f t="shared" ca="1" si="566"/>
        <v>0.1615395429061619</v>
      </c>
      <c r="FR162" s="460">
        <f t="shared" ca="1" si="566"/>
        <v>0.16050355508369527</v>
      </c>
      <c r="FS162" s="460">
        <f t="shared" ca="1" si="566"/>
        <v>0.15972717481509366</v>
      </c>
      <c r="FT162" s="460">
        <f t="shared" ca="1" si="566"/>
        <v>0.15914560481524365</v>
      </c>
      <c r="FU162" s="460">
        <f t="shared" ca="1" si="566"/>
        <v>0.15871026473697153</v>
      </c>
      <c r="FV162" s="460">
        <f t="shared" ca="1" si="566"/>
        <v>0.15838473994152305</v>
      </c>
      <c r="FW162" s="460">
        <f t="shared" ca="1" si="566"/>
        <v>0.15814174358472913</v>
      </c>
      <c r="FX162" s="460">
        <f t="shared" ca="1" si="566"/>
        <v>0.15796083877659942</v>
      </c>
      <c r="FY162" s="460">
        <f t="shared" ca="1" si="566"/>
        <v>0.15782673089740704</v>
      </c>
      <c r="FZ162" s="460">
        <f t="shared" ca="1" si="566"/>
        <v>0.15772798764984711</v>
      </c>
      <c r="GA162" s="460">
        <f t="shared" ca="1" si="566"/>
        <v>0.15765608005222395</v>
      </c>
      <c r="GB162" s="460">
        <f t="shared" ca="1" si="566"/>
        <v>0.15760466430014169</v>
      </c>
      <c r="GC162" s="460">
        <f t="shared" ca="1" si="566"/>
        <v>0.157569044470181</v>
      </c>
      <c r="GD162" s="460">
        <f t="shared" ca="1" si="566"/>
        <v>0.1575457710783825</v>
      </c>
      <c r="GE162" s="460">
        <f t="shared" ca="1" si="566"/>
        <v>0.15753234179155698</v>
      </c>
      <c r="GF162" s="460">
        <f t="shared" ca="1" si="566"/>
        <v>0.15752697906006344</v>
      </c>
      <c r="GG162" s="460">
        <f t="shared" ca="1" si="566"/>
        <v>0.15752846580158705</v>
      </c>
      <c r="GH162" s="460">
        <f t="shared" ca="1" si="566"/>
        <v>0.15753602504549752</v>
      </c>
      <c r="GI162" s="460">
        <f t="shared" ca="1" si="566"/>
        <v>0.15754923304350782</v>
      </c>
      <c r="GJ162" s="460">
        <f t="shared" ca="1" si="566"/>
        <v>0.15756795806264587</v>
      </c>
      <c r="GK162" s="460">
        <f t="shared" ca="1" si="566"/>
        <v>0.15759231912494509</v>
      </c>
      <c r="GL162" s="460">
        <f t="shared" ca="1" si="566"/>
        <v>0.15762266051326107</v>
      </c>
      <c r="GM162" s="460">
        <f t="shared" ca="1" si="566"/>
        <v>0.15765953905123287</v>
      </c>
      <c r="GN162" s="460">
        <f t="shared" ca="1" si="566"/>
        <v>0.15770372208371503</v>
      </c>
      <c r="GO162" s="460">
        <f t="shared" ca="1" si="566"/>
        <v>0.15775619480505446</v>
      </c>
      <c r="GP162" s="460">
        <f t="shared" ca="1" si="566"/>
        <v>0.15781817616247279</v>
      </c>
      <c r="GQ162" s="460">
        <f t="shared" ca="1" si="566"/>
        <v>0.15789114304422128</v>
      </c>
      <c r="GR162" s="460">
        <f t="shared" ca="1" si="566"/>
        <v>0.15797686288196564</v>
      </c>
      <c r="GS162" s="460">
        <f t="shared" ca="1" si="566"/>
        <v>0.15807743518288839</v>
      </c>
      <c r="GT162" s="460">
        <f t="shared" ca="1" si="566"/>
        <v>0.15819534288442064</v>
      </c>
      <c r="GU162" s="460">
        <f t="shared" ca="1" si="566"/>
        <v>0.15833351481683214</v>
      </c>
      <c r="GV162" s="460">
        <f t="shared" ca="1" si="566"/>
        <v>0.15849540098983228</v>
      </c>
      <c r="GW162" s="460">
        <f t="shared" ca="1" si="566"/>
        <v>0.1586850629147965</v>
      </c>
      <c r="GX162" s="460">
        <f t="shared" ca="1" si="566"/>
        <v>0.15890728176456195</v>
      </c>
      <c r="GY162" s="460">
        <f t="shared" ca="1" si="566"/>
        <v>0.15916768789543714</v>
      </c>
      <c r="GZ162" s="460">
        <f t="shared" ca="1" si="566"/>
        <v>0.1594729161593148</v>
      </c>
      <c r="HA162" s="460">
        <f t="shared" ca="1" si="566"/>
        <v>0.15983079258123753</v>
      </c>
      <c r="HB162" s="460">
        <f t="shared" ca="1" si="566"/>
        <v>0.16025055945528696</v>
      </c>
      <c r="HC162" s="460">
        <f t="shared" ca="1" si="566"/>
        <v>0.16074314783672339</v>
      </c>
      <c r="HD162" s="460">
        <f t="shared" ca="1" si="566"/>
        <v>0.16132150894374278</v>
      </c>
      <c r="HE162" s="460">
        <f t="shared" ca="1" si="566"/>
        <v>0.16200101935616865</v>
      </c>
      <c r="HF162" s="460">
        <f t="shared" ca="1" si="566"/>
        <v>0.1627999794339238</v>
      </c>
      <c r="HG162" s="460">
        <f t="shared" ca="1" si="566"/>
        <v>0.16374023053739326</v>
      </c>
      <c r="HH162" s="460">
        <f t="shared" ca="1" si="566"/>
        <v>0.16484792508320709</v>
      </c>
      <c r="HI162" s="460">
        <f t="shared" ca="1" si="566"/>
        <v>0.16615449519008207</v>
      </c>
      <c r="HJ162" s="460">
        <f t="shared" ca="1" si="566"/>
        <v>0.16769788210712722</v>
      </c>
      <c r="HK162" s="460">
        <f t="shared" ca="1" si="566"/>
        <v>0.16952411194079697</v>
      </c>
      <c r="HL162" s="460">
        <f t="shared" ca="1" si="566"/>
        <v>0.1716893367040454</v>
      </c>
      <c r="HM162" s="460">
        <f t="shared" ca="1" si="566"/>
        <v>0.17426250848954314</v>
      </c>
      <c r="HN162" s="460">
        <f t="shared" ca="1" si="566"/>
        <v>0.17732892659323488</v>
      </c>
      <c r="HO162" s="460">
        <f t="shared" ca="1" si="566"/>
        <v>0.18099500540498167</v>
      </c>
      <c r="HP162" s="460">
        <f t="shared" ca="1" si="566"/>
        <v>0.18539477550988256</v>
      </c>
      <c r="HQ162" s="460">
        <f t="shared" ca="1" si="566"/>
        <v>0.19069888598419266</v>
      </c>
      <c r="HR162" s="460">
        <f t="shared" ca="1" si="566"/>
        <v>0.19712728042924271</v>
      </c>
      <c r="HS162" s="460">
        <f t="shared" ca="1" si="566"/>
        <v>0.20496737375670809</v>
      </c>
      <c r="HT162" s="460">
        <f t="shared" ca="1" si="566"/>
        <v>0.21460064096190543</v>
      </c>
      <c r="HU162" s="460">
        <f t="shared" ca="1" si="566"/>
        <v>0.22654237306766467</v>
      </c>
      <c r="HV162" s="460">
        <f t="shared" ca="1" si="566"/>
        <v>0.24150258414025114</v>
      </c>
      <c r="HW162" s="460">
        <f t="shared" ca="1" si="566"/>
        <v>0.26048189357166007</v>
      </c>
      <c r="HX162" s="460">
        <f t="shared" ca="1" si="561"/>
        <v>0.284927165223606</v>
      </c>
      <c r="HY162" s="460">
        <f t="shared" ca="1" si="561"/>
        <v>0.31699311163186877</v>
      </c>
      <c r="HZ162" s="460">
        <f t="shared" ca="1" si="561"/>
        <v>0.36000000022704048</v>
      </c>
      <c r="IA162" s="460" t="str">
        <f t="shared" si="561"/>
        <v/>
      </c>
      <c r="IB162" s="460" t="str">
        <f t="shared" si="561"/>
        <v/>
      </c>
      <c r="IC162" s="460" t="str">
        <f t="shared" si="561"/>
        <v/>
      </c>
      <c r="ID162" s="674" t="str">
        <f t="shared" si="561"/>
        <v/>
      </c>
      <c r="IE162" s="250"/>
    </row>
    <row r="163" spans="8:239">
      <c r="H163" s="51">
        <f t="shared" ca="1" si="527"/>
        <v>0</v>
      </c>
      <c r="I163" s="379">
        <f t="shared" si="528"/>
        <v>41122</v>
      </c>
      <c r="J163" s="377"/>
      <c r="K163" s="104" t="s">
        <v>268</v>
      </c>
      <c r="L163" s="392">
        <f t="shared" si="529"/>
        <v>2.5125000000000033</v>
      </c>
      <c r="M163" s="171"/>
      <c r="N163" s="382">
        <v>0</v>
      </c>
      <c r="O163" s="171">
        <f t="shared" si="490"/>
        <v>0</v>
      </c>
      <c r="P163" s="377"/>
      <c r="Q163" s="104" t="s">
        <v>268</v>
      </c>
      <c r="R163" s="377">
        <f t="shared" ca="1" si="547"/>
        <v>1.1253219293755672</v>
      </c>
      <c r="S163" s="832">
        <f t="shared" si="564"/>
        <v>0.3600000000000001</v>
      </c>
      <c r="T163" s="831">
        <f t="shared" si="548"/>
        <v>0.99999999997902789</v>
      </c>
      <c r="U163" s="545">
        <f t="shared" si="549"/>
        <v>0.99999999999999978</v>
      </c>
      <c r="V163" s="389">
        <v>0</v>
      </c>
      <c r="W163" s="434">
        <f t="shared" si="491"/>
        <v>0</v>
      </c>
      <c r="X163" s="415">
        <f t="shared" si="492"/>
        <v>2.5646739130434817</v>
      </c>
      <c r="Y163" s="322">
        <f t="shared" si="493"/>
        <v>-1.2668999999999999</v>
      </c>
      <c r="Z163" s="322">
        <f t="shared" ca="1" si="494"/>
        <v>1.2977739130434818</v>
      </c>
      <c r="AA163" s="429">
        <f t="shared" si="495"/>
        <v>1.2668999999999999</v>
      </c>
      <c r="AB163" s="433">
        <f t="shared" ca="1" si="496"/>
        <v>1.2668999999999999</v>
      </c>
      <c r="AC163" s="229">
        <v>41110</v>
      </c>
      <c r="AD163" s="229">
        <v>41106</v>
      </c>
      <c r="AE163" s="229">
        <v>41105</v>
      </c>
      <c r="AF163" s="229">
        <v>41101</v>
      </c>
      <c r="AG163" s="249" t="s">
        <v>499</v>
      </c>
      <c r="AH163" s="247" t="s">
        <v>499</v>
      </c>
      <c r="AI163" s="146">
        <v>23</v>
      </c>
      <c r="AJ163" s="41">
        <v>14</v>
      </c>
      <c r="AK163" s="41">
        <v>9</v>
      </c>
      <c r="AL163" s="293">
        <v>23</v>
      </c>
      <c r="AM163" s="41">
        <v>10</v>
      </c>
      <c r="AN163" s="147">
        <v>13</v>
      </c>
      <c r="AO163" s="374"/>
      <c r="AP163" s="153">
        <f t="shared" ca="1" si="530"/>
        <v>1</v>
      </c>
      <c r="AQ163" s="374"/>
      <c r="AR163" s="153">
        <f t="shared" ca="1" si="550"/>
        <v>1</v>
      </c>
      <c r="AS163" s="272">
        <f t="shared" si="497"/>
        <v>0</v>
      </c>
      <c r="AT163" s="157">
        <f t="shared" si="531"/>
        <v>0</v>
      </c>
      <c r="AU163" s="157">
        <f t="shared" si="498"/>
        <v>0</v>
      </c>
      <c r="AV163" s="271">
        <f t="shared" ca="1" si="558"/>
        <v>9.9999999999999995E-7</v>
      </c>
      <c r="AW163" s="158" t="str">
        <f t="shared" ca="1" si="499"/>
        <v/>
      </c>
      <c r="AX163" s="157">
        <f t="shared" ca="1" si="551"/>
        <v>2.0415181010081026E-4</v>
      </c>
      <c r="AY163" s="157">
        <f t="shared" ca="1" si="552"/>
        <v>6.0897486718714021E-5</v>
      </c>
      <c r="AZ163" s="157">
        <f t="shared" ca="1" si="553"/>
        <v>3.7804607143568182E-6</v>
      </c>
      <c r="BA163" s="157">
        <f t="shared" ca="1" si="554"/>
        <v>4.7255758929460227E-7</v>
      </c>
      <c r="BB163" s="157">
        <f t="shared" ca="1" si="555"/>
        <v>8.0394572692803619E-9</v>
      </c>
      <c r="BC163" s="157">
        <f t="shared" ca="1" si="556"/>
        <v>4.4662135039981622E-10</v>
      </c>
      <c r="BD163" s="151">
        <f t="shared" ca="1" si="500"/>
        <v>0</v>
      </c>
      <c r="BE163" s="152">
        <f t="shared" ca="1" si="501"/>
        <v>0</v>
      </c>
      <c r="BF163" s="40">
        <f t="shared" si="502"/>
        <v>2012</v>
      </c>
      <c r="BG163" s="144">
        <f t="shared" si="503"/>
        <v>8</v>
      </c>
      <c r="BH163" s="145">
        <f t="shared" ca="1" si="504"/>
        <v>4361</v>
      </c>
      <c r="BI163" s="313">
        <f t="shared" ca="1" si="439"/>
        <v>11.983572895277208</v>
      </c>
      <c r="BJ163" s="42">
        <f t="shared" ca="1" si="505"/>
        <v>12.033568431390053</v>
      </c>
      <c r="BK163" s="42">
        <f t="shared" ca="1" si="506"/>
        <v>12.036306282177186</v>
      </c>
      <c r="BL163" s="42">
        <f t="shared" ca="1" si="440"/>
        <v>12.06570841889117</v>
      </c>
      <c r="BM163" s="150" t="e">
        <f t="shared" ca="1" si="507"/>
        <v>#DIV/0!</v>
      </c>
      <c r="BN163" s="42" t="e">
        <f t="shared" ca="1" si="508"/>
        <v>#DIV/0!</v>
      </c>
      <c r="BO163" s="293">
        <f t="shared" si="441"/>
        <v>23</v>
      </c>
      <c r="BP163" s="41">
        <f t="shared" si="442"/>
        <v>14</v>
      </c>
      <c r="BQ163" s="41">
        <f t="shared" si="443"/>
        <v>9</v>
      </c>
      <c r="BR163" s="305" t="str">
        <f t="shared" ca="1" si="509"/>
        <v/>
      </c>
      <c r="BS163" s="305" t="str">
        <f t="shared" ca="1" si="444"/>
        <v/>
      </c>
      <c r="BT163" s="307" t="str">
        <f t="shared" ca="1" si="445"/>
        <v/>
      </c>
      <c r="BU163" s="161" t="str">
        <f t="shared" ca="1" si="510"/>
        <v/>
      </c>
      <c r="BV163" s="161" t="str">
        <f t="shared" ca="1" si="511"/>
        <v/>
      </c>
      <c r="BW163" s="308" t="str">
        <f t="shared" ca="1" si="512"/>
        <v/>
      </c>
      <c r="BX163" s="309" t="str">
        <f t="shared" ca="1" si="513"/>
        <v/>
      </c>
      <c r="BY163" s="308" t="str">
        <f t="shared" ca="1" si="446"/>
        <v/>
      </c>
      <c r="BZ163" s="309" t="str">
        <f t="shared" ca="1" si="447"/>
        <v/>
      </c>
      <c r="CA163" s="154" t="str">
        <f t="shared" ca="1" si="514"/>
        <v/>
      </c>
      <c r="CB163" s="154" t="str">
        <f t="shared" ca="1" si="515"/>
        <v/>
      </c>
      <c r="CC163" s="154" t="str">
        <f t="shared" ca="1" si="516"/>
        <v/>
      </c>
      <c r="CD163" s="154" t="str">
        <f t="shared" ca="1" si="517"/>
        <v/>
      </c>
      <c r="CE163" s="310">
        <v>1</v>
      </c>
      <c r="CF163" s="162">
        <f ca="1">IF(BD163,_xll.xCrudeAPO(BU163,BV163,CA163,CB163,S164,S165,BI163,BL163,BP163,BQ163,0,Strike1,AO163,CE163,0,BL163,IF(OptControl=4,0,1),0,1),0)</f>
        <v>0</v>
      </c>
      <c r="CG163" s="163">
        <f ca="1">IF(BD163,_xll.xCrudeAPO(BU163,BV163,CA163,CB163,S164,S165,BI163,BL163,BP163,BQ163,0,Strike1,AO163,CE163,0,BL163,IF(OptControl=4,0,1),1,1)+_xll.xCrudeAPO(BU163,BV163,CA163,CB163,S164,S165,BI163,BL163,BP163,BQ163,0,Strike1,AO163,CE163,0,BL163,IF(OptControl=4,0,1),1,2)+IF(OR(VolSkewFlag=2,ABS(BS163)&lt;0.0001),0,IF(BS163&gt;0,-1,1)*CH163*Strike1/BR163^2*BY163/10%),0)</f>
        <v>0</v>
      </c>
      <c r="CH163" s="163">
        <f ca="1">IF(BD163,(_xll.xCrudeAPO(BU163,BV163,CA163,CB163,S164,S165,BI163,BL163,BP163,BQ163,0,Strike1,AO163,CE163,0,BL163,IF(OptControl=4,0,1),3,1)+_xll.xCrudeAPO(BU163,BV163,CA163,CB163,S164,S165,BI163,BL163,BP163,BQ163,0,Strike1,AO163,CE163,0,BL163,IF(OptControl=4,0,1),3,2))/100,0)</f>
        <v>0</v>
      </c>
      <c r="CI163" s="163">
        <f ca="1">IF(BD163,_xll.xCrudeAPO(BU163,BV163,CA163,CB163,S164,S165,BI163-DaysForThetaCalculation/365.25,BL163-DaysForThetaCalculation/365.25,BP163,BQ163,0,Strike1,AO163,CE163,0,BL163,IF(OptControl=4,0,1),0,1)-_xll.xCrudeAPO(BU163,BV163,CA163,CB163,S164,S165,BI163,BL163,BP163,BQ163,0,Strike1,AO163,CE163,0,BL163,IF(OptControl=4,0,1),0,1),0)</f>
        <v>0</v>
      </c>
      <c r="CJ163" s="311">
        <f ca="1">IF(BD163,_xll.xCrudeAPO(BU163,BV163,CC163,CD163,S164,S165,BI163,BL163,BP163,BQ163,0,Strike2,AO163,CE163,0,BL163,IF(OptControl=3,1,0),0,1),0)</f>
        <v>0</v>
      </c>
      <c r="CK163" s="163">
        <f ca="1">IF(BD163,_xll.xCrudeAPO(BU163,BV163,CC163,CD163,S164,S165,BI163,BL163,BP163,BQ163,0,Strike2,AO163,CE163,0,BL163,IF(OptControl=3,1,0),1,1)+_xll.xCrudeAPO(BU163,BV163,CC163,CD163,S164,S165,BI163,BL163,BP163,BQ163,0,Strike2,AO163,CE163,0,BL163,IF(OptControl=3,1,0),1,2)+IF(OR(VolSkewFlag=2,ABS(BT163)&lt;0.0001),0,IF(BT163&gt;0,-1,1)*CL163*Strike2/BR163^2*BZ163/10%),0)</f>
        <v>0</v>
      </c>
      <c r="CL163" s="163">
        <f ca="1">IF(BD163,(_xll.xCrudeAPO(BU163,BV163,CC163,CD163,S164,S165,BI163,BL163,BP163,BQ163,0,Strike2,AO163,CE163,0,BL163,IF(OptControl=3,1,0),3,1)+_xll.xCrudeAPO(BU163,BV163,CC163,CD163,S164,S165,BI163,BL163,BP163,BQ163,0,Strike2,AO163,CE163,0,BL163,IF(OptControl=3,1,0),3,2))/100,0)</f>
        <v>0</v>
      </c>
      <c r="CM163" s="164">
        <f ca="1">IF(BD163,_xll.xCrudeAPO(BU163,BV163,CC163,CD163,S164,S165,BI163-DaysForThetaCalculation/365.25,BL163-DaysForThetaCalculation/365.25,BP163,BQ163,0,Strike2,AO163,CE163,0,BL163,IF(OptControl=3,1,0),0,1)-_xll.xCrudeAPO(BU163,BV163,CC163,CD163,S164,S165,BI163,BL163,BP163,BQ163,0,Strike2,AO163,CE163,0,BL163,IF(OptControl=3,1,0),0,1),0)</f>
        <v>0</v>
      </c>
      <c r="CN163" s="53"/>
      <c r="CO163" s="796" t="str">
        <f t="shared" ca="1" si="532"/>
        <v/>
      </c>
      <c r="CP163" s="800" t="str">
        <f t="shared" ca="1" si="533"/>
        <v/>
      </c>
      <c r="CQ163" s="797" t="str">
        <f t="shared" ca="1" si="534"/>
        <v/>
      </c>
      <c r="CR163" s="797" t="str">
        <f t="shared" ca="1" si="535"/>
        <v/>
      </c>
      <c r="CS163" s="797" t="str">
        <f t="shared" ca="1" si="536"/>
        <v/>
      </c>
      <c r="CT163" s="797" t="str">
        <f t="shared" ca="1" si="537"/>
        <v/>
      </c>
      <c r="CU163" s="798" t="str">
        <f t="shared" ca="1" si="538"/>
        <v/>
      </c>
      <c r="CV163" s="799" t="str">
        <f t="shared" ca="1" si="539"/>
        <v/>
      </c>
      <c r="CW163" s="799" t="str">
        <f t="shared" ca="1" si="540"/>
        <v/>
      </c>
      <c r="CX163" s="163">
        <f ca="1">IF(BD163,_xll.EURO(CP163,Strike1,AO163,AO163,CV163,CO163,IF(OptControl=4,0,1),0),0)</f>
        <v>0</v>
      </c>
      <c r="CY163" s="163">
        <f ca="1">IF(BD163,_xll.EURO(CP163,Strike1,AO163,AO163,CV163,CO163,IF(OptControl=4,0,1),1)+IF(OR(VolSkewFlag=2,ABS(CQ163)&lt;0.0001),0,IF(CQ163&gt;0,-1,1)*CZ163*100*Strike1/CP163^2*CS163/10%),0)</f>
        <v>0</v>
      </c>
      <c r="CZ163" s="163">
        <f ca="1">IF(BD163,_xll.EURO(CP163,Strike1,AO163,AO163,CV163,CO163,IF(OptControl=4,0,1),3)/100,0)</f>
        <v>0</v>
      </c>
      <c r="DA163" s="163">
        <f ca="1">IF(BD163,_xll.EURO(CP163,Strike1,AO163,AO163,CV163,CO163,IF(OptControl=4,0,1),0)-_xll.EURO(CP163,Strike1,AO163,AO163,CV163,CO163-1,IF(OptControl=4,0,1),0),0)</f>
        <v>0</v>
      </c>
      <c r="DB163" s="163">
        <f ca="1">IF(BD163,_xll.EURO(CP163,Strike2,AO163,AO163,CW163,CO163,IF(OptControl=3,1,0),0),0)</f>
        <v>0</v>
      </c>
      <c r="DC163" s="163">
        <f ca="1">IF(BD163,_xll.EURO(CP163,Strike2,AO163,AO163,CW163,CO163,IF(OptControl=3,1,0),1)+IF(OR(VolSkewFlag=2,ABS(CR163)&lt;0.0001),0,IF(CR163&gt;0,-1,1)*DD163*100*Strike2/CP163^2*CT163/10%),0)</f>
        <v>0</v>
      </c>
      <c r="DD163" s="163">
        <f ca="1">IF(BD163,_xll.EURO(CP163,Strike2,AO163,AO163,CW163,CO163,IF(OptControl=3,1,0),3)/100,0)</f>
        <v>0</v>
      </c>
      <c r="DE163" s="164">
        <f ca="1">IF(BD163,_xll.EURO(CP163,Strike2,AO163,AO163,CW163,CO163,IF(OptControl=3,1,0),0)-_xll.EURO(CP163,Strike2,AO163,AO163,CW163,CO163-1,IF(OptControl=3,1,0),0),0)</f>
        <v>0</v>
      </c>
      <c r="DG163" s="667">
        <f t="shared" ca="1" si="541"/>
        <v>40909</v>
      </c>
      <c r="DH163" s="475">
        <v>21.310000000000048</v>
      </c>
      <c r="DI163" s="665">
        <v>21.37590909090914</v>
      </c>
      <c r="DJ163" s="666">
        <f t="shared" ca="1" si="518"/>
        <v>40909</v>
      </c>
      <c r="DK163" s="475">
        <v>20.102506697051744</v>
      </c>
      <c r="DL163" s="665">
        <v>20.207409090909138</v>
      </c>
      <c r="DM163" s="667">
        <f t="shared" ca="1" si="519"/>
        <v>40909</v>
      </c>
      <c r="DN163" s="668">
        <f t="shared" si="520"/>
        <v>20.152506697051745</v>
      </c>
      <c r="DO163" s="667">
        <f t="shared" ca="1" si="542"/>
        <v>40909</v>
      </c>
      <c r="DP163" s="579">
        <f t="shared" si="543"/>
        <v>20.207409090909138</v>
      </c>
      <c r="DQ163" s="821">
        <v>0</v>
      </c>
      <c r="DR163" s="666">
        <f t="shared" ca="1" si="521"/>
        <v>40909</v>
      </c>
      <c r="DS163" s="669">
        <v>0.13879999999999904</v>
      </c>
      <c r="DT163" s="606">
        <v>0.13800909090908994</v>
      </c>
      <c r="DU163" s="666">
        <f t="shared" ca="1" si="522"/>
        <v>40909</v>
      </c>
      <c r="DV163" s="669">
        <v>0.13879999999999904</v>
      </c>
      <c r="DW163" s="606">
        <v>0.13800909090908994</v>
      </c>
      <c r="DX163" s="667">
        <f t="shared" ca="1" si="523"/>
        <v>40909</v>
      </c>
      <c r="DY163" s="606">
        <v>0.35</v>
      </c>
      <c r="DZ163" s="667">
        <f t="shared" ca="1" si="544"/>
        <v>40909</v>
      </c>
      <c r="EA163" s="606">
        <f t="shared" si="545"/>
        <v>0.13800909090908994</v>
      </c>
      <c r="EB163" s="1"/>
      <c r="EC163" s="118" t="str">
        <f t="shared" ca="1" si="524"/>
        <v/>
      </c>
      <c r="ED163" s="119" t="str">
        <f t="shared" ca="1" si="525"/>
        <v/>
      </c>
      <c r="EE163" s="112" t="str">
        <f t="shared" ca="1" si="526"/>
        <v/>
      </c>
      <c r="EF163" s="120">
        <f ca="1">IF(BD163,_xll.xASN(BR163,Strike1,AO163,ED163,0,BO163,0,BI163,BL163,IF(OptControl=4,0,1),0),0)</f>
        <v>0</v>
      </c>
      <c r="EG163" s="111">
        <f ca="1">IF(BD163,_xll.xASN(BR163,Strike2,AO163,EE163,0,BO163,0,BI163,BL163,IF(OptControl=3,1,0),0),0)</f>
        <v>0</v>
      </c>
      <c r="EL163" s="55"/>
      <c r="EM163" s="1"/>
      <c r="EN163" s="106"/>
      <c r="EO163" s="106"/>
      <c r="EP163" s="1"/>
      <c r="EQ163" s="683" t="s">
        <v>376</v>
      </c>
      <c r="ES163" s="455"/>
      <c r="ET163" s="36"/>
      <c r="EU163" s="107"/>
      <c r="EV163" s="475"/>
      <c r="EW163" s="456"/>
      <c r="EX163" s="456"/>
      <c r="EY163" s="250"/>
      <c r="EZ163" s="250"/>
      <c r="FA163" s="250"/>
      <c r="FB163" s="250"/>
      <c r="FC163" s="250"/>
      <c r="FD163" s="250"/>
      <c r="FE163" s="250"/>
      <c r="FF163" s="250"/>
      <c r="FG163" s="250"/>
      <c r="FH163" s="250"/>
      <c r="FI163" s="250"/>
      <c r="FJ163" s="673">
        <v>69</v>
      </c>
      <c r="FK163" s="460">
        <f t="shared" ca="1" si="563"/>
        <v>0</v>
      </c>
      <c r="FL163" s="460">
        <f t="shared" ca="1" si="566"/>
        <v>0.16612793816712898</v>
      </c>
      <c r="FM163" s="460">
        <f t="shared" ca="1" si="566"/>
        <v>0.17050034542176171</v>
      </c>
      <c r="FN163" s="460">
        <f t="shared" ca="1" si="566"/>
        <v>0.16722220315057285</v>
      </c>
      <c r="FO163" s="460">
        <f t="shared" ca="1" si="566"/>
        <v>0.16476387191150649</v>
      </c>
      <c r="FP163" s="460">
        <f t="shared" ca="1" si="566"/>
        <v>0.16292044716604537</v>
      </c>
      <c r="FQ163" s="460">
        <f t="shared" ca="1" si="566"/>
        <v>0.16153825850452211</v>
      </c>
      <c r="FR163" s="460">
        <f t="shared" ca="1" si="566"/>
        <v>0.16050206249263521</v>
      </c>
      <c r="FS163" s="460">
        <f t="shared" ca="1" si="566"/>
        <v>0.15972543753750315</v>
      </c>
      <c r="FT163" s="460">
        <f t="shared" ca="1" si="566"/>
        <v>0.15914358030796558</v>
      </c>
      <c r="FU163" s="460">
        <f t="shared" ca="1" si="566"/>
        <v>0.1587079033668535</v>
      </c>
      <c r="FV163" s="460">
        <f t="shared" ca="1" si="566"/>
        <v>0.15838198376635154</v>
      </c>
      <c r="FW163" s="460">
        <f t="shared" ca="1" si="566"/>
        <v>0.15813852492898051</v>
      </c>
      <c r="FX163" s="460">
        <f t="shared" ca="1" si="566"/>
        <v>0.1579570785668388</v>
      </c>
      <c r="FY163" s="460">
        <f t="shared" ca="1" si="566"/>
        <v>0.15782233671618226</v>
      </c>
      <c r="FZ163" s="460">
        <f t="shared" ca="1" si="566"/>
        <v>0.15772285145990292</v>
      </c>
      <c r="GA163" s="460">
        <f t="shared" ca="1" si="566"/>
        <v>0.15765007553462068</v>
      </c>
      <c r="GB163" s="460">
        <f t="shared" ca="1" si="566"/>
        <v>0.15759764374018839</v>
      </c>
      <c r="GC163" s="460">
        <f t="shared" ca="1" si="566"/>
        <v>0.15756083511372707</v>
      </c>
      <c r="GD163" s="460">
        <f t="shared" ca="1" si="566"/>
        <v>0.15753617086765345</v>
      </c>
      <c r="GE163" s="460">
        <f t="shared" ca="1" si="566"/>
        <v>0.15752111437400571</v>
      </c>
      <c r="GF163" s="460">
        <f t="shared" ca="1" si="566"/>
        <v>0.1575138479452077</v>
      </c>
      <c r="GG163" s="460">
        <f t="shared" ca="1" si="566"/>
        <v>0.15751310751899908</v>
      </c>
      <c r="GH163" s="460">
        <f t="shared" ca="1" si="566"/>
        <v>0.15751806113138259</v>
      </c>
      <c r="GI163" s="460">
        <f t="shared" ca="1" si="566"/>
        <v>0.15752822065290531</v>
      </c>
      <c r="GJ163" s="460">
        <f t="shared" ca="1" si="566"/>
        <v>0.15754337896830384</v>
      </c>
      <c r="GK163" s="460">
        <f t="shared" ca="1" si="566"/>
        <v>0.15756356682125108</v>
      </c>
      <c r="GL163" s="460">
        <f t="shared" ca="1" si="566"/>
        <v>0.15758902509291164</v>
      </c>
      <c r="GM163" s="460">
        <f t="shared" ca="1" si="566"/>
        <v>0.15762018946193329</v>
      </c>
      <c r="GN163" s="460">
        <f t="shared" ca="1" si="566"/>
        <v>0.15765768530006696</v>
      </c>
      <c r="GO163" s="460">
        <f t="shared" ca="1" si="566"/>
        <v>0.15770233136436257</v>
      </c>
      <c r="GP163" s="460">
        <f t="shared" ca="1" si="566"/>
        <v>0.15775515140928859</v>
      </c>
      <c r="GQ163" s="460">
        <f t="shared" ca="1" si="566"/>
        <v>0.15781739330301314</v>
      </c>
      <c r="GR163" s="460">
        <f t="shared" ca="1" si="566"/>
        <v>0.15789055562524765</v>
      </c>
      <c r="GS163" s="460">
        <f t="shared" ca="1" si="566"/>
        <v>0.15797642207691109</v>
      </c>
      <c r="GT163" s="460">
        <f t="shared" ca="1" si="566"/>
        <v>0.15807710436770314</v>
      </c>
      <c r="GU163" s="460">
        <f t="shared" ca="1" si="566"/>
        <v>0.1581950945874494</v>
      </c>
      <c r="GV163" s="460">
        <f t="shared" ca="1" si="566"/>
        <v>0.15833332843115935</v>
      </c>
      <c r="GW163" s="460">
        <f t="shared" ca="1" si="566"/>
        <v>0.15849526105748718</v>
      </c>
      <c r="GX163" s="460">
        <f t="shared" ca="1" si="566"/>
        <v>0.15868495783985842</v>
      </c>
      <c r="GY163" s="460">
        <f t="shared" ca="1" si="566"/>
        <v>0.15890720284794765</v>
      </c>
      <c r="GZ163" s="460">
        <f t="shared" ca="1" si="566"/>
        <v>0.15916762861095482</v>
      </c>
      <c r="HA163" s="460">
        <f t="shared" ca="1" si="566"/>
        <v>0.15947287161067114</v>
      </c>
      <c r="HB163" s="460">
        <f t="shared" ca="1" si="566"/>
        <v>0.15983075909476616</v>
      </c>
      <c r="HC163" s="460">
        <f t="shared" ca="1" si="566"/>
        <v>0.16025053427446842</v>
      </c>
      <c r="HD163" s="460">
        <f t="shared" ca="1" si="566"/>
        <v>0.16074312889305475</v>
      </c>
      <c r="HE163" s="460">
        <f t="shared" ca="1" si="566"/>
        <v>0.16132149468486942</v>
      </c>
      <c r="HF163" s="460">
        <f t="shared" ca="1" si="566"/>
        <v>0.16200100861696731</v>
      </c>
      <c r="HG163" s="460">
        <f t="shared" ca="1" si="566"/>
        <v>0.16279997133979943</v>
      </c>
      <c r="HH163" s="460">
        <f t="shared" ca="1" si="566"/>
        <v>0.163740224431739</v>
      </c>
      <c r="HI163" s="460">
        <f t="shared" ca="1" si="566"/>
        <v>0.1648479204729878</v>
      </c>
      <c r="HJ163" s="460">
        <f t="shared" ca="1" si="566"/>
        <v>0.16615449170501242</v>
      </c>
      <c r="HK163" s="460">
        <f t="shared" ca="1" si="566"/>
        <v>0.16769787946904563</v>
      </c>
      <c r="HL163" s="460">
        <f t="shared" ca="1" si="566"/>
        <v>0.16952410994068925</v>
      </c>
      <c r="HM163" s="460">
        <f t="shared" ca="1" si="566"/>
        <v>0.17168933518480498</v>
      </c>
      <c r="HN163" s="460">
        <f t="shared" ca="1" si="566"/>
        <v>0.17426250733303575</v>
      </c>
      <c r="HO163" s="460">
        <f t="shared" ca="1" si="566"/>
        <v>0.17732892571059145</v>
      </c>
      <c r="HP163" s="460">
        <f t="shared" ca="1" si="566"/>
        <v>0.18099500472931329</v>
      </c>
      <c r="HQ163" s="460">
        <f t="shared" ca="1" si="566"/>
        <v>0.18539477499081289</v>
      </c>
      <c r="HR163" s="460">
        <f t="shared" ca="1" si="566"/>
        <v>0.19069888558375239</v>
      </c>
      <c r="HS163" s="460">
        <f t="shared" ca="1" si="566"/>
        <v>0.19712728011878855</v>
      </c>
      <c r="HT163" s="460">
        <f t="shared" ca="1" si="566"/>
        <v>0.20496737351460698</v>
      </c>
      <c r="HU163" s="460">
        <f t="shared" ca="1" si="566"/>
        <v>0.21460064077179572</v>
      </c>
      <c r="HV163" s="460">
        <f t="shared" ca="1" si="566"/>
        <v>0.22654237291714818</v>
      </c>
      <c r="HW163" s="460">
        <f t="shared" ca="1" si="566"/>
        <v>0.24150258401990901</v>
      </c>
      <c r="HX163" s="460">
        <f t="shared" ca="1" si="561"/>
        <v>0.26048189347431039</v>
      </c>
      <c r="HY163" s="460">
        <f t="shared" ca="1" si="561"/>
        <v>0.28492716514374183</v>
      </c>
      <c r="HZ163" s="460">
        <f t="shared" ca="1" si="561"/>
        <v>0.31699311156522958</v>
      </c>
      <c r="IA163" s="460">
        <f t="shared" ca="1" si="561"/>
        <v>0.36000000017028033</v>
      </c>
      <c r="IB163" s="460" t="str">
        <f t="shared" si="561"/>
        <v/>
      </c>
      <c r="IC163" s="460" t="str">
        <f t="shared" si="561"/>
        <v/>
      </c>
      <c r="ID163" s="674" t="str">
        <f t="shared" si="561"/>
        <v/>
      </c>
      <c r="IE163" s="250"/>
    </row>
    <row r="164" spans="8:239">
      <c r="H164" s="51">
        <f t="shared" ca="1" si="527"/>
        <v>0</v>
      </c>
      <c r="I164" s="379">
        <f t="shared" si="528"/>
        <v>41153</v>
      </c>
      <c r="J164" s="377"/>
      <c r="K164" s="104" t="s">
        <v>268</v>
      </c>
      <c r="L164" s="392">
        <f t="shared" si="529"/>
        <v>2.5500000000000034</v>
      </c>
      <c r="M164" s="171"/>
      <c r="N164" s="382">
        <v>0</v>
      </c>
      <c r="O164" s="171">
        <f t="shared" si="490"/>
        <v>0</v>
      </c>
      <c r="P164" s="377"/>
      <c r="Q164" s="104" t="s">
        <v>268</v>
      </c>
      <c r="R164" s="377">
        <f t="shared" ca="1" si="547"/>
        <v>1.3687483921870338</v>
      </c>
      <c r="S164" s="832">
        <f t="shared" si="564"/>
        <v>0.3600000000000001</v>
      </c>
      <c r="T164" s="831">
        <f t="shared" si="548"/>
        <v>0.99999999998206879</v>
      </c>
      <c r="U164" s="545">
        <f t="shared" si="549"/>
        <v>0.99999999999999978</v>
      </c>
      <c r="V164" s="389">
        <v>0</v>
      </c>
      <c r="W164" s="434">
        <f t="shared" si="491"/>
        <v>0</v>
      </c>
      <c r="X164" s="415">
        <f t="shared" si="492"/>
        <v>2.5987500000000034</v>
      </c>
      <c r="Y164" s="322">
        <f t="shared" si="493"/>
        <v>-1.2668999999999999</v>
      </c>
      <c r="Z164" s="322">
        <f t="shared" ca="1" si="494"/>
        <v>1.3318500000000035</v>
      </c>
      <c r="AA164" s="429">
        <f t="shared" si="495"/>
        <v>1.2668999999999999</v>
      </c>
      <c r="AB164" s="433">
        <f t="shared" ca="1" si="496"/>
        <v>1.2668999999999999</v>
      </c>
      <c r="AC164" s="229">
        <v>41141</v>
      </c>
      <c r="AD164" s="229">
        <v>41137</v>
      </c>
      <c r="AE164" s="229">
        <v>41136</v>
      </c>
      <c r="AF164" s="229">
        <v>41132</v>
      </c>
      <c r="AG164" s="249" t="s">
        <v>499</v>
      </c>
      <c r="AH164" s="247" t="s">
        <v>499</v>
      </c>
      <c r="AI164" s="146">
        <v>20</v>
      </c>
      <c r="AJ164" s="41">
        <v>14</v>
      </c>
      <c r="AK164" s="41">
        <v>6</v>
      </c>
      <c r="AL164" s="293">
        <v>20</v>
      </c>
      <c r="AM164" s="41">
        <v>10</v>
      </c>
      <c r="AN164" s="147">
        <v>10</v>
      </c>
      <c r="AO164" s="374"/>
      <c r="AP164" s="153">
        <f t="shared" ca="1" si="530"/>
        <v>1</v>
      </c>
      <c r="AQ164" s="374"/>
      <c r="AR164" s="153">
        <f t="shared" ca="1" si="550"/>
        <v>1</v>
      </c>
      <c r="AS164" s="272">
        <f t="shared" si="497"/>
        <v>0</v>
      </c>
      <c r="AT164" s="157">
        <f t="shared" si="531"/>
        <v>0</v>
      </c>
      <c r="AU164" s="157">
        <f t="shared" si="498"/>
        <v>0</v>
      </c>
      <c r="AV164" s="271">
        <f t="shared" ca="1" si="558"/>
        <v>9.9999999999999995E-7</v>
      </c>
      <c r="AW164" s="158" t="str">
        <f t="shared" ca="1" si="499"/>
        <v/>
      </c>
      <c r="AX164" s="157">
        <f t="shared" ca="1" si="551"/>
        <v>1.9736901028566875E-4</v>
      </c>
      <c r="AY164" s="157">
        <f t="shared" ca="1" si="552"/>
        <v>5.8482813235645309E-5</v>
      </c>
      <c r="AZ164" s="157">
        <f t="shared" ca="1" si="553"/>
        <v>3.5682797583836859E-6</v>
      </c>
      <c r="BA164" s="157">
        <f t="shared" ca="1" si="554"/>
        <v>4.4603496979796073E-7</v>
      </c>
      <c r="BB164" s="157">
        <f t="shared" ca="1" si="555"/>
        <v>7.3361233784848312E-9</v>
      </c>
      <c r="BC164" s="157">
        <f t="shared" ca="1" si="556"/>
        <v>3.9789438856530312E-10</v>
      </c>
      <c r="BD164" s="151">
        <f t="shared" ca="1" si="500"/>
        <v>0</v>
      </c>
      <c r="BE164" s="152">
        <f t="shared" ca="1" si="501"/>
        <v>0</v>
      </c>
      <c r="BF164" s="40">
        <f t="shared" si="502"/>
        <v>2012</v>
      </c>
      <c r="BG164" s="144">
        <f t="shared" si="503"/>
        <v>9</v>
      </c>
      <c r="BH164" s="145">
        <f t="shared" ca="1" si="504"/>
        <v>4392</v>
      </c>
      <c r="BI164" s="313">
        <f t="shared" ca="1" si="439"/>
        <v>12.068446269678303</v>
      </c>
      <c r="BJ164" s="42">
        <f t="shared" ca="1" si="505"/>
        <v>12.124024640657083</v>
      </c>
      <c r="BK164" s="42">
        <f t="shared" ca="1" si="506"/>
        <v>12.126762491444216</v>
      </c>
      <c r="BL164" s="42">
        <f t="shared" ca="1" si="440"/>
        <v>12.147843942505133</v>
      </c>
      <c r="BM164" s="150" t="e">
        <f t="shared" ca="1" si="507"/>
        <v>#DIV/0!</v>
      </c>
      <c r="BN164" s="42" t="e">
        <f t="shared" ca="1" si="508"/>
        <v>#DIV/0!</v>
      </c>
      <c r="BO164" s="293">
        <f t="shared" si="441"/>
        <v>20</v>
      </c>
      <c r="BP164" s="41">
        <f t="shared" si="442"/>
        <v>14</v>
      </c>
      <c r="BQ164" s="41">
        <f t="shared" si="443"/>
        <v>6</v>
      </c>
      <c r="BR164" s="305" t="str">
        <f t="shared" ca="1" si="509"/>
        <v/>
      </c>
      <c r="BS164" s="305" t="str">
        <f t="shared" ca="1" si="444"/>
        <v/>
      </c>
      <c r="BT164" s="307" t="str">
        <f t="shared" ca="1" si="445"/>
        <v/>
      </c>
      <c r="BU164" s="161" t="str">
        <f t="shared" ca="1" si="510"/>
        <v/>
      </c>
      <c r="BV164" s="161" t="str">
        <f t="shared" ca="1" si="511"/>
        <v/>
      </c>
      <c r="BW164" s="308" t="str">
        <f t="shared" ca="1" si="512"/>
        <v/>
      </c>
      <c r="BX164" s="309" t="str">
        <f t="shared" ca="1" si="513"/>
        <v/>
      </c>
      <c r="BY164" s="308" t="str">
        <f t="shared" ca="1" si="446"/>
        <v/>
      </c>
      <c r="BZ164" s="309" t="str">
        <f t="shared" ca="1" si="447"/>
        <v/>
      </c>
      <c r="CA164" s="154" t="str">
        <f t="shared" ca="1" si="514"/>
        <v/>
      </c>
      <c r="CB164" s="154" t="str">
        <f t="shared" ca="1" si="515"/>
        <v/>
      </c>
      <c r="CC164" s="154" t="str">
        <f t="shared" ca="1" si="516"/>
        <v/>
      </c>
      <c r="CD164" s="154" t="str">
        <f t="shared" ca="1" si="517"/>
        <v/>
      </c>
      <c r="CE164" s="310">
        <v>1</v>
      </c>
      <c r="CF164" s="162">
        <f ca="1">IF(BD164,_xll.xCrudeAPO(BU164,BV164,CA164,CB164,S165,S166,BI164,BL164,BP164,BQ164,0,Strike1,AO164,CE164,0,BL164,IF(OptControl=4,0,1),0,1),0)</f>
        <v>0</v>
      </c>
      <c r="CG164" s="163">
        <f ca="1">IF(BD164,_xll.xCrudeAPO(BU164,BV164,CA164,CB164,S165,S166,BI164,BL164,BP164,BQ164,0,Strike1,AO164,CE164,0,BL164,IF(OptControl=4,0,1),1,1)+_xll.xCrudeAPO(BU164,BV164,CA164,CB164,S165,S166,BI164,BL164,BP164,BQ164,0,Strike1,AO164,CE164,0,BL164,IF(OptControl=4,0,1),1,2)+IF(OR(VolSkewFlag=2,ABS(BS164)&lt;0.0001),0,IF(BS164&gt;0,-1,1)*CH164*Strike1/BR164^2*BY164/10%),0)</f>
        <v>0</v>
      </c>
      <c r="CH164" s="163">
        <f ca="1">IF(BD164,(_xll.xCrudeAPO(BU164,BV164,CA164,CB164,S165,S166,BI164,BL164,BP164,BQ164,0,Strike1,AO164,CE164,0,BL164,IF(OptControl=4,0,1),3,1)+_xll.xCrudeAPO(BU164,BV164,CA164,CB164,S165,S166,BI164,BL164,BP164,BQ164,0,Strike1,AO164,CE164,0,BL164,IF(OptControl=4,0,1),3,2))/100,0)</f>
        <v>0</v>
      </c>
      <c r="CI164" s="163">
        <f ca="1">IF(BD164,_xll.xCrudeAPO(BU164,BV164,CA164,CB164,S165,S166,BI164-DaysForThetaCalculation/365.25,BL164-DaysForThetaCalculation/365.25,BP164,BQ164,0,Strike1,AO164,CE164,0,BL164,IF(OptControl=4,0,1),0,1)-_xll.xCrudeAPO(BU164,BV164,CA164,CB164,S165,S166,BI164,BL164,BP164,BQ164,0,Strike1,AO164,CE164,0,BL164,IF(OptControl=4,0,1),0,1),0)</f>
        <v>0</v>
      </c>
      <c r="CJ164" s="311">
        <f ca="1">IF(BD164,_xll.xCrudeAPO(BU164,BV164,CC164,CD164,S165,S166,BI164,BL164,BP164,BQ164,0,Strike2,AO164,CE164,0,BL164,IF(OptControl=3,1,0),0,1),0)</f>
        <v>0</v>
      </c>
      <c r="CK164" s="163">
        <f ca="1">IF(BD164,_xll.xCrudeAPO(BU164,BV164,CC164,CD164,S165,S166,BI164,BL164,BP164,BQ164,0,Strike2,AO164,CE164,0,BL164,IF(OptControl=3,1,0),1,1)+_xll.xCrudeAPO(BU164,BV164,CC164,CD164,S165,S166,BI164,BL164,BP164,BQ164,0,Strike2,AO164,CE164,0,BL164,IF(OptControl=3,1,0),1,2)+IF(OR(VolSkewFlag=2,ABS(BT164)&lt;0.0001),0,IF(BT164&gt;0,-1,1)*CL164*Strike2/BR164^2*BZ164/10%),0)</f>
        <v>0</v>
      </c>
      <c r="CL164" s="163">
        <f ca="1">IF(BD164,(_xll.xCrudeAPO(BU164,BV164,CC164,CD164,S165,S166,BI164,BL164,BP164,BQ164,0,Strike2,AO164,CE164,0,BL164,IF(OptControl=3,1,0),3,1)+_xll.xCrudeAPO(BU164,BV164,CC164,CD164,S165,S166,BI164,BL164,BP164,BQ164,0,Strike2,AO164,CE164,0,BL164,IF(OptControl=3,1,0),3,2))/100,0)</f>
        <v>0</v>
      </c>
      <c r="CM164" s="164">
        <f ca="1">IF(BD164,_xll.xCrudeAPO(BU164,BV164,CC164,CD164,S165,S166,BI164-DaysForThetaCalculation/365.25,BL164-DaysForThetaCalculation/365.25,BP164,BQ164,0,Strike2,AO164,CE164,0,BL164,IF(OptControl=3,1,0),0,1)-_xll.xCrudeAPO(BU164,BV164,CC164,CD164,S165,S166,BI164,BL164,BP164,BQ164,0,Strike2,AO164,CE164,0,BL164,IF(OptControl=3,1,0),0,1),0)</f>
        <v>0</v>
      </c>
      <c r="CN164" s="53"/>
      <c r="CO164" s="796" t="str">
        <f t="shared" ca="1" si="532"/>
        <v/>
      </c>
      <c r="CP164" s="800" t="str">
        <f t="shared" ca="1" si="533"/>
        <v/>
      </c>
      <c r="CQ164" s="797" t="str">
        <f t="shared" ca="1" si="534"/>
        <v/>
      </c>
      <c r="CR164" s="797" t="str">
        <f t="shared" ca="1" si="535"/>
        <v/>
      </c>
      <c r="CS164" s="797" t="str">
        <f t="shared" ca="1" si="536"/>
        <v/>
      </c>
      <c r="CT164" s="797" t="str">
        <f t="shared" ca="1" si="537"/>
        <v/>
      </c>
      <c r="CU164" s="798" t="str">
        <f t="shared" ca="1" si="538"/>
        <v/>
      </c>
      <c r="CV164" s="799" t="str">
        <f t="shared" ca="1" si="539"/>
        <v/>
      </c>
      <c r="CW164" s="799" t="str">
        <f t="shared" ca="1" si="540"/>
        <v/>
      </c>
      <c r="CX164" s="163">
        <f ca="1">IF(BD164,_xll.EURO(CP164,Strike1,AO164,AO164,CV164,CO164,IF(OptControl=4,0,1),0),0)</f>
        <v>0</v>
      </c>
      <c r="CY164" s="163">
        <f ca="1">IF(BD164,_xll.EURO(CP164,Strike1,AO164,AO164,CV164,CO164,IF(OptControl=4,0,1),1)+IF(OR(VolSkewFlag=2,ABS(CQ164)&lt;0.0001),0,IF(CQ164&gt;0,-1,1)*CZ164*100*Strike1/CP164^2*CS164/10%),0)</f>
        <v>0</v>
      </c>
      <c r="CZ164" s="163">
        <f ca="1">IF(BD164,_xll.EURO(CP164,Strike1,AO164,AO164,CV164,CO164,IF(OptControl=4,0,1),3)/100,0)</f>
        <v>0</v>
      </c>
      <c r="DA164" s="163">
        <f ca="1">IF(BD164,_xll.EURO(CP164,Strike1,AO164,AO164,CV164,CO164,IF(OptControl=4,0,1),0)-_xll.EURO(CP164,Strike1,AO164,AO164,CV164,CO164-1,IF(OptControl=4,0,1),0),0)</f>
        <v>0</v>
      </c>
      <c r="DB164" s="163">
        <f ca="1">IF(BD164,_xll.EURO(CP164,Strike2,AO164,AO164,CW164,CO164,IF(OptControl=3,1,0),0),0)</f>
        <v>0</v>
      </c>
      <c r="DC164" s="163">
        <f ca="1">IF(BD164,_xll.EURO(CP164,Strike2,AO164,AO164,CW164,CO164,IF(OptControl=3,1,0),1)+IF(OR(VolSkewFlag=2,ABS(CR164)&lt;0.0001),0,IF(CR164&gt;0,-1,1)*DD164*100*Strike2/CP164^2*CT164/10%),0)</f>
        <v>0</v>
      </c>
      <c r="DD164" s="163">
        <f ca="1">IF(BD164,_xll.EURO(CP164,Strike2,AO164,AO164,CW164,CO164,IF(OptControl=3,1,0),3)/100,0)</f>
        <v>0</v>
      </c>
      <c r="DE164" s="164">
        <f ca="1">IF(BD164,_xll.EURO(CP164,Strike2,AO164,AO164,CW164,CO164,IF(OptControl=3,1,0),0)-_xll.EURO(CP164,Strike2,AO164,AO164,CW164,CO164-1,IF(OptControl=3,1,0),0),0)</f>
        <v>0</v>
      </c>
      <c r="DG164" s="667">
        <f t="shared" ca="1" si="541"/>
        <v>40940</v>
      </c>
      <c r="DH164" s="475">
        <v>21.360000000000049</v>
      </c>
      <c r="DI164" s="665">
        <v>21.426666666666716</v>
      </c>
      <c r="DJ164" s="666">
        <f t="shared" ca="1" si="518"/>
        <v>40940</v>
      </c>
      <c r="DK164" s="475">
        <v>20.16222775245696</v>
      </c>
      <c r="DL164" s="665">
        <v>20.258166666666718</v>
      </c>
      <c r="DM164" s="667">
        <f t="shared" ca="1" si="519"/>
        <v>40940</v>
      </c>
      <c r="DN164" s="668">
        <f t="shared" si="520"/>
        <v>20.212227752456961</v>
      </c>
      <c r="DO164" s="667">
        <f t="shared" ca="1" si="542"/>
        <v>40940</v>
      </c>
      <c r="DP164" s="579">
        <f t="shared" si="543"/>
        <v>20.258166666666718</v>
      </c>
      <c r="DQ164" s="821">
        <v>0</v>
      </c>
      <c r="DR164" s="666">
        <f t="shared" ca="1" si="521"/>
        <v>40940</v>
      </c>
      <c r="DS164" s="669">
        <v>0.13819999999999902</v>
      </c>
      <c r="DT164" s="606">
        <v>0.13739999999999902</v>
      </c>
      <c r="DU164" s="666">
        <f t="shared" ca="1" si="522"/>
        <v>40940</v>
      </c>
      <c r="DV164" s="669">
        <v>0.13819999999999902</v>
      </c>
      <c r="DW164" s="606">
        <v>0.13739999999999902</v>
      </c>
      <c r="DX164" s="667">
        <f t="shared" ca="1" si="523"/>
        <v>40940</v>
      </c>
      <c r="DY164" s="606">
        <v>0.35</v>
      </c>
      <c r="DZ164" s="667">
        <f t="shared" ca="1" si="544"/>
        <v>40940</v>
      </c>
      <c r="EA164" s="606">
        <f t="shared" si="545"/>
        <v>0.13739999999999902</v>
      </c>
      <c r="EB164" s="1"/>
      <c r="EC164" s="118" t="str">
        <f t="shared" ca="1" si="524"/>
        <v/>
      </c>
      <c r="ED164" s="119" t="str">
        <f t="shared" ca="1" si="525"/>
        <v/>
      </c>
      <c r="EE164" s="112" t="str">
        <f t="shared" ca="1" si="526"/>
        <v/>
      </c>
      <c r="EF164" s="120">
        <f ca="1">IF(BD164,_xll.xASN(BR164,Strike1,AO164,ED164,0,BO164,0,BI164,BL164,IF(OptControl=4,0,1),0),0)</f>
        <v>0</v>
      </c>
      <c r="EG164" s="111">
        <f ca="1">IF(BD164,_xll.xASN(BR164,Strike2,AO164,EE164,0,BO164,0,BI164,BL164,IF(OptControl=3,1,0),0),0)</f>
        <v>0</v>
      </c>
      <c r="EL164" s="55"/>
      <c r="EM164" s="1"/>
      <c r="EN164" s="106"/>
      <c r="EO164" s="106"/>
      <c r="EP164" s="1"/>
      <c r="EQ164" s="683" t="s">
        <v>377</v>
      </c>
      <c r="ES164" s="455"/>
      <c r="ET164" s="36"/>
      <c r="EU164" s="107"/>
      <c r="EV164" s="475"/>
      <c r="EW164" s="456"/>
      <c r="EX164" s="456"/>
      <c r="EY164" s="250"/>
      <c r="EZ164" s="250"/>
      <c r="FA164" s="250"/>
      <c r="FB164" s="250"/>
      <c r="FC164" s="250"/>
      <c r="FD164" s="250"/>
      <c r="FE164" s="250"/>
      <c r="FF164" s="250"/>
      <c r="FG164" s="250"/>
      <c r="FH164" s="250"/>
      <c r="FI164" s="250"/>
      <c r="FJ164" s="673">
        <v>70</v>
      </c>
      <c r="FK164" s="460">
        <f t="shared" ca="1" si="563"/>
        <v>0</v>
      </c>
      <c r="FL164" s="460">
        <f t="shared" ca="1" si="566"/>
        <v>0.16612742215452103</v>
      </c>
      <c r="FM164" s="460">
        <f t="shared" ca="1" si="566"/>
        <v>0.17049972601363245</v>
      </c>
      <c r="FN164" s="460">
        <f t="shared" ca="1" si="566"/>
        <v>0.16722149262518937</v>
      </c>
      <c r="FO164" s="460">
        <f t="shared" ca="1" si="566"/>
        <v>0.16476305310424083</v>
      </c>
      <c r="FP164" s="460">
        <f t="shared" ca="1" si="566"/>
        <v>0.16291950021100465</v>
      </c>
      <c r="FQ164" s="460">
        <f t="shared" ca="1" si="566"/>
        <v>0.16153716035048457</v>
      </c>
      <c r="FR164" s="460">
        <f t="shared" ca="1" si="566"/>
        <v>0.16050078634000689</v>
      </c>
      <c r="FS164" s="460">
        <f t="shared" ca="1" si="566"/>
        <v>0.15972395218249022</v>
      </c>
      <c r="FT164" s="460">
        <f t="shared" ca="1" si="566"/>
        <v>0.15914184937785888</v>
      </c>
      <c r="FU164" s="460">
        <f t="shared" ca="1" si="566"/>
        <v>0.15870588442761968</v>
      </c>
      <c r="FV164" s="460">
        <f t="shared" ca="1" si="566"/>
        <v>0.15837962728056076</v>
      </c>
      <c r="FW164" s="460">
        <f t="shared" ca="1" si="566"/>
        <v>0.15813577303838658</v>
      </c>
      <c r="FX164" s="460">
        <f t="shared" ca="1" si="566"/>
        <v>0.15795386366957362</v>
      </c>
      <c r="FY164" s="460">
        <f t="shared" ca="1" si="566"/>
        <v>0.15781857980342112</v>
      </c>
      <c r="FZ164" s="460">
        <f t="shared" ca="1" si="566"/>
        <v>0.1577184601708693</v>
      </c>
      <c r="GA164" s="460">
        <f t="shared" ca="1" si="566"/>
        <v>0.15764494188177489</v>
      </c>
      <c r="GB164" s="460">
        <f t="shared" ca="1" si="566"/>
        <v>0.15759164144820093</v>
      </c>
      <c r="GC164" s="460">
        <f t="shared" ca="1" si="566"/>
        <v>0.1575538165061616</v>
      </c>
      <c r="GD164" s="460">
        <f t="shared" ca="1" si="566"/>
        <v>0.15752796322391613</v>
      </c>
      <c r="GE164" s="460">
        <f t="shared" ca="1" si="566"/>
        <v>0.15751151566575786</v>
      </c>
      <c r="GF164" s="460">
        <f t="shared" ca="1" si="566"/>
        <v>0.15750262184572314</v>
      </c>
      <c r="GG164" s="460">
        <f t="shared" ca="1" si="566"/>
        <v>0.15749997756044562</v>
      </c>
      <c r="GH164" s="460">
        <f t="shared" ca="1" si="566"/>
        <v>0.15750270386320089</v>
      </c>
      <c r="GI164" s="460">
        <f t="shared" ca="1" si="566"/>
        <v>0.15751025762872928</v>
      </c>
      <c r="GJ164" s="460">
        <f t="shared" ca="1" si="566"/>
        <v>0.15752236735846117</v>
      </c>
      <c r="GK164" s="460">
        <f t="shared" ca="1" si="566"/>
        <v>0.15753898841190075</v>
      </c>
      <c r="GL164" s="460">
        <f t="shared" ca="1" si="566"/>
        <v>0.15756027339020512</v>
      </c>
      <c r="GM164" s="460">
        <f t="shared" ca="1" si="566"/>
        <v>0.15758655456888651</v>
      </c>
      <c r="GN164" s="460">
        <f t="shared" ca="1" si="566"/>
        <v>0.15761833617343743</v>
      </c>
      <c r="GO164" s="460">
        <f t="shared" ca="1" si="566"/>
        <v>0.15765629498669256</v>
      </c>
      <c r="GP164" s="460">
        <f t="shared" ca="1" si="566"/>
        <v>0.15770128832484823</v>
      </c>
      <c r="GQ164" s="460">
        <f t="shared" ca="1" si="566"/>
        <v>0.15775436886246413</v>
      </c>
      <c r="GR164" s="460">
        <f t="shared" ca="1" si="566"/>
        <v>0.15781680615841842</v>
      </c>
      <c r="GS164" s="460">
        <f t="shared" ca="1" si="566"/>
        <v>0.15789011506101747</v>
      </c>
      <c r="GT164" s="460">
        <f t="shared" ca="1" si="566"/>
        <v>0.15797609147312014</v>
      </c>
      <c r="GU164" s="460">
        <f t="shared" ca="1" si="566"/>
        <v>0.15807685625631429</v>
      </c>
      <c r="GV164" s="460">
        <f t="shared" ca="1" si="566"/>
        <v>0.15819490836472092</v>
      </c>
      <c r="GW164" s="460">
        <f t="shared" ca="1" si="566"/>
        <v>0.15833318864190474</v>
      </c>
      <c r="GX164" s="460">
        <f t="shared" ca="1" si="566"/>
        <v>0.15849515610822834</v>
      </c>
      <c r="GY164" s="460">
        <f t="shared" ca="1" si="566"/>
        <v>0.15868487903365475</v>
      </c>
      <c r="GZ164" s="460">
        <f t="shared" ca="1" si="566"/>
        <v>0.15890714366048703</v>
      </c>
      <c r="HA164" s="460">
        <f t="shared" ca="1" si="566"/>
        <v>0.15916758414759297</v>
      </c>
      <c r="HB164" s="460">
        <f t="shared" ca="1" si="566"/>
        <v>0.1594728381991885</v>
      </c>
      <c r="HC164" s="460">
        <f t="shared" ca="1" si="566"/>
        <v>0.15983073397991254</v>
      </c>
      <c r="HD164" s="460">
        <f t="shared" ca="1" si="566"/>
        <v>0.1602505153888546</v>
      </c>
      <c r="HE164" s="460">
        <f t="shared" ca="1" si="566"/>
        <v>0.16074311468530322</v>
      </c>
      <c r="HF164" s="460">
        <f t="shared" ca="1" si="566"/>
        <v>0.16132148399071444</v>
      </c>
      <c r="HG164" s="460">
        <f t="shared" ca="1" si="566"/>
        <v>0.16200100056256636</v>
      </c>
      <c r="HH164" s="460">
        <f t="shared" ca="1" si="566"/>
        <v>0.16279996526920618</v>
      </c>
      <c r="HI164" s="460">
        <f t="shared" ca="1" si="566"/>
        <v>0.16374021985249823</v>
      </c>
      <c r="HJ164" s="460">
        <f t="shared" ca="1" si="566"/>
        <v>0.16484791701532339</v>
      </c>
      <c r="HK164" s="460">
        <f t="shared" ca="1" si="566"/>
        <v>0.16615448909121017</v>
      </c>
      <c r="HL164" s="460">
        <f t="shared" ca="1" si="566"/>
        <v>0.16769787749048445</v>
      </c>
      <c r="HM164" s="460">
        <f t="shared" ca="1" si="566"/>
        <v>0.16952410844060842</v>
      </c>
      <c r="HN164" s="460">
        <f t="shared" ca="1" si="566"/>
        <v>0.17168933404537468</v>
      </c>
      <c r="HO164" s="460">
        <f t="shared" ca="1" si="566"/>
        <v>0.17426250646565522</v>
      </c>
      <c r="HP164" s="460">
        <f t="shared" ca="1" si="566"/>
        <v>0.17732892504860884</v>
      </c>
      <c r="HQ164" s="460">
        <f t="shared" ca="1" si="566"/>
        <v>0.18099500422256215</v>
      </c>
      <c r="HR164" s="460">
        <f t="shared" ca="1" si="566"/>
        <v>0.18539477460151052</v>
      </c>
      <c r="HS164" s="460">
        <f t="shared" ca="1" si="566"/>
        <v>0.19069888528342224</v>
      </c>
      <c r="HT164" s="460">
        <f t="shared" ca="1" si="566"/>
        <v>0.19712727988594786</v>
      </c>
      <c r="HU164" s="460">
        <f t="shared" ca="1" si="566"/>
        <v>0.20496737333303117</v>
      </c>
      <c r="HV164" s="460">
        <f t="shared" ca="1" si="566"/>
        <v>0.21460064062921344</v>
      </c>
      <c r="HW164" s="460">
        <f t="shared" ref="HW164:ID166" ca="1" si="567">IF($FJ89&lt;HW$94,"",SQRT(HW89/HW$15))</f>
        <v>0.22654237280426082</v>
      </c>
      <c r="HX164" s="460">
        <f t="shared" ca="1" si="567"/>
        <v>0.24150258392965246</v>
      </c>
      <c r="HY164" s="460">
        <f t="shared" ca="1" si="567"/>
        <v>0.26048189340129813</v>
      </c>
      <c r="HZ164" s="460">
        <f t="shared" ca="1" si="567"/>
        <v>0.28492716508384358</v>
      </c>
      <c r="IA164" s="460">
        <f t="shared" ca="1" si="567"/>
        <v>0.31699311151525023</v>
      </c>
      <c r="IB164" s="460">
        <f t="shared" ca="1" si="567"/>
        <v>0.36000000012771027</v>
      </c>
      <c r="IC164" s="460" t="str">
        <f t="shared" si="567"/>
        <v/>
      </c>
      <c r="ID164" s="674" t="str">
        <f t="shared" si="567"/>
        <v/>
      </c>
      <c r="IE164" s="250"/>
    </row>
    <row r="165" spans="8:239">
      <c r="H165" s="51">
        <f t="shared" ca="1" si="527"/>
        <v>0</v>
      </c>
      <c r="I165" s="379">
        <f t="shared" si="528"/>
        <v>41183</v>
      </c>
      <c r="J165" s="377"/>
      <c r="K165" s="104" t="s">
        <v>268</v>
      </c>
      <c r="L165" s="392">
        <f t="shared" si="529"/>
        <v>2.5875000000000035</v>
      </c>
      <c r="M165" s="171"/>
      <c r="N165" s="382">
        <v>0</v>
      </c>
      <c r="O165" s="171">
        <f t="shared" si="490"/>
        <v>0</v>
      </c>
      <c r="P165" s="377"/>
      <c r="Q165" s="104" t="s">
        <v>268</v>
      </c>
      <c r="R165" s="377">
        <f t="shared" ca="1" si="547"/>
        <v>1.2431781598561342</v>
      </c>
      <c r="S165" s="832">
        <f t="shared" si="564"/>
        <v>0.3600000000000001</v>
      </c>
      <c r="T165" s="831">
        <f t="shared" si="548"/>
        <v>0.99999999998466882</v>
      </c>
      <c r="U165" s="545">
        <f t="shared" si="549"/>
        <v>0.99999999999999978</v>
      </c>
      <c r="V165" s="389">
        <v>0</v>
      </c>
      <c r="W165" s="434">
        <f t="shared" si="491"/>
        <v>0</v>
      </c>
      <c r="X165" s="415">
        <f t="shared" si="492"/>
        <v>2.6380434782608733</v>
      </c>
      <c r="Y165" s="322">
        <f t="shared" si="493"/>
        <v>-1.1931</v>
      </c>
      <c r="Z165" s="322">
        <f t="shared" ca="1" si="494"/>
        <v>1.4449434782608732</v>
      </c>
      <c r="AA165" s="429">
        <f t="shared" si="495"/>
        <v>1.1931</v>
      </c>
      <c r="AB165" s="433">
        <f t="shared" ca="1" si="496"/>
        <v>1.1931</v>
      </c>
      <c r="AC165" s="229">
        <v>41172</v>
      </c>
      <c r="AD165" s="229">
        <v>41168</v>
      </c>
      <c r="AE165" s="229">
        <v>41167</v>
      </c>
      <c r="AF165" s="229">
        <v>41163</v>
      </c>
      <c r="AG165" s="249" t="s">
        <v>499</v>
      </c>
      <c r="AH165" s="247" t="s">
        <v>499</v>
      </c>
      <c r="AI165" s="146">
        <v>23</v>
      </c>
      <c r="AJ165" s="41">
        <v>15</v>
      </c>
      <c r="AK165" s="41">
        <v>8</v>
      </c>
      <c r="AL165" s="293">
        <v>23</v>
      </c>
      <c r="AM165" s="41">
        <v>10</v>
      </c>
      <c r="AN165" s="147">
        <v>13</v>
      </c>
      <c r="AO165" s="374"/>
      <c r="AP165" s="153">
        <f t="shared" ca="1" si="530"/>
        <v>1</v>
      </c>
      <c r="AQ165" s="374"/>
      <c r="AR165" s="153">
        <f t="shared" ca="1" si="550"/>
        <v>1</v>
      </c>
      <c r="AS165" s="272">
        <f t="shared" si="497"/>
        <v>0</v>
      </c>
      <c r="AT165" s="157">
        <f t="shared" si="531"/>
        <v>0</v>
      </c>
      <c r="AU165" s="157">
        <f t="shared" si="498"/>
        <v>0</v>
      </c>
      <c r="AV165" s="271">
        <f t="shared" ca="1" si="558"/>
        <v>9.9999999999999995E-7</v>
      </c>
      <c r="AW165" s="158" t="str">
        <f t="shared" ca="1" si="499"/>
        <v/>
      </c>
      <c r="AX165" s="157">
        <f t="shared" ca="1" si="551"/>
        <v>1.9081156420757989E-4</v>
      </c>
      <c r="AY165" s="157">
        <f t="shared" ca="1" si="552"/>
        <v>5.6163885050847562E-5</v>
      </c>
      <c r="AZ165" s="157">
        <f t="shared" ca="1" si="553"/>
        <v>3.3680076044004008E-6</v>
      </c>
      <c r="BA165" s="157">
        <f t="shared" ca="1" si="554"/>
        <v>4.210009505500501E-7</v>
      </c>
      <c r="BB165" s="157">
        <f t="shared" ca="1" si="555"/>
        <v>6.6943208256108046E-9</v>
      </c>
      <c r="BC165" s="157">
        <f t="shared" ca="1" si="556"/>
        <v>3.5448360072806221E-10</v>
      </c>
      <c r="BD165" s="151">
        <f t="shared" ca="1" si="500"/>
        <v>0</v>
      </c>
      <c r="BE165" s="152">
        <f t="shared" ca="1" si="501"/>
        <v>0</v>
      </c>
      <c r="BF165" s="40">
        <f t="shared" si="502"/>
        <v>2012</v>
      </c>
      <c r="BG165" s="144">
        <f t="shared" si="503"/>
        <v>10</v>
      </c>
      <c r="BH165" s="145">
        <f t="shared" ca="1" si="504"/>
        <v>4423</v>
      </c>
      <c r="BI165" s="313">
        <f t="shared" ref="BI165:BI196" ca="1" si="568">(I165-DateToday+1)/365.25</f>
        <v>12.150581793292266</v>
      </c>
      <c r="BJ165" s="42">
        <f t="shared" ca="1" si="505"/>
        <v>12.20414843912746</v>
      </c>
      <c r="BK165" s="42">
        <f t="shared" ca="1" si="506"/>
        <v>12.206886289914593</v>
      </c>
      <c r="BL165" s="42">
        <f t="shared" ref="BL165:BL196" ca="1" si="569">(I166-DateToday)/365.25</f>
        <v>12.232717316906228</v>
      </c>
      <c r="BM165" s="150" t="e">
        <f t="shared" ca="1" si="507"/>
        <v>#DIV/0!</v>
      </c>
      <c r="BN165" s="42" t="e">
        <f t="shared" ca="1" si="508"/>
        <v>#DIV/0!</v>
      </c>
      <c r="BO165" s="293">
        <f t="shared" ref="BO165:BO196" si="570">CHOOSE(Underlying,AI165,AL165)</f>
        <v>23</v>
      </c>
      <c r="BP165" s="41">
        <f t="shared" ref="BP165:BP196" si="571">CHOOSE(Underlying,AJ165,AM165)</f>
        <v>15</v>
      </c>
      <c r="BQ165" s="41">
        <f t="shared" ref="BQ165:BQ196" si="572">CHOOSE(Underlying,AK165,AN165)</f>
        <v>8</v>
      </c>
      <c r="BR165" s="305" t="str">
        <f t="shared" ca="1" si="509"/>
        <v/>
      </c>
      <c r="BS165" s="305" t="str">
        <f t="shared" ref="BS165:BS196" ca="1" si="573">IF(BD165,Strike1/BR165-1,"")</f>
        <v/>
      </c>
      <c r="BT165" s="307" t="str">
        <f t="shared" ref="BT165:BT196" ca="1" si="574">IF(BD165,Strike2/BR165-1,"")</f>
        <v/>
      </c>
      <c r="BU165" s="161" t="str">
        <f t="shared" ca="1" si="510"/>
        <v/>
      </c>
      <c r="BV165" s="161" t="str">
        <f t="shared" ca="1" si="511"/>
        <v/>
      </c>
      <c r="BW165" s="308" t="str">
        <f t="shared" ca="1" si="512"/>
        <v/>
      </c>
      <c r="BX165" s="309" t="str">
        <f t="shared" ca="1" si="513"/>
        <v/>
      </c>
      <c r="BY165" s="308" t="str">
        <f t="shared" ref="BY165:BY196" ca="1" si="575">IF(BD165,IF(BS165&gt;0,IF(BS165&gt;0.2,BC165-BB165,IF(BS165&gt;0.1,BB165-BA165,BA165)),IF(BS165&lt;-0.2,AX165-AY165,IF(BS165&lt;-0.1,AY165-AZ165,AZ165))),"")</f>
        <v/>
      </c>
      <c r="BZ165" s="309" t="str">
        <f t="shared" ref="BZ165:BZ196" ca="1" si="576">IF(BD165,IF(BT165&gt;0,IF(BT165&gt;0.2,BC165-BB165,IF(BT165&gt;0.1,BB165-BA165,BA165)),IF(BT165&lt;-0.2,AX165-AY165,IF(BT165&lt;-0.1,AY165-AZ165,AZ165))),"")</f>
        <v/>
      </c>
      <c r="CA165" s="154" t="str">
        <f t="shared" ca="1" si="514"/>
        <v/>
      </c>
      <c r="CB165" s="154" t="str">
        <f t="shared" ca="1" si="515"/>
        <v/>
      </c>
      <c r="CC165" s="154" t="str">
        <f t="shared" ca="1" si="516"/>
        <v/>
      </c>
      <c r="CD165" s="154" t="str">
        <f t="shared" ca="1" si="517"/>
        <v/>
      </c>
      <c r="CE165" s="310">
        <v>1</v>
      </c>
      <c r="CF165" s="162">
        <f ca="1">IF(BD165,_xll.xCrudeAPO(BU165,BV165,CA165,CB165,S166,S167,BI165,BL165,BP165,BQ165,0,Strike1,AO165,CE165,0,BL165,IF(OptControl=4,0,1),0,1),0)</f>
        <v>0</v>
      </c>
      <c r="CG165" s="163">
        <f ca="1">IF(BD165,_xll.xCrudeAPO(BU165,BV165,CA165,CB165,S166,S167,BI165,BL165,BP165,BQ165,0,Strike1,AO165,CE165,0,BL165,IF(OptControl=4,0,1),1,1)+_xll.xCrudeAPO(BU165,BV165,CA165,CB165,S166,S167,BI165,BL165,BP165,BQ165,0,Strike1,AO165,CE165,0,BL165,IF(OptControl=4,0,1),1,2)+IF(OR(VolSkewFlag=2,ABS(BS165)&lt;0.0001),0,IF(BS165&gt;0,-1,1)*CH165*Strike1/BR165^2*BY165/10%),0)</f>
        <v>0</v>
      </c>
      <c r="CH165" s="163">
        <f ca="1">IF(BD165,(_xll.xCrudeAPO(BU165,BV165,CA165,CB165,S166,S167,BI165,BL165,BP165,BQ165,0,Strike1,AO165,CE165,0,BL165,IF(OptControl=4,0,1),3,1)+_xll.xCrudeAPO(BU165,BV165,CA165,CB165,S166,S167,BI165,BL165,BP165,BQ165,0,Strike1,AO165,CE165,0,BL165,IF(OptControl=4,0,1),3,2))/100,0)</f>
        <v>0</v>
      </c>
      <c r="CI165" s="163">
        <f ca="1">IF(BD165,_xll.xCrudeAPO(BU165,BV165,CA165,CB165,S166,S167,BI165-DaysForThetaCalculation/365.25,BL165-DaysForThetaCalculation/365.25,BP165,BQ165,0,Strike1,AO165,CE165,0,BL165,IF(OptControl=4,0,1),0,1)-_xll.xCrudeAPO(BU165,BV165,CA165,CB165,S166,S167,BI165,BL165,BP165,BQ165,0,Strike1,AO165,CE165,0,BL165,IF(OptControl=4,0,1),0,1),0)</f>
        <v>0</v>
      </c>
      <c r="CJ165" s="311">
        <f ca="1">IF(BD165,_xll.xCrudeAPO(BU165,BV165,CC165,CD165,S166,S167,BI165,BL165,BP165,BQ165,0,Strike2,AO165,CE165,0,BL165,IF(OptControl=3,1,0),0,1),0)</f>
        <v>0</v>
      </c>
      <c r="CK165" s="163">
        <f ca="1">IF(BD165,_xll.xCrudeAPO(BU165,BV165,CC165,CD165,S166,S167,BI165,BL165,BP165,BQ165,0,Strike2,AO165,CE165,0,BL165,IF(OptControl=3,1,0),1,1)+_xll.xCrudeAPO(BU165,BV165,CC165,CD165,S166,S167,BI165,BL165,BP165,BQ165,0,Strike2,AO165,CE165,0,BL165,IF(OptControl=3,1,0),1,2)+IF(OR(VolSkewFlag=2,ABS(BT165)&lt;0.0001),0,IF(BT165&gt;0,-1,1)*CL165*Strike2/BR165^2*BZ165/10%),0)</f>
        <v>0</v>
      </c>
      <c r="CL165" s="163">
        <f ca="1">IF(BD165,(_xll.xCrudeAPO(BU165,BV165,CC165,CD165,S166,S167,BI165,BL165,BP165,BQ165,0,Strike2,AO165,CE165,0,BL165,IF(OptControl=3,1,0),3,1)+_xll.xCrudeAPO(BU165,BV165,CC165,CD165,S166,S167,BI165,BL165,BP165,BQ165,0,Strike2,AO165,CE165,0,BL165,IF(OptControl=3,1,0),3,2))/100,0)</f>
        <v>0</v>
      </c>
      <c r="CM165" s="164">
        <f ca="1">IF(BD165,_xll.xCrudeAPO(BU165,BV165,CC165,CD165,S166,S167,BI165-DaysForThetaCalculation/365.25,BL165-DaysForThetaCalculation/365.25,BP165,BQ165,0,Strike2,AO165,CE165,0,BL165,IF(OptControl=3,1,0),0,1)-_xll.xCrudeAPO(BU165,BV165,CC165,CD165,S166,S167,BI165,BL165,BP165,BQ165,0,Strike2,AO165,CE165,0,BL165,IF(OptControl=3,1,0),0,1),0)</f>
        <v>0</v>
      </c>
      <c r="CN165" s="53"/>
      <c r="CO165" s="796" t="str">
        <f t="shared" ca="1" si="532"/>
        <v/>
      </c>
      <c r="CP165" s="800" t="str">
        <f t="shared" ca="1" si="533"/>
        <v/>
      </c>
      <c r="CQ165" s="797" t="str">
        <f t="shared" ca="1" si="534"/>
        <v/>
      </c>
      <c r="CR165" s="797" t="str">
        <f t="shared" ca="1" si="535"/>
        <v/>
      </c>
      <c r="CS165" s="797" t="str">
        <f t="shared" ca="1" si="536"/>
        <v/>
      </c>
      <c r="CT165" s="797" t="str">
        <f t="shared" ca="1" si="537"/>
        <v/>
      </c>
      <c r="CU165" s="798" t="str">
        <f t="shared" ca="1" si="538"/>
        <v/>
      </c>
      <c r="CV165" s="799" t="str">
        <f t="shared" ca="1" si="539"/>
        <v/>
      </c>
      <c r="CW165" s="799" t="str">
        <f t="shared" ca="1" si="540"/>
        <v/>
      </c>
      <c r="CX165" s="163">
        <f ca="1">IF(BD165,_xll.EURO(CP165,Strike1,AO165,AO165,CV165,CO165,IF(OptControl=4,0,1),0),0)</f>
        <v>0</v>
      </c>
      <c r="CY165" s="163">
        <f ca="1">IF(BD165,_xll.EURO(CP165,Strike1,AO165,AO165,CV165,CO165,IF(OptControl=4,0,1),1)+IF(OR(VolSkewFlag=2,ABS(CQ165)&lt;0.0001),0,IF(CQ165&gt;0,-1,1)*CZ165*100*Strike1/CP165^2*CS165/10%),0)</f>
        <v>0</v>
      </c>
      <c r="CZ165" s="163">
        <f ca="1">IF(BD165,_xll.EURO(CP165,Strike1,AO165,AO165,CV165,CO165,IF(OptControl=4,0,1),3)/100,0)</f>
        <v>0</v>
      </c>
      <c r="DA165" s="163">
        <f ca="1">IF(BD165,_xll.EURO(CP165,Strike1,AO165,AO165,CV165,CO165,IF(OptControl=4,0,1),0)-_xll.EURO(CP165,Strike1,AO165,AO165,CV165,CO165-1,IF(OptControl=4,0,1),0),0)</f>
        <v>0</v>
      </c>
      <c r="DB165" s="163">
        <f ca="1">IF(BD165,_xll.EURO(CP165,Strike2,AO165,AO165,CW165,CO165,IF(OptControl=3,1,0),0),0)</f>
        <v>0</v>
      </c>
      <c r="DC165" s="163">
        <f ca="1">IF(BD165,_xll.EURO(CP165,Strike2,AO165,AO165,CW165,CO165,IF(OptControl=3,1,0),1)+IF(OR(VolSkewFlag=2,ABS(CR165)&lt;0.0001),0,IF(CR165&gt;0,-1,1)*DD165*100*Strike2/CP165^2*CT165/10%),0)</f>
        <v>0</v>
      </c>
      <c r="DD165" s="163">
        <f ca="1">IF(BD165,_xll.EURO(CP165,Strike2,AO165,AO165,CW165,CO165,IF(OptControl=3,1,0),3)/100,0)</f>
        <v>0</v>
      </c>
      <c r="DE165" s="164">
        <f ca="1">IF(BD165,_xll.EURO(CP165,Strike2,AO165,AO165,CW165,CO165,IF(OptControl=3,1,0),0)-_xll.EURO(CP165,Strike2,AO165,AO165,CW165,CO165-1,IF(OptControl=3,1,0),0),0)</f>
        <v>0</v>
      </c>
      <c r="DG165" s="667">
        <f t="shared" ca="1" si="541"/>
        <v>40969</v>
      </c>
      <c r="DH165" s="475">
        <v>21.41000000000005</v>
      </c>
      <c r="DI165" s="665">
        <v>21.47818181818187</v>
      </c>
      <c r="DJ165" s="666">
        <f t="shared" ca="1" si="518"/>
        <v>40969</v>
      </c>
      <c r="DK165" s="475">
        <v>20.245060206285952</v>
      </c>
      <c r="DL165" s="665">
        <v>20.309681818181872</v>
      </c>
      <c r="DM165" s="667">
        <f t="shared" ca="1" si="519"/>
        <v>40969</v>
      </c>
      <c r="DN165" s="668">
        <f t="shared" si="520"/>
        <v>20.295060206285953</v>
      </c>
      <c r="DO165" s="667">
        <f t="shared" ca="1" si="542"/>
        <v>40969</v>
      </c>
      <c r="DP165" s="579">
        <f t="shared" si="543"/>
        <v>20.309681818181872</v>
      </c>
      <c r="DQ165" s="821">
        <v>0</v>
      </c>
      <c r="DR165" s="666">
        <f t="shared" ca="1" si="521"/>
        <v>40969</v>
      </c>
      <c r="DS165" s="669">
        <v>0.13759999999999903</v>
      </c>
      <c r="DT165" s="606">
        <v>0.13678181818181726</v>
      </c>
      <c r="DU165" s="666">
        <f t="shared" ca="1" si="522"/>
        <v>40969</v>
      </c>
      <c r="DV165" s="669">
        <v>0.13759999999999903</v>
      </c>
      <c r="DW165" s="606">
        <v>0.13678181818181726</v>
      </c>
      <c r="DX165" s="667">
        <f t="shared" ca="1" si="523"/>
        <v>40969</v>
      </c>
      <c r="DY165" s="606">
        <v>0.35</v>
      </c>
      <c r="DZ165" s="667">
        <f t="shared" ca="1" si="544"/>
        <v>40969</v>
      </c>
      <c r="EA165" s="606">
        <f t="shared" si="545"/>
        <v>0.13678181818181726</v>
      </c>
      <c r="EB165" s="1"/>
      <c r="EC165" s="118" t="str">
        <f t="shared" ca="1" si="524"/>
        <v/>
      </c>
      <c r="ED165" s="119" t="str">
        <f t="shared" ca="1" si="525"/>
        <v/>
      </c>
      <c r="EE165" s="112" t="str">
        <f t="shared" ca="1" si="526"/>
        <v/>
      </c>
      <c r="EF165" s="120">
        <f ca="1">IF(BD165,_xll.xASN(BR165,Strike1,AO165,ED165,0,BO165,0,BI165,BL165,IF(OptControl=4,0,1),0),0)</f>
        <v>0</v>
      </c>
      <c r="EG165" s="111">
        <f ca="1">IF(BD165,_xll.xASN(BR165,Strike2,AO165,EE165,0,BO165,0,BI165,BL165,IF(OptControl=3,1,0),0),0)</f>
        <v>0</v>
      </c>
      <c r="EL165" s="55"/>
      <c r="EM165" s="1"/>
      <c r="EN165" s="106"/>
      <c r="EO165" s="106"/>
      <c r="EP165" s="1"/>
      <c r="EQ165" s="683" t="s">
        <v>378</v>
      </c>
      <c r="ES165" s="455"/>
      <c r="ET165" s="36"/>
      <c r="EU165" s="107"/>
      <c r="EV165" s="475"/>
      <c r="EW165" s="456"/>
      <c r="EX165" s="456"/>
      <c r="EY165" s="250"/>
      <c r="EZ165" s="250"/>
      <c r="FA165" s="250"/>
      <c r="FB165" s="250"/>
      <c r="FC165" s="250"/>
      <c r="FD165" s="250"/>
      <c r="FE165" s="250"/>
      <c r="FF165" s="250"/>
      <c r="FG165" s="250"/>
      <c r="FH165" s="250"/>
      <c r="FI165" s="250"/>
      <c r="FJ165" s="673">
        <v>71</v>
      </c>
      <c r="FK165" s="460">
        <f t="shared" ca="1" si="563"/>
        <v>0</v>
      </c>
      <c r="FL165" s="460">
        <f t="shared" ref="FL165:HW166" ca="1" si="577">IF($FJ90&lt;FL$94,"",SQRT(FL90/FL$15))</f>
        <v>0.166126980965211</v>
      </c>
      <c r="FM165" s="460">
        <f t="shared" ca="1" si="577"/>
        <v>0.17049919642174535</v>
      </c>
      <c r="FN165" s="460">
        <f t="shared" ca="1" si="577"/>
        <v>0.16722088512875488</v>
      </c>
      <c r="FO165" s="460">
        <f t="shared" ca="1" si="577"/>
        <v>0.16476235302776004</v>
      </c>
      <c r="FP165" s="460">
        <f t="shared" ca="1" si="577"/>
        <v>0.16291869056949196</v>
      </c>
      <c r="FQ165" s="460">
        <f t="shared" ca="1" si="577"/>
        <v>0.16153622143562815</v>
      </c>
      <c r="FR165" s="460">
        <f t="shared" ca="1" si="577"/>
        <v>0.16049969523881405</v>
      </c>
      <c r="FS165" s="460">
        <f t="shared" ca="1" si="577"/>
        <v>0.1597226822166205</v>
      </c>
      <c r="FT165" s="460">
        <f t="shared" ca="1" si="577"/>
        <v>0.15914036944988136</v>
      </c>
      <c r="FU165" s="460">
        <f t="shared" ca="1" si="577"/>
        <v>0.15870415825812584</v>
      </c>
      <c r="FV165" s="460">
        <f t="shared" ca="1" si="577"/>
        <v>0.15837761251736013</v>
      </c>
      <c r="FW165" s="460">
        <f t="shared" ca="1" si="577"/>
        <v>0.15813342021584126</v>
      </c>
      <c r="FX165" s="460">
        <f t="shared" ca="1" si="577"/>
        <v>0.15795111499241285</v>
      </c>
      <c r="FY165" s="460">
        <f t="shared" ca="1" si="577"/>
        <v>0.1578153677250185</v>
      </c>
      <c r="FZ165" s="460">
        <f t="shared" ca="1" si="577"/>
        <v>0.15771470573085772</v>
      </c>
      <c r="GA165" s="460">
        <f t="shared" ca="1" si="577"/>
        <v>0.15764055276188463</v>
      </c>
      <c r="GB165" s="460">
        <f t="shared" ca="1" si="577"/>
        <v>0.15758650969817889</v>
      </c>
      <c r="GC165" s="460">
        <f t="shared" ca="1" si="577"/>
        <v>0.15754781588338598</v>
      </c>
      <c r="GD165" s="460">
        <f t="shared" ca="1" si="577"/>
        <v>0.15752094608064154</v>
      </c>
      <c r="GE165" s="460">
        <f t="shared" ca="1" si="577"/>
        <v>0.15750330930655798</v>
      </c>
      <c r="GF165" s="460">
        <f t="shared" ca="1" si="577"/>
        <v>0.15749302426433615</v>
      </c>
      <c r="GG165" s="460">
        <f t="shared" ca="1" si="577"/>
        <v>0.15748875244951108</v>
      </c>
      <c r="GH165" s="460">
        <f t="shared" ca="1" si="577"/>
        <v>0.15748957477187409</v>
      </c>
      <c r="GI165" s="460">
        <f t="shared" ca="1" si="577"/>
        <v>0.15749490112135231</v>
      </c>
      <c r="GJ165" s="460">
        <f t="shared" ca="1" si="577"/>
        <v>0.15750440500173932</v>
      </c>
      <c r="GK165" s="460">
        <f t="shared" ca="1" si="577"/>
        <v>0.15751797738762796</v>
      </c>
      <c r="GL165" s="460">
        <f t="shared" ca="1" si="577"/>
        <v>0.1575356954945985</v>
      </c>
      <c r="GM165" s="460">
        <f t="shared" ca="1" si="577"/>
        <v>0.1575578033169206</v>
      </c>
      <c r="GN165" s="460">
        <f t="shared" ca="1" si="577"/>
        <v>0.15758470167586763</v>
      </c>
      <c r="GO165" s="460">
        <f t="shared" ca="1" si="577"/>
        <v>0.15761694620706557</v>
      </c>
      <c r="GP165" s="460">
        <f t="shared" ca="1" si="577"/>
        <v>0.15765525225166171</v>
      </c>
      <c r="GQ165" s="460">
        <f t="shared" ca="1" si="577"/>
        <v>0.15770050604521246</v>
      </c>
      <c r="GR165" s="460">
        <f t="shared" ca="1" si="577"/>
        <v>0.15775378195234585</v>
      </c>
      <c r="GS165" s="460">
        <f t="shared" ca="1" si="577"/>
        <v>0.15781636579997238</v>
      </c>
      <c r="GT165" s="460">
        <f t="shared" ca="1" si="577"/>
        <v>0.15788978463784475</v>
      </c>
      <c r="GU165" s="460">
        <f t="shared" ca="1" si="577"/>
        <v>0.15797584352027705</v>
      </c>
      <c r="GV165" s="460">
        <f t="shared" ca="1" si="577"/>
        <v>0.15807667017277258</v>
      </c>
      <c r="GW165" s="460">
        <f t="shared" ca="1" si="577"/>
        <v>0.1581947686976746</v>
      </c>
      <c r="GX165" s="460">
        <f t="shared" ca="1" si="577"/>
        <v>0.15833308379996383</v>
      </c>
      <c r="GY165" s="460">
        <f t="shared" ca="1" si="577"/>
        <v>0.15849507739628407</v>
      </c>
      <c r="GZ165" s="460">
        <f t="shared" ca="1" si="577"/>
        <v>0.15868481992900207</v>
      </c>
      <c r="HA165" s="460">
        <f t="shared" ca="1" si="577"/>
        <v>0.15890709926989149</v>
      </c>
      <c r="HB165" s="460">
        <f t="shared" ca="1" si="577"/>
        <v>0.15916755080007175</v>
      </c>
      <c r="HC165" s="460">
        <f t="shared" ca="1" si="577"/>
        <v>0.15947281314057643</v>
      </c>
      <c r="HD165" s="460">
        <f t="shared" ca="1" si="577"/>
        <v>0.15983071514377239</v>
      </c>
      <c r="HE165" s="460">
        <f t="shared" ca="1" si="577"/>
        <v>0.16025050122464413</v>
      </c>
      <c r="HF165" s="460">
        <f t="shared" ca="1" si="577"/>
        <v>0.1607431040294896</v>
      </c>
      <c r="HG165" s="460">
        <f t="shared" ca="1" si="577"/>
        <v>0.16132147597009824</v>
      </c>
      <c r="HH165" s="460">
        <f t="shared" ca="1" si="577"/>
        <v>0.16200099452176564</v>
      </c>
      <c r="HI165" s="460">
        <f t="shared" ca="1" si="577"/>
        <v>0.16279996071626113</v>
      </c>
      <c r="HJ165" s="460">
        <f t="shared" ca="1" si="577"/>
        <v>0.16374021641806769</v>
      </c>
      <c r="HK165" s="460">
        <f t="shared" ca="1" si="577"/>
        <v>0.16484791442207505</v>
      </c>
      <c r="HL165" s="460">
        <f t="shared" ca="1" si="577"/>
        <v>0.16615448713085848</v>
      </c>
      <c r="HM165" s="460">
        <f t="shared" ca="1" si="577"/>
        <v>0.16769787600656355</v>
      </c>
      <c r="HN165" s="460">
        <f t="shared" ca="1" si="577"/>
        <v>0.16952410731554782</v>
      </c>
      <c r="HO165" s="460">
        <f t="shared" ca="1" si="577"/>
        <v>0.17168933319080196</v>
      </c>
      <c r="HP165" s="460">
        <f t="shared" ca="1" si="577"/>
        <v>0.17426250581511982</v>
      </c>
      <c r="HQ165" s="460">
        <f t="shared" ca="1" si="577"/>
        <v>0.17732892455212199</v>
      </c>
      <c r="HR165" s="460">
        <f t="shared" ca="1" si="577"/>
        <v>0.18099500384249867</v>
      </c>
      <c r="HS165" s="460">
        <f t="shared" ca="1" si="577"/>
        <v>0.18539477430953377</v>
      </c>
      <c r="HT165" s="460">
        <f t="shared" ca="1" si="577"/>
        <v>0.19069888505817459</v>
      </c>
      <c r="HU165" s="460">
        <f t="shared" ca="1" si="577"/>
        <v>0.19712727971131741</v>
      </c>
      <c r="HV165" s="460">
        <f t="shared" ca="1" si="577"/>
        <v>0.2049673731968493</v>
      </c>
      <c r="HW165" s="460">
        <f t="shared" ca="1" si="577"/>
        <v>0.21460064052227668</v>
      </c>
      <c r="HX165" s="460">
        <f t="shared" ca="1" si="567"/>
        <v>0.22654237271959532</v>
      </c>
      <c r="HY165" s="460">
        <f t="shared" ca="1" si="567"/>
        <v>0.24150258386196005</v>
      </c>
      <c r="HZ165" s="460">
        <f t="shared" ca="1" si="567"/>
        <v>0.26048189334653887</v>
      </c>
      <c r="IA165" s="460">
        <f t="shared" ca="1" si="567"/>
        <v>0.28492716503892002</v>
      </c>
      <c r="IB165" s="460">
        <f t="shared" ca="1" si="567"/>
        <v>0.31699311147776571</v>
      </c>
      <c r="IC165" s="460">
        <f t="shared" ca="1" si="567"/>
        <v>0.3600000000957827</v>
      </c>
      <c r="ID165" s="674" t="str">
        <f t="shared" si="567"/>
        <v/>
      </c>
      <c r="IE165" s="250"/>
    </row>
    <row r="166" spans="8:239">
      <c r="H166" s="51">
        <f t="shared" ca="1" si="527"/>
        <v>0</v>
      </c>
      <c r="I166" s="379">
        <f t="shared" si="528"/>
        <v>41214</v>
      </c>
      <c r="J166" s="377"/>
      <c r="K166" s="104" t="s">
        <v>268</v>
      </c>
      <c r="L166" s="392">
        <f t="shared" si="529"/>
        <v>2.6250000000000036</v>
      </c>
      <c r="M166" s="171"/>
      <c r="N166" s="382">
        <v>0</v>
      </c>
      <c r="O166" s="171">
        <f t="shared" si="490"/>
        <v>0</v>
      </c>
      <c r="P166" s="377"/>
      <c r="Q166" s="104" t="s">
        <v>268</v>
      </c>
      <c r="R166" s="377">
        <f t="shared" ca="1" si="547"/>
        <v>1.4205218401438731</v>
      </c>
      <c r="S166" s="832">
        <f t="shared" si="564"/>
        <v>0.3600000000000001</v>
      </c>
      <c r="T166" s="831">
        <f t="shared" si="548"/>
        <v>0.99999999998689182</v>
      </c>
      <c r="U166" s="545">
        <f t="shared" si="549"/>
        <v>0.99999999999999978</v>
      </c>
      <c r="V166" s="389">
        <v>0</v>
      </c>
      <c r="W166" s="434">
        <f t="shared" si="491"/>
        <v>0</v>
      </c>
      <c r="X166" s="415">
        <f t="shared" si="492"/>
        <v>2.6761363636363673</v>
      </c>
      <c r="Y166" s="322">
        <f t="shared" si="493"/>
        <v>-1.1931</v>
      </c>
      <c r="Z166" s="322">
        <f t="shared" ca="1" si="494"/>
        <v>1.4830363636363673</v>
      </c>
      <c r="AA166" s="429">
        <f t="shared" si="495"/>
        <v>1.1931</v>
      </c>
      <c r="AB166" s="433">
        <f t="shared" ca="1" si="496"/>
        <v>1.1931</v>
      </c>
      <c r="AC166" s="229">
        <v>41202</v>
      </c>
      <c r="AD166" s="229">
        <v>41198</v>
      </c>
      <c r="AE166" s="229">
        <v>41197</v>
      </c>
      <c r="AF166" s="229">
        <v>41193</v>
      </c>
      <c r="AG166" s="249" t="s">
        <v>499</v>
      </c>
      <c r="AH166" s="247" t="s">
        <v>499</v>
      </c>
      <c r="AI166" s="146">
        <v>22</v>
      </c>
      <c r="AJ166" s="41">
        <v>14</v>
      </c>
      <c r="AK166" s="41">
        <v>8</v>
      </c>
      <c r="AL166" s="293">
        <v>22</v>
      </c>
      <c r="AM166" s="41">
        <v>10</v>
      </c>
      <c r="AN166" s="147">
        <v>12</v>
      </c>
      <c r="AO166" s="374"/>
      <c r="AP166" s="153">
        <f t="shared" ca="1" si="530"/>
        <v>1</v>
      </c>
      <c r="AQ166" s="374"/>
      <c r="AR166" s="153">
        <f t="shared" ca="1" si="550"/>
        <v>1</v>
      </c>
      <c r="AS166" s="272">
        <f t="shared" si="497"/>
        <v>0</v>
      </c>
      <c r="AT166" s="157">
        <f t="shared" si="531"/>
        <v>0</v>
      </c>
      <c r="AU166" s="157">
        <f t="shared" si="498"/>
        <v>0</v>
      </c>
      <c r="AV166" s="271">
        <f t="shared" ca="1" si="558"/>
        <v>9.9999999999999995E-7</v>
      </c>
      <c r="AW166" s="158" t="str">
        <f t="shared" ca="1" si="499"/>
        <v/>
      </c>
      <c r="AX166" s="157">
        <f t="shared" ca="1" si="551"/>
        <v>1.8447198464766835E-4</v>
      </c>
      <c r="AY166" s="157">
        <f t="shared" ca="1" si="552"/>
        <v>5.393690572467572E-5</v>
      </c>
      <c r="AZ166" s="157">
        <f t="shared" ca="1" si="553"/>
        <v>3.1789758627101451E-6</v>
      </c>
      <c r="BA166" s="157">
        <f t="shared" ca="1" si="554"/>
        <v>3.9737198283876814E-7</v>
      </c>
      <c r="BB166" s="157">
        <f t="shared" ca="1" si="555"/>
        <v>6.1086665264703039E-9</v>
      </c>
      <c r="BC166" s="157">
        <f t="shared" ca="1" si="556"/>
        <v>3.1580898549040209E-10</v>
      </c>
      <c r="BD166" s="151">
        <f t="shared" ca="1" si="500"/>
        <v>0</v>
      </c>
      <c r="BE166" s="152">
        <f t="shared" ca="1" si="501"/>
        <v>0</v>
      </c>
      <c r="BF166" s="40">
        <f t="shared" si="502"/>
        <v>2012</v>
      </c>
      <c r="BG166" s="144">
        <f t="shared" si="503"/>
        <v>11</v>
      </c>
      <c r="BH166" s="145">
        <f t="shared" ca="1" si="504"/>
        <v>4453</v>
      </c>
      <c r="BI166" s="313">
        <f t="shared" ca="1" si="568"/>
        <v>12.235455167693361</v>
      </c>
      <c r="BJ166" s="42">
        <f t="shared" ca="1" si="505"/>
        <v>12.285980959492253</v>
      </c>
      <c r="BK166" s="42">
        <f t="shared" ca="1" si="506"/>
        <v>12.288718810279386</v>
      </c>
      <c r="BL166" s="42">
        <f t="shared" ca="1" si="569"/>
        <v>12.314852840520192</v>
      </c>
      <c r="BM166" s="150" t="e">
        <f t="shared" ca="1" si="507"/>
        <v>#DIV/0!</v>
      </c>
      <c r="BN166" s="42" t="e">
        <f t="shared" ca="1" si="508"/>
        <v>#DIV/0!</v>
      </c>
      <c r="BO166" s="293">
        <f t="shared" si="570"/>
        <v>22</v>
      </c>
      <c r="BP166" s="41">
        <f t="shared" si="571"/>
        <v>14</v>
      </c>
      <c r="BQ166" s="41">
        <f t="shared" si="572"/>
        <v>8</v>
      </c>
      <c r="BR166" s="305" t="str">
        <f t="shared" ca="1" si="509"/>
        <v/>
      </c>
      <c r="BS166" s="305" t="str">
        <f t="shared" ca="1" si="573"/>
        <v/>
      </c>
      <c r="BT166" s="307" t="str">
        <f t="shared" ca="1" si="574"/>
        <v/>
      </c>
      <c r="BU166" s="161" t="str">
        <f t="shared" ca="1" si="510"/>
        <v/>
      </c>
      <c r="BV166" s="161" t="str">
        <f t="shared" ca="1" si="511"/>
        <v/>
      </c>
      <c r="BW166" s="308" t="str">
        <f t="shared" ca="1" si="512"/>
        <v/>
      </c>
      <c r="BX166" s="309" t="str">
        <f t="shared" ca="1" si="513"/>
        <v/>
      </c>
      <c r="BY166" s="308" t="str">
        <f t="shared" ca="1" si="575"/>
        <v/>
      </c>
      <c r="BZ166" s="309" t="str">
        <f t="shared" ca="1" si="576"/>
        <v/>
      </c>
      <c r="CA166" s="154" t="str">
        <f t="shared" ca="1" si="514"/>
        <v/>
      </c>
      <c r="CB166" s="154" t="str">
        <f t="shared" ca="1" si="515"/>
        <v/>
      </c>
      <c r="CC166" s="154" t="str">
        <f t="shared" ca="1" si="516"/>
        <v/>
      </c>
      <c r="CD166" s="154" t="str">
        <f t="shared" ca="1" si="517"/>
        <v/>
      </c>
      <c r="CE166" s="310">
        <v>1</v>
      </c>
      <c r="CF166" s="162">
        <f ca="1">IF(BD166,_xll.xCrudeAPO(BU166,BV166,CA166,CB166,S167,S168,BI166,BL166,BP166,BQ166,0,Strike1,AO166,CE166,0,BL166,IF(OptControl=4,0,1),0,1),0)</f>
        <v>0</v>
      </c>
      <c r="CG166" s="163">
        <f ca="1">IF(BD166,_xll.xCrudeAPO(BU166,BV166,CA166,CB166,S167,S168,BI166,BL166,BP166,BQ166,0,Strike1,AO166,CE166,0,BL166,IF(OptControl=4,0,1),1,1)+_xll.xCrudeAPO(BU166,BV166,CA166,CB166,S167,S168,BI166,BL166,BP166,BQ166,0,Strike1,AO166,CE166,0,BL166,IF(OptControl=4,0,1),1,2)+IF(OR(VolSkewFlag=2,ABS(BS166)&lt;0.0001),0,IF(BS166&gt;0,-1,1)*CH166*Strike1/BR166^2*BY166/10%),0)</f>
        <v>0</v>
      </c>
      <c r="CH166" s="163">
        <f ca="1">IF(BD166,(_xll.xCrudeAPO(BU166,BV166,CA166,CB166,S167,S168,BI166,BL166,BP166,BQ166,0,Strike1,AO166,CE166,0,BL166,IF(OptControl=4,0,1),3,1)+_xll.xCrudeAPO(BU166,BV166,CA166,CB166,S167,S168,BI166,BL166,BP166,BQ166,0,Strike1,AO166,CE166,0,BL166,IF(OptControl=4,0,1),3,2))/100,0)</f>
        <v>0</v>
      </c>
      <c r="CI166" s="163">
        <f ca="1">IF(BD166,_xll.xCrudeAPO(BU166,BV166,CA166,CB166,S167,S168,BI166-DaysForThetaCalculation/365.25,BL166-DaysForThetaCalculation/365.25,BP166,BQ166,0,Strike1,AO166,CE166,0,BL166,IF(OptControl=4,0,1),0,1)-_xll.xCrudeAPO(BU166,BV166,CA166,CB166,S167,S168,BI166,BL166,BP166,BQ166,0,Strike1,AO166,CE166,0,BL166,IF(OptControl=4,0,1),0,1),0)</f>
        <v>0</v>
      </c>
      <c r="CJ166" s="311">
        <f ca="1">IF(BD166,_xll.xCrudeAPO(BU166,BV166,CC166,CD166,S167,S168,BI166,BL166,BP166,BQ166,0,Strike2,AO166,CE166,0,BL166,IF(OptControl=3,1,0),0,1),0)</f>
        <v>0</v>
      </c>
      <c r="CK166" s="163">
        <f ca="1">IF(BD166,_xll.xCrudeAPO(BU166,BV166,CC166,CD166,S167,S168,BI166,BL166,BP166,BQ166,0,Strike2,AO166,CE166,0,BL166,IF(OptControl=3,1,0),1,1)+_xll.xCrudeAPO(BU166,BV166,CC166,CD166,S167,S168,BI166,BL166,BP166,BQ166,0,Strike2,AO166,CE166,0,BL166,IF(OptControl=3,1,0),1,2)+IF(OR(VolSkewFlag=2,ABS(BT166)&lt;0.0001),0,IF(BT166&gt;0,-1,1)*CL166*Strike2/BR166^2*BZ166/10%),0)</f>
        <v>0</v>
      </c>
      <c r="CL166" s="163">
        <f ca="1">IF(BD166,(_xll.xCrudeAPO(BU166,BV166,CC166,CD166,S167,S168,BI166,BL166,BP166,BQ166,0,Strike2,AO166,CE166,0,BL166,IF(OptControl=3,1,0),3,1)+_xll.xCrudeAPO(BU166,BV166,CC166,CD166,S167,S168,BI166,BL166,BP166,BQ166,0,Strike2,AO166,CE166,0,BL166,IF(OptControl=3,1,0),3,2))/100,0)</f>
        <v>0</v>
      </c>
      <c r="CM166" s="164">
        <f ca="1">IF(BD166,_xll.xCrudeAPO(BU166,BV166,CC166,CD166,S167,S168,BI166-DaysForThetaCalculation/365.25,BL166-DaysForThetaCalculation/365.25,BP166,BQ166,0,Strike2,AO166,CE166,0,BL166,IF(OptControl=3,1,0),0,1)-_xll.xCrudeAPO(BU166,BV166,CC166,CD166,S167,S168,BI166,BL166,BP166,BQ166,0,Strike2,AO166,CE166,0,BL166,IF(OptControl=3,1,0),0,1),0)</f>
        <v>0</v>
      </c>
      <c r="CN166" s="53"/>
      <c r="CO166" s="796" t="str">
        <f t="shared" ca="1" si="532"/>
        <v/>
      </c>
      <c r="CP166" s="800" t="str">
        <f t="shared" ca="1" si="533"/>
        <v/>
      </c>
      <c r="CQ166" s="797" t="str">
        <f t="shared" ca="1" si="534"/>
        <v/>
      </c>
      <c r="CR166" s="797" t="str">
        <f t="shared" ca="1" si="535"/>
        <v/>
      </c>
      <c r="CS166" s="797" t="str">
        <f t="shared" ca="1" si="536"/>
        <v/>
      </c>
      <c r="CT166" s="797" t="str">
        <f t="shared" ca="1" si="537"/>
        <v/>
      </c>
      <c r="CU166" s="798" t="str">
        <f t="shared" ca="1" si="538"/>
        <v/>
      </c>
      <c r="CV166" s="799" t="str">
        <f t="shared" ca="1" si="539"/>
        <v/>
      </c>
      <c r="CW166" s="799" t="str">
        <f t="shared" ca="1" si="540"/>
        <v/>
      </c>
      <c r="CX166" s="163">
        <f ca="1">IF(BD166,_xll.EURO(CP166,Strike1,AO166,AO166,CV166,CO166,IF(OptControl=4,0,1),0),0)</f>
        <v>0</v>
      </c>
      <c r="CY166" s="163">
        <f ca="1">IF(BD166,_xll.EURO(CP166,Strike1,AO166,AO166,CV166,CO166,IF(OptControl=4,0,1),1)+IF(OR(VolSkewFlag=2,ABS(CQ166)&lt;0.0001),0,IF(CQ166&gt;0,-1,1)*CZ166*100*Strike1/CP166^2*CS166/10%),0)</f>
        <v>0</v>
      </c>
      <c r="CZ166" s="163">
        <f ca="1">IF(BD166,_xll.EURO(CP166,Strike1,AO166,AO166,CV166,CO166,IF(OptControl=4,0,1),3)/100,0)</f>
        <v>0</v>
      </c>
      <c r="DA166" s="163">
        <f ca="1">IF(BD166,_xll.EURO(CP166,Strike1,AO166,AO166,CV166,CO166,IF(OptControl=4,0,1),0)-_xll.EURO(CP166,Strike1,AO166,AO166,CV166,CO166-1,IF(OptControl=4,0,1),0),0)</f>
        <v>0</v>
      </c>
      <c r="DB166" s="163">
        <f ca="1">IF(BD166,_xll.EURO(CP166,Strike2,AO166,AO166,CW166,CO166,IF(OptControl=3,1,0),0),0)</f>
        <v>0</v>
      </c>
      <c r="DC166" s="163">
        <f ca="1">IF(BD166,_xll.EURO(CP166,Strike2,AO166,AO166,CW166,CO166,IF(OptControl=3,1,0),1)+IF(OR(VolSkewFlag=2,ABS(CR166)&lt;0.0001),0,IF(CR166&gt;0,-1,1)*DD166*100*Strike2/CP166^2*CT166/10%),0)</f>
        <v>0</v>
      </c>
      <c r="DD166" s="163">
        <f ca="1">IF(BD166,_xll.EURO(CP166,Strike2,AO166,AO166,CW166,CO166,IF(OptControl=3,1,0),3)/100,0)</f>
        <v>0</v>
      </c>
      <c r="DE166" s="164">
        <f ca="1">IF(BD166,_xll.EURO(CP166,Strike2,AO166,AO166,CW166,CO166,IF(OptControl=3,1,0),0)-_xll.EURO(CP166,Strike2,AO166,AO166,CW166,CO166-1,IF(OptControl=3,1,0),0),0)</f>
        <v>0</v>
      </c>
      <c r="DG166" s="667">
        <f t="shared" ca="1" si="541"/>
        <v>41000</v>
      </c>
      <c r="DH166" s="475">
        <v>21.460000000000051</v>
      </c>
      <c r="DI166" s="665">
        <v>21.524285714285764</v>
      </c>
      <c r="DJ166" s="666">
        <f t="shared" ca="1" si="518"/>
        <v>41000</v>
      </c>
      <c r="DK166" s="475">
        <v>20.27008163064923</v>
      </c>
      <c r="DL166" s="665">
        <v>20.232785714285765</v>
      </c>
      <c r="DM166" s="667">
        <f t="shared" ca="1" si="519"/>
        <v>41000</v>
      </c>
      <c r="DN166" s="668">
        <f t="shared" si="520"/>
        <v>20.320081630649231</v>
      </c>
      <c r="DO166" s="667">
        <f t="shared" ca="1" si="542"/>
        <v>41000</v>
      </c>
      <c r="DP166" s="579">
        <f t="shared" si="543"/>
        <v>20.232785714285765</v>
      </c>
      <c r="DQ166" s="821">
        <v>0</v>
      </c>
      <c r="DR166" s="666">
        <f t="shared" ca="1" si="521"/>
        <v>41000</v>
      </c>
      <c r="DS166" s="669">
        <v>0.13699999999999907</v>
      </c>
      <c r="DT166" s="606">
        <v>0.13622857142857048</v>
      </c>
      <c r="DU166" s="666">
        <f t="shared" ca="1" si="522"/>
        <v>41000</v>
      </c>
      <c r="DV166" s="669">
        <v>0.13699999999999907</v>
      </c>
      <c r="DW166" s="606">
        <v>0.13622857142857048</v>
      </c>
      <c r="DX166" s="667">
        <f t="shared" ca="1" si="523"/>
        <v>41000</v>
      </c>
      <c r="DY166" s="606">
        <v>0.35</v>
      </c>
      <c r="DZ166" s="667">
        <f t="shared" ca="1" si="544"/>
        <v>41000</v>
      </c>
      <c r="EA166" s="606">
        <f t="shared" si="545"/>
        <v>0.13622857142857048</v>
      </c>
      <c r="EB166" s="1"/>
      <c r="EC166" s="118" t="str">
        <f t="shared" ca="1" si="524"/>
        <v/>
      </c>
      <c r="ED166" s="119" t="str">
        <f t="shared" ca="1" si="525"/>
        <v/>
      </c>
      <c r="EE166" s="112" t="str">
        <f t="shared" ca="1" si="526"/>
        <v/>
      </c>
      <c r="EF166" s="120">
        <f ca="1">IF(BD166,_xll.xASN(BR166,Strike1,AO166,ED166,0,BO166,0,BI166,BL166,IF(OptControl=4,0,1),0),0)</f>
        <v>0</v>
      </c>
      <c r="EG166" s="111">
        <f ca="1">IF(BD166,_xll.xASN(BR166,Strike2,AO166,EE166,0,BO166,0,BI166,BL166,IF(OptControl=3,1,0),0),0)</f>
        <v>0</v>
      </c>
      <c r="EL166" s="55"/>
      <c r="EM166" s="1"/>
      <c r="EN166" s="106"/>
      <c r="EO166" s="106"/>
      <c r="EP166" s="1"/>
      <c r="EQ166" s="683" t="s">
        <v>379</v>
      </c>
      <c r="ES166" s="455"/>
      <c r="ET166" s="36"/>
      <c r="EU166" s="107"/>
      <c r="EV166" s="475"/>
      <c r="EW166" s="456"/>
      <c r="EX166" s="456"/>
      <c r="EY166" s="250"/>
      <c r="EZ166" s="250"/>
      <c r="FA166" s="250"/>
      <c r="FB166" s="250"/>
      <c r="FC166" s="250"/>
      <c r="FD166" s="250"/>
      <c r="FE166" s="250"/>
      <c r="FF166" s="250"/>
      <c r="FG166" s="250"/>
      <c r="FH166" s="250"/>
      <c r="FI166" s="250"/>
      <c r="FJ166" s="675">
        <v>72</v>
      </c>
      <c r="FK166" s="676">
        <f t="shared" ca="1" si="563"/>
        <v>0</v>
      </c>
      <c r="FL166" s="676">
        <f t="shared" ca="1" si="577"/>
        <v>0.16612660374942531</v>
      </c>
      <c r="FM166" s="676">
        <f t="shared" ca="1" si="577"/>
        <v>0.17049874362219031</v>
      </c>
      <c r="FN166" s="676">
        <f t="shared" ca="1" si="577"/>
        <v>0.16722036572132717</v>
      </c>
      <c r="FO166" s="676">
        <f t="shared" ca="1" si="577"/>
        <v>0.16476175446509664</v>
      </c>
      <c r="FP166" s="676">
        <f t="shared" ca="1" si="577"/>
        <v>0.16291799832968823</v>
      </c>
      <c r="FQ166" s="676">
        <f t="shared" ca="1" si="577"/>
        <v>0.16153541866843019</v>
      </c>
      <c r="FR166" s="676">
        <f t="shared" ca="1" si="577"/>
        <v>0.16049876235409585</v>
      </c>
      <c r="FS166" s="676">
        <f t="shared" ca="1" si="577"/>
        <v>0.15972159640506117</v>
      </c>
      <c r="FT166" s="676">
        <f t="shared" ca="1" si="577"/>
        <v>0.15913910412408061</v>
      </c>
      <c r="FU166" s="676">
        <f t="shared" ca="1" si="577"/>
        <v>0.15870268240042482</v>
      </c>
      <c r="FV166" s="676">
        <f t="shared" ca="1" si="577"/>
        <v>0.15837588991832596</v>
      </c>
      <c r="FW166" s="676">
        <f t="shared" ca="1" si="577"/>
        <v>0.15813140858466548</v>
      </c>
      <c r="FX166" s="676">
        <f t="shared" ca="1" si="577"/>
        <v>0.15794876491730162</v>
      </c>
      <c r="FY166" s="676">
        <f t="shared" ca="1" si="577"/>
        <v>0.15781262145793262</v>
      </c>
      <c r="FZ166" s="676">
        <f t="shared" ca="1" si="577"/>
        <v>0.15771149576660204</v>
      </c>
      <c r="GA166" s="676">
        <f t="shared" ca="1" si="577"/>
        <v>0.15763680017643525</v>
      </c>
      <c r="GB166" s="676">
        <f t="shared" ca="1" si="577"/>
        <v>0.15758212220514617</v>
      </c>
      <c r="GC166" s="676">
        <f t="shared" ca="1" si="577"/>
        <v>0.15754268556048182</v>
      </c>
      <c r="GD166" s="676">
        <f t="shared" ca="1" si="577"/>
        <v>0.15751494670977484</v>
      </c>
      <c r="GE166" s="676">
        <f t="shared" ca="1" si="577"/>
        <v>0.15749629326150158</v>
      </c>
      <c r="GF166" s="676">
        <f t="shared" ca="1" si="577"/>
        <v>0.15748481886853941</v>
      </c>
      <c r="GG166" s="676">
        <f t="shared" ca="1" si="577"/>
        <v>0.15747915571326979</v>
      </c>
      <c r="GH166" s="676">
        <f t="shared" ca="1" si="577"/>
        <v>0.15747835040235209</v>
      </c>
      <c r="GI166" s="676">
        <f t="shared" ca="1" si="577"/>
        <v>0.15748177268044553</v>
      </c>
      <c r="GJ166" s="676">
        <f t="shared" ca="1" si="577"/>
        <v>0.15748904906496586</v>
      </c>
      <c r="GK166" s="676">
        <f t="shared" ca="1" si="577"/>
        <v>0.15750001553149673</v>
      </c>
      <c r="GL166" s="676">
        <f t="shared" ca="1" si="577"/>
        <v>0.15751468490950313</v>
      </c>
      <c r="GM166" s="676">
        <f t="shared" ca="1" si="577"/>
        <v>0.1575332258066218</v>
      </c>
      <c r="GN166" s="676">
        <f t="shared" ca="1" si="577"/>
        <v>0.15755595076195719</v>
      </c>
      <c r="GO166" s="676">
        <f t="shared" ca="1" si="577"/>
        <v>0.15758331200610357</v>
      </c>
      <c r="GP166" s="676">
        <f t="shared" ca="1" si="577"/>
        <v>0.15761590373228662</v>
      </c>
      <c r="GQ166" s="676">
        <f t="shared" ca="1" si="577"/>
        <v>0.15765447020038859</v>
      </c>
      <c r="GR166" s="676">
        <f t="shared" ca="1" si="577"/>
        <v>0.15769991933548566</v>
      </c>
      <c r="GS166" s="676">
        <f t="shared" ca="1" si="577"/>
        <v>0.15775334176975714</v>
      </c>
      <c r="GT166" s="676">
        <f t="shared" ca="1" si="577"/>
        <v>0.15781603553113782</v>
      </c>
      <c r="GU166" s="676">
        <f t="shared" ca="1" si="577"/>
        <v>0.15788953682046533</v>
      </c>
      <c r="GV166" s="676">
        <f t="shared" ca="1" si="577"/>
        <v>0.15797565755564461</v>
      </c>
      <c r="GW166" s="676">
        <f t="shared" ca="1" si="577"/>
        <v>0.15807653061011634</v>
      </c>
      <c r="GX166" s="676">
        <f t="shared" ca="1" si="577"/>
        <v>0.15819466394738982</v>
      </c>
      <c r="GY166" s="676">
        <f t="shared" ca="1" si="577"/>
        <v>0.15833300516850798</v>
      </c>
      <c r="GZ166" s="676">
        <f t="shared" ca="1" si="577"/>
        <v>0.15849501836232599</v>
      </c>
      <c r="HA166" s="676">
        <f t="shared" ca="1" si="577"/>
        <v>0.1586847756005125</v>
      </c>
      <c r="HB166" s="676">
        <f t="shared" ca="1" si="577"/>
        <v>0.15890706597694496</v>
      </c>
      <c r="HC166" s="676">
        <f t="shared" ca="1" si="577"/>
        <v>0.15916752578943072</v>
      </c>
      <c r="HD166" s="676">
        <f t="shared" ca="1" si="577"/>
        <v>0.15947279434661746</v>
      </c>
      <c r="HE166" s="676">
        <f t="shared" ca="1" si="577"/>
        <v>0.15983070101666724</v>
      </c>
      <c r="HF166" s="676">
        <f t="shared" ca="1" si="577"/>
        <v>0.1602504906014863</v>
      </c>
      <c r="HG166" s="676">
        <f t="shared" ca="1" si="577"/>
        <v>0.1607430960376294</v>
      </c>
      <c r="HH166" s="676">
        <f t="shared" ca="1" si="577"/>
        <v>0.16132146995463609</v>
      </c>
      <c r="HI166" s="676">
        <f t="shared" ca="1" si="577"/>
        <v>0.16200098999116502</v>
      </c>
      <c r="HJ166" s="676">
        <f t="shared" ca="1" si="577"/>
        <v>0.16279995730155244</v>
      </c>
      <c r="HK166" s="676">
        <f t="shared" ca="1" si="577"/>
        <v>0.16374021384224477</v>
      </c>
      <c r="HL166" s="676">
        <f t="shared" ca="1" si="577"/>
        <v>0.16484791247713879</v>
      </c>
      <c r="HM166" s="676">
        <f t="shared" ca="1" si="577"/>
        <v>0.16615448566059468</v>
      </c>
      <c r="HN166" s="676">
        <f t="shared" ca="1" si="577"/>
        <v>0.16769787489362289</v>
      </c>
      <c r="HO166" s="676">
        <f t="shared" ca="1" si="577"/>
        <v>0.16952410647175237</v>
      </c>
      <c r="HP166" s="676">
        <f t="shared" ca="1" si="577"/>
        <v>0.1716893325498724</v>
      </c>
      <c r="HQ166" s="676">
        <f t="shared" ca="1" si="577"/>
        <v>0.17426250532721835</v>
      </c>
      <c r="HR166" s="676">
        <f t="shared" ca="1" si="577"/>
        <v>0.17732892417975674</v>
      </c>
      <c r="HS166" s="676">
        <f t="shared" ca="1" si="577"/>
        <v>0.18099500355745107</v>
      </c>
      <c r="HT166" s="676">
        <f t="shared" ca="1" si="577"/>
        <v>0.18539477409055116</v>
      </c>
      <c r="HU166" s="676">
        <f t="shared" ca="1" si="577"/>
        <v>0.19069888488923889</v>
      </c>
      <c r="HV166" s="676">
        <f t="shared" ca="1" si="577"/>
        <v>0.19712727958034457</v>
      </c>
      <c r="HW166" s="676">
        <f t="shared" ca="1" si="577"/>
        <v>0.20496737309471286</v>
      </c>
      <c r="HX166" s="676">
        <f t="shared" ca="1" si="567"/>
        <v>0.21460064044207416</v>
      </c>
      <c r="HY166" s="676">
        <f t="shared" ca="1" si="567"/>
        <v>0.2265423726560962</v>
      </c>
      <c r="HZ166" s="676">
        <f t="shared" ca="1" si="567"/>
        <v>0.24150258381119066</v>
      </c>
      <c r="IA166" s="676">
        <f t="shared" ca="1" si="567"/>
        <v>0.2604818933054695</v>
      </c>
      <c r="IB166" s="676">
        <f t="shared" ca="1" si="567"/>
        <v>0.2849271650052273</v>
      </c>
      <c r="IC166" s="676">
        <f t="shared" ca="1" si="567"/>
        <v>0.31699311144965231</v>
      </c>
      <c r="ID166" s="677">
        <f t="shared" ca="1" si="567"/>
        <v>0.36000000007183702</v>
      </c>
      <c r="IE166" s="250"/>
    </row>
    <row r="167" spans="8:239">
      <c r="H167" s="51">
        <f t="shared" ca="1" si="527"/>
        <v>0</v>
      </c>
      <c r="I167" s="379">
        <f t="shared" si="528"/>
        <v>41244</v>
      </c>
      <c r="J167" s="377"/>
      <c r="K167" s="104" t="s">
        <v>268</v>
      </c>
      <c r="L167" s="392">
        <f t="shared" si="529"/>
        <v>2.6625000000000036</v>
      </c>
      <c r="M167" s="171"/>
      <c r="N167" s="382">
        <v>0</v>
      </c>
      <c r="O167" s="171">
        <f t="shared" si="490"/>
        <v>0</v>
      </c>
      <c r="P167" s="377"/>
      <c r="Q167" s="104" t="s">
        <v>268</v>
      </c>
      <c r="R167" s="377">
        <f t="shared" ca="1" si="547"/>
        <v>1.4637293537354887</v>
      </c>
      <c r="S167" s="832">
        <f t="shared" si="564"/>
        <v>0.3600000000000001</v>
      </c>
      <c r="T167" s="831">
        <f t="shared" si="548"/>
        <v>0.99999999998879252</v>
      </c>
      <c r="U167" s="545">
        <f t="shared" si="549"/>
        <v>0.99999999999999978</v>
      </c>
      <c r="V167" s="389">
        <v>0</v>
      </c>
      <c r="W167" s="434">
        <f t="shared" si="491"/>
        <v>0</v>
      </c>
      <c r="X167" s="415">
        <f t="shared" si="492"/>
        <v>2.7112500000000042</v>
      </c>
      <c r="Y167" s="322">
        <f t="shared" si="493"/>
        <v>-1.1931</v>
      </c>
      <c r="Z167" s="322">
        <f t="shared" ca="1" si="494"/>
        <v>1.5181500000000041</v>
      </c>
      <c r="AA167" s="429">
        <f t="shared" si="495"/>
        <v>1.1931</v>
      </c>
      <c r="AB167" s="433">
        <f t="shared" ca="1" si="496"/>
        <v>1.1931</v>
      </c>
      <c r="AC167" s="229">
        <v>41233</v>
      </c>
      <c r="AD167" s="229">
        <v>41229</v>
      </c>
      <c r="AE167" s="229">
        <v>41228</v>
      </c>
      <c r="AF167" s="229">
        <v>41224</v>
      </c>
      <c r="AG167" s="249" t="s">
        <v>499</v>
      </c>
      <c r="AH167" s="247" t="s">
        <v>499</v>
      </c>
      <c r="AI167" s="146">
        <v>20</v>
      </c>
      <c r="AJ167" s="41">
        <v>14</v>
      </c>
      <c r="AK167" s="41">
        <v>6</v>
      </c>
      <c r="AL167" s="293">
        <v>20</v>
      </c>
      <c r="AM167" s="41">
        <v>10</v>
      </c>
      <c r="AN167" s="147">
        <v>10</v>
      </c>
      <c r="AO167" s="374"/>
      <c r="AP167" s="153">
        <f t="shared" ca="1" si="530"/>
        <v>1</v>
      </c>
      <c r="AQ167" s="374"/>
      <c r="AR167" s="153">
        <f t="shared" ca="1" si="550"/>
        <v>1</v>
      </c>
      <c r="AS167" s="272">
        <f t="shared" si="497"/>
        <v>0</v>
      </c>
      <c r="AT167" s="157">
        <f t="shared" si="531"/>
        <v>0</v>
      </c>
      <c r="AU167" s="157">
        <f t="shared" si="498"/>
        <v>0</v>
      </c>
      <c r="AV167" s="271">
        <f t="shared" ca="1" si="558"/>
        <v>9.9999999999999995E-7</v>
      </c>
      <c r="AW167" s="158" t="str">
        <f t="shared" ca="1" si="499"/>
        <v/>
      </c>
      <c r="AX167" s="157">
        <f t="shared" ca="1" si="551"/>
        <v>1.7834303314462197E-4</v>
      </c>
      <c r="AY167" s="157">
        <f t="shared" ca="1" si="552"/>
        <v>5.179822935181109E-5</v>
      </c>
      <c r="AZ167" s="157">
        <f t="shared" ca="1" si="553"/>
        <v>3.0005536574472317E-6</v>
      </c>
      <c r="BA167" s="157">
        <f t="shared" ca="1" si="554"/>
        <v>3.7506920718090397E-7</v>
      </c>
      <c r="BB167" s="157">
        <f t="shared" ca="1" si="555"/>
        <v>5.5742483373156814E-9</v>
      </c>
      <c r="BC167" s="157">
        <f t="shared" ca="1" si="556"/>
        <v>2.8135382035059991E-10</v>
      </c>
      <c r="BD167" s="151">
        <f t="shared" ca="1" si="500"/>
        <v>0</v>
      </c>
      <c r="BE167" s="152">
        <f t="shared" ca="1" si="501"/>
        <v>0</v>
      </c>
      <c r="BF167" s="40">
        <f t="shared" si="502"/>
        <v>2012</v>
      </c>
      <c r="BG167" s="144">
        <f t="shared" si="503"/>
        <v>12</v>
      </c>
      <c r="BH167" s="145">
        <f t="shared" ca="1" si="504"/>
        <v>4484</v>
      </c>
      <c r="BI167" s="313">
        <f t="shared" ca="1" si="568"/>
        <v>12.317590691307323</v>
      </c>
      <c r="BJ167" s="42">
        <f t="shared" ca="1" si="505"/>
        <v>12.375085557837098</v>
      </c>
      <c r="BK167" s="42">
        <f t="shared" ca="1" si="506"/>
        <v>12.377823408624231</v>
      </c>
      <c r="BL167" s="42">
        <f t="shared" ca="1" si="569"/>
        <v>12.399726214921287</v>
      </c>
      <c r="BM167" s="150" t="e">
        <f t="shared" ca="1" si="507"/>
        <v>#DIV/0!</v>
      </c>
      <c r="BN167" s="42" t="e">
        <f t="shared" ca="1" si="508"/>
        <v>#DIV/0!</v>
      </c>
      <c r="BO167" s="293">
        <f t="shared" si="570"/>
        <v>20</v>
      </c>
      <c r="BP167" s="41">
        <f t="shared" si="571"/>
        <v>14</v>
      </c>
      <c r="BQ167" s="41">
        <f t="shared" si="572"/>
        <v>6</v>
      </c>
      <c r="BR167" s="305" t="str">
        <f t="shared" ca="1" si="509"/>
        <v/>
      </c>
      <c r="BS167" s="305" t="str">
        <f t="shared" ca="1" si="573"/>
        <v/>
      </c>
      <c r="BT167" s="307" t="str">
        <f t="shared" ca="1" si="574"/>
        <v/>
      </c>
      <c r="BU167" s="161" t="str">
        <f t="shared" ca="1" si="510"/>
        <v/>
      </c>
      <c r="BV167" s="161" t="str">
        <f t="shared" ca="1" si="511"/>
        <v/>
      </c>
      <c r="BW167" s="308" t="str">
        <f t="shared" ca="1" si="512"/>
        <v/>
      </c>
      <c r="BX167" s="309" t="str">
        <f t="shared" ca="1" si="513"/>
        <v/>
      </c>
      <c r="BY167" s="308" t="str">
        <f t="shared" ca="1" si="575"/>
        <v/>
      </c>
      <c r="BZ167" s="309" t="str">
        <f t="shared" ca="1" si="576"/>
        <v/>
      </c>
      <c r="CA167" s="154" t="str">
        <f t="shared" ca="1" si="514"/>
        <v/>
      </c>
      <c r="CB167" s="154" t="str">
        <f t="shared" ca="1" si="515"/>
        <v/>
      </c>
      <c r="CC167" s="154" t="str">
        <f t="shared" ca="1" si="516"/>
        <v/>
      </c>
      <c r="CD167" s="154" t="str">
        <f t="shared" ca="1" si="517"/>
        <v/>
      </c>
      <c r="CE167" s="310">
        <v>1</v>
      </c>
      <c r="CF167" s="162">
        <f ca="1">IF(BD167,_xll.xCrudeAPO(BU167,BV167,CA167,CB167,S168,S169,BI167,BL167,BP167,BQ167,0,Strike1,AO167,CE167,0,BL167,IF(OptControl=4,0,1),0,1),0)</f>
        <v>0</v>
      </c>
      <c r="CG167" s="163">
        <f ca="1">IF(BD167,_xll.xCrudeAPO(BU167,BV167,CA167,CB167,S168,S169,BI167,BL167,BP167,BQ167,0,Strike1,AO167,CE167,0,BL167,IF(OptControl=4,0,1),1,1)+_xll.xCrudeAPO(BU167,BV167,CA167,CB167,S168,S169,BI167,BL167,BP167,BQ167,0,Strike1,AO167,CE167,0,BL167,IF(OptControl=4,0,1),1,2)+IF(OR(VolSkewFlag=2,ABS(BS167)&lt;0.0001),0,IF(BS167&gt;0,-1,1)*CH167*Strike1/BR167^2*BY167/10%),0)</f>
        <v>0</v>
      </c>
      <c r="CH167" s="163">
        <f ca="1">IF(BD167,(_xll.xCrudeAPO(BU167,BV167,CA167,CB167,S168,S169,BI167,BL167,BP167,BQ167,0,Strike1,AO167,CE167,0,BL167,IF(OptControl=4,0,1),3,1)+_xll.xCrudeAPO(BU167,BV167,CA167,CB167,S168,S169,BI167,BL167,BP167,BQ167,0,Strike1,AO167,CE167,0,BL167,IF(OptControl=4,0,1),3,2))/100,0)</f>
        <v>0</v>
      </c>
      <c r="CI167" s="163">
        <f ca="1">IF(BD167,_xll.xCrudeAPO(BU167,BV167,CA167,CB167,S168,S169,BI167-DaysForThetaCalculation/365.25,BL167-DaysForThetaCalculation/365.25,BP167,BQ167,0,Strike1,AO167,CE167,0,BL167,IF(OptControl=4,0,1),0,1)-_xll.xCrudeAPO(BU167,BV167,CA167,CB167,S168,S169,BI167,BL167,BP167,BQ167,0,Strike1,AO167,CE167,0,BL167,IF(OptControl=4,0,1),0,1),0)</f>
        <v>0</v>
      </c>
      <c r="CJ167" s="311">
        <f ca="1">IF(BD167,_xll.xCrudeAPO(BU167,BV167,CC167,CD167,S168,S169,BI167,BL167,BP167,BQ167,0,Strike2,AO167,CE167,0,BL167,IF(OptControl=3,1,0),0,1),0)</f>
        <v>0</v>
      </c>
      <c r="CK167" s="163">
        <f ca="1">IF(BD167,_xll.xCrudeAPO(BU167,BV167,CC167,CD167,S168,S169,BI167,BL167,BP167,BQ167,0,Strike2,AO167,CE167,0,BL167,IF(OptControl=3,1,0),1,1)+_xll.xCrudeAPO(BU167,BV167,CC167,CD167,S168,S169,BI167,BL167,BP167,BQ167,0,Strike2,AO167,CE167,0,BL167,IF(OptControl=3,1,0),1,2)+IF(OR(VolSkewFlag=2,ABS(BT167)&lt;0.0001),0,IF(BT167&gt;0,-1,1)*CL167*Strike2/BR167^2*BZ167/10%),0)</f>
        <v>0</v>
      </c>
      <c r="CL167" s="163">
        <f ca="1">IF(BD167,(_xll.xCrudeAPO(BU167,BV167,CC167,CD167,S168,S169,BI167,BL167,BP167,BQ167,0,Strike2,AO167,CE167,0,BL167,IF(OptControl=3,1,0),3,1)+_xll.xCrudeAPO(BU167,BV167,CC167,CD167,S168,S169,BI167,BL167,BP167,BQ167,0,Strike2,AO167,CE167,0,BL167,IF(OptControl=3,1,0),3,2))/100,0)</f>
        <v>0</v>
      </c>
      <c r="CM167" s="164">
        <f ca="1">IF(BD167,_xll.xCrudeAPO(BU167,BV167,CC167,CD167,S168,S169,BI167-DaysForThetaCalculation/365.25,BL167-DaysForThetaCalculation/365.25,BP167,BQ167,0,Strike2,AO167,CE167,0,BL167,IF(OptControl=3,1,0),0,1)-_xll.xCrudeAPO(BU167,BV167,CC167,CD167,S168,S169,BI167,BL167,BP167,BQ167,0,Strike2,AO167,CE167,0,BL167,IF(OptControl=3,1,0),0,1),0)</f>
        <v>0</v>
      </c>
      <c r="CN167" s="53"/>
      <c r="CO167" s="796" t="str">
        <f t="shared" ca="1" si="532"/>
        <v/>
      </c>
      <c r="CP167" s="800" t="str">
        <f t="shared" ca="1" si="533"/>
        <v/>
      </c>
      <c r="CQ167" s="797" t="str">
        <f t="shared" ca="1" si="534"/>
        <v/>
      </c>
      <c r="CR167" s="797" t="str">
        <f t="shared" ca="1" si="535"/>
        <v/>
      </c>
      <c r="CS167" s="797" t="str">
        <f t="shared" ca="1" si="536"/>
        <v/>
      </c>
      <c r="CT167" s="797" t="str">
        <f t="shared" ca="1" si="537"/>
        <v/>
      </c>
      <c r="CU167" s="798" t="str">
        <f t="shared" ca="1" si="538"/>
        <v/>
      </c>
      <c r="CV167" s="799" t="str">
        <f t="shared" ca="1" si="539"/>
        <v/>
      </c>
      <c r="CW167" s="799" t="str">
        <f t="shared" ca="1" si="540"/>
        <v/>
      </c>
      <c r="CX167" s="163">
        <f ca="1">IF(BD167,_xll.EURO(CP167,Strike1,AO167,AO167,CV167,CO167,IF(OptControl=4,0,1),0),0)</f>
        <v>0</v>
      </c>
      <c r="CY167" s="163">
        <f ca="1">IF(BD167,_xll.EURO(CP167,Strike1,AO167,AO167,CV167,CO167,IF(OptControl=4,0,1),1)+IF(OR(VolSkewFlag=2,ABS(CQ167)&lt;0.0001),0,IF(CQ167&gt;0,-1,1)*CZ167*100*Strike1/CP167^2*CS167/10%),0)</f>
        <v>0</v>
      </c>
      <c r="CZ167" s="163">
        <f ca="1">IF(BD167,_xll.EURO(CP167,Strike1,AO167,AO167,CV167,CO167,IF(OptControl=4,0,1),3)/100,0)</f>
        <v>0</v>
      </c>
      <c r="DA167" s="163">
        <f ca="1">IF(BD167,_xll.EURO(CP167,Strike1,AO167,AO167,CV167,CO167,IF(OptControl=4,0,1),0)-_xll.EURO(CP167,Strike1,AO167,AO167,CV167,CO167-1,IF(OptControl=4,0,1),0),0)</f>
        <v>0</v>
      </c>
      <c r="DB167" s="163">
        <f ca="1">IF(BD167,_xll.EURO(CP167,Strike2,AO167,AO167,CW167,CO167,IF(OptControl=3,1,0),0),0)</f>
        <v>0</v>
      </c>
      <c r="DC167" s="163">
        <f ca="1">IF(BD167,_xll.EURO(CP167,Strike2,AO167,AO167,CW167,CO167,IF(OptControl=3,1,0),1)+IF(OR(VolSkewFlag=2,ABS(CR167)&lt;0.0001),0,IF(CR167&gt;0,-1,1)*DD167*100*Strike2/CP167^2*CT167/10%),0)</f>
        <v>0</v>
      </c>
      <c r="DD167" s="163">
        <f ca="1">IF(BD167,_xll.EURO(CP167,Strike2,AO167,AO167,CW167,CO167,IF(OptControl=3,1,0),3)/100,0)</f>
        <v>0</v>
      </c>
      <c r="DE167" s="164">
        <f ca="1">IF(BD167,_xll.EURO(CP167,Strike2,AO167,AO167,CW167,CO167,IF(OptControl=3,1,0),0)-_xll.EURO(CP167,Strike2,AO167,AO167,CW167,CO167-1,IF(OptControl=3,1,0),0),0)</f>
        <v>0</v>
      </c>
      <c r="DG167" s="667">
        <f t="shared" ca="1" si="541"/>
        <v>41030</v>
      </c>
      <c r="DH167" s="475">
        <v>21.510000000000051</v>
      </c>
      <c r="DI167" s="665">
        <v>21.579565217391355</v>
      </c>
      <c r="DJ167" s="666">
        <f t="shared" ca="1" si="518"/>
        <v>41030</v>
      </c>
      <c r="DK167" s="475">
        <v>20.342681974459072</v>
      </c>
      <c r="DL167" s="665">
        <v>20.288065217391356</v>
      </c>
      <c r="DM167" s="667">
        <f t="shared" ca="1" si="519"/>
        <v>41030</v>
      </c>
      <c r="DN167" s="668">
        <f t="shared" si="520"/>
        <v>20.392681974459073</v>
      </c>
      <c r="DO167" s="667">
        <f t="shared" ca="1" si="542"/>
        <v>41030</v>
      </c>
      <c r="DP167" s="579">
        <f t="shared" si="543"/>
        <v>20.288065217391356</v>
      </c>
      <c r="DQ167" s="821">
        <v>0</v>
      </c>
      <c r="DR167" s="666">
        <f t="shared" ca="1" si="521"/>
        <v>41030</v>
      </c>
      <c r="DS167" s="669">
        <v>0.13639999999999905</v>
      </c>
      <c r="DT167" s="606">
        <v>0.13556521739130339</v>
      </c>
      <c r="DU167" s="666">
        <f t="shared" ca="1" si="522"/>
        <v>41030</v>
      </c>
      <c r="DV167" s="669">
        <v>0.13639999999999905</v>
      </c>
      <c r="DW167" s="606">
        <v>0.13556521739130339</v>
      </c>
      <c r="DX167" s="667">
        <f t="shared" ca="1" si="523"/>
        <v>41030</v>
      </c>
      <c r="DY167" s="606">
        <v>0.35</v>
      </c>
      <c r="DZ167" s="667">
        <f t="shared" ca="1" si="544"/>
        <v>41030</v>
      </c>
      <c r="EA167" s="606">
        <f t="shared" si="545"/>
        <v>0.13556521739130339</v>
      </c>
      <c r="EB167" s="1"/>
      <c r="EC167" s="118" t="str">
        <f t="shared" ca="1" si="524"/>
        <v/>
      </c>
      <c r="ED167" s="119" t="str">
        <f t="shared" ca="1" si="525"/>
        <v/>
      </c>
      <c r="EE167" s="112" t="str">
        <f t="shared" ca="1" si="526"/>
        <v/>
      </c>
      <c r="EF167" s="120">
        <f ca="1">IF(BD167,_xll.xASN(BR167,Strike1,AO167,ED167,0,BO167,0,BI167,BL167,IF(OptControl=4,0,1),0),0)</f>
        <v>0</v>
      </c>
      <c r="EG167" s="111">
        <f ca="1">IF(BD167,_xll.xASN(BR167,Strike2,AO167,EE167,0,BO167,0,BI167,BL167,IF(OptControl=3,1,0),0),0)</f>
        <v>0</v>
      </c>
      <c r="EL167" s="55"/>
      <c r="EM167" s="1"/>
      <c r="EN167" s="106"/>
      <c r="EO167" s="106"/>
      <c r="EP167" s="1"/>
      <c r="EQ167" s="683" t="s">
        <v>380</v>
      </c>
      <c r="ES167" s="455"/>
      <c r="ET167" s="36"/>
      <c r="EU167" s="107"/>
      <c r="EV167" s="475"/>
      <c r="EW167" s="456"/>
      <c r="EX167" s="456"/>
      <c r="EY167" s="250"/>
      <c r="EZ167" s="250"/>
      <c r="FA167" s="250"/>
      <c r="FB167" s="250"/>
      <c r="FC167" s="250"/>
      <c r="FD167" s="250"/>
      <c r="FE167" s="250"/>
      <c r="FF167" s="250"/>
      <c r="FG167" s="250"/>
      <c r="FH167" s="250"/>
      <c r="FI167" s="250"/>
      <c r="FJ167" s="250"/>
      <c r="FK167" s="250"/>
      <c r="FL167" s="250"/>
      <c r="FM167" s="250"/>
      <c r="FN167" s="250"/>
      <c r="FO167" s="250"/>
      <c r="FP167" s="250"/>
      <c r="FQ167" s="250"/>
      <c r="FR167" s="250"/>
      <c r="FS167" s="250"/>
      <c r="FT167" s="250"/>
      <c r="FU167" s="250"/>
      <c r="FV167" s="250"/>
      <c r="FW167" s="250"/>
      <c r="FX167" s="250"/>
      <c r="FY167" s="250"/>
      <c r="FZ167" s="250"/>
      <c r="GA167" s="250"/>
      <c r="GB167" s="250"/>
      <c r="GC167" s="250"/>
      <c r="GD167" s="250"/>
      <c r="GE167" s="250"/>
      <c r="GF167" s="250"/>
      <c r="GG167" s="250"/>
      <c r="GH167" s="250"/>
      <c r="GI167" s="250"/>
      <c r="GJ167" s="250"/>
      <c r="GK167" s="250"/>
      <c r="GL167" s="250"/>
      <c r="GM167" s="250"/>
      <c r="GN167" s="250"/>
      <c r="GO167" s="250"/>
      <c r="GP167" s="250"/>
      <c r="GQ167" s="250"/>
      <c r="GR167" s="250"/>
      <c r="GS167" s="250"/>
      <c r="GT167" s="250"/>
      <c r="GU167" s="250"/>
      <c r="GV167" s="250"/>
      <c r="GW167" s="250"/>
      <c r="GX167" s="250"/>
      <c r="GY167" s="250"/>
      <c r="GZ167" s="250"/>
      <c r="HA167" s="250"/>
      <c r="HB167" s="250"/>
      <c r="HC167" s="250"/>
      <c r="HD167" s="250"/>
      <c r="HE167" s="250"/>
      <c r="HF167" s="250"/>
      <c r="HG167" s="250"/>
      <c r="HH167" s="250"/>
      <c r="HI167" s="250"/>
      <c r="HJ167" s="250"/>
      <c r="HK167" s="250"/>
      <c r="HL167" s="250"/>
      <c r="HM167" s="250"/>
      <c r="HN167" s="250"/>
      <c r="HO167" s="250"/>
      <c r="HP167" s="250"/>
      <c r="HQ167" s="250"/>
      <c r="HR167" s="250"/>
      <c r="HS167" s="250"/>
      <c r="HT167" s="250"/>
      <c r="HU167" s="250"/>
      <c r="HV167" s="250"/>
      <c r="HW167" s="250"/>
      <c r="HX167" s="250"/>
      <c r="HY167" s="250"/>
      <c r="HZ167" s="250"/>
      <c r="IA167" s="250"/>
      <c r="IB167" s="250"/>
      <c r="IC167" s="250"/>
      <c r="ID167" s="250"/>
      <c r="IE167" s="250"/>
    </row>
    <row r="168" spans="8:239">
      <c r="H168" s="51">
        <f t="shared" ca="1" si="527"/>
        <v>0</v>
      </c>
      <c r="I168" s="379">
        <f t="shared" si="528"/>
        <v>41275</v>
      </c>
      <c r="J168" s="377"/>
      <c r="K168" s="104" t="s">
        <v>268</v>
      </c>
      <c r="L168" s="392">
        <f t="shared" si="529"/>
        <v>2.7000000000000037</v>
      </c>
      <c r="M168" s="171"/>
      <c r="N168" s="382">
        <v>0</v>
      </c>
      <c r="O168" s="171">
        <f t="shared" si="490"/>
        <v>0</v>
      </c>
      <c r="P168" s="377"/>
      <c r="Q168" s="104" t="s">
        <v>268</v>
      </c>
      <c r="R168" s="377">
        <f t="shared" ca="1" si="547"/>
        <v>1.4991255385537663</v>
      </c>
      <c r="S168" s="832">
        <f t="shared" si="564"/>
        <v>0.3600000000000001</v>
      </c>
      <c r="T168" s="831">
        <f t="shared" si="548"/>
        <v>0.99999999999041767</v>
      </c>
      <c r="U168" s="545">
        <f t="shared" si="549"/>
        <v>0.99999999999999978</v>
      </c>
      <c r="V168" s="389">
        <v>0</v>
      </c>
      <c r="W168" s="434">
        <f t="shared" si="491"/>
        <v>0</v>
      </c>
      <c r="X168" s="415">
        <f t="shared" si="492"/>
        <v>2.7528409090909132</v>
      </c>
      <c r="Y168" s="322">
        <f t="shared" si="493"/>
        <v>-1.1684999999999999</v>
      </c>
      <c r="Z168" s="322">
        <f t="shared" ca="1" si="494"/>
        <v>1.5843409090909133</v>
      </c>
      <c r="AA168" s="429">
        <f t="shared" si="495"/>
        <v>1.1684999999999999</v>
      </c>
      <c r="AB168" s="433">
        <f t="shared" ca="1" si="496"/>
        <v>1.1684999999999999</v>
      </c>
      <c r="AC168" s="229">
        <v>41263</v>
      </c>
      <c r="AD168" s="229">
        <v>41259</v>
      </c>
      <c r="AE168" s="229">
        <v>41258</v>
      </c>
      <c r="AF168" s="229">
        <v>41254</v>
      </c>
      <c r="AG168" s="249" t="s">
        <v>499</v>
      </c>
      <c r="AH168" s="247" t="s">
        <v>499</v>
      </c>
      <c r="AI168" s="146">
        <v>22</v>
      </c>
      <c r="AJ168" s="41">
        <v>13</v>
      </c>
      <c r="AK168" s="41">
        <v>9</v>
      </c>
      <c r="AL168" s="293">
        <v>22</v>
      </c>
      <c r="AM168" s="41">
        <v>9</v>
      </c>
      <c r="AN168" s="147">
        <v>13</v>
      </c>
      <c r="AO168" s="374"/>
      <c r="AP168" s="153">
        <f t="shared" ca="1" si="530"/>
        <v>1</v>
      </c>
      <c r="AQ168" s="374"/>
      <c r="AR168" s="153">
        <f t="shared" ca="1" si="550"/>
        <v>1</v>
      </c>
      <c r="AS168" s="272">
        <f t="shared" si="497"/>
        <v>0</v>
      </c>
      <c r="AT168" s="157">
        <f t="shared" si="531"/>
        <v>0</v>
      </c>
      <c r="AU168" s="157">
        <f t="shared" si="498"/>
        <v>0</v>
      </c>
      <c r="AV168" s="271">
        <f t="shared" ca="1" si="558"/>
        <v>9.9999999999999995E-7</v>
      </c>
      <c r="AW168" s="158" t="str">
        <f t="shared" ca="1" si="499"/>
        <v/>
      </c>
      <c r="AX168" s="157">
        <f t="shared" ca="1" si="551"/>
        <v>1.7241771172989736E-4</v>
      </c>
      <c r="AY168" s="157">
        <f t="shared" ca="1" si="552"/>
        <v>4.9744354592357454E-5</v>
      </c>
      <c r="AZ168" s="157">
        <f t="shared" ca="1" si="553"/>
        <v>2.832145521087547E-6</v>
      </c>
      <c r="BA168" s="157">
        <f t="shared" ca="1" si="554"/>
        <v>3.5401819013594338E-7</v>
      </c>
      <c r="BB168" s="157">
        <f t="shared" ca="1" si="555"/>
        <v>5.0865838544997037E-9</v>
      </c>
      <c r="BC168" s="157">
        <f t="shared" ca="1" si="556"/>
        <v>2.5065775789423648E-10</v>
      </c>
      <c r="BD168" s="151">
        <f t="shared" ca="1" si="500"/>
        <v>0</v>
      </c>
      <c r="BE168" s="152">
        <f t="shared" ca="1" si="501"/>
        <v>0</v>
      </c>
      <c r="BF168" s="40">
        <f t="shared" si="502"/>
        <v>2013</v>
      </c>
      <c r="BG168" s="144">
        <f t="shared" si="503"/>
        <v>1</v>
      </c>
      <c r="BH168" s="145">
        <f t="shared" ca="1" si="504"/>
        <v>4514</v>
      </c>
      <c r="BI168" s="313">
        <f t="shared" ca="1" si="568"/>
        <v>12.402464065708418</v>
      </c>
      <c r="BJ168" s="42">
        <f t="shared" ca="1" si="505"/>
        <v>12.450998693298487</v>
      </c>
      <c r="BK168" s="42">
        <f t="shared" ca="1" si="506"/>
        <v>12.45373654408562</v>
      </c>
      <c r="BL168" s="42">
        <f t="shared" ca="1" si="569"/>
        <v>12.484599589322382</v>
      </c>
      <c r="BM168" s="150" t="e">
        <f t="shared" ca="1" si="507"/>
        <v>#DIV/0!</v>
      </c>
      <c r="BN168" s="42" t="e">
        <f t="shared" ca="1" si="508"/>
        <v>#DIV/0!</v>
      </c>
      <c r="BO168" s="293">
        <f t="shared" si="570"/>
        <v>22</v>
      </c>
      <c r="BP168" s="41">
        <f t="shared" si="571"/>
        <v>13</v>
      </c>
      <c r="BQ168" s="41">
        <f t="shared" si="572"/>
        <v>9</v>
      </c>
      <c r="BR168" s="305" t="str">
        <f t="shared" ca="1" si="509"/>
        <v/>
      </c>
      <c r="BS168" s="305" t="str">
        <f t="shared" ca="1" si="573"/>
        <v/>
      </c>
      <c r="BT168" s="307" t="str">
        <f t="shared" ca="1" si="574"/>
        <v/>
      </c>
      <c r="BU168" s="161" t="str">
        <f t="shared" ca="1" si="510"/>
        <v/>
      </c>
      <c r="BV168" s="161" t="str">
        <f t="shared" ca="1" si="511"/>
        <v/>
      </c>
      <c r="BW168" s="308" t="str">
        <f t="shared" ca="1" si="512"/>
        <v/>
      </c>
      <c r="BX168" s="309" t="str">
        <f t="shared" ca="1" si="513"/>
        <v/>
      </c>
      <c r="BY168" s="308" t="str">
        <f t="shared" ca="1" si="575"/>
        <v/>
      </c>
      <c r="BZ168" s="309" t="str">
        <f t="shared" ca="1" si="576"/>
        <v/>
      </c>
      <c r="CA168" s="154" t="str">
        <f t="shared" ca="1" si="514"/>
        <v/>
      </c>
      <c r="CB168" s="154" t="str">
        <f t="shared" ca="1" si="515"/>
        <v/>
      </c>
      <c r="CC168" s="154" t="str">
        <f t="shared" ca="1" si="516"/>
        <v/>
      </c>
      <c r="CD168" s="154" t="str">
        <f t="shared" ca="1" si="517"/>
        <v/>
      </c>
      <c r="CE168" s="310">
        <v>1</v>
      </c>
      <c r="CF168" s="162">
        <f ca="1">IF(BD168,_xll.xCrudeAPO(BU168,BV168,CA168,CB168,S169,S170,BI168,BL168,BP168,BQ168,0,Strike1,AO168,CE168,0,BL168,IF(OptControl=4,0,1),0,1),0)</f>
        <v>0</v>
      </c>
      <c r="CG168" s="163">
        <f ca="1">IF(BD168,_xll.xCrudeAPO(BU168,BV168,CA168,CB168,S169,S170,BI168,BL168,BP168,BQ168,0,Strike1,AO168,CE168,0,BL168,IF(OptControl=4,0,1),1,1)+_xll.xCrudeAPO(BU168,BV168,CA168,CB168,S169,S170,BI168,BL168,BP168,BQ168,0,Strike1,AO168,CE168,0,BL168,IF(OptControl=4,0,1),1,2)+IF(OR(VolSkewFlag=2,ABS(BS168)&lt;0.0001),0,IF(BS168&gt;0,-1,1)*CH168*Strike1/BR168^2*BY168/10%),0)</f>
        <v>0</v>
      </c>
      <c r="CH168" s="163">
        <f ca="1">IF(BD168,(_xll.xCrudeAPO(BU168,BV168,CA168,CB168,S169,S170,BI168,BL168,BP168,BQ168,0,Strike1,AO168,CE168,0,BL168,IF(OptControl=4,0,1),3,1)+_xll.xCrudeAPO(BU168,BV168,CA168,CB168,S169,S170,BI168,BL168,BP168,BQ168,0,Strike1,AO168,CE168,0,BL168,IF(OptControl=4,0,1),3,2))/100,0)</f>
        <v>0</v>
      </c>
      <c r="CI168" s="163">
        <f ca="1">IF(BD168,_xll.xCrudeAPO(BU168,BV168,CA168,CB168,S169,S170,BI168-DaysForThetaCalculation/365.25,BL168-DaysForThetaCalculation/365.25,BP168,BQ168,0,Strike1,AO168,CE168,0,BL168,IF(OptControl=4,0,1),0,1)-_xll.xCrudeAPO(BU168,BV168,CA168,CB168,S169,S170,BI168,BL168,BP168,BQ168,0,Strike1,AO168,CE168,0,BL168,IF(OptControl=4,0,1),0,1),0)</f>
        <v>0</v>
      </c>
      <c r="CJ168" s="311">
        <f ca="1">IF(BD168,_xll.xCrudeAPO(BU168,BV168,CC168,CD168,S169,S170,BI168,BL168,BP168,BQ168,0,Strike2,AO168,CE168,0,BL168,IF(OptControl=3,1,0),0,1),0)</f>
        <v>0</v>
      </c>
      <c r="CK168" s="163">
        <f ca="1">IF(BD168,_xll.xCrudeAPO(BU168,BV168,CC168,CD168,S169,S170,BI168,BL168,BP168,BQ168,0,Strike2,AO168,CE168,0,BL168,IF(OptControl=3,1,0),1,1)+_xll.xCrudeAPO(BU168,BV168,CC168,CD168,S169,S170,BI168,BL168,BP168,BQ168,0,Strike2,AO168,CE168,0,BL168,IF(OptControl=3,1,0),1,2)+IF(OR(VolSkewFlag=2,ABS(BT168)&lt;0.0001),0,IF(BT168&gt;0,-1,1)*CL168*Strike2/BR168^2*BZ168/10%),0)</f>
        <v>0</v>
      </c>
      <c r="CL168" s="163">
        <f ca="1">IF(BD168,(_xll.xCrudeAPO(BU168,BV168,CC168,CD168,S169,S170,BI168,BL168,BP168,BQ168,0,Strike2,AO168,CE168,0,BL168,IF(OptControl=3,1,0),3,1)+_xll.xCrudeAPO(BU168,BV168,CC168,CD168,S169,S170,BI168,BL168,BP168,BQ168,0,Strike2,AO168,CE168,0,BL168,IF(OptControl=3,1,0),3,2))/100,0)</f>
        <v>0</v>
      </c>
      <c r="CM168" s="164">
        <f ca="1">IF(BD168,_xll.xCrudeAPO(BU168,BV168,CC168,CD168,S169,S170,BI168-DaysForThetaCalculation/365.25,BL168-DaysForThetaCalculation/365.25,BP168,BQ168,0,Strike2,AO168,CE168,0,BL168,IF(OptControl=3,1,0),0,1)-_xll.xCrudeAPO(BU168,BV168,CC168,CD168,S169,S170,BI168,BL168,BP168,BQ168,0,Strike2,AO168,CE168,0,BL168,IF(OptControl=3,1,0),0,1),0)</f>
        <v>0</v>
      </c>
      <c r="CN168" s="53"/>
      <c r="CO168" s="796" t="str">
        <f t="shared" ca="1" si="532"/>
        <v/>
      </c>
      <c r="CP168" s="800" t="str">
        <f t="shared" ca="1" si="533"/>
        <v/>
      </c>
      <c r="CQ168" s="797" t="str">
        <f t="shared" ca="1" si="534"/>
        <v/>
      </c>
      <c r="CR168" s="797" t="str">
        <f t="shared" ca="1" si="535"/>
        <v/>
      </c>
      <c r="CS168" s="797" t="str">
        <f t="shared" ca="1" si="536"/>
        <v/>
      </c>
      <c r="CT168" s="797" t="str">
        <f t="shared" ca="1" si="537"/>
        <v/>
      </c>
      <c r="CU168" s="798" t="str">
        <f t="shared" ca="1" si="538"/>
        <v/>
      </c>
      <c r="CV168" s="799" t="str">
        <f t="shared" ca="1" si="539"/>
        <v/>
      </c>
      <c r="CW168" s="799" t="str">
        <f t="shared" ca="1" si="540"/>
        <v/>
      </c>
      <c r="CX168" s="163">
        <f ca="1">IF(BD168,_xll.EURO(CP168,Strike1,AO168,AO168,CV168,CO168,IF(OptControl=4,0,1),0),0)</f>
        <v>0</v>
      </c>
      <c r="CY168" s="163">
        <f ca="1">IF(BD168,_xll.EURO(CP168,Strike1,AO168,AO168,CV168,CO168,IF(OptControl=4,0,1),1)+IF(OR(VolSkewFlag=2,ABS(CQ168)&lt;0.0001),0,IF(CQ168&gt;0,-1,1)*CZ168*100*Strike1/CP168^2*CS168/10%),0)</f>
        <v>0</v>
      </c>
      <c r="CZ168" s="163">
        <f ca="1">IF(BD168,_xll.EURO(CP168,Strike1,AO168,AO168,CV168,CO168,IF(OptControl=4,0,1),3)/100,0)</f>
        <v>0</v>
      </c>
      <c r="DA168" s="163">
        <f ca="1">IF(BD168,_xll.EURO(CP168,Strike1,AO168,AO168,CV168,CO168,IF(OptControl=4,0,1),0)-_xll.EURO(CP168,Strike1,AO168,AO168,CV168,CO168-1,IF(OptControl=4,0,1),0),0)</f>
        <v>0</v>
      </c>
      <c r="DB168" s="163">
        <f ca="1">IF(BD168,_xll.EURO(CP168,Strike2,AO168,AO168,CW168,CO168,IF(OptControl=3,1,0),0),0)</f>
        <v>0</v>
      </c>
      <c r="DC168" s="163">
        <f ca="1">IF(BD168,_xll.EURO(CP168,Strike2,AO168,AO168,CW168,CO168,IF(OptControl=3,1,0),1)+IF(OR(VolSkewFlag=2,ABS(CR168)&lt;0.0001),0,IF(CR168&gt;0,-1,1)*DD168*100*Strike2/CP168^2*CT168/10%),0)</f>
        <v>0</v>
      </c>
      <c r="DD168" s="163">
        <f ca="1">IF(BD168,_xll.EURO(CP168,Strike2,AO168,AO168,CW168,CO168,IF(OptControl=3,1,0),3)/100,0)</f>
        <v>0</v>
      </c>
      <c r="DE168" s="164">
        <f ca="1">IF(BD168,_xll.EURO(CP168,Strike2,AO168,AO168,CW168,CO168,IF(OptControl=3,1,0),0)-_xll.EURO(CP168,Strike2,AO168,AO168,CW168,CO168-1,IF(OptControl=3,1,0),0),0)</f>
        <v>0</v>
      </c>
      <c r="DG168" s="667">
        <f t="shared" ca="1" si="541"/>
        <v>41061</v>
      </c>
      <c r="DH168" s="475">
        <v>21.560000000000052</v>
      </c>
      <c r="DI168" s="665">
        <v>21.626666666666718</v>
      </c>
      <c r="DJ168" s="666">
        <f t="shared" ca="1" si="518"/>
        <v>41061</v>
      </c>
      <c r="DK168" s="475">
        <v>20.132880023219119</v>
      </c>
      <c r="DL168" s="665">
        <v>20.335166666666719</v>
      </c>
      <c r="DM168" s="667">
        <f t="shared" ca="1" si="519"/>
        <v>41061</v>
      </c>
      <c r="DN168" s="668">
        <f t="shared" si="520"/>
        <v>20.18288002321912</v>
      </c>
      <c r="DO168" s="667">
        <f t="shared" ca="1" si="542"/>
        <v>41061</v>
      </c>
      <c r="DP168" s="579">
        <f t="shared" si="543"/>
        <v>20.335166666666719</v>
      </c>
      <c r="DQ168" s="821">
        <v>0</v>
      </c>
      <c r="DR168" s="666">
        <f t="shared" ca="1" si="521"/>
        <v>41061</v>
      </c>
      <c r="DS168" s="669">
        <v>0.13579999999999903</v>
      </c>
      <c r="DT168" s="606">
        <v>0.13499999999999907</v>
      </c>
      <c r="DU168" s="666">
        <f t="shared" ca="1" si="522"/>
        <v>41061</v>
      </c>
      <c r="DV168" s="669">
        <v>0.13579999999999903</v>
      </c>
      <c r="DW168" s="606">
        <v>0.13499999999999907</v>
      </c>
      <c r="DX168" s="667">
        <f t="shared" ca="1" si="523"/>
        <v>41061</v>
      </c>
      <c r="DY168" s="606">
        <v>0.35</v>
      </c>
      <c r="DZ168" s="667">
        <f t="shared" ca="1" si="544"/>
        <v>41061</v>
      </c>
      <c r="EA168" s="606">
        <f t="shared" si="545"/>
        <v>0.13499999999999907</v>
      </c>
      <c r="EB168" s="1"/>
      <c r="EC168" s="118" t="str">
        <f t="shared" ca="1" si="524"/>
        <v/>
      </c>
      <c r="ED168" s="119" t="str">
        <f t="shared" ca="1" si="525"/>
        <v/>
      </c>
      <c r="EE168" s="112" t="str">
        <f t="shared" ca="1" si="526"/>
        <v/>
      </c>
      <c r="EF168" s="120">
        <f ca="1">IF(BD168,_xll.xASN(BR168,Strike1,AO168,ED168,0,BO168,0,BI168,BL168,IF(OptControl=4,0,1),0),0)</f>
        <v>0</v>
      </c>
      <c r="EG168" s="111">
        <f ca="1">IF(BD168,_xll.xASN(BR168,Strike2,AO168,EE168,0,BO168,0,BI168,BL168,IF(OptControl=3,1,0),0),0)</f>
        <v>0</v>
      </c>
      <c r="EL168" s="55"/>
      <c r="EM168" s="1"/>
      <c r="EN168" s="106"/>
      <c r="EO168" s="106"/>
      <c r="EP168" s="1"/>
      <c r="EQ168" s="683" t="s">
        <v>381</v>
      </c>
      <c r="ES168" s="455"/>
      <c r="ET168" s="36"/>
      <c r="EU168" s="107"/>
      <c r="EV168" s="475"/>
      <c r="EW168" s="456"/>
      <c r="EX168" s="456"/>
      <c r="EY168" s="250"/>
      <c r="EZ168" s="250"/>
      <c r="FA168" s="250"/>
      <c r="FB168" s="250"/>
      <c r="FC168" s="250"/>
      <c r="FD168" s="250"/>
      <c r="FE168" s="250"/>
      <c r="FF168" s="250"/>
      <c r="FG168" s="250"/>
      <c r="FH168" s="250"/>
      <c r="FI168" s="250"/>
      <c r="FJ168" s="467" t="s">
        <v>238</v>
      </c>
      <c r="FK168" s="250"/>
      <c r="FL168" s="250"/>
      <c r="FM168" s="250"/>
      <c r="FN168" s="250"/>
      <c r="FO168" s="250"/>
      <c r="FP168" s="250"/>
      <c r="FQ168" s="250"/>
      <c r="FR168" s="250"/>
      <c r="FS168" s="250"/>
      <c r="FT168" s="250"/>
      <c r="FU168" s="250"/>
      <c r="FV168" s="250"/>
      <c r="FW168" s="250"/>
      <c r="FX168" s="250"/>
      <c r="FY168" s="250"/>
      <c r="FZ168" s="250"/>
      <c r="GA168" s="250"/>
      <c r="GB168" s="250"/>
      <c r="GC168" s="250"/>
      <c r="GD168" s="250"/>
      <c r="GE168" s="250"/>
      <c r="GF168" s="250"/>
      <c r="GG168" s="250"/>
      <c r="GH168" s="250"/>
      <c r="GI168" s="250"/>
      <c r="GJ168" s="250"/>
      <c r="GK168" s="250"/>
      <c r="GL168" s="250"/>
      <c r="GM168" s="250"/>
      <c r="GN168" s="250"/>
      <c r="GO168" s="250"/>
      <c r="GP168" s="250"/>
      <c r="GQ168" s="250"/>
      <c r="GR168" s="250"/>
      <c r="GS168" s="250"/>
      <c r="GT168" s="250"/>
      <c r="GU168" s="250"/>
      <c r="GV168" s="250"/>
      <c r="GW168" s="250"/>
      <c r="GX168" s="250"/>
      <c r="GY168" s="250"/>
      <c r="GZ168" s="250"/>
      <c r="HA168" s="250"/>
      <c r="HB168" s="250"/>
      <c r="HC168" s="250"/>
      <c r="HD168" s="250"/>
      <c r="HE168" s="250"/>
      <c r="HF168" s="250"/>
      <c r="HG168" s="250"/>
      <c r="HH168" s="250"/>
      <c r="HI168" s="250"/>
      <c r="HJ168" s="250"/>
      <c r="HK168" s="250"/>
      <c r="HL168" s="250"/>
      <c r="HM168" s="250"/>
      <c r="HN168" s="250"/>
      <c r="HO168" s="250"/>
      <c r="HP168" s="250"/>
      <c r="HQ168" s="250"/>
      <c r="HR168" s="250"/>
      <c r="HS168" s="250"/>
      <c r="HT168" s="250"/>
      <c r="HU168" s="250"/>
      <c r="HV168" s="250"/>
      <c r="HW168" s="250"/>
      <c r="HX168" s="250"/>
      <c r="HY168" s="250"/>
      <c r="HZ168" s="250"/>
      <c r="IA168" s="250"/>
      <c r="IB168" s="250"/>
      <c r="IC168" s="250"/>
      <c r="ID168" s="250"/>
      <c r="IE168" s="250"/>
    </row>
    <row r="169" spans="8:239">
      <c r="H169" s="51">
        <f t="shared" ca="1" si="527"/>
        <v>0</v>
      </c>
      <c r="I169" s="379">
        <f t="shared" si="528"/>
        <v>41306</v>
      </c>
      <c r="J169" s="377"/>
      <c r="K169" s="104" t="s">
        <v>268</v>
      </c>
      <c r="L169" s="392">
        <f t="shared" si="529"/>
        <v>2.7375000000000038</v>
      </c>
      <c r="M169" s="171"/>
      <c r="N169" s="382">
        <v>0</v>
      </c>
      <c r="O169" s="171">
        <f t="shared" si="490"/>
        <v>0</v>
      </c>
      <c r="P169" s="377"/>
      <c r="Q169" s="104" t="s">
        <v>268</v>
      </c>
      <c r="R169" s="377">
        <f t="shared" ca="1" si="547"/>
        <v>1.5371744614462419</v>
      </c>
      <c r="S169" s="832">
        <f t="shared" si="564"/>
        <v>0.3600000000000001</v>
      </c>
      <c r="T169" s="831">
        <f t="shared" si="548"/>
        <v>0.99999999999180711</v>
      </c>
      <c r="U169" s="545">
        <f t="shared" si="549"/>
        <v>0.99999999999999978</v>
      </c>
      <c r="V169" s="389">
        <v>0</v>
      </c>
      <c r="W169" s="434">
        <f t="shared" si="491"/>
        <v>0</v>
      </c>
      <c r="X169" s="415">
        <f t="shared" si="492"/>
        <v>2.7862500000000039</v>
      </c>
      <c r="Y169" s="322">
        <f t="shared" si="493"/>
        <v>-1.1684999999999999</v>
      </c>
      <c r="Z169" s="322">
        <f t="shared" ca="1" si="494"/>
        <v>1.617750000000004</v>
      </c>
      <c r="AA169" s="429">
        <f t="shared" si="495"/>
        <v>1.1684999999999999</v>
      </c>
      <c r="AB169" s="433">
        <f t="shared" ca="1" si="496"/>
        <v>1.1684999999999999</v>
      </c>
      <c r="AC169" s="229">
        <v>41294</v>
      </c>
      <c r="AD169" s="229">
        <v>41290</v>
      </c>
      <c r="AE169" s="229">
        <v>41289</v>
      </c>
      <c r="AF169" s="229">
        <v>41285</v>
      </c>
      <c r="AG169" s="249" t="s">
        <v>499</v>
      </c>
      <c r="AH169" s="247" t="s">
        <v>499</v>
      </c>
      <c r="AI169" s="146">
        <v>20</v>
      </c>
      <c r="AJ169" s="41">
        <v>14</v>
      </c>
      <c r="AK169" s="41">
        <v>6</v>
      </c>
      <c r="AL169" s="293">
        <v>20</v>
      </c>
      <c r="AM169" s="41">
        <v>10</v>
      </c>
      <c r="AN169" s="147">
        <v>10</v>
      </c>
      <c r="AO169" s="374"/>
      <c r="AP169" s="153">
        <f t="shared" ca="1" si="530"/>
        <v>1</v>
      </c>
      <c r="AQ169" s="374"/>
      <c r="AR169" s="153">
        <f t="shared" ca="1" si="550"/>
        <v>1</v>
      </c>
      <c r="AS169" s="272">
        <f t="shared" si="497"/>
        <v>0</v>
      </c>
      <c r="AT169" s="157">
        <f t="shared" si="531"/>
        <v>0</v>
      </c>
      <c r="AU169" s="157">
        <f t="shared" si="498"/>
        <v>0</v>
      </c>
      <c r="AV169" s="271">
        <f t="shared" ca="1" si="558"/>
        <v>9.9999999999999995E-7</v>
      </c>
      <c r="AW169" s="158" t="str">
        <f t="shared" ca="1" si="499"/>
        <v/>
      </c>
      <c r="AX169" s="157">
        <f t="shared" ca="1" si="551"/>
        <v>1.6668925493751728E-4</v>
      </c>
      <c r="AY169" s="157">
        <f t="shared" ca="1" si="552"/>
        <v>4.7771918939612847E-5</v>
      </c>
      <c r="AZ169" s="157">
        <f t="shared" ca="1" si="553"/>
        <v>2.6731894071310448E-6</v>
      </c>
      <c r="BA169" s="157">
        <f t="shared" ca="1" si="554"/>
        <v>3.341486758913806E-7</v>
      </c>
      <c r="BB169" s="157">
        <f t="shared" ca="1" si="555"/>
        <v>4.6415828185574799E-9</v>
      </c>
      <c r="BC169" s="157">
        <f t="shared" ca="1" si="556"/>
        <v>2.2331067519990653E-10</v>
      </c>
      <c r="BD169" s="151">
        <f t="shared" ca="1" si="500"/>
        <v>0</v>
      </c>
      <c r="BE169" s="152">
        <f t="shared" ca="1" si="501"/>
        <v>0</v>
      </c>
      <c r="BF169" s="40">
        <f t="shared" si="502"/>
        <v>2013</v>
      </c>
      <c r="BG169" s="144">
        <f t="shared" si="503"/>
        <v>2</v>
      </c>
      <c r="BH169" s="145">
        <f t="shared" ca="1" si="504"/>
        <v>4545</v>
      </c>
      <c r="BI169" s="313">
        <f t="shared" ca="1" si="568"/>
        <v>12.487337440109513</v>
      </c>
      <c r="BJ169" s="42">
        <f t="shared" ca="1" si="505"/>
        <v>12.53908281998631</v>
      </c>
      <c r="BK169" s="42">
        <f t="shared" ca="1" si="506"/>
        <v>12.541820670773443</v>
      </c>
      <c r="BL169" s="42">
        <f t="shared" ca="1" si="569"/>
        <v>12.56125941136208</v>
      </c>
      <c r="BM169" s="150" t="e">
        <f t="shared" ca="1" si="507"/>
        <v>#DIV/0!</v>
      </c>
      <c r="BN169" s="42" t="e">
        <f t="shared" ca="1" si="508"/>
        <v>#DIV/0!</v>
      </c>
      <c r="BO169" s="293">
        <f t="shared" si="570"/>
        <v>20</v>
      </c>
      <c r="BP169" s="41">
        <f t="shared" si="571"/>
        <v>14</v>
      </c>
      <c r="BQ169" s="41">
        <f t="shared" si="572"/>
        <v>6</v>
      </c>
      <c r="BR169" s="305" t="str">
        <f t="shared" ca="1" si="509"/>
        <v/>
      </c>
      <c r="BS169" s="305" t="str">
        <f t="shared" ca="1" si="573"/>
        <v/>
      </c>
      <c r="BT169" s="307" t="str">
        <f t="shared" ca="1" si="574"/>
        <v/>
      </c>
      <c r="BU169" s="161" t="str">
        <f t="shared" ca="1" si="510"/>
        <v/>
      </c>
      <c r="BV169" s="161" t="str">
        <f t="shared" ca="1" si="511"/>
        <v/>
      </c>
      <c r="BW169" s="308" t="str">
        <f t="shared" ca="1" si="512"/>
        <v/>
      </c>
      <c r="BX169" s="309" t="str">
        <f t="shared" ca="1" si="513"/>
        <v/>
      </c>
      <c r="BY169" s="308" t="str">
        <f t="shared" ca="1" si="575"/>
        <v/>
      </c>
      <c r="BZ169" s="309" t="str">
        <f t="shared" ca="1" si="576"/>
        <v/>
      </c>
      <c r="CA169" s="154" t="str">
        <f t="shared" ca="1" si="514"/>
        <v/>
      </c>
      <c r="CB169" s="154" t="str">
        <f t="shared" ca="1" si="515"/>
        <v/>
      </c>
      <c r="CC169" s="154" t="str">
        <f t="shared" ca="1" si="516"/>
        <v/>
      </c>
      <c r="CD169" s="154" t="str">
        <f t="shared" ca="1" si="517"/>
        <v/>
      </c>
      <c r="CE169" s="310">
        <v>1</v>
      </c>
      <c r="CF169" s="162">
        <f ca="1">IF(BD169,_xll.xCrudeAPO(BU169,BV169,CA169,CB169,S170,S171,BI169,BL169,BP169,BQ169,0,Strike1,AO169,CE169,0,BL169,IF(OptControl=4,0,1),0,1),0)</f>
        <v>0</v>
      </c>
      <c r="CG169" s="163">
        <f ca="1">IF(BD169,_xll.xCrudeAPO(BU169,BV169,CA169,CB169,S170,S171,BI169,BL169,BP169,BQ169,0,Strike1,AO169,CE169,0,BL169,IF(OptControl=4,0,1),1,1)+_xll.xCrudeAPO(BU169,BV169,CA169,CB169,S170,S171,BI169,BL169,BP169,BQ169,0,Strike1,AO169,CE169,0,BL169,IF(OptControl=4,0,1),1,2)+IF(OR(VolSkewFlag=2,ABS(BS169)&lt;0.0001),0,IF(BS169&gt;0,-1,1)*CH169*Strike1/BR169^2*BY169/10%),0)</f>
        <v>0</v>
      </c>
      <c r="CH169" s="163">
        <f ca="1">IF(BD169,(_xll.xCrudeAPO(BU169,BV169,CA169,CB169,S170,S171,BI169,BL169,BP169,BQ169,0,Strike1,AO169,CE169,0,BL169,IF(OptControl=4,0,1),3,1)+_xll.xCrudeAPO(BU169,BV169,CA169,CB169,S170,S171,BI169,BL169,BP169,BQ169,0,Strike1,AO169,CE169,0,BL169,IF(OptControl=4,0,1),3,2))/100,0)</f>
        <v>0</v>
      </c>
      <c r="CI169" s="163">
        <f ca="1">IF(BD169,_xll.xCrudeAPO(BU169,BV169,CA169,CB169,S170,S171,BI169-DaysForThetaCalculation/365.25,BL169-DaysForThetaCalculation/365.25,BP169,BQ169,0,Strike1,AO169,CE169,0,BL169,IF(OptControl=4,0,1),0,1)-_xll.xCrudeAPO(BU169,BV169,CA169,CB169,S170,S171,BI169,BL169,BP169,BQ169,0,Strike1,AO169,CE169,0,BL169,IF(OptControl=4,0,1),0,1),0)</f>
        <v>0</v>
      </c>
      <c r="CJ169" s="311">
        <f ca="1">IF(BD169,_xll.xCrudeAPO(BU169,BV169,CC169,CD169,S170,S171,BI169,BL169,BP169,BQ169,0,Strike2,AO169,CE169,0,BL169,IF(OptControl=3,1,0),0,1),0)</f>
        <v>0</v>
      </c>
      <c r="CK169" s="163">
        <f ca="1">IF(BD169,_xll.xCrudeAPO(BU169,BV169,CC169,CD169,S170,S171,BI169,BL169,BP169,BQ169,0,Strike2,AO169,CE169,0,BL169,IF(OptControl=3,1,0),1,1)+_xll.xCrudeAPO(BU169,BV169,CC169,CD169,S170,S171,BI169,BL169,BP169,BQ169,0,Strike2,AO169,CE169,0,BL169,IF(OptControl=3,1,0),1,2)+IF(OR(VolSkewFlag=2,ABS(BT169)&lt;0.0001),0,IF(BT169&gt;0,-1,1)*CL169*Strike2/BR169^2*BZ169/10%),0)</f>
        <v>0</v>
      </c>
      <c r="CL169" s="163">
        <f ca="1">IF(BD169,(_xll.xCrudeAPO(BU169,BV169,CC169,CD169,S170,S171,BI169,BL169,BP169,BQ169,0,Strike2,AO169,CE169,0,BL169,IF(OptControl=3,1,0),3,1)+_xll.xCrudeAPO(BU169,BV169,CC169,CD169,S170,S171,BI169,BL169,BP169,BQ169,0,Strike2,AO169,CE169,0,BL169,IF(OptControl=3,1,0),3,2))/100,0)</f>
        <v>0</v>
      </c>
      <c r="CM169" s="164">
        <f ca="1">IF(BD169,_xll.xCrudeAPO(BU169,BV169,CC169,CD169,S170,S171,BI169-DaysForThetaCalculation/365.25,BL169-DaysForThetaCalculation/365.25,BP169,BQ169,0,Strike2,AO169,CE169,0,BL169,IF(OptControl=3,1,0),0,1)-_xll.xCrudeAPO(BU169,BV169,CC169,CD169,S170,S171,BI169,BL169,BP169,BQ169,0,Strike2,AO169,CE169,0,BL169,IF(OptControl=3,1,0),0,1),0)</f>
        <v>0</v>
      </c>
      <c r="CN169" s="53"/>
      <c r="CO169" s="796" t="str">
        <f t="shared" ca="1" si="532"/>
        <v/>
      </c>
      <c r="CP169" s="800" t="str">
        <f t="shared" ca="1" si="533"/>
        <v/>
      </c>
      <c r="CQ169" s="797" t="str">
        <f t="shared" ca="1" si="534"/>
        <v/>
      </c>
      <c r="CR169" s="797" t="str">
        <f t="shared" ca="1" si="535"/>
        <v/>
      </c>
      <c r="CS169" s="797" t="str">
        <f t="shared" ca="1" si="536"/>
        <v/>
      </c>
      <c r="CT169" s="797" t="str">
        <f t="shared" ca="1" si="537"/>
        <v/>
      </c>
      <c r="CU169" s="798" t="str">
        <f t="shared" ca="1" si="538"/>
        <v/>
      </c>
      <c r="CV169" s="799" t="str">
        <f t="shared" ca="1" si="539"/>
        <v/>
      </c>
      <c r="CW169" s="799" t="str">
        <f t="shared" ca="1" si="540"/>
        <v/>
      </c>
      <c r="CX169" s="163">
        <f ca="1">IF(BD169,_xll.EURO(CP169,Strike1,AO169,AO169,CV169,CO169,IF(OptControl=4,0,1),0),0)</f>
        <v>0</v>
      </c>
      <c r="CY169" s="163">
        <f ca="1">IF(BD169,_xll.EURO(CP169,Strike1,AO169,AO169,CV169,CO169,IF(OptControl=4,0,1),1)+IF(OR(VolSkewFlag=2,ABS(CQ169)&lt;0.0001),0,IF(CQ169&gt;0,-1,1)*CZ169*100*Strike1/CP169^2*CS169/10%),0)</f>
        <v>0</v>
      </c>
      <c r="CZ169" s="163">
        <f ca="1">IF(BD169,_xll.EURO(CP169,Strike1,AO169,AO169,CV169,CO169,IF(OptControl=4,0,1),3)/100,0)</f>
        <v>0</v>
      </c>
      <c r="DA169" s="163">
        <f ca="1">IF(BD169,_xll.EURO(CP169,Strike1,AO169,AO169,CV169,CO169,IF(OptControl=4,0,1),0)-_xll.EURO(CP169,Strike1,AO169,AO169,CV169,CO169-1,IF(OptControl=4,0,1),0),0)</f>
        <v>0</v>
      </c>
      <c r="DB169" s="163">
        <f ca="1">IF(BD169,_xll.EURO(CP169,Strike2,AO169,AO169,CW169,CO169,IF(OptControl=3,1,0),0),0)</f>
        <v>0</v>
      </c>
      <c r="DC169" s="163">
        <f ca="1">IF(BD169,_xll.EURO(CP169,Strike2,AO169,AO169,CW169,CO169,IF(OptControl=3,1,0),1)+IF(OR(VolSkewFlag=2,ABS(CR169)&lt;0.0001),0,IF(CR169&gt;0,-1,1)*DD169*100*Strike2/CP169^2*CT169/10%),0)</f>
        <v>0</v>
      </c>
      <c r="DD169" s="163">
        <f ca="1">IF(BD169,_xll.EURO(CP169,Strike2,AO169,AO169,CW169,CO169,IF(OptControl=3,1,0),3)/100,0)</f>
        <v>0</v>
      </c>
      <c r="DE169" s="164">
        <f ca="1">IF(BD169,_xll.EURO(CP169,Strike2,AO169,AO169,CW169,CO169,IF(OptControl=3,1,0),0)-_xll.EURO(CP169,Strike2,AO169,AO169,CW169,CO169-1,IF(OptControl=3,1,0),0),0)</f>
        <v>0</v>
      </c>
      <c r="DG169" s="667">
        <f t="shared" ca="1" si="541"/>
        <v>41091</v>
      </c>
      <c r="DH169" s="475">
        <v>21.610000000000053</v>
      </c>
      <c r="DI169" s="665">
        <v>21.676666666666719</v>
      </c>
      <c r="DJ169" s="666">
        <f t="shared" ca="1" si="518"/>
        <v>41091</v>
      </c>
      <c r="DK169" s="475">
        <v>20.407438443677691</v>
      </c>
      <c r="DL169" s="665">
        <v>20.409766666666719</v>
      </c>
      <c r="DM169" s="667">
        <f t="shared" ca="1" si="519"/>
        <v>41091</v>
      </c>
      <c r="DN169" s="668">
        <f t="shared" si="520"/>
        <v>20.457438443677692</v>
      </c>
      <c r="DO169" s="667">
        <f t="shared" ca="1" si="542"/>
        <v>41091</v>
      </c>
      <c r="DP169" s="579">
        <f t="shared" si="543"/>
        <v>20.409766666666719</v>
      </c>
      <c r="DQ169" s="821">
        <v>0</v>
      </c>
      <c r="DR169" s="666">
        <f t="shared" ca="1" si="521"/>
        <v>41091</v>
      </c>
      <c r="DS169" s="669">
        <v>0.13519999999999907</v>
      </c>
      <c r="DT169" s="606">
        <v>0.13439999999999905</v>
      </c>
      <c r="DU169" s="666">
        <f t="shared" ca="1" si="522"/>
        <v>41091</v>
      </c>
      <c r="DV169" s="669">
        <v>0.13519999999999907</v>
      </c>
      <c r="DW169" s="606">
        <v>0.13439999999999905</v>
      </c>
      <c r="DX169" s="667">
        <f t="shared" ca="1" si="523"/>
        <v>41091</v>
      </c>
      <c r="DY169" s="606">
        <v>0.35</v>
      </c>
      <c r="DZ169" s="667">
        <f t="shared" ca="1" si="544"/>
        <v>41091</v>
      </c>
      <c r="EA169" s="606">
        <f t="shared" si="545"/>
        <v>0.13439999999999905</v>
      </c>
      <c r="EB169" s="1"/>
      <c r="EC169" s="118" t="str">
        <f t="shared" ca="1" si="524"/>
        <v/>
      </c>
      <c r="ED169" s="119" t="str">
        <f t="shared" ca="1" si="525"/>
        <v/>
      </c>
      <c r="EE169" s="112" t="str">
        <f t="shared" ca="1" si="526"/>
        <v/>
      </c>
      <c r="EF169" s="120">
        <f ca="1">IF(BD169,_xll.xASN(BR169,Strike1,AO169,ED169,0,BO169,0,BI169,BL169,IF(OptControl=4,0,1),0),0)</f>
        <v>0</v>
      </c>
      <c r="EG169" s="111">
        <f ca="1">IF(BD169,_xll.xASN(BR169,Strike2,AO169,EE169,0,BO169,0,BI169,BL169,IF(OptControl=3,1,0),0),0)</f>
        <v>0</v>
      </c>
      <c r="EL169" s="55"/>
      <c r="EM169" s="1"/>
      <c r="EN169" s="106"/>
      <c r="EO169" s="106"/>
      <c r="EP169" s="1"/>
      <c r="EQ169" s="683" t="s">
        <v>382</v>
      </c>
      <c r="ES169" s="455"/>
      <c r="ET169" s="36"/>
      <c r="EU169" s="107"/>
      <c r="EV169" s="475"/>
      <c r="EW169" s="456"/>
      <c r="EX169" s="456"/>
      <c r="EY169" s="250"/>
      <c r="EZ169" s="250"/>
      <c r="FA169" s="250"/>
      <c r="FB169" s="250"/>
      <c r="FC169" s="250"/>
      <c r="FD169" s="250"/>
      <c r="FE169" s="250"/>
      <c r="FF169" s="250"/>
      <c r="FG169" s="250"/>
      <c r="FH169" s="250"/>
      <c r="FI169" s="250"/>
      <c r="FJ169" s="670"/>
      <c r="FK169" s="671">
        <v>1</v>
      </c>
      <c r="FL169" s="671">
        <v>2</v>
      </c>
      <c r="FM169" s="671">
        <v>3</v>
      </c>
      <c r="FN169" s="671">
        <v>4</v>
      </c>
      <c r="FO169" s="671">
        <v>5</v>
      </c>
      <c r="FP169" s="671">
        <v>6</v>
      </c>
      <c r="FQ169" s="671">
        <v>7</v>
      </c>
      <c r="FR169" s="671">
        <v>8</v>
      </c>
      <c r="FS169" s="671">
        <v>9</v>
      </c>
      <c r="FT169" s="671">
        <v>10</v>
      </c>
      <c r="FU169" s="671">
        <v>11</v>
      </c>
      <c r="FV169" s="671">
        <v>12</v>
      </c>
      <c r="FW169" s="671">
        <v>13</v>
      </c>
      <c r="FX169" s="671">
        <v>14</v>
      </c>
      <c r="FY169" s="671">
        <v>15</v>
      </c>
      <c r="FZ169" s="671">
        <v>16</v>
      </c>
      <c r="GA169" s="671">
        <v>17</v>
      </c>
      <c r="GB169" s="671">
        <v>18</v>
      </c>
      <c r="GC169" s="671">
        <v>19</v>
      </c>
      <c r="GD169" s="671">
        <v>20</v>
      </c>
      <c r="GE169" s="671">
        <v>21</v>
      </c>
      <c r="GF169" s="671">
        <v>22</v>
      </c>
      <c r="GG169" s="671">
        <v>23</v>
      </c>
      <c r="GH169" s="671">
        <v>24</v>
      </c>
      <c r="GI169" s="671">
        <v>25</v>
      </c>
      <c r="GJ169" s="671">
        <v>26</v>
      </c>
      <c r="GK169" s="671">
        <v>27</v>
      </c>
      <c r="GL169" s="671">
        <v>28</v>
      </c>
      <c r="GM169" s="671">
        <v>29</v>
      </c>
      <c r="GN169" s="671">
        <v>30</v>
      </c>
      <c r="GO169" s="671">
        <v>31</v>
      </c>
      <c r="GP169" s="671">
        <v>32</v>
      </c>
      <c r="GQ169" s="671">
        <v>33</v>
      </c>
      <c r="GR169" s="671">
        <v>34</v>
      </c>
      <c r="GS169" s="671">
        <v>35</v>
      </c>
      <c r="GT169" s="671">
        <v>36</v>
      </c>
      <c r="GU169" s="671">
        <v>37</v>
      </c>
      <c r="GV169" s="671">
        <v>38</v>
      </c>
      <c r="GW169" s="671">
        <v>39</v>
      </c>
      <c r="GX169" s="671">
        <v>40</v>
      </c>
      <c r="GY169" s="671">
        <v>41</v>
      </c>
      <c r="GZ169" s="671">
        <v>42</v>
      </c>
      <c r="HA169" s="671">
        <v>43</v>
      </c>
      <c r="HB169" s="671">
        <v>44</v>
      </c>
      <c r="HC169" s="671">
        <v>45</v>
      </c>
      <c r="HD169" s="671">
        <v>46</v>
      </c>
      <c r="HE169" s="671">
        <v>47</v>
      </c>
      <c r="HF169" s="671">
        <v>48</v>
      </c>
      <c r="HG169" s="671">
        <v>49</v>
      </c>
      <c r="HH169" s="671">
        <v>50</v>
      </c>
      <c r="HI169" s="671">
        <v>51</v>
      </c>
      <c r="HJ169" s="671">
        <v>52</v>
      </c>
      <c r="HK169" s="671">
        <v>53</v>
      </c>
      <c r="HL169" s="671">
        <v>54</v>
      </c>
      <c r="HM169" s="671">
        <v>55</v>
      </c>
      <c r="HN169" s="671">
        <v>56</v>
      </c>
      <c r="HO169" s="671">
        <v>57</v>
      </c>
      <c r="HP169" s="671">
        <v>58</v>
      </c>
      <c r="HQ169" s="671">
        <v>59</v>
      </c>
      <c r="HR169" s="671">
        <v>60</v>
      </c>
      <c r="HS169" s="671">
        <v>61</v>
      </c>
      <c r="HT169" s="671">
        <v>62</v>
      </c>
      <c r="HU169" s="671">
        <v>63</v>
      </c>
      <c r="HV169" s="671">
        <v>64</v>
      </c>
      <c r="HW169" s="671">
        <v>65</v>
      </c>
      <c r="HX169" s="671">
        <v>66</v>
      </c>
      <c r="HY169" s="671">
        <v>67</v>
      </c>
      <c r="HZ169" s="671">
        <v>68</v>
      </c>
      <c r="IA169" s="671">
        <v>69</v>
      </c>
      <c r="IB169" s="671">
        <v>70</v>
      </c>
      <c r="IC169" s="671">
        <v>71</v>
      </c>
      <c r="ID169" s="672">
        <v>72</v>
      </c>
      <c r="IE169" s="250"/>
    </row>
    <row r="170" spans="8:239">
      <c r="H170" s="51">
        <f t="shared" ca="1" si="527"/>
        <v>0</v>
      </c>
      <c r="I170" s="379">
        <f t="shared" si="528"/>
        <v>41334</v>
      </c>
      <c r="J170" s="377"/>
      <c r="K170" s="104" t="s">
        <v>268</v>
      </c>
      <c r="L170" s="392">
        <f t="shared" si="529"/>
        <v>2.7750000000000039</v>
      </c>
      <c r="M170" s="171"/>
      <c r="N170" s="382">
        <v>0</v>
      </c>
      <c r="O170" s="171">
        <f t="shared" si="490"/>
        <v>0</v>
      </c>
      <c r="P170" s="377"/>
      <c r="Q170" s="104" t="s">
        <v>268</v>
      </c>
      <c r="R170" s="377">
        <f t="shared" ca="1" si="547"/>
        <v>1.6169946036141474</v>
      </c>
      <c r="S170" s="832">
        <f t="shared" si="564"/>
        <v>0.3600000000000001</v>
      </c>
      <c r="T170" s="831">
        <f t="shared" si="548"/>
        <v>0.99999999999299505</v>
      </c>
      <c r="U170" s="545">
        <f t="shared" si="549"/>
        <v>0.99999999999999978</v>
      </c>
      <c r="V170" s="389">
        <v>0</v>
      </c>
      <c r="W170" s="434">
        <f t="shared" si="491"/>
        <v>0</v>
      </c>
      <c r="X170" s="415">
        <f t="shared" si="492"/>
        <v>2.8250000000000042</v>
      </c>
      <c r="Y170" s="322">
        <f t="shared" si="493"/>
        <v>-1.1684999999999999</v>
      </c>
      <c r="Z170" s="322">
        <f t="shared" ca="1" si="494"/>
        <v>1.6565000000000043</v>
      </c>
      <c r="AA170" s="429">
        <f t="shared" si="495"/>
        <v>1.1684999999999999</v>
      </c>
      <c r="AB170" s="433">
        <f t="shared" ca="1" si="496"/>
        <v>1.1684999999999999</v>
      </c>
      <c r="AC170" s="229">
        <v>41325</v>
      </c>
      <c r="AD170" s="229">
        <v>41321</v>
      </c>
      <c r="AE170" s="229">
        <v>41320</v>
      </c>
      <c r="AF170" s="229">
        <v>41316</v>
      </c>
      <c r="AG170" s="249" t="s">
        <v>499</v>
      </c>
      <c r="AH170" s="247" t="s">
        <v>499</v>
      </c>
      <c r="AI170" s="146">
        <v>21</v>
      </c>
      <c r="AJ170" s="41">
        <v>14</v>
      </c>
      <c r="AK170" s="41">
        <v>7</v>
      </c>
      <c r="AL170" s="293">
        <v>21</v>
      </c>
      <c r="AM170" s="41">
        <v>10</v>
      </c>
      <c r="AN170" s="147">
        <v>11</v>
      </c>
      <c r="AO170" s="374"/>
      <c r="AP170" s="153">
        <f t="shared" ca="1" si="530"/>
        <v>1</v>
      </c>
      <c r="AQ170" s="374"/>
      <c r="AR170" s="153">
        <f t="shared" ca="1" si="550"/>
        <v>1</v>
      </c>
      <c r="AS170" s="272">
        <f t="shared" si="497"/>
        <v>0</v>
      </c>
      <c r="AT170" s="157">
        <f t="shared" si="531"/>
        <v>0</v>
      </c>
      <c r="AU170" s="157">
        <f t="shared" si="498"/>
        <v>0</v>
      </c>
      <c r="AV170" s="271">
        <f t="shared" ca="1" si="558"/>
        <v>9.9999999999999995E-7</v>
      </c>
      <c r="AW170" s="158" t="str">
        <f t="shared" ca="1" si="499"/>
        <v/>
      </c>
      <c r="AX170" s="157">
        <f t="shared" ca="1" si="551"/>
        <v>1.6115112207933701E-4</v>
      </c>
      <c r="AY170" s="157">
        <f t="shared" ca="1" si="552"/>
        <v>4.5877693215132461E-5</v>
      </c>
      <c r="AZ170" s="157">
        <f t="shared" ca="1" si="553"/>
        <v>2.5231548143237983E-6</v>
      </c>
      <c r="BA170" s="157">
        <f t="shared" ca="1" si="554"/>
        <v>3.1539435179047478E-7</v>
      </c>
      <c r="BB170" s="157">
        <f t="shared" ca="1" si="555"/>
        <v>4.2355128073764957E-9</v>
      </c>
      <c r="BC170" s="157">
        <f t="shared" ca="1" si="556"/>
        <v>1.9894719428265017E-10</v>
      </c>
      <c r="BD170" s="151">
        <f t="shared" ca="1" si="500"/>
        <v>0</v>
      </c>
      <c r="BE170" s="152">
        <f t="shared" ca="1" si="501"/>
        <v>0</v>
      </c>
      <c r="BF170" s="40">
        <f t="shared" si="502"/>
        <v>2013</v>
      </c>
      <c r="BG170" s="144">
        <f t="shared" si="503"/>
        <v>3</v>
      </c>
      <c r="BH170" s="145">
        <f t="shared" ca="1" si="504"/>
        <v>4576</v>
      </c>
      <c r="BI170" s="313">
        <f t="shared" ca="1" si="568"/>
        <v>12.563997262149213</v>
      </c>
      <c r="BJ170" s="42">
        <f t="shared" ca="1" si="505"/>
        <v>12.618754277891854</v>
      </c>
      <c r="BK170" s="42">
        <f t="shared" ca="1" si="506"/>
        <v>12.621492128678987</v>
      </c>
      <c r="BL170" s="42">
        <f t="shared" ca="1" si="569"/>
        <v>12.646132785763175</v>
      </c>
      <c r="BM170" s="150" t="e">
        <f t="shared" ca="1" si="507"/>
        <v>#DIV/0!</v>
      </c>
      <c r="BN170" s="42" t="e">
        <f t="shared" ca="1" si="508"/>
        <v>#DIV/0!</v>
      </c>
      <c r="BO170" s="293">
        <f t="shared" si="570"/>
        <v>21</v>
      </c>
      <c r="BP170" s="41">
        <f t="shared" si="571"/>
        <v>14</v>
      </c>
      <c r="BQ170" s="41">
        <f t="shared" si="572"/>
        <v>7</v>
      </c>
      <c r="BR170" s="305" t="str">
        <f t="shared" ca="1" si="509"/>
        <v/>
      </c>
      <c r="BS170" s="305" t="str">
        <f t="shared" ca="1" si="573"/>
        <v/>
      </c>
      <c r="BT170" s="307" t="str">
        <f t="shared" ca="1" si="574"/>
        <v/>
      </c>
      <c r="BU170" s="161" t="str">
        <f t="shared" ca="1" si="510"/>
        <v/>
      </c>
      <c r="BV170" s="161" t="str">
        <f t="shared" ca="1" si="511"/>
        <v/>
      </c>
      <c r="BW170" s="308" t="str">
        <f t="shared" ca="1" si="512"/>
        <v/>
      </c>
      <c r="BX170" s="309" t="str">
        <f t="shared" ca="1" si="513"/>
        <v/>
      </c>
      <c r="BY170" s="308" t="str">
        <f t="shared" ca="1" si="575"/>
        <v/>
      </c>
      <c r="BZ170" s="309" t="str">
        <f t="shared" ca="1" si="576"/>
        <v/>
      </c>
      <c r="CA170" s="154" t="str">
        <f t="shared" ca="1" si="514"/>
        <v/>
      </c>
      <c r="CB170" s="154" t="str">
        <f t="shared" ca="1" si="515"/>
        <v/>
      </c>
      <c r="CC170" s="154" t="str">
        <f t="shared" ca="1" si="516"/>
        <v/>
      </c>
      <c r="CD170" s="154" t="str">
        <f t="shared" ca="1" si="517"/>
        <v/>
      </c>
      <c r="CE170" s="310">
        <v>1</v>
      </c>
      <c r="CF170" s="162">
        <f ca="1">IF(BD170,_xll.xCrudeAPO(BU170,BV170,CA170,CB170,S171,S172,BI170,BL170,BP170,BQ170,0,Strike1,AO170,CE170,0,BL170,IF(OptControl=4,0,1),0,1),0)</f>
        <v>0</v>
      </c>
      <c r="CG170" s="163">
        <f ca="1">IF(BD170,_xll.xCrudeAPO(BU170,BV170,CA170,CB170,S171,S172,BI170,BL170,BP170,BQ170,0,Strike1,AO170,CE170,0,BL170,IF(OptControl=4,0,1),1,1)+_xll.xCrudeAPO(BU170,BV170,CA170,CB170,S171,S172,BI170,BL170,BP170,BQ170,0,Strike1,AO170,CE170,0,BL170,IF(OptControl=4,0,1),1,2)+IF(OR(VolSkewFlag=2,ABS(BS170)&lt;0.0001),0,IF(BS170&gt;0,-1,1)*CH170*Strike1/BR170^2*BY170/10%),0)</f>
        <v>0</v>
      </c>
      <c r="CH170" s="163">
        <f ca="1">IF(BD170,(_xll.xCrudeAPO(BU170,BV170,CA170,CB170,S171,S172,BI170,BL170,BP170,BQ170,0,Strike1,AO170,CE170,0,BL170,IF(OptControl=4,0,1),3,1)+_xll.xCrudeAPO(BU170,BV170,CA170,CB170,S171,S172,BI170,BL170,BP170,BQ170,0,Strike1,AO170,CE170,0,BL170,IF(OptControl=4,0,1),3,2))/100,0)</f>
        <v>0</v>
      </c>
      <c r="CI170" s="163">
        <f ca="1">IF(BD170,_xll.xCrudeAPO(BU170,BV170,CA170,CB170,S171,S172,BI170-DaysForThetaCalculation/365.25,BL170-DaysForThetaCalculation/365.25,BP170,BQ170,0,Strike1,AO170,CE170,0,BL170,IF(OptControl=4,0,1),0,1)-_xll.xCrudeAPO(BU170,BV170,CA170,CB170,S171,S172,BI170,BL170,BP170,BQ170,0,Strike1,AO170,CE170,0,BL170,IF(OptControl=4,0,1),0,1),0)</f>
        <v>0</v>
      </c>
      <c r="CJ170" s="311">
        <f ca="1">IF(BD170,_xll.xCrudeAPO(BU170,BV170,CC170,CD170,S171,S172,BI170,BL170,BP170,BQ170,0,Strike2,AO170,CE170,0,BL170,IF(OptControl=3,1,0),0,1),0)</f>
        <v>0</v>
      </c>
      <c r="CK170" s="163">
        <f ca="1">IF(BD170,_xll.xCrudeAPO(BU170,BV170,CC170,CD170,S171,S172,BI170,BL170,BP170,BQ170,0,Strike2,AO170,CE170,0,BL170,IF(OptControl=3,1,0),1,1)+_xll.xCrudeAPO(BU170,BV170,CC170,CD170,S171,S172,BI170,BL170,BP170,BQ170,0,Strike2,AO170,CE170,0,BL170,IF(OptControl=3,1,0),1,2)+IF(OR(VolSkewFlag=2,ABS(BT170)&lt;0.0001),0,IF(BT170&gt;0,-1,1)*CL170*Strike2/BR170^2*BZ170/10%),0)</f>
        <v>0</v>
      </c>
      <c r="CL170" s="163">
        <f ca="1">IF(BD170,(_xll.xCrudeAPO(BU170,BV170,CC170,CD170,S171,S172,BI170,BL170,BP170,BQ170,0,Strike2,AO170,CE170,0,BL170,IF(OptControl=3,1,0),3,1)+_xll.xCrudeAPO(BU170,BV170,CC170,CD170,S171,S172,BI170,BL170,BP170,BQ170,0,Strike2,AO170,CE170,0,BL170,IF(OptControl=3,1,0),3,2))/100,0)</f>
        <v>0</v>
      </c>
      <c r="CM170" s="164">
        <f ca="1">IF(BD170,_xll.xCrudeAPO(BU170,BV170,CC170,CD170,S171,S172,BI170-DaysForThetaCalculation/365.25,BL170-DaysForThetaCalculation/365.25,BP170,BQ170,0,Strike2,AO170,CE170,0,BL170,IF(OptControl=3,1,0),0,1)-_xll.xCrudeAPO(BU170,BV170,CC170,CD170,S171,S172,BI170,BL170,BP170,BQ170,0,Strike2,AO170,CE170,0,BL170,IF(OptControl=3,1,0),0,1),0)</f>
        <v>0</v>
      </c>
      <c r="CN170" s="53"/>
      <c r="CO170" s="796" t="str">
        <f t="shared" ca="1" si="532"/>
        <v/>
      </c>
      <c r="CP170" s="800" t="str">
        <f t="shared" ca="1" si="533"/>
        <v/>
      </c>
      <c r="CQ170" s="797" t="str">
        <f t="shared" ca="1" si="534"/>
        <v/>
      </c>
      <c r="CR170" s="797" t="str">
        <f t="shared" ca="1" si="535"/>
        <v/>
      </c>
      <c r="CS170" s="797" t="str">
        <f t="shared" ca="1" si="536"/>
        <v/>
      </c>
      <c r="CT170" s="797" t="str">
        <f t="shared" ca="1" si="537"/>
        <v/>
      </c>
      <c r="CU170" s="798" t="str">
        <f t="shared" ca="1" si="538"/>
        <v/>
      </c>
      <c r="CV170" s="799" t="str">
        <f t="shared" ca="1" si="539"/>
        <v/>
      </c>
      <c r="CW170" s="799" t="str">
        <f t="shared" ca="1" si="540"/>
        <v/>
      </c>
      <c r="CX170" s="163">
        <f ca="1">IF(BD170,_xll.EURO(CP170,Strike1,AO170,AO170,CV170,CO170,IF(OptControl=4,0,1),0),0)</f>
        <v>0</v>
      </c>
      <c r="CY170" s="163">
        <f ca="1">IF(BD170,_xll.EURO(CP170,Strike1,AO170,AO170,CV170,CO170,IF(OptControl=4,0,1),1)+IF(OR(VolSkewFlag=2,ABS(CQ170)&lt;0.0001),0,IF(CQ170&gt;0,-1,1)*CZ170*100*Strike1/CP170^2*CS170/10%),0)</f>
        <v>0</v>
      </c>
      <c r="CZ170" s="163">
        <f ca="1">IF(BD170,_xll.EURO(CP170,Strike1,AO170,AO170,CV170,CO170,IF(OptControl=4,0,1),3)/100,0)</f>
        <v>0</v>
      </c>
      <c r="DA170" s="163">
        <f ca="1">IF(BD170,_xll.EURO(CP170,Strike1,AO170,AO170,CV170,CO170,IF(OptControl=4,0,1),0)-_xll.EURO(CP170,Strike1,AO170,AO170,CV170,CO170-1,IF(OptControl=4,0,1),0),0)</f>
        <v>0</v>
      </c>
      <c r="DB170" s="163">
        <f ca="1">IF(BD170,_xll.EURO(CP170,Strike2,AO170,AO170,CW170,CO170,IF(OptControl=3,1,0),0),0)</f>
        <v>0</v>
      </c>
      <c r="DC170" s="163">
        <f ca="1">IF(BD170,_xll.EURO(CP170,Strike2,AO170,AO170,CW170,CO170,IF(OptControl=3,1,0),1)+IF(OR(VolSkewFlag=2,ABS(CR170)&lt;0.0001),0,IF(CR170&gt;0,-1,1)*DD170*100*Strike2/CP170^2*CT170/10%),0)</f>
        <v>0</v>
      </c>
      <c r="DD170" s="163">
        <f ca="1">IF(BD170,_xll.EURO(CP170,Strike2,AO170,AO170,CW170,CO170,IF(OptControl=3,1,0),3)/100,0)</f>
        <v>0</v>
      </c>
      <c r="DE170" s="164">
        <f ca="1">IF(BD170,_xll.EURO(CP170,Strike2,AO170,AO170,CW170,CO170,IF(OptControl=3,1,0),0)-_xll.EURO(CP170,Strike2,AO170,AO170,CW170,CO170-1,IF(OptControl=3,1,0),0),0)</f>
        <v>0</v>
      </c>
      <c r="DG170" s="667">
        <f t="shared" ca="1" si="541"/>
        <v>41122</v>
      </c>
      <c r="DH170" s="475">
        <v>21.660000000000053</v>
      </c>
      <c r="DI170" s="665">
        <v>21.729565217391357</v>
      </c>
      <c r="DJ170" s="666">
        <f t="shared" ca="1" si="518"/>
        <v>41122</v>
      </c>
      <c r="DK170" s="475">
        <v>20.269465051202197</v>
      </c>
      <c r="DL170" s="665">
        <v>20.462665217391358</v>
      </c>
      <c r="DM170" s="667">
        <f t="shared" ca="1" si="519"/>
        <v>41122</v>
      </c>
      <c r="DN170" s="668">
        <f t="shared" si="520"/>
        <v>20.319465051202197</v>
      </c>
      <c r="DO170" s="667">
        <f t="shared" ca="1" si="542"/>
        <v>41122</v>
      </c>
      <c r="DP170" s="579">
        <f t="shared" si="543"/>
        <v>20.462665217391358</v>
      </c>
      <c r="DQ170" s="821">
        <v>0</v>
      </c>
      <c r="DR170" s="666">
        <f t="shared" ca="1" si="521"/>
        <v>41122</v>
      </c>
      <c r="DS170" s="669">
        <v>0.13459999999999905</v>
      </c>
      <c r="DT170" s="606">
        <v>0.13376521739130337</v>
      </c>
      <c r="DU170" s="666">
        <f t="shared" ca="1" si="522"/>
        <v>41122</v>
      </c>
      <c r="DV170" s="669">
        <v>0.13459999999999905</v>
      </c>
      <c r="DW170" s="606">
        <v>0.13376521739130337</v>
      </c>
      <c r="DX170" s="667">
        <f t="shared" ca="1" si="523"/>
        <v>41122</v>
      </c>
      <c r="DY170" s="606">
        <v>0.35</v>
      </c>
      <c r="DZ170" s="667">
        <f t="shared" ca="1" si="544"/>
        <v>41122</v>
      </c>
      <c r="EA170" s="606">
        <f t="shared" si="545"/>
        <v>0.13376521739130337</v>
      </c>
      <c r="EB170" s="1"/>
      <c r="EC170" s="118" t="str">
        <f t="shared" ca="1" si="524"/>
        <v/>
      </c>
      <c r="ED170" s="119" t="str">
        <f t="shared" ca="1" si="525"/>
        <v/>
      </c>
      <c r="EE170" s="112" t="str">
        <f t="shared" ca="1" si="526"/>
        <v/>
      </c>
      <c r="EF170" s="120">
        <f ca="1">IF(BD170,_xll.xASN(BR170,Strike1,AO170,ED170,0,BO170,0,BI170,BL170,IF(OptControl=4,0,1),0),0)</f>
        <v>0</v>
      </c>
      <c r="EG170" s="111">
        <f ca="1">IF(BD170,_xll.xASN(BR170,Strike2,AO170,EE170,0,BO170,0,BI170,BL170,IF(OptControl=3,1,0),0),0)</f>
        <v>0</v>
      </c>
      <c r="EL170" s="55"/>
      <c r="EM170" s="1"/>
      <c r="EN170" s="106"/>
      <c r="EO170" s="106"/>
      <c r="EP170" s="1"/>
      <c r="EQ170" s="683" t="s">
        <v>383</v>
      </c>
      <c r="ES170" s="455"/>
      <c r="ET170" s="36"/>
      <c r="EU170" s="107"/>
      <c r="EV170" s="475"/>
      <c r="EW170" s="456"/>
      <c r="EX170" s="456"/>
      <c r="EY170" s="250"/>
      <c r="EZ170" s="250"/>
      <c r="FA170" s="250"/>
      <c r="FB170" s="250"/>
      <c r="FC170" s="250"/>
      <c r="FD170" s="250"/>
      <c r="FE170" s="250"/>
      <c r="FF170" s="250"/>
      <c r="FG170" s="250"/>
      <c r="FH170" s="250"/>
      <c r="FI170" s="250"/>
      <c r="FJ170" s="673">
        <v>1</v>
      </c>
      <c r="FK170" s="479" t="str">
        <f ca="1">IF(OR(FK$169&lt;SwaptionFirstMonthPosition+1,$FJ170&lt;SwaptionFirstMonthPosition+1,FK$169&gt;SwaptionFirstMonthPosition+SwaptionNumOfMonths+1,$FJ170&gt;SwaptionFirstMonthPosition+SwaptionNumOfMonths+1),"",IF($FJ170=FK$169,1,IF($FJ170&lt;FK$169,INDEX($FK$170:$ID$241,FK$169,$FJ170),SUMPRODUCT(INDEX($FK$325:$ID$396,FK$169,1+SwaptionShift):INDEX($FK$325:$ID$396,FK$169,SwaptionMonthsToGo+SwaptionShift),INDEX($FK$245:$ID$316,$FJ170-FK$169,73-FK$169+SwaptionShift):INDEX($FK$245:$ID$316,$FJ170-FK$169,72-FK$169+SwaptionMonthsToGo+SwaptionShift))/SQRT(SUM(INDEX($FK325:$ID325,1+SwaptionShift):INDEX($FK325:$ID325,SwaptionMonthsToGo+SwaptionShift))*SUM(INDEX($FK$325:$ID$396,FK$169,1+SwaptionShift):INDEX($FK$325:$ID$396,FK$169,SwaptionMonthsToGo+SwaptionShift))))))</f>
        <v/>
      </c>
      <c r="FL170" s="479" t="str">
        <f ca="1">IF(OR(FL$169&lt;SwaptionFirstMonthPosition+1,$FJ170&lt;SwaptionFirstMonthPosition+1,FL$169&gt;SwaptionFirstMonthPosition+SwaptionNumOfMonths+1,$FJ170&gt;SwaptionFirstMonthPosition+SwaptionNumOfMonths+1),"",IF($FJ170=FL$169,1,IF($FJ170&lt;FL$169,INDEX($FK$170:$ID$241,FL$169,$FJ170),SUMPRODUCT(INDEX($FK$325:$ID$396,FL$169,1+SwaptionShift):INDEX($FK$325:$ID$396,FL$169,SwaptionMonthsToGo+SwaptionShift),INDEX($FK$245:$ID$316,$FJ170-FL$169,73-FL$169+SwaptionShift):INDEX($FK$245:$ID$316,$FJ170-FL$169,72-FL$169+SwaptionMonthsToGo+SwaptionShift))/SQRT(SUM(INDEX($FK325:$ID325,1+SwaptionShift):INDEX($FK325:$ID325,SwaptionMonthsToGo+SwaptionShift))*SUM(INDEX($FK$325:$ID$396,FL$169,1+SwaptionShift):INDEX($FK$325:$ID$396,FL$169,SwaptionMonthsToGo+SwaptionShift))))))</f>
        <v/>
      </c>
      <c r="FM170" s="479" t="str">
        <f ca="1">IF(OR(FM$169&lt;SwaptionFirstMonthPosition+1,$FJ170&lt;SwaptionFirstMonthPosition+1,FM$169&gt;SwaptionFirstMonthPosition+SwaptionNumOfMonths+1,$FJ170&gt;SwaptionFirstMonthPosition+SwaptionNumOfMonths+1),"",IF($FJ170=FM$169,1,IF($FJ170&lt;FM$169,INDEX($FK$170:$ID$241,FM$169,$FJ170),SUMPRODUCT(INDEX($FK$325:$ID$396,FM$169,1+SwaptionShift):INDEX($FK$325:$ID$396,FM$169,SwaptionMonthsToGo+SwaptionShift),INDEX($FK$245:$ID$316,$FJ170-FM$169,73-FM$169+SwaptionShift):INDEX($FK$245:$ID$316,$FJ170-FM$169,72-FM$169+SwaptionMonthsToGo+SwaptionShift))/SQRT(SUM(INDEX($FK325:$ID325,1+SwaptionShift):INDEX($FK325:$ID325,SwaptionMonthsToGo+SwaptionShift))*SUM(INDEX($FK$325:$ID$396,FM$169,1+SwaptionShift):INDEX($FK$325:$ID$396,FM$169,SwaptionMonthsToGo+SwaptionShift))))))</f>
        <v/>
      </c>
      <c r="FN170" s="479" t="str">
        <f ca="1">IF(OR(FN$169&lt;SwaptionFirstMonthPosition+1,$FJ170&lt;SwaptionFirstMonthPosition+1,FN$169&gt;SwaptionFirstMonthPosition+SwaptionNumOfMonths+1,$FJ170&gt;SwaptionFirstMonthPosition+SwaptionNumOfMonths+1),"",IF($FJ170=FN$169,1,IF($FJ170&lt;FN$169,INDEX($FK$170:$ID$241,FN$169,$FJ170),SUMPRODUCT(INDEX($FK$325:$ID$396,FN$169,1+SwaptionShift):INDEX($FK$325:$ID$396,FN$169,SwaptionMonthsToGo+SwaptionShift),INDEX($FK$245:$ID$316,$FJ170-FN$169,73-FN$169+SwaptionShift):INDEX($FK$245:$ID$316,$FJ170-FN$169,72-FN$169+SwaptionMonthsToGo+SwaptionShift))/SQRT(SUM(INDEX($FK325:$ID325,1+SwaptionShift):INDEX($FK325:$ID325,SwaptionMonthsToGo+SwaptionShift))*SUM(INDEX($FK$325:$ID$396,FN$169,1+SwaptionShift):INDEX($FK$325:$ID$396,FN$169,SwaptionMonthsToGo+SwaptionShift))))))</f>
        <v/>
      </c>
      <c r="FO170" s="479" t="str">
        <f ca="1">IF(OR(FO$169&lt;SwaptionFirstMonthPosition+1,$FJ170&lt;SwaptionFirstMonthPosition+1,FO$169&gt;SwaptionFirstMonthPosition+SwaptionNumOfMonths+1,$FJ170&gt;SwaptionFirstMonthPosition+SwaptionNumOfMonths+1),"",IF($FJ170=FO$169,1,IF($FJ170&lt;FO$169,INDEX($FK$170:$ID$241,FO$169,$FJ170),SUMPRODUCT(INDEX($FK$325:$ID$396,FO$169,1+SwaptionShift):INDEX($FK$325:$ID$396,FO$169,SwaptionMonthsToGo+SwaptionShift),INDEX($FK$245:$ID$316,$FJ170-FO$169,73-FO$169+SwaptionShift):INDEX($FK$245:$ID$316,$FJ170-FO$169,72-FO$169+SwaptionMonthsToGo+SwaptionShift))/SQRT(SUM(INDEX($FK325:$ID325,1+SwaptionShift):INDEX($FK325:$ID325,SwaptionMonthsToGo+SwaptionShift))*SUM(INDEX($FK$325:$ID$396,FO$169,1+SwaptionShift):INDEX($FK$325:$ID$396,FO$169,SwaptionMonthsToGo+SwaptionShift))))))</f>
        <v/>
      </c>
      <c r="FP170" s="479" t="str">
        <f ca="1">IF(OR(FP$169&lt;SwaptionFirstMonthPosition+1,$FJ170&lt;SwaptionFirstMonthPosition+1,FP$169&gt;SwaptionFirstMonthPosition+SwaptionNumOfMonths+1,$FJ170&gt;SwaptionFirstMonthPosition+SwaptionNumOfMonths+1),"",IF($FJ170=FP$169,1,IF($FJ170&lt;FP$169,INDEX($FK$170:$ID$241,FP$169,$FJ170),SUMPRODUCT(INDEX($FK$325:$ID$396,FP$169,1+SwaptionShift):INDEX($FK$325:$ID$396,FP$169,SwaptionMonthsToGo+SwaptionShift),INDEX($FK$245:$ID$316,$FJ170-FP$169,73-FP$169+SwaptionShift):INDEX($FK$245:$ID$316,$FJ170-FP$169,72-FP$169+SwaptionMonthsToGo+SwaptionShift))/SQRT(SUM(INDEX($FK325:$ID325,1+SwaptionShift):INDEX($FK325:$ID325,SwaptionMonthsToGo+SwaptionShift))*SUM(INDEX($FK$325:$ID$396,FP$169,1+SwaptionShift):INDEX($FK$325:$ID$396,FP$169,SwaptionMonthsToGo+SwaptionShift))))))</f>
        <v/>
      </c>
      <c r="FQ170" s="479" t="str">
        <f ca="1">IF(OR(FQ$169&lt;SwaptionFirstMonthPosition+1,$FJ170&lt;SwaptionFirstMonthPosition+1,FQ$169&gt;SwaptionFirstMonthPosition+SwaptionNumOfMonths+1,$FJ170&gt;SwaptionFirstMonthPosition+SwaptionNumOfMonths+1),"",IF($FJ170=FQ$169,1,IF($FJ170&lt;FQ$169,INDEX($FK$170:$ID$241,FQ$169,$FJ170),SUMPRODUCT(INDEX($FK$325:$ID$396,FQ$169,1+SwaptionShift):INDEX($FK$325:$ID$396,FQ$169,SwaptionMonthsToGo+SwaptionShift),INDEX($FK$245:$ID$316,$FJ170-FQ$169,73-FQ$169+SwaptionShift):INDEX($FK$245:$ID$316,$FJ170-FQ$169,72-FQ$169+SwaptionMonthsToGo+SwaptionShift))/SQRT(SUM(INDEX($FK325:$ID325,1+SwaptionShift):INDEX($FK325:$ID325,SwaptionMonthsToGo+SwaptionShift))*SUM(INDEX($FK$325:$ID$396,FQ$169,1+SwaptionShift):INDEX($FK$325:$ID$396,FQ$169,SwaptionMonthsToGo+SwaptionShift))))))</f>
        <v/>
      </c>
      <c r="FR170" s="479" t="str">
        <f ca="1">IF(OR(FR$169&lt;SwaptionFirstMonthPosition+1,$FJ170&lt;SwaptionFirstMonthPosition+1,FR$169&gt;SwaptionFirstMonthPosition+SwaptionNumOfMonths+1,$FJ170&gt;SwaptionFirstMonthPosition+SwaptionNumOfMonths+1),"",IF($FJ170=FR$169,1,IF($FJ170&lt;FR$169,INDEX($FK$170:$ID$241,FR$169,$FJ170),SUMPRODUCT(INDEX($FK$325:$ID$396,FR$169,1+SwaptionShift):INDEX($FK$325:$ID$396,FR$169,SwaptionMonthsToGo+SwaptionShift),INDEX($FK$245:$ID$316,$FJ170-FR$169,73-FR$169+SwaptionShift):INDEX($FK$245:$ID$316,$FJ170-FR$169,72-FR$169+SwaptionMonthsToGo+SwaptionShift))/SQRT(SUM(INDEX($FK325:$ID325,1+SwaptionShift):INDEX($FK325:$ID325,SwaptionMonthsToGo+SwaptionShift))*SUM(INDEX($FK$325:$ID$396,FR$169,1+SwaptionShift):INDEX($FK$325:$ID$396,FR$169,SwaptionMonthsToGo+SwaptionShift))))))</f>
        <v/>
      </c>
      <c r="FS170" s="479" t="str">
        <f ca="1">IF(OR(FS$169&lt;SwaptionFirstMonthPosition+1,$FJ170&lt;SwaptionFirstMonthPosition+1,FS$169&gt;SwaptionFirstMonthPosition+SwaptionNumOfMonths+1,$FJ170&gt;SwaptionFirstMonthPosition+SwaptionNumOfMonths+1),"",IF($FJ170=FS$169,1,IF($FJ170&lt;FS$169,INDEX($FK$170:$ID$241,FS$169,$FJ170),SUMPRODUCT(INDEX($FK$325:$ID$396,FS$169,1+SwaptionShift):INDEX($FK$325:$ID$396,FS$169,SwaptionMonthsToGo+SwaptionShift),INDEX($FK$245:$ID$316,$FJ170-FS$169,73-FS$169+SwaptionShift):INDEX($FK$245:$ID$316,$FJ170-FS$169,72-FS$169+SwaptionMonthsToGo+SwaptionShift))/SQRT(SUM(INDEX($FK325:$ID325,1+SwaptionShift):INDEX($FK325:$ID325,SwaptionMonthsToGo+SwaptionShift))*SUM(INDEX($FK$325:$ID$396,FS$169,1+SwaptionShift):INDEX($FK$325:$ID$396,FS$169,SwaptionMonthsToGo+SwaptionShift))))))</f>
        <v/>
      </c>
      <c r="FT170" s="479" t="str">
        <f ca="1">IF(OR(FT$169&lt;SwaptionFirstMonthPosition+1,$FJ170&lt;SwaptionFirstMonthPosition+1,FT$169&gt;SwaptionFirstMonthPosition+SwaptionNumOfMonths+1,$FJ170&gt;SwaptionFirstMonthPosition+SwaptionNumOfMonths+1),"",IF($FJ170=FT$169,1,IF($FJ170&lt;FT$169,INDEX($FK$170:$ID$241,FT$169,$FJ170),SUMPRODUCT(INDEX($FK$325:$ID$396,FT$169,1+SwaptionShift):INDEX($FK$325:$ID$396,FT$169,SwaptionMonthsToGo+SwaptionShift),INDEX($FK$245:$ID$316,$FJ170-FT$169,73-FT$169+SwaptionShift):INDEX($FK$245:$ID$316,$FJ170-FT$169,72-FT$169+SwaptionMonthsToGo+SwaptionShift))/SQRT(SUM(INDEX($FK325:$ID325,1+SwaptionShift):INDEX($FK325:$ID325,SwaptionMonthsToGo+SwaptionShift))*SUM(INDEX($FK$325:$ID$396,FT$169,1+SwaptionShift):INDEX($FK$325:$ID$396,FT$169,SwaptionMonthsToGo+SwaptionShift))))))</f>
        <v/>
      </c>
      <c r="FU170" s="479" t="str">
        <f ca="1">IF(OR(FU$169&lt;SwaptionFirstMonthPosition+1,$FJ170&lt;SwaptionFirstMonthPosition+1,FU$169&gt;SwaptionFirstMonthPosition+SwaptionNumOfMonths+1,$FJ170&gt;SwaptionFirstMonthPosition+SwaptionNumOfMonths+1),"",IF($FJ170=FU$169,1,IF($FJ170&lt;FU$169,INDEX($FK$170:$ID$241,FU$169,$FJ170),SUMPRODUCT(INDEX($FK$325:$ID$396,FU$169,1+SwaptionShift):INDEX($FK$325:$ID$396,FU$169,SwaptionMonthsToGo+SwaptionShift),INDEX($FK$245:$ID$316,$FJ170-FU$169,73-FU$169+SwaptionShift):INDEX($FK$245:$ID$316,$FJ170-FU$169,72-FU$169+SwaptionMonthsToGo+SwaptionShift))/SQRT(SUM(INDEX($FK325:$ID325,1+SwaptionShift):INDEX($FK325:$ID325,SwaptionMonthsToGo+SwaptionShift))*SUM(INDEX($FK$325:$ID$396,FU$169,1+SwaptionShift):INDEX($FK$325:$ID$396,FU$169,SwaptionMonthsToGo+SwaptionShift))))))</f>
        <v/>
      </c>
      <c r="FV170" s="479" t="str">
        <f ca="1">IF(OR(FV$169&lt;SwaptionFirstMonthPosition+1,$FJ170&lt;SwaptionFirstMonthPosition+1,FV$169&gt;SwaptionFirstMonthPosition+SwaptionNumOfMonths+1,$FJ170&gt;SwaptionFirstMonthPosition+SwaptionNumOfMonths+1),"",IF($FJ170=FV$169,1,IF($FJ170&lt;FV$169,INDEX($FK$170:$ID$241,FV$169,$FJ170),SUMPRODUCT(INDEX($FK$325:$ID$396,FV$169,1+SwaptionShift):INDEX($FK$325:$ID$396,FV$169,SwaptionMonthsToGo+SwaptionShift),INDEX($FK$245:$ID$316,$FJ170-FV$169,73-FV$169+SwaptionShift):INDEX($FK$245:$ID$316,$FJ170-FV$169,72-FV$169+SwaptionMonthsToGo+SwaptionShift))/SQRT(SUM(INDEX($FK325:$ID325,1+SwaptionShift):INDEX($FK325:$ID325,SwaptionMonthsToGo+SwaptionShift))*SUM(INDEX($FK$325:$ID$396,FV$169,1+SwaptionShift):INDEX($FK$325:$ID$396,FV$169,SwaptionMonthsToGo+SwaptionShift))))))</f>
        <v/>
      </c>
      <c r="FW170" s="479" t="str">
        <f ca="1">IF(OR(FW$169&lt;SwaptionFirstMonthPosition+1,$FJ170&lt;SwaptionFirstMonthPosition+1,FW$169&gt;SwaptionFirstMonthPosition+SwaptionNumOfMonths+1,$FJ170&gt;SwaptionFirstMonthPosition+SwaptionNumOfMonths+1),"",IF($FJ170=FW$169,1,IF($FJ170&lt;FW$169,INDEX($FK$170:$ID$241,FW$169,$FJ170),SUMPRODUCT(INDEX($FK$325:$ID$396,FW$169,1+SwaptionShift):INDEX($FK$325:$ID$396,FW$169,SwaptionMonthsToGo+SwaptionShift),INDEX($FK$245:$ID$316,$FJ170-FW$169,73-FW$169+SwaptionShift):INDEX($FK$245:$ID$316,$FJ170-FW$169,72-FW$169+SwaptionMonthsToGo+SwaptionShift))/SQRT(SUM(INDEX($FK325:$ID325,1+SwaptionShift):INDEX($FK325:$ID325,SwaptionMonthsToGo+SwaptionShift))*SUM(INDEX($FK$325:$ID$396,FW$169,1+SwaptionShift):INDEX($FK$325:$ID$396,FW$169,SwaptionMonthsToGo+SwaptionShift))))))</f>
        <v/>
      </c>
      <c r="FX170" s="479" t="str">
        <f ca="1">IF(OR(FX$169&lt;SwaptionFirstMonthPosition+1,$FJ170&lt;SwaptionFirstMonthPosition+1,FX$169&gt;SwaptionFirstMonthPosition+SwaptionNumOfMonths+1,$FJ170&gt;SwaptionFirstMonthPosition+SwaptionNumOfMonths+1),"",IF($FJ170=FX$169,1,IF($FJ170&lt;FX$169,INDEX($FK$170:$ID$241,FX$169,$FJ170),SUMPRODUCT(INDEX($FK$325:$ID$396,FX$169,1+SwaptionShift):INDEX($FK$325:$ID$396,FX$169,SwaptionMonthsToGo+SwaptionShift),INDEX($FK$245:$ID$316,$FJ170-FX$169,73-FX$169+SwaptionShift):INDEX($FK$245:$ID$316,$FJ170-FX$169,72-FX$169+SwaptionMonthsToGo+SwaptionShift))/SQRT(SUM(INDEX($FK325:$ID325,1+SwaptionShift):INDEX($FK325:$ID325,SwaptionMonthsToGo+SwaptionShift))*SUM(INDEX($FK$325:$ID$396,FX$169,1+SwaptionShift):INDEX($FK$325:$ID$396,FX$169,SwaptionMonthsToGo+SwaptionShift))))))</f>
        <v/>
      </c>
      <c r="FY170" s="479" t="str">
        <f ca="1">IF(OR(FY$169&lt;SwaptionFirstMonthPosition+1,$FJ170&lt;SwaptionFirstMonthPosition+1,FY$169&gt;SwaptionFirstMonthPosition+SwaptionNumOfMonths+1,$FJ170&gt;SwaptionFirstMonthPosition+SwaptionNumOfMonths+1),"",IF($FJ170=FY$169,1,IF($FJ170&lt;FY$169,INDEX($FK$170:$ID$241,FY$169,$FJ170),SUMPRODUCT(INDEX($FK$325:$ID$396,FY$169,1+SwaptionShift):INDEX($FK$325:$ID$396,FY$169,SwaptionMonthsToGo+SwaptionShift),INDEX($FK$245:$ID$316,$FJ170-FY$169,73-FY$169+SwaptionShift):INDEX($FK$245:$ID$316,$FJ170-FY$169,72-FY$169+SwaptionMonthsToGo+SwaptionShift))/SQRT(SUM(INDEX($FK325:$ID325,1+SwaptionShift):INDEX($FK325:$ID325,SwaptionMonthsToGo+SwaptionShift))*SUM(INDEX($FK$325:$ID$396,FY$169,1+SwaptionShift):INDEX($FK$325:$ID$396,FY$169,SwaptionMonthsToGo+SwaptionShift))))))</f>
        <v/>
      </c>
      <c r="FZ170" s="479" t="str">
        <f ca="1">IF(OR(FZ$169&lt;SwaptionFirstMonthPosition+1,$FJ170&lt;SwaptionFirstMonthPosition+1,FZ$169&gt;SwaptionFirstMonthPosition+SwaptionNumOfMonths+1,$FJ170&gt;SwaptionFirstMonthPosition+SwaptionNumOfMonths+1),"",IF($FJ170=FZ$169,1,IF($FJ170&lt;FZ$169,INDEX($FK$170:$ID$241,FZ$169,$FJ170),SUMPRODUCT(INDEX($FK$325:$ID$396,FZ$169,1+SwaptionShift):INDEX($FK$325:$ID$396,FZ$169,SwaptionMonthsToGo+SwaptionShift),INDEX($FK$245:$ID$316,$FJ170-FZ$169,73-FZ$169+SwaptionShift):INDEX($FK$245:$ID$316,$FJ170-FZ$169,72-FZ$169+SwaptionMonthsToGo+SwaptionShift))/SQRT(SUM(INDEX($FK325:$ID325,1+SwaptionShift):INDEX($FK325:$ID325,SwaptionMonthsToGo+SwaptionShift))*SUM(INDEX($FK$325:$ID$396,FZ$169,1+SwaptionShift):INDEX($FK$325:$ID$396,FZ$169,SwaptionMonthsToGo+SwaptionShift))))))</f>
        <v/>
      </c>
      <c r="GA170" s="479" t="str">
        <f ca="1">IF(OR(GA$169&lt;SwaptionFirstMonthPosition+1,$FJ170&lt;SwaptionFirstMonthPosition+1,GA$169&gt;SwaptionFirstMonthPosition+SwaptionNumOfMonths+1,$FJ170&gt;SwaptionFirstMonthPosition+SwaptionNumOfMonths+1),"",IF($FJ170=GA$169,1,IF($FJ170&lt;GA$169,INDEX($FK$170:$ID$241,GA$169,$FJ170),SUMPRODUCT(INDEX($FK$325:$ID$396,GA$169,1+SwaptionShift):INDEX($FK$325:$ID$396,GA$169,SwaptionMonthsToGo+SwaptionShift),INDEX($FK$245:$ID$316,$FJ170-GA$169,73-GA$169+SwaptionShift):INDEX($FK$245:$ID$316,$FJ170-GA$169,72-GA$169+SwaptionMonthsToGo+SwaptionShift))/SQRT(SUM(INDEX($FK325:$ID325,1+SwaptionShift):INDEX($FK325:$ID325,SwaptionMonthsToGo+SwaptionShift))*SUM(INDEX($FK$325:$ID$396,GA$169,1+SwaptionShift):INDEX($FK$325:$ID$396,GA$169,SwaptionMonthsToGo+SwaptionShift))))))</f>
        <v/>
      </c>
      <c r="GB170" s="479" t="str">
        <f ca="1">IF(OR(GB$169&lt;SwaptionFirstMonthPosition+1,$FJ170&lt;SwaptionFirstMonthPosition+1,GB$169&gt;SwaptionFirstMonthPosition+SwaptionNumOfMonths+1,$FJ170&gt;SwaptionFirstMonthPosition+SwaptionNumOfMonths+1),"",IF($FJ170=GB$169,1,IF($FJ170&lt;GB$169,INDEX($FK$170:$ID$241,GB$169,$FJ170),SUMPRODUCT(INDEX($FK$325:$ID$396,GB$169,1+SwaptionShift):INDEX($FK$325:$ID$396,GB$169,SwaptionMonthsToGo+SwaptionShift),INDEX($FK$245:$ID$316,$FJ170-GB$169,73-GB$169+SwaptionShift):INDEX($FK$245:$ID$316,$FJ170-GB$169,72-GB$169+SwaptionMonthsToGo+SwaptionShift))/SQRT(SUM(INDEX($FK325:$ID325,1+SwaptionShift):INDEX($FK325:$ID325,SwaptionMonthsToGo+SwaptionShift))*SUM(INDEX($FK$325:$ID$396,GB$169,1+SwaptionShift):INDEX($FK$325:$ID$396,GB$169,SwaptionMonthsToGo+SwaptionShift))))))</f>
        <v/>
      </c>
      <c r="GC170" s="479" t="str">
        <f ca="1">IF(OR(GC$169&lt;SwaptionFirstMonthPosition+1,$FJ170&lt;SwaptionFirstMonthPosition+1,GC$169&gt;SwaptionFirstMonthPosition+SwaptionNumOfMonths+1,$FJ170&gt;SwaptionFirstMonthPosition+SwaptionNumOfMonths+1),"",IF($FJ170=GC$169,1,IF($FJ170&lt;GC$169,INDEX($FK$170:$ID$241,GC$169,$FJ170),SUMPRODUCT(INDEX($FK$325:$ID$396,GC$169,1+SwaptionShift):INDEX($FK$325:$ID$396,GC$169,SwaptionMonthsToGo+SwaptionShift),INDEX($FK$245:$ID$316,$FJ170-GC$169,73-GC$169+SwaptionShift):INDEX($FK$245:$ID$316,$FJ170-GC$169,72-GC$169+SwaptionMonthsToGo+SwaptionShift))/SQRT(SUM(INDEX($FK325:$ID325,1+SwaptionShift):INDEX($FK325:$ID325,SwaptionMonthsToGo+SwaptionShift))*SUM(INDEX($FK$325:$ID$396,GC$169,1+SwaptionShift):INDEX($FK$325:$ID$396,GC$169,SwaptionMonthsToGo+SwaptionShift))))))</f>
        <v/>
      </c>
      <c r="GD170" s="479" t="str">
        <f ca="1">IF(OR(GD$169&lt;SwaptionFirstMonthPosition+1,$FJ170&lt;SwaptionFirstMonthPosition+1,GD$169&gt;SwaptionFirstMonthPosition+SwaptionNumOfMonths+1,$FJ170&gt;SwaptionFirstMonthPosition+SwaptionNumOfMonths+1),"",IF($FJ170=GD$169,1,IF($FJ170&lt;GD$169,INDEX($FK$170:$ID$241,GD$169,$FJ170),SUMPRODUCT(INDEX($FK$325:$ID$396,GD$169,1+SwaptionShift):INDEX($FK$325:$ID$396,GD$169,SwaptionMonthsToGo+SwaptionShift),INDEX($FK$245:$ID$316,$FJ170-GD$169,73-GD$169+SwaptionShift):INDEX($FK$245:$ID$316,$FJ170-GD$169,72-GD$169+SwaptionMonthsToGo+SwaptionShift))/SQRT(SUM(INDEX($FK325:$ID325,1+SwaptionShift):INDEX($FK325:$ID325,SwaptionMonthsToGo+SwaptionShift))*SUM(INDEX($FK$325:$ID$396,GD$169,1+SwaptionShift):INDEX($FK$325:$ID$396,GD$169,SwaptionMonthsToGo+SwaptionShift))))))</f>
        <v/>
      </c>
      <c r="GE170" s="479" t="str">
        <f ca="1">IF(OR(GE$169&lt;SwaptionFirstMonthPosition+1,$FJ170&lt;SwaptionFirstMonthPosition+1,GE$169&gt;SwaptionFirstMonthPosition+SwaptionNumOfMonths+1,$FJ170&gt;SwaptionFirstMonthPosition+SwaptionNumOfMonths+1),"",IF($FJ170=GE$169,1,IF($FJ170&lt;GE$169,INDEX($FK$170:$ID$241,GE$169,$FJ170),SUMPRODUCT(INDEX($FK$325:$ID$396,GE$169,1+SwaptionShift):INDEX($FK$325:$ID$396,GE$169,SwaptionMonthsToGo+SwaptionShift),INDEX($FK$245:$ID$316,$FJ170-GE$169,73-GE$169+SwaptionShift):INDEX($FK$245:$ID$316,$FJ170-GE$169,72-GE$169+SwaptionMonthsToGo+SwaptionShift))/SQRT(SUM(INDEX($FK325:$ID325,1+SwaptionShift):INDEX($FK325:$ID325,SwaptionMonthsToGo+SwaptionShift))*SUM(INDEX($FK$325:$ID$396,GE$169,1+SwaptionShift):INDEX($FK$325:$ID$396,GE$169,SwaptionMonthsToGo+SwaptionShift))))))</f>
        <v/>
      </c>
      <c r="GF170" s="479" t="str">
        <f ca="1">IF(OR(GF$169&lt;SwaptionFirstMonthPosition+1,$FJ170&lt;SwaptionFirstMonthPosition+1,GF$169&gt;SwaptionFirstMonthPosition+SwaptionNumOfMonths+1,$FJ170&gt;SwaptionFirstMonthPosition+SwaptionNumOfMonths+1),"",IF($FJ170=GF$169,1,IF($FJ170&lt;GF$169,INDEX($FK$170:$ID$241,GF$169,$FJ170),SUMPRODUCT(INDEX($FK$325:$ID$396,GF$169,1+SwaptionShift):INDEX($FK$325:$ID$396,GF$169,SwaptionMonthsToGo+SwaptionShift),INDEX($FK$245:$ID$316,$FJ170-GF$169,73-GF$169+SwaptionShift):INDEX($FK$245:$ID$316,$FJ170-GF$169,72-GF$169+SwaptionMonthsToGo+SwaptionShift))/SQRT(SUM(INDEX($FK325:$ID325,1+SwaptionShift):INDEX($FK325:$ID325,SwaptionMonthsToGo+SwaptionShift))*SUM(INDEX($FK$325:$ID$396,GF$169,1+SwaptionShift):INDEX($FK$325:$ID$396,GF$169,SwaptionMonthsToGo+SwaptionShift))))))</f>
        <v/>
      </c>
      <c r="GG170" s="479" t="str">
        <f ca="1">IF(OR(GG$169&lt;SwaptionFirstMonthPosition+1,$FJ170&lt;SwaptionFirstMonthPosition+1,GG$169&gt;SwaptionFirstMonthPosition+SwaptionNumOfMonths+1,$FJ170&gt;SwaptionFirstMonthPosition+SwaptionNumOfMonths+1),"",IF($FJ170=GG$169,1,IF($FJ170&lt;GG$169,INDEX($FK$170:$ID$241,GG$169,$FJ170),SUMPRODUCT(INDEX($FK$325:$ID$396,GG$169,1+SwaptionShift):INDEX($FK$325:$ID$396,GG$169,SwaptionMonthsToGo+SwaptionShift),INDEX($FK$245:$ID$316,$FJ170-GG$169,73-GG$169+SwaptionShift):INDEX($FK$245:$ID$316,$FJ170-GG$169,72-GG$169+SwaptionMonthsToGo+SwaptionShift))/SQRT(SUM(INDEX($FK325:$ID325,1+SwaptionShift):INDEX($FK325:$ID325,SwaptionMonthsToGo+SwaptionShift))*SUM(INDEX($FK$325:$ID$396,GG$169,1+SwaptionShift):INDEX($FK$325:$ID$396,GG$169,SwaptionMonthsToGo+SwaptionShift))))))</f>
        <v/>
      </c>
      <c r="GH170" s="479" t="str">
        <f ca="1">IF(OR(GH$169&lt;SwaptionFirstMonthPosition+1,$FJ170&lt;SwaptionFirstMonthPosition+1,GH$169&gt;SwaptionFirstMonthPosition+SwaptionNumOfMonths+1,$FJ170&gt;SwaptionFirstMonthPosition+SwaptionNumOfMonths+1),"",IF($FJ170=GH$169,1,IF($FJ170&lt;GH$169,INDEX($FK$170:$ID$241,GH$169,$FJ170),SUMPRODUCT(INDEX($FK$325:$ID$396,GH$169,1+SwaptionShift):INDEX($FK$325:$ID$396,GH$169,SwaptionMonthsToGo+SwaptionShift),INDEX($FK$245:$ID$316,$FJ170-GH$169,73-GH$169+SwaptionShift):INDEX($FK$245:$ID$316,$FJ170-GH$169,72-GH$169+SwaptionMonthsToGo+SwaptionShift))/SQRT(SUM(INDEX($FK325:$ID325,1+SwaptionShift):INDEX($FK325:$ID325,SwaptionMonthsToGo+SwaptionShift))*SUM(INDEX($FK$325:$ID$396,GH$169,1+SwaptionShift):INDEX($FK$325:$ID$396,GH$169,SwaptionMonthsToGo+SwaptionShift))))))</f>
        <v/>
      </c>
      <c r="GI170" s="479" t="str">
        <f ca="1">IF(OR(GI$169&lt;SwaptionFirstMonthPosition+1,$FJ170&lt;SwaptionFirstMonthPosition+1,GI$169&gt;SwaptionFirstMonthPosition+SwaptionNumOfMonths+1,$FJ170&gt;SwaptionFirstMonthPosition+SwaptionNumOfMonths+1),"",IF($FJ170=GI$169,1,IF($FJ170&lt;GI$169,INDEX($FK$170:$ID$241,GI$169,$FJ170),SUMPRODUCT(INDEX($FK$325:$ID$396,GI$169,1+SwaptionShift):INDEX($FK$325:$ID$396,GI$169,SwaptionMonthsToGo+SwaptionShift),INDEX($FK$245:$ID$316,$FJ170-GI$169,73-GI$169+SwaptionShift):INDEX($FK$245:$ID$316,$FJ170-GI$169,72-GI$169+SwaptionMonthsToGo+SwaptionShift))/SQRT(SUM(INDEX($FK325:$ID325,1+SwaptionShift):INDEX($FK325:$ID325,SwaptionMonthsToGo+SwaptionShift))*SUM(INDEX($FK$325:$ID$396,GI$169,1+SwaptionShift):INDEX($FK$325:$ID$396,GI$169,SwaptionMonthsToGo+SwaptionShift))))))</f>
        <v/>
      </c>
      <c r="GJ170" s="479" t="str">
        <f ca="1">IF(OR(GJ$169&lt;SwaptionFirstMonthPosition+1,$FJ170&lt;SwaptionFirstMonthPosition+1,GJ$169&gt;SwaptionFirstMonthPosition+SwaptionNumOfMonths+1,$FJ170&gt;SwaptionFirstMonthPosition+SwaptionNumOfMonths+1),"",IF($FJ170=GJ$169,1,IF($FJ170&lt;GJ$169,INDEX($FK$170:$ID$241,GJ$169,$FJ170),SUMPRODUCT(INDEX($FK$325:$ID$396,GJ$169,1+SwaptionShift):INDEX($FK$325:$ID$396,GJ$169,SwaptionMonthsToGo+SwaptionShift),INDEX($FK$245:$ID$316,$FJ170-GJ$169,73-GJ$169+SwaptionShift):INDEX($FK$245:$ID$316,$FJ170-GJ$169,72-GJ$169+SwaptionMonthsToGo+SwaptionShift))/SQRT(SUM(INDEX($FK325:$ID325,1+SwaptionShift):INDEX($FK325:$ID325,SwaptionMonthsToGo+SwaptionShift))*SUM(INDEX($FK$325:$ID$396,GJ$169,1+SwaptionShift):INDEX($FK$325:$ID$396,GJ$169,SwaptionMonthsToGo+SwaptionShift))))))</f>
        <v/>
      </c>
      <c r="GK170" s="479" t="str">
        <f ca="1">IF(OR(GK$169&lt;SwaptionFirstMonthPosition+1,$FJ170&lt;SwaptionFirstMonthPosition+1,GK$169&gt;SwaptionFirstMonthPosition+SwaptionNumOfMonths+1,$FJ170&gt;SwaptionFirstMonthPosition+SwaptionNumOfMonths+1),"",IF($FJ170=GK$169,1,IF($FJ170&lt;GK$169,INDEX($FK$170:$ID$241,GK$169,$FJ170),SUMPRODUCT(INDEX($FK$325:$ID$396,GK$169,1+SwaptionShift):INDEX($FK$325:$ID$396,GK$169,SwaptionMonthsToGo+SwaptionShift),INDEX($FK$245:$ID$316,$FJ170-GK$169,73-GK$169+SwaptionShift):INDEX($FK$245:$ID$316,$FJ170-GK$169,72-GK$169+SwaptionMonthsToGo+SwaptionShift))/SQRT(SUM(INDEX($FK325:$ID325,1+SwaptionShift):INDEX($FK325:$ID325,SwaptionMonthsToGo+SwaptionShift))*SUM(INDEX($FK$325:$ID$396,GK$169,1+SwaptionShift):INDEX($FK$325:$ID$396,GK$169,SwaptionMonthsToGo+SwaptionShift))))))</f>
        <v/>
      </c>
      <c r="GL170" s="479" t="str">
        <f ca="1">IF(OR(GL$169&lt;SwaptionFirstMonthPosition+1,$FJ170&lt;SwaptionFirstMonthPosition+1,GL$169&gt;SwaptionFirstMonthPosition+SwaptionNumOfMonths+1,$FJ170&gt;SwaptionFirstMonthPosition+SwaptionNumOfMonths+1),"",IF($FJ170=GL$169,1,IF($FJ170&lt;GL$169,INDEX($FK$170:$ID$241,GL$169,$FJ170),SUMPRODUCT(INDEX($FK$325:$ID$396,GL$169,1+SwaptionShift):INDEX($FK$325:$ID$396,GL$169,SwaptionMonthsToGo+SwaptionShift),INDEX($FK$245:$ID$316,$FJ170-GL$169,73-GL$169+SwaptionShift):INDEX($FK$245:$ID$316,$FJ170-GL$169,72-GL$169+SwaptionMonthsToGo+SwaptionShift))/SQRT(SUM(INDEX($FK325:$ID325,1+SwaptionShift):INDEX($FK325:$ID325,SwaptionMonthsToGo+SwaptionShift))*SUM(INDEX($FK$325:$ID$396,GL$169,1+SwaptionShift):INDEX($FK$325:$ID$396,GL$169,SwaptionMonthsToGo+SwaptionShift))))))</f>
        <v/>
      </c>
      <c r="GM170" s="479" t="str">
        <f ca="1">IF(OR(GM$169&lt;SwaptionFirstMonthPosition+1,$FJ170&lt;SwaptionFirstMonthPosition+1,GM$169&gt;SwaptionFirstMonthPosition+SwaptionNumOfMonths+1,$FJ170&gt;SwaptionFirstMonthPosition+SwaptionNumOfMonths+1),"",IF($FJ170=GM$169,1,IF($FJ170&lt;GM$169,INDEX($FK$170:$ID$241,GM$169,$FJ170),SUMPRODUCT(INDEX($FK$325:$ID$396,GM$169,1+SwaptionShift):INDEX($FK$325:$ID$396,GM$169,SwaptionMonthsToGo+SwaptionShift),INDEX($FK$245:$ID$316,$FJ170-GM$169,73-GM$169+SwaptionShift):INDEX($FK$245:$ID$316,$FJ170-GM$169,72-GM$169+SwaptionMonthsToGo+SwaptionShift))/SQRT(SUM(INDEX($FK325:$ID325,1+SwaptionShift):INDEX($FK325:$ID325,SwaptionMonthsToGo+SwaptionShift))*SUM(INDEX($FK$325:$ID$396,GM$169,1+SwaptionShift):INDEX($FK$325:$ID$396,GM$169,SwaptionMonthsToGo+SwaptionShift))))))</f>
        <v/>
      </c>
      <c r="GN170" s="479" t="str">
        <f ca="1">IF(OR(GN$169&lt;SwaptionFirstMonthPosition+1,$FJ170&lt;SwaptionFirstMonthPosition+1,GN$169&gt;SwaptionFirstMonthPosition+SwaptionNumOfMonths+1,$FJ170&gt;SwaptionFirstMonthPosition+SwaptionNumOfMonths+1),"",IF($FJ170=GN$169,1,IF($FJ170&lt;GN$169,INDEX($FK$170:$ID$241,GN$169,$FJ170),SUMPRODUCT(INDEX($FK$325:$ID$396,GN$169,1+SwaptionShift):INDEX($FK$325:$ID$396,GN$169,SwaptionMonthsToGo+SwaptionShift),INDEX($FK$245:$ID$316,$FJ170-GN$169,73-GN$169+SwaptionShift):INDEX($FK$245:$ID$316,$FJ170-GN$169,72-GN$169+SwaptionMonthsToGo+SwaptionShift))/SQRT(SUM(INDEX($FK325:$ID325,1+SwaptionShift):INDEX($FK325:$ID325,SwaptionMonthsToGo+SwaptionShift))*SUM(INDEX($FK$325:$ID$396,GN$169,1+SwaptionShift):INDEX($FK$325:$ID$396,GN$169,SwaptionMonthsToGo+SwaptionShift))))))</f>
        <v/>
      </c>
      <c r="GO170" s="479" t="str">
        <f ca="1">IF(OR(GO$169&lt;SwaptionFirstMonthPosition+1,$FJ170&lt;SwaptionFirstMonthPosition+1,GO$169&gt;SwaptionFirstMonthPosition+SwaptionNumOfMonths+1,$FJ170&gt;SwaptionFirstMonthPosition+SwaptionNumOfMonths+1),"",IF($FJ170=GO$169,1,IF($FJ170&lt;GO$169,INDEX($FK$170:$ID$241,GO$169,$FJ170),SUMPRODUCT(INDEX($FK$325:$ID$396,GO$169,1+SwaptionShift):INDEX($FK$325:$ID$396,GO$169,SwaptionMonthsToGo+SwaptionShift),INDEX($FK$245:$ID$316,$FJ170-GO$169,73-GO$169+SwaptionShift):INDEX($FK$245:$ID$316,$FJ170-GO$169,72-GO$169+SwaptionMonthsToGo+SwaptionShift))/SQRT(SUM(INDEX($FK325:$ID325,1+SwaptionShift):INDEX($FK325:$ID325,SwaptionMonthsToGo+SwaptionShift))*SUM(INDEX($FK$325:$ID$396,GO$169,1+SwaptionShift):INDEX($FK$325:$ID$396,GO$169,SwaptionMonthsToGo+SwaptionShift))))))</f>
        <v/>
      </c>
      <c r="GP170" s="479" t="str">
        <f ca="1">IF(OR(GP$169&lt;SwaptionFirstMonthPosition+1,$FJ170&lt;SwaptionFirstMonthPosition+1,GP$169&gt;SwaptionFirstMonthPosition+SwaptionNumOfMonths+1,$FJ170&gt;SwaptionFirstMonthPosition+SwaptionNumOfMonths+1),"",IF($FJ170=GP$169,1,IF($FJ170&lt;GP$169,INDEX($FK$170:$ID$241,GP$169,$FJ170),SUMPRODUCT(INDEX($FK$325:$ID$396,GP$169,1+SwaptionShift):INDEX($FK$325:$ID$396,GP$169,SwaptionMonthsToGo+SwaptionShift),INDEX($FK$245:$ID$316,$FJ170-GP$169,73-GP$169+SwaptionShift):INDEX($FK$245:$ID$316,$FJ170-GP$169,72-GP$169+SwaptionMonthsToGo+SwaptionShift))/SQRT(SUM(INDEX($FK325:$ID325,1+SwaptionShift):INDEX($FK325:$ID325,SwaptionMonthsToGo+SwaptionShift))*SUM(INDEX($FK$325:$ID$396,GP$169,1+SwaptionShift):INDEX($FK$325:$ID$396,GP$169,SwaptionMonthsToGo+SwaptionShift))))))</f>
        <v/>
      </c>
      <c r="GQ170" s="479" t="str">
        <f ca="1">IF(OR(GQ$169&lt;SwaptionFirstMonthPosition+1,$FJ170&lt;SwaptionFirstMonthPosition+1,GQ$169&gt;SwaptionFirstMonthPosition+SwaptionNumOfMonths+1,$FJ170&gt;SwaptionFirstMonthPosition+SwaptionNumOfMonths+1),"",IF($FJ170=GQ$169,1,IF($FJ170&lt;GQ$169,INDEX($FK$170:$ID$241,GQ$169,$FJ170),SUMPRODUCT(INDEX($FK$325:$ID$396,GQ$169,1+SwaptionShift):INDEX($FK$325:$ID$396,GQ$169,SwaptionMonthsToGo+SwaptionShift),INDEX($FK$245:$ID$316,$FJ170-GQ$169,73-GQ$169+SwaptionShift):INDEX($FK$245:$ID$316,$FJ170-GQ$169,72-GQ$169+SwaptionMonthsToGo+SwaptionShift))/SQRT(SUM(INDEX($FK325:$ID325,1+SwaptionShift):INDEX($FK325:$ID325,SwaptionMonthsToGo+SwaptionShift))*SUM(INDEX($FK$325:$ID$396,GQ$169,1+SwaptionShift):INDEX($FK$325:$ID$396,GQ$169,SwaptionMonthsToGo+SwaptionShift))))))</f>
        <v/>
      </c>
      <c r="GR170" s="479" t="str">
        <f ca="1">IF(OR(GR$169&lt;SwaptionFirstMonthPosition+1,$FJ170&lt;SwaptionFirstMonthPosition+1,GR$169&gt;SwaptionFirstMonthPosition+SwaptionNumOfMonths+1,$FJ170&gt;SwaptionFirstMonthPosition+SwaptionNumOfMonths+1),"",IF($FJ170=GR$169,1,IF($FJ170&lt;GR$169,INDEX($FK$170:$ID$241,GR$169,$FJ170),SUMPRODUCT(INDEX($FK$325:$ID$396,GR$169,1+SwaptionShift):INDEX($FK$325:$ID$396,GR$169,SwaptionMonthsToGo+SwaptionShift),INDEX($FK$245:$ID$316,$FJ170-GR$169,73-GR$169+SwaptionShift):INDEX($FK$245:$ID$316,$FJ170-GR$169,72-GR$169+SwaptionMonthsToGo+SwaptionShift))/SQRT(SUM(INDEX($FK325:$ID325,1+SwaptionShift):INDEX($FK325:$ID325,SwaptionMonthsToGo+SwaptionShift))*SUM(INDEX($FK$325:$ID$396,GR$169,1+SwaptionShift):INDEX($FK$325:$ID$396,GR$169,SwaptionMonthsToGo+SwaptionShift))))))</f>
        <v/>
      </c>
      <c r="GS170" s="479" t="str">
        <f ca="1">IF(OR(GS$169&lt;SwaptionFirstMonthPosition+1,$FJ170&lt;SwaptionFirstMonthPosition+1,GS$169&gt;SwaptionFirstMonthPosition+SwaptionNumOfMonths+1,$FJ170&gt;SwaptionFirstMonthPosition+SwaptionNumOfMonths+1),"",IF($FJ170=GS$169,1,IF($FJ170&lt;GS$169,INDEX($FK$170:$ID$241,GS$169,$FJ170),SUMPRODUCT(INDEX($FK$325:$ID$396,GS$169,1+SwaptionShift):INDEX($FK$325:$ID$396,GS$169,SwaptionMonthsToGo+SwaptionShift),INDEX($FK$245:$ID$316,$FJ170-GS$169,73-GS$169+SwaptionShift):INDEX($FK$245:$ID$316,$FJ170-GS$169,72-GS$169+SwaptionMonthsToGo+SwaptionShift))/SQRT(SUM(INDEX($FK325:$ID325,1+SwaptionShift):INDEX($FK325:$ID325,SwaptionMonthsToGo+SwaptionShift))*SUM(INDEX($FK$325:$ID$396,GS$169,1+SwaptionShift):INDEX($FK$325:$ID$396,GS$169,SwaptionMonthsToGo+SwaptionShift))))))</f>
        <v/>
      </c>
      <c r="GT170" s="479" t="str">
        <f ca="1">IF(OR(GT$169&lt;SwaptionFirstMonthPosition+1,$FJ170&lt;SwaptionFirstMonthPosition+1,GT$169&gt;SwaptionFirstMonthPosition+SwaptionNumOfMonths+1,$FJ170&gt;SwaptionFirstMonthPosition+SwaptionNumOfMonths+1),"",IF($FJ170=GT$169,1,IF($FJ170&lt;GT$169,INDEX($FK$170:$ID$241,GT$169,$FJ170),SUMPRODUCT(INDEX($FK$325:$ID$396,GT$169,1+SwaptionShift):INDEX($FK$325:$ID$396,GT$169,SwaptionMonthsToGo+SwaptionShift),INDEX($FK$245:$ID$316,$FJ170-GT$169,73-GT$169+SwaptionShift):INDEX($FK$245:$ID$316,$FJ170-GT$169,72-GT$169+SwaptionMonthsToGo+SwaptionShift))/SQRT(SUM(INDEX($FK325:$ID325,1+SwaptionShift):INDEX($FK325:$ID325,SwaptionMonthsToGo+SwaptionShift))*SUM(INDEX($FK$325:$ID$396,GT$169,1+SwaptionShift):INDEX($FK$325:$ID$396,GT$169,SwaptionMonthsToGo+SwaptionShift))))))</f>
        <v/>
      </c>
      <c r="GU170" s="479" t="str">
        <f ca="1">IF(OR(GU$169&lt;SwaptionFirstMonthPosition+1,$FJ170&lt;SwaptionFirstMonthPosition+1,GU$169&gt;SwaptionFirstMonthPosition+SwaptionNumOfMonths+1,$FJ170&gt;SwaptionFirstMonthPosition+SwaptionNumOfMonths+1),"",IF($FJ170=GU$169,1,IF($FJ170&lt;GU$169,INDEX($FK$170:$ID$241,GU$169,$FJ170),SUMPRODUCT(INDEX($FK$325:$ID$396,GU$169,1+SwaptionShift):INDEX($FK$325:$ID$396,GU$169,SwaptionMonthsToGo+SwaptionShift),INDEX($FK$245:$ID$316,$FJ170-GU$169,73-GU$169+SwaptionShift):INDEX($FK$245:$ID$316,$FJ170-GU$169,72-GU$169+SwaptionMonthsToGo+SwaptionShift))/SQRT(SUM(INDEX($FK325:$ID325,1+SwaptionShift):INDEX($FK325:$ID325,SwaptionMonthsToGo+SwaptionShift))*SUM(INDEX($FK$325:$ID$396,GU$169,1+SwaptionShift):INDEX($FK$325:$ID$396,GU$169,SwaptionMonthsToGo+SwaptionShift))))))</f>
        <v/>
      </c>
      <c r="GV170" s="479" t="str">
        <f ca="1">IF(OR(GV$169&lt;SwaptionFirstMonthPosition+1,$FJ170&lt;SwaptionFirstMonthPosition+1,GV$169&gt;SwaptionFirstMonthPosition+SwaptionNumOfMonths+1,$FJ170&gt;SwaptionFirstMonthPosition+SwaptionNumOfMonths+1),"",IF($FJ170=GV$169,1,IF($FJ170&lt;GV$169,INDEX($FK$170:$ID$241,GV$169,$FJ170),SUMPRODUCT(INDEX($FK$325:$ID$396,GV$169,1+SwaptionShift):INDEX($FK$325:$ID$396,GV$169,SwaptionMonthsToGo+SwaptionShift),INDEX($FK$245:$ID$316,$FJ170-GV$169,73-GV$169+SwaptionShift):INDEX($FK$245:$ID$316,$FJ170-GV$169,72-GV$169+SwaptionMonthsToGo+SwaptionShift))/SQRT(SUM(INDEX($FK325:$ID325,1+SwaptionShift):INDEX($FK325:$ID325,SwaptionMonthsToGo+SwaptionShift))*SUM(INDEX($FK$325:$ID$396,GV$169,1+SwaptionShift):INDEX($FK$325:$ID$396,GV$169,SwaptionMonthsToGo+SwaptionShift))))))</f>
        <v/>
      </c>
      <c r="GW170" s="479" t="str">
        <f ca="1">IF(OR(GW$169&lt;SwaptionFirstMonthPosition+1,$FJ170&lt;SwaptionFirstMonthPosition+1,GW$169&gt;SwaptionFirstMonthPosition+SwaptionNumOfMonths+1,$FJ170&gt;SwaptionFirstMonthPosition+SwaptionNumOfMonths+1),"",IF($FJ170=GW$169,1,IF($FJ170&lt;GW$169,INDEX($FK$170:$ID$241,GW$169,$FJ170),SUMPRODUCT(INDEX($FK$325:$ID$396,GW$169,1+SwaptionShift):INDEX($FK$325:$ID$396,GW$169,SwaptionMonthsToGo+SwaptionShift),INDEX($FK$245:$ID$316,$FJ170-GW$169,73-GW$169+SwaptionShift):INDEX($FK$245:$ID$316,$FJ170-GW$169,72-GW$169+SwaptionMonthsToGo+SwaptionShift))/SQRT(SUM(INDEX($FK325:$ID325,1+SwaptionShift):INDEX($FK325:$ID325,SwaptionMonthsToGo+SwaptionShift))*SUM(INDEX($FK$325:$ID$396,GW$169,1+SwaptionShift):INDEX($FK$325:$ID$396,GW$169,SwaptionMonthsToGo+SwaptionShift))))))</f>
        <v/>
      </c>
      <c r="GX170" s="479" t="str">
        <f ca="1">IF(OR(GX$169&lt;SwaptionFirstMonthPosition+1,$FJ170&lt;SwaptionFirstMonthPosition+1,GX$169&gt;SwaptionFirstMonthPosition+SwaptionNumOfMonths+1,$FJ170&gt;SwaptionFirstMonthPosition+SwaptionNumOfMonths+1),"",IF($FJ170=GX$169,1,IF($FJ170&lt;GX$169,INDEX($FK$170:$ID$241,GX$169,$FJ170),SUMPRODUCT(INDEX($FK$325:$ID$396,GX$169,1+SwaptionShift):INDEX($FK$325:$ID$396,GX$169,SwaptionMonthsToGo+SwaptionShift),INDEX($FK$245:$ID$316,$FJ170-GX$169,73-GX$169+SwaptionShift):INDEX($FK$245:$ID$316,$FJ170-GX$169,72-GX$169+SwaptionMonthsToGo+SwaptionShift))/SQRT(SUM(INDEX($FK325:$ID325,1+SwaptionShift):INDEX($FK325:$ID325,SwaptionMonthsToGo+SwaptionShift))*SUM(INDEX($FK$325:$ID$396,GX$169,1+SwaptionShift):INDEX($FK$325:$ID$396,GX$169,SwaptionMonthsToGo+SwaptionShift))))))</f>
        <v/>
      </c>
      <c r="GY170" s="479" t="str">
        <f ca="1">IF(OR(GY$169&lt;SwaptionFirstMonthPosition+1,$FJ170&lt;SwaptionFirstMonthPosition+1,GY$169&gt;SwaptionFirstMonthPosition+SwaptionNumOfMonths+1,$FJ170&gt;SwaptionFirstMonthPosition+SwaptionNumOfMonths+1),"",IF($FJ170=GY$169,1,IF($FJ170&lt;GY$169,INDEX($FK$170:$ID$241,GY$169,$FJ170),SUMPRODUCT(INDEX($FK$325:$ID$396,GY$169,1+SwaptionShift):INDEX($FK$325:$ID$396,GY$169,SwaptionMonthsToGo+SwaptionShift),INDEX($FK$245:$ID$316,$FJ170-GY$169,73-GY$169+SwaptionShift):INDEX($FK$245:$ID$316,$FJ170-GY$169,72-GY$169+SwaptionMonthsToGo+SwaptionShift))/SQRT(SUM(INDEX($FK325:$ID325,1+SwaptionShift):INDEX($FK325:$ID325,SwaptionMonthsToGo+SwaptionShift))*SUM(INDEX($FK$325:$ID$396,GY$169,1+SwaptionShift):INDEX($FK$325:$ID$396,GY$169,SwaptionMonthsToGo+SwaptionShift))))))</f>
        <v/>
      </c>
      <c r="GZ170" s="479" t="str">
        <f ca="1">IF(OR(GZ$169&lt;SwaptionFirstMonthPosition+1,$FJ170&lt;SwaptionFirstMonthPosition+1,GZ$169&gt;SwaptionFirstMonthPosition+SwaptionNumOfMonths+1,$FJ170&gt;SwaptionFirstMonthPosition+SwaptionNumOfMonths+1),"",IF($FJ170=GZ$169,1,IF($FJ170&lt;GZ$169,INDEX($FK$170:$ID$241,GZ$169,$FJ170),SUMPRODUCT(INDEX($FK$325:$ID$396,GZ$169,1+SwaptionShift):INDEX($FK$325:$ID$396,GZ$169,SwaptionMonthsToGo+SwaptionShift),INDEX($FK$245:$ID$316,$FJ170-GZ$169,73-GZ$169+SwaptionShift):INDEX($FK$245:$ID$316,$FJ170-GZ$169,72-GZ$169+SwaptionMonthsToGo+SwaptionShift))/SQRT(SUM(INDEX($FK325:$ID325,1+SwaptionShift):INDEX($FK325:$ID325,SwaptionMonthsToGo+SwaptionShift))*SUM(INDEX($FK$325:$ID$396,GZ$169,1+SwaptionShift):INDEX($FK$325:$ID$396,GZ$169,SwaptionMonthsToGo+SwaptionShift))))))</f>
        <v/>
      </c>
      <c r="HA170" s="479" t="str">
        <f ca="1">IF(OR(HA$169&lt;SwaptionFirstMonthPosition+1,$FJ170&lt;SwaptionFirstMonthPosition+1,HA$169&gt;SwaptionFirstMonthPosition+SwaptionNumOfMonths+1,$FJ170&gt;SwaptionFirstMonthPosition+SwaptionNumOfMonths+1),"",IF($FJ170=HA$169,1,IF($FJ170&lt;HA$169,INDEX($FK$170:$ID$241,HA$169,$FJ170),SUMPRODUCT(INDEX($FK$325:$ID$396,HA$169,1+SwaptionShift):INDEX($FK$325:$ID$396,HA$169,SwaptionMonthsToGo+SwaptionShift),INDEX($FK$245:$ID$316,$FJ170-HA$169,73-HA$169+SwaptionShift):INDEX($FK$245:$ID$316,$FJ170-HA$169,72-HA$169+SwaptionMonthsToGo+SwaptionShift))/SQRT(SUM(INDEX($FK325:$ID325,1+SwaptionShift):INDEX($FK325:$ID325,SwaptionMonthsToGo+SwaptionShift))*SUM(INDEX($FK$325:$ID$396,HA$169,1+SwaptionShift):INDEX($FK$325:$ID$396,HA$169,SwaptionMonthsToGo+SwaptionShift))))))</f>
        <v/>
      </c>
      <c r="HB170" s="479" t="str">
        <f ca="1">IF(OR(HB$169&lt;SwaptionFirstMonthPosition+1,$FJ170&lt;SwaptionFirstMonthPosition+1,HB$169&gt;SwaptionFirstMonthPosition+SwaptionNumOfMonths+1,$FJ170&gt;SwaptionFirstMonthPosition+SwaptionNumOfMonths+1),"",IF($FJ170=HB$169,1,IF($FJ170&lt;HB$169,INDEX($FK$170:$ID$241,HB$169,$FJ170),SUMPRODUCT(INDEX($FK$325:$ID$396,HB$169,1+SwaptionShift):INDEX($FK$325:$ID$396,HB$169,SwaptionMonthsToGo+SwaptionShift),INDEX($FK$245:$ID$316,$FJ170-HB$169,73-HB$169+SwaptionShift):INDEX($FK$245:$ID$316,$FJ170-HB$169,72-HB$169+SwaptionMonthsToGo+SwaptionShift))/SQRT(SUM(INDEX($FK325:$ID325,1+SwaptionShift):INDEX($FK325:$ID325,SwaptionMonthsToGo+SwaptionShift))*SUM(INDEX($FK$325:$ID$396,HB$169,1+SwaptionShift):INDEX($FK$325:$ID$396,HB$169,SwaptionMonthsToGo+SwaptionShift))))))</f>
        <v/>
      </c>
      <c r="HC170" s="479" t="str">
        <f ca="1">IF(OR(HC$169&lt;SwaptionFirstMonthPosition+1,$FJ170&lt;SwaptionFirstMonthPosition+1,HC$169&gt;SwaptionFirstMonthPosition+SwaptionNumOfMonths+1,$FJ170&gt;SwaptionFirstMonthPosition+SwaptionNumOfMonths+1),"",IF($FJ170=HC$169,1,IF($FJ170&lt;HC$169,INDEX($FK$170:$ID$241,HC$169,$FJ170),SUMPRODUCT(INDEX($FK$325:$ID$396,HC$169,1+SwaptionShift):INDEX($FK$325:$ID$396,HC$169,SwaptionMonthsToGo+SwaptionShift),INDEX($FK$245:$ID$316,$FJ170-HC$169,73-HC$169+SwaptionShift):INDEX($FK$245:$ID$316,$FJ170-HC$169,72-HC$169+SwaptionMonthsToGo+SwaptionShift))/SQRT(SUM(INDEX($FK325:$ID325,1+SwaptionShift):INDEX($FK325:$ID325,SwaptionMonthsToGo+SwaptionShift))*SUM(INDEX($FK$325:$ID$396,HC$169,1+SwaptionShift):INDEX($FK$325:$ID$396,HC$169,SwaptionMonthsToGo+SwaptionShift))))))</f>
        <v/>
      </c>
      <c r="HD170" s="479" t="str">
        <f ca="1">IF(OR(HD$169&lt;SwaptionFirstMonthPosition+1,$FJ170&lt;SwaptionFirstMonthPosition+1,HD$169&gt;SwaptionFirstMonthPosition+SwaptionNumOfMonths+1,$FJ170&gt;SwaptionFirstMonthPosition+SwaptionNumOfMonths+1),"",IF($FJ170=HD$169,1,IF($FJ170&lt;HD$169,INDEX($FK$170:$ID$241,HD$169,$FJ170),SUMPRODUCT(INDEX($FK$325:$ID$396,HD$169,1+SwaptionShift):INDEX($FK$325:$ID$396,HD$169,SwaptionMonthsToGo+SwaptionShift),INDEX($FK$245:$ID$316,$FJ170-HD$169,73-HD$169+SwaptionShift):INDEX($FK$245:$ID$316,$FJ170-HD$169,72-HD$169+SwaptionMonthsToGo+SwaptionShift))/SQRT(SUM(INDEX($FK325:$ID325,1+SwaptionShift):INDEX($FK325:$ID325,SwaptionMonthsToGo+SwaptionShift))*SUM(INDEX($FK$325:$ID$396,HD$169,1+SwaptionShift):INDEX($FK$325:$ID$396,HD$169,SwaptionMonthsToGo+SwaptionShift))))))</f>
        <v/>
      </c>
      <c r="HE170" s="479" t="str">
        <f ca="1">IF(OR(HE$169&lt;SwaptionFirstMonthPosition+1,$FJ170&lt;SwaptionFirstMonthPosition+1,HE$169&gt;SwaptionFirstMonthPosition+SwaptionNumOfMonths+1,$FJ170&gt;SwaptionFirstMonthPosition+SwaptionNumOfMonths+1),"",IF($FJ170=HE$169,1,IF($FJ170&lt;HE$169,INDEX($FK$170:$ID$241,HE$169,$FJ170),SUMPRODUCT(INDEX($FK$325:$ID$396,HE$169,1+SwaptionShift):INDEX($FK$325:$ID$396,HE$169,SwaptionMonthsToGo+SwaptionShift),INDEX($FK$245:$ID$316,$FJ170-HE$169,73-HE$169+SwaptionShift):INDEX($FK$245:$ID$316,$FJ170-HE$169,72-HE$169+SwaptionMonthsToGo+SwaptionShift))/SQRT(SUM(INDEX($FK325:$ID325,1+SwaptionShift):INDEX($FK325:$ID325,SwaptionMonthsToGo+SwaptionShift))*SUM(INDEX($FK$325:$ID$396,HE$169,1+SwaptionShift):INDEX($FK$325:$ID$396,HE$169,SwaptionMonthsToGo+SwaptionShift))))))</f>
        <v/>
      </c>
      <c r="HF170" s="479" t="str">
        <f ca="1">IF(OR(HF$169&lt;SwaptionFirstMonthPosition+1,$FJ170&lt;SwaptionFirstMonthPosition+1,HF$169&gt;SwaptionFirstMonthPosition+SwaptionNumOfMonths+1,$FJ170&gt;SwaptionFirstMonthPosition+SwaptionNumOfMonths+1),"",IF($FJ170=HF$169,1,IF($FJ170&lt;HF$169,INDEX($FK$170:$ID$241,HF$169,$FJ170),SUMPRODUCT(INDEX($FK$325:$ID$396,HF$169,1+SwaptionShift):INDEX($FK$325:$ID$396,HF$169,SwaptionMonthsToGo+SwaptionShift),INDEX($FK$245:$ID$316,$FJ170-HF$169,73-HF$169+SwaptionShift):INDEX($FK$245:$ID$316,$FJ170-HF$169,72-HF$169+SwaptionMonthsToGo+SwaptionShift))/SQRT(SUM(INDEX($FK325:$ID325,1+SwaptionShift):INDEX($FK325:$ID325,SwaptionMonthsToGo+SwaptionShift))*SUM(INDEX($FK$325:$ID$396,HF$169,1+SwaptionShift):INDEX($FK$325:$ID$396,HF$169,SwaptionMonthsToGo+SwaptionShift))))))</f>
        <v/>
      </c>
      <c r="HG170" s="479" t="str">
        <f ca="1">IF(OR(HG$169&lt;SwaptionFirstMonthPosition+1,$FJ170&lt;SwaptionFirstMonthPosition+1,HG$169&gt;SwaptionFirstMonthPosition+SwaptionNumOfMonths+1,$FJ170&gt;SwaptionFirstMonthPosition+SwaptionNumOfMonths+1),"",IF($FJ170=HG$169,1,IF($FJ170&lt;HG$169,INDEX($FK$170:$ID$241,HG$169,$FJ170),SUMPRODUCT(INDEX($FK$325:$ID$396,HG$169,1+SwaptionShift):INDEX($FK$325:$ID$396,HG$169,SwaptionMonthsToGo+SwaptionShift),INDEX($FK$245:$ID$316,$FJ170-HG$169,73-HG$169+SwaptionShift):INDEX($FK$245:$ID$316,$FJ170-HG$169,72-HG$169+SwaptionMonthsToGo+SwaptionShift))/SQRT(SUM(INDEX($FK325:$ID325,1+SwaptionShift):INDEX($FK325:$ID325,SwaptionMonthsToGo+SwaptionShift))*SUM(INDEX($FK$325:$ID$396,HG$169,1+SwaptionShift):INDEX($FK$325:$ID$396,HG$169,SwaptionMonthsToGo+SwaptionShift))))))</f>
        <v/>
      </c>
      <c r="HH170" s="479" t="str">
        <f ca="1">IF(OR(HH$169&lt;SwaptionFirstMonthPosition+1,$FJ170&lt;SwaptionFirstMonthPosition+1,HH$169&gt;SwaptionFirstMonthPosition+SwaptionNumOfMonths+1,$FJ170&gt;SwaptionFirstMonthPosition+SwaptionNumOfMonths+1),"",IF($FJ170=HH$169,1,IF($FJ170&lt;HH$169,INDEX($FK$170:$ID$241,HH$169,$FJ170),SUMPRODUCT(INDEX($FK$325:$ID$396,HH$169,1+SwaptionShift):INDEX($FK$325:$ID$396,HH$169,SwaptionMonthsToGo+SwaptionShift),INDEX($FK$245:$ID$316,$FJ170-HH$169,73-HH$169+SwaptionShift):INDEX($FK$245:$ID$316,$FJ170-HH$169,72-HH$169+SwaptionMonthsToGo+SwaptionShift))/SQRT(SUM(INDEX($FK325:$ID325,1+SwaptionShift):INDEX($FK325:$ID325,SwaptionMonthsToGo+SwaptionShift))*SUM(INDEX($FK$325:$ID$396,HH$169,1+SwaptionShift):INDEX($FK$325:$ID$396,HH$169,SwaptionMonthsToGo+SwaptionShift))))))</f>
        <v/>
      </c>
      <c r="HI170" s="479" t="str">
        <f ca="1">IF(OR(HI$169&lt;SwaptionFirstMonthPosition+1,$FJ170&lt;SwaptionFirstMonthPosition+1,HI$169&gt;SwaptionFirstMonthPosition+SwaptionNumOfMonths+1,$FJ170&gt;SwaptionFirstMonthPosition+SwaptionNumOfMonths+1),"",IF($FJ170=HI$169,1,IF($FJ170&lt;HI$169,INDEX($FK$170:$ID$241,HI$169,$FJ170),SUMPRODUCT(INDEX($FK$325:$ID$396,HI$169,1+SwaptionShift):INDEX($FK$325:$ID$396,HI$169,SwaptionMonthsToGo+SwaptionShift),INDEX($FK$245:$ID$316,$FJ170-HI$169,73-HI$169+SwaptionShift):INDEX($FK$245:$ID$316,$FJ170-HI$169,72-HI$169+SwaptionMonthsToGo+SwaptionShift))/SQRT(SUM(INDEX($FK325:$ID325,1+SwaptionShift):INDEX($FK325:$ID325,SwaptionMonthsToGo+SwaptionShift))*SUM(INDEX($FK$325:$ID$396,HI$169,1+SwaptionShift):INDEX($FK$325:$ID$396,HI$169,SwaptionMonthsToGo+SwaptionShift))))))</f>
        <v/>
      </c>
      <c r="HJ170" s="479" t="str">
        <f ca="1">IF(OR(HJ$169&lt;SwaptionFirstMonthPosition+1,$FJ170&lt;SwaptionFirstMonthPosition+1,HJ$169&gt;SwaptionFirstMonthPosition+SwaptionNumOfMonths+1,$FJ170&gt;SwaptionFirstMonthPosition+SwaptionNumOfMonths+1),"",IF($FJ170=HJ$169,1,IF($FJ170&lt;HJ$169,INDEX($FK$170:$ID$241,HJ$169,$FJ170),SUMPRODUCT(INDEX($FK$325:$ID$396,HJ$169,1+SwaptionShift):INDEX($FK$325:$ID$396,HJ$169,SwaptionMonthsToGo+SwaptionShift),INDEX($FK$245:$ID$316,$FJ170-HJ$169,73-HJ$169+SwaptionShift):INDEX($FK$245:$ID$316,$FJ170-HJ$169,72-HJ$169+SwaptionMonthsToGo+SwaptionShift))/SQRT(SUM(INDEX($FK325:$ID325,1+SwaptionShift):INDEX($FK325:$ID325,SwaptionMonthsToGo+SwaptionShift))*SUM(INDEX($FK$325:$ID$396,HJ$169,1+SwaptionShift):INDEX($FK$325:$ID$396,HJ$169,SwaptionMonthsToGo+SwaptionShift))))))</f>
        <v/>
      </c>
      <c r="HK170" s="479" t="str">
        <f ca="1">IF(OR(HK$169&lt;SwaptionFirstMonthPosition+1,$FJ170&lt;SwaptionFirstMonthPosition+1,HK$169&gt;SwaptionFirstMonthPosition+SwaptionNumOfMonths+1,$FJ170&gt;SwaptionFirstMonthPosition+SwaptionNumOfMonths+1),"",IF($FJ170=HK$169,1,IF($FJ170&lt;HK$169,INDEX($FK$170:$ID$241,HK$169,$FJ170),SUMPRODUCT(INDEX($FK$325:$ID$396,HK$169,1+SwaptionShift):INDEX($FK$325:$ID$396,HK$169,SwaptionMonthsToGo+SwaptionShift),INDEX($FK$245:$ID$316,$FJ170-HK$169,73-HK$169+SwaptionShift):INDEX($FK$245:$ID$316,$FJ170-HK$169,72-HK$169+SwaptionMonthsToGo+SwaptionShift))/SQRT(SUM(INDEX($FK325:$ID325,1+SwaptionShift):INDEX($FK325:$ID325,SwaptionMonthsToGo+SwaptionShift))*SUM(INDEX($FK$325:$ID$396,HK$169,1+SwaptionShift):INDEX($FK$325:$ID$396,HK$169,SwaptionMonthsToGo+SwaptionShift))))))</f>
        <v/>
      </c>
      <c r="HL170" s="479" t="str">
        <f ca="1">IF(OR(HL$169&lt;SwaptionFirstMonthPosition+1,$FJ170&lt;SwaptionFirstMonthPosition+1,HL$169&gt;SwaptionFirstMonthPosition+SwaptionNumOfMonths+1,$FJ170&gt;SwaptionFirstMonthPosition+SwaptionNumOfMonths+1),"",IF($FJ170=HL$169,1,IF($FJ170&lt;HL$169,INDEX($FK$170:$ID$241,HL$169,$FJ170),SUMPRODUCT(INDEX($FK$325:$ID$396,HL$169,1+SwaptionShift):INDEX($FK$325:$ID$396,HL$169,SwaptionMonthsToGo+SwaptionShift),INDEX($FK$245:$ID$316,$FJ170-HL$169,73-HL$169+SwaptionShift):INDEX($FK$245:$ID$316,$FJ170-HL$169,72-HL$169+SwaptionMonthsToGo+SwaptionShift))/SQRT(SUM(INDEX($FK325:$ID325,1+SwaptionShift):INDEX($FK325:$ID325,SwaptionMonthsToGo+SwaptionShift))*SUM(INDEX($FK$325:$ID$396,HL$169,1+SwaptionShift):INDEX($FK$325:$ID$396,HL$169,SwaptionMonthsToGo+SwaptionShift))))))</f>
        <v/>
      </c>
      <c r="HM170" s="479" t="str">
        <f ca="1">IF(OR(HM$169&lt;SwaptionFirstMonthPosition+1,$FJ170&lt;SwaptionFirstMonthPosition+1,HM$169&gt;SwaptionFirstMonthPosition+SwaptionNumOfMonths+1,$FJ170&gt;SwaptionFirstMonthPosition+SwaptionNumOfMonths+1),"",IF($FJ170=HM$169,1,IF($FJ170&lt;HM$169,INDEX($FK$170:$ID$241,HM$169,$FJ170),SUMPRODUCT(INDEX($FK$325:$ID$396,HM$169,1+SwaptionShift):INDEX($FK$325:$ID$396,HM$169,SwaptionMonthsToGo+SwaptionShift),INDEX($FK$245:$ID$316,$FJ170-HM$169,73-HM$169+SwaptionShift):INDEX($FK$245:$ID$316,$FJ170-HM$169,72-HM$169+SwaptionMonthsToGo+SwaptionShift))/SQRT(SUM(INDEX($FK325:$ID325,1+SwaptionShift):INDEX($FK325:$ID325,SwaptionMonthsToGo+SwaptionShift))*SUM(INDEX($FK$325:$ID$396,HM$169,1+SwaptionShift):INDEX($FK$325:$ID$396,HM$169,SwaptionMonthsToGo+SwaptionShift))))))</f>
        <v/>
      </c>
      <c r="HN170" s="479" t="str">
        <f ca="1">IF(OR(HN$169&lt;SwaptionFirstMonthPosition+1,$FJ170&lt;SwaptionFirstMonthPosition+1,HN$169&gt;SwaptionFirstMonthPosition+SwaptionNumOfMonths+1,$FJ170&gt;SwaptionFirstMonthPosition+SwaptionNumOfMonths+1),"",IF($FJ170=HN$169,1,IF($FJ170&lt;HN$169,INDEX($FK$170:$ID$241,HN$169,$FJ170),SUMPRODUCT(INDEX($FK$325:$ID$396,HN$169,1+SwaptionShift):INDEX($FK$325:$ID$396,HN$169,SwaptionMonthsToGo+SwaptionShift),INDEX($FK$245:$ID$316,$FJ170-HN$169,73-HN$169+SwaptionShift):INDEX($FK$245:$ID$316,$FJ170-HN$169,72-HN$169+SwaptionMonthsToGo+SwaptionShift))/SQRT(SUM(INDEX($FK325:$ID325,1+SwaptionShift):INDEX($FK325:$ID325,SwaptionMonthsToGo+SwaptionShift))*SUM(INDEX($FK$325:$ID$396,HN$169,1+SwaptionShift):INDEX($FK$325:$ID$396,HN$169,SwaptionMonthsToGo+SwaptionShift))))))</f>
        <v/>
      </c>
      <c r="HO170" s="479" t="str">
        <f ca="1">IF(OR(HO$169&lt;SwaptionFirstMonthPosition+1,$FJ170&lt;SwaptionFirstMonthPosition+1,HO$169&gt;SwaptionFirstMonthPosition+SwaptionNumOfMonths+1,$FJ170&gt;SwaptionFirstMonthPosition+SwaptionNumOfMonths+1),"",IF($FJ170=HO$169,1,IF($FJ170&lt;HO$169,INDEX($FK$170:$ID$241,HO$169,$FJ170),SUMPRODUCT(INDEX($FK$325:$ID$396,HO$169,1+SwaptionShift):INDEX($FK$325:$ID$396,HO$169,SwaptionMonthsToGo+SwaptionShift),INDEX($FK$245:$ID$316,$FJ170-HO$169,73-HO$169+SwaptionShift):INDEX($FK$245:$ID$316,$FJ170-HO$169,72-HO$169+SwaptionMonthsToGo+SwaptionShift))/SQRT(SUM(INDEX($FK325:$ID325,1+SwaptionShift):INDEX($FK325:$ID325,SwaptionMonthsToGo+SwaptionShift))*SUM(INDEX($FK$325:$ID$396,HO$169,1+SwaptionShift):INDEX($FK$325:$ID$396,HO$169,SwaptionMonthsToGo+SwaptionShift))))))</f>
        <v/>
      </c>
      <c r="HP170" s="479" t="str">
        <f ca="1">IF(OR(HP$169&lt;SwaptionFirstMonthPosition+1,$FJ170&lt;SwaptionFirstMonthPosition+1,HP$169&gt;SwaptionFirstMonthPosition+SwaptionNumOfMonths+1,$FJ170&gt;SwaptionFirstMonthPosition+SwaptionNumOfMonths+1),"",IF($FJ170=HP$169,1,IF($FJ170&lt;HP$169,INDEX($FK$170:$ID$241,HP$169,$FJ170),SUMPRODUCT(INDEX($FK$325:$ID$396,HP$169,1+SwaptionShift):INDEX($FK$325:$ID$396,HP$169,SwaptionMonthsToGo+SwaptionShift),INDEX($FK$245:$ID$316,$FJ170-HP$169,73-HP$169+SwaptionShift):INDEX($FK$245:$ID$316,$FJ170-HP$169,72-HP$169+SwaptionMonthsToGo+SwaptionShift))/SQRT(SUM(INDEX($FK325:$ID325,1+SwaptionShift):INDEX($FK325:$ID325,SwaptionMonthsToGo+SwaptionShift))*SUM(INDEX($FK$325:$ID$396,HP$169,1+SwaptionShift):INDEX($FK$325:$ID$396,HP$169,SwaptionMonthsToGo+SwaptionShift))))))</f>
        <v/>
      </c>
      <c r="HQ170" s="479" t="str">
        <f ca="1">IF(OR(HQ$169&lt;SwaptionFirstMonthPosition+1,$FJ170&lt;SwaptionFirstMonthPosition+1,HQ$169&gt;SwaptionFirstMonthPosition+SwaptionNumOfMonths+1,$FJ170&gt;SwaptionFirstMonthPosition+SwaptionNumOfMonths+1),"",IF($FJ170=HQ$169,1,IF($FJ170&lt;HQ$169,INDEX($FK$170:$ID$241,HQ$169,$FJ170),SUMPRODUCT(INDEX($FK$325:$ID$396,HQ$169,1+SwaptionShift):INDEX($FK$325:$ID$396,HQ$169,SwaptionMonthsToGo+SwaptionShift),INDEX($FK$245:$ID$316,$FJ170-HQ$169,73-HQ$169+SwaptionShift):INDEX($FK$245:$ID$316,$FJ170-HQ$169,72-HQ$169+SwaptionMonthsToGo+SwaptionShift))/SQRT(SUM(INDEX($FK325:$ID325,1+SwaptionShift):INDEX($FK325:$ID325,SwaptionMonthsToGo+SwaptionShift))*SUM(INDEX($FK$325:$ID$396,HQ$169,1+SwaptionShift):INDEX($FK$325:$ID$396,HQ$169,SwaptionMonthsToGo+SwaptionShift))))))</f>
        <v/>
      </c>
      <c r="HR170" s="479" t="str">
        <f ca="1">IF(OR(HR$169&lt;SwaptionFirstMonthPosition+1,$FJ170&lt;SwaptionFirstMonthPosition+1,HR$169&gt;SwaptionFirstMonthPosition+SwaptionNumOfMonths+1,$FJ170&gt;SwaptionFirstMonthPosition+SwaptionNumOfMonths+1),"",IF($FJ170=HR$169,1,IF($FJ170&lt;HR$169,INDEX($FK$170:$ID$241,HR$169,$FJ170),SUMPRODUCT(INDEX($FK$325:$ID$396,HR$169,1+SwaptionShift):INDEX($FK$325:$ID$396,HR$169,SwaptionMonthsToGo+SwaptionShift),INDEX($FK$245:$ID$316,$FJ170-HR$169,73-HR$169+SwaptionShift):INDEX($FK$245:$ID$316,$FJ170-HR$169,72-HR$169+SwaptionMonthsToGo+SwaptionShift))/SQRT(SUM(INDEX($FK325:$ID325,1+SwaptionShift):INDEX($FK325:$ID325,SwaptionMonthsToGo+SwaptionShift))*SUM(INDEX($FK$325:$ID$396,HR$169,1+SwaptionShift):INDEX($FK$325:$ID$396,HR$169,SwaptionMonthsToGo+SwaptionShift))))))</f>
        <v/>
      </c>
      <c r="HS170" s="479" t="str">
        <f ca="1">IF(OR(HS$169&lt;SwaptionFirstMonthPosition+1,$FJ170&lt;SwaptionFirstMonthPosition+1,HS$169&gt;SwaptionFirstMonthPosition+SwaptionNumOfMonths+1,$FJ170&gt;SwaptionFirstMonthPosition+SwaptionNumOfMonths+1),"",IF($FJ170=HS$169,1,IF($FJ170&lt;HS$169,INDEX($FK$170:$ID$241,HS$169,$FJ170),SUMPRODUCT(INDEX($FK$325:$ID$396,HS$169,1+SwaptionShift):INDEX($FK$325:$ID$396,HS$169,SwaptionMonthsToGo+SwaptionShift),INDEX($FK$245:$ID$316,$FJ170-HS$169,73-HS$169+SwaptionShift):INDEX($FK$245:$ID$316,$FJ170-HS$169,72-HS$169+SwaptionMonthsToGo+SwaptionShift))/SQRT(SUM(INDEX($FK325:$ID325,1+SwaptionShift):INDEX($FK325:$ID325,SwaptionMonthsToGo+SwaptionShift))*SUM(INDEX($FK$325:$ID$396,HS$169,1+SwaptionShift):INDEX($FK$325:$ID$396,HS$169,SwaptionMonthsToGo+SwaptionShift))))))</f>
        <v/>
      </c>
      <c r="HT170" s="479" t="str">
        <f ca="1">IF(OR(HT$169&lt;SwaptionFirstMonthPosition+1,$FJ170&lt;SwaptionFirstMonthPosition+1,HT$169&gt;SwaptionFirstMonthPosition+SwaptionNumOfMonths+1,$FJ170&gt;SwaptionFirstMonthPosition+SwaptionNumOfMonths+1),"",IF($FJ170=HT$169,1,IF($FJ170&lt;HT$169,INDEX($FK$170:$ID$241,HT$169,$FJ170),SUMPRODUCT(INDEX($FK$325:$ID$396,HT$169,1+SwaptionShift):INDEX($FK$325:$ID$396,HT$169,SwaptionMonthsToGo+SwaptionShift),INDEX($FK$245:$ID$316,$FJ170-HT$169,73-HT$169+SwaptionShift):INDEX($FK$245:$ID$316,$FJ170-HT$169,72-HT$169+SwaptionMonthsToGo+SwaptionShift))/SQRT(SUM(INDEX($FK325:$ID325,1+SwaptionShift):INDEX($FK325:$ID325,SwaptionMonthsToGo+SwaptionShift))*SUM(INDEX($FK$325:$ID$396,HT$169,1+SwaptionShift):INDEX($FK$325:$ID$396,HT$169,SwaptionMonthsToGo+SwaptionShift))))))</f>
        <v/>
      </c>
      <c r="HU170" s="479" t="str">
        <f ca="1">IF(OR(HU$169&lt;SwaptionFirstMonthPosition+1,$FJ170&lt;SwaptionFirstMonthPosition+1,HU$169&gt;SwaptionFirstMonthPosition+SwaptionNumOfMonths+1,$FJ170&gt;SwaptionFirstMonthPosition+SwaptionNumOfMonths+1),"",IF($FJ170=HU$169,1,IF($FJ170&lt;HU$169,INDEX($FK$170:$ID$241,HU$169,$FJ170),SUMPRODUCT(INDEX($FK$325:$ID$396,HU$169,1+SwaptionShift):INDEX($FK$325:$ID$396,HU$169,SwaptionMonthsToGo+SwaptionShift),INDEX($FK$245:$ID$316,$FJ170-HU$169,73-HU$169+SwaptionShift):INDEX($FK$245:$ID$316,$FJ170-HU$169,72-HU$169+SwaptionMonthsToGo+SwaptionShift))/SQRT(SUM(INDEX($FK325:$ID325,1+SwaptionShift):INDEX($FK325:$ID325,SwaptionMonthsToGo+SwaptionShift))*SUM(INDEX($FK$325:$ID$396,HU$169,1+SwaptionShift):INDEX($FK$325:$ID$396,HU$169,SwaptionMonthsToGo+SwaptionShift))))))</f>
        <v/>
      </c>
      <c r="HV170" s="479" t="str">
        <f ca="1">IF(OR(HV$169&lt;SwaptionFirstMonthPosition+1,$FJ170&lt;SwaptionFirstMonthPosition+1,HV$169&gt;SwaptionFirstMonthPosition+SwaptionNumOfMonths+1,$FJ170&gt;SwaptionFirstMonthPosition+SwaptionNumOfMonths+1),"",IF($FJ170=HV$169,1,IF($FJ170&lt;HV$169,INDEX($FK$170:$ID$241,HV$169,$FJ170),SUMPRODUCT(INDEX($FK$325:$ID$396,HV$169,1+SwaptionShift):INDEX($FK$325:$ID$396,HV$169,SwaptionMonthsToGo+SwaptionShift),INDEX($FK$245:$ID$316,$FJ170-HV$169,73-HV$169+SwaptionShift):INDEX($FK$245:$ID$316,$FJ170-HV$169,72-HV$169+SwaptionMonthsToGo+SwaptionShift))/SQRT(SUM(INDEX($FK325:$ID325,1+SwaptionShift):INDEX($FK325:$ID325,SwaptionMonthsToGo+SwaptionShift))*SUM(INDEX($FK$325:$ID$396,HV$169,1+SwaptionShift):INDEX($FK$325:$ID$396,HV$169,SwaptionMonthsToGo+SwaptionShift))))))</f>
        <v/>
      </c>
      <c r="HW170" s="479" t="str">
        <f ca="1">IF(OR(HW$169&lt;SwaptionFirstMonthPosition+1,$FJ170&lt;SwaptionFirstMonthPosition+1,HW$169&gt;SwaptionFirstMonthPosition+SwaptionNumOfMonths+1,$FJ170&gt;SwaptionFirstMonthPosition+SwaptionNumOfMonths+1),"",IF($FJ170=HW$169,1,IF($FJ170&lt;HW$169,INDEX($FK$170:$ID$241,HW$169,$FJ170),SUMPRODUCT(INDEX($FK$325:$ID$396,HW$169,1+SwaptionShift):INDEX($FK$325:$ID$396,HW$169,SwaptionMonthsToGo+SwaptionShift),INDEX($FK$245:$ID$316,$FJ170-HW$169,73-HW$169+SwaptionShift):INDEX($FK$245:$ID$316,$FJ170-HW$169,72-HW$169+SwaptionMonthsToGo+SwaptionShift))/SQRT(SUM(INDEX($FK325:$ID325,1+SwaptionShift):INDEX($FK325:$ID325,SwaptionMonthsToGo+SwaptionShift))*SUM(INDEX($FK$325:$ID$396,HW$169,1+SwaptionShift):INDEX($FK$325:$ID$396,HW$169,SwaptionMonthsToGo+SwaptionShift))))))</f>
        <v/>
      </c>
      <c r="HX170" s="479" t="str">
        <f ca="1">IF(OR(HX$169&lt;SwaptionFirstMonthPosition+1,$FJ170&lt;SwaptionFirstMonthPosition+1,HX$169&gt;SwaptionFirstMonthPosition+SwaptionNumOfMonths+1,$FJ170&gt;SwaptionFirstMonthPosition+SwaptionNumOfMonths+1),"",IF($FJ170=HX$169,1,IF($FJ170&lt;HX$169,INDEX($FK$170:$ID$241,HX$169,$FJ170),SUMPRODUCT(INDEX($FK$325:$ID$396,HX$169,1+SwaptionShift):INDEX($FK$325:$ID$396,HX$169,SwaptionMonthsToGo+SwaptionShift),INDEX($FK$245:$ID$316,$FJ170-HX$169,73-HX$169+SwaptionShift):INDEX($FK$245:$ID$316,$FJ170-HX$169,72-HX$169+SwaptionMonthsToGo+SwaptionShift))/SQRT(SUM(INDEX($FK325:$ID325,1+SwaptionShift):INDEX($FK325:$ID325,SwaptionMonthsToGo+SwaptionShift))*SUM(INDEX($FK$325:$ID$396,HX$169,1+SwaptionShift):INDEX($FK$325:$ID$396,HX$169,SwaptionMonthsToGo+SwaptionShift))))))</f>
        <v/>
      </c>
      <c r="HY170" s="479" t="str">
        <f ca="1">IF(OR(HY$169&lt;SwaptionFirstMonthPosition+1,$FJ170&lt;SwaptionFirstMonthPosition+1,HY$169&gt;SwaptionFirstMonthPosition+SwaptionNumOfMonths+1,$FJ170&gt;SwaptionFirstMonthPosition+SwaptionNumOfMonths+1),"",IF($FJ170=HY$169,1,IF($FJ170&lt;HY$169,INDEX($FK$170:$ID$241,HY$169,$FJ170),SUMPRODUCT(INDEX($FK$325:$ID$396,HY$169,1+SwaptionShift):INDEX($FK$325:$ID$396,HY$169,SwaptionMonthsToGo+SwaptionShift),INDEX($FK$245:$ID$316,$FJ170-HY$169,73-HY$169+SwaptionShift):INDEX($FK$245:$ID$316,$FJ170-HY$169,72-HY$169+SwaptionMonthsToGo+SwaptionShift))/SQRT(SUM(INDEX($FK325:$ID325,1+SwaptionShift):INDEX($FK325:$ID325,SwaptionMonthsToGo+SwaptionShift))*SUM(INDEX($FK$325:$ID$396,HY$169,1+SwaptionShift):INDEX($FK$325:$ID$396,HY$169,SwaptionMonthsToGo+SwaptionShift))))))</f>
        <v/>
      </c>
      <c r="HZ170" s="479" t="str">
        <f ca="1">IF(OR(HZ$169&lt;SwaptionFirstMonthPosition+1,$FJ170&lt;SwaptionFirstMonthPosition+1,HZ$169&gt;SwaptionFirstMonthPosition+SwaptionNumOfMonths+1,$FJ170&gt;SwaptionFirstMonthPosition+SwaptionNumOfMonths+1),"",IF($FJ170=HZ$169,1,IF($FJ170&lt;HZ$169,INDEX($FK$170:$ID$241,HZ$169,$FJ170),SUMPRODUCT(INDEX($FK$325:$ID$396,HZ$169,1+SwaptionShift):INDEX($FK$325:$ID$396,HZ$169,SwaptionMonthsToGo+SwaptionShift),INDEX($FK$245:$ID$316,$FJ170-HZ$169,73-HZ$169+SwaptionShift):INDEX($FK$245:$ID$316,$FJ170-HZ$169,72-HZ$169+SwaptionMonthsToGo+SwaptionShift))/SQRT(SUM(INDEX($FK325:$ID325,1+SwaptionShift):INDEX($FK325:$ID325,SwaptionMonthsToGo+SwaptionShift))*SUM(INDEX($FK$325:$ID$396,HZ$169,1+SwaptionShift):INDEX($FK$325:$ID$396,HZ$169,SwaptionMonthsToGo+SwaptionShift))))))</f>
        <v/>
      </c>
      <c r="IA170" s="479" t="str">
        <f ca="1">IF(OR(IA$169&lt;SwaptionFirstMonthPosition+1,$FJ170&lt;SwaptionFirstMonthPosition+1,IA$169&gt;SwaptionFirstMonthPosition+SwaptionNumOfMonths+1,$FJ170&gt;SwaptionFirstMonthPosition+SwaptionNumOfMonths+1),"",IF($FJ170=IA$169,1,IF($FJ170&lt;IA$169,INDEX($FK$170:$ID$241,IA$169,$FJ170),SUMPRODUCT(INDEX($FK$325:$ID$396,IA$169,1+SwaptionShift):INDEX($FK$325:$ID$396,IA$169,SwaptionMonthsToGo+SwaptionShift),INDEX($FK$245:$ID$316,$FJ170-IA$169,73-IA$169+SwaptionShift):INDEX($FK$245:$ID$316,$FJ170-IA$169,72-IA$169+SwaptionMonthsToGo+SwaptionShift))/SQRT(SUM(INDEX($FK325:$ID325,1+SwaptionShift):INDEX($FK325:$ID325,SwaptionMonthsToGo+SwaptionShift))*SUM(INDEX($FK$325:$ID$396,IA$169,1+SwaptionShift):INDEX($FK$325:$ID$396,IA$169,SwaptionMonthsToGo+SwaptionShift))))))</f>
        <v/>
      </c>
      <c r="IB170" s="479" t="str">
        <f ca="1">IF(OR(IB$169&lt;SwaptionFirstMonthPosition+1,$FJ170&lt;SwaptionFirstMonthPosition+1,IB$169&gt;SwaptionFirstMonthPosition+SwaptionNumOfMonths+1,$FJ170&gt;SwaptionFirstMonthPosition+SwaptionNumOfMonths+1),"",IF($FJ170=IB$169,1,IF($FJ170&lt;IB$169,INDEX($FK$170:$ID$241,IB$169,$FJ170),SUMPRODUCT(INDEX($FK$325:$ID$396,IB$169,1+SwaptionShift):INDEX($FK$325:$ID$396,IB$169,SwaptionMonthsToGo+SwaptionShift),INDEX($FK$245:$ID$316,$FJ170-IB$169,73-IB$169+SwaptionShift):INDEX($FK$245:$ID$316,$FJ170-IB$169,72-IB$169+SwaptionMonthsToGo+SwaptionShift))/SQRT(SUM(INDEX($FK325:$ID325,1+SwaptionShift):INDEX($FK325:$ID325,SwaptionMonthsToGo+SwaptionShift))*SUM(INDEX($FK$325:$ID$396,IB$169,1+SwaptionShift):INDEX($FK$325:$ID$396,IB$169,SwaptionMonthsToGo+SwaptionShift))))))</f>
        <v/>
      </c>
      <c r="IC170" s="479" t="str">
        <f ca="1">IF(OR(IC$169&lt;SwaptionFirstMonthPosition+1,$FJ170&lt;SwaptionFirstMonthPosition+1,IC$169&gt;SwaptionFirstMonthPosition+SwaptionNumOfMonths+1,$FJ170&gt;SwaptionFirstMonthPosition+SwaptionNumOfMonths+1),"",IF($FJ170=IC$169,1,IF($FJ170&lt;IC$169,INDEX($FK$170:$ID$241,IC$169,$FJ170),SUMPRODUCT(INDEX($FK$325:$ID$396,IC$169,1+SwaptionShift):INDEX($FK$325:$ID$396,IC$169,SwaptionMonthsToGo+SwaptionShift),INDEX($FK$245:$ID$316,$FJ170-IC$169,73-IC$169+SwaptionShift):INDEX($FK$245:$ID$316,$FJ170-IC$169,72-IC$169+SwaptionMonthsToGo+SwaptionShift))/SQRT(SUM(INDEX($FK325:$ID325,1+SwaptionShift):INDEX($FK325:$ID325,SwaptionMonthsToGo+SwaptionShift))*SUM(INDEX($FK$325:$ID$396,IC$169,1+SwaptionShift):INDEX($FK$325:$ID$396,IC$169,SwaptionMonthsToGo+SwaptionShift))))))</f>
        <v/>
      </c>
      <c r="ID170" s="678" t="str">
        <f ca="1">IF(OR(ID$169&lt;SwaptionFirstMonthPosition+1,$FJ170&lt;SwaptionFirstMonthPosition+1,ID$169&gt;SwaptionFirstMonthPosition+SwaptionNumOfMonths+1,$FJ170&gt;SwaptionFirstMonthPosition+SwaptionNumOfMonths+1),"",IF($FJ170=ID$169,1,IF($FJ170&lt;ID$169,INDEX($FK$170:$ID$241,ID$169,$FJ170),SUMPRODUCT(INDEX($FK$325:$ID$396,ID$169,1+SwaptionShift):INDEX($FK$325:$ID$396,ID$169,SwaptionMonthsToGo+SwaptionShift),INDEX($FK$245:$ID$316,$FJ170-ID$169,73-ID$169+SwaptionShift):INDEX($FK$245:$ID$316,$FJ170-ID$169,72-ID$169+SwaptionMonthsToGo+SwaptionShift))/SQRT(SUM(INDEX($FK325:$ID325,1+SwaptionShift):INDEX($FK325:$ID325,SwaptionMonthsToGo+SwaptionShift))*SUM(INDEX($FK$325:$ID$396,ID$169,1+SwaptionShift):INDEX($FK$325:$ID$396,ID$169,SwaptionMonthsToGo+SwaptionShift))))))</f>
        <v/>
      </c>
      <c r="IE170" s="250"/>
    </row>
    <row r="171" spans="8:239">
      <c r="H171" s="51">
        <f t="shared" ca="1" si="527"/>
        <v>0</v>
      </c>
      <c r="I171" s="379">
        <f t="shared" si="528"/>
        <v>41365</v>
      </c>
      <c r="J171" s="377"/>
      <c r="K171" s="104" t="s">
        <v>268</v>
      </c>
      <c r="L171" s="392">
        <f t="shared" si="529"/>
        <v>2.812500000000004</v>
      </c>
      <c r="M171" s="171"/>
      <c r="N171" s="382">
        <v>0</v>
      </c>
      <c r="O171" s="171">
        <f t="shared" si="490"/>
        <v>0</v>
      </c>
      <c r="P171" s="377"/>
      <c r="Q171" s="104" t="s">
        <v>268</v>
      </c>
      <c r="R171" s="377">
        <f t="shared" ca="1" si="547"/>
        <v>1.6185053963858607</v>
      </c>
      <c r="S171" s="832">
        <f t="shared" si="564"/>
        <v>0.3600000000000001</v>
      </c>
      <c r="T171" s="831">
        <f t="shared" si="548"/>
        <v>0.99999999999401079</v>
      </c>
      <c r="U171" s="545">
        <f t="shared" si="549"/>
        <v>0.99999999999999978</v>
      </c>
      <c r="V171" s="389">
        <v>0</v>
      </c>
      <c r="W171" s="434">
        <f t="shared" si="491"/>
        <v>0</v>
      </c>
      <c r="X171" s="415">
        <f t="shared" si="492"/>
        <v>2.8619318181818225</v>
      </c>
      <c r="Y171" s="322">
        <f t="shared" si="493"/>
        <v>-1.2915000000000001</v>
      </c>
      <c r="Z171" s="322">
        <f t="shared" ca="1" si="494"/>
        <v>1.5704318181818224</v>
      </c>
      <c r="AA171" s="429">
        <f t="shared" si="495"/>
        <v>1.2915000000000001</v>
      </c>
      <c r="AB171" s="433">
        <f t="shared" ca="1" si="496"/>
        <v>1.2915000000000001</v>
      </c>
      <c r="AC171" s="229">
        <v>41353</v>
      </c>
      <c r="AD171" s="229">
        <v>41349</v>
      </c>
      <c r="AE171" s="229">
        <v>41348</v>
      </c>
      <c r="AF171" s="229">
        <v>41344</v>
      </c>
      <c r="AG171" s="249" t="s">
        <v>499</v>
      </c>
      <c r="AH171" s="247" t="s">
        <v>499</v>
      </c>
      <c r="AI171" s="146">
        <v>22</v>
      </c>
      <c r="AJ171" s="41">
        <v>15</v>
      </c>
      <c r="AK171" s="41">
        <v>7</v>
      </c>
      <c r="AL171" s="293">
        <v>22</v>
      </c>
      <c r="AM171" s="41">
        <v>10</v>
      </c>
      <c r="AN171" s="147">
        <v>12</v>
      </c>
      <c r="AO171" s="374"/>
      <c r="AP171" s="153">
        <f t="shared" ca="1" si="530"/>
        <v>1</v>
      </c>
      <c r="AQ171" s="374"/>
      <c r="AR171" s="153">
        <f t="shared" ca="1" si="550"/>
        <v>1</v>
      </c>
      <c r="AS171" s="272">
        <f t="shared" si="497"/>
        <v>0</v>
      </c>
      <c r="AT171" s="157">
        <f t="shared" si="531"/>
        <v>0</v>
      </c>
      <c r="AU171" s="157">
        <f t="shared" si="498"/>
        <v>0</v>
      </c>
      <c r="AV171" s="271">
        <f t="shared" ca="1" si="558"/>
        <v>9.9999999999999995E-7</v>
      </c>
      <c r="AW171" s="158" t="str">
        <f t="shared" ca="1" si="499"/>
        <v/>
      </c>
      <c r="AX171" s="157">
        <f t="shared" ca="1" si="551"/>
        <v>1.5579698977695954E-4</v>
      </c>
      <c r="AY171" s="157">
        <f t="shared" ca="1" si="552"/>
        <v>4.4058576282070286E-5</v>
      </c>
      <c r="AZ171" s="157">
        <f t="shared" ca="1" si="553"/>
        <v>2.3815410161593808E-6</v>
      </c>
      <c r="BA171" s="157">
        <f t="shared" ca="1" si="554"/>
        <v>2.976926270199226E-7</v>
      </c>
      <c r="BB171" s="157">
        <f t="shared" ca="1" si="555"/>
        <v>3.8649679307080892E-9</v>
      </c>
      <c r="BC171" s="157">
        <f t="shared" ca="1" si="556"/>
        <v>1.7724180036402986E-10</v>
      </c>
      <c r="BD171" s="151">
        <f t="shared" ca="1" si="500"/>
        <v>0</v>
      </c>
      <c r="BE171" s="152">
        <f t="shared" ca="1" si="501"/>
        <v>0</v>
      </c>
      <c r="BF171" s="40">
        <f t="shared" si="502"/>
        <v>2013</v>
      </c>
      <c r="BG171" s="144">
        <f t="shared" si="503"/>
        <v>4</v>
      </c>
      <c r="BH171" s="145">
        <f t="shared" ca="1" si="504"/>
        <v>4604</v>
      </c>
      <c r="BI171" s="313">
        <f t="shared" ca="1" si="568"/>
        <v>12.648870636550308</v>
      </c>
      <c r="BJ171" s="42">
        <f t="shared" ca="1" si="505"/>
        <v>12.703005413477692</v>
      </c>
      <c r="BK171" s="42">
        <f t="shared" ca="1" si="506"/>
        <v>12.705743264264825</v>
      </c>
      <c r="BL171" s="42">
        <f t="shared" ca="1" si="569"/>
        <v>12.728268309377139</v>
      </c>
      <c r="BM171" s="150" t="e">
        <f t="shared" ca="1" si="507"/>
        <v>#DIV/0!</v>
      </c>
      <c r="BN171" s="42" t="e">
        <f t="shared" ca="1" si="508"/>
        <v>#DIV/0!</v>
      </c>
      <c r="BO171" s="293">
        <f t="shared" si="570"/>
        <v>22</v>
      </c>
      <c r="BP171" s="41">
        <f t="shared" si="571"/>
        <v>15</v>
      </c>
      <c r="BQ171" s="41">
        <f t="shared" si="572"/>
        <v>7</v>
      </c>
      <c r="BR171" s="305" t="str">
        <f t="shared" ca="1" si="509"/>
        <v/>
      </c>
      <c r="BS171" s="305" t="str">
        <f t="shared" ca="1" si="573"/>
        <v/>
      </c>
      <c r="BT171" s="307" t="str">
        <f t="shared" ca="1" si="574"/>
        <v/>
      </c>
      <c r="BU171" s="161" t="str">
        <f t="shared" ca="1" si="510"/>
        <v/>
      </c>
      <c r="BV171" s="161" t="str">
        <f t="shared" ca="1" si="511"/>
        <v/>
      </c>
      <c r="BW171" s="308" t="str">
        <f t="shared" ca="1" si="512"/>
        <v/>
      </c>
      <c r="BX171" s="309" t="str">
        <f t="shared" ca="1" si="513"/>
        <v/>
      </c>
      <c r="BY171" s="308" t="str">
        <f t="shared" ca="1" si="575"/>
        <v/>
      </c>
      <c r="BZ171" s="309" t="str">
        <f t="shared" ca="1" si="576"/>
        <v/>
      </c>
      <c r="CA171" s="154" t="str">
        <f t="shared" ca="1" si="514"/>
        <v/>
      </c>
      <c r="CB171" s="154" t="str">
        <f t="shared" ca="1" si="515"/>
        <v/>
      </c>
      <c r="CC171" s="154" t="str">
        <f t="shared" ca="1" si="516"/>
        <v/>
      </c>
      <c r="CD171" s="154" t="str">
        <f t="shared" ca="1" si="517"/>
        <v/>
      </c>
      <c r="CE171" s="310">
        <v>1</v>
      </c>
      <c r="CF171" s="162">
        <f ca="1">IF(BD171,_xll.xCrudeAPO(BU171,BV171,CA171,CB171,S172,S173,BI171,BL171,BP171,BQ171,0,Strike1,AO171,CE171,0,BL171,IF(OptControl=4,0,1),0,1),0)</f>
        <v>0</v>
      </c>
      <c r="CG171" s="163">
        <f ca="1">IF(BD171,_xll.xCrudeAPO(BU171,BV171,CA171,CB171,S172,S173,BI171,BL171,BP171,BQ171,0,Strike1,AO171,CE171,0,BL171,IF(OptControl=4,0,1),1,1)+_xll.xCrudeAPO(BU171,BV171,CA171,CB171,S172,S173,BI171,BL171,BP171,BQ171,0,Strike1,AO171,CE171,0,BL171,IF(OptControl=4,0,1),1,2)+IF(OR(VolSkewFlag=2,ABS(BS171)&lt;0.0001),0,IF(BS171&gt;0,-1,1)*CH171*Strike1/BR171^2*BY171/10%),0)</f>
        <v>0</v>
      </c>
      <c r="CH171" s="163">
        <f ca="1">IF(BD171,(_xll.xCrudeAPO(BU171,BV171,CA171,CB171,S172,S173,BI171,BL171,BP171,BQ171,0,Strike1,AO171,CE171,0,BL171,IF(OptControl=4,0,1),3,1)+_xll.xCrudeAPO(BU171,BV171,CA171,CB171,S172,S173,BI171,BL171,BP171,BQ171,0,Strike1,AO171,CE171,0,BL171,IF(OptControl=4,0,1),3,2))/100,0)</f>
        <v>0</v>
      </c>
      <c r="CI171" s="163">
        <f ca="1">IF(BD171,_xll.xCrudeAPO(BU171,BV171,CA171,CB171,S172,S173,BI171-DaysForThetaCalculation/365.25,BL171-DaysForThetaCalculation/365.25,BP171,BQ171,0,Strike1,AO171,CE171,0,BL171,IF(OptControl=4,0,1),0,1)-_xll.xCrudeAPO(BU171,BV171,CA171,CB171,S172,S173,BI171,BL171,BP171,BQ171,0,Strike1,AO171,CE171,0,BL171,IF(OptControl=4,0,1),0,1),0)</f>
        <v>0</v>
      </c>
      <c r="CJ171" s="311">
        <f ca="1">IF(BD171,_xll.xCrudeAPO(BU171,BV171,CC171,CD171,S172,S173,BI171,BL171,BP171,BQ171,0,Strike2,AO171,CE171,0,BL171,IF(OptControl=3,1,0),0,1),0)</f>
        <v>0</v>
      </c>
      <c r="CK171" s="163">
        <f ca="1">IF(BD171,_xll.xCrudeAPO(BU171,BV171,CC171,CD171,S172,S173,BI171,BL171,BP171,BQ171,0,Strike2,AO171,CE171,0,BL171,IF(OptControl=3,1,0),1,1)+_xll.xCrudeAPO(BU171,BV171,CC171,CD171,S172,S173,BI171,BL171,BP171,BQ171,0,Strike2,AO171,CE171,0,BL171,IF(OptControl=3,1,0),1,2)+IF(OR(VolSkewFlag=2,ABS(BT171)&lt;0.0001),0,IF(BT171&gt;0,-1,1)*CL171*Strike2/BR171^2*BZ171/10%),0)</f>
        <v>0</v>
      </c>
      <c r="CL171" s="163">
        <f ca="1">IF(BD171,(_xll.xCrudeAPO(BU171,BV171,CC171,CD171,S172,S173,BI171,BL171,BP171,BQ171,0,Strike2,AO171,CE171,0,BL171,IF(OptControl=3,1,0),3,1)+_xll.xCrudeAPO(BU171,BV171,CC171,CD171,S172,S173,BI171,BL171,BP171,BQ171,0,Strike2,AO171,CE171,0,BL171,IF(OptControl=3,1,0),3,2))/100,0)</f>
        <v>0</v>
      </c>
      <c r="CM171" s="164">
        <f ca="1">IF(BD171,_xll.xCrudeAPO(BU171,BV171,CC171,CD171,S172,S173,BI171-DaysForThetaCalculation/365.25,BL171-DaysForThetaCalculation/365.25,BP171,BQ171,0,Strike2,AO171,CE171,0,BL171,IF(OptControl=3,1,0),0,1)-_xll.xCrudeAPO(BU171,BV171,CC171,CD171,S172,S173,BI171,BL171,BP171,BQ171,0,Strike2,AO171,CE171,0,BL171,IF(OptControl=3,1,0),0,1),0)</f>
        <v>0</v>
      </c>
      <c r="CN171" s="53"/>
      <c r="CO171" s="796" t="str">
        <f t="shared" ca="1" si="532"/>
        <v/>
      </c>
      <c r="CP171" s="800" t="str">
        <f t="shared" ca="1" si="533"/>
        <v/>
      </c>
      <c r="CQ171" s="797" t="str">
        <f t="shared" ca="1" si="534"/>
        <v/>
      </c>
      <c r="CR171" s="797" t="str">
        <f t="shared" ca="1" si="535"/>
        <v/>
      </c>
      <c r="CS171" s="797" t="str">
        <f t="shared" ca="1" si="536"/>
        <v/>
      </c>
      <c r="CT171" s="797" t="str">
        <f t="shared" ca="1" si="537"/>
        <v/>
      </c>
      <c r="CU171" s="798" t="str">
        <f t="shared" ca="1" si="538"/>
        <v/>
      </c>
      <c r="CV171" s="799" t="str">
        <f t="shared" ca="1" si="539"/>
        <v/>
      </c>
      <c r="CW171" s="799" t="str">
        <f t="shared" ca="1" si="540"/>
        <v/>
      </c>
      <c r="CX171" s="163">
        <f ca="1">IF(BD171,_xll.EURO(CP171,Strike1,AO171,AO171,CV171,CO171,IF(OptControl=4,0,1),0),0)</f>
        <v>0</v>
      </c>
      <c r="CY171" s="163">
        <f ca="1">IF(BD171,_xll.EURO(CP171,Strike1,AO171,AO171,CV171,CO171,IF(OptControl=4,0,1),1)+IF(OR(VolSkewFlag=2,ABS(CQ171)&lt;0.0001),0,IF(CQ171&gt;0,-1,1)*CZ171*100*Strike1/CP171^2*CS171/10%),0)</f>
        <v>0</v>
      </c>
      <c r="CZ171" s="163">
        <f ca="1">IF(BD171,_xll.EURO(CP171,Strike1,AO171,AO171,CV171,CO171,IF(OptControl=4,0,1),3)/100,0)</f>
        <v>0</v>
      </c>
      <c r="DA171" s="163">
        <f ca="1">IF(BD171,_xll.EURO(CP171,Strike1,AO171,AO171,CV171,CO171,IF(OptControl=4,0,1),0)-_xll.EURO(CP171,Strike1,AO171,AO171,CV171,CO171-1,IF(OptControl=4,0,1),0),0)</f>
        <v>0</v>
      </c>
      <c r="DB171" s="163">
        <f ca="1">IF(BD171,_xll.EURO(CP171,Strike2,AO171,AO171,CW171,CO171,IF(OptControl=3,1,0),0),0)</f>
        <v>0</v>
      </c>
      <c r="DC171" s="163">
        <f ca="1">IF(BD171,_xll.EURO(CP171,Strike2,AO171,AO171,CW171,CO171,IF(OptControl=3,1,0),1)+IF(OR(VolSkewFlag=2,ABS(CR171)&lt;0.0001),0,IF(CR171&gt;0,-1,1)*DD171*100*Strike2/CP171^2*CT171/10%),0)</f>
        <v>0</v>
      </c>
      <c r="DD171" s="163">
        <f ca="1">IF(BD171,_xll.EURO(CP171,Strike2,AO171,AO171,CW171,CO171,IF(OptControl=3,1,0),3)/100,0)</f>
        <v>0</v>
      </c>
      <c r="DE171" s="164">
        <f ca="1">IF(BD171,_xll.EURO(CP171,Strike2,AO171,AO171,CW171,CO171,IF(OptControl=3,1,0),0)-_xll.EURO(CP171,Strike2,AO171,AO171,CW171,CO171-1,IF(OptControl=3,1,0),0),0)</f>
        <v>0</v>
      </c>
      <c r="DG171" s="667">
        <f t="shared" ca="1" si="541"/>
        <v>41153</v>
      </c>
      <c r="DH171" s="475">
        <v>21.710000000000054</v>
      </c>
      <c r="DI171" s="665">
        <v>21.775000000000055</v>
      </c>
      <c r="DJ171" s="666">
        <f t="shared" ca="1" si="518"/>
        <v>41153</v>
      </c>
      <c r="DK171" s="475">
        <v>20.526684679553824</v>
      </c>
      <c r="DL171" s="665">
        <v>20.508100000000056</v>
      </c>
      <c r="DM171" s="667">
        <f t="shared" ca="1" si="519"/>
        <v>41153</v>
      </c>
      <c r="DN171" s="668">
        <f t="shared" si="520"/>
        <v>20.576684679553825</v>
      </c>
      <c r="DO171" s="667">
        <f t="shared" ca="1" si="542"/>
        <v>41153</v>
      </c>
      <c r="DP171" s="579">
        <f t="shared" si="543"/>
        <v>20.508100000000056</v>
      </c>
      <c r="DQ171" s="821">
        <v>0</v>
      </c>
      <c r="DR171" s="666">
        <f t="shared" ca="1" si="521"/>
        <v>41153</v>
      </c>
      <c r="DS171" s="669">
        <v>0.13399999999999904</v>
      </c>
      <c r="DT171" s="606">
        <v>0.13321999999999906</v>
      </c>
      <c r="DU171" s="666">
        <f t="shared" ca="1" si="522"/>
        <v>41153</v>
      </c>
      <c r="DV171" s="669">
        <v>0.13399999999999904</v>
      </c>
      <c r="DW171" s="606">
        <v>0.13321999999999906</v>
      </c>
      <c r="DX171" s="667">
        <f t="shared" ca="1" si="523"/>
        <v>41153</v>
      </c>
      <c r="DY171" s="606">
        <v>0.35</v>
      </c>
      <c r="DZ171" s="667">
        <f t="shared" ca="1" si="544"/>
        <v>41153</v>
      </c>
      <c r="EA171" s="606">
        <f t="shared" si="545"/>
        <v>0.13321999999999906</v>
      </c>
      <c r="EB171" s="1"/>
      <c r="EC171" s="118" t="str">
        <f t="shared" ca="1" si="524"/>
        <v/>
      </c>
      <c r="ED171" s="119" t="str">
        <f t="shared" ca="1" si="525"/>
        <v/>
      </c>
      <c r="EE171" s="112" t="str">
        <f t="shared" ca="1" si="526"/>
        <v/>
      </c>
      <c r="EF171" s="120">
        <f ca="1">IF(BD171,_xll.xASN(BR171,Strike1,AO171,ED171,0,BO171,0,BI171,BL171,IF(OptControl=4,0,1),0),0)</f>
        <v>0</v>
      </c>
      <c r="EG171" s="111">
        <f ca="1">IF(BD171,_xll.xASN(BR171,Strike2,AO171,EE171,0,BO171,0,BI171,BL171,IF(OptControl=3,1,0),0),0)</f>
        <v>0</v>
      </c>
      <c r="EL171" s="55"/>
      <c r="EM171" s="1"/>
      <c r="EN171" s="106"/>
      <c r="EO171" s="106"/>
      <c r="EP171" s="1"/>
      <c r="EQ171" s="683" t="s">
        <v>384</v>
      </c>
      <c r="ES171" s="455"/>
      <c r="ET171" s="36"/>
      <c r="EU171" s="107"/>
      <c r="EV171" s="475"/>
      <c r="EW171" s="456"/>
      <c r="EX171" s="456"/>
      <c r="EY171" s="250"/>
      <c r="EZ171" s="250"/>
      <c r="FA171" s="250"/>
      <c r="FB171" s="250"/>
      <c r="FC171" s="250"/>
      <c r="FD171" s="250"/>
      <c r="FE171" s="250"/>
      <c r="FF171" s="250"/>
      <c r="FG171" s="250"/>
      <c r="FH171" s="250"/>
      <c r="FI171" s="250"/>
      <c r="FJ171" s="673">
        <v>2</v>
      </c>
      <c r="FK171" s="479" t="str">
        <f ca="1">IF(OR(FK$169&lt;SwaptionFirstMonthPosition+1,$FJ171&lt;SwaptionFirstMonthPosition+1,FK$169&gt;SwaptionFirstMonthPosition+SwaptionNumOfMonths+1,$FJ171&gt;SwaptionFirstMonthPosition+SwaptionNumOfMonths+1),"",IF($FJ171=FK$169,1,IF($FJ171&lt;FK$169,INDEX($FK$170:$ID$241,FK$169,$FJ171),SUMPRODUCT(INDEX($FK$325:$ID$396,FK$169,1+SwaptionShift):INDEX($FK$325:$ID$396,FK$169,SwaptionMonthsToGo+SwaptionShift),INDEX($FK$245:$ID$316,$FJ171-FK$169,73-FK$169+SwaptionShift):INDEX($FK$245:$ID$316,$FJ171-FK$169,72-FK$169+SwaptionMonthsToGo+SwaptionShift))/SQRT(SUM(INDEX($FK326:$ID326,1+SwaptionShift):INDEX($FK326:$ID326,SwaptionMonthsToGo+SwaptionShift))*SUM(INDEX($FK$325:$ID$396,FK$169,1+SwaptionShift):INDEX($FK$325:$ID$396,FK$169,SwaptionMonthsToGo+SwaptionShift))))))</f>
        <v/>
      </c>
      <c r="FL171" s="479" t="str">
        <f ca="1">IF(OR(FL$169&lt;SwaptionFirstMonthPosition+1,$FJ171&lt;SwaptionFirstMonthPosition+1,FL$169&gt;SwaptionFirstMonthPosition+SwaptionNumOfMonths+1,$FJ171&gt;SwaptionFirstMonthPosition+SwaptionNumOfMonths+1),"",IF($FJ171=FL$169,1,IF($FJ171&lt;FL$169,INDEX($FK$170:$ID$241,FL$169,$FJ171),SUMPRODUCT(INDEX($FK$325:$ID$396,FL$169,1+SwaptionShift):INDEX($FK$325:$ID$396,FL$169,SwaptionMonthsToGo+SwaptionShift),INDEX($FK$245:$ID$316,$FJ171-FL$169,73-FL$169+SwaptionShift):INDEX($FK$245:$ID$316,$FJ171-FL$169,72-FL$169+SwaptionMonthsToGo+SwaptionShift))/SQRT(SUM(INDEX($FK326:$ID326,1+SwaptionShift):INDEX($FK326:$ID326,SwaptionMonthsToGo+SwaptionShift))*SUM(INDEX($FK$325:$ID$396,FL$169,1+SwaptionShift):INDEX($FK$325:$ID$396,FL$169,SwaptionMonthsToGo+SwaptionShift))))))</f>
        <v/>
      </c>
      <c r="FM171" s="479" t="str">
        <f ca="1">IF(OR(FM$169&lt;SwaptionFirstMonthPosition+1,$FJ171&lt;SwaptionFirstMonthPosition+1,FM$169&gt;SwaptionFirstMonthPosition+SwaptionNumOfMonths+1,$FJ171&gt;SwaptionFirstMonthPosition+SwaptionNumOfMonths+1),"",IF($FJ171=FM$169,1,IF($FJ171&lt;FM$169,INDEX($FK$170:$ID$241,FM$169,$FJ171),SUMPRODUCT(INDEX($FK$325:$ID$396,FM$169,1+SwaptionShift):INDEX($FK$325:$ID$396,FM$169,SwaptionMonthsToGo+SwaptionShift),INDEX($FK$245:$ID$316,$FJ171-FM$169,73-FM$169+SwaptionShift):INDEX($FK$245:$ID$316,$FJ171-FM$169,72-FM$169+SwaptionMonthsToGo+SwaptionShift))/SQRT(SUM(INDEX($FK326:$ID326,1+SwaptionShift):INDEX($FK326:$ID326,SwaptionMonthsToGo+SwaptionShift))*SUM(INDEX($FK$325:$ID$396,FM$169,1+SwaptionShift):INDEX($FK$325:$ID$396,FM$169,SwaptionMonthsToGo+SwaptionShift))))))</f>
        <v/>
      </c>
      <c r="FN171" s="479" t="str">
        <f ca="1">IF(OR(FN$169&lt;SwaptionFirstMonthPosition+1,$FJ171&lt;SwaptionFirstMonthPosition+1,FN$169&gt;SwaptionFirstMonthPosition+SwaptionNumOfMonths+1,$FJ171&gt;SwaptionFirstMonthPosition+SwaptionNumOfMonths+1),"",IF($FJ171=FN$169,1,IF($FJ171&lt;FN$169,INDEX($FK$170:$ID$241,FN$169,$FJ171),SUMPRODUCT(INDEX($FK$325:$ID$396,FN$169,1+SwaptionShift):INDEX($FK$325:$ID$396,FN$169,SwaptionMonthsToGo+SwaptionShift),INDEX($FK$245:$ID$316,$FJ171-FN$169,73-FN$169+SwaptionShift):INDEX($FK$245:$ID$316,$FJ171-FN$169,72-FN$169+SwaptionMonthsToGo+SwaptionShift))/SQRT(SUM(INDEX($FK326:$ID326,1+SwaptionShift):INDEX($FK326:$ID326,SwaptionMonthsToGo+SwaptionShift))*SUM(INDEX($FK$325:$ID$396,FN$169,1+SwaptionShift):INDEX($FK$325:$ID$396,FN$169,SwaptionMonthsToGo+SwaptionShift))))))</f>
        <v/>
      </c>
      <c r="FO171" s="479" t="str">
        <f ca="1">IF(OR(FO$169&lt;SwaptionFirstMonthPosition+1,$FJ171&lt;SwaptionFirstMonthPosition+1,FO$169&gt;SwaptionFirstMonthPosition+SwaptionNumOfMonths+1,$FJ171&gt;SwaptionFirstMonthPosition+SwaptionNumOfMonths+1),"",IF($FJ171=FO$169,1,IF($FJ171&lt;FO$169,INDEX($FK$170:$ID$241,FO$169,$FJ171),SUMPRODUCT(INDEX($FK$325:$ID$396,FO$169,1+SwaptionShift):INDEX($FK$325:$ID$396,FO$169,SwaptionMonthsToGo+SwaptionShift),INDEX($FK$245:$ID$316,$FJ171-FO$169,73-FO$169+SwaptionShift):INDEX($FK$245:$ID$316,$FJ171-FO$169,72-FO$169+SwaptionMonthsToGo+SwaptionShift))/SQRT(SUM(INDEX($FK326:$ID326,1+SwaptionShift):INDEX($FK326:$ID326,SwaptionMonthsToGo+SwaptionShift))*SUM(INDEX($FK$325:$ID$396,FO$169,1+SwaptionShift):INDEX($FK$325:$ID$396,FO$169,SwaptionMonthsToGo+SwaptionShift))))))</f>
        <v/>
      </c>
      <c r="FP171" s="479" t="str">
        <f ca="1">IF(OR(FP$169&lt;SwaptionFirstMonthPosition+1,$FJ171&lt;SwaptionFirstMonthPosition+1,FP$169&gt;SwaptionFirstMonthPosition+SwaptionNumOfMonths+1,$FJ171&gt;SwaptionFirstMonthPosition+SwaptionNumOfMonths+1),"",IF($FJ171=FP$169,1,IF($FJ171&lt;FP$169,INDEX($FK$170:$ID$241,FP$169,$FJ171),SUMPRODUCT(INDEX($FK$325:$ID$396,FP$169,1+SwaptionShift):INDEX($FK$325:$ID$396,FP$169,SwaptionMonthsToGo+SwaptionShift),INDEX($FK$245:$ID$316,$FJ171-FP$169,73-FP$169+SwaptionShift):INDEX($FK$245:$ID$316,$FJ171-FP$169,72-FP$169+SwaptionMonthsToGo+SwaptionShift))/SQRT(SUM(INDEX($FK326:$ID326,1+SwaptionShift):INDEX($FK326:$ID326,SwaptionMonthsToGo+SwaptionShift))*SUM(INDEX($FK$325:$ID$396,FP$169,1+SwaptionShift):INDEX($FK$325:$ID$396,FP$169,SwaptionMonthsToGo+SwaptionShift))))))</f>
        <v/>
      </c>
      <c r="FQ171" s="479" t="str">
        <f ca="1">IF(OR(FQ$169&lt;SwaptionFirstMonthPosition+1,$FJ171&lt;SwaptionFirstMonthPosition+1,FQ$169&gt;SwaptionFirstMonthPosition+SwaptionNumOfMonths+1,$FJ171&gt;SwaptionFirstMonthPosition+SwaptionNumOfMonths+1),"",IF($FJ171=FQ$169,1,IF($FJ171&lt;FQ$169,INDEX($FK$170:$ID$241,FQ$169,$FJ171),SUMPRODUCT(INDEX($FK$325:$ID$396,FQ$169,1+SwaptionShift):INDEX($FK$325:$ID$396,FQ$169,SwaptionMonthsToGo+SwaptionShift),INDEX($FK$245:$ID$316,$FJ171-FQ$169,73-FQ$169+SwaptionShift):INDEX($FK$245:$ID$316,$FJ171-FQ$169,72-FQ$169+SwaptionMonthsToGo+SwaptionShift))/SQRT(SUM(INDEX($FK326:$ID326,1+SwaptionShift):INDEX($FK326:$ID326,SwaptionMonthsToGo+SwaptionShift))*SUM(INDEX($FK$325:$ID$396,FQ$169,1+SwaptionShift):INDEX($FK$325:$ID$396,FQ$169,SwaptionMonthsToGo+SwaptionShift))))))</f>
        <v/>
      </c>
      <c r="FR171" s="479" t="str">
        <f ca="1">IF(OR(FR$169&lt;SwaptionFirstMonthPosition+1,$FJ171&lt;SwaptionFirstMonthPosition+1,FR$169&gt;SwaptionFirstMonthPosition+SwaptionNumOfMonths+1,$FJ171&gt;SwaptionFirstMonthPosition+SwaptionNumOfMonths+1),"",IF($FJ171=FR$169,1,IF($FJ171&lt;FR$169,INDEX($FK$170:$ID$241,FR$169,$FJ171),SUMPRODUCT(INDEX($FK$325:$ID$396,FR$169,1+SwaptionShift):INDEX($FK$325:$ID$396,FR$169,SwaptionMonthsToGo+SwaptionShift),INDEX($FK$245:$ID$316,$FJ171-FR$169,73-FR$169+SwaptionShift):INDEX($FK$245:$ID$316,$FJ171-FR$169,72-FR$169+SwaptionMonthsToGo+SwaptionShift))/SQRT(SUM(INDEX($FK326:$ID326,1+SwaptionShift):INDEX($FK326:$ID326,SwaptionMonthsToGo+SwaptionShift))*SUM(INDEX($FK$325:$ID$396,FR$169,1+SwaptionShift):INDEX($FK$325:$ID$396,FR$169,SwaptionMonthsToGo+SwaptionShift))))))</f>
        <v/>
      </c>
      <c r="FS171" s="479" t="str">
        <f ca="1">IF(OR(FS$169&lt;SwaptionFirstMonthPosition+1,$FJ171&lt;SwaptionFirstMonthPosition+1,FS$169&gt;SwaptionFirstMonthPosition+SwaptionNumOfMonths+1,$FJ171&gt;SwaptionFirstMonthPosition+SwaptionNumOfMonths+1),"",IF($FJ171=FS$169,1,IF($FJ171&lt;FS$169,INDEX($FK$170:$ID$241,FS$169,$FJ171),SUMPRODUCT(INDEX($FK$325:$ID$396,FS$169,1+SwaptionShift):INDEX($FK$325:$ID$396,FS$169,SwaptionMonthsToGo+SwaptionShift),INDEX($FK$245:$ID$316,$FJ171-FS$169,73-FS$169+SwaptionShift):INDEX($FK$245:$ID$316,$FJ171-FS$169,72-FS$169+SwaptionMonthsToGo+SwaptionShift))/SQRT(SUM(INDEX($FK326:$ID326,1+SwaptionShift):INDEX($FK326:$ID326,SwaptionMonthsToGo+SwaptionShift))*SUM(INDEX($FK$325:$ID$396,FS$169,1+SwaptionShift):INDEX($FK$325:$ID$396,FS$169,SwaptionMonthsToGo+SwaptionShift))))))</f>
        <v/>
      </c>
      <c r="FT171" s="479" t="str">
        <f ca="1">IF(OR(FT$169&lt;SwaptionFirstMonthPosition+1,$FJ171&lt;SwaptionFirstMonthPosition+1,FT$169&gt;SwaptionFirstMonthPosition+SwaptionNumOfMonths+1,$FJ171&gt;SwaptionFirstMonthPosition+SwaptionNumOfMonths+1),"",IF($FJ171=FT$169,1,IF($FJ171&lt;FT$169,INDEX($FK$170:$ID$241,FT$169,$FJ171),SUMPRODUCT(INDEX($FK$325:$ID$396,FT$169,1+SwaptionShift):INDEX($FK$325:$ID$396,FT$169,SwaptionMonthsToGo+SwaptionShift),INDEX($FK$245:$ID$316,$FJ171-FT$169,73-FT$169+SwaptionShift):INDEX($FK$245:$ID$316,$FJ171-FT$169,72-FT$169+SwaptionMonthsToGo+SwaptionShift))/SQRT(SUM(INDEX($FK326:$ID326,1+SwaptionShift):INDEX($FK326:$ID326,SwaptionMonthsToGo+SwaptionShift))*SUM(INDEX($FK$325:$ID$396,FT$169,1+SwaptionShift):INDEX($FK$325:$ID$396,FT$169,SwaptionMonthsToGo+SwaptionShift))))))</f>
        <v/>
      </c>
      <c r="FU171" s="479" t="str">
        <f ca="1">IF(OR(FU$169&lt;SwaptionFirstMonthPosition+1,$FJ171&lt;SwaptionFirstMonthPosition+1,FU$169&gt;SwaptionFirstMonthPosition+SwaptionNumOfMonths+1,$FJ171&gt;SwaptionFirstMonthPosition+SwaptionNumOfMonths+1),"",IF($FJ171=FU$169,1,IF($FJ171&lt;FU$169,INDEX($FK$170:$ID$241,FU$169,$FJ171),SUMPRODUCT(INDEX($FK$325:$ID$396,FU$169,1+SwaptionShift):INDEX($FK$325:$ID$396,FU$169,SwaptionMonthsToGo+SwaptionShift),INDEX($FK$245:$ID$316,$FJ171-FU$169,73-FU$169+SwaptionShift):INDEX($FK$245:$ID$316,$FJ171-FU$169,72-FU$169+SwaptionMonthsToGo+SwaptionShift))/SQRT(SUM(INDEX($FK326:$ID326,1+SwaptionShift):INDEX($FK326:$ID326,SwaptionMonthsToGo+SwaptionShift))*SUM(INDEX($FK$325:$ID$396,FU$169,1+SwaptionShift):INDEX($FK$325:$ID$396,FU$169,SwaptionMonthsToGo+SwaptionShift))))))</f>
        <v/>
      </c>
      <c r="FV171" s="479" t="str">
        <f ca="1">IF(OR(FV$169&lt;SwaptionFirstMonthPosition+1,$FJ171&lt;SwaptionFirstMonthPosition+1,FV$169&gt;SwaptionFirstMonthPosition+SwaptionNumOfMonths+1,$FJ171&gt;SwaptionFirstMonthPosition+SwaptionNumOfMonths+1),"",IF($FJ171=FV$169,1,IF($FJ171&lt;FV$169,INDEX($FK$170:$ID$241,FV$169,$FJ171),SUMPRODUCT(INDEX($FK$325:$ID$396,FV$169,1+SwaptionShift):INDEX($FK$325:$ID$396,FV$169,SwaptionMonthsToGo+SwaptionShift),INDEX($FK$245:$ID$316,$FJ171-FV$169,73-FV$169+SwaptionShift):INDEX($FK$245:$ID$316,$FJ171-FV$169,72-FV$169+SwaptionMonthsToGo+SwaptionShift))/SQRT(SUM(INDEX($FK326:$ID326,1+SwaptionShift):INDEX($FK326:$ID326,SwaptionMonthsToGo+SwaptionShift))*SUM(INDEX($FK$325:$ID$396,FV$169,1+SwaptionShift):INDEX($FK$325:$ID$396,FV$169,SwaptionMonthsToGo+SwaptionShift))))))</f>
        <v/>
      </c>
      <c r="FW171" s="479" t="str">
        <f ca="1">IF(OR(FW$169&lt;SwaptionFirstMonthPosition+1,$FJ171&lt;SwaptionFirstMonthPosition+1,FW$169&gt;SwaptionFirstMonthPosition+SwaptionNumOfMonths+1,$FJ171&gt;SwaptionFirstMonthPosition+SwaptionNumOfMonths+1),"",IF($FJ171=FW$169,1,IF($FJ171&lt;FW$169,INDEX($FK$170:$ID$241,FW$169,$FJ171),SUMPRODUCT(INDEX($FK$325:$ID$396,FW$169,1+SwaptionShift):INDEX($FK$325:$ID$396,FW$169,SwaptionMonthsToGo+SwaptionShift),INDEX($FK$245:$ID$316,$FJ171-FW$169,73-FW$169+SwaptionShift):INDEX($FK$245:$ID$316,$FJ171-FW$169,72-FW$169+SwaptionMonthsToGo+SwaptionShift))/SQRT(SUM(INDEX($FK326:$ID326,1+SwaptionShift):INDEX($FK326:$ID326,SwaptionMonthsToGo+SwaptionShift))*SUM(INDEX($FK$325:$ID$396,FW$169,1+SwaptionShift):INDEX($FK$325:$ID$396,FW$169,SwaptionMonthsToGo+SwaptionShift))))))</f>
        <v/>
      </c>
      <c r="FX171" s="479" t="str">
        <f ca="1">IF(OR(FX$169&lt;SwaptionFirstMonthPosition+1,$FJ171&lt;SwaptionFirstMonthPosition+1,FX$169&gt;SwaptionFirstMonthPosition+SwaptionNumOfMonths+1,$FJ171&gt;SwaptionFirstMonthPosition+SwaptionNumOfMonths+1),"",IF($FJ171=FX$169,1,IF($FJ171&lt;FX$169,INDEX($FK$170:$ID$241,FX$169,$FJ171),SUMPRODUCT(INDEX($FK$325:$ID$396,FX$169,1+SwaptionShift):INDEX($FK$325:$ID$396,FX$169,SwaptionMonthsToGo+SwaptionShift),INDEX($FK$245:$ID$316,$FJ171-FX$169,73-FX$169+SwaptionShift):INDEX($FK$245:$ID$316,$FJ171-FX$169,72-FX$169+SwaptionMonthsToGo+SwaptionShift))/SQRT(SUM(INDEX($FK326:$ID326,1+SwaptionShift):INDEX($FK326:$ID326,SwaptionMonthsToGo+SwaptionShift))*SUM(INDEX($FK$325:$ID$396,FX$169,1+SwaptionShift):INDEX($FK$325:$ID$396,FX$169,SwaptionMonthsToGo+SwaptionShift))))))</f>
        <v/>
      </c>
      <c r="FY171" s="479" t="str">
        <f ca="1">IF(OR(FY$169&lt;SwaptionFirstMonthPosition+1,$FJ171&lt;SwaptionFirstMonthPosition+1,FY$169&gt;SwaptionFirstMonthPosition+SwaptionNumOfMonths+1,$FJ171&gt;SwaptionFirstMonthPosition+SwaptionNumOfMonths+1),"",IF($FJ171=FY$169,1,IF($FJ171&lt;FY$169,INDEX($FK$170:$ID$241,FY$169,$FJ171),SUMPRODUCT(INDEX($FK$325:$ID$396,FY$169,1+SwaptionShift):INDEX($FK$325:$ID$396,FY$169,SwaptionMonthsToGo+SwaptionShift),INDEX($FK$245:$ID$316,$FJ171-FY$169,73-FY$169+SwaptionShift):INDEX($FK$245:$ID$316,$FJ171-FY$169,72-FY$169+SwaptionMonthsToGo+SwaptionShift))/SQRT(SUM(INDEX($FK326:$ID326,1+SwaptionShift):INDEX($FK326:$ID326,SwaptionMonthsToGo+SwaptionShift))*SUM(INDEX($FK$325:$ID$396,FY$169,1+SwaptionShift):INDEX($FK$325:$ID$396,FY$169,SwaptionMonthsToGo+SwaptionShift))))))</f>
        <v/>
      </c>
      <c r="FZ171" s="479" t="str">
        <f ca="1">IF(OR(FZ$169&lt;SwaptionFirstMonthPosition+1,$FJ171&lt;SwaptionFirstMonthPosition+1,FZ$169&gt;SwaptionFirstMonthPosition+SwaptionNumOfMonths+1,$FJ171&gt;SwaptionFirstMonthPosition+SwaptionNumOfMonths+1),"",IF($FJ171=FZ$169,1,IF($FJ171&lt;FZ$169,INDEX($FK$170:$ID$241,FZ$169,$FJ171),SUMPRODUCT(INDEX($FK$325:$ID$396,FZ$169,1+SwaptionShift):INDEX($FK$325:$ID$396,FZ$169,SwaptionMonthsToGo+SwaptionShift),INDEX($FK$245:$ID$316,$FJ171-FZ$169,73-FZ$169+SwaptionShift):INDEX($FK$245:$ID$316,$FJ171-FZ$169,72-FZ$169+SwaptionMonthsToGo+SwaptionShift))/SQRT(SUM(INDEX($FK326:$ID326,1+SwaptionShift):INDEX($FK326:$ID326,SwaptionMonthsToGo+SwaptionShift))*SUM(INDEX($FK$325:$ID$396,FZ$169,1+SwaptionShift):INDEX($FK$325:$ID$396,FZ$169,SwaptionMonthsToGo+SwaptionShift))))))</f>
        <v/>
      </c>
      <c r="GA171" s="479" t="str">
        <f ca="1">IF(OR(GA$169&lt;SwaptionFirstMonthPosition+1,$FJ171&lt;SwaptionFirstMonthPosition+1,GA$169&gt;SwaptionFirstMonthPosition+SwaptionNumOfMonths+1,$FJ171&gt;SwaptionFirstMonthPosition+SwaptionNumOfMonths+1),"",IF($FJ171=GA$169,1,IF($FJ171&lt;GA$169,INDEX($FK$170:$ID$241,GA$169,$FJ171),SUMPRODUCT(INDEX($FK$325:$ID$396,GA$169,1+SwaptionShift):INDEX($FK$325:$ID$396,GA$169,SwaptionMonthsToGo+SwaptionShift),INDEX($FK$245:$ID$316,$FJ171-GA$169,73-GA$169+SwaptionShift):INDEX($FK$245:$ID$316,$FJ171-GA$169,72-GA$169+SwaptionMonthsToGo+SwaptionShift))/SQRT(SUM(INDEX($FK326:$ID326,1+SwaptionShift):INDEX($FK326:$ID326,SwaptionMonthsToGo+SwaptionShift))*SUM(INDEX($FK$325:$ID$396,GA$169,1+SwaptionShift):INDEX($FK$325:$ID$396,GA$169,SwaptionMonthsToGo+SwaptionShift))))))</f>
        <v/>
      </c>
      <c r="GB171" s="479" t="str">
        <f ca="1">IF(OR(GB$169&lt;SwaptionFirstMonthPosition+1,$FJ171&lt;SwaptionFirstMonthPosition+1,GB$169&gt;SwaptionFirstMonthPosition+SwaptionNumOfMonths+1,$FJ171&gt;SwaptionFirstMonthPosition+SwaptionNumOfMonths+1),"",IF($FJ171=GB$169,1,IF($FJ171&lt;GB$169,INDEX($FK$170:$ID$241,GB$169,$FJ171),SUMPRODUCT(INDEX($FK$325:$ID$396,GB$169,1+SwaptionShift):INDEX($FK$325:$ID$396,GB$169,SwaptionMonthsToGo+SwaptionShift),INDEX($FK$245:$ID$316,$FJ171-GB$169,73-GB$169+SwaptionShift):INDEX($FK$245:$ID$316,$FJ171-GB$169,72-GB$169+SwaptionMonthsToGo+SwaptionShift))/SQRT(SUM(INDEX($FK326:$ID326,1+SwaptionShift):INDEX($FK326:$ID326,SwaptionMonthsToGo+SwaptionShift))*SUM(INDEX($FK$325:$ID$396,GB$169,1+SwaptionShift):INDEX($FK$325:$ID$396,GB$169,SwaptionMonthsToGo+SwaptionShift))))))</f>
        <v/>
      </c>
      <c r="GC171" s="479" t="str">
        <f ca="1">IF(OR(GC$169&lt;SwaptionFirstMonthPosition+1,$FJ171&lt;SwaptionFirstMonthPosition+1,GC$169&gt;SwaptionFirstMonthPosition+SwaptionNumOfMonths+1,$FJ171&gt;SwaptionFirstMonthPosition+SwaptionNumOfMonths+1),"",IF($FJ171=GC$169,1,IF($FJ171&lt;GC$169,INDEX($FK$170:$ID$241,GC$169,$FJ171),SUMPRODUCT(INDEX($FK$325:$ID$396,GC$169,1+SwaptionShift):INDEX($FK$325:$ID$396,GC$169,SwaptionMonthsToGo+SwaptionShift),INDEX($FK$245:$ID$316,$FJ171-GC$169,73-GC$169+SwaptionShift):INDEX($FK$245:$ID$316,$FJ171-GC$169,72-GC$169+SwaptionMonthsToGo+SwaptionShift))/SQRT(SUM(INDEX($FK326:$ID326,1+SwaptionShift):INDEX($FK326:$ID326,SwaptionMonthsToGo+SwaptionShift))*SUM(INDEX($FK$325:$ID$396,GC$169,1+SwaptionShift):INDEX($FK$325:$ID$396,GC$169,SwaptionMonthsToGo+SwaptionShift))))))</f>
        <v/>
      </c>
      <c r="GD171" s="479" t="str">
        <f ca="1">IF(OR(GD$169&lt;SwaptionFirstMonthPosition+1,$FJ171&lt;SwaptionFirstMonthPosition+1,GD$169&gt;SwaptionFirstMonthPosition+SwaptionNumOfMonths+1,$FJ171&gt;SwaptionFirstMonthPosition+SwaptionNumOfMonths+1),"",IF($FJ171=GD$169,1,IF($FJ171&lt;GD$169,INDEX($FK$170:$ID$241,GD$169,$FJ171),SUMPRODUCT(INDEX($FK$325:$ID$396,GD$169,1+SwaptionShift):INDEX($FK$325:$ID$396,GD$169,SwaptionMonthsToGo+SwaptionShift),INDEX($FK$245:$ID$316,$FJ171-GD$169,73-GD$169+SwaptionShift):INDEX($FK$245:$ID$316,$FJ171-GD$169,72-GD$169+SwaptionMonthsToGo+SwaptionShift))/SQRT(SUM(INDEX($FK326:$ID326,1+SwaptionShift):INDEX($FK326:$ID326,SwaptionMonthsToGo+SwaptionShift))*SUM(INDEX($FK$325:$ID$396,GD$169,1+SwaptionShift):INDEX($FK$325:$ID$396,GD$169,SwaptionMonthsToGo+SwaptionShift))))))</f>
        <v/>
      </c>
      <c r="GE171" s="479" t="str">
        <f ca="1">IF(OR(GE$169&lt;SwaptionFirstMonthPosition+1,$FJ171&lt;SwaptionFirstMonthPosition+1,GE$169&gt;SwaptionFirstMonthPosition+SwaptionNumOfMonths+1,$FJ171&gt;SwaptionFirstMonthPosition+SwaptionNumOfMonths+1),"",IF($FJ171=GE$169,1,IF($FJ171&lt;GE$169,INDEX($FK$170:$ID$241,GE$169,$FJ171),SUMPRODUCT(INDEX($FK$325:$ID$396,GE$169,1+SwaptionShift):INDEX($FK$325:$ID$396,GE$169,SwaptionMonthsToGo+SwaptionShift),INDEX($FK$245:$ID$316,$FJ171-GE$169,73-GE$169+SwaptionShift):INDEX($FK$245:$ID$316,$FJ171-GE$169,72-GE$169+SwaptionMonthsToGo+SwaptionShift))/SQRT(SUM(INDEX($FK326:$ID326,1+SwaptionShift):INDEX($FK326:$ID326,SwaptionMonthsToGo+SwaptionShift))*SUM(INDEX($FK$325:$ID$396,GE$169,1+SwaptionShift):INDEX($FK$325:$ID$396,GE$169,SwaptionMonthsToGo+SwaptionShift))))))</f>
        <v/>
      </c>
      <c r="GF171" s="479" t="str">
        <f ca="1">IF(OR(GF$169&lt;SwaptionFirstMonthPosition+1,$FJ171&lt;SwaptionFirstMonthPosition+1,GF$169&gt;SwaptionFirstMonthPosition+SwaptionNumOfMonths+1,$FJ171&gt;SwaptionFirstMonthPosition+SwaptionNumOfMonths+1),"",IF($FJ171=GF$169,1,IF($FJ171&lt;GF$169,INDEX($FK$170:$ID$241,GF$169,$FJ171),SUMPRODUCT(INDEX($FK$325:$ID$396,GF$169,1+SwaptionShift):INDEX($FK$325:$ID$396,GF$169,SwaptionMonthsToGo+SwaptionShift),INDEX($FK$245:$ID$316,$FJ171-GF$169,73-GF$169+SwaptionShift):INDEX($FK$245:$ID$316,$FJ171-GF$169,72-GF$169+SwaptionMonthsToGo+SwaptionShift))/SQRT(SUM(INDEX($FK326:$ID326,1+SwaptionShift):INDEX($FK326:$ID326,SwaptionMonthsToGo+SwaptionShift))*SUM(INDEX($FK$325:$ID$396,GF$169,1+SwaptionShift):INDEX($FK$325:$ID$396,GF$169,SwaptionMonthsToGo+SwaptionShift))))))</f>
        <v/>
      </c>
      <c r="GG171" s="479" t="str">
        <f ca="1">IF(OR(GG$169&lt;SwaptionFirstMonthPosition+1,$FJ171&lt;SwaptionFirstMonthPosition+1,GG$169&gt;SwaptionFirstMonthPosition+SwaptionNumOfMonths+1,$FJ171&gt;SwaptionFirstMonthPosition+SwaptionNumOfMonths+1),"",IF($FJ171=GG$169,1,IF($FJ171&lt;GG$169,INDEX($FK$170:$ID$241,GG$169,$FJ171),SUMPRODUCT(INDEX($FK$325:$ID$396,GG$169,1+SwaptionShift):INDEX($FK$325:$ID$396,GG$169,SwaptionMonthsToGo+SwaptionShift),INDEX($FK$245:$ID$316,$FJ171-GG$169,73-GG$169+SwaptionShift):INDEX($FK$245:$ID$316,$FJ171-GG$169,72-GG$169+SwaptionMonthsToGo+SwaptionShift))/SQRT(SUM(INDEX($FK326:$ID326,1+SwaptionShift):INDEX($FK326:$ID326,SwaptionMonthsToGo+SwaptionShift))*SUM(INDEX($FK$325:$ID$396,GG$169,1+SwaptionShift):INDEX($FK$325:$ID$396,GG$169,SwaptionMonthsToGo+SwaptionShift))))))</f>
        <v/>
      </c>
      <c r="GH171" s="479" t="str">
        <f ca="1">IF(OR(GH$169&lt;SwaptionFirstMonthPosition+1,$FJ171&lt;SwaptionFirstMonthPosition+1,GH$169&gt;SwaptionFirstMonthPosition+SwaptionNumOfMonths+1,$FJ171&gt;SwaptionFirstMonthPosition+SwaptionNumOfMonths+1),"",IF($FJ171=GH$169,1,IF($FJ171&lt;GH$169,INDEX($FK$170:$ID$241,GH$169,$FJ171),SUMPRODUCT(INDEX($FK$325:$ID$396,GH$169,1+SwaptionShift):INDEX($FK$325:$ID$396,GH$169,SwaptionMonthsToGo+SwaptionShift),INDEX($FK$245:$ID$316,$FJ171-GH$169,73-GH$169+SwaptionShift):INDEX($FK$245:$ID$316,$FJ171-GH$169,72-GH$169+SwaptionMonthsToGo+SwaptionShift))/SQRT(SUM(INDEX($FK326:$ID326,1+SwaptionShift):INDEX($FK326:$ID326,SwaptionMonthsToGo+SwaptionShift))*SUM(INDEX($FK$325:$ID$396,GH$169,1+SwaptionShift):INDEX($FK$325:$ID$396,GH$169,SwaptionMonthsToGo+SwaptionShift))))))</f>
        <v/>
      </c>
      <c r="GI171" s="479" t="str">
        <f ca="1">IF(OR(GI$169&lt;SwaptionFirstMonthPosition+1,$FJ171&lt;SwaptionFirstMonthPosition+1,GI$169&gt;SwaptionFirstMonthPosition+SwaptionNumOfMonths+1,$FJ171&gt;SwaptionFirstMonthPosition+SwaptionNumOfMonths+1),"",IF($FJ171=GI$169,1,IF($FJ171&lt;GI$169,INDEX($FK$170:$ID$241,GI$169,$FJ171),SUMPRODUCT(INDEX($FK$325:$ID$396,GI$169,1+SwaptionShift):INDEX($FK$325:$ID$396,GI$169,SwaptionMonthsToGo+SwaptionShift),INDEX($FK$245:$ID$316,$FJ171-GI$169,73-GI$169+SwaptionShift):INDEX($FK$245:$ID$316,$FJ171-GI$169,72-GI$169+SwaptionMonthsToGo+SwaptionShift))/SQRT(SUM(INDEX($FK326:$ID326,1+SwaptionShift):INDEX($FK326:$ID326,SwaptionMonthsToGo+SwaptionShift))*SUM(INDEX($FK$325:$ID$396,GI$169,1+SwaptionShift):INDEX($FK$325:$ID$396,GI$169,SwaptionMonthsToGo+SwaptionShift))))))</f>
        <v/>
      </c>
      <c r="GJ171" s="479" t="str">
        <f ca="1">IF(OR(GJ$169&lt;SwaptionFirstMonthPosition+1,$FJ171&lt;SwaptionFirstMonthPosition+1,GJ$169&gt;SwaptionFirstMonthPosition+SwaptionNumOfMonths+1,$FJ171&gt;SwaptionFirstMonthPosition+SwaptionNumOfMonths+1),"",IF($FJ171=GJ$169,1,IF($FJ171&lt;GJ$169,INDEX($FK$170:$ID$241,GJ$169,$FJ171),SUMPRODUCT(INDEX($FK$325:$ID$396,GJ$169,1+SwaptionShift):INDEX($FK$325:$ID$396,GJ$169,SwaptionMonthsToGo+SwaptionShift),INDEX($FK$245:$ID$316,$FJ171-GJ$169,73-GJ$169+SwaptionShift):INDEX($FK$245:$ID$316,$FJ171-GJ$169,72-GJ$169+SwaptionMonthsToGo+SwaptionShift))/SQRT(SUM(INDEX($FK326:$ID326,1+SwaptionShift):INDEX($FK326:$ID326,SwaptionMonthsToGo+SwaptionShift))*SUM(INDEX($FK$325:$ID$396,GJ$169,1+SwaptionShift):INDEX($FK$325:$ID$396,GJ$169,SwaptionMonthsToGo+SwaptionShift))))))</f>
        <v/>
      </c>
      <c r="GK171" s="479" t="str">
        <f ca="1">IF(OR(GK$169&lt;SwaptionFirstMonthPosition+1,$FJ171&lt;SwaptionFirstMonthPosition+1,GK$169&gt;SwaptionFirstMonthPosition+SwaptionNumOfMonths+1,$FJ171&gt;SwaptionFirstMonthPosition+SwaptionNumOfMonths+1),"",IF($FJ171=GK$169,1,IF($FJ171&lt;GK$169,INDEX($FK$170:$ID$241,GK$169,$FJ171),SUMPRODUCT(INDEX($FK$325:$ID$396,GK$169,1+SwaptionShift):INDEX($FK$325:$ID$396,GK$169,SwaptionMonthsToGo+SwaptionShift),INDEX($FK$245:$ID$316,$FJ171-GK$169,73-GK$169+SwaptionShift):INDEX($FK$245:$ID$316,$FJ171-GK$169,72-GK$169+SwaptionMonthsToGo+SwaptionShift))/SQRT(SUM(INDEX($FK326:$ID326,1+SwaptionShift):INDEX($FK326:$ID326,SwaptionMonthsToGo+SwaptionShift))*SUM(INDEX($FK$325:$ID$396,GK$169,1+SwaptionShift):INDEX($FK$325:$ID$396,GK$169,SwaptionMonthsToGo+SwaptionShift))))))</f>
        <v/>
      </c>
      <c r="GL171" s="479" t="str">
        <f ca="1">IF(OR(GL$169&lt;SwaptionFirstMonthPosition+1,$FJ171&lt;SwaptionFirstMonthPosition+1,GL$169&gt;SwaptionFirstMonthPosition+SwaptionNumOfMonths+1,$FJ171&gt;SwaptionFirstMonthPosition+SwaptionNumOfMonths+1),"",IF($FJ171=GL$169,1,IF($FJ171&lt;GL$169,INDEX($FK$170:$ID$241,GL$169,$FJ171),SUMPRODUCT(INDEX($FK$325:$ID$396,GL$169,1+SwaptionShift):INDEX($FK$325:$ID$396,GL$169,SwaptionMonthsToGo+SwaptionShift),INDEX($FK$245:$ID$316,$FJ171-GL$169,73-GL$169+SwaptionShift):INDEX($FK$245:$ID$316,$FJ171-GL$169,72-GL$169+SwaptionMonthsToGo+SwaptionShift))/SQRT(SUM(INDEX($FK326:$ID326,1+SwaptionShift):INDEX($FK326:$ID326,SwaptionMonthsToGo+SwaptionShift))*SUM(INDEX($FK$325:$ID$396,GL$169,1+SwaptionShift):INDEX($FK$325:$ID$396,GL$169,SwaptionMonthsToGo+SwaptionShift))))))</f>
        <v/>
      </c>
      <c r="GM171" s="479" t="str">
        <f ca="1">IF(OR(GM$169&lt;SwaptionFirstMonthPosition+1,$FJ171&lt;SwaptionFirstMonthPosition+1,GM$169&gt;SwaptionFirstMonthPosition+SwaptionNumOfMonths+1,$FJ171&gt;SwaptionFirstMonthPosition+SwaptionNumOfMonths+1),"",IF($FJ171=GM$169,1,IF($FJ171&lt;GM$169,INDEX($FK$170:$ID$241,GM$169,$FJ171),SUMPRODUCT(INDEX($FK$325:$ID$396,GM$169,1+SwaptionShift):INDEX($FK$325:$ID$396,GM$169,SwaptionMonthsToGo+SwaptionShift),INDEX($FK$245:$ID$316,$FJ171-GM$169,73-GM$169+SwaptionShift):INDEX($FK$245:$ID$316,$FJ171-GM$169,72-GM$169+SwaptionMonthsToGo+SwaptionShift))/SQRT(SUM(INDEX($FK326:$ID326,1+SwaptionShift):INDEX($FK326:$ID326,SwaptionMonthsToGo+SwaptionShift))*SUM(INDEX($FK$325:$ID$396,GM$169,1+SwaptionShift):INDEX($FK$325:$ID$396,GM$169,SwaptionMonthsToGo+SwaptionShift))))))</f>
        <v/>
      </c>
      <c r="GN171" s="479" t="str">
        <f ca="1">IF(OR(GN$169&lt;SwaptionFirstMonthPosition+1,$FJ171&lt;SwaptionFirstMonthPosition+1,GN$169&gt;SwaptionFirstMonthPosition+SwaptionNumOfMonths+1,$FJ171&gt;SwaptionFirstMonthPosition+SwaptionNumOfMonths+1),"",IF($FJ171=GN$169,1,IF($FJ171&lt;GN$169,INDEX($FK$170:$ID$241,GN$169,$FJ171),SUMPRODUCT(INDEX($FK$325:$ID$396,GN$169,1+SwaptionShift):INDEX($FK$325:$ID$396,GN$169,SwaptionMonthsToGo+SwaptionShift),INDEX($FK$245:$ID$316,$FJ171-GN$169,73-GN$169+SwaptionShift):INDEX($FK$245:$ID$316,$FJ171-GN$169,72-GN$169+SwaptionMonthsToGo+SwaptionShift))/SQRT(SUM(INDEX($FK326:$ID326,1+SwaptionShift):INDEX($FK326:$ID326,SwaptionMonthsToGo+SwaptionShift))*SUM(INDEX($FK$325:$ID$396,GN$169,1+SwaptionShift):INDEX($FK$325:$ID$396,GN$169,SwaptionMonthsToGo+SwaptionShift))))))</f>
        <v/>
      </c>
      <c r="GO171" s="479" t="str">
        <f ca="1">IF(OR(GO$169&lt;SwaptionFirstMonthPosition+1,$FJ171&lt;SwaptionFirstMonthPosition+1,GO$169&gt;SwaptionFirstMonthPosition+SwaptionNumOfMonths+1,$FJ171&gt;SwaptionFirstMonthPosition+SwaptionNumOfMonths+1),"",IF($FJ171=GO$169,1,IF($FJ171&lt;GO$169,INDEX($FK$170:$ID$241,GO$169,$FJ171),SUMPRODUCT(INDEX($FK$325:$ID$396,GO$169,1+SwaptionShift):INDEX($FK$325:$ID$396,GO$169,SwaptionMonthsToGo+SwaptionShift),INDEX($FK$245:$ID$316,$FJ171-GO$169,73-GO$169+SwaptionShift):INDEX($FK$245:$ID$316,$FJ171-GO$169,72-GO$169+SwaptionMonthsToGo+SwaptionShift))/SQRT(SUM(INDEX($FK326:$ID326,1+SwaptionShift):INDEX($FK326:$ID326,SwaptionMonthsToGo+SwaptionShift))*SUM(INDEX($FK$325:$ID$396,GO$169,1+SwaptionShift):INDEX($FK$325:$ID$396,GO$169,SwaptionMonthsToGo+SwaptionShift))))))</f>
        <v/>
      </c>
      <c r="GP171" s="479" t="str">
        <f ca="1">IF(OR(GP$169&lt;SwaptionFirstMonthPosition+1,$FJ171&lt;SwaptionFirstMonthPosition+1,GP$169&gt;SwaptionFirstMonthPosition+SwaptionNumOfMonths+1,$FJ171&gt;SwaptionFirstMonthPosition+SwaptionNumOfMonths+1),"",IF($FJ171=GP$169,1,IF($FJ171&lt;GP$169,INDEX($FK$170:$ID$241,GP$169,$FJ171),SUMPRODUCT(INDEX($FK$325:$ID$396,GP$169,1+SwaptionShift):INDEX($FK$325:$ID$396,GP$169,SwaptionMonthsToGo+SwaptionShift),INDEX($FK$245:$ID$316,$FJ171-GP$169,73-GP$169+SwaptionShift):INDEX($FK$245:$ID$316,$FJ171-GP$169,72-GP$169+SwaptionMonthsToGo+SwaptionShift))/SQRT(SUM(INDEX($FK326:$ID326,1+SwaptionShift):INDEX($FK326:$ID326,SwaptionMonthsToGo+SwaptionShift))*SUM(INDEX($FK$325:$ID$396,GP$169,1+SwaptionShift):INDEX($FK$325:$ID$396,GP$169,SwaptionMonthsToGo+SwaptionShift))))))</f>
        <v/>
      </c>
      <c r="GQ171" s="479" t="str">
        <f ca="1">IF(OR(GQ$169&lt;SwaptionFirstMonthPosition+1,$FJ171&lt;SwaptionFirstMonthPosition+1,GQ$169&gt;SwaptionFirstMonthPosition+SwaptionNumOfMonths+1,$FJ171&gt;SwaptionFirstMonthPosition+SwaptionNumOfMonths+1),"",IF($FJ171=GQ$169,1,IF($FJ171&lt;GQ$169,INDEX($FK$170:$ID$241,GQ$169,$FJ171),SUMPRODUCT(INDEX($FK$325:$ID$396,GQ$169,1+SwaptionShift):INDEX($FK$325:$ID$396,GQ$169,SwaptionMonthsToGo+SwaptionShift),INDEX($FK$245:$ID$316,$FJ171-GQ$169,73-GQ$169+SwaptionShift):INDEX($FK$245:$ID$316,$FJ171-GQ$169,72-GQ$169+SwaptionMonthsToGo+SwaptionShift))/SQRT(SUM(INDEX($FK326:$ID326,1+SwaptionShift):INDEX($FK326:$ID326,SwaptionMonthsToGo+SwaptionShift))*SUM(INDEX($FK$325:$ID$396,GQ$169,1+SwaptionShift):INDEX($FK$325:$ID$396,GQ$169,SwaptionMonthsToGo+SwaptionShift))))))</f>
        <v/>
      </c>
      <c r="GR171" s="479" t="str">
        <f ca="1">IF(OR(GR$169&lt;SwaptionFirstMonthPosition+1,$FJ171&lt;SwaptionFirstMonthPosition+1,GR$169&gt;SwaptionFirstMonthPosition+SwaptionNumOfMonths+1,$FJ171&gt;SwaptionFirstMonthPosition+SwaptionNumOfMonths+1),"",IF($FJ171=GR$169,1,IF($FJ171&lt;GR$169,INDEX($FK$170:$ID$241,GR$169,$FJ171),SUMPRODUCT(INDEX($FK$325:$ID$396,GR$169,1+SwaptionShift):INDEX($FK$325:$ID$396,GR$169,SwaptionMonthsToGo+SwaptionShift),INDEX($FK$245:$ID$316,$FJ171-GR$169,73-GR$169+SwaptionShift):INDEX($FK$245:$ID$316,$FJ171-GR$169,72-GR$169+SwaptionMonthsToGo+SwaptionShift))/SQRT(SUM(INDEX($FK326:$ID326,1+SwaptionShift):INDEX($FK326:$ID326,SwaptionMonthsToGo+SwaptionShift))*SUM(INDEX($FK$325:$ID$396,GR$169,1+SwaptionShift):INDEX($FK$325:$ID$396,GR$169,SwaptionMonthsToGo+SwaptionShift))))))</f>
        <v/>
      </c>
      <c r="GS171" s="479" t="str">
        <f ca="1">IF(OR(GS$169&lt;SwaptionFirstMonthPosition+1,$FJ171&lt;SwaptionFirstMonthPosition+1,GS$169&gt;SwaptionFirstMonthPosition+SwaptionNumOfMonths+1,$FJ171&gt;SwaptionFirstMonthPosition+SwaptionNumOfMonths+1),"",IF($FJ171=GS$169,1,IF($FJ171&lt;GS$169,INDEX($FK$170:$ID$241,GS$169,$FJ171),SUMPRODUCT(INDEX($FK$325:$ID$396,GS$169,1+SwaptionShift):INDEX($FK$325:$ID$396,GS$169,SwaptionMonthsToGo+SwaptionShift),INDEX($FK$245:$ID$316,$FJ171-GS$169,73-GS$169+SwaptionShift):INDEX($FK$245:$ID$316,$FJ171-GS$169,72-GS$169+SwaptionMonthsToGo+SwaptionShift))/SQRT(SUM(INDEX($FK326:$ID326,1+SwaptionShift):INDEX($FK326:$ID326,SwaptionMonthsToGo+SwaptionShift))*SUM(INDEX($FK$325:$ID$396,GS$169,1+SwaptionShift):INDEX($FK$325:$ID$396,GS$169,SwaptionMonthsToGo+SwaptionShift))))))</f>
        <v/>
      </c>
      <c r="GT171" s="479" t="str">
        <f ca="1">IF(OR(GT$169&lt;SwaptionFirstMonthPosition+1,$FJ171&lt;SwaptionFirstMonthPosition+1,GT$169&gt;SwaptionFirstMonthPosition+SwaptionNumOfMonths+1,$FJ171&gt;SwaptionFirstMonthPosition+SwaptionNumOfMonths+1),"",IF($FJ171=GT$169,1,IF($FJ171&lt;GT$169,INDEX($FK$170:$ID$241,GT$169,$FJ171),SUMPRODUCT(INDEX($FK$325:$ID$396,GT$169,1+SwaptionShift):INDEX($FK$325:$ID$396,GT$169,SwaptionMonthsToGo+SwaptionShift),INDEX($FK$245:$ID$316,$FJ171-GT$169,73-GT$169+SwaptionShift):INDEX($FK$245:$ID$316,$FJ171-GT$169,72-GT$169+SwaptionMonthsToGo+SwaptionShift))/SQRT(SUM(INDEX($FK326:$ID326,1+SwaptionShift):INDEX($FK326:$ID326,SwaptionMonthsToGo+SwaptionShift))*SUM(INDEX($FK$325:$ID$396,GT$169,1+SwaptionShift):INDEX($FK$325:$ID$396,GT$169,SwaptionMonthsToGo+SwaptionShift))))))</f>
        <v/>
      </c>
      <c r="GU171" s="479" t="str">
        <f ca="1">IF(OR(GU$169&lt;SwaptionFirstMonthPosition+1,$FJ171&lt;SwaptionFirstMonthPosition+1,GU$169&gt;SwaptionFirstMonthPosition+SwaptionNumOfMonths+1,$FJ171&gt;SwaptionFirstMonthPosition+SwaptionNumOfMonths+1),"",IF($FJ171=GU$169,1,IF($FJ171&lt;GU$169,INDEX($FK$170:$ID$241,GU$169,$FJ171),SUMPRODUCT(INDEX($FK$325:$ID$396,GU$169,1+SwaptionShift):INDEX($FK$325:$ID$396,GU$169,SwaptionMonthsToGo+SwaptionShift),INDEX($FK$245:$ID$316,$FJ171-GU$169,73-GU$169+SwaptionShift):INDEX($FK$245:$ID$316,$FJ171-GU$169,72-GU$169+SwaptionMonthsToGo+SwaptionShift))/SQRT(SUM(INDEX($FK326:$ID326,1+SwaptionShift):INDEX($FK326:$ID326,SwaptionMonthsToGo+SwaptionShift))*SUM(INDEX($FK$325:$ID$396,GU$169,1+SwaptionShift):INDEX($FK$325:$ID$396,GU$169,SwaptionMonthsToGo+SwaptionShift))))))</f>
        <v/>
      </c>
      <c r="GV171" s="479" t="str">
        <f ca="1">IF(OR(GV$169&lt;SwaptionFirstMonthPosition+1,$FJ171&lt;SwaptionFirstMonthPosition+1,GV$169&gt;SwaptionFirstMonthPosition+SwaptionNumOfMonths+1,$FJ171&gt;SwaptionFirstMonthPosition+SwaptionNumOfMonths+1),"",IF($FJ171=GV$169,1,IF($FJ171&lt;GV$169,INDEX($FK$170:$ID$241,GV$169,$FJ171),SUMPRODUCT(INDEX($FK$325:$ID$396,GV$169,1+SwaptionShift):INDEX($FK$325:$ID$396,GV$169,SwaptionMonthsToGo+SwaptionShift),INDEX($FK$245:$ID$316,$FJ171-GV$169,73-GV$169+SwaptionShift):INDEX($FK$245:$ID$316,$FJ171-GV$169,72-GV$169+SwaptionMonthsToGo+SwaptionShift))/SQRT(SUM(INDEX($FK326:$ID326,1+SwaptionShift):INDEX($FK326:$ID326,SwaptionMonthsToGo+SwaptionShift))*SUM(INDEX($FK$325:$ID$396,GV$169,1+SwaptionShift):INDEX($FK$325:$ID$396,GV$169,SwaptionMonthsToGo+SwaptionShift))))))</f>
        <v/>
      </c>
      <c r="GW171" s="479" t="str">
        <f ca="1">IF(OR(GW$169&lt;SwaptionFirstMonthPosition+1,$FJ171&lt;SwaptionFirstMonthPosition+1,GW$169&gt;SwaptionFirstMonthPosition+SwaptionNumOfMonths+1,$FJ171&gt;SwaptionFirstMonthPosition+SwaptionNumOfMonths+1),"",IF($FJ171=GW$169,1,IF($FJ171&lt;GW$169,INDEX($FK$170:$ID$241,GW$169,$FJ171),SUMPRODUCT(INDEX($FK$325:$ID$396,GW$169,1+SwaptionShift):INDEX($FK$325:$ID$396,GW$169,SwaptionMonthsToGo+SwaptionShift),INDEX($FK$245:$ID$316,$FJ171-GW$169,73-GW$169+SwaptionShift):INDEX($FK$245:$ID$316,$FJ171-GW$169,72-GW$169+SwaptionMonthsToGo+SwaptionShift))/SQRT(SUM(INDEX($FK326:$ID326,1+SwaptionShift):INDEX($FK326:$ID326,SwaptionMonthsToGo+SwaptionShift))*SUM(INDEX($FK$325:$ID$396,GW$169,1+SwaptionShift):INDEX($FK$325:$ID$396,GW$169,SwaptionMonthsToGo+SwaptionShift))))))</f>
        <v/>
      </c>
      <c r="GX171" s="479" t="str">
        <f ca="1">IF(OR(GX$169&lt;SwaptionFirstMonthPosition+1,$FJ171&lt;SwaptionFirstMonthPosition+1,GX$169&gt;SwaptionFirstMonthPosition+SwaptionNumOfMonths+1,$FJ171&gt;SwaptionFirstMonthPosition+SwaptionNumOfMonths+1),"",IF($FJ171=GX$169,1,IF($FJ171&lt;GX$169,INDEX($FK$170:$ID$241,GX$169,$FJ171),SUMPRODUCT(INDEX($FK$325:$ID$396,GX$169,1+SwaptionShift):INDEX($FK$325:$ID$396,GX$169,SwaptionMonthsToGo+SwaptionShift),INDEX($FK$245:$ID$316,$FJ171-GX$169,73-GX$169+SwaptionShift):INDEX($FK$245:$ID$316,$FJ171-GX$169,72-GX$169+SwaptionMonthsToGo+SwaptionShift))/SQRT(SUM(INDEX($FK326:$ID326,1+SwaptionShift):INDEX($FK326:$ID326,SwaptionMonthsToGo+SwaptionShift))*SUM(INDEX($FK$325:$ID$396,GX$169,1+SwaptionShift):INDEX($FK$325:$ID$396,GX$169,SwaptionMonthsToGo+SwaptionShift))))))</f>
        <v/>
      </c>
      <c r="GY171" s="479" t="str">
        <f ca="1">IF(OR(GY$169&lt;SwaptionFirstMonthPosition+1,$FJ171&lt;SwaptionFirstMonthPosition+1,GY$169&gt;SwaptionFirstMonthPosition+SwaptionNumOfMonths+1,$FJ171&gt;SwaptionFirstMonthPosition+SwaptionNumOfMonths+1),"",IF($FJ171=GY$169,1,IF($FJ171&lt;GY$169,INDEX($FK$170:$ID$241,GY$169,$FJ171),SUMPRODUCT(INDEX($FK$325:$ID$396,GY$169,1+SwaptionShift):INDEX($FK$325:$ID$396,GY$169,SwaptionMonthsToGo+SwaptionShift),INDEX($FK$245:$ID$316,$FJ171-GY$169,73-GY$169+SwaptionShift):INDEX($FK$245:$ID$316,$FJ171-GY$169,72-GY$169+SwaptionMonthsToGo+SwaptionShift))/SQRT(SUM(INDEX($FK326:$ID326,1+SwaptionShift):INDEX($FK326:$ID326,SwaptionMonthsToGo+SwaptionShift))*SUM(INDEX($FK$325:$ID$396,GY$169,1+SwaptionShift):INDEX($FK$325:$ID$396,GY$169,SwaptionMonthsToGo+SwaptionShift))))))</f>
        <v/>
      </c>
      <c r="GZ171" s="479" t="str">
        <f ca="1">IF(OR(GZ$169&lt;SwaptionFirstMonthPosition+1,$FJ171&lt;SwaptionFirstMonthPosition+1,GZ$169&gt;SwaptionFirstMonthPosition+SwaptionNumOfMonths+1,$FJ171&gt;SwaptionFirstMonthPosition+SwaptionNumOfMonths+1),"",IF($FJ171=GZ$169,1,IF($FJ171&lt;GZ$169,INDEX($FK$170:$ID$241,GZ$169,$FJ171),SUMPRODUCT(INDEX($FK$325:$ID$396,GZ$169,1+SwaptionShift):INDEX($FK$325:$ID$396,GZ$169,SwaptionMonthsToGo+SwaptionShift),INDEX($FK$245:$ID$316,$FJ171-GZ$169,73-GZ$169+SwaptionShift):INDEX($FK$245:$ID$316,$FJ171-GZ$169,72-GZ$169+SwaptionMonthsToGo+SwaptionShift))/SQRT(SUM(INDEX($FK326:$ID326,1+SwaptionShift):INDEX($FK326:$ID326,SwaptionMonthsToGo+SwaptionShift))*SUM(INDEX($FK$325:$ID$396,GZ$169,1+SwaptionShift):INDEX($FK$325:$ID$396,GZ$169,SwaptionMonthsToGo+SwaptionShift))))))</f>
        <v/>
      </c>
      <c r="HA171" s="479" t="str">
        <f ca="1">IF(OR(HA$169&lt;SwaptionFirstMonthPosition+1,$FJ171&lt;SwaptionFirstMonthPosition+1,HA$169&gt;SwaptionFirstMonthPosition+SwaptionNumOfMonths+1,$FJ171&gt;SwaptionFirstMonthPosition+SwaptionNumOfMonths+1),"",IF($FJ171=HA$169,1,IF($FJ171&lt;HA$169,INDEX($FK$170:$ID$241,HA$169,$FJ171),SUMPRODUCT(INDEX($FK$325:$ID$396,HA$169,1+SwaptionShift):INDEX($FK$325:$ID$396,HA$169,SwaptionMonthsToGo+SwaptionShift),INDEX($FK$245:$ID$316,$FJ171-HA$169,73-HA$169+SwaptionShift):INDEX($FK$245:$ID$316,$FJ171-HA$169,72-HA$169+SwaptionMonthsToGo+SwaptionShift))/SQRT(SUM(INDEX($FK326:$ID326,1+SwaptionShift):INDEX($FK326:$ID326,SwaptionMonthsToGo+SwaptionShift))*SUM(INDEX($FK$325:$ID$396,HA$169,1+SwaptionShift):INDEX($FK$325:$ID$396,HA$169,SwaptionMonthsToGo+SwaptionShift))))))</f>
        <v/>
      </c>
      <c r="HB171" s="479" t="str">
        <f ca="1">IF(OR(HB$169&lt;SwaptionFirstMonthPosition+1,$FJ171&lt;SwaptionFirstMonthPosition+1,HB$169&gt;SwaptionFirstMonthPosition+SwaptionNumOfMonths+1,$FJ171&gt;SwaptionFirstMonthPosition+SwaptionNumOfMonths+1),"",IF($FJ171=HB$169,1,IF($FJ171&lt;HB$169,INDEX($FK$170:$ID$241,HB$169,$FJ171),SUMPRODUCT(INDEX($FK$325:$ID$396,HB$169,1+SwaptionShift):INDEX($FK$325:$ID$396,HB$169,SwaptionMonthsToGo+SwaptionShift),INDEX($FK$245:$ID$316,$FJ171-HB$169,73-HB$169+SwaptionShift):INDEX($FK$245:$ID$316,$FJ171-HB$169,72-HB$169+SwaptionMonthsToGo+SwaptionShift))/SQRT(SUM(INDEX($FK326:$ID326,1+SwaptionShift):INDEX($FK326:$ID326,SwaptionMonthsToGo+SwaptionShift))*SUM(INDEX($FK$325:$ID$396,HB$169,1+SwaptionShift):INDEX($FK$325:$ID$396,HB$169,SwaptionMonthsToGo+SwaptionShift))))))</f>
        <v/>
      </c>
      <c r="HC171" s="479" t="str">
        <f ca="1">IF(OR(HC$169&lt;SwaptionFirstMonthPosition+1,$FJ171&lt;SwaptionFirstMonthPosition+1,HC$169&gt;SwaptionFirstMonthPosition+SwaptionNumOfMonths+1,$FJ171&gt;SwaptionFirstMonthPosition+SwaptionNumOfMonths+1),"",IF($FJ171=HC$169,1,IF($FJ171&lt;HC$169,INDEX($FK$170:$ID$241,HC$169,$FJ171),SUMPRODUCT(INDEX($FK$325:$ID$396,HC$169,1+SwaptionShift):INDEX($FK$325:$ID$396,HC$169,SwaptionMonthsToGo+SwaptionShift),INDEX($FK$245:$ID$316,$FJ171-HC$169,73-HC$169+SwaptionShift):INDEX($FK$245:$ID$316,$FJ171-HC$169,72-HC$169+SwaptionMonthsToGo+SwaptionShift))/SQRT(SUM(INDEX($FK326:$ID326,1+SwaptionShift):INDEX($FK326:$ID326,SwaptionMonthsToGo+SwaptionShift))*SUM(INDEX($FK$325:$ID$396,HC$169,1+SwaptionShift):INDEX($FK$325:$ID$396,HC$169,SwaptionMonthsToGo+SwaptionShift))))))</f>
        <v/>
      </c>
      <c r="HD171" s="479" t="str">
        <f ca="1">IF(OR(HD$169&lt;SwaptionFirstMonthPosition+1,$FJ171&lt;SwaptionFirstMonthPosition+1,HD$169&gt;SwaptionFirstMonthPosition+SwaptionNumOfMonths+1,$FJ171&gt;SwaptionFirstMonthPosition+SwaptionNumOfMonths+1),"",IF($FJ171=HD$169,1,IF($FJ171&lt;HD$169,INDEX($FK$170:$ID$241,HD$169,$FJ171),SUMPRODUCT(INDEX($FK$325:$ID$396,HD$169,1+SwaptionShift):INDEX($FK$325:$ID$396,HD$169,SwaptionMonthsToGo+SwaptionShift),INDEX($FK$245:$ID$316,$FJ171-HD$169,73-HD$169+SwaptionShift):INDEX($FK$245:$ID$316,$FJ171-HD$169,72-HD$169+SwaptionMonthsToGo+SwaptionShift))/SQRT(SUM(INDEX($FK326:$ID326,1+SwaptionShift):INDEX($FK326:$ID326,SwaptionMonthsToGo+SwaptionShift))*SUM(INDEX($FK$325:$ID$396,HD$169,1+SwaptionShift):INDEX($FK$325:$ID$396,HD$169,SwaptionMonthsToGo+SwaptionShift))))))</f>
        <v/>
      </c>
      <c r="HE171" s="479" t="str">
        <f ca="1">IF(OR(HE$169&lt;SwaptionFirstMonthPosition+1,$FJ171&lt;SwaptionFirstMonthPosition+1,HE$169&gt;SwaptionFirstMonthPosition+SwaptionNumOfMonths+1,$FJ171&gt;SwaptionFirstMonthPosition+SwaptionNumOfMonths+1),"",IF($FJ171=HE$169,1,IF($FJ171&lt;HE$169,INDEX($FK$170:$ID$241,HE$169,$FJ171),SUMPRODUCT(INDEX($FK$325:$ID$396,HE$169,1+SwaptionShift):INDEX($FK$325:$ID$396,HE$169,SwaptionMonthsToGo+SwaptionShift),INDEX($FK$245:$ID$316,$FJ171-HE$169,73-HE$169+SwaptionShift):INDEX($FK$245:$ID$316,$FJ171-HE$169,72-HE$169+SwaptionMonthsToGo+SwaptionShift))/SQRT(SUM(INDEX($FK326:$ID326,1+SwaptionShift):INDEX($FK326:$ID326,SwaptionMonthsToGo+SwaptionShift))*SUM(INDEX($FK$325:$ID$396,HE$169,1+SwaptionShift):INDEX($FK$325:$ID$396,HE$169,SwaptionMonthsToGo+SwaptionShift))))))</f>
        <v/>
      </c>
      <c r="HF171" s="479" t="str">
        <f ca="1">IF(OR(HF$169&lt;SwaptionFirstMonthPosition+1,$FJ171&lt;SwaptionFirstMonthPosition+1,HF$169&gt;SwaptionFirstMonthPosition+SwaptionNumOfMonths+1,$FJ171&gt;SwaptionFirstMonthPosition+SwaptionNumOfMonths+1),"",IF($FJ171=HF$169,1,IF($FJ171&lt;HF$169,INDEX($FK$170:$ID$241,HF$169,$FJ171),SUMPRODUCT(INDEX($FK$325:$ID$396,HF$169,1+SwaptionShift):INDEX($FK$325:$ID$396,HF$169,SwaptionMonthsToGo+SwaptionShift),INDEX($FK$245:$ID$316,$FJ171-HF$169,73-HF$169+SwaptionShift):INDEX($FK$245:$ID$316,$FJ171-HF$169,72-HF$169+SwaptionMonthsToGo+SwaptionShift))/SQRT(SUM(INDEX($FK326:$ID326,1+SwaptionShift):INDEX($FK326:$ID326,SwaptionMonthsToGo+SwaptionShift))*SUM(INDEX($FK$325:$ID$396,HF$169,1+SwaptionShift):INDEX($FK$325:$ID$396,HF$169,SwaptionMonthsToGo+SwaptionShift))))))</f>
        <v/>
      </c>
      <c r="HG171" s="479" t="str">
        <f ca="1">IF(OR(HG$169&lt;SwaptionFirstMonthPosition+1,$FJ171&lt;SwaptionFirstMonthPosition+1,HG$169&gt;SwaptionFirstMonthPosition+SwaptionNumOfMonths+1,$FJ171&gt;SwaptionFirstMonthPosition+SwaptionNumOfMonths+1),"",IF($FJ171=HG$169,1,IF($FJ171&lt;HG$169,INDEX($FK$170:$ID$241,HG$169,$FJ171),SUMPRODUCT(INDEX($FK$325:$ID$396,HG$169,1+SwaptionShift):INDEX($FK$325:$ID$396,HG$169,SwaptionMonthsToGo+SwaptionShift),INDEX($FK$245:$ID$316,$FJ171-HG$169,73-HG$169+SwaptionShift):INDEX($FK$245:$ID$316,$FJ171-HG$169,72-HG$169+SwaptionMonthsToGo+SwaptionShift))/SQRT(SUM(INDEX($FK326:$ID326,1+SwaptionShift):INDEX($FK326:$ID326,SwaptionMonthsToGo+SwaptionShift))*SUM(INDEX($FK$325:$ID$396,HG$169,1+SwaptionShift):INDEX($FK$325:$ID$396,HG$169,SwaptionMonthsToGo+SwaptionShift))))))</f>
        <v/>
      </c>
      <c r="HH171" s="479" t="str">
        <f ca="1">IF(OR(HH$169&lt;SwaptionFirstMonthPosition+1,$FJ171&lt;SwaptionFirstMonthPosition+1,HH$169&gt;SwaptionFirstMonthPosition+SwaptionNumOfMonths+1,$FJ171&gt;SwaptionFirstMonthPosition+SwaptionNumOfMonths+1),"",IF($FJ171=HH$169,1,IF($FJ171&lt;HH$169,INDEX($FK$170:$ID$241,HH$169,$FJ171),SUMPRODUCT(INDEX($FK$325:$ID$396,HH$169,1+SwaptionShift):INDEX($FK$325:$ID$396,HH$169,SwaptionMonthsToGo+SwaptionShift),INDEX($FK$245:$ID$316,$FJ171-HH$169,73-HH$169+SwaptionShift):INDEX($FK$245:$ID$316,$FJ171-HH$169,72-HH$169+SwaptionMonthsToGo+SwaptionShift))/SQRT(SUM(INDEX($FK326:$ID326,1+SwaptionShift):INDEX($FK326:$ID326,SwaptionMonthsToGo+SwaptionShift))*SUM(INDEX($FK$325:$ID$396,HH$169,1+SwaptionShift):INDEX($FK$325:$ID$396,HH$169,SwaptionMonthsToGo+SwaptionShift))))))</f>
        <v/>
      </c>
      <c r="HI171" s="479" t="str">
        <f ca="1">IF(OR(HI$169&lt;SwaptionFirstMonthPosition+1,$FJ171&lt;SwaptionFirstMonthPosition+1,HI$169&gt;SwaptionFirstMonthPosition+SwaptionNumOfMonths+1,$FJ171&gt;SwaptionFirstMonthPosition+SwaptionNumOfMonths+1),"",IF($FJ171=HI$169,1,IF($FJ171&lt;HI$169,INDEX($FK$170:$ID$241,HI$169,$FJ171),SUMPRODUCT(INDEX($FK$325:$ID$396,HI$169,1+SwaptionShift):INDEX($FK$325:$ID$396,HI$169,SwaptionMonthsToGo+SwaptionShift),INDEX($FK$245:$ID$316,$FJ171-HI$169,73-HI$169+SwaptionShift):INDEX($FK$245:$ID$316,$FJ171-HI$169,72-HI$169+SwaptionMonthsToGo+SwaptionShift))/SQRT(SUM(INDEX($FK326:$ID326,1+SwaptionShift):INDEX($FK326:$ID326,SwaptionMonthsToGo+SwaptionShift))*SUM(INDEX($FK$325:$ID$396,HI$169,1+SwaptionShift):INDEX($FK$325:$ID$396,HI$169,SwaptionMonthsToGo+SwaptionShift))))))</f>
        <v/>
      </c>
      <c r="HJ171" s="479" t="str">
        <f ca="1">IF(OR(HJ$169&lt;SwaptionFirstMonthPosition+1,$FJ171&lt;SwaptionFirstMonthPosition+1,HJ$169&gt;SwaptionFirstMonthPosition+SwaptionNumOfMonths+1,$FJ171&gt;SwaptionFirstMonthPosition+SwaptionNumOfMonths+1),"",IF($FJ171=HJ$169,1,IF($FJ171&lt;HJ$169,INDEX($FK$170:$ID$241,HJ$169,$FJ171),SUMPRODUCT(INDEX($FK$325:$ID$396,HJ$169,1+SwaptionShift):INDEX($FK$325:$ID$396,HJ$169,SwaptionMonthsToGo+SwaptionShift),INDEX($FK$245:$ID$316,$FJ171-HJ$169,73-HJ$169+SwaptionShift):INDEX($FK$245:$ID$316,$FJ171-HJ$169,72-HJ$169+SwaptionMonthsToGo+SwaptionShift))/SQRT(SUM(INDEX($FK326:$ID326,1+SwaptionShift):INDEX($FK326:$ID326,SwaptionMonthsToGo+SwaptionShift))*SUM(INDEX($FK$325:$ID$396,HJ$169,1+SwaptionShift):INDEX($FK$325:$ID$396,HJ$169,SwaptionMonthsToGo+SwaptionShift))))))</f>
        <v/>
      </c>
      <c r="HK171" s="479" t="str">
        <f ca="1">IF(OR(HK$169&lt;SwaptionFirstMonthPosition+1,$FJ171&lt;SwaptionFirstMonthPosition+1,HK$169&gt;SwaptionFirstMonthPosition+SwaptionNumOfMonths+1,$FJ171&gt;SwaptionFirstMonthPosition+SwaptionNumOfMonths+1),"",IF($FJ171=HK$169,1,IF($FJ171&lt;HK$169,INDEX($FK$170:$ID$241,HK$169,$FJ171),SUMPRODUCT(INDEX($FK$325:$ID$396,HK$169,1+SwaptionShift):INDEX($FK$325:$ID$396,HK$169,SwaptionMonthsToGo+SwaptionShift),INDEX($FK$245:$ID$316,$FJ171-HK$169,73-HK$169+SwaptionShift):INDEX($FK$245:$ID$316,$FJ171-HK$169,72-HK$169+SwaptionMonthsToGo+SwaptionShift))/SQRT(SUM(INDEX($FK326:$ID326,1+SwaptionShift):INDEX($FK326:$ID326,SwaptionMonthsToGo+SwaptionShift))*SUM(INDEX($FK$325:$ID$396,HK$169,1+SwaptionShift):INDEX($FK$325:$ID$396,HK$169,SwaptionMonthsToGo+SwaptionShift))))))</f>
        <v/>
      </c>
      <c r="HL171" s="479" t="str">
        <f ca="1">IF(OR(HL$169&lt;SwaptionFirstMonthPosition+1,$FJ171&lt;SwaptionFirstMonthPosition+1,HL$169&gt;SwaptionFirstMonthPosition+SwaptionNumOfMonths+1,$FJ171&gt;SwaptionFirstMonthPosition+SwaptionNumOfMonths+1),"",IF($FJ171=HL$169,1,IF($FJ171&lt;HL$169,INDEX($FK$170:$ID$241,HL$169,$FJ171),SUMPRODUCT(INDEX($FK$325:$ID$396,HL$169,1+SwaptionShift):INDEX($FK$325:$ID$396,HL$169,SwaptionMonthsToGo+SwaptionShift),INDEX($FK$245:$ID$316,$FJ171-HL$169,73-HL$169+SwaptionShift):INDEX($FK$245:$ID$316,$FJ171-HL$169,72-HL$169+SwaptionMonthsToGo+SwaptionShift))/SQRT(SUM(INDEX($FK326:$ID326,1+SwaptionShift):INDEX($FK326:$ID326,SwaptionMonthsToGo+SwaptionShift))*SUM(INDEX($FK$325:$ID$396,HL$169,1+SwaptionShift):INDEX($FK$325:$ID$396,HL$169,SwaptionMonthsToGo+SwaptionShift))))))</f>
        <v/>
      </c>
      <c r="HM171" s="479" t="str">
        <f ca="1">IF(OR(HM$169&lt;SwaptionFirstMonthPosition+1,$FJ171&lt;SwaptionFirstMonthPosition+1,HM$169&gt;SwaptionFirstMonthPosition+SwaptionNumOfMonths+1,$FJ171&gt;SwaptionFirstMonthPosition+SwaptionNumOfMonths+1),"",IF($FJ171=HM$169,1,IF($FJ171&lt;HM$169,INDEX($FK$170:$ID$241,HM$169,$FJ171),SUMPRODUCT(INDEX($FK$325:$ID$396,HM$169,1+SwaptionShift):INDEX($FK$325:$ID$396,HM$169,SwaptionMonthsToGo+SwaptionShift),INDEX($FK$245:$ID$316,$FJ171-HM$169,73-HM$169+SwaptionShift):INDEX($FK$245:$ID$316,$FJ171-HM$169,72-HM$169+SwaptionMonthsToGo+SwaptionShift))/SQRT(SUM(INDEX($FK326:$ID326,1+SwaptionShift):INDEX($FK326:$ID326,SwaptionMonthsToGo+SwaptionShift))*SUM(INDEX($FK$325:$ID$396,HM$169,1+SwaptionShift):INDEX($FK$325:$ID$396,HM$169,SwaptionMonthsToGo+SwaptionShift))))))</f>
        <v/>
      </c>
      <c r="HN171" s="479" t="str">
        <f ca="1">IF(OR(HN$169&lt;SwaptionFirstMonthPosition+1,$FJ171&lt;SwaptionFirstMonthPosition+1,HN$169&gt;SwaptionFirstMonthPosition+SwaptionNumOfMonths+1,$FJ171&gt;SwaptionFirstMonthPosition+SwaptionNumOfMonths+1),"",IF($FJ171=HN$169,1,IF($FJ171&lt;HN$169,INDEX($FK$170:$ID$241,HN$169,$FJ171),SUMPRODUCT(INDEX($FK$325:$ID$396,HN$169,1+SwaptionShift):INDEX($FK$325:$ID$396,HN$169,SwaptionMonthsToGo+SwaptionShift),INDEX($FK$245:$ID$316,$FJ171-HN$169,73-HN$169+SwaptionShift):INDEX($FK$245:$ID$316,$FJ171-HN$169,72-HN$169+SwaptionMonthsToGo+SwaptionShift))/SQRT(SUM(INDEX($FK326:$ID326,1+SwaptionShift):INDEX($FK326:$ID326,SwaptionMonthsToGo+SwaptionShift))*SUM(INDEX($FK$325:$ID$396,HN$169,1+SwaptionShift):INDEX($FK$325:$ID$396,HN$169,SwaptionMonthsToGo+SwaptionShift))))))</f>
        <v/>
      </c>
      <c r="HO171" s="479" t="str">
        <f ca="1">IF(OR(HO$169&lt;SwaptionFirstMonthPosition+1,$FJ171&lt;SwaptionFirstMonthPosition+1,HO$169&gt;SwaptionFirstMonthPosition+SwaptionNumOfMonths+1,$FJ171&gt;SwaptionFirstMonthPosition+SwaptionNumOfMonths+1),"",IF($FJ171=HO$169,1,IF($FJ171&lt;HO$169,INDEX($FK$170:$ID$241,HO$169,$FJ171),SUMPRODUCT(INDEX($FK$325:$ID$396,HO$169,1+SwaptionShift):INDEX($FK$325:$ID$396,HO$169,SwaptionMonthsToGo+SwaptionShift),INDEX($FK$245:$ID$316,$FJ171-HO$169,73-HO$169+SwaptionShift):INDEX($FK$245:$ID$316,$FJ171-HO$169,72-HO$169+SwaptionMonthsToGo+SwaptionShift))/SQRT(SUM(INDEX($FK326:$ID326,1+SwaptionShift):INDEX($FK326:$ID326,SwaptionMonthsToGo+SwaptionShift))*SUM(INDEX($FK$325:$ID$396,HO$169,1+SwaptionShift):INDEX($FK$325:$ID$396,HO$169,SwaptionMonthsToGo+SwaptionShift))))))</f>
        <v/>
      </c>
      <c r="HP171" s="479" t="str">
        <f ca="1">IF(OR(HP$169&lt;SwaptionFirstMonthPosition+1,$FJ171&lt;SwaptionFirstMonthPosition+1,HP$169&gt;SwaptionFirstMonthPosition+SwaptionNumOfMonths+1,$FJ171&gt;SwaptionFirstMonthPosition+SwaptionNumOfMonths+1),"",IF($FJ171=HP$169,1,IF($FJ171&lt;HP$169,INDEX($FK$170:$ID$241,HP$169,$FJ171),SUMPRODUCT(INDEX($FK$325:$ID$396,HP$169,1+SwaptionShift):INDEX($FK$325:$ID$396,HP$169,SwaptionMonthsToGo+SwaptionShift),INDEX($FK$245:$ID$316,$FJ171-HP$169,73-HP$169+SwaptionShift):INDEX($FK$245:$ID$316,$FJ171-HP$169,72-HP$169+SwaptionMonthsToGo+SwaptionShift))/SQRT(SUM(INDEX($FK326:$ID326,1+SwaptionShift):INDEX($FK326:$ID326,SwaptionMonthsToGo+SwaptionShift))*SUM(INDEX($FK$325:$ID$396,HP$169,1+SwaptionShift):INDEX($FK$325:$ID$396,HP$169,SwaptionMonthsToGo+SwaptionShift))))))</f>
        <v/>
      </c>
      <c r="HQ171" s="479" t="str">
        <f ca="1">IF(OR(HQ$169&lt;SwaptionFirstMonthPosition+1,$FJ171&lt;SwaptionFirstMonthPosition+1,HQ$169&gt;SwaptionFirstMonthPosition+SwaptionNumOfMonths+1,$FJ171&gt;SwaptionFirstMonthPosition+SwaptionNumOfMonths+1),"",IF($FJ171=HQ$169,1,IF($FJ171&lt;HQ$169,INDEX($FK$170:$ID$241,HQ$169,$FJ171),SUMPRODUCT(INDEX($FK$325:$ID$396,HQ$169,1+SwaptionShift):INDEX($FK$325:$ID$396,HQ$169,SwaptionMonthsToGo+SwaptionShift),INDEX($FK$245:$ID$316,$FJ171-HQ$169,73-HQ$169+SwaptionShift):INDEX($FK$245:$ID$316,$FJ171-HQ$169,72-HQ$169+SwaptionMonthsToGo+SwaptionShift))/SQRT(SUM(INDEX($FK326:$ID326,1+SwaptionShift):INDEX($FK326:$ID326,SwaptionMonthsToGo+SwaptionShift))*SUM(INDEX($FK$325:$ID$396,HQ$169,1+SwaptionShift):INDEX($FK$325:$ID$396,HQ$169,SwaptionMonthsToGo+SwaptionShift))))))</f>
        <v/>
      </c>
      <c r="HR171" s="479" t="str">
        <f ca="1">IF(OR(HR$169&lt;SwaptionFirstMonthPosition+1,$FJ171&lt;SwaptionFirstMonthPosition+1,HR$169&gt;SwaptionFirstMonthPosition+SwaptionNumOfMonths+1,$FJ171&gt;SwaptionFirstMonthPosition+SwaptionNumOfMonths+1),"",IF($FJ171=HR$169,1,IF($FJ171&lt;HR$169,INDEX($FK$170:$ID$241,HR$169,$FJ171),SUMPRODUCT(INDEX($FK$325:$ID$396,HR$169,1+SwaptionShift):INDEX($FK$325:$ID$396,HR$169,SwaptionMonthsToGo+SwaptionShift),INDEX($FK$245:$ID$316,$FJ171-HR$169,73-HR$169+SwaptionShift):INDEX($FK$245:$ID$316,$FJ171-HR$169,72-HR$169+SwaptionMonthsToGo+SwaptionShift))/SQRT(SUM(INDEX($FK326:$ID326,1+SwaptionShift):INDEX($FK326:$ID326,SwaptionMonthsToGo+SwaptionShift))*SUM(INDEX($FK$325:$ID$396,HR$169,1+SwaptionShift):INDEX($FK$325:$ID$396,HR$169,SwaptionMonthsToGo+SwaptionShift))))))</f>
        <v/>
      </c>
      <c r="HS171" s="479" t="str">
        <f ca="1">IF(OR(HS$169&lt;SwaptionFirstMonthPosition+1,$FJ171&lt;SwaptionFirstMonthPosition+1,HS$169&gt;SwaptionFirstMonthPosition+SwaptionNumOfMonths+1,$FJ171&gt;SwaptionFirstMonthPosition+SwaptionNumOfMonths+1),"",IF($FJ171=HS$169,1,IF($FJ171&lt;HS$169,INDEX($FK$170:$ID$241,HS$169,$FJ171),SUMPRODUCT(INDEX($FK$325:$ID$396,HS$169,1+SwaptionShift):INDEX($FK$325:$ID$396,HS$169,SwaptionMonthsToGo+SwaptionShift),INDEX($FK$245:$ID$316,$FJ171-HS$169,73-HS$169+SwaptionShift):INDEX($FK$245:$ID$316,$FJ171-HS$169,72-HS$169+SwaptionMonthsToGo+SwaptionShift))/SQRT(SUM(INDEX($FK326:$ID326,1+SwaptionShift):INDEX($FK326:$ID326,SwaptionMonthsToGo+SwaptionShift))*SUM(INDEX($FK$325:$ID$396,HS$169,1+SwaptionShift):INDEX($FK$325:$ID$396,HS$169,SwaptionMonthsToGo+SwaptionShift))))))</f>
        <v/>
      </c>
      <c r="HT171" s="479" t="str">
        <f ca="1">IF(OR(HT$169&lt;SwaptionFirstMonthPosition+1,$FJ171&lt;SwaptionFirstMonthPosition+1,HT$169&gt;SwaptionFirstMonthPosition+SwaptionNumOfMonths+1,$FJ171&gt;SwaptionFirstMonthPosition+SwaptionNumOfMonths+1),"",IF($FJ171=HT$169,1,IF($FJ171&lt;HT$169,INDEX($FK$170:$ID$241,HT$169,$FJ171),SUMPRODUCT(INDEX($FK$325:$ID$396,HT$169,1+SwaptionShift):INDEX($FK$325:$ID$396,HT$169,SwaptionMonthsToGo+SwaptionShift),INDEX($FK$245:$ID$316,$FJ171-HT$169,73-HT$169+SwaptionShift):INDEX($FK$245:$ID$316,$FJ171-HT$169,72-HT$169+SwaptionMonthsToGo+SwaptionShift))/SQRT(SUM(INDEX($FK326:$ID326,1+SwaptionShift):INDEX($FK326:$ID326,SwaptionMonthsToGo+SwaptionShift))*SUM(INDEX($FK$325:$ID$396,HT$169,1+SwaptionShift):INDEX($FK$325:$ID$396,HT$169,SwaptionMonthsToGo+SwaptionShift))))))</f>
        <v/>
      </c>
      <c r="HU171" s="479" t="str">
        <f ca="1">IF(OR(HU$169&lt;SwaptionFirstMonthPosition+1,$FJ171&lt;SwaptionFirstMonthPosition+1,HU$169&gt;SwaptionFirstMonthPosition+SwaptionNumOfMonths+1,$FJ171&gt;SwaptionFirstMonthPosition+SwaptionNumOfMonths+1),"",IF($FJ171=HU$169,1,IF($FJ171&lt;HU$169,INDEX($FK$170:$ID$241,HU$169,$FJ171),SUMPRODUCT(INDEX($FK$325:$ID$396,HU$169,1+SwaptionShift):INDEX($FK$325:$ID$396,HU$169,SwaptionMonthsToGo+SwaptionShift),INDEX($FK$245:$ID$316,$FJ171-HU$169,73-HU$169+SwaptionShift):INDEX($FK$245:$ID$316,$FJ171-HU$169,72-HU$169+SwaptionMonthsToGo+SwaptionShift))/SQRT(SUM(INDEX($FK326:$ID326,1+SwaptionShift):INDEX($FK326:$ID326,SwaptionMonthsToGo+SwaptionShift))*SUM(INDEX($FK$325:$ID$396,HU$169,1+SwaptionShift):INDEX($FK$325:$ID$396,HU$169,SwaptionMonthsToGo+SwaptionShift))))))</f>
        <v/>
      </c>
      <c r="HV171" s="479" t="str">
        <f ca="1">IF(OR(HV$169&lt;SwaptionFirstMonthPosition+1,$FJ171&lt;SwaptionFirstMonthPosition+1,HV$169&gt;SwaptionFirstMonthPosition+SwaptionNumOfMonths+1,$FJ171&gt;SwaptionFirstMonthPosition+SwaptionNumOfMonths+1),"",IF($FJ171=HV$169,1,IF($FJ171&lt;HV$169,INDEX($FK$170:$ID$241,HV$169,$FJ171),SUMPRODUCT(INDEX($FK$325:$ID$396,HV$169,1+SwaptionShift):INDEX($FK$325:$ID$396,HV$169,SwaptionMonthsToGo+SwaptionShift),INDEX($FK$245:$ID$316,$FJ171-HV$169,73-HV$169+SwaptionShift):INDEX($FK$245:$ID$316,$FJ171-HV$169,72-HV$169+SwaptionMonthsToGo+SwaptionShift))/SQRT(SUM(INDEX($FK326:$ID326,1+SwaptionShift):INDEX($FK326:$ID326,SwaptionMonthsToGo+SwaptionShift))*SUM(INDEX($FK$325:$ID$396,HV$169,1+SwaptionShift):INDEX($FK$325:$ID$396,HV$169,SwaptionMonthsToGo+SwaptionShift))))))</f>
        <v/>
      </c>
      <c r="HW171" s="479" t="str">
        <f ca="1">IF(OR(HW$169&lt;SwaptionFirstMonthPosition+1,$FJ171&lt;SwaptionFirstMonthPosition+1,HW$169&gt;SwaptionFirstMonthPosition+SwaptionNumOfMonths+1,$FJ171&gt;SwaptionFirstMonthPosition+SwaptionNumOfMonths+1),"",IF($FJ171=HW$169,1,IF($FJ171&lt;HW$169,INDEX($FK$170:$ID$241,HW$169,$FJ171),SUMPRODUCT(INDEX($FK$325:$ID$396,HW$169,1+SwaptionShift):INDEX($FK$325:$ID$396,HW$169,SwaptionMonthsToGo+SwaptionShift),INDEX($FK$245:$ID$316,$FJ171-HW$169,73-HW$169+SwaptionShift):INDEX($FK$245:$ID$316,$FJ171-HW$169,72-HW$169+SwaptionMonthsToGo+SwaptionShift))/SQRT(SUM(INDEX($FK326:$ID326,1+SwaptionShift):INDEX($FK326:$ID326,SwaptionMonthsToGo+SwaptionShift))*SUM(INDEX($FK$325:$ID$396,HW$169,1+SwaptionShift):INDEX($FK$325:$ID$396,HW$169,SwaptionMonthsToGo+SwaptionShift))))))</f>
        <v/>
      </c>
      <c r="HX171" s="479" t="str">
        <f ca="1">IF(OR(HX$169&lt;SwaptionFirstMonthPosition+1,$FJ171&lt;SwaptionFirstMonthPosition+1,HX$169&gt;SwaptionFirstMonthPosition+SwaptionNumOfMonths+1,$FJ171&gt;SwaptionFirstMonthPosition+SwaptionNumOfMonths+1),"",IF($FJ171=HX$169,1,IF($FJ171&lt;HX$169,INDEX($FK$170:$ID$241,HX$169,$FJ171),SUMPRODUCT(INDEX($FK$325:$ID$396,HX$169,1+SwaptionShift):INDEX($FK$325:$ID$396,HX$169,SwaptionMonthsToGo+SwaptionShift),INDEX($FK$245:$ID$316,$FJ171-HX$169,73-HX$169+SwaptionShift):INDEX($FK$245:$ID$316,$FJ171-HX$169,72-HX$169+SwaptionMonthsToGo+SwaptionShift))/SQRT(SUM(INDEX($FK326:$ID326,1+SwaptionShift):INDEX($FK326:$ID326,SwaptionMonthsToGo+SwaptionShift))*SUM(INDEX($FK$325:$ID$396,HX$169,1+SwaptionShift):INDEX($FK$325:$ID$396,HX$169,SwaptionMonthsToGo+SwaptionShift))))))</f>
        <v/>
      </c>
      <c r="HY171" s="479" t="str">
        <f ca="1">IF(OR(HY$169&lt;SwaptionFirstMonthPosition+1,$FJ171&lt;SwaptionFirstMonthPosition+1,HY$169&gt;SwaptionFirstMonthPosition+SwaptionNumOfMonths+1,$FJ171&gt;SwaptionFirstMonthPosition+SwaptionNumOfMonths+1),"",IF($FJ171=HY$169,1,IF($FJ171&lt;HY$169,INDEX($FK$170:$ID$241,HY$169,$FJ171),SUMPRODUCT(INDEX($FK$325:$ID$396,HY$169,1+SwaptionShift):INDEX($FK$325:$ID$396,HY$169,SwaptionMonthsToGo+SwaptionShift),INDEX($FK$245:$ID$316,$FJ171-HY$169,73-HY$169+SwaptionShift):INDEX($FK$245:$ID$316,$FJ171-HY$169,72-HY$169+SwaptionMonthsToGo+SwaptionShift))/SQRT(SUM(INDEX($FK326:$ID326,1+SwaptionShift):INDEX($FK326:$ID326,SwaptionMonthsToGo+SwaptionShift))*SUM(INDEX($FK$325:$ID$396,HY$169,1+SwaptionShift):INDEX($FK$325:$ID$396,HY$169,SwaptionMonthsToGo+SwaptionShift))))))</f>
        <v/>
      </c>
      <c r="HZ171" s="479" t="str">
        <f ca="1">IF(OR(HZ$169&lt;SwaptionFirstMonthPosition+1,$FJ171&lt;SwaptionFirstMonthPosition+1,HZ$169&gt;SwaptionFirstMonthPosition+SwaptionNumOfMonths+1,$FJ171&gt;SwaptionFirstMonthPosition+SwaptionNumOfMonths+1),"",IF($FJ171=HZ$169,1,IF($FJ171&lt;HZ$169,INDEX($FK$170:$ID$241,HZ$169,$FJ171),SUMPRODUCT(INDEX($FK$325:$ID$396,HZ$169,1+SwaptionShift):INDEX($FK$325:$ID$396,HZ$169,SwaptionMonthsToGo+SwaptionShift),INDEX($FK$245:$ID$316,$FJ171-HZ$169,73-HZ$169+SwaptionShift):INDEX($FK$245:$ID$316,$FJ171-HZ$169,72-HZ$169+SwaptionMonthsToGo+SwaptionShift))/SQRT(SUM(INDEX($FK326:$ID326,1+SwaptionShift):INDEX($FK326:$ID326,SwaptionMonthsToGo+SwaptionShift))*SUM(INDEX($FK$325:$ID$396,HZ$169,1+SwaptionShift):INDEX($FK$325:$ID$396,HZ$169,SwaptionMonthsToGo+SwaptionShift))))))</f>
        <v/>
      </c>
      <c r="IA171" s="479" t="str">
        <f ca="1">IF(OR(IA$169&lt;SwaptionFirstMonthPosition+1,$FJ171&lt;SwaptionFirstMonthPosition+1,IA$169&gt;SwaptionFirstMonthPosition+SwaptionNumOfMonths+1,$FJ171&gt;SwaptionFirstMonthPosition+SwaptionNumOfMonths+1),"",IF($FJ171=IA$169,1,IF($FJ171&lt;IA$169,INDEX($FK$170:$ID$241,IA$169,$FJ171),SUMPRODUCT(INDEX($FK$325:$ID$396,IA$169,1+SwaptionShift):INDEX($FK$325:$ID$396,IA$169,SwaptionMonthsToGo+SwaptionShift),INDEX($FK$245:$ID$316,$FJ171-IA$169,73-IA$169+SwaptionShift):INDEX($FK$245:$ID$316,$FJ171-IA$169,72-IA$169+SwaptionMonthsToGo+SwaptionShift))/SQRT(SUM(INDEX($FK326:$ID326,1+SwaptionShift):INDEX($FK326:$ID326,SwaptionMonthsToGo+SwaptionShift))*SUM(INDEX($FK$325:$ID$396,IA$169,1+SwaptionShift):INDEX($FK$325:$ID$396,IA$169,SwaptionMonthsToGo+SwaptionShift))))))</f>
        <v/>
      </c>
      <c r="IB171" s="479" t="str">
        <f ca="1">IF(OR(IB$169&lt;SwaptionFirstMonthPosition+1,$FJ171&lt;SwaptionFirstMonthPosition+1,IB$169&gt;SwaptionFirstMonthPosition+SwaptionNumOfMonths+1,$FJ171&gt;SwaptionFirstMonthPosition+SwaptionNumOfMonths+1),"",IF($FJ171=IB$169,1,IF($FJ171&lt;IB$169,INDEX($FK$170:$ID$241,IB$169,$FJ171),SUMPRODUCT(INDEX($FK$325:$ID$396,IB$169,1+SwaptionShift):INDEX($FK$325:$ID$396,IB$169,SwaptionMonthsToGo+SwaptionShift),INDEX($FK$245:$ID$316,$FJ171-IB$169,73-IB$169+SwaptionShift):INDEX($FK$245:$ID$316,$FJ171-IB$169,72-IB$169+SwaptionMonthsToGo+SwaptionShift))/SQRT(SUM(INDEX($FK326:$ID326,1+SwaptionShift):INDEX($FK326:$ID326,SwaptionMonthsToGo+SwaptionShift))*SUM(INDEX($FK$325:$ID$396,IB$169,1+SwaptionShift):INDEX($FK$325:$ID$396,IB$169,SwaptionMonthsToGo+SwaptionShift))))))</f>
        <v/>
      </c>
      <c r="IC171" s="479" t="str">
        <f ca="1">IF(OR(IC$169&lt;SwaptionFirstMonthPosition+1,$FJ171&lt;SwaptionFirstMonthPosition+1,IC$169&gt;SwaptionFirstMonthPosition+SwaptionNumOfMonths+1,$FJ171&gt;SwaptionFirstMonthPosition+SwaptionNumOfMonths+1),"",IF($FJ171=IC$169,1,IF($FJ171&lt;IC$169,INDEX($FK$170:$ID$241,IC$169,$FJ171),SUMPRODUCT(INDEX($FK$325:$ID$396,IC$169,1+SwaptionShift):INDEX($FK$325:$ID$396,IC$169,SwaptionMonthsToGo+SwaptionShift),INDEX($FK$245:$ID$316,$FJ171-IC$169,73-IC$169+SwaptionShift):INDEX($FK$245:$ID$316,$FJ171-IC$169,72-IC$169+SwaptionMonthsToGo+SwaptionShift))/SQRT(SUM(INDEX($FK326:$ID326,1+SwaptionShift):INDEX($FK326:$ID326,SwaptionMonthsToGo+SwaptionShift))*SUM(INDEX($FK$325:$ID$396,IC$169,1+SwaptionShift):INDEX($FK$325:$ID$396,IC$169,SwaptionMonthsToGo+SwaptionShift))))))</f>
        <v/>
      </c>
      <c r="ID171" s="678" t="str">
        <f ca="1">IF(OR(ID$169&lt;SwaptionFirstMonthPosition+1,$FJ171&lt;SwaptionFirstMonthPosition+1,ID$169&gt;SwaptionFirstMonthPosition+SwaptionNumOfMonths+1,$FJ171&gt;SwaptionFirstMonthPosition+SwaptionNumOfMonths+1),"",IF($FJ171=ID$169,1,IF($FJ171&lt;ID$169,INDEX($FK$170:$ID$241,ID$169,$FJ171),SUMPRODUCT(INDEX($FK$325:$ID$396,ID$169,1+SwaptionShift):INDEX($FK$325:$ID$396,ID$169,SwaptionMonthsToGo+SwaptionShift),INDEX($FK$245:$ID$316,$FJ171-ID$169,73-ID$169+SwaptionShift):INDEX($FK$245:$ID$316,$FJ171-ID$169,72-ID$169+SwaptionMonthsToGo+SwaptionShift))/SQRT(SUM(INDEX($FK326:$ID326,1+SwaptionShift):INDEX($FK326:$ID326,SwaptionMonthsToGo+SwaptionShift))*SUM(INDEX($FK$325:$ID$396,ID$169,1+SwaptionShift):INDEX($FK$325:$ID$396,ID$169,SwaptionMonthsToGo+SwaptionShift))))))</f>
        <v/>
      </c>
      <c r="IE171" s="250"/>
    </row>
    <row r="172" spans="8:239">
      <c r="H172" s="51">
        <f t="shared" ca="1" si="527"/>
        <v>0</v>
      </c>
      <c r="I172" s="379">
        <f t="shared" si="528"/>
        <v>41395</v>
      </c>
      <c r="J172" s="377"/>
      <c r="K172" s="104" t="s">
        <v>268</v>
      </c>
      <c r="L172" s="392">
        <f t="shared" si="529"/>
        <v>2.8500000000000041</v>
      </c>
      <c r="M172" s="171"/>
      <c r="N172" s="382">
        <v>0</v>
      </c>
      <c r="O172" s="171">
        <f t="shared" si="490"/>
        <v>0</v>
      </c>
      <c r="P172" s="377"/>
      <c r="Q172" s="104" t="s">
        <v>268</v>
      </c>
      <c r="R172" s="377">
        <f t="shared" ca="1" si="547"/>
        <v>1.6910405487401348</v>
      </c>
      <c r="S172" s="832">
        <f t="shared" si="564"/>
        <v>0.3600000000000001</v>
      </c>
      <c r="T172" s="831">
        <f t="shared" si="548"/>
        <v>0.99999999999487921</v>
      </c>
      <c r="U172" s="545">
        <f t="shared" si="549"/>
        <v>0.99999999999999978</v>
      </c>
      <c r="V172" s="389">
        <v>0</v>
      </c>
      <c r="W172" s="434">
        <f t="shared" si="491"/>
        <v>0</v>
      </c>
      <c r="X172" s="415">
        <f t="shared" si="492"/>
        <v>2.9021739130434825</v>
      </c>
      <c r="Y172" s="322">
        <f t="shared" si="493"/>
        <v>-1.2915000000000001</v>
      </c>
      <c r="Z172" s="322">
        <f t="shared" ca="1" si="494"/>
        <v>1.6106739130434824</v>
      </c>
      <c r="AA172" s="429">
        <f t="shared" si="495"/>
        <v>1.2915000000000001</v>
      </c>
      <c r="AB172" s="433">
        <f t="shared" ca="1" si="496"/>
        <v>1.2915000000000001</v>
      </c>
      <c r="AC172" s="229">
        <v>41384</v>
      </c>
      <c r="AD172" s="229">
        <v>41380</v>
      </c>
      <c r="AE172" s="229">
        <v>41379</v>
      </c>
      <c r="AF172" s="229">
        <v>41375</v>
      </c>
      <c r="AG172" s="249" t="s">
        <v>499</v>
      </c>
      <c r="AH172" s="247" t="s">
        <v>499</v>
      </c>
      <c r="AI172" s="146">
        <v>23</v>
      </c>
      <c r="AJ172" s="41">
        <v>14</v>
      </c>
      <c r="AK172" s="41">
        <v>9</v>
      </c>
      <c r="AL172" s="293">
        <v>23</v>
      </c>
      <c r="AM172" s="41">
        <v>10</v>
      </c>
      <c r="AN172" s="147">
        <v>13</v>
      </c>
      <c r="AO172" s="374"/>
      <c r="AP172" s="153">
        <f t="shared" ca="1" si="530"/>
        <v>1</v>
      </c>
      <c r="AQ172" s="374"/>
      <c r="AR172" s="153">
        <f t="shared" ca="1" si="550"/>
        <v>1</v>
      </c>
      <c r="AS172" s="272">
        <f t="shared" si="497"/>
        <v>0</v>
      </c>
      <c r="AT172" s="157">
        <f t="shared" si="531"/>
        <v>0</v>
      </c>
      <c r="AU172" s="157">
        <f t="shared" si="498"/>
        <v>0</v>
      </c>
      <c r="AV172" s="271">
        <f t="shared" ca="1" si="558"/>
        <v>9.9999999999999995E-7</v>
      </c>
      <c r="AW172" s="158" t="str">
        <f t="shared" ca="1" si="499"/>
        <v/>
      </c>
      <c r="AX172" s="157">
        <f t="shared" ca="1" si="551"/>
        <v>1.5062074474177247E-4</v>
      </c>
      <c r="AY172" s="157">
        <f t="shared" ca="1" si="552"/>
        <v>4.2311589968144435E-5</v>
      </c>
      <c r="AZ172" s="157">
        <f t="shared" ca="1" si="553"/>
        <v>2.2478753897506974E-6</v>
      </c>
      <c r="BA172" s="157">
        <f t="shared" ca="1" si="554"/>
        <v>2.8098442371883718E-7</v>
      </c>
      <c r="BB172" s="157">
        <f t="shared" ca="1" si="555"/>
        <v>3.5268402634472613E-9</v>
      </c>
      <c r="BC172" s="157">
        <f t="shared" ca="1" si="556"/>
        <v>1.5790449274519996E-10</v>
      </c>
      <c r="BD172" s="151">
        <f t="shared" ca="1" si="500"/>
        <v>0</v>
      </c>
      <c r="BE172" s="152">
        <f t="shared" ca="1" si="501"/>
        <v>0</v>
      </c>
      <c r="BF172" s="40">
        <f t="shared" si="502"/>
        <v>2013</v>
      </c>
      <c r="BG172" s="144">
        <f t="shared" si="503"/>
        <v>5</v>
      </c>
      <c r="BH172" s="145">
        <f t="shared" ca="1" si="504"/>
        <v>4635</v>
      </c>
      <c r="BI172" s="313">
        <f t="shared" ca="1" si="568"/>
        <v>12.731006160164272</v>
      </c>
      <c r="BJ172" s="42">
        <f t="shared" ca="1" si="505"/>
        <v>12.781001696277118</v>
      </c>
      <c r="BK172" s="42">
        <f t="shared" ca="1" si="506"/>
        <v>12.783739547064251</v>
      </c>
      <c r="BL172" s="42">
        <f t="shared" ca="1" si="569"/>
        <v>12.813141683778234</v>
      </c>
      <c r="BM172" s="150" t="e">
        <f t="shared" ca="1" si="507"/>
        <v>#DIV/0!</v>
      </c>
      <c r="BN172" s="42" t="e">
        <f t="shared" ca="1" si="508"/>
        <v>#DIV/0!</v>
      </c>
      <c r="BO172" s="293">
        <f t="shared" si="570"/>
        <v>23</v>
      </c>
      <c r="BP172" s="41">
        <f t="shared" si="571"/>
        <v>14</v>
      </c>
      <c r="BQ172" s="41">
        <f t="shared" si="572"/>
        <v>9</v>
      </c>
      <c r="BR172" s="305" t="str">
        <f t="shared" ca="1" si="509"/>
        <v/>
      </c>
      <c r="BS172" s="305" t="str">
        <f t="shared" ca="1" si="573"/>
        <v/>
      </c>
      <c r="BT172" s="307" t="str">
        <f t="shared" ca="1" si="574"/>
        <v/>
      </c>
      <c r="BU172" s="161" t="str">
        <f t="shared" ca="1" si="510"/>
        <v/>
      </c>
      <c r="BV172" s="161" t="str">
        <f t="shared" ca="1" si="511"/>
        <v/>
      </c>
      <c r="BW172" s="308" t="str">
        <f t="shared" ca="1" si="512"/>
        <v/>
      </c>
      <c r="BX172" s="309" t="str">
        <f t="shared" ca="1" si="513"/>
        <v/>
      </c>
      <c r="BY172" s="308" t="str">
        <f t="shared" ca="1" si="575"/>
        <v/>
      </c>
      <c r="BZ172" s="309" t="str">
        <f t="shared" ca="1" si="576"/>
        <v/>
      </c>
      <c r="CA172" s="154" t="str">
        <f t="shared" ca="1" si="514"/>
        <v/>
      </c>
      <c r="CB172" s="154" t="str">
        <f t="shared" ca="1" si="515"/>
        <v/>
      </c>
      <c r="CC172" s="154" t="str">
        <f t="shared" ca="1" si="516"/>
        <v/>
      </c>
      <c r="CD172" s="154" t="str">
        <f t="shared" ca="1" si="517"/>
        <v/>
      </c>
      <c r="CE172" s="310">
        <v>1</v>
      </c>
      <c r="CF172" s="162">
        <f ca="1">IF(BD172,_xll.xCrudeAPO(BU172,BV172,CA172,CB172,S173,S174,BI172,BL172,BP172,BQ172,0,Strike1,AO172,CE172,0,BL172,IF(OptControl=4,0,1),0,1),0)</f>
        <v>0</v>
      </c>
      <c r="CG172" s="163">
        <f ca="1">IF(BD172,_xll.xCrudeAPO(BU172,BV172,CA172,CB172,S173,S174,BI172,BL172,BP172,BQ172,0,Strike1,AO172,CE172,0,BL172,IF(OptControl=4,0,1),1,1)+_xll.xCrudeAPO(BU172,BV172,CA172,CB172,S173,S174,BI172,BL172,BP172,BQ172,0,Strike1,AO172,CE172,0,BL172,IF(OptControl=4,0,1),1,2)+IF(OR(VolSkewFlag=2,ABS(BS172)&lt;0.0001),0,IF(BS172&gt;0,-1,1)*CH172*Strike1/BR172^2*BY172/10%),0)</f>
        <v>0</v>
      </c>
      <c r="CH172" s="163">
        <f ca="1">IF(BD172,(_xll.xCrudeAPO(BU172,BV172,CA172,CB172,S173,S174,BI172,BL172,BP172,BQ172,0,Strike1,AO172,CE172,0,BL172,IF(OptControl=4,0,1),3,1)+_xll.xCrudeAPO(BU172,BV172,CA172,CB172,S173,S174,BI172,BL172,BP172,BQ172,0,Strike1,AO172,CE172,0,BL172,IF(OptControl=4,0,1),3,2))/100,0)</f>
        <v>0</v>
      </c>
      <c r="CI172" s="163">
        <f ca="1">IF(BD172,_xll.xCrudeAPO(BU172,BV172,CA172,CB172,S173,S174,BI172-DaysForThetaCalculation/365.25,BL172-DaysForThetaCalculation/365.25,BP172,BQ172,0,Strike1,AO172,CE172,0,BL172,IF(OptControl=4,0,1),0,1)-_xll.xCrudeAPO(BU172,BV172,CA172,CB172,S173,S174,BI172,BL172,BP172,BQ172,0,Strike1,AO172,CE172,0,BL172,IF(OptControl=4,0,1),0,1),0)</f>
        <v>0</v>
      </c>
      <c r="CJ172" s="311">
        <f ca="1">IF(BD172,_xll.xCrudeAPO(BU172,BV172,CC172,CD172,S173,S174,BI172,BL172,BP172,BQ172,0,Strike2,AO172,CE172,0,BL172,IF(OptControl=3,1,0),0,1),0)</f>
        <v>0</v>
      </c>
      <c r="CK172" s="163">
        <f ca="1">IF(BD172,_xll.xCrudeAPO(BU172,BV172,CC172,CD172,S173,S174,BI172,BL172,BP172,BQ172,0,Strike2,AO172,CE172,0,BL172,IF(OptControl=3,1,0),1,1)+_xll.xCrudeAPO(BU172,BV172,CC172,CD172,S173,S174,BI172,BL172,BP172,BQ172,0,Strike2,AO172,CE172,0,BL172,IF(OptControl=3,1,0),1,2)+IF(OR(VolSkewFlag=2,ABS(BT172)&lt;0.0001),0,IF(BT172&gt;0,-1,1)*CL172*Strike2/BR172^2*BZ172/10%),0)</f>
        <v>0</v>
      </c>
      <c r="CL172" s="163">
        <f ca="1">IF(BD172,(_xll.xCrudeAPO(BU172,BV172,CC172,CD172,S173,S174,BI172,BL172,BP172,BQ172,0,Strike2,AO172,CE172,0,BL172,IF(OptControl=3,1,0),3,1)+_xll.xCrudeAPO(BU172,BV172,CC172,CD172,S173,S174,BI172,BL172,BP172,BQ172,0,Strike2,AO172,CE172,0,BL172,IF(OptControl=3,1,0),3,2))/100,0)</f>
        <v>0</v>
      </c>
      <c r="CM172" s="164">
        <f ca="1">IF(BD172,_xll.xCrudeAPO(BU172,BV172,CC172,CD172,S173,S174,BI172-DaysForThetaCalculation/365.25,BL172-DaysForThetaCalculation/365.25,BP172,BQ172,0,Strike2,AO172,CE172,0,BL172,IF(OptControl=3,1,0),0,1)-_xll.xCrudeAPO(BU172,BV172,CC172,CD172,S173,S174,BI172,BL172,BP172,BQ172,0,Strike2,AO172,CE172,0,BL172,IF(OptControl=3,1,0),0,1),0)</f>
        <v>0</v>
      </c>
      <c r="CN172" s="53"/>
      <c r="CO172" s="796" t="str">
        <f t="shared" ca="1" si="532"/>
        <v/>
      </c>
      <c r="CP172" s="800" t="str">
        <f t="shared" ca="1" si="533"/>
        <v/>
      </c>
      <c r="CQ172" s="797" t="str">
        <f t="shared" ca="1" si="534"/>
        <v/>
      </c>
      <c r="CR172" s="797" t="str">
        <f t="shared" ca="1" si="535"/>
        <v/>
      </c>
      <c r="CS172" s="797" t="str">
        <f t="shared" ca="1" si="536"/>
        <v/>
      </c>
      <c r="CT172" s="797" t="str">
        <f t="shared" ca="1" si="537"/>
        <v/>
      </c>
      <c r="CU172" s="798" t="str">
        <f t="shared" ca="1" si="538"/>
        <v/>
      </c>
      <c r="CV172" s="799" t="str">
        <f t="shared" ca="1" si="539"/>
        <v/>
      </c>
      <c r="CW172" s="799" t="str">
        <f t="shared" ca="1" si="540"/>
        <v/>
      </c>
      <c r="CX172" s="163">
        <f ca="1">IF(BD172,_xll.EURO(CP172,Strike1,AO172,AO172,CV172,CO172,IF(OptControl=4,0,1),0),0)</f>
        <v>0</v>
      </c>
      <c r="CY172" s="163">
        <f ca="1">IF(BD172,_xll.EURO(CP172,Strike1,AO172,AO172,CV172,CO172,IF(OptControl=4,0,1),1)+IF(OR(VolSkewFlag=2,ABS(CQ172)&lt;0.0001),0,IF(CQ172&gt;0,-1,1)*CZ172*100*Strike1/CP172^2*CS172/10%),0)</f>
        <v>0</v>
      </c>
      <c r="CZ172" s="163">
        <f ca="1">IF(BD172,_xll.EURO(CP172,Strike1,AO172,AO172,CV172,CO172,IF(OptControl=4,0,1),3)/100,0)</f>
        <v>0</v>
      </c>
      <c r="DA172" s="163">
        <f ca="1">IF(BD172,_xll.EURO(CP172,Strike1,AO172,AO172,CV172,CO172,IF(OptControl=4,0,1),0)-_xll.EURO(CP172,Strike1,AO172,AO172,CV172,CO172-1,IF(OptControl=4,0,1),0),0)</f>
        <v>0</v>
      </c>
      <c r="DB172" s="163">
        <f ca="1">IF(BD172,_xll.EURO(CP172,Strike2,AO172,AO172,CW172,CO172,IF(OptControl=3,1,0),0),0)</f>
        <v>0</v>
      </c>
      <c r="DC172" s="163">
        <f ca="1">IF(BD172,_xll.EURO(CP172,Strike2,AO172,AO172,CW172,CO172,IF(OptControl=3,1,0),1)+IF(OR(VolSkewFlag=2,ABS(CR172)&lt;0.0001),0,IF(CR172&gt;0,-1,1)*DD172*100*Strike2/CP172^2*CT172/10%),0)</f>
        <v>0</v>
      </c>
      <c r="DD172" s="163">
        <f ca="1">IF(BD172,_xll.EURO(CP172,Strike2,AO172,AO172,CW172,CO172,IF(OptControl=3,1,0),3)/100,0)</f>
        <v>0</v>
      </c>
      <c r="DE172" s="164">
        <f ca="1">IF(BD172,_xll.EURO(CP172,Strike2,AO172,AO172,CW172,CO172,IF(OptControl=3,1,0),0)-_xll.EURO(CP172,Strike2,AO172,AO172,CW172,CO172-1,IF(OptControl=3,1,0),0),0)</f>
        <v>0</v>
      </c>
      <c r="DG172" s="667">
        <f t="shared" ca="1" si="541"/>
        <v>41183</v>
      </c>
      <c r="DH172" s="475">
        <v>21.760000000000055</v>
      </c>
      <c r="DI172" s="665">
        <v>21.827391304347881</v>
      </c>
      <c r="DJ172" s="666">
        <f t="shared" ca="1" si="518"/>
        <v>41183</v>
      </c>
      <c r="DK172" s="475">
        <v>20.413419477266384</v>
      </c>
      <c r="DL172" s="665">
        <v>20.63429130434788</v>
      </c>
      <c r="DM172" s="667">
        <f t="shared" ca="1" si="519"/>
        <v>41183</v>
      </c>
      <c r="DN172" s="668">
        <f t="shared" si="520"/>
        <v>20.463419477266385</v>
      </c>
      <c r="DO172" s="667">
        <f t="shared" ca="1" si="542"/>
        <v>41183</v>
      </c>
      <c r="DP172" s="579">
        <f t="shared" si="543"/>
        <v>20.63429130434788</v>
      </c>
      <c r="DQ172" s="821">
        <v>0</v>
      </c>
      <c r="DR172" s="666">
        <f t="shared" ca="1" si="521"/>
        <v>41183</v>
      </c>
      <c r="DS172" s="669">
        <v>0.13339999999999905</v>
      </c>
      <c r="DT172" s="606">
        <v>0.13259130434782476</v>
      </c>
      <c r="DU172" s="666">
        <f t="shared" ca="1" si="522"/>
        <v>41183</v>
      </c>
      <c r="DV172" s="669">
        <v>0.13339999999999905</v>
      </c>
      <c r="DW172" s="606">
        <v>0.13259130434782476</v>
      </c>
      <c r="DX172" s="667">
        <f t="shared" ca="1" si="523"/>
        <v>41183</v>
      </c>
      <c r="DY172" s="606">
        <v>0.35</v>
      </c>
      <c r="DZ172" s="667">
        <f t="shared" ca="1" si="544"/>
        <v>41183</v>
      </c>
      <c r="EA172" s="606">
        <f t="shared" si="545"/>
        <v>0.13259130434782476</v>
      </c>
      <c r="EB172" s="1"/>
      <c r="EC172" s="118" t="str">
        <f t="shared" ca="1" si="524"/>
        <v/>
      </c>
      <c r="ED172" s="119" t="str">
        <f t="shared" ca="1" si="525"/>
        <v/>
      </c>
      <c r="EE172" s="112" t="str">
        <f t="shared" ca="1" si="526"/>
        <v/>
      </c>
      <c r="EF172" s="120">
        <f ca="1">IF(BD172,_xll.xASN(BR172,Strike1,AO172,ED172,0,BO172,0,BI172,BL172,IF(OptControl=4,0,1),0),0)</f>
        <v>0</v>
      </c>
      <c r="EG172" s="111">
        <f ca="1">IF(BD172,_xll.xASN(BR172,Strike2,AO172,EE172,0,BO172,0,BI172,BL172,IF(OptControl=3,1,0),0),0)</f>
        <v>0</v>
      </c>
      <c r="EL172" s="55"/>
      <c r="EM172" s="1"/>
      <c r="EN172" s="106"/>
      <c r="EO172" s="106"/>
      <c r="EP172" s="1"/>
      <c r="EQ172" s="683" t="s">
        <v>385</v>
      </c>
      <c r="ES172" s="455"/>
      <c r="ET172" s="36"/>
      <c r="EU172" s="107"/>
      <c r="EV172" s="475"/>
      <c r="EW172" s="456"/>
      <c r="EX172" s="456"/>
      <c r="EY172" s="250"/>
      <c r="EZ172" s="250"/>
      <c r="FA172" s="250"/>
      <c r="FB172" s="250"/>
      <c r="FC172" s="250"/>
      <c r="FD172" s="250"/>
      <c r="FE172" s="250"/>
      <c r="FF172" s="250"/>
      <c r="FG172" s="250"/>
      <c r="FH172" s="250"/>
      <c r="FI172" s="250"/>
      <c r="FJ172" s="673">
        <v>3</v>
      </c>
      <c r="FK172" s="479" t="str">
        <f ca="1">IF(OR(FK$169&lt;SwaptionFirstMonthPosition+1,$FJ172&lt;SwaptionFirstMonthPosition+1,FK$169&gt;SwaptionFirstMonthPosition+SwaptionNumOfMonths+1,$FJ172&gt;SwaptionFirstMonthPosition+SwaptionNumOfMonths+1),"",IF($FJ172=FK$169,1,IF($FJ172&lt;FK$169,INDEX($FK$170:$ID$241,FK$169,$FJ172),SUMPRODUCT(INDEX($FK$325:$ID$396,FK$169,1+SwaptionShift):INDEX($FK$325:$ID$396,FK$169,SwaptionMonthsToGo+SwaptionShift),INDEX($FK$245:$ID$316,$FJ172-FK$169,73-FK$169+SwaptionShift):INDEX($FK$245:$ID$316,$FJ172-FK$169,72-FK$169+SwaptionMonthsToGo+SwaptionShift))/SQRT(SUM(INDEX($FK327:$ID327,1+SwaptionShift):INDEX($FK327:$ID327,SwaptionMonthsToGo+SwaptionShift))*SUM(INDEX($FK$325:$ID$396,FK$169,1+SwaptionShift):INDEX($FK$325:$ID$396,FK$169,SwaptionMonthsToGo+SwaptionShift))))))</f>
        <v/>
      </c>
      <c r="FL172" s="479" t="str">
        <f ca="1">IF(OR(FL$169&lt;SwaptionFirstMonthPosition+1,$FJ172&lt;SwaptionFirstMonthPosition+1,FL$169&gt;SwaptionFirstMonthPosition+SwaptionNumOfMonths+1,$FJ172&gt;SwaptionFirstMonthPosition+SwaptionNumOfMonths+1),"",IF($FJ172=FL$169,1,IF($FJ172&lt;FL$169,INDEX($FK$170:$ID$241,FL$169,$FJ172),SUMPRODUCT(INDEX($FK$325:$ID$396,FL$169,1+SwaptionShift):INDEX($FK$325:$ID$396,FL$169,SwaptionMonthsToGo+SwaptionShift),INDEX($FK$245:$ID$316,$FJ172-FL$169,73-FL$169+SwaptionShift):INDEX($FK$245:$ID$316,$FJ172-FL$169,72-FL$169+SwaptionMonthsToGo+SwaptionShift))/SQRT(SUM(INDEX($FK327:$ID327,1+SwaptionShift):INDEX($FK327:$ID327,SwaptionMonthsToGo+SwaptionShift))*SUM(INDEX($FK$325:$ID$396,FL$169,1+SwaptionShift):INDEX($FK$325:$ID$396,FL$169,SwaptionMonthsToGo+SwaptionShift))))))</f>
        <v/>
      </c>
      <c r="FM172" s="479" t="str">
        <f ca="1">IF(OR(FM$169&lt;SwaptionFirstMonthPosition+1,$FJ172&lt;SwaptionFirstMonthPosition+1,FM$169&gt;SwaptionFirstMonthPosition+SwaptionNumOfMonths+1,$FJ172&gt;SwaptionFirstMonthPosition+SwaptionNumOfMonths+1),"",IF($FJ172=FM$169,1,IF($FJ172&lt;FM$169,INDEX($FK$170:$ID$241,FM$169,$FJ172),SUMPRODUCT(INDEX($FK$325:$ID$396,FM$169,1+SwaptionShift):INDEX($FK$325:$ID$396,FM$169,SwaptionMonthsToGo+SwaptionShift),INDEX($FK$245:$ID$316,$FJ172-FM$169,73-FM$169+SwaptionShift):INDEX($FK$245:$ID$316,$FJ172-FM$169,72-FM$169+SwaptionMonthsToGo+SwaptionShift))/SQRT(SUM(INDEX($FK327:$ID327,1+SwaptionShift):INDEX($FK327:$ID327,SwaptionMonthsToGo+SwaptionShift))*SUM(INDEX($FK$325:$ID$396,FM$169,1+SwaptionShift):INDEX($FK$325:$ID$396,FM$169,SwaptionMonthsToGo+SwaptionShift))))))</f>
        <v/>
      </c>
      <c r="FN172" s="479" t="str">
        <f ca="1">IF(OR(FN$169&lt;SwaptionFirstMonthPosition+1,$FJ172&lt;SwaptionFirstMonthPosition+1,FN$169&gt;SwaptionFirstMonthPosition+SwaptionNumOfMonths+1,$FJ172&gt;SwaptionFirstMonthPosition+SwaptionNumOfMonths+1),"",IF($FJ172=FN$169,1,IF($FJ172&lt;FN$169,INDEX($FK$170:$ID$241,FN$169,$FJ172),SUMPRODUCT(INDEX($FK$325:$ID$396,FN$169,1+SwaptionShift):INDEX($FK$325:$ID$396,FN$169,SwaptionMonthsToGo+SwaptionShift),INDEX($FK$245:$ID$316,$FJ172-FN$169,73-FN$169+SwaptionShift):INDEX($FK$245:$ID$316,$FJ172-FN$169,72-FN$169+SwaptionMonthsToGo+SwaptionShift))/SQRT(SUM(INDEX($FK327:$ID327,1+SwaptionShift):INDEX($FK327:$ID327,SwaptionMonthsToGo+SwaptionShift))*SUM(INDEX($FK$325:$ID$396,FN$169,1+SwaptionShift):INDEX($FK$325:$ID$396,FN$169,SwaptionMonthsToGo+SwaptionShift))))))</f>
        <v/>
      </c>
      <c r="FO172" s="479" t="str">
        <f ca="1">IF(OR(FO$169&lt;SwaptionFirstMonthPosition+1,$FJ172&lt;SwaptionFirstMonthPosition+1,FO$169&gt;SwaptionFirstMonthPosition+SwaptionNumOfMonths+1,$FJ172&gt;SwaptionFirstMonthPosition+SwaptionNumOfMonths+1),"",IF($FJ172=FO$169,1,IF($FJ172&lt;FO$169,INDEX($FK$170:$ID$241,FO$169,$FJ172),SUMPRODUCT(INDEX($FK$325:$ID$396,FO$169,1+SwaptionShift):INDEX($FK$325:$ID$396,FO$169,SwaptionMonthsToGo+SwaptionShift),INDEX($FK$245:$ID$316,$FJ172-FO$169,73-FO$169+SwaptionShift):INDEX($FK$245:$ID$316,$FJ172-FO$169,72-FO$169+SwaptionMonthsToGo+SwaptionShift))/SQRT(SUM(INDEX($FK327:$ID327,1+SwaptionShift):INDEX($FK327:$ID327,SwaptionMonthsToGo+SwaptionShift))*SUM(INDEX($FK$325:$ID$396,FO$169,1+SwaptionShift):INDEX($FK$325:$ID$396,FO$169,SwaptionMonthsToGo+SwaptionShift))))))</f>
        <v/>
      </c>
      <c r="FP172" s="479" t="str">
        <f ca="1">IF(OR(FP$169&lt;SwaptionFirstMonthPosition+1,$FJ172&lt;SwaptionFirstMonthPosition+1,FP$169&gt;SwaptionFirstMonthPosition+SwaptionNumOfMonths+1,$FJ172&gt;SwaptionFirstMonthPosition+SwaptionNumOfMonths+1),"",IF($FJ172=FP$169,1,IF($FJ172&lt;FP$169,INDEX($FK$170:$ID$241,FP$169,$FJ172),SUMPRODUCT(INDEX($FK$325:$ID$396,FP$169,1+SwaptionShift):INDEX($FK$325:$ID$396,FP$169,SwaptionMonthsToGo+SwaptionShift),INDEX($FK$245:$ID$316,$FJ172-FP$169,73-FP$169+SwaptionShift):INDEX($FK$245:$ID$316,$FJ172-FP$169,72-FP$169+SwaptionMonthsToGo+SwaptionShift))/SQRT(SUM(INDEX($FK327:$ID327,1+SwaptionShift):INDEX($FK327:$ID327,SwaptionMonthsToGo+SwaptionShift))*SUM(INDEX($FK$325:$ID$396,FP$169,1+SwaptionShift):INDEX($FK$325:$ID$396,FP$169,SwaptionMonthsToGo+SwaptionShift))))))</f>
        <v/>
      </c>
      <c r="FQ172" s="479" t="str">
        <f ca="1">IF(OR(FQ$169&lt;SwaptionFirstMonthPosition+1,$FJ172&lt;SwaptionFirstMonthPosition+1,FQ$169&gt;SwaptionFirstMonthPosition+SwaptionNumOfMonths+1,$FJ172&gt;SwaptionFirstMonthPosition+SwaptionNumOfMonths+1),"",IF($FJ172=FQ$169,1,IF($FJ172&lt;FQ$169,INDEX($FK$170:$ID$241,FQ$169,$FJ172),SUMPRODUCT(INDEX($FK$325:$ID$396,FQ$169,1+SwaptionShift):INDEX($FK$325:$ID$396,FQ$169,SwaptionMonthsToGo+SwaptionShift),INDEX($FK$245:$ID$316,$FJ172-FQ$169,73-FQ$169+SwaptionShift):INDEX($FK$245:$ID$316,$FJ172-FQ$169,72-FQ$169+SwaptionMonthsToGo+SwaptionShift))/SQRT(SUM(INDEX($FK327:$ID327,1+SwaptionShift):INDEX($FK327:$ID327,SwaptionMonthsToGo+SwaptionShift))*SUM(INDEX($FK$325:$ID$396,FQ$169,1+SwaptionShift):INDEX($FK$325:$ID$396,FQ$169,SwaptionMonthsToGo+SwaptionShift))))))</f>
        <v/>
      </c>
      <c r="FR172" s="479" t="str">
        <f ca="1">IF(OR(FR$169&lt;SwaptionFirstMonthPosition+1,$FJ172&lt;SwaptionFirstMonthPosition+1,FR$169&gt;SwaptionFirstMonthPosition+SwaptionNumOfMonths+1,$FJ172&gt;SwaptionFirstMonthPosition+SwaptionNumOfMonths+1),"",IF($FJ172=FR$169,1,IF($FJ172&lt;FR$169,INDEX($FK$170:$ID$241,FR$169,$FJ172),SUMPRODUCT(INDEX($FK$325:$ID$396,FR$169,1+SwaptionShift):INDEX($FK$325:$ID$396,FR$169,SwaptionMonthsToGo+SwaptionShift),INDEX($FK$245:$ID$316,$FJ172-FR$169,73-FR$169+SwaptionShift):INDEX($FK$245:$ID$316,$FJ172-FR$169,72-FR$169+SwaptionMonthsToGo+SwaptionShift))/SQRT(SUM(INDEX($FK327:$ID327,1+SwaptionShift):INDEX($FK327:$ID327,SwaptionMonthsToGo+SwaptionShift))*SUM(INDEX($FK$325:$ID$396,FR$169,1+SwaptionShift):INDEX($FK$325:$ID$396,FR$169,SwaptionMonthsToGo+SwaptionShift))))))</f>
        <v/>
      </c>
      <c r="FS172" s="479" t="str">
        <f ca="1">IF(OR(FS$169&lt;SwaptionFirstMonthPosition+1,$FJ172&lt;SwaptionFirstMonthPosition+1,FS$169&gt;SwaptionFirstMonthPosition+SwaptionNumOfMonths+1,$FJ172&gt;SwaptionFirstMonthPosition+SwaptionNumOfMonths+1),"",IF($FJ172=FS$169,1,IF($FJ172&lt;FS$169,INDEX($FK$170:$ID$241,FS$169,$FJ172),SUMPRODUCT(INDEX($FK$325:$ID$396,FS$169,1+SwaptionShift):INDEX($FK$325:$ID$396,FS$169,SwaptionMonthsToGo+SwaptionShift),INDEX($FK$245:$ID$316,$FJ172-FS$169,73-FS$169+SwaptionShift):INDEX($FK$245:$ID$316,$FJ172-FS$169,72-FS$169+SwaptionMonthsToGo+SwaptionShift))/SQRT(SUM(INDEX($FK327:$ID327,1+SwaptionShift):INDEX($FK327:$ID327,SwaptionMonthsToGo+SwaptionShift))*SUM(INDEX($FK$325:$ID$396,FS$169,1+SwaptionShift):INDEX($FK$325:$ID$396,FS$169,SwaptionMonthsToGo+SwaptionShift))))))</f>
        <v/>
      </c>
      <c r="FT172" s="479" t="str">
        <f ca="1">IF(OR(FT$169&lt;SwaptionFirstMonthPosition+1,$FJ172&lt;SwaptionFirstMonthPosition+1,FT$169&gt;SwaptionFirstMonthPosition+SwaptionNumOfMonths+1,$FJ172&gt;SwaptionFirstMonthPosition+SwaptionNumOfMonths+1),"",IF($FJ172=FT$169,1,IF($FJ172&lt;FT$169,INDEX($FK$170:$ID$241,FT$169,$FJ172),SUMPRODUCT(INDEX($FK$325:$ID$396,FT$169,1+SwaptionShift):INDEX($FK$325:$ID$396,FT$169,SwaptionMonthsToGo+SwaptionShift),INDEX($FK$245:$ID$316,$FJ172-FT$169,73-FT$169+SwaptionShift):INDEX($FK$245:$ID$316,$FJ172-FT$169,72-FT$169+SwaptionMonthsToGo+SwaptionShift))/SQRT(SUM(INDEX($FK327:$ID327,1+SwaptionShift):INDEX($FK327:$ID327,SwaptionMonthsToGo+SwaptionShift))*SUM(INDEX($FK$325:$ID$396,FT$169,1+SwaptionShift):INDEX($FK$325:$ID$396,FT$169,SwaptionMonthsToGo+SwaptionShift))))))</f>
        <v/>
      </c>
      <c r="FU172" s="479" t="str">
        <f ca="1">IF(OR(FU$169&lt;SwaptionFirstMonthPosition+1,$FJ172&lt;SwaptionFirstMonthPosition+1,FU$169&gt;SwaptionFirstMonthPosition+SwaptionNumOfMonths+1,$FJ172&gt;SwaptionFirstMonthPosition+SwaptionNumOfMonths+1),"",IF($FJ172=FU$169,1,IF($FJ172&lt;FU$169,INDEX($FK$170:$ID$241,FU$169,$FJ172),SUMPRODUCT(INDEX($FK$325:$ID$396,FU$169,1+SwaptionShift):INDEX($FK$325:$ID$396,FU$169,SwaptionMonthsToGo+SwaptionShift),INDEX($FK$245:$ID$316,$FJ172-FU$169,73-FU$169+SwaptionShift):INDEX($FK$245:$ID$316,$FJ172-FU$169,72-FU$169+SwaptionMonthsToGo+SwaptionShift))/SQRT(SUM(INDEX($FK327:$ID327,1+SwaptionShift):INDEX($FK327:$ID327,SwaptionMonthsToGo+SwaptionShift))*SUM(INDEX($FK$325:$ID$396,FU$169,1+SwaptionShift):INDEX($FK$325:$ID$396,FU$169,SwaptionMonthsToGo+SwaptionShift))))))</f>
        <v/>
      </c>
      <c r="FV172" s="479" t="str">
        <f ca="1">IF(OR(FV$169&lt;SwaptionFirstMonthPosition+1,$FJ172&lt;SwaptionFirstMonthPosition+1,FV$169&gt;SwaptionFirstMonthPosition+SwaptionNumOfMonths+1,$FJ172&gt;SwaptionFirstMonthPosition+SwaptionNumOfMonths+1),"",IF($FJ172=FV$169,1,IF($FJ172&lt;FV$169,INDEX($FK$170:$ID$241,FV$169,$FJ172),SUMPRODUCT(INDEX($FK$325:$ID$396,FV$169,1+SwaptionShift):INDEX($FK$325:$ID$396,FV$169,SwaptionMonthsToGo+SwaptionShift),INDEX($FK$245:$ID$316,$FJ172-FV$169,73-FV$169+SwaptionShift):INDEX($FK$245:$ID$316,$FJ172-FV$169,72-FV$169+SwaptionMonthsToGo+SwaptionShift))/SQRT(SUM(INDEX($FK327:$ID327,1+SwaptionShift):INDEX($FK327:$ID327,SwaptionMonthsToGo+SwaptionShift))*SUM(INDEX($FK$325:$ID$396,FV$169,1+SwaptionShift):INDEX($FK$325:$ID$396,FV$169,SwaptionMonthsToGo+SwaptionShift))))))</f>
        <v/>
      </c>
      <c r="FW172" s="479" t="str">
        <f ca="1">IF(OR(FW$169&lt;SwaptionFirstMonthPosition+1,$FJ172&lt;SwaptionFirstMonthPosition+1,FW$169&gt;SwaptionFirstMonthPosition+SwaptionNumOfMonths+1,$FJ172&gt;SwaptionFirstMonthPosition+SwaptionNumOfMonths+1),"",IF($FJ172=FW$169,1,IF($FJ172&lt;FW$169,INDEX($FK$170:$ID$241,FW$169,$FJ172),SUMPRODUCT(INDEX($FK$325:$ID$396,FW$169,1+SwaptionShift):INDEX($FK$325:$ID$396,FW$169,SwaptionMonthsToGo+SwaptionShift),INDEX($FK$245:$ID$316,$FJ172-FW$169,73-FW$169+SwaptionShift):INDEX($FK$245:$ID$316,$FJ172-FW$169,72-FW$169+SwaptionMonthsToGo+SwaptionShift))/SQRT(SUM(INDEX($FK327:$ID327,1+SwaptionShift):INDEX($FK327:$ID327,SwaptionMonthsToGo+SwaptionShift))*SUM(INDEX($FK$325:$ID$396,FW$169,1+SwaptionShift):INDEX($FK$325:$ID$396,FW$169,SwaptionMonthsToGo+SwaptionShift))))))</f>
        <v/>
      </c>
      <c r="FX172" s="479" t="str">
        <f ca="1">IF(OR(FX$169&lt;SwaptionFirstMonthPosition+1,$FJ172&lt;SwaptionFirstMonthPosition+1,FX$169&gt;SwaptionFirstMonthPosition+SwaptionNumOfMonths+1,$FJ172&gt;SwaptionFirstMonthPosition+SwaptionNumOfMonths+1),"",IF($FJ172=FX$169,1,IF($FJ172&lt;FX$169,INDEX($FK$170:$ID$241,FX$169,$FJ172),SUMPRODUCT(INDEX($FK$325:$ID$396,FX$169,1+SwaptionShift):INDEX($FK$325:$ID$396,FX$169,SwaptionMonthsToGo+SwaptionShift),INDEX($FK$245:$ID$316,$FJ172-FX$169,73-FX$169+SwaptionShift):INDEX($FK$245:$ID$316,$FJ172-FX$169,72-FX$169+SwaptionMonthsToGo+SwaptionShift))/SQRT(SUM(INDEX($FK327:$ID327,1+SwaptionShift):INDEX($FK327:$ID327,SwaptionMonthsToGo+SwaptionShift))*SUM(INDEX($FK$325:$ID$396,FX$169,1+SwaptionShift):INDEX($FK$325:$ID$396,FX$169,SwaptionMonthsToGo+SwaptionShift))))))</f>
        <v/>
      </c>
      <c r="FY172" s="479" t="str">
        <f ca="1">IF(OR(FY$169&lt;SwaptionFirstMonthPosition+1,$FJ172&lt;SwaptionFirstMonthPosition+1,FY$169&gt;SwaptionFirstMonthPosition+SwaptionNumOfMonths+1,$FJ172&gt;SwaptionFirstMonthPosition+SwaptionNumOfMonths+1),"",IF($FJ172=FY$169,1,IF($FJ172&lt;FY$169,INDEX($FK$170:$ID$241,FY$169,$FJ172),SUMPRODUCT(INDEX($FK$325:$ID$396,FY$169,1+SwaptionShift):INDEX($FK$325:$ID$396,FY$169,SwaptionMonthsToGo+SwaptionShift),INDEX($FK$245:$ID$316,$FJ172-FY$169,73-FY$169+SwaptionShift):INDEX($FK$245:$ID$316,$FJ172-FY$169,72-FY$169+SwaptionMonthsToGo+SwaptionShift))/SQRT(SUM(INDEX($FK327:$ID327,1+SwaptionShift):INDEX($FK327:$ID327,SwaptionMonthsToGo+SwaptionShift))*SUM(INDEX($FK$325:$ID$396,FY$169,1+SwaptionShift):INDEX($FK$325:$ID$396,FY$169,SwaptionMonthsToGo+SwaptionShift))))))</f>
        <v/>
      </c>
      <c r="FZ172" s="479" t="str">
        <f ca="1">IF(OR(FZ$169&lt;SwaptionFirstMonthPosition+1,$FJ172&lt;SwaptionFirstMonthPosition+1,FZ$169&gt;SwaptionFirstMonthPosition+SwaptionNumOfMonths+1,$FJ172&gt;SwaptionFirstMonthPosition+SwaptionNumOfMonths+1),"",IF($FJ172=FZ$169,1,IF($FJ172&lt;FZ$169,INDEX($FK$170:$ID$241,FZ$169,$FJ172),SUMPRODUCT(INDEX($FK$325:$ID$396,FZ$169,1+SwaptionShift):INDEX($FK$325:$ID$396,FZ$169,SwaptionMonthsToGo+SwaptionShift),INDEX($FK$245:$ID$316,$FJ172-FZ$169,73-FZ$169+SwaptionShift):INDEX($FK$245:$ID$316,$FJ172-FZ$169,72-FZ$169+SwaptionMonthsToGo+SwaptionShift))/SQRT(SUM(INDEX($FK327:$ID327,1+SwaptionShift):INDEX($FK327:$ID327,SwaptionMonthsToGo+SwaptionShift))*SUM(INDEX($FK$325:$ID$396,FZ$169,1+SwaptionShift):INDEX($FK$325:$ID$396,FZ$169,SwaptionMonthsToGo+SwaptionShift))))))</f>
        <v/>
      </c>
      <c r="GA172" s="479" t="str">
        <f ca="1">IF(OR(GA$169&lt;SwaptionFirstMonthPosition+1,$FJ172&lt;SwaptionFirstMonthPosition+1,GA$169&gt;SwaptionFirstMonthPosition+SwaptionNumOfMonths+1,$FJ172&gt;SwaptionFirstMonthPosition+SwaptionNumOfMonths+1),"",IF($FJ172=GA$169,1,IF($FJ172&lt;GA$169,INDEX($FK$170:$ID$241,GA$169,$FJ172),SUMPRODUCT(INDEX($FK$325:$ID$396,GA$169,1+SwaptionShift):INDEX($FK$325:$ID$396,GA$169,SwaptionMonthsToGo+SwaptionShift),INDEX($FK$245:$ID$316,$FJ172-GA$169,73-GA$169+SwaptionShift):INDEX($FK$245:$ID$316,$FJ172-GA$169,72-GA$169+SwaptionMonthsToGo+SwaptionShift))/SQRT(SUM(INDEX($FK327:$ID327,1+SwaptionShift):INDEX($FK327:$ID327,SwaptionMonthsToGo+SwaptionShift))*SUM(INDEX($FK$325:$ID$396,GA$169,1+SwaptionShift):INDEX($FK$325:$ID$396,GA$169,SwaptionMonthsToGo+SwaptionShift))))))</f>
        <v/>
      </c>
      <c r="GB172" s="479" t="str">
        <f ca="1">IF(OR(GB$169&lt;SwaptionFirstMonthPosition+1,$FJ172&lt;SwaptionFirstMonthPosition+1,GB$169&gt;SwaptionFirstMonthPosition+SwaptionNumOfMonths+1,$FJ172&gt;SwaptionFirstMonthPosition+SwaptionNumOfMonths+1),"",IF($FJ172=GB$169,1,IF($FJ172&lt;GB$169,INDEX($FK$170:$ID$241,GB$169,$FJ172),SUMPRODUCT(INDEX($FK$325:$ID$396,GB$169,1+SwaptionShift):INDEX($FK$325:$ID$396,GB$169,SwaptionMonthsToGo+SwaptionShift),INDEX($FK$245:$ID$316,$FJ172-GB$169,73-GB$169+SwaptionShift):INDEX($FK$245:$ID$316,$FJ172-GB$169,72-GB$169+SwaptionMonthsToGo+SwaptionShift))/SQRT(SUM(INDEX($FK327:$ID327,1+SwaptionShift):INDEX($FK327:$ID327,SwaptionMonthsToGo+SwaptionShift))*SUM(INDEX($FK$325:$ID$396,GB$169,1+SwaptionShift):INDEX($FK$325:$ID$396,GB$169,SwaptionMonthsToGo+SwaptionShift))))))</f>
        <v/>
      </c>
      <c r="GC172" s="479" t="str">
        <f ca="1">IF(OR(GC$169&lt;SwaptionFirstMonthPosition+1,$FJ172&lt;SwaptionFirstMonthPosition+1,GC$169&gt;SwaptionFirstMonthPosition+SwaptionNumOfMonths+1,$FJ172&gt;SwaptionFirstMonthPosition+SwaptionNumOfMonths+1),"",IF($FJ172=GC$169,1,IF($FJ172&lt;GC$169,INDEX($FK$170:$ID$241,GC$169,$FJ172),SUMPRODUCT(INDEX($FK$325:$ID$396,GC$169,1+SwaptionShift):INDEX($FK$325:$ID$396,GC$169,SwaptionMonthsToGo+SwaptionShift),INDEX($FK$245:$ID$316,$FJ172-GC$169,73-GC$169+SwaptionShift):INDEX($FK$245:$ID$316,$FJ172-GC$169,72-GC$169+SwaptionMonthsToGo+SwaptionShift))/SQRT(SUM(INDEX($FK327:$ID327,1+SwaptionShift):INDEX($FK327:$ID327,SwaptionMonthsToGo+SwaptionShift))*SUM(INDEX($FK$325:$ID$396,GC$169,1+SwaptionShift):INDEX($FK$325:$ID$396,GC$169,SwaptionMonthsToGo+SwaptionShift))))))</f>
        <v/>
      </c>
      <c r="GD172" s="479" t="str">
        <f ca="1">IF(OR(GD$169&lt;SwaptionFirstMonthPosition+1,$FJ172&lt;SwaptionFirstMonthPosition+1,GD$169&gt;SwaptionFirstMonthPosition+SwaptionNumOfMonths+1,$FJ172&gt;SwaptionFirstMonthPosition+SwaptionNumOfMonths+1),"",IF($FJ172=GD$169,1,IF($FJ172&lt;GD$169,INDEX($FK$170:$ID$241,GD$169,$FJ172),SUMPRODUCT(INDEX($FK$325:$ID$396,GD$169,1+SwaptionShift):INDEX($FK$325:$ID$396,GD$169,SwaptionMonthsToGo+SwaptionShift),INDEX($FK$245:$ID$316,$FJ172-GD$169,73-GD$169+SwaptionShift):INDEX($FK$245:$ID$316,$FJ172-GD$169,72-GD$169+SwaptionMonthsToGo+SwaptionShift))/SQRT(SUM(INDEX($FK327:$ID327,1+SwaptionShift):INDEX($FK327:$ID327,SwaptionMonthsToGo+SwaptionShift))*SUM(INDEX($FK$325:$ID$396,GD$169,1+SwaptionShift):INDEX($FK$325:$ID$396,GD$169,SwaptionMonthsToGo+SwaptionShift))))))</f>
        <v/>
      </c>
      <c r="GE172" s="479" t="str">
        <f ca="1">IF(OR(GE$169&lt;SwaptionFirstMonthPosition+1,$FJ172&lt;SwaptionFirstMonthPosition+1,GE$169&gt;SwaptionFirstMonthPosition+SwaptionNumOfMonths+1,$FJ172&gt;SwaptionFirstMonthPosition+SwaptionNumOfMonths+1),"",IF($FJ172=GE$169,1,IF($FJ172&lt;GE$169,INDEX($FK$170:$ID$241,GE$169,$FJ172),SUMPRODUCT(INDEX($FK$325:$ID$396,GE$169,1+SwaptionShift):INDEX($FK$325:$ID$396,GE$169,SwaptionMonthsToGo+SwaptionShift),INDEX($FK$245:$ID$316,$FJ172-GE$169,73-GE$169+SwaptionShift):INDEX($FK$245:$ID$316,$FJ172-GE$169,72-GE$169+SwaptionMonthsToGo+SwaptionShift))/SQRT(SUM(INDEX($FK327:$ID327,1+SwaptionShift):INDEX($FK327:$ID327,SwaptionMonthsToGo+SwaptionShift))*SUM(INDEX($FK$325:$ID$396,GE$169,1+SwaptionShift):INDEX($FK$325:$ID$396,GE$169,SwaptionMonthsToGo+SwaptionShift))))))</f>
        <v/>
      </c>
      <c r="GF172" s="479" t="str">
        <f ca="1">IF(OR(GF$169&lt;SwaptionFirstMonthPosition+1,$FJ172&lt;SwaptionFirstMonthPosition+1,GF$169&gt;SwaptionFirstMonthPosition+SwaptionNumOfMonths+1,$FJ172&gt;SwaptionFirstMonthPosition+SwaptionNumOfMonths+1),"",IF($FJ172=GF$169,1,IF($FJ172&lt;GF$169,INDEX($FK$170:$ID$241,GF$169,$FJ172),SUMPRODUCT(INDEX($FK$325:$ID$396,GF$169,1+SwaptionShift):INDEX($FK$325:$ID$396,GF$169,SwaptionMonthsToGo+SwaptionShift),INDEX($FK$245:$ID$316,$FJ172-GF$169,73-GF$169+SwaptionShift):INDEX($FK$245:$ID$316,$FJ172-GF$169,72-GF$169+SwaptionMonthsToGo+SwaptionShift))/SQRT(SUM(INDEX($FK327:$ID327,1+SwaptionShift):INDEX($FK327:$ID327,SwaptionMonthsToGo+SwaptionShift))*SUM(INDEX($FK$325:$ID$396,GF$169,1+SwaptionShift):INDEX($FK$325:$ID$396,GF$169,SwaptionMonthsToGo+SwaptionShift))))))</f>
        <v/>
      </c>
      <c r="GG172" s="479" t="str">
        <f ca="1">IF(OR(GG$169&lt;SwaptionFirstMonthPosition+1,$FJ172&lt;SwaptionFirstMonthPosition+1,GG$169&gt;SwaptionFirstMonthPosition+SwaptionNumOfMonths+1,$FJ172&gt;SwaptionFirstMonthPosition+SwaptionNumOfMonths+1),"",IF($FJ172=GG$169,1,IF($FJ172&lt;GG$169,INDEX($FK$170:$ID$241,GG$169,$FJ172),SUMPRODUCT(INDEX($FK$325:$ID$396,GG$169,1+SwaptionShift):INDEX($FK$325:$ID$396,GG$169,SwaptionMonthsToGo+SwaptionShift),INDEX($FK$245:$ID$316,$FJ172-GG$169,73-GG$169+SwaptionShift):INDEX($FK$245:$ID$316,$FJ172-GG$169,72-GG$169+SwaptionMonthsToGo+SwaptionShift))/SQRT(SUM(INDEX($FK327:$ID327,1+SwaptionShift):INDEX($FK327:$ID327,SwaptionMonthsToGo+SwaptionShift))*SUM(INDEX($FK$325:$ID$396,GG$169,1+SwaptionShift):INDEX($FK$325:$ID$396,GG$169,SwaptionMonthsToGo+SwaptionShift))))))</f>
        <v/>
      </c>
      <c r="GH172" s="479" t="str">
        <f ca="1">IF(OR(GH$169&lt;SwaptionFirstMonthPosition+1,$FJ172&lt;SwaptionFirstMonthPosition+1,GH$169&gt;SwaptionFirstMonthPosition+SwaptionNumOfMonths+1,$FJ172&gt;SwaptionFirstMonthPosition+SwaptionNumOfMonths+1),"",IF($FJ172=GH$169,1,IF($FJ172&lt;GH$169,INDEX($FK$170:$ID$241,GH$169,$FJ172),SUMPRODUCT(INDEX($FK$325:$ID$396,GH$169,1+SwaptionShift):INDEX($FK$325:$ID$396,GH$169,SwaptionMonthsToGo+SwaptionShift),INDEX($FK$245:$ID$316,$FJ172-GH$169,73-GH$169+SwaptionShift):INDEX($FK$245:$ID$316,$FJ172-GH$169,72-GH$169+SwaptionMonthsToGo+SwaptionShift))/SQRT(SUM(INDEX($FK327:$ID327,1+SwaptionShift):INDEX($FK327:$ID327,SwaptionMonthsToGo+SwaptionShift))*SUM(INDEX($FK$325:$ID$396,GH$169,1+SwaptionShift):INDEX($FK$325:$ID$396,GH$169,SwaptionMonthsToGo+SwaptionShift))))))</f>
        <v/>
      </c>
      <c r="GI172" s="479" t="str">
        <f ca="1">IF(OR(GI$169&lt;SwaptionFirstMonthPosition+1,$FJ172&lt;SwaptionFirstMonthPosition+1,GI$169&gt;SwaptionFirstMonthPosition+SwaptionNumOfMonths+1,$FJ172&gt;SwaptionFirstMonthPosition+SwaptionNumOfMonths+1),"",IF($FJ172=GI$169,1,IF($FJ172&lt;GI$169,INDEX($FK$170:$ID$241,GI$169,$FJ172),SUMPRODUCT(INDEX($FK$325:$ID$396,GI$169,1+SwaptionShift):INDEX($FK$325:$ID$396,GI$169,SwaptionMonthsToGo+SwaptionShift),INDEX($FK$245:$ID$316,$FJ172-GI$169,73-GI$169+SwaptionShift):INDEX($FK$245:$ID$316,$FJ172-GI$169,72-GI$169+SwaptionMonthsToGo+SwaptionShift))/SQRT(SUM(INDEX($FK327:$ID327,1+SwaptionShift):INDEX($FK327:$ID327,SwaptionMonthsToGo+SwaptionShift))*SUM(INDEX($FK$325:$ID$396,GI$169,1+SwaptionShift):INDEX($FK$325:$ID$396,GI$169,SwaptionMonthsToGo+SwaptionShift))))))</f>
        <v/>
      </c>
      <c r="GJ172" s="479" t="str">
        <f ca="1">IF(OR(GJ$169&lt;SwaptionFirstMonthPosition+1,$FJ172&lt;SwaptionFirstMonthPosition+1,GJ$169&gt;SwaptionFirstMonthPosition+SwaptionNumOfMonths+1,$FJ172&gt;SwaptionFirstMonthPosition+SwaptionNumOfMonths+1),"",IF($FJ172=GJ$169,1,IF($FJ172&lt;GJ$169,INDEX($FK$170:$ID$241,GJ$169,$FJ172),SUMPRODUCT(INDEX($FK$325:$ID$396,GJ$169,1+SwaptionShift):INDEX($FK$325:$ID$396,GJ$169,SwaptionMonthsToGo+SwaptionShift),INDEX($FK$245:$ID$316,$FJ172-GJ$169,73-GJ$169+SwaptionShift):INDEX($FK$245:$ID$316,$FJ172-GJ$169,72-GJ$169+SwaptionMonthsToGo+SwaptionShift))/SQRT(SUM(INDEX($FK327:$ID327,1+SwaptionShift):INDEX($FK327:$ID327,SwaptionMonthsToGo+SwaptionShift))*SUM(INDEX($FK$325:$ID$396,GJ$169,1+SwaptionShift):INDEX($FK$325:$ID$396,GJ$169,SwaptionMonthsToGo+SwaptionShift))))))</f>
        <v/>
      </c>
      <c r="GK172" s="479" t="str">
        <f ca="1">IF(OR(GK$169&lt;SwaptionFirstMonthPosition+1,$FJ172&lt;SwaptionFirstMonthPosition+1,GK$169&gt;SwaptionFirstMonthPosition+SwaptionNumOfMonths+1,$FJ172&gt;SwaptionFirstMonthPosition+SwaptionNumOfMonths+1),"",IF($FJ172=GK$169,1,IF($FJ172&lt;GK$169,INDEX($FK$170:$ID$241,GK$169,$FJ172),SUMPRODUCT(INDEX($FK$325:$ID$396,GK$169,1+SwaptionShift):INDEX($FK$325:$ID$396,GK$169,SwaptionMonthsToGo+SwaptionShift),INDEX($FK$245:$ID$316,$FJ172-GK$169,73-GK$169+SwaptionShift):INDEX($FK$245:$ID$316,$FJ172-GK$169,72-GK$169+SwaptionMonthsToGo+SwaptionShift))/SQRT(SUM(INDEX($FK327:$ID327,1+SwaptionShift):INDEX($FK327:$ID327,SwaptionMonthsToGo+SwaptionShift))*SUM(INDEX($FK$325:$ID$396,GK$169,1+SwaptionShift):INDEX($FK$325:$ID$396,GK$169,SwaptionMonthsToGo+SwaptionShift))))))</f>
        <v/>
      </c>
      <c r="GL172" s="479" t="str">
        <f ca="1">IF(OR(GL$169&lt;SwaptionFirstMonthPosition+1,$FJ172&lt;SwaptionFirstMonthPosition+1,GL$169&gt;SwaptionFirstMonthPosition+SwaptionNumOfMonths+1,$FJ172&gt;SwaptionFirstMonthPosition+SwaptionNumOfMonths+1),"",IF($FJ172=GL$169,1,IF($FJ172&lt;GL$169,INDEX($FK$170:$ID$241,GL$169,$FJ172),SUMPRODUCT(INDEX($FK$325:$ID$396,GL$169,1+SwaptionShift):INDEX($FK$325:$ID$396,GL$169,SwaptionMonthsToGo+SwaptionShift),INDEX($FK$245:$ID$316,$FJ172-GL$169,73-GL$169+SwaptionShift):INDEX($FK$245:$ID$316,$FJ172-GL$169,72-GL$169+SwaptionMonthsToGo+SwaptionShift))/SQRT(SUM(INDEX($FK327:$ID327,1+SwaptionShift):INDEX($FK327:$ID327,SwaptionMonthsToGo+SwaptionShift))*SUM(INDEX($FK$325:$ID$396,GL$169,1+SwaptionShift):INDEX($FK$325:$ID$396,GL$169,SwaptionMonthsToGo+SwaptionShift))))))</f>
        <v/>
      </c>
      <c r="GM172" s="479" t="str">
        <f ca="1">IF(OR(GM$169&lt;SwaptionFirstMonthPosition+1,$FJ172&lt;SwaptionFirstMonthPosition+1,GM$169&gt;SwaptionFirstMonthPosition+SwaptionNumOfMonths+1,$FJ172&gt;SwaptionFirstMonthPosition+SwaptionNumOfMonths+1),"",IF($FJ172=GM$169,1,IF($FJ172&lt;GM$169,INDEX($FK$170:$ID$241,GM$169,$FJ172),SUMPRODUCT(INDEX($FK$325:$ID$396,GM$169,1+SwaptionShift):INDEX($FK$325:$ID$396,GM$169,SwaptionMonthsToGo+SwaptionShift),INDEX($FK$245:$ID$316,$FJ172-GM$169,73-GM$169+SwaptionShift):INDEX($FK$245:$ID$316,$FJ172-GM$169,72-GM$169+SwaptionMonthsToGo+SwaptionShift))/SQRT(SUM(INDEX($FK327:$ID327,1+SwaptionShift):INDEX($FK327:$ID327,SwaptionMonthsToGo+SwaptionShift))*SUM(INDEX($FK$325:$ID$396,GM$169,1+SwaptionShift):INDEX($FK$325:$ID$396,GM$169,SwaptionMonthsToGo+SwaptionShift))))))</f>
        <v/>
      </c>
      <c r="GN172" s="479" t="str">
        <f ca="1">IF(OR(GN$169&lt;SwaptionFirstMonthPosition+1,$FJ172&lt;SwaptionFirstMonthPosition+1,GN$169&gt;SwaptionFirstMonthPosition+SwaptionNumOfMonths+1,$FJ172&gt;SwaptionFirstMonthPosition+SwaptionNumOfMonths+1),"",IF($FJ172=GN$169,1,IF($FJ172&lt;GN$169,INDEX($FK$170:$ID$241,GN$169,$FJ172),SUMPRODUCT(INDEX($FK$325:$ID$396,GN$169,1+SwaptionShift):INDEX($FK$325:$ID$396,GN$169,SwaptionMonthsToGo+SwaptionShift),INDEX($FK$245:$ID$316,$FJ172-GN$169,73-GN$169+SwaptionShift):INDEX($FK$245:$ID$316,$FJ172-GN$169,72-GN$169+SwaptionMonthsToGo+SwaptionShift))/SQRT(SUM(INDEX($FK327:$ID327,1+SwaptionShift):INDEX($FK327:$ID327,SwaptionMonthsToGo+SwaptionShift))*SUM(INDEX($FK$325:$ID$396,GN$169,1+SwaptionShift):INDEX($FK$325:$ID$396,GN$169,SwaptionMonthsToGo+SwaptionShift))))))</f>
        <v/>
      </c>
      <c r="GO172" s="479" t="str">
        <f ca="1">IF(OR(GO$169&lt;SwaptionFirstMonthPosition+1,$FJ172&lt;SwaptionFirstMonthPosition+1,GO$169&gt;SwaptionFirstMonthPosition+SwaptionNumOfMonths+1,$FJ172&gt;SwaptionFirstMonthPosition+SwaptionNumOfMonths+1),"",IF($FJ172=GO$169,1,IF($FJ172&lt;GO$169,INDEX($FK$170:$ID$241,GO$169,$FJ172),SUMPRODUCT(INDEX($FK$325:$ID$396,GO$169,1+SwaptionShift):INDEX($FK$325:$ID$396,GO$169,SwaptionMonthsToGo+SwaptionShift),INDEX($FK$245:$ID$316,$FJ172-GO$169,73-GO$169+SwaptionShift):INDEX($FK$245:$ID$316,$FJ172-GO$169,72-GO$169+SwaptionMonthsToGo+SwaptionShift))/SQRT(SUM(INDEX($FK327:$ID327,1+SwaptionShift):INDEX($FK327:$ID327,SwaptionMonthsToGo+SwaptionShift))*SUM(INDEX($FK$325:$ID$396,GO$169,1+SwaptionShift):INDEX($FK$325:$ID$396,GO$169,SwaptionMonthsToGo+SwaptionShift))))))</f>
        <v/>
      </c>
      <c r="GP172" s="479" t="str">
        <f ca="1">IF(OR(GP$169&lt;SwaptionFirstMonthPosition+1,$FJ172&lt;SwaptionFirstMonthPosition+1,GP$169&gt;SwaptionFirstMonthPosition+SwaptionNumOfMonths+1,$FJ172&gt;SwaptionFirstMonthPosition+SwaptionNumOfMonths+1),"",IF($FJ172=GP$169,1,IF($FJ172&lt;GP$169,INDEX($FK$170:$ID$241,GP$169,$FJ172),SUMPRODUCT(INDEX($FK$325:$ID$396,GP$169,1+SwaptionShift):INDEX($FK$325:$ID$396,GP$169,SwaptionMonthsToGo+SwaptionShift),INDEX($FK$245:$ID$316,$FJ172-GP$169,73-GP$169+SwaptionShift):INDEX($FK$245:$ID$316,$FJ172-GP$169,72-GP$169+SwaptionMonthsToGo+SwaptionShift))/SQRT(SUM(INDEX($FK327:$ID327,1+SwaptionShift):INDEX($FK327:$ID327,SwaptionMonthsToGo+SwaptionShift))*SUM(INDEX($FK$325:$ID$396,GP$169,1+SwaptionShift):INDEX($FK$325:$ID$396,GP$169,SwaptionMonthsToGo+SwaptionShift))))))</f>
        <v/>
      </c>
      <c r="GQ172" s="479" t="str">
        <f ca="1">IF(OR(GQ$169&lt;SwaptionFirstMonthPosition+1,$FJ172&lt;SwaptionFirstMonthPosition+1,GQ$169&gt;SwaptionFirstMonthPosition+SwaptionNumOfMonths+1,$FJ172&gt;SwaptionFirstMonthPosition+SwaptionNumOfMonths+1),"",IF($FJ172=GQ$169,1,IF($FJ172&lt;GQ$169,INDEX($FK$170:$ID$241,GQ$169,$FJ172),SUMPRODUCT(INDEX($FK$325:$ID$396,GQ$169,1+SwaptionShift):INDEX($FK$325:$ID$396,GQ$169,SwaptionMonthsToGo+SwaptionShift),INDEX($FK$245:$ID$316,$FJ172-GQ$169,73-GQ$169+SwaptionShift):INDEX($FK$245:$ID$316,$FJ172-GQ$169,72-GQ$169+SwaptionMonthsToGo+SwaptionShift))/SQRT(SUM(INDEX($FK327:$ID327,1+SwaptionShift):INDEX($FK327:$ID327,SwaptionMonthsToGo+SwaptionShift))*SUM(INDEX($FK$325:$ID$396,GQ$169,1+SwaptionShift):INDEX($FK$325:$ID$396,GQ$169,SwaptionMonthsToGo+SwaptionShift))))))</f>
        <v/>
      </c>
      <c r="GR172" s="479" t="str">
        <f ca="1">IF(OR(GR$169&lt;SwaptionFirstMonthPosition+1,$FJ172&lt;SwaptionFirstMonthPosition+1,GR$169&gt;SwaptionFirstMonthPosition+SwaptionNumOfMonths+1,$FJ172&gt;SwaptionFirstMonthPosition+SwaptionNumOfMonths+1),"",IF($FJ172=GR$169,1,IF($FJ172&lt;GR$169,INDEX($FK$170:$ID$241,GR$169,$FJ172),SUMPRODUCT(INDEX($FK$325:$ID$396,GR$169,1+SwaptionShift):INDEX($FK$325:$ID$396,GR$169,SwaptionMonthsToGo+SwaptionShift),INDEX($FK$245:$ID$316,$FJ172-GR$169,73-GR$169+SwaptionShift):INDEX($FK$245:$ID$316,$FJ172-GR$169,72-GR$169+SwaptionMonthsToGo+SwaptionShift))/SQRT(SUM(INDEX($FK327:$ID327,1+SwaptionShift):INDEX($FK327:$ID327,SwaptionMonthsToGo+SwaptionShift))*SUM(INDEX($FK$325:$ID$396,GR$169,1+SwaptionShift):INDEX($FK$325:$ID$396,GR$169,SwaptionMonthsToGo+SwaptionShift))))))</f>
        <v/>
      </c>
      <c r="GS172" s="479" t="str">
        <f ca="1">IF(OR(GS$169&lt;SwaptionFirstMonthPosition+1,$FJ172&lt;SwaptionFirstMonthPosition+1,GS$169&gt;SwaptionFirstMonthPosition+SwaptionNumOfMonths+1,$FJ172&gt;SwaptionFirstMonthPosition+SwaptionNumOfMonths+1),"",IF($FJ172=GS$169,1,IF($FJ172&lt;GS$169,INDEX($FK$170:$ID$241,GS$169,$FJ172),SUMPRODUCT(INDEX($FK$325:$ID$396,GS$169,1+SwaptionShift):INDEX($FK$325:$ID$396,GS$169,SwaptionMonthsToGo+SwaptionShift),INDEX($FK$245:$ID$316,$FJ172-GS$169,73-GS$169+SwaptionShift):INDEX($FK$245:$ID$316,$FJ172-GS$169,72-GS$169+SwaptionMonthsToGo+SwaptionShift))/SQRT(SUM(INDEX($FK327:$ID327,1+SwaptionShift):INDEX($FK327:$ID327,SwaptionMonthsToGo+SwaptionShift))*SUM(INDEX($FK$325:$ID$396,GS$169,1+SwaptionShift):INDEX($FK$325:$ID$396,GS$169,SwaptionMonthsToGo+SwaptionShift))))))</f>
        <v/>
      </c>
      <c r="GT172" s="479" t="str">
        <f ca="1">IF(OR(GT$169&lt;SwaptionFirstMonthPosition+1,$FJ172&lt;SwaptionFirstMonthPosition+1,GT$169&gt;SwaptionFirstMonthPosition+SwaptionNumOfMonths+1,$FJ172&gt;SwaptionFirstMonthPosition+SwaptionNumOfMonths+1),"",IF($FJ172=GT$169,1,IF($FJ172&lt;GT$169,INDEX($FK$170:$ID$241,GT$169,$FJ172),SUMPRODUCT(INDEX($FK$325:$ID$396,GT$169,1+SwaptionShift):INDEX($FK$325:$ID$396,GT$169,SwaptionMonthsToGo+SwaptionShift),INDEX($FK$245:$ID$316,$FJ172-GT$169,73-GT$169+SwaptionShift):INDEX($FK$245:$ID$316,$FJ172-GT$169,72-GT$169+SwaptionMonthsToGo+SwaptionShift))/SQRT(SUM(INDEX($FK327:$ID327,1+SwaptionShift):INDEX($FK327:$ID327,SwaptionMonthsToGo+SwaptionShift))*SUM(INDEX($FK$325:$ID$396,GT$169,1+SwaptionShift):INDEX($FK$325:$ID$396,GT$169,SwaptionMonthsToGo+SwaptionShift))))))</f>
        <v/>
      </c>
      <c r="GU172" s="479" t="str">
        <f ca="1">IF(OR(GU$169&lt;SwaptionFirstMonthPosition+1,$FJ172&lt;SwaptionFirstMonthPosition+1,GU$169&gt;SwaptionFirstMonthPosition+SwaptionNumOfMonths+1,$FJ172&gt;SwaptionFirstMonthPosition+SwaptionNumOfMonths+1),"",IF($FJ172=GU$169,1,IF($FJ172&lt;GU$169,INDEX($FK$170:$ID$241,GU$169,$FJ172),SUMPRODUCT(INDEX($FK$325:$ID$396,GU$169,1+SwaptionShift):INDEX($FK$325:$ID$396,GU$169,SwaptionMonthsToGo+SwaptionShift),INDEX($FK$245:$ID$316,$FJ172-GU$169,73-GU$169+SwaptionShift):INDEX($FK$245:$ID$316,$FJ172-GU$169,72-GU$169+SwaptionMonthsToGo+SwaptionShift))/SQRT(SUM(INDEX($FK327:$ID327,1+SwaptionShift):INDEX($FK327:$ID327,SwaptionMonthsToGo+SwaptionShift))*SUM(INDEX($FK$325:$ID$396,GU$169,1+SwaptionShift):INDEX($FK$325:$ID$396,GU$169,SwaptionMonthsToGo+SwaptionShift))))))</f>
        <v/>
      </c>
      <c r="GV172" s="479" t="str">
        <f ca="1">IF(OR(GV$169&lt;SwaptionFirstMonthPosition+1,$FJ172&lt;SwaptionFirstMonthPosition+1,GV$169&gt;SwaptionFirstMonthPosition+SwaptionNumOfMonths+1,$FJ172&gt;SwaptionFirstMonthPosition+SwaptionNumOfMonths+1),"",IF($FJ172=GV$169,1,IF($FJ172&lt;GV$169,INDEX($FK$170:$ID$241,GV$169,$FJ172),SUMPRODUCT(INDEX($FK$325:$ID$396,GV$169,1+SwaptionShift):INDEX($FK$325:$ID$396,GV$169,SwaptionMonthsToGo+SwaptionShift),INDEX($FK$245:$ID$316,$FJ172-GV$169,73-GV$169+SwaptionShift):INDEX($FK$245:$ID$316,$FJ172-GV$169,72-GV$169+SwaptionMonthsToGo+SwaptionShift))/SQRT(SUM(INDEX($FK327:$ID327,1+SwaptionShift):INDEX($FK327:$ID327,SwaptionMonthsToGo+SwaptionShift))*SUM(INDEX($FK$325:$ID$396,GV$169,1+SwaptionShift):INDEX($FK$325:$ID$396,GV$169,SwaptionMonthsToGo+SwaptionShift))))))</f>
        <v/>
      </c>
      <c r="GW172" s="479" t="str">
        <f ca="1">IF(OR(GW$169&lt;SwaptionFirstMonthPosition+1,$FJ172&lt;SwaptionFirstMonthPosition+1,GW$169&gt;SwaptionFirstMonthPosition+SwaptionNumOfMonths+1,$FJ172&gt;SwaptionFirstMonthPosition+SwaptionNumOfMonths+1),"",IF($FJ172=GW$169,1,IF($FJ172&lt;GW$169,INDEX($FK$170:$ID$241,GW$169,$FJ172),SUMPRODUCT(INDEX($FK$325:$ID$396,GW$169,1+SwaptionShift):INDEX($FK$325:$ID$396,GW$169,SwaptionMonthsToGo+SwaptionShift),INDEX($FK$245:$ID$316,$FJ172-GW$169,73-GW$169+SwaptionShift):INDEX($FK$245:$ID$316,$FJ172-GW$169,72-GW$169+SwaptionMonthsToGo+SwaptionShift))/SQRT(SUM(INDEX($FK327:$ID327,1+SwaptionShift):INDEX($FK327:$ID327,SwaptionMonthsToGo+SwaptionShift))*SUM(INDEX($FK$325:$ID$396,GW$169,1+SwaptionShift):INDEX($FK$325:$ID$396,GW$169,SwaptionMonthsToGo+SwaptionShift))))))</f>
        <v/>
      </c>
      <c r="GX172" s="479" t="str">
        <f ca="1">IF(OR(GX$169&lt;SwaptionFirstMonthPosition+1,$FJ172&lt;SwaptionFirstMonthPosition+1,GX$169&gt;SwaptionFirstMonthPosition+SwaptionNumOfMonths+1,$FJ172&gt;SwaptionFirstMonthPosition+SwaptionNumOfMonths+1),"",IF($FJ172=GX$169,1,IF($FJ172&lt;GX$169,INDEX($FK$170:$ID$241,GX$169,$FJ172),SUMPRODUCT(INDEX($FK$325:$ID$396,GX$169,1+SwaptionShift):INDEX($FK$325:$ID$396,GX$169,SwaptionMonthsToGo+SwaptionShift),INDEX($FK$245:$ID$316,$FJ172-GX$169,73-GX$169+SwaptionShift):INDEX($FK$245:$ID$316,$FJ172-GX$169,72-GX$169+SwaptionMonthsToGo+SwaptionShift))/SQRT(SUM(INDEX($FK327:$ID327,1+SwaptionShift):INDEX($FK327:$ID327,SwaptionMonthsToGo+SwaptionShift))*SUM(INDEX($FK$325:$ID$396,GX$169,1+SwaptionShift):INDEX($FK$325:$ID$396,GX$169,SwaptionMonthsToGo+SwaptionShift))))))</f>
        <v/>
      </c>
      <c r="GY172" s="479" t="str">
        <f ca="1">IF(OR(GY$169&lt;SwaptionFirstMonthPosition+1,$FJ172&lt;SwaptionFirstMonthPosition+1,GY$169&gt;SwaptionFirstMonthPosition+SwaptionNumOfMonths+1,$FJ172&gt;SwaptionFirstMonthPosition+SwaptionNumOfMonths+1),"",IF($FJ172=GY$169,1,IF($FJ172&lt;GY$169,INDEX($FK$170:$ID$241,GY$169,$FJ172),SUMPRODUCT(INDEX($FK$325:$ID$396,GY$169,1+SwaptionShift):INDEX($FK$325:$ID$396,GY$169,SwaptionMonthsToGo+SwaptionShift),INDEX($FK$245:$ID$316,$FJ172-GY$169,73-GY$169+SwaptionShift):INDEX($FK$245:$ID$316,$FJ172-GY$169,72-GY$169+SwaptionMonthsToGo+SwaptionShift))/SQRT(SUM(INDEX($FK327:$ID327,1+SwaptionShift):INDEX($FK327:$ID327,SwaptionMonthsToGo+SwaptionShift))*SUM(INDEX($FK$325:$ID$396,GY$169,1+SwaptionShift):INDEX($FK$325:$ID$396,GY$169,SwaptionMonthsToGo+SwaptionShift))))))</f>
        <v/>
      </c>
      <c r="GZ172" s="479" t="str">
        <f ca="1">IF(OR(GZ$169&lt;SwaptionFirstMonthPosition+1,$FJ172&lt;SwaptionFirstMonthPosition+1,GZ$169&gt;SwaptionFirstMonthPosition+SwaptionNumOfMonths+1,$FJ172&gt;SwaptionFirstMonthPosition+SwaptionNumOfMonths+1),"",IF($FJ172=GZ$169,1,IF($FJ172&lt;GZ$169,INDEX($FK$170:$ID$241,GZ$169,$FJ172),SUMPRODUCT(INDEX($FK$325:$ID$396,GZ$169,1+SwaptionShift):INDEX($FK$325:$ID$396,GZ$169,SwaptionMonthsToGo+SwaptionShift),INDEX($FK$245:$ID$316,$FJ172-GZ$169,73-GZ$169+SwaptionShift):INDEX($FK$245:$ID$316,$FJ172-GZ$169,72-GZ$169+SwaptionMonthsToGo+SwaptionShift))/SQRT(SUM(INDEX($FK327:$ID327,1+SwaptionShift):INDEX($FK327:$ID327,SwaptionMonthsToGo+SwaptionShift))*SUM(INDEX($FK$325:$ID$396,GZ$169,1+SwaptionShift):INDEX($FK$325:$ID$396,GZ$169,SwaptionMonthsToGo+SwaptionShift))))))</f>
        <v/>
      </c>
      <c r="HA172" s="479" t="str">
        <f ca="1">IF(OR(HA$169&lt;SwaptionFirstMonthPosition+1,$FJ172&lt;SwaptionFirstMonthPosition+1,HA$169&gt;SwaptionFirstMonthPosition+SwaptionNumOfMonths+1,$FJ172&gt;SwaptionFirstMonthPosition+SwaptionNumOfMonths+1),"",IF($FJ172=HA$169,1,IF($FJ172&lt;HA$169,INDEX($FK$170:$ID$241,HA$169,$FJ172),SUMPRODUCT(INDEX($FK$325:$ID$396,HA$169,1+SwaptionShift):INDEX($FK$325:$ID$396,HA$169,SwaptionMonthsToGo+SwaptionShift),INDEX($FK$245:$ID$316,$FJ172-HA$169,73-HA$169+SwaptionShift):INDEX($FK$245:$ID$316,$FJ172-HA$169,72-HA$169+SwaptionMonthsToGo+SwaptionShift))/SQRT(SUM(INDEX($FK327:$ID327,1+SwaptionShift):INDEX($FK327:$ID327,SwaptionMonthsToGo+SwaptionShift))*SUM(INDEX($FK$325:$ID$396,HA$169,1+SwaptionShift):INDEX($FK$325:$ID$396,HA$169,SwaptionMonthsToGo+SwaptionShift))))))</f>
        <v/>
      </c>
      <c r="HB172" s="479" t="str">
        <f ca="1">IF(OR(HB$169&lt;SwaptionFirstMonthPosition+1,$FJ172&lt;SwaptionFirstMonthPosition+1,HB$169&gt;SwaptionFirstMonthPosition+SwaptionNumOfMonths+1,$FJ172&gt;SwaptionFirstMonthPosition+SwaptionNumOfMonths+1),"",IF($FJ172=HB$169,1,IF($FJ172&lt;HB$169,INDEX($FK$170:$ID$241,HB$169,$FJ172),SUMPRODUCT(INDEX($FK$325:$ID$396,HB$169,1+SwaptionShift):INDEX($FK$325:$ID$396,HB$169,SwaptionMonthsToGo+SwaptionShift),INDEX($FK$245:$ID$316,$FJ172-HB$169,73-HB$169+SwaptionShift):INDEX($FK$245:$ID$316,$FJ172-HB$169,72-HB$169+SwaptionMonthsToGo+SwaptionShift))/SQRT(SUM(INDEX($FK327:$ID327,1+SwaptionShift):INDEX($FK327:$ID327,SwaptionMonthsToGo+SwaptionShift))*SUM(INDEX($FK$325:$ID$396,HB$169,1+SwaptionShift):INDEX($FK$325:$ID$396,HB$169,SwaptionMonthsToGo+SwaptionShift))))))</f>
        <v/>
      </c>
      <c r="HC172" s="479" t="str">
        <f ca="1">IF(OR(HC$169&lt;SwaptionFirstMonthPosition+1,$FJ172&lt;SwaptionFirstMonthPosition+1,HC$169&gt;SwaptionFirstMonthPosition+SwaptionNumOfMonths+1,$FJ172&gt;SwaptionFirstMonthPosition+SwaptionNumOfMonths+1),"",IF($FJ172=HC$169,1,IF($FJ172&lt;HC$169,INDEX($FK$170:$ID$241,HC$169,$FJ172),SUMPRODUCT(INDEX($FK$325:$ID$396,HC$169,1+SwaptionShift):INDEX($FK$325:$ID$396,HC$169,SwaptionMonthsToGo+SwaptionShift),INDEX($FK$245:$ID$316,$FJ172-HC$169,73-HC$169+SwaptionShift):INDEX($FK$245:$ID$316,$FJ172-HC$169,72-HC$169+SwaptionMonthsToGo+SwaptionShift))/SQRT(SUM(INDEX($FK327:$ID327,1+SwaptionShift):INDEX($FK327:$ID327,SwaptionMonthsToGo+SwaptionShift))*SUM(INDEX($FK$325:$ID$396,HC$169,1+SwaptionShift):INDEX($FK$325:$ID$396,HC$169,SwaptionMonthsToGo+SwaptionShift))))))</f>
        <v/>
      </c>
      <c r="HD172" s="479" t="str">
        <f ca="1">IF(OR(HD$169&lt;SwaptionFirstMonthPosition+1,$FJ172&lt;SwaptionFirstMonthPosition+1,HD$169&gt;SwaptionFirstMonthPosition+SwaptionNumOfMonths+1,$FJ172&gt;SwaptionFirstMonthPosition+SwaptionNumOfMonths+1),"",IF($FJ172=HD$169,1,IF($FJ172&lt;HD$169,INDEX($FK$170:$ID$241,HD$169,$FJ172),SUMPRODUCT(INDEX($FK$325:$ID$396,HD$169,1+SwaptionShift):INDEX($FK$325:$ID$396,HD$169,SwaptionMonthsToGo+SwaptionShift),INDEX($FK$245:$ID$316,$FJ172-HD$169,73-HD$169+SwaptionShift):INDEX($FK$245:$ID$316,$FJ172-HD$169,72-HD$169+SwaptionMonthsToGo+SwaptionShift))/SQRT(SUM(INDEX($FK327:$ID327,1+SwaptionShift):INDEX($FK327:$ID327,SwaptionMonthsToGo+SwaptionShift))*SUM(INDEX($FK$325:$ID$396,HD$169,1+SwaptionShift):INDEX($FK$325:$ID$396,HD$169,SwaptionMonthsToGo+SwaptionShift))))))</f>
        <v/>
      </c>
      <c r="HE172" s="479" t="str">
        <f ca="1">IF(OR(HE$169&lt;SwaptionFirstMonthPosition+1,$FJ172&lt;SwaptionFirstMonthPosition+1,HE$169&gt;SwaptionFirstMonthPosition+SwaptionNumOfMonths+1,$FJ172&gt;SwaptionFirstMonthPosition+SwaptionNumOfMonths+1),"",IF($FJ172=HE$169,1,IF($FJ172&lt;HE$169,INDEX($FK$170:$ID$241,HE$169,$FJ172),SUMPRODUCT(INDEX($FK$325:$ID$396,HE$169,1+SwaptionShift):INDEX($FK$325:$ID$396,HE$169,SwaptionMonthsToGo+SwaptionShift),INDEX($FK$245:$ID$316,$FJ172-HE$169,73-HE$169+SwaptionShift):INDEX($FK$245:$ID$316,$FJ172-HE$169,72-HE$169+SwaptionMonthsToGo+SwaptionShift))/SQRT(SUM(INDEX($FK327:$ID327,1+SwaptionShift):INDEX($FK327:$ID327,SwaptionMonthsToGo+SwaptionShift))*SUM(INDEX($FK$325:$ID$396,HE$169,1+SwaptionShift):INDEX($FK$325:$ID$396,HE$169,SwaptionMonthsToGo+SwaptionShift))))))</f>
        <v/>
      </c>
      <c r="HF172" s="479" t="str">
        <f ca="1">IF(OR(HF$169&lt;SwaptionFirstMonthPosition+1,$FJ172&lt;SwaptionFirstMonthPosition+1,HF$169&gt;SwaptionFirstMonthPosition+SwaptionNumOfMonths+1,$FJ172&gt;SwaptionFirstMonthPosition+SwaptionNumOfMonths+1),"",IF($FJ172=HF$169,1,IF($FJ172&lt;HF$169,INDEX($FK$170:$ID$241,HF$169,$FJ172),SUMPRODUCT(INDEX($FK$325:$ID$396,HF$169,1+SwaptionShift):INDEX($FK$325:$ID$396,HF$169,SwaptionMonthsToGo+SwaptionShift),INDEX($FK$245:$ID$316,$FJ172-HF$169,73-HF$169+SwaptionShift):INDEX($FK$245:$ID$316,$FJ172-HF$169,72-HF$169+SwaptionMonthsToGo+SwaptionShift))/SQRT(SUM(INDEX($FK327:$ID327,1+SwaptionShift):INDEX($FK327:$ID327,SwaptionMonthsToGo+SwaptionShift))*SUM(INDEX($FK$325:$ID$396,HF$169,1+SwaptionShift):INDEX($FK$325:$ID$396,HF$169,SwaptionMonthsToGo+SwaptionShift))))))</f>
        <v/>
      </c>
      <c r="HG172" s="479" t="str">
        <f ca="1">IF(OR(HG$169&lt;SwaptionFirstMonthPosition+1,$FJ172&lt;SwaptionFirstMonthPosition+1,HG$169&gt;SwaptionFirstMonthPosition+SwaptionNumOfMonths+1,$FJ172&gt;SwaptionFirstMonthPosition+SwaptionNumOfMonths+1),"",IF($FJ172=HG$169,1,IF($FJ172&lt;HG$169,INDEX($FK$170:$ID$241,HG$169,$FJ172),SUMPRODUCT(INDEX($FK$325:$ID$396,HG$169,1+SwaptionShift):INDEX($FK$325:$ID$396,HG$169,SwaptionMonthsToGo+SwaptionShift),INDEX($FK$245:$ID$316,$FJ172-HG$169,73-HG$169+SwaptionShift):INDEX($FK$245:$ID$316,$FJ172-HG$169,72-HG$169+SwaptionMonthsToGo+SwaptionShift))/SQRT(SUM(INDEX($FK327:$ID327,1+SwaptionShift):INDEX($FK327:$ID327,SwaptionMonthsToGo+SwaptionShift))*SUM(INDEX($FK$325:$ID$396,HG$169,1+SwaptionShift):INDEX($FK$325:$ID$396,HG$169,SwaptionMonthsToGo+SwaptionShift))))))</f>
        <v/>
      </c>
      <c r="HH172" s="479" t="str">
        <f ca="1">IF(OR(HH$169&lt;SwaptionFirstMonthPosition+1,$FJ172&lt;SwaptionFirstMonthPosition+1,HH$169&gt;SwaptionFirstMonthPosition+SwaptionNumOfMonths+1,$FJ172&gt;SwaptionFirstMonthPosition+SwaptionNumOfMonths+1),"",IF($FJ172=HH$169,1,IF($FJ172&lt;HH$169,INDEX($FK$170:$ID$241,HH$169,$FJ172),SUMPRODUCT(INDEX($FK$325:$ID$396,HH$169,1+SwaptionShift):INDEX($FK$325:$ID$396,HH$169,SwaptionMonthsToGo+SwaptionShift),INDEX($FK$245:$ID$316,$FJ172-HH$169,73-HH$169+SwaptionShift):INDEX($FK$245:$ID$316,$FJ172-HH$169,72-HH$169+SwaptionMonthsToGo+SwaptionShift))/SQRT(SUM(INDEX($FK327:$ID327,1+SwaptionShift):INDEX($FK327:$ID327,SwaptionMonthsToGo+SwaptionShift))*SUM(INDEX($FK$325:$ID$396,HH$169,1+SwaptionShift):INDEX($FK$325:$ID$396,HH$169,SwaptionMonthsToGo+SwaptionShift))))))</f>
        <v/>
      </c>
      <c r="HI172" s="479" t="str">
        <f ca="1">IF(OR(HI$169&lt;SwaptionFirstMonthPosition+1,$FJ172&lt;SwaptionFirstMonthPosition+1,HI$169&gt;SwaptionFirstMonthPosition+SwaptionNumOfMonths+1,$FJ172&gt;SwaptionFirstMonthPosition+SwaptionNumOfMonths+1),"",IF($FJ172=HI$169,1,IF($FJ172&lt;HI$169,INDEX($FK$170:$ID$241,HI$169,$FJ172),SUMPRODUCT(INDEX($FK$325:$ID$396,HI$169,1+SwaptionShift):INDEX($FK$325:$ID$396,HI$169,SwaptionMonthsToGo+SwaptionShift),INDEX($FK$245:$ID$316,$FJ172-HI$169,73-HI$169+SwaptionShift):INDEX($FK$245:$ID$316,$FJ172-HI$169,72-HI$169+SwaptionMonthsToGo+SwaptionShift))/SQRT(SUM(INDEX($FK327:$ID327,1+SwaptionShift):INDEX($FK327:$ID327,SwaptionMonthsToGo+SwaptionShift))*SUM(INDEX($FK$325:$ID$396,HI$169,1+SwaptionShift):INDEX($FK$325:$ID$396,HI$169,SwaptionMonthsToGo+SwaptionShift))))))</f>
        <v/>
      </c>
      <c r="HJ172" s="479" t="str">
        <f ca="1">IF(OR(HJ$169&lt;SwaptionFirstMonthPosition+1,$FJ172&lt;SwaptionFirstMonthPosition+1,HJ$169&gt;SwaptionFirstMonthPosition+SwaptionNumOfMonths+1,$FJ172&gt;SwaptionFirstMonthPosition+SwaptionNumOfMonths+1),"",IF($FJ172=HJ$169,1,IF($FJ172&lt;HJ$169,INDEX($FK$170:$ID$241,HJ$169,$FJ172),SUMPRODUCT(INDEX($FK$325:$ID$396,HJ$169,1+SwaptionShift):INDEX($FK$325:$ID$396,HJ$169,SwaptionMonthsToGo+SwaptionShift),INDEX($FK$245:$ID$316,$FJ172-HJ$169,73-HJ$169+SwaptionShift):INDEX($FK$245:$ID$316,$FJ172-HJ$169,72-HJ$169+SwaptionMonthsToGo+SwaptionShift))/SQRT(SUM(INDEX($FK327:$ID327,1+SwaptionShift):INDEX($FK327:$ID327,SwaptionMonthsToGo+SwaptionShift))*SUM(INDEX($FK$325:$ID$396,HJ$169,1+SwaptionShift):INDEX($FK$325:$ID$396,HJ$169,SwaptionMonthsToGo+SwaptionShift))))))</f>
        <v/>
      </c>
      <c r="HK172" s="479" t="str">
        <f ca="1">IF(OR(HK$169&lt;SwaptionFirstMonthPosition+1,$FJ172&lt;SwaptionFirstMonthPosition+1,HK$169&gt;SwaptionFirstMonthPosition+SwaptionNumOfMonths+1,$FJ172&gt;SwaptionFirstMonthPosition+SwaptionNumOfMonths+1),"",IF($FJ172=HK$169,1,IF($FJ172&lt;HK$169,INDEX($FK$170:$ID$241,HK$169,$FJ172),SUMPRODUCT(INDEX($FK$325:$ID$396,HK$169,1+SwaptionShift):INDEX($FK$325:$ID$396,HK$169,SwaptionMonthsToGo+SwaptionShift),INDEX($FK$245:$ID$316,$FJ172-HK$169,73-HK$169+SwaptionShift):INDEX($FK$245:$ID$316,$FJ172-HK$169,72-HK$169+SwaptionMonthsToGo+SwaptionShift))/SQRT(SUM(INDEX($FK327:$ID327,1+SwaptionShift):INDEX($FK327:$ID327,SwaptionMonthsToGo+SwaptionShift))*SUM(INDEX($FK$325:$ID$396,HK$169,1+SwaptionShift):INDEX($FK$325:$ID$396,HK$169,SwaptionMonthsToGo+SwaptionShift))))))</f>
        <v/>
      </c>
      <c r="HL172" s="479" t="str">
        <f ca="1">IF(OR(HL$169&lt;SwaptionFirstMonthPosition+1,$FJ172&lt;SwaptionFirstMonthPosition+1,HL$169&gt;SwaptionFirstMonthPosition+SwaptionNumOfMonths+1,$FJ172&gt;SwaptionFirstMonthPosition+SwaptionNumOfMonths+1),"",IF($FJ172=HL$169,1,IF($FJ172&lt;HL$169,INDEX($FK$170:$ID$241,HL$169,$FJ172),SUMPRODUCT(INDEX($FK$325:$ID$396,HL$169,1+SwaptionShift):INDEX($FK$325:$ID$396,HL$169,SwaptionMonthsToGo+SwaptionShift),INDEX($FK$245:$ID$316,$FJ172-HL$169,73-HL$169+SwaptionShift):INDEX($FK$245:$ID$316,$FJ172-HL$169,72-HL$169+SwaptionMonthsToGo+SwaptionShift))/SQRT(SUM(INDEX($FK327:$ID327,1+SwaptionShift):INDEX($FK327:$ID327,SwaptionMonthsToGo+SwaptionShift))*SUM(INDEX($FK$325:$ID$396,HL$169,1+SwaptionShift):INDEX($FK$325:$ID$396,HL$169,SwaptionMonthsToGo+SwaptionShift))))))</f>
        <v/>
      </c>
      <c r="HM172" s="479" t="str">
        <f ca="1">IF(OR(HM$169&lt;SwaptionFirstMonthPosition+1,$FJ172&lt;SwaptionFirstMonthPosition+1,HM$169&gt;SwaptionFirstMonthPosition+SwaptionNumOfMonths+1,$FJ172&gt;SwaptionFirstMonthPosition+SwaptionNumOfMonths+1),"",IF($FJ172=HM$169,1,IF($FJ172&lt;HM$169,INDEX($FK$170:$ID$241,HM$169,$FJ172),SUMPRODUCT(INDEX($FK$325:$ID$396,HM$169,1+SwaptionShift):INDEX($FK$325:$ID$396,HM$169,SwaptionMonthsToGo+SwaptionShift),INDEX($FK$245:$ID$316,$FJ172-HM$169,73-HM$169+SwaptionShift):INDEX($FK$245:$ID$316,$FJ172-HM$169,72-HM$169+SwaptionMonthsToGo+SwaptionShift))/SQRT(SUM(INDEX($FK327:$ID327,1+SwaptionShift):INDEX($FK327:$ID327,SwaptionMonthsToGo+SwaptionShift))*SUM(INDEX($FK$325:$ID$396,HM$169,1+SwaptionShift):INDEX($FK$325:$ID$396,HM$169,SwaptionMonthsToGo+SwaptionShift))))))</f>
        <v/>
      </c>
      <c r="HN172" s="479" t="str">
        <f ca="1">IF(OR(HN$169&lt;SwaptionFirstMonthPosition+1,$FJ172&lt;SwaptionFirstMonthPosition+1,HN$169&gt;SwaptionFirstMonthPosition+SwaptionNumOfMonths+1,$FJ172&gt;SwaptionFirstMonthPosition+SwaptionNumOfMonths+1),"",IF($FJ172=HN$169,1,IF($FJ172&lt;HN$169,INDEX($FK$170:$ID$241,HN$169,$FJ172),SUMPRODUCT(INDEX($FK$325:$ID$396,HN$169,1+SwaptionShift):INDEX($FK$325:$ID$396,HN$169,SwaptionMonthsToGo+SwaptionShift),INDEX($FK$245:$ID$316,$FJ172-HN$169,73-HN$169+SwaptionShift):INDEX($FK$245:$ID$316,$FJ172-HN$169,72-HN$169+SwaptionMonthsToGo+SwaptionShift))/SQRT(SUM(INDEX($FK327:$ID327,1+SwaptionShift):INDEX($FK327:$ID327,SwaptionMonthsToGo+SwaptionShift))*SUM(INDEX($FK$325:$ID$396,HN$169,1+SwaptionShift):INDEX($FK$325:$ID$396,HN$169,SwaptionMonthsToGo+SwaptionShift))))))</f>
        <v/>
      </c>
      <c r="HO172" s="479" t="str">
        <f ca="1">IF(OR(HO$169&lt;SwaptionFirstMonthPosition+1,$FJ172&lt;SwaptionFirstMonthPosition+1,HO$169&gt;SwaptionFirstMonthPosition+SwaptionNumOfMonths+1,$FJ172&gt;SwaptionFirstMonthPosition+SwaptionNumOfMonths+1),"",IF($FJ172=HO$169,1,IF($FJ172&lt;HO$169,INDEX($FK$170:$ID$241,HO$169,$FJ172),SUMPRODUCT(INDEX($FK$325:$ID$396,HO$169,1+SwaptionShift):INDEX($FK$325:$ID$396,HO$169,SwaptionMonthsToGo+SwaptionShift),INDEX($FK$245:$ID$316,$FJ172-HO$169,73-HO$169+SwaptionShift):INDEX($FK$245:$ID$316,$FJ172-HO$169,72-HO$169+SwaptionMonthsToGo+SwaptionShift))/SQRT(SUM(INDEX($FK327:$ID327,1+SwaptionShift):INDEX($FK327:$ID327,SwaptionMonthsToGo+SwaptionShift))*SUM(INDEX($FK$325:$ID$396,HO$169,1+SwaptionShift):INDEX($FK$325:$ID$396,HO$169,SwaptionMonthsToGo+SwaptionShift))))))</f>
        <v/>
      </c>
      <c r="HP172" s="479" t="str">
        <f ca="1">IF(OR(HP$169&lt;SwaptionFirstMonthPosition+1,$FJ172&lt;SwaptionFirstMonthPosition+1,HP$169&gt;SwaptionFirstMonthPosition+SwaptionNumOfMonths+1,$FJ172&gt;SwaptionFirstMonthPosition+SwaptionNumOfMonths+1),"",IF($FJ172=HP$169,1,IF($FJ172&lt;HP$169,INDEX($FK$170:$ID$241,HP$169,$FJ172),SUMPRODUCT(INDEX($FK$325:$ID$396,HP$169,1+SwaptionShift):INDEX($FK$325:$ID$396,HP$169,SwaptionMonthsToGo+SwaptionShift),INDEX($FK$245:$ID$316,$FJ172-HP$169,73-HP$169+SwaptionShift):INDEX($FK$245:$ID$316,$FJ172-HP$169,72-HP$169+SwaptionMonthsToGo+SwaptionShift))/SQRT(SUM(INDEX($FK327:$ID327,1+SwaptionShift):INDEX($FK327:$ID327,SwaptionMonthsToGo+SwaptionShift))*SUM(INDEX($FK$325:$ID$396,HP$169,1+SwaptionShift):INDEX($FK$325:$ID$396,HP$169,SwaptionMonthsToGo+SwaptionShift))))))</f>
        <v/>
      </c>
      <c r="HQ172" s="479" t="str">
        <f ca="1">IF(OR(HQ$169&lt;SwaptionFirstMonthPosition+1,$FJ172&lt;SwaptionFirstMonthPosition+1,HQ$169&gt;SwaptionFirstMonthPosition+SwaptionNumOfMonths+1,$FJ172&gt;SwaptionFirstMonthPosition+SwaptionNumOfMonths+1),"",IF($FJ172=HQ$169,1,IF($FJ172&lt;HQ$169,INDEX($FK$170:$ID$241,HQ$169,$FJ172),SUMPRODUCT(INDEX($FK$325:$ID$396,HQ$169,1+SwaptionShift):INDEX($FK$325:$ID$396,HQ$169,SwaptionMonthsToGo+SwaptionShift),INDEX($FK$245:$ID$316,$FJ172-HQ$169,73-HQ$169+SwaptionShift):INDEX($FK$245:$ID$316,$FJ172-HQ$169,72-HQ$169+SwaptionMonthsToGo+SwaptionShift))/SQRT(SUM(INDEX($FK327:$ID327,1+SwaptionShift):INDEX($FK327:$ID327,SwaptionMonthsToGo+SwaptionShift))*SUM(INDEX($FK$325:$ID$396,HQ$169,1+SwaptionShift):INDEX($FK$325:$ID$396,HQ$169,SwaptionMonthsToGo+SwaptionShift))))))</f>
        <v/>
      </c>
      <c r="HR172" s="479" t="str">
        <f ca="1">IF(OR(HR$169&lt;SwaptionFirstMonthPosition+1,$FJ172&lt;SwaptionFirstMonthPosition+1,HR$169&gt;SwaptionFirstMonthPosition+SwaptionNumOfMonths+1,$FJ172&gt;SwaptionFirstMonthPosition+SwaptionNumOfMonths+1),"",IF($FJ172=HR$169,1,IF($FJ172&lt;HR$169,INDEX($FK$170:$ID$241,HR$169,$FJ172),SUMPRODUCT(INDEX($FK$325:$ID$396,HR$169,1+SwaptionShift):INDEX($FK$325:$ID$396,HR$169,SwaptionMonthsToGo+SwaptionShift),INDEX($FK$245:$ID$316,$FJ172-HR$169,73-HR$169+SwaptionShift):INDEX($FK$245:$ID$316,$FJ172-HR$169,72-HR$169+SwaptionMonthsToGo+SwaptionShift))/SQRT(SUM(INDEX($FK327:$ID327,1+SwaptionShift):INDEX($FK327:$ID327,SwaptionMonthsToGo+SwaptionShift))*SUM(INDEX($FK$325:$ID$396,HR$169,1+SwaptionShift):INDEX($FK$325:$ID$396,HR$169,SwaptionMonthsToGo+SwaptionShift))))))</f>
        <v/>
      </c>
      <c r="HS172" s="479" t="str">
        <f ca="1">IF(OR(HS$169&lt;SwaptionFirstMonthPosition+1,$FJ172&lt;SwaptionFirstMonthPosition+1,HS$169&gt;SwaptionFirstMonthPosition+SwaptionNumOfMonths+1,$FJ172&gt;SwaptionFirstMonthPosition+SwaptionNumOfMonths+1),"",IF($FJ172=HS$169,1,IF($FJ172&lt;HS$169,INDEX($FK$170:$ID$241,HS$169,$FJ172),SUMPRODUCT(INDEX($FK$325:$ID$396,HS$169,1+SwaptionShift):INDEX($FK$325:$ID$396,HS$169,SwaptionMonthsToGo+SwaptionShift),INDEX($FK$245:$ID$316,$FJ172-HS$169,73-HS$169+SwaptionShift):INDEX($FK$245:$ID$316,$FJ172-HS$169,72-HS$169+SwaptionMonthsToGo+SwaptionShift))/SQRT(SUM(INDEX($FK327:$ID327,1+SwaptionShift):INDEX($FK327:$ID327,SwaptionMonthsToGo+SwaptionShift))*SUM(INDEX($FK$325:$ID$396,HS$169,1+SwaptionShift):INDEX($FK$325:$ID$396,HS$169,SwaptionMonthsToGo+SwaptionShift))))))</f>
        <v/>
      </c>
      <c r="HT172" s="479" t="str">
        <f ca="1">IF(OR(HT$169&lt;SwaptionFirstMonthPosition+1,$FJ172&lt;SwaptionFirstMonthPosition+1,HT$169&gt;SwaptionFirstMonthPosition+SwaptionNumOfMonths+1,$FJ172&gt;SwaptionFirstMonthPosition+SwaptionNumOfMonths+1),"",IF($FJ172=HT$169,1,IF($FJ172&lt;HT$169,INDEX($FK$170:$ID$241,HT$169,$FJ172),SUMPRODUCT(INDEX($FK$325:$ID$396,HT$169,1+SwaptionShift):INDEX($FK$325:$ID$396,HT$169,SwaptionMonthsToGo+SwaptionShift),INDEX($FK$245:$ID$316,$FJ172-HT$169,73-HT$169+SwaptionShift):INDEX($FK$245:$ID$316,$FJ172-HT$169,72-HT$169+SwaptionMonthsToGo+SwaptionShift))/SQRT(SUM(INDEX($FK327:$ID327,1+SwaptionShift):INDEX($FK327:$ID327,SwaptionMonthsToGo+SwaptionShift))*SUM(INDEX($FK$325:$ID$396,HT$169,1+SwaptionShift):INDEX($FK$325:$ID$396,HT$169,SwaptionMonthsToGo+SwaptionShift))))))</f>
        <v/>
      </c>
      <c r="HU172" s="479" t="str">
        <f ca="1">IF(OR(HU$169&lt;SwaptionFirstMonthPosition+1,$FJ172&lt;SwaptionFirstMonthPosition+1,HU$169&gt;SwaptionFirstMonthPosition+SwaptionNumOfMonths+1,$FJ172&gt;SwaptionFirstMonthPosition+SwaptionNumOfMonths+1),"",IF($FJ172=HU$169,1,IF($FJ172&lt;HU$169,INDEX($FK$170:$ID$241,HU$169,$FJ172),SUMPRODUCT(INDEX($FK$325:$ID$396,HU$169,1+SwaptionShift):INDEX($FK$325:$ID$396,HU$169,SwaptionMonthsToGo+SwaptionShift),INDEX($FK$245:$ID$316,$FJ172-HU$169,73-HU$169+SwaptionShift):INDEX($FK$245:$ID$316,$FJ172-HU$169,72-HU$169+SwaptionMonthsToGo+SwaptionShift))/SQRT(SUM(INDEX($FK327:$ID327,1+SwaptionShift):INDEX($FK327:$ID327,SwaptionMonthsToGo+SwaptionShift))*SUM(INDEX($FK$325:$ID$396,HU$169,1+SwaptionShift):INDEX($FK$325:$ID$396,HU$169,SwaptionMonthsToGo+SwaptionShift))))))</f>
        <v/>
      </c>
      <c r="HV172" s="479" t="str">
        <f ca="1">IF(OR(HV$169&lt;SwaptionFirstMonthPosition+1,$FJ172&lt;SwaptionFirstMonthPosition+1,HV$169&gt;SwaptionFirstMonthPosition+SwaptionNumOfMonths+1,$FJ172&gt;SwaptionFirstMonthPosition+SwaptionNumOfMonths+1),"",IF($FJ172=HV$169,1,IF($FJ172&lt;HV$169,INDEX($FK$170:$ID$241,HV$169,$FJ172),SUMPRODUCT(INDEX($FK$325:$ID$396,HV$169,1+SwaptionShift):INDEX($FK$325:$ID$396,HV$169,SwaptionMonthsToGo+SwaptionShift),INDEX($FK$245:$ID$316,$FJ172-HV$169,73-HV$169+SwaptionShift):INDEX($FK$245:$ID$316,$FJ172-HV$169,72-HV$169+SwaptionMonthsToGo+SwaptionShift))/SQRT(SUM(INDEX($FK327:$ID327,1+SwaptionShift):INDEX($FK327:$ID327,SwaptionMonthsToGo+SwaptionShift))*SUM(INDEX($FK$325:$ID$396,HV$169,1+SwaptionShift):INDEX($FK$325:$ID$396,HV$169,SwaptionMonthsToGo+SwaptionShift))))))</f>
        <v/>
      </c>
      <c r="HW172" s="479" t="str">
        <f ca="1">IF(OR(HW$169&lt;SwaptionFirstMonthPosition+1,$FJ172&lt;SwaptionFirstMonthPosition+1,HW$169&gt;SwaptionFirstMonthPosition+SwaptionNumOfMonths+1,$FJ172&gt;SwaptionFirstMonthPosition+SwaptionNumOfMonths+1),"",IF($FJ172=HW$169,1,IF($FJ172&lt;HW$169,INDEX($FK$170:$ID$241,HW$169,$FJ172),SUMPRODUCT(INDEX($FK$325:$ID$396,HW$169,1+SwaptionShift):INDEX($FK$325:$ID$396,HW$169,SwaptionMonthsToGo+SwaptionShift),INDEX($FK$245:$ID$316,$FJ172-HW$169,73-HW$169+SwaptionShift):INDEX($FK$245:$ID$316,$FJ172-HW$169,72-HW$169+SwaptionMonthsToGo+SwaptionShift))/SQRT(SUM(INDEX($FK327:$ID327,1+SwaptionShift):INDEX($FK327:$ID327,SwaptionMonthsToGo+SwaptionShift))*SUM(INDEX($FK$325:$ID$396,HW$169,1+SwaptionShift):INDEX($FK$325:$ID$396,HW$169,SwaptionMonthsToGo+SwaptionShift))))))</f>
        <v/>
      </c>
      <c r="HX172" s="479" t="str">
        <f ca="1">IF(OR(HX$169&lt;SwaptionFirstMonthPosition+1,$FJ172&lt;SwaptionFirstMonthPosition+1,HX$169&gt;SwaptionFirstMonthPosition+SwaptionNumOfMonths+1,$FJ172&gt;SwaptionFirstMonthPosition+SwaptionNumOfMonths+1),"",IF($FJ172=HX$169,1,IF($FJ172&lt;HX$169,INDEX($FK$170:$ID$241,HX$169,$FJ172),SUMPRODUCT(INDEX($FK$325:$ID$396,HX$169,1+SwaptionShift):INDEX($FK$325:$ID$396,HX$169,SwaptionMonthsToGo+SwaptionShift),INDEX($FK$245:$ID$316,$FJ172-HX$169,73-HX$169+SwaptionShift):INDEX($FK$245:$ID$316,$FJ172-HX$169,72-HX$169+SwaptionMonthsToGo+SwaptionShift))/SQRT(SUM(INDEX($FK327:$ID327,1+SwaptionShift):INDEX($FK327:$ID327,SwaptionMonthsToGo+SwaptionShift))*SUM(INDEX($FK$325:$ID$396,HX$169,1+SwaptionShift):INDEX($FK$325:$ID$396,HX$169,SwaptionMonthsToGo+SwaptionShift))))))</f>
        <v/>
      </c>
      <c r="HY172" s="479" t="str">
        <f ca="1">IF(OR(HY$169&lt;SwaptionFirstMonthPosition+1,$FJ172&lt;SwaptionFirstMonthPosition+1,HY$169&gt;SwaptionFirstMonthPosition+SwaptionNumOfMonths+1,$FJ172&gt;SwaptionFirstMonthPosition+SwaptionNumOfMonths+1),"",IF($FJ172=HY$169,1,IF($FJ172&lt;HY$169,INDEX($FK$170:$ID$241,HY$169,$FJ172),SUMPRODUCT(INDEX($FK$325:$ID$396,HY$169,1+SwaptionShift):INDEX($FK$325:$ID$396,HY$169,SwaptionMonthsToGo+SwaptionShift),INDEX($FK$245:$ID$316,$FJ172-HY$169,73-HY$169+SwaptionShift):INDEX($FK$245:$ID$316,$FJ172-HY$169,72-HY$169+SwaptionMonthsToGo+SwaptionShift))/SQRT(SUM(INDEX($FK327:$ID327,1+SwaptionShift):INDEX($FK327:$ID327,SwaptionMonthsToGo+SwaptionShift))*SUM(INDEX($FK$325:$ID$396,HY$169,1+SwaptionShift):INDEX($FK$325:$ID$396,HY$169,SwaptionMonthsToGo+SwaptionShift))))))</f>
        <v/>
      </c>
      <c r="HZ172" s="479" t="str">
        <f ca="1">IF(OR(HZ$169&lt;SwaptionFirstMonthPosition+1,$FJ172&lt;SwaptionFirstMonthPosition+1,HZ$169&gt;SwaptionFirstMonthPosition+SwaptionNumOfMonths+1,$FJ172&gt;SwaptionFirstMonthPosition+SwaptionNumOfMonths+1),"",IF($FJ172=HZ$169,1,IF($FJ172&lt;HZ$169,INDEX($FK$170:$ID$241,HZ$169,$FJ172),SUMPRODUCT(INDEX($FK$325:$ID$396,HZ$169,1+SwaptionShift):INDEX($FK$325:$ID$396,HZ$169,SwaptionMonthsToGo+SwaptionShift),INDEX($FK$245:$ID$316,$FJ172-HZ$169,73-HZ$169+SwaptionShift):INDEX($FK$245:$ID$316,$FJ172-HZ$169,72-HZ$169+SwaptionMonthsToGo+SwaptionShift))/SQRT(SUM(INDEX($FK327:$ID327,1+SwaptionShift):INDEX($FK327:$ID327,SwaptionMonthsToGo+SwaptionShift))*SUM(INDEX($FK$325:$ID$396,HZ$169,1+SwaptionShift):INDEX($FK$325:$ID$396,HZ$169,SwaptionMonthsToGo+SwaptionShift))))))</f>
        <v/>
      </c>
      <c r="IA172" s="479" t="str">
        <f ca="1">IF(OR(IA$169&lt;SwaptionFirstMonthPosition+1,$FJ172&lt;SwaptionFirstMonthPosition+1,IA$169&gt;SwaptionFirstMonthPosition+SwaptionNumOfMonths+1,$FJ172&gt;SwaptionFirstMonthPosition+SwaptionNumOfMonths+1),"",IF($FJ172=IA$169,1,IF($FJ172&lt;IA$169,INDEX($FK$170:$ID$241,IA$169,$FJ172),SUMPRODUCT(INDEX($FK$325:$ID$396,IA$169,1+SwaptionShift):INDEX($FK$325:$ID$396,IA$169,SwaptionMonthsToGo+SwaptionShift),INDEX($FK$245:$ID$316,$FJ172-IA$169,73-IA$169+SwaptionShift):INDEX($FK$245:$ID$316,$FJ172-IA$169,72-IA$169+SwaptionMonthsToGo+SwaptionShift))/SQRT(SUM(INDEX($FK327:$ID327,1+SwaptionShift):INDEX($FK327:$ID327,SwaptionMonthsToGo+SwaptionShift))*SUM(INDEX($FK$325:$ID$396,IA$169,1+SwaptionShift):INDEX($FK$325:$ID$396,IA$169,SwaptionMonthsToGo+SwaptionShift))))))</f>
        <v/>
      </c>
      <c r="IB172" s="479" t="str">
        <f ca="1">IF(OR(IB$169&lt;SwaptionFirstMonthPosition+1,$FJ172&lt;SwaptionFirstMonthPosition+1,IB$169&gt;SwaptionFirstMonthPosition+SwaptionNumOfMonths+1,$FJ172&gt;SwaptionFirstMonthPosition+SwaptionNumOfMonths+1),"",IF($FJ172=IB$169,1,IF($FJ172&lt;IB$169,INDEX($FK$170:$ID$241,IB$169,$FJ172),SUMPRODUCT(INDEX($FK$325:$ID$396,IB$169,1+SwaptionShift):INDEX($FK$325:$ID$396,IB$169,SwaptionMonthsToGo+SwaptionShift),INDEX($FK$245:$ID$316,$FJ172-IB$169,73-IB$169+SwaptionShift):INDEX($FK$245:$ID$316,$FJ172-IB$169,72-IB$169+SwaptionMonthsToGo+SwaptionShift))/SQRT(SUM(INDEX($FK327:$ID327,1+SwaptionShift):INDEX($FK327:$ID327,SwaptionMonthsToGo+SwaptionShift))*SUM(INDEX($FK$325:$ID$396,IB$169,1+SwaptionShift):INDEX($FK$325:$ID$396,IB$169,SwaptionMonthsToGo+SwaptionShift))))))</f>
        <v/>
      </c>
      <c r="IC172" s="479" t="str">
        <f ca="1">IF(OR(IC$169&lt;SwaptionFirstMonthPosition+1,$FJ172&lt;SwaptionFirstMonthPosition+1,IC$169&gt;SwaptionFirstMonthPosition+SwaptionNumOfMonths+1,$FJ172&gt;SwaptionFirstMonthPosition+SwaptionNumOfMonths+1),"",IF($FJ172=IC$169,1,IF($FJ172&lt;IC$169,INDEX($FK$170:$ID$241,IC$169,$FJ172),SUMPRODUCT(INDEX($FK$325:$ID$396,IC$169,1+SwaptionShift):INDEX($FK$325:$ID$396,IC$169,SwaptionMonthsToGo+SwaptionShift),INDEX($FK$245:$ID$316,$FJ172-IC$169,73-IC$169+SwaptionShift):INDEX($FK$245:$ID$316,$FJ172-IC$169,72-IC$169+SwaptionMonthsToGo+SwaptionShift))/SQRT(SUM(INDEX($FK327:$ID327,1+SwaptionShift):INDEX($FK327:$ID327,SwaptionMonthsToGo+SwaptionShift))*SUM(INDEX($FK$325:$ID$396,IC$169,1+SwaptionShift):INDEX($FK$325:$ID$396,IC$169,SwaptionMonthsToGo+SwaptionShift))))))</f>
        <v/>
      </c>
      <c r="ID172" s="678" t="str">
        <f ca="1">IF(OR(ID$169&lt;SwaptionFirstMonthPosition+1,$FJ172&lt;SwaptionFirstMonthPosition+1,ID$169&gt;SwaptionFirstMonthPosition+SwaptionNumOfMonths+1,$FJ172&gt;SwaptionFirstMonthPosition+SwaptionNumOfMonths+1),"",IF($FJ172=ID$169,1,IF($FJ172&lt;ID$169,INDEX($FK$170:$ID$241,ID$169,$FJ172),SUMPRODUCT(INDEX($FK$325:$ID$396,ID$169,1+SwaptionShift):INDEX($FK$325:$ID$396,ID$169,SwaptionMonthsToGo+SwaptionShift),INDEX($FK$245:$ID$316,$FJ172-ID$169,73-ID$169+SwaptionShift):INDEX($FK$245:$ID$316,$FJ172-ID$169,72-ID$169+SwaptionMonthsToGo+SwaptionShift))/SQRT(SUM(INDEX($FK327:$ID327,1+SwaptionShift):INDEX($FK327:$ID327,SwaptionMonthsToGo+SwaptionShift))*SUM(INDEX($FK$325:$ID$396,ID$169,1+SwaptionShift):INDEX($FK$325:$ID$396,ID$169,SwaptionMonthsToGo+SwaptionShift))))))</f>
        <v/>
      </c>
      <c r="IE172" s="250"/>
    </row>
    <row r="173" spans="8:239">
      <c r="H173" s="51">
        <f t="shared" ca="1" si="527"/>
        <v>0</v>
      </c>
      <c r="I173" s="379">
        <f t="shared" si="528"/>
        <v>41426</v>
      </c>
      <c r="J173" s="377"/>
      <c r="K173" s="104" t="s">
        <v>268</v>
      </c>
      <c r="L173" s="392">
        <f t="shared" si="529"/>
        <v>2.8875000000000042</v>
      </c>
      <c r="M173" s="171"/>
      <c r="N173" s="382">
        <v>0</v>
      </c>
      <c r="O173" s="171">
        <f t="shared" si="490"/>
        <v>0</v>
      </c>
      <c r="P173" s="377"/>
      <c r="Q173" s="104" t="s">
        <v>268</v>
      </c>
      <c r="R173" s="377">
        <f t="shared" ca="1" si="547"/>
        <v>1.4699245427165621</v>
      </c>
      <c r="S173" s="832">
        <f t="shared" si="564"/>
        <v>0.3600000000000001</v>
      </c>
      <c r="T173" s="831">
        <f t="shared" si="548"/>
        <v>0.99999999999562172</v>
      </c>
      <c r="U173" s="545">
        <f t="shared" si="549"/>
        <v>0.99999999999999978</v>
      </c>
      <c r="V173" s="389">
        <v>0</v>
      </c>
      <c r="W173" s="434">
        <f t="shared" si="491"/>
        <v>0</v>
      </c>
      <c r="X173" s="415">
        <f t="shared" si="492"/>
        <v>2.9362500000000042</v>
      </c>
      <c r="Y173" s="322">
        <f t="shared" si="493"/>
        <v>-1.2915000000000001</v>
      </c>
      <c r="Z173" s="322">
        <f t="shared" ca="1" si="494"/>
        <v>1.6447500000000042</v>
      </c>
      <c r="AA173" s="429">
        <f t="shared" si="495"/>
        <v>1.2915000000000001</v>
      </c>
      <c r="AB173" s="433">
        <f t="shared" ca="1" si="496"/>
        <v>1.2915000000000001</v>
      </c>
      <c r="AC173" s="229">
        <v>41414</v>
      </c>
      <c r="AD173" s="229">
        <v>41410</v>
      </c>
      <c r="AE173" s="229">
        <v>41409</v>
      </c>
      <c r="AF173" s="229">
        <v>41405</v>
      </c>
      <c r="AG173" s="249" t="s">
        <v>499</v>
      </c>
      <c r="AH173" s="247" t="s">
        <v>499</v>
      </c>
      <c r="AI173" s="146">
        <v>20</v>
      </c>
      <c r="AJ173" s="41">
        <v>14</v>
      </c>
      <c r="AK173" s="41">
        <v>6</v>
      </c>
      <c r="AL173" s="293">
        <v>20</v>
      </c>
      <c r="AM173" s="41">
        <v>10</v>
      </c>
      <c r="AN173" s="147">
        <v>10</v>
      </c>
      <c r="AO173" s="374"/>
      <c r="AP173" s="153">
        <f t="shared" ca="1" si="530"/>
        <v>1</v>
      </c>
      <c r="AQ173" s="374"/>
      <c r="AR173" s="153">
        <f t="shared" ca="1" si="550"/>
        <v>1</v>
      </c>
      <c r="AS173" s="272">
        <f t="shared" si="497"/>
        <v>0</v>
      </c>
      <c r="AT173" s="157">
        <f t="shared" si="531"/>
        <v>0</v>
      </c>
      <c r="AU173" s="157">
        <f t="shared" si="498"/>
        <v>0</v>
      </c>
      <c r="AV173" s="271">
        <f t="shared" ca="1" si="558"/>
        <v>9.9999999999999995E-7</v>
      </c>
      <c r="AW173" s="158" t="str">
        <f t="shared" ca="1" si="499"/>
        <v/>
      </c>
      <c r="AX173" s="157">
        <f t="shared" ca="1" si="551"/>
        <v>1.456164767948633E-4</v>
      </c>
      <c r="AY173" s="157">
        <f t="shared" ca="1" si="552"/>
        <v>4.0633874189914178E-5</v>
      </c>
      <c r="AZ173" s="157">
        <f t="shared" ca="1" si="553"/>
        <v>2.1217118384950335E-6</v>
      </c>
      <c r="BA173" s="157">
        <f t="shared" ca="1" si="554"/>
        <v>2.6521397981187919E-7</v>
      </c>
      <c r="BB173" s="157">
        <f t="shared" ca="1" si="555"/>
        <v>3.218293778079009E-9</v>
      </c>
      <c r="BC173" s="157">
        <f t="shared" ca="1" si="556"/>
        <v>1.40676910175299E-10</v>
      </c>
      <c r="BD173" s="151">
        <f t="shared" ca="1" si="500"/>
        <v>0</v>
      </c>
      <c r="BE173" s="152">
        <f t="shared" ca="1" si="501"/>
        <v>0</v>
      </c>
      <c r="BF173" s="40">
        <f t="shared" si="502"/>
        <v>2013</v>
      </c>
      <c r="BG173" s="144">
        <f t="shared" si="503"/>
        <v>6</v>
      </c>
      <c r="BH173" s="145">
        <f t="shared" ca="1" si="504"/>
        <v>4665</v>
      </c>
      <c r="BI173" s="313">
        <f t="shared" ca="1" si="568"/>
        <v>12.815879534565367</v>
      </c>
      <c r="BJ173" s="42">
        <f t="shared" ca="1" si="505"/>
        <v>12.871457905544148</v>
      </c>
      <c r="BK173" s="42">
        <f t="shared" ca="1" si="506"/>
        <v>12.874195756331281</v>
      </c>
      <c r="BL173" s="42">
        <f t="shared" ca="1" si="569"/>
        <v>12.895277207392198</v>
      </c>
      <c r="BM173" s="150" t="e">
        <f t="shared" ca="1" si="507"/>
        <v>#DIV/0!</v>
      </c>
      <c r="BN173" s="42" t="e">
        <f t="shared" ca="1" si="508"/>
        <v>#DIV/0!</v>
      </c>
      <c r="BO173" s="293">
        <f t="shared" si="570"/>
        <v>20</v>
      </c>
      <c r="BP173" s="41">
        <f t="shared" si="571"/>
        <v>14</v>
      </c>
      <c r="BQ173" s="41">
        <f t="shared" si="572"/>
        <v>6</v>
      </c>
      <c r="BR173" s="305" t="str">
        <f t="shared" ca="1" si="509"/>
        <v/>
      </c>
      <c r="BS173" s="305" t="str">
        <f t="shared" ca="1" si="573"/>
        <v/>
      </c>
      <c r="BT173" s="307" t="str">
        <f t="shared" ca="1" si="574"/>
        <v/>
      </c>
      <c r="BU173" s="161" t="str">
        <f t="shared" ca="1" si="510"/>
        <v/>
      </c>
      <c r="BV173" s="161" t="str">
        <f t="shared" ca="1" si="511"/>
        <v/>
      </c>
      <c r="BW173" s="308" t="str">
        <f t="shared" ca="1" si="512"/>
        <v/>
      </c>
      <c r="BX173" s="309" t="str">
        <f t="shared" ca="1" si="513"/>
        <v/>
      </c>
      <c r="BY173" s="308" t="str">
        <f t="shared" ca="1" si="575"/>
        <v/>
      </c>
      <c r="BZ173" s="309" t="str">
        <f t="shared" ca="1" si="576"/>
        <v/>
      </c>
      <c r="CA173" s="154" t="str">
        <f t="shared" ca="1" si="514"/>
        <v/>
      </c>
      <c r="CB173" s="154" t="str">
        <f t="shared" ca="1" si="515"/>
        <v/>
      </c>
      <c r="CC173" s="154" t="str">
        <f t="shared" ca="1" si="516"/>
        <v/>
      </c>
      <c r="CD173" s="154" t="str">
        <f t="shared" ca="1" si="517"/>
        <v/>
      </c>
      <c r="CE173" s="310">
        <v>1</v>
      </c>
      <c r="CF173" s="162">
        <f ca="1">IF(BD173,_xll.xCrudeAPO(BU173,BV173,CA173,CB173,S174,S175,BI173,BL173,BP173,BQ173,0,Strike1,AO173,CE173,0,BL173,IF(OptControl=4,0,1),0,1),0)</f>
        <v>0</v>
      </c>
      <c r="CG173" s="163">
        <f ca="1">IF(BD173,_xll.xCrudeAPO(BU173,BV173,CA173,CB173,S174,S175,BI173,BL173,BP173,BQ173,0,Strike1,AO173,CE173,0,BL173,IF(OptControl=4,0,1),1,1)+_xll.xCrudeAPO(BU173,BV173,CA173,CB173,S174,S175,BI173,BL173,BP173,BQ173,0,Strike1,AO173,CE173,0,BL173,IF(OptControl=4,0,1),1,2)+IF(OR(VolSkewFlag=2,ABS(BS173)&lt;0.0001),0,IF(BS173&gt;0,-1,1)*CH173*Strike1/BR173^2*BY173/10%),0)</f>
        <v>0</v>
      </c>
      <c r="CH173" s="163">
        <f ca="1">IF(BD173,(_xll.xCrudeAPO(BU173,BV173,CA173,CB173,S174,S175,BI173,BL173,BP173,BQ173,0,Strike1,AO173,CE173,0,BL173,IF(OptControl=4,0,1),3,1)+_xll.xCrudeAPO(BU173,BV173,CA173,CB173,S174,S175,BI173,BL173,BP173,BQ173,0,Strike1,AO173,CE173,0,BL173,IF(OptControl=4,0,1),3,2))/100,0)</f>
        <v>0</v>
      </c>
      <c r="CI173" s="163">
        <f ca="1">IF(BD173,_xll.xCrudeAPO(BU173,BV173,CA173,CB173,S174,S175,BI173-DaysForThetaCalculation/365.25,BL173-DaysForThetaCalculation/365.25,BP173,BQ173,0,Strike1,AO173,CE173,0,BL173,IF(OptControl=4,0,1),0,1)-_xll.xCrudeAPO(BU173,BV173,CA173,CB173,S174,S175,BI173,BL173,BP173,BQ173,0,Strike1,AO173,CE173,0,BL173,IF(OptControl=4,0,1),0,1),0)</f>
        <v>0</v>
      </c>
      <c r="CJ173" s="311">
        <f ca="1">IF(BD173,_xll.xCrudeAPO(BU173,BV173,CC173,CD173,S174,S175,BI173,BL173,BP173,BQ173,0,Strike2,AO173,CE173,0,BL173,IF(OptControl=3,1,0),0,1),0)</f>
        <v>0</v>
      </c>
      <c r="CK173" s="163">
        <f ca="1">IF(BD173,_xll.xCrudeAPO(BU173,BV173,CC173,CD173,S174,S175,BI173,BL173,BP173,BQ173,0,Strike2,AO173,CE173,0,BL173,IF(OptControl=3,1,0),1,1)+_xll.xCrudeAPO(BU173,BV173,CC173,CD173,S174,S175,BI173,BL173,BP173,BQ173,0,Strike2,AO173,CE173,0,BL173,IF(OptControl=3,1,0),1,2)+IF(OR(VolSkewFlag=2,ABS(BT173)&lt;0.0001),0,IF(BT173&gt;0,-1,1)*CL173*Strike2/BR173^2*BZ173/10%),0)</f>
        <v>0</v>
      </c>
      <c r="CL173" s="163">
        <f ca="1">IF(BD173,(_xll.xCrudeAPO(BU173,BV173,CC173,CD173,S174,S175,BI173,BL173,BP173,BQ173,0,Strike2,AO173,CE173,0,BL173,IF(OptControl=3,1,0),3,1)+_xll.xCrudeAPO(BU173,BV173,CC173,CD173,S174,S175,BI173,BL173,BP173,BQ173,0,Strike2,AO173,CE173,0,BL173,IF(OptControl=3,1,0),3,2))/100,0)</f>
        <v>0</v>
      </c>
      <c r="CM173" s="164">
        <f ca="1">IF(BD173,_xll.xCrudeAPO(BU173,BV173,CC173,CD173,S174,S175,BI173-DaysForThetaCalculation/365.25,BL173-DaysForThetaCalculation/365.25,BP173,BQ173,0,Strike2,AO173,CE173,0,BL173,IF(OptControl=3,1,0),0,1)-_xll.xCrudeAPO(BU173,BV173,CC173,CD173,S174,S175,BI173,BL173,BP173,BQ173,0,Strike2,AO173,CE173,0,BL173,IF(OptControl=3,1,0),0,1),0)</f>
        <v>0</v>
      </c>
      <c r="CN173" s="53"/>
      <c r="CO173" s="796" t="str">
        <f t="shared" ca="1" si="532"/>
        <v/>
      </c>
      <c r="CP173" s="800" t="str">
        <f t="shared" ca="1" si="533"/>
        <v/>
      </c>
      <c r="CQ173" s="797" t="str">
        <f t="shared" ca="1" si="534"/>
        <v/>
      </c>
      <c r="CR173" s="797" t="str">
        <f t="shared" ca="1" si="535"/>
        <v/>
      </c>
      <c r="CS173" s="797" t="str">
        <f t="shared" ca="1" si="536"/>
        <v/>
      </c>
      <c r="CT173" s="797" t="str">
        <f t="shared" ca="1" si="537"/>
        <v/>
      </c>
      <c r="CU173" s="798" t="str">
        <f t="shared" ca="1" si="538"/>
        <v/>
      </c>
      <c r="CV173" s="799" t="str">
        <f t="shared" ca="1" si="539"/>
        <v/>
      </c>
      <c r="CW173" s="799" t="str">
        <f t="shared" ca="1" si="540"/>
        <v/>
      </c>
      <c r="CX173" s="163">
        <f ca="1">IF(BD173,_xll.EURO(CP173,Strike1,AO173,AO173,CV173,CO173,IF(OptControl=4,0,1),0),0)</f>
        <v>0</v>
      </c>
      <c r="CY173" s="163">
        <f ca="1">IF(BD173,_xll.EURO(CP173,Strike1,AO173,AO173,CV173,CO173,IF(OptControl=4,0,1),1)+IF(OR(VolSkewFlag=2,ABS(CQ173)&lt;0.0001),0,IF(CQ173&gt;0,-1,1)*CZ173*100*Strike1/CP173^2*CS173/10%),0)</f>
        <v>0</v>
      </c>
      <c r="CZ173" s="163">
        <f ca="1">IF(BD173,_xll.EURO(CP173,Strike1,AO173,AO173,CV173,CO173,IF(OptControl=4,0,1),3)/100,0)</f>
        <v>0</v>
      </c>
      <c r="DA173" s="163">
        <f ca="1">IF(BD173,_xll.EURO(CP173,Strike1,AO173,AO173,CV173,CO173,IF(OptControl=4,0,1),0)-_xll.EURO(CP173,Strike1,AO173,AO173,CV173,CO173-1,IF(OptControl=4,0,1),0),0)</f>
        <v>0</v>
      </c>
      <c r="DB173" s="163">
        <f ca="1">IF(BD173,_xll.EURO(CP173,Strike2,AO173,AO173,CW173,CO173,IF(OptControl=3,1,0),0),0)</f>
        <v>0</v>
      </c>
      <c r="DC173" s="163">
        <f ca="1">IF(BD173,_xll.EURO(CP173,Strike2,AO173,AO173,CW173,CO173,IF(OptControl=3,1,0),1)+IF(OR(VolSkewFlag=2,ABS(CR173)&lt;0.0001),0,IF(CR173&gt;0,-1,1)*DD173*100*Strike2/CP173^2*CT173/10%),0)</f>
        <v>0</v>
      </c>
      <c r="DD173" s="163">
        <f ca="1">IF(BD173,_xll.EURO(CP173,Strike2,AO173,AO173,CW173,CO173,IF(OptControl=3,1,0),3)/100,0)</f>
        <v>0</v>
      </c>
      <c r="DE173" s="164">
        <f ca="1">IF(BD173,_xll.EURO(CP173,Strike2,AO173,AO173,CW173,CO173,IF(OptControl=3,1,0),0)-_xll.EURO(CP173,Strike2,AO173,AO173,CW173,CO173-1,IF(OptControl=3,1,0),0),0)</f>
        <v>0</v>
      </c>
      <c r="DG173" s="667">
        <f t="shared" ca="1" si="541"/>
        <v>41214</v>
      </c>
      <c r="DH173" s="475">
        <v>21.810000000000056</v>
      </c>
      <c r="DI173" s="665">
        <v>21.878181818181872</v>
      </c>
      <c r="DJ173" s="666">
        <f t="shared" ca="1" si="518"/>
        <v>41214</v>
      </c>
      <c r="DK173" s="475">
        <v>20.602780522733728</v>
      </c>
      <c r="DL173" s="665">
        <v>20.685081818181871</v>
      </c>
      <c r="DM173" s="667">
        <f t="shared" ca="1" si="519"/>
        <v>41214</v>
      </c>
      <c r="DN173" s="668">
        <f t="shared" si="520"/>
        <v>20.652780522733728</v>
      </c>
      <c r="DO173" s="667">
        <f t="shared" ca="1" si="542"/>
        <v>41214</v>
      </c>
      <c r="DP173" s="579">
        <f t="shared" si="543"/>
        <v>20.685081818181871</v>
      </c>
      <c r="DQ173" s="821">
        <v>0</v>
      </c>
      <c r="DR173" s="666">
        <f t="shared" ca="1" si="521"/>
        <v>41214</v>
      </c>
      <c r="DS173" s="669">
        <v>0.13279999999999906</v>
      </c>
      <c r="DT173" s="606">
        <v>0.13198181818181656</v>
      </c>
      <c r="DU173" s="666">
        <f t="shared" ca="1" si="522"/>
        <v>41214</v>
      </c>
      <c r="DV173" s="669">
        <v>0.13279999999999906</v>
      </c>
      <c r="DW173" s="606">
        <v>0.13198181818181656</v>
      </c>
      <c r="DX173" s="667">
        <f t="shared" ca="1" si="523"/>
        <v>41214</v>
      </c>
      <c r="DY173" s="606">
        <v>0.35</v>
      </c>
      <c r="DZ173" s="667">
        <f t="shared" ca="1" si="544"/>
        <v>41214</v>
      </c>
      <c r="EA173" s="606">
        <f t="shared" si="545"/>
        <v>0.13198181818181656</v>
      </c>
      <c r="EB173" s="1"/>
      <c r="EC173" s="118" t="str">
        <f t="shared" ca="1" si="524"/>
        <v/>
      </c>
      <c r="ED173" s="119" t="str">
        <f t="shared" ca="1" si="525"/>
        <v/>
      </c>
      <c r="EE173" s="112" t="str">
        <f t="shared" ca="1" si="526"/>
        <v/>
      </c>
      <c r="EF173" s="120">
        <f ca="1">IF(BD173,_xll.xASN(BR173,Strike1,AO173,ED173,0,BO173,0,BI173,BL173,IF(OptControl=4,0,1),0),0)</f>
        <v>0</v>
      </c>
      <c r="EG173" s="111">
        <f ca="1">IF(BD173,_xll.xASN(BR173,Strike2,AO173,EE173,0,BO173,0,BI173,BL173,IF(OptControl=3,1,0),0),0)</f>
        <v>0</v>
      </c>
      <c r="EL173" s="55"/>
      <c r="EM173" s="1"/>
      <c r="EN173" s="106"/>
      <c r="EO173" s="106"/>
      <c r="EP173" s="1"/>
      <c r="EQ173" s="683" t="s">
        <v>386</v>
      </c>
      <c r="ES173" s="455"/>
      <c r="ET173" s="36"/>
      <c r="EU173" s="107"/>
      <c r="EV173" s="475"/>
      <c r="EW173" s="456"/>
      <c r="EX173" s="456"/>
      <c r="EY173" s="250"/>
      <c r="EZ173" s="250"/>
      <c r="FA173" s="250"/>
      <c r="FB173" s="250"/>
      <c r="FC173" s="250"/>
      <c r="FD173" s="250"/>
      <c r="FE173" s="250"/>
      <c r="FF173" s="250"/>
      <c r="FG173" s="250"/>
      <c r="FH173" s="250"/>
      <c r="FI173" s="250"/>
      <c r="FJ173" s="673">
        <v>4</v>
      </c>
      <c r="FK173" s="479" t="str">
        <f ca="1">IF(OR(FK$169&lt;SwaptionFirstMonthPosition+1,$FJ173&lt;SwaptionFirstMonthPosition+1,FK$169&gt;SwaptionFirstMonthPosition+SwaptionNumOfMonths+1,$FJ173&gt;SwaptionFirstMonthPosition+SwaptionNumOfMonths+1),"",IF($FJ173=FK$169,1,IF($FJ173&lt;FK$169,INDEX($FK$170:$ID$241,FK$169,$FJ173),SUMPRODUCT(INDEX($FK$325:$ID$396,FK$169,1+SwaptionShift):INDEX($FK$325:$ID$396,FK$169,SwaptionMonthsToGo+SwaptionShift),INDEX($FK$245:$ID$316,$FJ173-FK$169,73-FK$169+SwaptionShift):INDEX($FK$245:$ID$316,$FJ173-FK$169,72-FK$169+SwaptionMonthsToGo+SwaptionShift))/SQRT(SUM(INDEX($FK328:$ID328,1+SwaptionShift):INDEX($FK328:$ID328,SwaptionMonthsToGo+SwaptionShift))*SUM(INDEX($FK$325:$ID$396,FK$169,1+SwaptionShift):INDEX($FK$325:$ID$396,FK$169,SwaptionMonthsToGo+SwaptionShift))))))</f>
        <v/>
      </c>
      <c r="FL173" s="479" t="str">
        <f ca="1">IF(OR(FL$169&lt;SwaptionFirstMonthPosition+1,$FJ173&lt;SwaptionFirstMonthPosition+1,FL$169&gt;SwaptionFirstMonthPosition+SwaptionNumOfMonths+1,$FJ173&gt;SwaptionFirstMonthPosition+SwaptionNumOfMonths+1),"",IF($FJ173=FL$169,1,IF($FJ173&lt;FL$169,INDEX($FK$170:$ID$241,FL$169,$FJ173),SUMPRODUCT(INDEX($FK$325:$ID$396,FL$169,1+SwaptionShift):INDEX($FK$325:$ID$396,FL$169,SwaptionMonthsToGo+SwaptionShift),INDEX($FK$245:$ID$316,$FJ173-FL$169,73-FL$169+SwaptionShift):INDEX($FK$245:$ID$316,$FJ173-FL$169,72-FL$169+SwaptionMonthsToGo+SwaptionShift))/SQRT(SUM(INDEX($FK328:$ID328,1+SwaptionShift):INDEX($FK328:$ID328,SwaptionMonthsToGo+SwaptionShift))*SUM(INDEX($FK$325:$ID$396,FL$169,1+SwaptionShift):INDEX($FK$325:$ID$396,FL$169,SwaptionMonthsToGo+SwaptionShift))))))</f>
        <v/>
      </c>
      <c r="FM173" s="479" t="str">
        <f ca="1">IF(OR(FM$169&lt;SwaptionFirstMonthPosition+1,$FJ173&lt;SwaptionFirstMonthPosition+1,FM$169&gt;SwaptionFirstMonthPosition+SwaptionNumOfMonths+1,$FJ173&gt;SwaptionFirstMonthPosition+SwaptionNumOfMonths+1),"",IF($FJ173=FM$169,1,IF($FJ173&lt;FM$169,INDEX($FK$170:$ID$241,FM$169,$FJ173),SUMPRODUCT(INDEX($FK$325:$ID$396,FM$169,1+SwaptionShift):INDEX($FK$325:$ID$396,FM$169,SwaptionMonthsToGo+SwaptionShift),INDEX($FK$245:$ID$316,$FJ173-FM$169,73-FM$169+SwaptionShift):INDEX($FK$245:$ID$316,$FJ173-FM$169,72-FM$169+SwaptionMonthsToGo+SwaptionShift))/SQRT(SUM(INDEX($FK328:$ID328,1+SwaptionShift):INDEX($FK328:$ID328,SwaptionMonthsToGo+SwaptionShift))*SUM(INDEX($FK$325:$ID$396,FM$169,1+SwaptionShift):INDEX($FK$325:$ID$396,FM$169,SwaptionMonthsToGo+SwaptionShift))))))</f>
        <v/>
      </c>
      <c r="FN173" s="479" t="str">
        <f ca="1">IF(OR(FN$169&lt;SwaptionFirstMonthPosition+1,$FJ173&lt;SwaptionFirstMonthPosition+1,FN$169&gt;SwaptionFirstMonthPosition+SwaptionNumOfMonths+1,$FJ173&gt;SwaptionFirstMonthPosition+SwaptionNumOfMonths+1),"",IF($FJ173=FN$169,1,IF($FJ173&lt;FN$169,INDEX($FK$170:$ID$241,FN$169,$FJ173),SUMPRODUCT(INDEX($FK$325:$ID$396,FN$169,1+SwaptionShift):INDEX($FK$325:$ID$396,FN$169,SwaptionMonthsToGo+SwaptionShift),INDEX($FK$245:$ID$316,$FJ173-FN$169,73-FN$169+SwaptionShift):INDEX($FK$245:$ID$316,$FJ173-FN$169,72-FN$169+SwaptionMonthsToGo+SwaptionShift))/SQRT(SUM(INDEX($FK328:$ID328,1+SwaptionShift):INDEX($FK328:$ID328,SwaptionMonthsToGo+SwaptionShift))*SUM(INDEX($FK$325:$ID$396,FN$169,1+SwaptionShift):INDEX($FK$325:$ID$396,FN$169,SwaptionMonthsToGo+SwaptionShift))))))</f>
        <v/>
      </c>
      <c r="FO173" s="479" t="str">
        <f ca="1">IF(OR(FO$169&lt;SwaptionFirstMonthPosition+1,$FJ173&lt;SwaptionFirstMonthPosition+1,FO$169&gt;SwaptionFirstMonthPosition+SwaptionNumOfMonths+1,$FJ173&gt;SwaptionFirstMonthPosition+SwaptionNumOfMonths+1),"",IF($FJ173=FO$169,1,IF($FJ173&lt;FO$169,INDEX($FK$170:$ID$241,FO$169,$FJ173),SUMPRODUCT(INDEX($FK$325:$ID$396,FO$169,1+SwaptionShift):INDEX($FK$325:$ID$396,FO$169,SwaptionMonthsToGo+SwaptionShift),INDEX($FK$245:$ID$316,$FJ173-FO$169,73-FO$169+SwaptionShift):INDEX($FK$245:$ID$316,$FJ173-FO$169,72-FO$169+SwaptionMonthsToGo+SwaptionShift))/SQRT(SUM(INDEX($FK328:$ID328,1+SwaptionShift):INDEX($FK328:$ID328,SwaptionMonthsToGo+SwaptionShift))*SUM(INDEX($FK$325:$ID$396,FO$169,1+SwaptionShift):INDEX($FK$325:$ID$396,FO$169,SwaptionMonthsToGo+SwaptionShift))))))</f>
        <v/>
      </c>
      <c r="FP173" s="479" t="str">
        <f ca="1">IF(OR(FP$169&lt;SwaptionFirstMonthPosition+1,$FJ173&lt;SwaptionFirstMonthPosition+1,FP$169&gt;SwaptionFirstMonthPosition+SwaptionNumOfMonths+1,$FJ173&gt;SwaptionFirstMonthPosition+SwaptionNumOfMonths+1),"",IF($FJ173=FP$169,1,IF($FJ173&lt;FP$169,INDEX($FK$170:$ID$241,FP$169,$FJ173),SUMPRODUCT(INDEX($FK$325:$ID$396,FP$169,1+SwaptionShift):INDEX($FK$325:$ID$396,FP$169,SwaptionMonthsToGo+SwaptionShift),INDEX($FK$245:$ID$316,$FJ173-FP$169,73-FP$169+SwaptionShift):INDEX($FK$245:$ID$316,$FJ173-FP$169,72-FP$169+SwaptionMonthsToGo+SwaptionShift))/SQRT(SUM(INDEX($FK328:$ID328,1+SwaptionShift):INDEX($FK328:$ID328,SwaptionMonthsToGo+SwaptionShift))*SUM(INDEX($FK$325:$ID$396,FP$169,1+SwaptionShift):INDEX($FK$325:$ID$396,FP$169,SwaptionMonthsToGo+SwaptionShift))))))</f>
        <v/>
      </c>
      <c r="FQ173" s="479" t="str">
        <f ca="1">IF(OR(FQ$169&lt;SwaptionFirstMonthPosition+1,$FJ173&lt;SwaptionFirstMonthPosition+1,FQ$169&gt;SwaptionFirstMonthPosition+SwaptionNumOfMonths+1,$FJ173&gt;SwaptionFirstMonthPosition+SwaptionNumOfMonths+1),"",IF($FJ173=FQ$169,1,IF($FJ173&lt;FQ$169,INDEX($FK$170:$ID$241,FQ$169,$FJ173),SUMPRODUCT(INDEX($FK$325:$ID$396,FQ$169,1+SwaptionShift):INDEX($FK$325:$ID$396,FQ$169,SwaptionMonthsToGo+SwaptionShift),INDEX($FK$245:$ID$316,$FJ173-FQ$169,73-FQ$169+SwaptionShift):INDEX($FK$245:$ID$316,$FJ173-FQ$169,72-FQ$169+SwaptionMonthsToGo+SwaptionShift))/SQRT(SUM(INDEX($FK328:$ID328,1+SwaptionShift):INDEX($FK328:$ID328,SwaptionMonthsToGo+SwaptionShift))*SUM(INDEX($FK$325:$ID$396,FQ$169,1+SwaptionShift):INDEX($FK$325:$ID$396,FQ$169,SwaptionMonthsToGo+SwaptionShift))))))</f>
        <v/>
      </c>
      <c r="FR173" s="479" t="str">
        <f ca="1">IF(OR(FR$169&lt;SwaptionFirstMonthPosition+1,$FJ173&lt;SwaptionFirstMonthPosition+1,FR$169&gt;SwaptionFirstMonthPosition+SwaptionNumOfMonths+1,$FJ173&gt;SwaptionFirstMonthPosition+SwaptionNumOfMonths+1),"",IF($FJ173=FR$169,1,IF($FJ173&lt;FR$169,INDEX($FK$170:$ID$241,FR$169,$FJ173),SUMPRODUCT(INDEX($FK$325:$ID$396,FR$169,1+SwaptionShift):INDEX($FK$325:$ID$396,FR$169,SwaptionMonthsToGo+SwaptionShift),INDEX($FK$245:$ID$316,$FJ173-FR$169,73-FR$169+SwaptionShift):INDEX($FK$245:$ID$316,$FJ173-FR$169,72-FR$169+SwaptionMonthsToGo+SwaptionShift))/SQRT(SUM(INDEX($FK328:$ID328,1+SwaptionShift):INDEX($FK328:$ID328,SwaptionMonthsToGo+SwaptionShift))*SUM(INDEX($FK$325:$ID$396,FR$169,1+SwaptionShift):INDEX($FK$325:$ID$396,FR$169,SwaptionMonthsToGo+SwaptionShift))))))</f>
        <v/>
      </c>
      <c r="FS173" s="479" t="str">
        <f ca="1">IF(OR(FS$169&lt;SwaptionFirstMonthPosition+1,$FJ173&lt;SwaptionFirstMonthPosition+1,FS$169&gt;SwaptionFirstMonthPosition+SwaptionNumOfMonths+1,$FJ173&gt;SwaptionFirstMonthPosition+SwaptionNumOfMonths+1),"",IF($FJ173=FS$169,1,IF($FJ173&lt;FS$169,INDEX($FK$170:$ID$241,FS$169,$FJ173),SUMPRODUCT(INDEX($FK$325:$ID$396,FS$169,1+SwaptionShift):INDEX($FK$325:$ID$396,FS$169,SwaptionMonthsToGo+SwaptionShift),INDEX($FK$245:$ID$316,$FJ173-FS$169,73-FS$169+SwaptionShift):INDEX($FK$245:$ID$316,$FJ173-FS$169,72-FS$169+SwaptionMonthsToGo+SwaptionShift))/SQRT(SUM(INDEX($FK328:$ID328,1+SwaptionShift):INDEX($FK328:$ID328,SwaptionMonthsToGo+SwaptionShift))*SUM(INDEX($FK$325:$ID$396,FS$169,1+SwaptionShift):INDEX($FK$325:$ID$396,FS$169,SwaptionMonthsToGo+SwaptionShift))))))</f>
        <v/>
      </c>
      <c r="FT173" s="479" t="str">
        <f ca="1">IF(OR(FT$169&lt;SwaptionFirstMonthPosition+1,$FJ173&lt;SwaptionFirstMonthPosition+1,FT$169&gt;SwaptionFirstMonthPosition+SwaptionNumOfMonths+1,$FJ173&gt;SwaptionFirstMonthPosition+SwaptionNumOfMonths+1),"",IF($FJ173=FT$169,1,IF($FJ173&lt;FT$169,INDEX($FK$170:$ID$241,FT$169,$FJ173),SUMPRODUCT(INDEX($FK$325:$ID$396,FT$169,1+SwaptionShift):INDEX($FK$325:$ID$396,FT$169,SwaptionMonthsToGo+SwaptionShift),INDEX($FK$245:$ID$316,$FJ173-FT$169,73-FT$169+SwaptionShift):INDEX($FK$245:$ID$316,$FJ173-FT$169,72-FT$169+SwaptionMonthsToGo+SwaptionShift))/SQRT(SUM(INDEX($FK328:$ID328,1+SwaptionShift):INDEX($FK328:$ID328,SwaptionMonthsToGo+SwaptionShift))*SUM(INDEX($FK$325:$ID$396,FT$169,1+SwaptionShift):INDEX($FK$325:$ID$396,FT$169,SwaptionMonthsToGo+SwaptionShift))))))</f>
        <v/>
      </c>
      <c r="FU173" s="479" t="str">
        <f ca="1">IF(OR(FU$169&lt;SwaptionFirstMonthPosition+1,$FJ173&lt;SwaptionFirstMonthPosition+1,FU$169&gt;SwaptionFirstMonthPosition+SwaptionNumOfMonths+1,$FJ173&gt;SwaptionFirstMonthPosition+SwaptionNumOfMonths+1),"",IF($FJ173=FU$169,1,IF($FJ173&lt;FU$169,INDEX($FK$170:$ID$241,FU$169,$FJ173),SUMPRODUCT(INDEX($FK$325:$ID$396,FU$169,1+SwaptionShift):INDEX($FK$325:$ID$396,FU$169,SwaptionMonthsToGo+SwaptionShift),INDEX($FK$245:$ID$316,$FJ173-FU$169,73-FU$169+SwaptionShift):INDEX($FK$245:$ID$316,$FJ173-FU$169,72-FU$169+SwaptionMonthsToGo+SwaptionShift))/SQRT(SUM(INDEX($FK328:$ID328,1+SwaptionShift):INDEX($FK328:$ID328,SwaptionMonthsToGo+SwaptionShift))*SUM(INDEX($FK$325:$ID$396,FU$169,1+SwaptionShift):INDEX($FK$325:$ID$396,FU$169,SwaptionMonthsToGo+SwaptionShift))))))</f>
        <v/>
      </c>
      <c r="FV173" s="479" t="str">
        <f ca="1">IF(OR(FV$169&lt;SwaptionFirstMonthPosition+1,$FJ173&lt;SwaptionFirstMonthPosition+1,FV$169&gt;SwaptionFirstMonthPosition+SwaptionNumOfMonths+1,$FJ173&gt;SwaptionFirstMonthPosition+SwaptionNumOfMonths+1),"",IF($FJ173=FV$169,1,IF($FJ173&lt;FV$169,INDEX($FK$170:$ID$241,FV$169,$FJ173),SUMPRODUCT(INDEX($FK$325:$ID$396,FV$169,1+SwaptionShift):INDEX($FK$325:$ID$396,FV$169,SwaptionMonthsToGo+SwaptionShift),INDEX($FK$245:$ID$316,$FJ173-FV$169,73-FV$169+SwaptionShift):INDEX($FK$245:$ID$316,$FJ173-FV$169,72-FV$169+SwaptionMonthsToGo+SwaptionShift))/SQRT(SUM(INDEX($FK328:$ID328,1+SwaptionShift):INDEX($FK328:$ID328,SwaptionMonthsToGo+SwaptionShift))*SUM(INDEX($FK$325:$ID$396,FV$169,1+SwaptionShift):INDEX($FK$325:$ID$396,FV$169,SwaptionMonthsToGo+SwaptionShift))))))</f>
        <v/>
      </c>
      <c r="FW173" s="479" t="str">
        <f ca="1">IF(OR(FW$169&lt;SwaptionFirstMonthPosition+1,$FJ173&lt;SwaptionFirstMonthPosition+1,FW$169&gt;SwaptionFirstMonthPosition+SwaptionNumOfMonths+1,$FJ173&gt;SwaptionFirstMonthPosition+SwaptionNumOfMonths+1),"",IF($FJ173=FW$169,1,IF($FJ173&lt;FW$169,INDEX($FK$170:$ID$241,FW$169,$FJ173),SUMPRODUCT(INDEX($FK$325:$ID$396,FW$169,1+SwaptionShift):INDEX($FK$325:$ID$396,FW$169,SwaptionMonthsToGo+SwaptionShift),INDEX($FK$245:$ID$316,$FJ173-FW$169,73-FW$169+SwaptionShift):INDEX($FK$245:$ID$316,$FJ173-FW$169,72-FW$169+SwaptionMonthsToGo+SwaptionShift))/SQRT(SUM(INDEX($FK328:$ID328,1+SwaptionShift):INDEX($FK328:$ID328,SwaptionMonthsToGo+SwaptionShift))*SUM(INDEX($FK$325:$ID$396,FW$169,1+SwaptionShift):INDEX($FK$325:$ID$396,FW$169,SwaptionMonthsToGo+SwaptionShift))))))</f>
        <v/>
      </c>
      <c r="FX173" s="479" t="str">
        <f ca="1">IF(OR(FX$169&lt;SwaptionFirstMonthPosition+1,$FJ173&lt;SwaptionFirstMonthPosition+1,FX$169&gt;SwaptionFirstMonthPosition+SwaptionNumOfMonths+1,$FJ173&gt;SwaptionFirstMonthPosition+SwaptionNumOfMonths+1),"",IF($FJ173=FX$169,1,IF($FJ173&lt;FX$169,INDEX($FK$170:$ID$241,FX$169,$FJ173),SUMPRODUCT(INDEX($FK$325:$ID$396,FX$169,1+SwaptionShift):INDEX($FK$325:$ID$396,FX$169,SwaptionMonthsToGo+SwaptionShift),INDEX($FK$245:$ID$316,$FJ173-FX$169,73-FX$169+SwaptionShift):INDEX($FK$245:$ID$316,$FJ173-FX$169,72-FX$169+SwaptionMonthsToGo+SwaptionShift))/SQRT(SUM(INDEX($FK328:$ID328,1+SwaptionShift):INDEX($FK328:$ID328,SwaptionMonthsToGo+SwaptionShift))*SUM(INDEX($FK$325:$ID$396,FX$169,1+SwaptionShift):INDEX($FK$325:$ID$396,FX$169,SwaptionMonthsToGo+SwaptionShift))))))</f>
        <v/>
      </c>
      <c r="FY173" s="479" t="str">
        <f ca="1">IF(OR(FY$169&lt;SwaptionFirstMonthPosition+1,$FJ173&lt;SwaptionFirstMonthPosition+1,FY$169&gt;SwaptionFirstMonthPosition+SwaptionNumOfMonths+1,$FJ173&gt;SwaptionFirstMonthPosition+SwaptionNumOfMonths+1),"",IF($FJ173=FY$169,1,IF($FJ173&lt;FY$169,INDEX($FK$170:$ID$241,FY$169,$FJ173),SUMPRODUCT(INDEX($FK$325:$ID$396,FY$169,1+SwaptionShift):INDEX($FK$325:$ID$396,FY$169,SwaptionMonthsToGo+SwaptionShift),INDEX($FK$245:$ID$316,$FJ173-FY$169,73-FY$169+SwaptionShift):INDEX($FK$245:$ID$316,$FJ173-FY$169,72-FY$169+SwaptionMonthsToGo+SwaptionShift))/SQRT(SUM(INDEX($FK328:$ID328,1+SwaptionShift):INDEX($FK328:$ID328,SwaptionMonthsToGo+SwaptionShift))*SUM(INDEX($FK$325:$ID$396,FY$169,1+SwaptionShift):INDEX($FK$325:$ID$396,FY$169,SwaptionMonthsToGo+SwaptionShift))))))</f>
        <v/>
      </c>
      <c r="FZ173" s="479" t="str">
        <f ca="1">IF(OR(FZ$169&lt;SwaptionFirstMonthPosition+1,$FJ173&lt;SwaptionFirstMonthPosition+1,FZ$169&gt;SwaptionFirstMonthPosition+SwaptionNumOfMonths+1,$FJ173&gt;SwaptionFirstMonthPosition+SwaptionNumOfMonths+1),"",IF($FJ173=FZ$169,1,IF($FJ173&lt;FZ$169,INDEX($FK$170:$ID$241,FZ$169,$FJ173),SUMPRODUCT(INDEX($FK$325:$ID$396,FZ$169,1+SwaptionShift):INDEX($FK$325:$ID$396,FZ$169,SwaptionMonthsToGo+SwaptionShift),INDEX($FK$245:$ID$316,$FJ173-FZ$169,73-FZ$169+SwaptionShift):INDEX($FK$245:$ID$316,$FJ173-FZ$169,72-FZ$169+SwaptionMonthsToGo+SwaptionShift))/SQRT(SUM(INDEX($FK328:$ID328,1+SwaptionShift):INDEX($FK328:$ID328,SwaptionMonthsToGo+SwaptionShift))*SUM(INDEX($FK$325:$ID$396,FZ$169,1+SwaptionShift):INDEX($FK$325:$ID$396,FZ$169,SwaptionMonthsToGo+SwaptionShift))))))</f>
        <v/>
      </c>
      <c r="GA173" s="479" t="str">
        <f ca="1">IF(OR(GA$169&lt;SwaptionFirstMonthPosition+1,$FJ173&lt;SwaptionFirstMonthPosition+1,GA$169&gt;SwaptionFirstMonthPosition+SwaptionNumOfMonths+1,$FJ173&gt;SwaptionFirstMonthPosition+SwaptionNumOfMonths+1),"",IF($FJ173=GA$169,1,IF($FJ173&lt;GA$169,INDEX($FK$170:$ID$241,GA$169,$FJ173),SUMPRODUCT(INDEX($FK$325:$ID$396,GA$169,1+SwaptionShift):INDEX($FK$325:$ID$396,GA$169,SwaptionMonthsToGo+SwaptionShift),INDEX($FK$245:$ID$316,$FJ173-GA$169,73-GA$169+SwaptionShift):INDEX($FK$245:$ID$316,$FJ173-GA$169,72-GA$169+SwaptionMonthsToGo+SwaptionShift))/SQRT(SUM(INDEX($FK328:$ID328,1+SwaptionShift):INDEX($FK328:$ID328,SwaptionMonthsToGo+SwaptionShift))*SUM(INDEX($FK$325:$ID$396,GA$169,1+SwaptionShift):INDEX($FK$325:$ID$396,GA$169,SwaptionMonthsToGo+SwaptionShift))))))</f>
        <v/>
      </c>
      <c r="GB173" s="479" t="str">
        <f ca="1">IF(OR(GB$169&lt;SwaptionFirstMonthPosition+1,$FJ173&lt;SwaptionFirstMonthPosition+1,GB$169&gt;SwaptionFirstMonthPosition+SwaptionNumOfMonths+1,$FJ173&gt;SwaptionFirstMonthPosition+SwaptionNumOfMonths+1),"",IF($FJ173=GB$169,1,IF($FJ173&lt;GB$169,INDEX($FK$170:$ID$241,GB$169,$FJ173),SUMPRODUCT(INDEX($FK$325:$ID$396,GB$169,1+SwaptionShift):INDEX($FK$325:$ID$396,GB$169,SwaptionMonthsToGo+SwaptionShift),INDEX($FK$245:$ID$316,$FJ173-GB$169,73-GB$169+SwaptionShift):INDEX($FK$245:$ID$316,$FJ173-GB$169,72-GB$169+SwaptionMonthsToGo+SwaptionShift))/SQRT(SUM(INDEX($FK328:$ID328,1+SwaptionShift):INDEX($FK328:$ID328,SwaptionMonthsToGo+SwaptionShift))*SUM(INDEX($FK$325:$ID$396,GB$169,1+SwaptionShift):INDEX($FK$325:$ID$396,GB$169,SwaptionMonthsToGo+SwaptionShift))))))</f>
        <v/>
      </c>
      <c r="GC173" s="479" t="str">
        <f ca="1">IF(OR(GC$169&lt;SwaptionFirstMonthPosition+1,$FJ173&lt;SwaptionFirstMonthPosition+1,GC$169&gt;SwaptionFirstMonthPosition+SwaptionNumOfMonths+1,$FJ173&gt;SwaptionFirstMonthPosition+SwaptionNumOfMonths+1),"",IF($FJ173=GC$169,1,IF($FJ173&lt;GC$169,INDEX($FK$170:$ID$241,GC$169,$FJ173),SUMPRODUCT(INDEX($FK$325:$ID$396,GC$169,1+SwaptionShift):INDEX($FK$325:$ID$396,GC$169,SwaptionMonthsToGo+SwaptionShift),INDEX($FK$245:$ID$316,$FJ173-GC$169,73-GC$169+SwaptionShift):INDEX($FK$245:$ID$316,$FJ173-GC$169,72-GC$169+SwaptionMonthsToGo+SwaptionShift))/SQRT(SUM(INDEX($FK328:$ID328,1+SwaptionShift):INDEX($FK328:$ID328,SwaptionMonthsToGo+SwaptionShift))*SUM(INDEX($FK$325:$ID$396,GC$169,1+SwaptionShift):INDEX($FK$325:$ID$396,GC$169,SwaptionMonthsToGo+SwaptionShift))))))</f>
        <v/>
      </c>
      <c r="GD173" s="479" t="str">
        <f ca="1">IF(OR(GD$169&lt;SwaptionFirstMonthPosition+1,$FJ173&lt;SwaptionFirstMonthPosition+1,GD$169&gt;SwaptionFirstMonthPosition+SwaptionNumOfMonths+1,$FJ173&gt;SwaptionFirstMonthPosition+SwaptionNumOfMonths+1),"",IF($FJ173=GD$169,1,IF($FJ173&lt;GD$169,INDEX($FK$170:$ID$241,GD$169,$FJ173),SUMPRODUCT(INDEX($FK$325:$ID$396,GD$169,1+SwaptionShift):INDEX($FK$325:$ID$396,GD$169,SwaptionMonthsToGo+SwaptionShift),INDEX($FK$245:$ID$316,$FJ173-GD$169,73-GD$169+SwaptionShift):INDEX($FK$245:$ID$316,$FJ173-GD$169,72-GD$169+SwaptionMonthsToGo+SwaptionShift))/SQRT(SUM(INDEX($FK328:$ID328,1+SwaptionShift):INDEX($FK328:$ID328,SwaptionMonthsToGo+SwaptionShift))*SUM(INDEX($FK$325:$ID$396,GD$169,1+SwaptionShift):INDEX($FK$325:$ID$396,GD$169,SwaptionMonthsToGo+SwaptionShift))))))</f>
        <v/>
      </c>
      <c r="GE173" s="479" t="str">
        <f ca="1">IF(OR(GE$169&lt;SwaptionFirstMonthPosition+1,$FJ173&lt;SwaptionFirstMonthPosition+1,GE$169&gt;SwaptionFirstMonthPosition+SwaptionNumOfMonths+1,$FJ173&gt;SwaptionFirstMonthPosition+SwaptionNumOfMonths+1),"",IF($FJ173=GE$169,1,IF($FJ173&lt;GE$169,INDEX($FK$170:$ID$241,GE$169,$FJ173),SUMPRODUCT(INDEX($FK$325:$ID$396,GE$169,1+SwaptionShift):INDEX($FK$325:$ID$396,GE$169,SwaptionMonthsToGo+SwaptionShift),INDEX($FK$245:$ID$316,$FJ173-GE$169,73-GE$169+SwaptionShift):INDEX($FK$245:$ID$316,$FJ173-GE$169,72-GE$169+SwaptionMonthsToGo+SwaptionShift))/SQRT(SUM(INDEX($FK328:$ID328,1+SwaptionShift):INDEX($FK328:$ID328,SwaptionMonthsToGo+SwaptionShift))*SUM(INDEX($FK$325:$ID$396,GE$169,1+SwaptionShift):INDEX($FK$325:$ID$396,GE$169,SwaptionMonthsToGo+SwaptionShift))))))</f>
        <v/>
      </c>
      <c r="GF173" s="479" t="str">
        <f ca="1">IF(OR(GF$169&lt;SwaptionFirstMonthPosition+1,$FJ173&lt;SwaptionFirstMonthPosition+1,GF$169&gt;SwaptionFirstMonthPosition+SwaptionNumOfMonths+1,$FJ173&gt;SwaptionFirstMonthPosition+SwaptionNumOfMonths+1),"",IF($FJ173=GF$169,1,IF($FJ173&lt;GF$169,INDEX($FK$170:$ID$241,GF$169,$FJ173),SUMPRODUCT(INDEX($FK$325:$ID$396,GF$169,1+SwaptionShift):INDEX($FK$325:$ID$396,GF$169,SwaptionMonthsToGo+SwaptionShift),INDEX($FK$245:$ID$316,$FJ173-GF$169,73-GF$169+SwaptionShift):INDEX($FK$245:$ID$316,$FJ173-GF$169,72-GF$169+SwaptionMonthsToGo+SwaptionShift))/SQRT(SUM(INDEX($FK328:$ID328,1+SwaptionShift):INDEX($FK328:$ID328,SwaptionMonthsToGo+SwaptionShift))*SUM(INDEX($FK$325:$ID$396,GF$169,1+SwaptionShift):INDEX($FK$325:$ID$396,GF$169,SwaptionMonthsToGo+SwaptionShift))))))</f>
        <v/>
      </c>
      <c r="GG173" s="479" t="str">
        <f ca="1">IF(OR(GG$169&lt;SwaptionFirstMonthPosition+1,$FJ173&lt;SwaptionFirstMonthPosition+1,GG$169&gt;SwaptionFirstMonthPosition+SwaptionNumOfMonths+1,$FJ173&gt;SwaptionFirstMonthPosition+SwaptionNumOfMonths+1),"",IF($FJ173=GG$169,1,IF($FJ173&lt;GG$169,INDEX($FK$170:$ID$241,GG$169,$FJ173),SUMPRODUCT(INDEX($FK$325:$ID$396,GG$169,1+SwaptionShift):INDEX($FK$325:$ID$396,GG$169,SwaptionMonthsToGo+SwaptionShift),INDEX($FK$245:$ID$316,$FJ173-GG$169,73-GG$169+SwaptionShift):INDEX($FK$245:$ID$316,$FJ173-GG$169,72-GG$169+SwaptionMonthsToGo+SwaptionShift))/SQRT(SUM(INDEX($FK328:$ID328,1+SwaptionShift):INDEX($FK328:$ID328,SwaptionMonthsToGo+SwaptionShift))*SUM(INDEX($FK$325:$ID$396,GG$169,1+SwaptionShift):INDEX($FK$325:$ID$396,GG$169,SwaptionMonthsToGo+SwaptionShift))))))</f>
        <v/>
      </c>
      <c r="GH173" s="479" t="str">
        <f ca="1">IF(OR(GH$169&lt;SwaptionFirstMonthPosition+1,$FJ173&lt;SwaptionFirstMonthPosition+1,GH$169&gt;SwaptionFirstMonthPosition+SwaptionNumOfMonths+1,$FJ173&gt;SwaptionFirstMonthPosition+SwaptionNumOfMonths+1),"",IF($FJ173=GH$169,1,IF($FJ173&lt;GH$169,INDEX($FK$170:$ID$241,GH$169,$FJ173),SUMPRODUCT(INDEX($FK$325:$ID$396,GH$169,1+SwaptionShift):INDEX($FK$325:$ID$396,GH$169,SwaptionMonthsToGo+SwaptionShift),INDEX($FK$245:$ID$316,$FJ173-GH$169,73-GH$169+SwaptionShift):INDEX($FK$245:$ID$316,$FJ173-GH$169,72-GH$169+SwaptionMonthsToGo+SwaptionShift))/SQRT(SUM(INDEX($FK328:$ID328,1+SwaptionShift):INDEX($FK328:$ID328,SwaptionMonthsToGo+SwaptionShift))*SUM(INDEX($FK$325:$ID$396,GH$169,1+SwaptionShift):INDEX($FK$325:$ID$396,GH$169,SwaptionMonthsToGo+SwaptionShift))))))</f>
        <v/>
      </c>
      <c r="GI173" s="479" t="str">
        <f ca="1">IF(OR(GI$169&lt;SwaptionFirstMonthPosition+1,$FJ173&lt;SwaptionFirstMonthPosition+1,GI$169&gt;SwaptionFirstMonthPosition+SwaptionNumOfMonths+1,$FJ173&gt;SwaptionFirstMonthPosition+SwaptionNumOfMonths+1),"",IF($FJ173=GI$169,1,IF($FJ173&lt;GI$169,INDEX($FK$170:$ID$241,GI$169,$FJ173),SUMPRODUCT(INDEX($FK$325:$ID$396,GI$169,1+SwaptionShift):INDEX($FK$325:$ID$396,GI$169,SwaptionMonthsToGo+SwaptionShift),INDEX($FK$245:$ID$316,$FJ173-GI$169,73-GI$169+SwaptionShift):INDEX($FK$245:$ID$316,$FJ173-GI$169,72-GI$169+SwaptionMonthsToGo+SwaptionShift))/SQRT(SUM(INDEX($FK328:$ID328,1+SwaptionShift):INDEX($FK328:$ID328,SwaptionMonthsToGo+SwaptionShift))*SUM(INDEX($FK$325:$ID$396,GI$169,1+SwaptionShift):INDEX($FK$325:$ID$396,GI$169,SwaptionMonthsToGo+SwaptionShift))))))</f>
        <v/>
      </c>
      <c r="GJ173" s="479" t="str">
        <f ca="1">IF(OR(GJ$169&lt;SwaptionFirstMonthPosition+1,$FJ173&lt;SwaptionFirstMonthPosition+1,GJ$169&gt;SwaptionFirstMonthPosition+SwaptionNumOfMonths+1,$FJ173&gt;SwaptionFirstMonthPosition+SwaptionNumOfMonths+1),"",IF($FJ173=GJ$169,1,IF($FJ173&lt;GJ$169,INDEX($FK$170:$ID$241,GJ$169,$FJ173),SUMPRODUCT(INDEX($FK$325:$ID$396,GJ$169,1+SwaptionShift):INDEX($FK$325:$ID$396,GJ$169,SwaptionMonthsToGo+SwaptionShift),INDEX($FK$245:$ID$316,$FJ173-GJ$169,73-GJ$169+SwaptionShift):INDEX($FK$245:$ID$316,$FJ173-GJ$169,72-GJ$169+SwaptionMonthsToGo+SwaptionShift))/SQRT(SUM(INDEX($FK328:$ID328,1+SwaptionShift):INDEX($FK328:$ID328,SwaptionMonthsToGo+SwaptionShift))*SUM(INDEX($FK$325:$ID$396,GJ$169,1+SwaptionShift):INDEX($FK$325:$ID$396,GJ$169,SwaptionMonthsToGo+SwaptionShift))))))</f>
        <v/>
      </c>
      <c r="GK173" s="479" t="str">
        <f ca="1">IF(OR(GK$169&lt;SwaptionFirstMonthPosition+1,$FJ173&lt;SwaptionFirstMonthPosition+1,GK$169&gt;SwaptionFirstMonthPosition+SwaptionNumOfMonths+1,$FJ173&gt;SwaptionFirstMonthPosition+SwaptionNumOfMonths+1),"",IF($FJ173=GK$169,1,IF($FJ173&lt;GK$169,INDEX($FK$170:$ID$241,GK$169,$FJ173),SUMPRODUCT(INDEX($FK$325:$ID$396,GK$169,1+SwaptionShift):INDEX($FK$325:$ID$396,GK$169,SwaptionMonthsToGo+SwaptionShift),INDEX($FK$245:$ID$316,$FJ173-GK$169,73-GK$169+SwaptionShift):INDEX($FK$245:$ID$316,$FJ173-GK$169,72-GK$169+SwaptionMonthsToGo+SwaptionShift))/SQRT(SUM(INDEX($FK328:$ID328,1+SwaptionShift):INDEX($FK328:$ID328,SwaptionMonthsToGo+SwaptionShift))*SUM(INDEX($FK$325:$ID$396,GK$169,1+SwaptionShift):INDEX($FK$325:$ID$396,GK$169,SwaptionMonthsToGo+SwaptionShift))))))</f>
        <v/>
      </c>
      <c r="GL173" s="479" t="str">
        <f ca="1">IF(OR(GL$169&lt;SwaptionFirstMonthPosition+1,$FJ173&lt;SwaptionFirstMonthPosition+1,GL$169&gt;SwaptionFirstMonthPosition+SwaptionNumOfMonths+1,$FJ173&gt;SwaptionFirstMonthPosition+SwaptionNumOfMonths+1),"",IF($FJ173=GL$169,1,IF($FJ173&lt;GL$169,INDEX($FK$170:$ID$241,GL$169,$FJ173),SUMPRODUCT(INDEX($FK$325:$ID$396,GL$169,1+SwaptionShift):INDEX($FK$325:$ID$396,GL$169,SwaptionMonthsToGo+SwaptionShift),INDEX($FK$245:$ID$316,$FJ173-GL$169,73-GL$169+SwaptionShift):INDEX($FK$245:$ID$316,$FJ173-GL$169,72-GL$169+SwaptionMonthsToGo+SwaptionShift))/SQRT(SUM(INDEX($FK328:$ID328,1+SwaptionShift):INDEX($FK328:$ID328,SwaptionMonthsToGo+SwaptionShift))*SUM(INDEX($FK$325:$ID$396,GL$169,1+SwaptionShift):INDEX($FK$325:$ID$396,GL$169,SwaptionMonthsToGo+SwaptionShift))))))</f>
        <v/>
      </c>
      <c r="GM173" s="479" t="str">
        <f ca="1">IF(OR(GM$169&lt;SwaptionFirstMonthPosition+1,$FJ173&lt;SwaptionFirstMonthPosition+1,GM$169&gt;SwaptionFirstMonthPosition+SwaptionNumOfMonths+1,$FJ173&gt;SwaptionFirstMonthPosition+SwaptionNumOfMonths+1),"",IF($FJ173=GM$169,1,IF($FJ173&lt;GM$169,INDEX($FK$170:$ID$241,GM$169,$FJ173),SUMPRODUCT(INDEX($FK$325:$ID$396,GM$169,1+SwaptionShift):INDEX($FK$325:$ID$396,GM$169,SwaptionMonthsToGo+SwaptionShift),INDEX($FK$245:$ID$316,$FJ173-GM$169,73-GM$169+SwaptionShift):INDEX($FK$245:$ID$316,$FJ173-GM$169,72-GM$169+SwaptionMonthsToGo+SwaptionShift))/SQRT(SUM(INDEX($FK328:$ID328,1+SwaptionShift):INDEX($FK328:$ID328,SwaptionMonthsToGo+SwaptionShift))*SUM(INDEX($FK$325:$ID$396,GM$169,1+SwaptionShift):INDEX($FK$325:$ID$396,GM$169,SwaptionMonthsToGo+SwaptionShift))))))</f>
        <v/>
      </c>
      <c r="GN173" s="479" t="str">
        <f ca="1">IF(OR(GN$169&lt;SwaptionFirstMonthPosition+1,$FJ173&lt;SwaptionFirstMonthPosition+1,GN$169&gt;SwaptionFirstMonthPosition+SwaptionNumOfMonths+1,$FJ173&gt;SwaptionFirstMonthPosition+SwaptionNumOfMonths+1),"",IF($FJ173=GN$169,1,IF($FJ173&lt;GN$169,INDEX($FK$170:$ID$241,GN$169,$FJ173),SUMPRODUCT(INDEX($FK$325:$ID$396,GN$169,1+SwaptionShift):INDEX($FK$325:$ID$396,GN$169,SwaptionMonthsToGo+SwaptionShift),INDEX($FK$245:$ID$316,$FJ173-GN$169,73-GN$169+SwaptionShift):INDEX($FK$245:$ID$316,$FJ173-GN$169,72-GN$169+SwaptionMonthsToGo+SwaptionShift))/SQRT(SUM(INDEX($FK328:$ID328,1+SwaptionShift):INDEX($FK328:$ID328,SwaptionMonthsToGo+SwaptionShift))*SUM(INDEX($FK$325:$ID$396,GN$169,1+SwaptionShift):INDEX($FK$325:$ID$396,GN$169,SwaptionMonthsToGo+SwaptionShift))))))</f>
        <v/>
      </c>
      <c r="GO173" s="479" t="str">
        <f ca="1">IF(OR(GO$169&lt;SwaptionFirstMonthPosition+1,$FJ173&lt;SwaptionFirstMonthPosition+1,GO$169&gt;SwaptionFirstMonthPosition+SwaptionNumOfMonths+1,$FJ173&gt;SwaptionFirstMonthPosition+SwaptionNumOfMonths+1),"",IF($FJ173=GO$169,1,IF($FJ173&lt;GO$169,INDEX($FK$170:$ID$241,GO$169,$FJ173),SUMPRODUCT(INDEX($FK$325:$ID$396,GO$169,1+SwaptionShift):INDEX($FK$325:$ID$396,GO$169,SwaptionMonthsToGo+SwaptionShift),INDEX($FK$245:$ID$316,$FJ173-GO$169,73-GO$169+SwaptionShift):INDEX($FK$245:$ID$316,$FJ173-GO$169,72-GO$169+SwaptionMonthsToGo+SwaptionShift))/SQRT(SUM(INDEX($FK328:$ID328,1+SwaptionShift):INDEX($FK328:$ID328,SwaptionMonthsToGo+SwaptionShift))*SUM(INDEX($FK$325:$ID$396,GO$169,1+SwaptionShift):INDEX($FK$325:$ID$396,GO$169,SwaptionMonthsToGo+SwaptionShift))))))</f>
        <v/>
      </c>
      <c r="GP173" s="479" t="str">
        <f ca="1">IF(OR(GP$169&lt;SwaptionFirstMonthPosition+1,$FJ173&lt;SwaptionFirstMonthPosition+1,GP$169&gt;SwaptionFirstMonthPosition+SwaptionNumOfMonths+1,$FJ173&gt;SwaptionFirstMonthPosition+SwaptionNumOfMonths+1),"",IF($FJ173=GP$169,1,IF($FJ173&lt;GP$169,INDEX($FK$170:$ID$241,GP$169,$FJ173),SUMPRODUCT(INDEX($FK$325:$ID$396,GP$169,1+SwaptionShift):INDEX($FK$325:$ID$396,GP$169,SwaptionMonthsToGo+SwaptionShift),INDEX($FK$245:$ID$316,$FJ173-GP$169,73-GP$169+SwaptionShift):INDEX($FK$245:$ID$316,$FJ173-GP$169,72-GP$169+SwaptionMonthsToGo+SwaptionShift))/SQRT(SUM(INDEX($FK328:$ID328,1+SwaptionShift):INDEX($FK328:$ID328,SwaptionMonthsToGo+SwaptionShift))*SUM(INDEX($FK$325:$ID$396,GP$169,1+SwaptionShift):INDEX($FK$325:$ID$396,GP$169,SwaptionMonthsToGo+SwaptionShift))))))</f>
        <v/>
      </c>
      <c r="GQ173" s="479" t="str">
        <f ca="1">IF(OR(GQ$169&lt;SwaptionFirstMonthPosition+1,$FJ173&lt;SwaptionFirstMonthPosition+1,GQ$169&gt;SwaptionFirstMonthPosition+SwaptionNumOfMonths+1,$FJ173&gt;SwaptionFirstMonthPosition+SwaptionNumOfMonths+1),"",IF($FJ173=GQ$169,1,IF($FJ173&lt;GQ$169,INDEX($FK$170:$ID$241,GQ$169,$FJ173),SUMPRODUCT(INDEX($FK$325:$ID$396,GQ$169,1+SwaptionShift):INDEX($FK$325:$ID$396,GQ$169,SwaptionMonthsToGo+SwaptionShift),INDEX($FK$245:$ID$316,$FJ173-GQ$169,73-GQ$169+SwaptionShift):INDEX($FK$245:$ID$316,$FJ173-GQ$169,72-GQ$169+SwaptionMonthsToGo+SwaptionShift))/SQRT(SUM(INDEX($FK328:$ID328,1+SwaptionShift):INDEX($FK328:$ID328,SwaptionMonthsToGo+SwaptionShift))*SUM(INDEX($FK$325:$ID$396,GQ$169,1+SwaptionShift):INDEX($FK$325:$ID$396,GQ$169,SwaptionMonthsToGo+SwaptionShift))))))</f>
        <v/>
      </c>
      <c r="GR173" s="479" t="str">
        <f ca="1">IF(OR(GR$169&lt;SwaptionFirstMonthPosition+1,$FJ173&lt;SwaptionFirstMonthPosition+1,GR$169&gt;SwaptionFirstMonthPosition+SwaptionNumOfMonths+1,$FJ173&gt;SwaptionFirstMonthPosition+SwaptionNumOfMonths+1),"",IF($FJ173=GR$169,1,IF($FJ173&lt;GR$169,INDEX($FK$170:$ID$241,GR$169,$FJ173),SUMPRODUCT(INDEX($FK$325:$ID$396,GR$169,1+SwaptionShift):INDEX($FK$325:$ID$396,GR$169,SwaptionMonthsToGo+SwaptionShift),INDEX($FK$245:$ID$316,$FJ173-GR$169,73-GR$169+SwaptionShift):INDEX($FK$245:$ID$316,$FJ173-GR$169,72-GR$169+SwaptionMonthsToGo+SwaptionShift))/SQRT(SUM(INDEX($FK328:$ID328,1+SwaptionShift):INDEX($FK328:$ID328,SwaptionMonthsToGo+SwaptionShift))*SUM(INDEX($FK$325:$ID$396,GR$169,1+SwaptionShift):INDEX($FK$325:$ID$396,GR$169,SwaptionMonthsToGo+SwaptionShift))))))</f>
        <v/>
      </c>
      <c r="GS173" s="479" t="str">
        <f ca="1">IF(OR(GS$169&lt;SwaptionFirstMonthPosition+1,$FJ173&lt;SwaptionFirstMonthPosition+1,GS$169&gt;SwaptionFirstMonthPosition+SwaptionNumOfMonths+1,$FJ173&gt;SwaptionFirstMonthPosition+SwaptionNumOfMonths+1),"",IF($FJ173=GS$169,1,IF($FJ173&lt;GS$169,INDEX($FK$170:$ID$241,GS$169,$FJ173),SUMPRODUCT(INDEX($FK$325:$ID$396,GS$169,1+SwaptionShift):INDEX($FK$325:$ID$396,GS$169,SwaptionMonthsToGo+SwaptionShift),INDEX($FK$245:$ID$316,$FJ173-GS$169,73-GS$169+SwaptionShift):INDEX($FK$245:$ID$316,$FJ173-GS$169,72-GS$169+SwaptionMonthsToGo+SwaptionShift))/SQRT(SUM(INDEX($FK328:$ID328,1+SwaptionShift):INDEX($FK328:$ID328,SwaptionMonthsToGo+SwaptionShift))*SUM(INDEX($FK$325:$ID$396,GS$169,1+SwaptionShift):INDEX($FK$325:$ID$396,GS$169,SwaptionMonthsToGo+SwaptionShift))))))</f>
        <v/>
      </c>
      <c r="GT173" s="479" t="str">
        <f ca="1">IF(OR(GT$169&lt;SwaptionFirstMonthPosition+1,$FJ173&lt;SwaptionFirstMonthPosition+1,GT$169&gt;SwaptionFirstMonthPosition+SwaptionNumOfMonths+1,$FJ173&gt;SwaptionFirstMonthPosition+SwaptionNumOfMonths+1),"",IF($FJ173=GT$169,1,IF($FJ173&lt;GT$169,INDEX($FK$170:$ID$241,GT$169,$FJ173),SUMPRODUCT(INDEX($FK$325:$ID$396,GT$169,1+SwaptionShift):INDEX($FK$325:$ID$396,GT$169,SwaptionMonthsToGo+SwaptionShift),INDEX($FK$245:$ID$316,$FJ173-GT$169,73-GT$169+SwaptionShift):INDEX($FK$245:$ID$316,$FJ173-GT$169,72-GT$169+SwaptionMonthsToGo+SwaptionShift))/SQRT(SUM(INDEX($FK328:$ID328,1+SwaptionShift):INDEX($FK328:$ID328,SwaptionMonthsToGo+SwaptionShift))*SUM(INDEX($FK$325:$ID$396,GT$169,1+SwaptionShift):INDEX($FK$325:$ID$396,GT$169,SwaptionMonthsToGo+SwaptionShift))))))</f>
        <v/>
      </c>
      <c r="GU173" s="479" t="str">
        <f ca="1">IF(OR(GU$169&lt;SwaptionFirstMonthPosition+1,$FJ173&lt;SwaptionFirstMonthPosition+1,GU$169&gt;SwaptionFirstMonthPosition+SwaptionNumOfMonths+1,$FJ173&gt;SwaptionFirstMonthPosition+SwaptionNumOfMonths+1),"",IF($FJ173=GU$169,1,IF($FJ173&lt;GU$169,INDEX($FK$170:$ID$241,GU$169,$FJ173),SUMPRODUCT(INDEX($FK$325:$ID$396,GU$169,1+SwaptionShift):INDEX($FK$325:$ID$396,GU$169,SwaptionMonthsToGo+SwaptionShift),INDEX($FK$245:$ID$316,$FJ173-GU$169,73-GU$169+SwaptionShift):INDEX($FK$245:$ID$316,$FJ173-GU$169,72-GU$169+SwaptionMonthsToGo+SwaptionShift))/SQRT(SUM(INDEX($FK328:$ID328,1+SwaptionShift):INDEX($FK328:$ID328,SwaptionMonthsToGo+SwaptionShift))*SUM(INDEX($FK$325:$ID$396,GU$169,1+SwaptionShift):INDEX($FK$325:$ID$396,GU$169,SwaptionMonthsToGo+SwaptionShift))))))</f>
        <v/>
      </c>
      <c r="GV173" s="479" t="str">
        <f ca="1">IF(OR(GV$169&lt;SwaptionFirstMonthPosition+1,$FJ173&lt;SwaptionFirstMonthPosition+1,GV$169&gt;SwaptionFirstMonthPosition+SwaptionNumOfMonths+1,$FJ173&gt;SwaptionFirstMonthPosition+SwaptionNumOfMonths+1),"",IF($FJ173=GV$169,1,IF($FJ173&lt;GV$169,INDEX($FK$170:$ID$241,GV$169,$FJ173),SUMPRODUCT(INDEX($FK$325:$ID$396,GV$169,1+SwaptionShift):INDEX($FK$325:$ID$396,GV$169,SwaptionMonthsToGo+SwaptionShift),INDEX($FK$245:$ID$316,$FJ173-GV$169,73-GV$169+SwaptionShift):INDEX($FK$245:$ID$316,$FJ173-GV$169,72-GV$169+SwaptionMonthsToGo+SwaptionShift))/SQRT(SUM(INDEX($FK328:$ID328,1+SwaptionShift):INDEX($FK328:$ID328,SwaptionMonthsToGo+SwaptionShift))*SUM(INDEX($FK$325:$ID$396,GV$169,1+SwaptionShift):INDEX($FK$325:$ID$396,GV$169,SwaptionMonthsToGo+SwaptionShift))))))</f>
        <v/>
      </c>
      <c r="GW173" s="479" t="str">
        <f ca="1">IF(OR(GW$169&lt;SwaptionFirstMonthPosition+1,$FJ173&lt;SwaptionFirstMonthPosition+1,GW$169&gt;SwaptionFirstMonthPosition+SwaptionNumOfMonths+1,$FJ173&gt;SwaptionFirstMonthPosition+SwaptionNumOfMonths+1),"",IF($FJ173=GW$169,1,IF($FJ173&lt;GW$169,INDEX($FK$170:$ID$241,GW$169,$FJ173),SUMPRODUCT(INDEX($FK$325:$ID$396,GW$169,1+SwaptionShift):INDEX($FK$325:$ID$396,GW$169,SwaptionMonthsToGo+SwaptionShift),INDEX($FK$245:$ID$316,$FJ173-GW$169,73-GW$169+SwaptionShift):INDEX($FK$245:$ID$316,$FJ173-GW$169,72-GW$169+SwaptionMonthsToGo+SwaptionShift))/SQRT(SUM(INDEX($FK328:$ID328,1+SwaptionShift):INDEX($FK328:$ID328,SwaptionMonthsToGo+SwaptionShift))*SUM(INDEX($FK$325:$ID$396,GW$169,1+SwaptionShift):INDEX($FK$325:$ID$396,GW$169,SwaptionMonthsToGo+SwaptionShift))))))</f>
        <v/>
      </c>
      <c r="GX173" s="479" t="str">
        <f ca="1">IF(OR(GX$169&lt;SwaptionFirstMonthPosition+1,$FJ173&lt;SwaptionFirstMonthPosition+1,GX$169&gt;SwaptionFirstMonthPosition+SwaptionNumOfMonths+1,$FJ173&gt;SwaptionFirstMonthPosition+SwaptionNumOfMonths+1),"",IF($FJ173=GX$169,1,IF($FJ173&lt;GX$169,INDEX($FK$170:$ID$241,GX$169,$FJ173),SUMPRODUCT(INDEX($FK$325:$ID$396,GX$169,1+SwaptionShift):INDEX($FK$325:$ID$396,GX$169,SwaptionMonthsToGo+SwaptionShift),INDEX($FK$245:$ID$316,$FJ173-GX$169,73-GX$169+SwaptionShift):INDEX($FK$245:$ID$316,$FJ173-GX$169,72-GX$169+SwaptionMonthsToGo+SwaptionShift))/SQRT(SUM(INDEX($FK328:$ID328,1+SwaptionShift):INDEX($FK328:$ID328,SwaptionMonthsToGo+SwaptionShift))*SUM(INDEX($FK$325:$ID$396,GX$169,1+SwaptionShift):INDEX($FK$325:$ID$396,GX$169,SwaptionMonthsToGo+SwaptionShift))))))</f>
        <v/>
      </c>
      <c r="GY173" s="479" t="str">
        <f ca="1">IF(OR(GY$169&lt;SwaptionFirstMonthPosition+1,$FJ173&lt;SwaptionFirstMonthPosition+1,GY$169&gt;SwaptionFirstMonthPosition+SwaptionNumOfMonths+1,$FJ173&gt;SwaptionFirstMonthPosition+SwaptionNumOfMonths+1),"",IF($FJ173=GY$169,1,IF($FJ173&lt;GY$169,INDEX($FK$170:$ID$241,GY$169,$FJ173),SUMPRODUCT(INDEX($FK$325:$ID$396,GY$169,1+SwaptionShift):INDEX($FK$325:$ID$396,GY$169,SwaptionMonthsToGo+SwaptionShift),INDEX($FK$245:$ID$316,$FJ173-GY$169,73-GY$169+SwaptionShift):INDEX($FK$245:$ID$316,$FJ173-GY$169,72-GY$169+SwaptionMonthsToGo+SwaptionShift))/SQRT(SUM(INDEX($FK328:$ID328,1+SwaptionShift):INDEX($FK328:$ID328,SwaptionMonthsToGo+SwaptionShift))*SUM(INDEX($FK$325:$ID$396,GY$169,1+SwaptionShift):INDEX($FK$325:$ID$396,GY$169,SwaptionMonthsToGo+SwaptionShift))))))</f>
        <v/>
      </c>
      <c r="GZ173" s="479" t="str">
        <f ca="1">IF(OR(GZ$169&lt;SwaptionFirstMonthPosition+1,$FJ173&lt;SwaptionFirstMonthPosition+1,GZ$169&gt;SwaptionFirstMonthPosition+SwaptionNumOfMonths+1,$FJ173&gt;SwaptionFirstMonthPosition+SwaptionNumOfMonths+1),"",IF($FJ173=GZ$169,1,IF($FJ173&lt;GZ$169,INDEX($FK$170:$ID$241,GZ$169,$FJ173),SUMPRODUCT(INDEX($FK$325:$ID$396,GZ$169,1+SwaptionShift):INDEX($FK$325:$ID$396,GZ$169,SwaptionMonthsToGo+SwaptionShift),INDEX($FK$245:$ID$316,$FJ173-GZ$169,73-GZ$169+SwaptionShift):INDEX($FK$245:$ID$316,$FJ173-GZ$169,72-GZ$169+SwaptionMonthsToGo+SwaptionShift))/SQRT(SUM(INDEX($FK328:$ID328,1+SwaptionShift):INDEX($FK328:$ID328,SwaptionMonthsToGo+SwaptionShift))*SUM(INDEX($FK$325:$ID$396,GZ$169,1+SwaptionShift):INDEX($FK$325:$ID$396,GZ$169,SwaptionMonthsToGo+SwaptionShift))))))</f>
        <v/>
      </c>
      <c r="HA173" s="479" t="str">
        <f ca="1">IF(OR(HA$169&lt;SwaptionFirstMonthPosition+1,$FJ173&lt;SwaptionFirstMonthPosition+1,HA$169&gt;SwaptionFirstMonthPosition+SwaptionNumOfMonths+1,$FJ173&gt;SwaptionFirstMonthPosition+SwaptionNumOfMonths+1),"",IF($FJ173=HA$169,1,IF($FJ173&lt;HA$169,INDEX($FK$170:$ID$241,HA$169,$FJ173),SUMPRODUCT(INDEX($FK$325:$ID$396,HA$169,1+SwaptionShift):INDEX($FK$325:$ID$396,HA$169,SwaptionMonthsToGo+SwaptionShift),INDEX($FK$245:$ID$316,$FJ173-HA$169,73-HA$169+SwaptionShift):INDEX($FK$245:$ID$316,$FJ173-HA$169,72-HA$169+SwaptionMonthsToGo+SwaptionShift))/SQRT(SUM(INDEX($FK328:$ID328,1+SwaptionShift):INDEX($FK328:$ID328,SwaptionMonthsToGo+SwaptionShift))*SUM(INDEX($FK$325:$ID$396,HA$169,1+SwaptionShift):INDEX($FK$325:$ID$396,HA$169,SwaptionMonthsToGo+SwaptionShift))))))</f>
        <v/>
      </c>
      <c r="HB173" s="479" t="str">
        <f ca="1">IF(OR(HB$169&lt;SwaptionFirstMonthPosition+1,$FJ173&lt;SwaptionFirstMonthPosition+1,HB$169&gt;SwaptionFirstMonthPosition+SwaptionNumOfMonths+1,$FJ173&gt;SwaptionFirstMonthPosition+SwaptionNumOfMonths+1),"",IF($FJ173=HB$169,1,IF($FJ173&lt;HB$169,INDEX($FK$170:$ID$241,HB$169,$FJ173),SUMPRODUCT(INDEX($FK$325:$ID$396,HB$169,1+SwaptionShift):INDEX($FK$325:$ID$396,HB$169,SwaptionMonthsToGo+SwaptionShift),INDEX($FK$245:$ID$316,$FJ173-HB$169,73-HB$169+SwaptionShift):INDEX($FK$245:$ID$316,$FJ173-HB$169,72-HB$169+SwaptionMonthsToGo+SwaptionShift))/SQRT(SUM(INDEX($FK328:$ID328,1+SwaptionShift):INDEX($FK328:$ID328,SwaptionMonthsToGo+SwaptionShift))*SUM(INDEX($FK$325:$ID$396,HB$169,1+SwaptionShift):INDEX($FK$325:$ID$396,HB$169,SwaptionMonthsToGo+SwaptionShift))))))</f>
        <v/>
      </c>
      <c r="HC173" s="479" t="str">
        <f ca="1">IF(OR(HC$169&lt;SwaptionFirstMonthPosition+1,$FJ173&lt;SwaptionFirstMonthPosition+1,HC$169&gt;SwaptionFirstMonthPosition+SwaptionNumOfMonths+1,$FJ173&gt;SwaptionFirstMonthPosition+SwaptionNumOfMonths+1),"",IF($FJ173=HC$169,1,IF($FJ173&lt;HC$169,INDEX($FK$170:$ID$241,HC$169,$FJ173),SUMPRODUCT(INDEX($FK$325:$ID$396,HC$169,1+SwaptionShift):INDEX($FK$325:$ID$396,HC$169,SwaptionMonthsToGo+SwaptionShift),INDEX($FK$245:$ID$316,$FJ173-HC$169,73-HC$169+SwaptionShift):INDEX($FK$245:$ID$316,$FJ173-HC$169,72-HC$169+SwaptionMonthsToGo+SwaptionShift))/SQRT(SUM(INDEX($FK328:$ID328,1+SwaptionShift):INDEX($FK328:$ID328,SwaptionMonthsToGo+SwaptionShift))*SUM(INDEX($FK$325:$ID$396,HC$169,1+SwaptionShift):INDEX($FK$325:$ID$396,HC$169,SwaptionMonthsToGo+SwaptionShift))))))</f>
        <v/>
      </c>
      <c r="HD173" s="479" t="str">
        <f ca="1">IF(OR(HD$169&lt;SwaptionFirstMonthPosition+1,$FJ173&lt;SwaptionFirstMonthPosition+1,HD$169&gt;SwaptionFirstMonthPosition+SwaptionNumOfMonths+1,$FJ173&gt;SwaptionFirstMonthPosition+SwaptionNumOfMonths+1),"",IF($FJ173=HD$169,1,IF($FJ173&lt;HD$169,INDEX($FK$170:$ID$241,HD$169,$FJ173),SUMPRODUCT(INDEX($FK$325:$ID$396,HD$169,1+SwaptionShift):INDEX($FK$325:$ID$396,HD$169,SwaptionMonthsToGo+SwaptionShift),INDEX($FK$245:$ID$316,$FJ173-HD$169,73-HD$169+SwaptionShift):INDEX($FK$245:$ID$316,$FJ173-HD$169,72-HD$169+SwaptionMonthsToGo+SwaptionShift))/SQRT(SUM(INDEX($FK328:$ID328,1+SwaptionShift):INDEX($FK328:$ID328,SwaptionMonthsToGo+SwaptionShift))*SUM(INDEX($FK$325:$ID$396,HD$169,1+SwaptionShift):INDEX($FK$325:$ID$396,HD$169,SwaptionMonthsToGo+SwaptionShift))))))</f>
        <v/>
      </c>
      <c r="HE173" s="479" t="str">
        <f ca="1">IF(OR(HE$169&lt;SwaptionFirstMonthPosition+1,$FJ173&lt;SwaptionFirstMonthPosition+1,HE$169&gt;SwaptionFirstMonthPosition+SwaptionNumOfMonths+1,$FJ173&gt;SwaptionFirstMonthPosition+SwaptionNumOfMonths+1),"",IF($FJ173=HE$169,1,IF($FJ173&lt;HE$169,INDEX($FK$170:$ID$241,HE$169,$FJ173),SUMPRODUCT(INDEX($FK$325:$ID$396,HE$169,1+SwaptionShift):INDEX($FK$325:$ID$396,HE$169,SwaptionMonthsToGo+SwaptionShift),INDEX($FK$245:$ID$316,$FJ173-HE$169,73-HE$169+SwaptionShift):INDEX($FK$245:$ID$316,$FJ173-HE$169,72-HE$169+SwaptionMonthsToGo+SwaptionShift))/SQRT(SUM(INDEX($FK328:$ID328,1+SwaptionShift):INDEX($FK328:$ID328,SwaptionMonthsToGo+SwaptionShift))*SUM(INDEX($FK$325:$ID$396,HE$169,1+SwaptionShift):INDEX($FK$325:$ID$396,HE$169,SwaptionMonthsToGo+SwaptionShift))))))</f>
        <v/>
      </c>
      <c r="HF173" s="479" t="str">
        <f ca="1">IF(OR(HF$169&lt;SwaptionFirstMonthPosition+1,$FJ173&lt;SwaptionFirstMonthPosition+1,HF$169&gt;SwaptionFirstMonthPosition+SwaptionNumOfMonths+1,$FJ173&gt;SwaptionFirstMonthPosition+SwaptionNumOfMonths+1),"",IF($FJ173=HF$169,1,IF($FJ173&lt;HF$169,INDEX($FK$170:$ID$241,HF$169,$FJ173),SUMPRODUCT(INDEX($FK$325:$ID$396,HF$169,1+SwaptionShift):INDEX($FK$325:$ID$396,HF$169,SwaptionMonthsToGo+SwaptionShift),INDEX($FK$245:$ID$316,$FJ173-HF$169,73-HF$169+SwaptionShift):INDEX($FK$245:$ID$316,$FJ173-HF$169,72-HF$169+SwaptionMonthsToGo+SwaptionShift))/SQRT(SUM(INDEX($FK328:$ID328,1+SwaptionShift):INDEX($FK328:$ID328,SwaptionMonthsToGo+SwaptionShift))*SUM(INDEX($FK$325:$ID$396,HF$169,1+SwaptionShift):INDEX($FK$325:$ID$396,HF$169,SwaptionMonthsToGo+SwaptionShift))))))</f>
        <v/>
      </c>
      <c r="HG173" s="479" t="str">
        <f ca="1">IF(OR(HG$169&lt;SwaptionFirstMonthPosition+1,$FJ173&lt;SwaptionFirstMonthPosition+1,HG$169&gt;SwaptionFirstMonthPosition+SwaptionNumOfMonths+1,$FJ173&gt;SwaptionFirstMonthPosition+SwaptionNumOfMonths+1),"",IF($FJ173=HG$169,1,IF($FJ173&lt;HG$169,INDEX($FK$170:$ID$241,HG$169,$FJ173),SUMPRODUCT(INDEX($FK$325:$ID$396,HG$169,1+SwaptionShift):INDEX($FK$325:$ID$396,HG$169,SwaptionMonthsToGo+SwaptionShift),INDEX($FK$245:$ID$316,$FJ173-HG$169,73-HG$169+SwaptionShift):INDEX($FK$245:$ID$316,$FJ173-HG$169,72-HG$169+SwaptionMonthsToGo+SwaptionShift))/SQRT(SUM(INDEX($FK328:$ID328,1+SwaptionShift):INDEX($FK328:$ID328,SwaptionMonthsToGo+SwaptionShift))*SUM(INDEX($FK$325:$ID$396,HG$169,1+SwaptionShift):INDEX($FK$325:$ID$396,HG$169,SwaptionMonthsToGo+SwaptionShift))))))</f>
        <v/>
      </c>
      <c r="HH173" s="479" t="str">
        <f ca="1">IF(OR(HH$169&lt;SwaptionFirstMonthPosition+1,$FJ173&lt;SwaptionFirstMonthPosition+1,HH$169&gt;SwaptionFirstMonthPosition+SwaptionNumOfMonths+1,$FJ173&gt;SwaptionFirstMonthPosition+SwaptionNumOfMonths+1),"",IF($FJ173=HH$169,1,IF($FJ173&lt;HH$169,INDEX($FK$170:$ID$241,HH$169,$FJ173),SUMPRODUCT(INDEX($FK$325:$ID$396,HH$169,1+SwaptionShift):INDEX($FK$325:$ID$396,HH$169,SwaptionMonthsToGo+SwaptionShift),INDEX($FK$245:$ID$316,$FJ173-HH$169,73-HH$169+SwaptionShift):INDEX($FK$245:$ID$316,$FJ173-HH$169,72-HH$169+SwaptionMonthsToGo+SwaptionShift))/SQRT(SUM(INDEX($FK328:$ID328,1+SwaptionShift):INDEX($FK328:$ID328,SwaptionMonthsToGo+SwaptionShift))*SUM(INDEX($FK$325:$ID$396,HH$169,1+SwaptionShift):INDEX($FK$325:$ID$396,HH$169,SwaptionMonthsToGo+SwaptionShift))))))</f>
        <v/>
      </c>
      <c r="HI173" s="479" t="str">
        <f ca="1">IF(OR(HI$169&lt;SwaptionFirstMonthPosition+1,$FJ173&lt;SwaptionFirstMonthPosition+1,HI$169&gt;SwaptionFirstMonthPosition+SwaptionNumOfMonths+1,$FJ173&gt;SwaptionFirstMonthPosition+SwaptionNumOfMonths+1),"",IF($FJ173=HI$169,1,IF($FJ173&lt;HI$169,INDEX($FK$170:$ID$241,HI$169,$FJ173),SUMPRODUCT(INDEX($FK$325:$ID$396,HI$169,1+SwaptionShift):INDEX($FK$325:$ID$396,HI$169,SwaptionMonthsToGo+SwaptionShift),INDEX($FK$245:$ID$316,$FJ173-HI$169,73-HI$169+SwaptionShift):INDEX($FK$245:$ID$316,$FJ173-HI$169,72-HI$169+SwaptionMonthsToGo+SwaptionShift))/SQRT(SUM(INDEX($FK328:$ID328,1+SwaptionShift):INDEX($FK328:$ID328,SwaptionMonthsToGo+SwaptionShift))*SUM(INDEX($FK$325:$ID$396,HI$169,1+SwaptionShift):INDEX($FK$325:$ID$396,HI$169,SwaptionMonthsToGo+SwaptionShift))))))</f>
        <v/>
      </c>
      <c r="HJ173" s="479" t="str">
        <f ca="1">IF(OR(HJ$169&lt;SwaptionFirstMonthPosition+1,$FJ173&lt;SwaptionFirstMonthPosition+1,HJ$169&gt;SwaptionFirstMonthPosition+SwaptionNumOfMonths+1,$FJ173&gt;SwaptionFirstMonthPosition+SwaptionNumOfMonths+1),"",IF($FJ173=HJ$169,1,IF($FJ173&lt;HJ$169,INDEX($FK$170:$ID$241,HJ$169,$FJ173),SUMPRODUCT(INDEX($FK$325:$ID$396,HJ$169,1+SwaptionShift):INDEX($FK$325:$ID$396,HJ$169,SwaptionMonthsToGo+SwaptionShift),INDEX($FK$245:$ID$316,$FJ173-HJ$169,73-HJ$169+SwaptionShift):INDEX($FK$245:$ID$316,$FJ173-HJ$169,72-HJ$169+SwaptionMonthsToGo+SwaptionShift))/SQRT(SUM(INDEX($FK328:$ID328,1+SwaptionShift):INDEX($FK328:$ID328,SwaptionMonthsToGo+SwaptionShift))*SUM(INDEX($FK$325:$ID$396,HJ$169,1+SwaptionShift):INDEX($FK$325:$ID$396,HJ$169,SwaptionMonthsToGo+SwaptionShift))))))</f>
        <v/>
      </c>
      <c r="HK173" s="479" t="str">
        <f ca="1">IF(OR(HK$169&lt;SwaptionFirstMonthPosition+1,$FJ173&lt;SwaptionFirstMonthPosition+1,HK$169&gt;SwaptionFirstMonthPosition+SwaptionNumOfMonths+1,$FJ173&gt;SwaptionFirstMonthPosition+SwaptionNumOfMonths+1),"",IF($FJ173=HK$169,1,IF($FJ173&lt;HK$169,INDEX($FK$170:$ID$241,HK$169,$FJ173),SUMPRODUCT(INDEX($FK$325:$ID$396,HK$169,1+SwaptionShift):INDEX($FK$325:$ID$396,HK$169,SwaptionMonthsToGo+SwaptionShift),INDEX($FK$245:$ID$316,$FJ173-HK$169,73-HK$169+SwaptionShift):INDEX($FK$245:$ID$316,$FJ173-HK$169,72-HK$169+SwaptionMonthsToGo+SwaptionShift))/SQRT(SUM(INDEX($FK328:$ID328,1+SwaptionShift):INDEX($FK328:$ID328,SwaptionMonthsToGo+SwaptionShift))*SUM(INDEX($FK$325:$ID$396,HK$169,1+SwaptionShift):INDEX($FK$325:$ID$396,HK$169,SwaptionMonthsToGo+SwaptionShift))))))</f>
        <v/>
      </c>
      <c r="HL173" s="479" t="str">
        <f ca="1">IF(OR(HL$169&lt;SwaptionFirstMonthPosition+1,$FJ173&lt;SwaptionFirstMonthPosition+1,HL$169&gt;SwaptionFirstMonthPosition+SwaptionNumOfMonths+1,$FJ173&gt;SwaptionFirstMonthPosition+SwaptionNumOfMonths+1),"",IF($FJ173=HL$169,1,IF($FJ173&lt;HL$169,INDEX($FK$170:$ID$241,HL$169,$FJ173),SUMPRODUCT(INDEX($FK$325:$ID$396,HL$169,1+SwaptionShift):INDEX($FK$325:$ID$396,HL$169,SwaptionMonthsToGo+SwaptionShift),INDEX($FK$245:$ID$316,$FJ173-HL$169,73-HL$169+SwaptionShift):INDEX($FK$245:$ID$316,$FJ173-HL$169,72-HL$169+SwaptionMonthsToGo+SwaptionShift))/SQRT(SUM(INDEX($FK328:$ID328,1+SwaptionShift):INDEX($FK328:$ID328,SwaptionMonthsToGo+SwaptionShift))*SUM(INDEX($FK$325:$ID$396,HL$169,1+SwaptionShift):INDEX($FK$325:$ID$396,HL$169,SwaptionMonthsToGo+SwaptionShift))))))</f>
        <v/>
      </c>
      <c r="HM173" s="479" t="str">
        <f ca="1">IF(OR(HM$169&lt;SwaptionFirstMonthPosition+1,$FJ173&lt;SwaptionFirstMonthPosition+1,HM$169&gt;SwaptionFirstMonthPosition+SwaptionNumOfMonths+1,$FJ173&gt;SwaptionFirstMonthPosition+SwaptionNumOfMonths+1),"",IF($FJ173=HM$169,1,IF($FJ173&lt;HM$169,INDEX($FK$170:$ID$241,HM$169,$FJ173),SUMPRODUCT(INDEX($FK$325:$ID$396,HM$169,1+SwaptionShift):INDEX($FK$325:$ID$396,HM$169,SwaptionMonthsToGo+SwaptionShift),INDEX($FK$245:$ID$316,$FJ173-HM$169,73-HM$169+SwaptionShift):INDEX($FK$245:$ID$316,$FJ173-HM$169,72-HM$169+SwaptionMonthsToGo+SwaptionShift))/SQRT(SUM(INDEX($FK328:$ID328,1+SwaptionShift):INDEX($FK328:$ID328,SwaptionMonthsToGo+SwaptionShift))*SUM(INDEX($FK$325:$ID$396,HM$169,1+SwaptionShift):INDEX($FK$325:$ID$396,HM$169,SwaptionMonthsToGo+SwaptionShift))))))</f>
        <v/>
      </c>
      <c r="HN173" s="479" t="str">
        <f ca="1">IF(OR(HN$169&lt;SwaptionFirstMonthPosition+1,$FJ173&lt;SwaptionFirstMonthPosition+1,HN$169&gt;SwaptionFirstMonthPosition+SwaptionNumOfMonths+1,$FJ173&gt;SwaptionFirstMonthPosition+SwaptionNumOfMonths+1),"",IF($FJ173=HN$169,1,IF($FJ173&lt;HN$169,INDEX($FK$170:$ID$241,HN$169,$FJ173),SUMPRODUCT(INDEX($FK$325:$ID$396,HN$169,1+SwaptionShift):INDEX($FK$325:$ID$396,HN$169,SwaptionMonthsToGo+SwaptionShift),INDEX($FK$245:$ID$316,$FJ173-HN$169,73-HN$169+SwaptionShift):INDEX($FK$245:$ID$316,$FJ173-HN$169,72-HN$169+SwaptionMonthsToGo+SwaptionShift))/SQRT(SUM(INDEX($FK328:$ID328,1+SwaptionShift):INDEX($FK328:$ID328,SwaptionMonthsToGo+SwaptionShift))*SUM(INDEX($FK$325:$ID$396,HN$169,1+SwaptionShift):INDEX($FK$325:$ID$396,HN$169,SwaptionMonthsToGo+SwaptionShift))))))</f>
        <v/>
      </c>
      <c r="HO173" s="479" t="str">
        <f ca="1">IF(OR(HO$169&lt;SwaptionFirstMonthPosition+1,$FJ173&lt;SwaptionFirstMonthPosition+1,HO$169&gt;SwaptionFirstMonthPosition+SwaptionNumOfMonths+1,$FJ173&gt;SwaptionFirstMonthPosition+SwaptionNumOfMonths+1),"",IF($FJ173=HO$169,1,IF($FJ173&lt;HO$169,INDEX($FK$170:$ID$241,HO$169,$FJ173),SUMPRODUCT(INDEX($FK$325:$ID$396,HO$169,1+SwaptionShift):INDEX($FK$325:$ID$396,HO$169,SwaptionMonthsToGo+SwaptionShift),INDEX($FK$245:$ID$316,$FJ173-HO$169,73-HO$169+SwaptionShift):INDEX($FK$245:$ID$316,$FJ173-HO$169,72-HO$169+SwaptionMonthsToGo+SwaptionShift))/SQRT(SUM(INDEX($FK328:$ID328,1+SwaptionShift):INDEX($FK328:$ID328,SwaptionMonthsToGo+SwaptionShift))*SUM(INDEX($FK$325:$ID$396,HO$169,1+SwaptionShift):INDEX($FK$325:$ID$396,HO$169,SwaptionMonthsToGo+SwaptionShift))))))</f>
        <v/>
      </c>
      <c r="HP173" s="479" t="str">
        <f ca="1">IF(OR(HP$169&lt;SwaptionFirstMonthPosition+1,$FJ173&lt;SwaptionFirstMonthPosition+1,HP$169&gt;SwaptionFirstMonthPosition+SwaptionNumOfMonths+1,$FJ173&gt;SwaptionFirstMonthPosition+SwaptionNumOfMonths+1),"",IF($FJ173=HP$169,1,IF($FJ173&lt;HP$169,INDEX($FK$170:$ID$241,HP$169,$FJ173),SUMPRODUCT(INDEX($FK$325:$ID$396,HP$169,1+SwaptionShift):INDEX($FK$325:$ID$396,HP$169,SwaptionMonthsToGo+SwaptionShift),INDEX($FK$245:$ID$316,$FJ173-HP$169,73-HP$169+SwaptionShift):INDEX($FK$245:$ID$316,$FJ173-HP$169,72-HP$169+SwaptionMonthsToGo+SwaptionShift))/SQRT(SUM(INDEX($FK328:$ID328,1+SwaptionShift):INDEX($FK328:$ID328,SwaptionMonthsToGo+SwaptionShift))*SUM(INDEX($FK$325:$ID$396,HP$169,1+SwaptionShift):INDEX($FK$325:$ID$396,HP$169,SwaptionMonthsToGo+SwaptionShift))))))</f>
        <v/>
      </c>
      <c r="HQ173" s="479" t="str">
        <f ca="1">IF(OR(HQ$169&lt;SwaptionFirstMonthPosition+1,$FJ173&lt;SwaptionFirstMonthPosition+1,HQ$169&gt;SwaptionFirstMonthPosition+SwaptionNumOfMonths+1,$FJ173&gt;SwaptionFirstMonthPosition+SwaptionNumOfMonths+1),"",IF($FJ173=HQ$169,1,IF($FJ173&lt;HQ$169,INDEX($FK$170:$ID$241,HQ$169,$FJ173),SUMPRODUCT(INDEX($FK$325:$ID$396,HQ$169,1+SwaptionShift):INDEX($FK$325:$ID$396,HQ$169,SwaptionMonthsToGo+SwaptionShift),INDEX($FK$245:$ID$316,$FJ173-HQ$169,73-HQ$169+SwaptionShift):INDEX($FK$245:$ID$316,$FJ173-HQ$169,72-HQ$169+SwaptionMonthsToGo+SwaptionShift))/SQRT(SUM(INDEX($FK328:$ID328,1+SwaptionShift):INDEX($FK328:$ID328,SwaptionMonthsToGo+SwaptionShift))*SUM(INDEX($FK$325:$ID$396,HQ$169,1+SwaptionShift):INDEX($FK$325:$ID$396,HQ$169,SwaptionMonthsToGo+SwaptionShift))))))</f>
        <v/>
      </c>
      <c r="HR173" s="479" t="str">
        <f ca="1">IF(OR(HR$169&lt;SwaptionFirstMonthPosition+1,$FJ173&lt;SwaptionFirstMonthPosition+1,HR$169&gt;SwaptionFirstMonthPosition+SwaptionNumOfMonths+1,$FJ173&gt;SwaptionFirstMonthPosition+SwaptionNumOfMonths+1),"",IF($FJ173=HR$169,1,IF($FJ173&lt;HR$169,INDEX($FK$170:$ID$241,HR$169,$FJ173),SUMPRODUCT(INDEX($FK$325:$ID$396,HR$169,1+SwaptionShift):INDEX($FK$325:$ID$396,HR$169,SwaptionMonthsToGo+SwaptionShift),INDEX($FK$245:$ID$316,$FJ173-HR$169,73-HR$169+SwaptionShift):INDEX($FK$245:$ID$316,$FJ173-HR$169,72-HR$169+SwaptionMonthsToGo+SwaptionShift))/SQRT(SUM(INDEX($FK328:$ID328,1+SwaptionShift):INDEX($FK328:$ID328,SwaptionMonthsToGo+SwaptionShift))*SUM(INDEX($FK$325:$ID$396,HR$169,1+SwaptionShift):INDEX($FK$325:$ID$396,HR$169,SwaptionMonthsToGo+SwaptionShift))))))</f>
        <v/>
      </c>
      <c r="HS173" s="479" t="str">
        <f ca="1">IF(OR(HS$169&lt;SwaptionFirstMonthPosition+1,$FJ173&lt;SwaptionFirstMonthPosition+1,HS$169&gt;SwaptionFirstMonthPosition+SwaptionNumOfMonths+1,$FJ173&gt;SwaptionFirstMonthPosition+SwaptionNumOfMonths+1),"",IF($FJ173=HS$169,1,IF($FJ173&lt;HS$169,INDEX($FK$170:$ID$241,HS$169,$FJ173),SUMPRODUCT(INDEX($FK$325:$ID$396,HS$169,1+SwaptionShift):INDEX($FK$325:$ID$396,HS$169,SwaptionMonthsToGo+SwaptionShift),INDEX($FK$245:$ID$316,$FJ173-HS$169,73-HS$169+SwaptionShift):INDEX($FK$245:$ID$316,$FJ173-HS$169,72-HS$169+SwaptionMonthsToGo+SwaptionShift))/SQRT(SUM(INDEX($FK328:$ID328,1+SwaptionShift):INDEX($FK328:$ID328,SwaptionMonthsToGo+SwaptionShift))*SUM(INDEX($FK$325:$ID$396,HS$169,1+SwaptionShift):INDEX($FK$325:$ID$396,HS$169,SwaptionMonthsToGo+SwaptionShift))))))</f>
        <v/>
      </c>
      <c r="HT173" s="479" t="str">
        <f ca="1">IF(OR(HT$169&lt;SwaptionFirstMonthPosition+1,$FJ173&lt;SwaptionFirstMonthPosition+1,HT$169&gt;SwaptionFirstMonthPosition+SwaptionNumOfMonths+1,$FJ173&gt;SwaptionFirstMonthPosition+SwaptionNumOfMonths+1),"",IF($FJ173=HT$169,1,IF($FJ173&lt;HT$169,INDEX($FK$170:$ID$241,HT$169,$FJ173),SUMPRODUCT(INDEX($FK$325:$ID$396,HT$169,1+SwaptionShift):INDEX($FK$325:$ID$396,HT$169,SwaptionMonthsToGo+SwaptionShift),INDEX($FK$245:$ID$316,$FJ173-HT$169,73-HT$169+SwaptionShift):INDEX($FK$245:$ID$316,$FJ173-HT$169,72-HT$169+SwaptionMonthsToGo+SwaptionShift))/SQRT(SUM(INDEX($FK328:$ID328,1+SwaptionShift):INDEX($FK328:$ID328,SwaptionMonthsToGo+SwaptionShift))*SUM(INDEX($FK$325:$ID$396,HT$169,1+SwaptionShift):INDEX($FK$325:$ID$396,HT$169,SwaptionMonthsToGo+SwaptionShift))))))</f>
        <v/>
      </c>
      <c r="HU173" s="479" t="str">
        <f ca="1">IF(OR(HU$169&lt;SwaptionFirstMonthPosition+1,$FJ173&lt;SwaptionFirstMonthPosition+1,HU$169&gt;SwaptionFirstMonthPosition+SwaptionNumOfMonths+1,$FJ173&gt;SwaptionFirstMonthPosition+SwaptionNumOfMonths+1),"",IF($FJ173=HU$169,1,IF($FJ173&lt;HU$169,INDEX($FK$170:$ID$241,HU$169,$FJ173),SUMPRODUCT(INDEX($FK$325:$ID$396,HU$169,1+SwaptionShift):INDEX($FK$325:$ID$396,HU$169,SwaptionMonthsToGo+SwaptionShift),INDEX($FK$245:$ID$316,$FJ173-HU$169,73-HU$169+SwaptionShift):INDEX($FK$245:$ID$316,$FJ173-HU$169,72-HU$169+SwaptionMonthsToGo+SwaptionShift))/SQRT(SUM(INDEX($FK328:$ID328,1+SwaptionShift):INDEX($FK328:$ID328,SwaptionMonthsToGo+SwaptionShift))*SUM(INDEX($FK$325:$ID$396,HU$169,1+SwaptionShift):INDEX($FK$325:$ID$396,HU$169,SwaptionMonthsToGo+SwaptionShift))))))</f>
        <v/>
      </c>
      <c r="HV173" s="479" t="str">
        <f ca="1">IF(OR(HV$169&lt;SwaptionFirstMonthPosition+1,$FJ173&lt;SwaptionFirstMonthPosition+1,HV$169&gt;SwaptionFirstMonthPosition+SwaptionNumOfMonths+1,$FJ173&gt;SwaptionFirstMonthPosition+SwaptionNumOfMonths+1),"",IF($FJ173=HV$169,1,IF($FJ173&lt;HV$169,INDEX($FK$170:$ID$241,HV$169,$FJ173),SUMPRODUCT(INDEX($FK$325:$ID$396,HV$169,1+SwaptionShift):INDEX($FK$325:$ID$396,HV$169,SwaptionMonthsToGo+SwaptionShift),INDEX($FK$245:$ID$316,$FJ173-HV$169,73-HV$169+SwaptionShift):INDEX($FK$245:$ID$316,$FJ173-HV$169,72-HV$169+SwaptionMonthsToGo+SwaptionShift))/SQRT(SUM(INDEX($FK328:$ID328,1+SwaptionShift):INDEX($FK328:$ID328,SwaptionMonthsToGo+SwaptionShift))*SUM(INDEX($FK$325:$ID$396,HV$169,1+SwaptionShift):INDEX($FK$325:$ID$396,HV$169,SwaptionMonthsToGo+SwaptionShift))))))</f>
        <v/>
      </c>
      <c r="HW173" s="479" t="str">
        <f ca="1">IF(OR(HW$169&lt;SwaptionFirstMonthPosition+1,$FJ173&lt;SwaptionFirstMonthPosition+1,HW$169&gt;SwaptionFirstMonthPosition+SwaptionNumOfMonths+1,$FJ173&gt;SwaptionFirstMonthPosition+SwaptionNumOfMonths+1),"",IF($FJ173=HW$169,1,IF($FJ173&lt;HW$169,INDEX($FK$170:$ID$241,HW$169,$FJ173),SUMPRODUCT(INDEX($FK$325:$ID$396,HW$169,1+SwaptionShift):INDEX($FK$325:$ID$396,HW$169,SwaptionMonthsToGo+SwaptionShift),INDEX($FK$245:$ID$316,$FJ173-HW$169,73-HW$169+SwaptionShift):INDEX($FK$245:$ID$316,$FJ173-HW$169,72-HW$169+SwaptionMonthsToGo+SwaptionShift))/SQRT(SUM(INDEX($FK328:$ID328,1+SwaptionShift):INDEX($FK328:$ID328,SwaptionMonthsToGo+SwaptionShift))*SUM(INDEX($FK$325:$ID$396,HW$169,1+SwaptionShift):INDEX($FK$325:$ID$396,HW$169,SwaptionMonthsToGo+SwaptionShift))))))</f>
        <v/>
      </c>
      <c r="HX173" s="479" t="str">
        <f ca="1">IF(OR(HX$169&lt;SwaptionFirstMonthPosition+1,$FJ173&lt;SwaptionFirstMonthPosition+1,HX$169&gt;SwaptionFirstMonthPosition+SwaptionNumOfMonths+1,$FJ173&gt;SwaptionFirstMonthPosition+SwaptionNumOfMonths+1),"",IF($FJ173=HX$169,1,IF($FJ173&lt;HX$169,INDEX($FK$170:$ID$241,HX$169,$FJ173),SUMPRODUCT(INDEX($FK$325:$ID$396,HX$169,1+SwaptionShift):INDEX($FK$325:$ID$396,HX$169,SwaptionMonthsToGo+SwaptionShift),INDEX($FK$245:$ID$316,$FJ173-HX$169,73-HX$169+SwaptionShift):INDEX($FK$245:$ID$316,$FJ173-HX$169,72-HX$169+SwaptionMonthsToGo+SwaptionShift))/SQRT(SUM(INDEX($FK328:$ID328,1+SwaptionShift):INDEX($FK328:$ID328,SwaptionMonthsToGo+SwaptionShift))*SUM(INDEX($FK$325:$ID$396,HX$169,1+SwaptionShift):INDEX($FK$325:$ID$396,HX$169,SwaptionMonthsToGo+SwaptionShift))))))</f>
        <v/>
      </c>
      <c r="HY173" s="479" t="str">
        <f ca="1">IF(OR(HY$169&lt;SwaptionFirstMonthPosition+1,$FJ173&lt;SwaptionFirstMonthPosition+1,HY$169&gt;SwaptionFirstMonthPosition+SwaptionNumOfMonths+1,$FJ173&gt;SwaptionFirstMonthPosition+SwaptionNumOfMonths+1),"",IF($FJ173=HY$169,1,IF($FJ173&lt;HY$169,INDEX($FK$170:$ID$241,HY$169,$FJ173),SUMPRODUCT(INDEX($FK$325:$ID$396,HY$169,1+SwaptionShift):INDEX($FK$325:$ID$396,HY$169,SwaptionMonthsToGo+SwaptionShift),INDEX($FK$245:$ID$316,$FJ173-HY$169,73-HY$169+SwaptionShift):INDEX($FK$245:$ID$316,$FJ173-HY$169,72-HY$169+SwaptionMonthsToGo+SwaptionShift))/SQRT(SUM(INDEX($FK328:$ID328,1+SwaptionShift):INDEX($FK328:$ID328,SwaptionMonthsToGo+SwaptionShift))*SUM(INDEX($FK$325:$ID$396,HY$169,1+SwaptionShift):INDEX($FK$325:$ID$396,HY$169,SwaptionMonthsToGo+SwaptionShift))))))</f>
        <v/>
      </c>
      <c r="HZ173" s="479" t="str">
        <f ca="1">IF(OR(HZ$169&lt;SwaptionFirstMonthPosition+1,$FJ173&lt;SwaptionFirstMonthPosition+1,HZ$169&gt;SwaptionFirstMonthPosition+SwaptionNumOfMonths+1,$FJ173&gt;SwaptionFirstMonthPosition+SwaptionNumOfMonths+1),"",IF($FJ173=HZ$169,1,IF($FJ173&lt;HZ$169,INDEX($FK$170:$ID$241,HZ$169,$FJ173),SUMPRODUCT(INDEX($FK$325:$ID$396,HZ$169,1+SwaptionShift):INDEX($FK$325:$ID$396,HZ$169,SwaptionMonthsToGo+SwaptionShift),INDEX($FK$245:$ID$316,$FJ173-HZ$169,73-HZ$169+SwaptionShift):INDEX($FK$245:$ID$316,$FJ173-HZ$169,72-HZ$169+SwaptionMonthsToGo+SwaptionShift))/SQRT(SUM(INDEX($FK328:$ID328,1+SwaptionShift):INDEX($FK328:$ID328,SwaptionMonthsToGo+SwaptionShift))*SUM(INDEX($FK$325:$ID$396,HZ$169,1+SwaptionShift):INDEX($FK$325:$ID$396,HZ$169,SwaptionMonthsToGo+SwaptionShift))))))</f>
        <v/>
      </c>
      <c r="IA173" s="479" t="str">
        <f ca="1">IF(OR(IA$169&lt;SwaptionFirstMonthPosition+1,$FJ173&lt;SwaptionFirstMonthPosition+1,IA$169&gt;SwaptionFirstMonthPosition+SwaptionNumOfMonths+1,$FJ173&gt;SwaptionFirstMonthPosition+SwaptionNumOfMonths+1),"",IF($FJ173=IA$169,1,IF($FJ173&lt;IA$169,INDEX($FK$170:$ID$241,IA$169,$FJ173),SUMPRODUCT(INDEX($FK$325:$ID$396,IA$169,1+SwaptionShift):INDEX($FK$325:$ID$396,IA$169,SwaptionMonthsToGo+SwaptionShift),INDEX($FK$245:$ID$316,$FJ173-IA$169,73-IA$169+SwaptionShift):INDEX($FK$245:$ID$316,$FJ173-IA$169,72-IA$169+SwaptionMonthsToGo+SwaptionShift))/SQRT(SUM(INDEX($FK328:$ID328,1+SwaptionShift):INDEX($FK328:$ID328,SwaptionMonthsToGo+SwaptionShift))*SUM(INDEX($FK$325:$ID$396,IA$169,1+SwaptionShift):INDEX($FK$325:$ID$396,IA$169,SwaptionMonthsToGo+SwaptionShift))))))</f>
        <v/>
      </c>
      <c r="IB173" s="479" t="str">
        <f ca="1">IF(OR(IB$169&lt;SwaptionFirstMonthPosition+1,$FJ173&lt;SwaptionFirstMonthPosition+1,IB$169&gt;SwaptionFirstMonthPosition+SwaptionNumOfMonths+1,$FJ173&gt;SwaptionFirstMonthPosition+SwaptionNumOfMonths+1),"",IF($FJ173=IB$169,1,IF($FJ173&lt;IB$169,INDEX($FK$170:$ID$241,IB$169,$FJ173),SUMPRODUCT(INDEX($FK$325:$ID$396,IB$169,1+SwaptionShift):INDEX($FK$325:$ID$396,IB$169,SwaptionMonthsToGo+SwaptionShift),INDEX($FK$245:$ID$316,$FJ173-IB$169,73-IB$169+SwaptionShift):INDEX($FK$245:$ID$316,$FJ173-IB$169,72-IB$169+SwaptionMonthsToGo+SwaptionShift))/SQRT(SUM(INDEX($FK328:$ID328,1+SwaptionShift):INDEX($FK328:$ID328,SwaptionMonthsToGo+SwaptionShift))*SUM(INDEX($FK$325:$ID$396,IB$169,1+SwaptionShift):INDEX($FK$325:$ID$396,IB$169,SwaptionMonthsToGo+SwaptionShift))))))</f>
        <v/>
      </c>
      <c r="IC173" s="479" t="str">
        <f ca="1">IF(OR(IC$169&lt;SwaptionFirstMonthPosition+1,$FJ173&lt;SwaptionFirstMonthPosition+1,IC$169&gt;SwaptionFirstMonthPosition+SwaptionNumOfMonths+1,$FJ173&gt;SwaptionFirstMonthPosition+SwaptionNumOfMonths+1),"",IF($FJ173=IC$169,1,IF($FJ173&lt;IC$169,INDEX($FK$170:$ID$241,IC$169,$FJ173),SUMPRODUCT(INDEX($FK$325:$ID$396,IC$169,1+SwaptionShift):INDEX($FK$325:$ID$396,IC$169,SwaptionMonthsToGo+SwaptionShift),INDEX($FK$245:$ID$316,$FJ173-IC$169,73-IC$169+SwaptionShift):INDEX($FK$245:$ID$316,$FJ173-IC$169,72-IC$169+SwaptionMonthsToGo+SwaptionShift))/SQRT(SUM(INDEX($FK328:$ID328,1+SwaptionShift):INDEX($FK328:$ID328,SwaptionMonthsToGo+SwaptionShift))*SUM(INDEX($FK$325:$ID$396,IC$169,1+SwaptionShift):INDEX($FK$325:$ID$396,IC$169,SwaptionMonthsToGo+SwaptionShift))))))</f>
        <v/>
      </c>
      <c r="ID173" s="678" t="str">
        <f ca="1">IF(OR(ID$169&lt;SwaptionFirstMonthPosition+1,$FJ173&lt;SwaptionFirstMonthPosition+1,ID$169&gt;SwaptionFirstMonthPosition+SwaptionNumOfMonths+1,$FJ173&gt;SwaptionFirstMonthPosition+SwaptionNumOfMonths+1),"",IF($FJ173=ID$169,1,IF($FJ173&lt;ID$169,INDEX($FK$170:$ID$241,ID$169,$FJ173),SUMPRODUCT(INDEX($FK$325:$ID$396,ID$169,1+SwaptionShift):INDEX($FK$325:$ID$396,ID$169,SwaptionMonthsToGo+SwaptionShift),INDEX($FK$245:$ID$316,$FJ173-ID$169,73-ID$169+SwaptionShift):INDEX($FK$245:$ID$316,$FJ173-ID$169,72-ID$169+SwaptionMonthsToGo+SwaptionShift))/SQRT(SUM(INDEX($FK328:$ID328,1+SwaptionShift):INDEX($FK328:$ID328,SwaptionMonthsToGo+SwaptionShift))*SUM(INDEX($FK$325:$ID$396,ID$169,1+SwaptionShift):INDEX($FK$325:$ID$396,ID$169,SwaptionMonthsToGo+SwaptionShift))))))</f>
        <v/>
      </c>
      <c r="IE173" s="250"/>
    </row>
    <row r="174" spans="8:239">
      <c r="H174" s="51">
        <f t="shared" ca="1" si="527"/>
        <v>0</v>
      </c>
      <c r="I174" s="379">
        <f t="shared" si="528"/>
        <v>41456</v>
      </c>
      <c r="J174" s="377"/>
      <c r="K174" s="104" t="s">
        <v>268</v>
      </c>
      <c r="L174" s="392">
        <f t="shared" si="529"/>
        <v>2.9250000000000043</v>
      </c>
      <c r="M174" s="171"/>
      <c r="N174" s="382">
        <v>0</v>
      </c>
      <c r="O174" s="171">
        <f t="shared" si="490"/>
        <v>0</v>
      </c>
      <c r="P174" s="377"/>
      <c r="Q174" s="104" t="s">
        <v>268</v>
      </c>
      <c r="R174" s="377">
        <f t="shared" ca="1" si="547"/>
        <v>1.7189426594488058</v>
      </c>
      <c r="S174" s="832">
        <f t="shared" si="564"/>
        <v>0.3600000000000001</v>
      </c>
      <c r="T174" s="831">
        <f t="shared" si="548"/>
        <v>0.99999999999625655</v>
      </c>
      <c r="U174" s="545">
        <f t="shared" si="549"/>
        <v>0.99999999999999978</v>
      </c>
      <c r="V174" s="389">
        <v>0</v>
      </c>
      <c r="W174" s="434">
        <f t="shared" si="491"/>
        <v>0</v>
      </c>
      <c r="X174" s="415">
        <f t="shared" si="492"/>
        <v>2.976136363636368</v>
      </c>
      <c r="Y174" s="322">
        <f t="shared" si="493"/>
        <v>-1.2668999999999999</v>
      </c>
      <c r="Z174" s="322">
        <f t="shared" ca="1" si="494"/>
        <v>1.7092363636363681</v>
      </c>
      <c r="AA174" s="429">
        <f t="shared" si="495"/>
        <v>1.2668999999999999</v>
      </c>
      <c r="AB174" s="433">
        <f t="shared" ca="1" si="496"/>
        <v>1.2668999999999999</v>
      </c>
      <c r="AC174" s="229">
        <v>41445</v>
      </c>
      <c r="AD174" s="229">
        <v>41441</v>
      </c>
      <c r="AE174" s="229">
        <v>41440</v>
      </c>
      <c r="AF174" s="229">
        <v>41436</v>
      </c>
      <c r="AG174" s="249" t="s">
        <v>499</v>
      </c>
      <c r="AH174" s="247" t="s">
        <v>499</v>
      </c>
      <c r="AI174" s="146">
        <v>22</v>
      </c>
      <c r="AJ174" s="41">
        <v>14</v>
      </c>
      <c r="AK174" s="41">
        <v>8</v>
      </c>
      <c r="AL174" s="293">
        <v>23</v>
      </c>
      <c r="AM174" s="41">
        <v>10</v>
      </c>
      <c r="AN174" s="147">
        <v>13</v>
      </c>
      <c r="AO174" s="374"/>
      <c r="AP174" s="153">
        <f t="shared" ca="1" si="530"/>
        <v>1</v>
      </c>
      <c r="AQ174" s="374"/>
      <c r="AR174" s="153">
        <f t="shared" ca="1" si="550"/>
        <v>1</v>
      </c>
      <c r="AS174" s="272">
        <f t="shared" si="497"/>
        <v>0</v>
      </c>
      <c r="AT174" s="157">
        <f t="shared" si="531"/>
        <v>0</v>
      </c>
      <c r="AU174" s="157">
        <f t="shared" si="498"/>
        <v>0</v>
      </c>
      <c r="AV174" s="271">
        <f t="shared" ca="1" si="558"/>
        <v>9.9999999999999995E-7</v>
      </c>
      <c r="AW174" s="158" t="str">
        <f t="shared" ca="1" si="499"/>
        <v/>
      </c>
      <c r="AX174" s="157">
        <f t="shared" ca="1" si="551"/>
        <v>1.4077847211884284E-4</v>
      </c>
      <c r="AY174" s="157">
        <f t="shared" ca="1" si="552"/>
        <v>3.9022682270386509E-5</v>
      </c>
      <c r="AZ174" s="157">
        <f t="shared" ca="1" si="553"/>
        <v>2.002629303268112E-6</v>
      </c>
      <c r="BA174" s="157">
        <f t="shared" ca="1" si="554"/>
        <v>2.50328662908514E-7</v>
      </c>
      <c r="BB174" s="157">
        <f t="shared" ca="1" si="555"/>
        <v>2.9367405576509865E-9</v>
      </c>
      <c r="BC174" s="157">
        <f t="shared" ca="1" si="556"/>
        <v>1.2532887894711739E-10</v>
      </c>
      <c r="BD174" s="151">
        <f t="shared" ca="1" si="500"/>
        <v>0</v>
      </c>
      <c r="BE174" s="152">
        <f t="shared" ca="1" si="501"/>
        <v>0</v>
      </c>
      <c r="BF174" s="40">
        <f t="shared" si="502"/>
        <v>2013</v>
      </c>
      <c r="BG174" s="144">
        <f t="shared" si="503"/>
        <v>7</v>
      </c>
      <c r="BH174" s="145">
        <f t="shared" ca="1" si="504"/>
        <v>4696</v>
      </c>
      <c r="BI174" s="313">
        <f t="shared" ca="1" si="568"/>
        <v>12.898015058179329</v>
      </c>
      <c r="BJ174" s="42">
        <f t="shared" ca="1" si="505"/>
        <v>12.950283118660943</v>
      </c>
      <c r="BK174" s="42">
        <f t="shared" ca="1" si="506"/>
        <v>12.953020969448076</v>
      </c>
      <c r="BL174" s="42">
        <f t="shared" ca="1" si="569"/>
        <v>12.980150581793293</v>
      </c>
      <c r="BM174" s="150" t="e">
        <f t="shared" ca="1" si="507"/>
        <v>#DIV/0!</v>
      </c>
      <c r="BN174" s="42" t="e">
        <f t="shared" ca="1" si="508"/>
        <v>#DIV/0!</v>
      </c>
      <c r="BO174" s="293">
        <f t="shared" si="570"/>
        <v>22</v>
      </c>
      <c r="BP174" s="41">
        <f t="shared" si="571"/>
        <v>14</v>
      </c>
      <c r="BQ174" s="41">
        <f t="shared" si="572"/>
        <v>8</v>
      </c>
      <c r="BR174" s="305" t="str">
        <f t="shared" ca="1" si="509"/>
        <v/>
      </c>
      <c r="BS174" s="305" t="str">
        <f t="shared" ca="1" si="573"/>
        <v/>
      </c>
      <c r="BT174" s="307" t="str">
        <f t="shared" ca="1" si="574"/>
        <v/>
      </c>
      <c r="BU174" s="161" t="str">
        <f t="shared" ca="1" si="510"/>
        <v/>
      </c>
      <c r="BV174" s="161" t="str">
        <f t="shared" ca="1" si="511"/>
        <v/>
      </c>
      <c r="BW174" s="308" t="str">
        <f t="shared" ca="1" si="512"/>
        <v/>
      </c>
      <c r="BX174" s="309" t="str">
        <f t="shared" ca="1" si="513"/>
        <v/>
      </c>
      <c r="BY174" s="308" t="str">
        <f t="shared" ca="1" si="575"/>
        <v/>
      </c>
      <c r="BZ174" s="309" t="str">
        <f t="shared" ca="1" si="576"/>
        <v/>
      </c>
      <c r="CA174" s="154" t="str">
        <f t="shared" ca="1" si="514"/>
        <v/>
      </c>
      <c r="CB174" s="154" t="str">
        <f t="shared" ca="1" si="515"/>
        <v/>
      </c>
      <c r="CC174" s="154" t="str">
        <f t="shared" ca="1" si="516"/>
        <v/>
      </c>
      <c r="CD174" s="154" t="str">
        <f t="shared" ca="1" si="517"/>
        <v/>
      </c>
      <c r="CE174" s="310">
        <v>1</v>
      </c>
      <c r="CF174" s="162">
        <f ca="1">IF(BD174,_xll.xCrudeAPO(BU174,BV174,CA174,CB174,S175,S176,BI174,BL174,BP174,BQ174,0,Strike1,AO174,CE174,0,BL174,IF(OptControl=4,0,1),0,1),0)</f>
        <v>0</v>
      </c>
      <c r="CG174" s="163">
        <f ca="1">IF(BD174,_xll.xCrudeAPO(BU174,BV174,CA174,CB174,S175,S176,BI174,BL174,BP174,BQ174,0,Strike1,AO174,CE174,0,BL174,IF(OptControl=4,0,1),1,1)+_xll.xCrudeAPO(BU174,BV174,CA174,CB174,S175,S176,BI174,BL174,BP174,BQ174,0,Strike1,AO174,CE174,0,BL174,IF(OptControl=4,0,1),1,2)+IF(OR(VolSkewFlag=2,ABS(BS174)&lt;0.0001),0,IF(BS174&gt;0,-1,1)*CH174*Strike1/BR174^2*BY174/10%),0)</f>
        <v>0</v>
      </c>
      <c r="CH174" s="163">
        <f ca="1">IF(BD174,(_xll.xCrudeAPO(BU174,BV174,CA174,CB174,S175,S176,BI174,BL174,BP174,BQ174,0,Strike1,AO174,CE174,0,BL174,IF(OptControl=4,0,1),3,1)+_xll.xCrudeAPO(BU174,BV174,CA174,CB174,S175,S176,BI174,BL174,BP174,BQ174,0,Strike1,AO174,CE174,0,BL174,IF(OptControl=4,0,1),3,2))/100,0)</f>
        <v>0</v>
      </c>
      <c r="CI174" s="163">
        <f ca="1">IF(BD174,_xll.xCrudeAPO(BU174,BV174,CA174,CB174,S175,S176,BI174-DaysForThetaCalculation/365.25,BL174-DaysForThetaCalculation/365.25,BP174,BQ174,0,Strike1,AO174,CE174,0,BL174,IF(OptControl=4,0,1),0,1)-_xll.xCrudeAPO(BU174,BV174,CA174,CB174,S175,S176,BI174,BL174,BP174,BQ174,0,Strike1,AO174,CE174,0,BL174,IF(OptControl=4,0,1),0,1),0)</f>
        <v>0</v>
      </c>
      <c r="CJ174" s="311">
        <f ca="1">IF(BD174,_xll.xCrudeAPO(BU174,BV174,CC174,CD174,S175,S176,BI174,BL174,BP174,BQ174,0,Strike2,AO174,CE174,0,BL174,IF(OptControl=3,1,0),0,1),0)</f>
        <v>0</v>
      </c>
      <c r="CK174" s="163">
        <f ca="1">IF(BD174,_xll.xCrudeAPO(BU174,BV174,CC174,CD174,S175,S176,BI174,BL174,BP174,BQ174,0,Strike2,AO174,CE174,0,BL174,IF(OptControl=3,1,0),1,1)+_xll.xCrudeAPO(BU174,BV174,CC174,CD174,S175,S176,BI174,BL174,BP174,BQ174,0,Strike2,AO174,CE174,0,BL174,IF(OptControl=3,1,0),1,2)+IF(OR(VolSkewFlag=2,ABS(BT174)&lt;0.0001),0,IF(BT174&gt;0,-1,1)*CL174*Strike2/BR174^2*BZ174/10%),0)</f>
        <v>0</v>
      </c>
      <c r="CL174" s="163">
        <f ca="1">IF(BD174,(_xll.xCrudeAPO(BU174,BV174,CC174,CD174,S175,S176,BI174,BL174,BP174,BQ174,0,Strike2,AO174,CE174,0,BL174,IF(OptControl=3,1,0),3,1)+_xll.xCrudeAPO(BU174,BV174,CC174,CD174,S175,S176,BI174,BL174,BP174,BQ174,0,Strike2,AO174,CE174,0,BL174,IF(OptControl=3,1,0),3,2))/100,0)</f>
        <v>0</v>
      </c>
      <c r="CM174" s="164">
        <f ca="1">IF(BD174,_xll.xCrudeAPO(BU174,BV174,CC174,CD174,S175,S176,BI174-DaysForThetaCalculation/365.25,BL174-DaysForThetaCalculation/365.25,BP174,BQ174,0,Strike2,AO174,CE174,0,BL174,IF(OptControl=3,1,0),0,1)-_xll.xCrudeAPO(BU174,BV174,CC174,CD174,S175,S176,BI174,BL174,BP174,BQ174,0,Strike2,AO174,CE174,0,BL174,IF(OptControl=3,1,0),0,1),0)</f>
        <v>0</v>
      </c>
      <c r="CN174" s="53"/>
      <c r="CO174" s="796" t="str">
        <f t="shared" ca="1" si="532"/>
        <v/>
      </c>
      <c r="CP174" s="800" t="str">
        <f t="shared" ca="1" si="533"/>
        <v/>
      </c>
      <c r="CQ174" s="797" t="str">
        <f t="shared" ca="1" si="534"/>
        <v/>
      </c>
      <c r="CR174" s="797" t="str">
        <f t="shared" ca="1" si="535"/>
        <v/>
      </c>
      <c r="CS174" s="797" t="str">
        <f t="shared" ca="1" si="536"/>
        <v/>
      </c>
      <c r="CT174" s="797" t="str">
        <f t="shared" ca="1" si="537"/>
        <v/>
      </c>
      <c r="CU174" s="798" t="str">
        <f t="shared" ca="1" si="538"/>
        <v/>
      </c>
      <c r="CV174" s="799" t="str">
        <f t="shared" ca="1" si="539"/>
        <v/>
      </c>
      <c r="CW174" s="799" t="str">
        <f t="shared" ca="1" si="540"/>
        <v/>
      </c>
      <c r="CX174" s="163">
        <f ca="1">IF(BD174,_xll.EURO(CP174,Strike1,AO174,AO174,CV174,CO174,IF(OptControl=4,0,1),0),0)</f>
        <v>0</v>
      </c>
      <c r="CY174" s="163">
        <f ca="1">IF(BD174,_xll.EURO(CP174,Strike1,AO174,AO174,CV174,CO174,IF(OptControl=4,0,1),1)+IF(OR(VolSkewFlag=2,ABS(CQ174)&lt;0.0001),0,IF(CQ174&gt;0,-1,1)*CZ174*100*Strike1/CP174^2*CS174/10%),0)</f>
        <v>0</v>
      </c>
      <c r="CZ174" s="163">
        <f ca="1">IF(BD174,_xll.EURO(CP174,Strike1,AO174,AO174,CV174,CO174,IF(OptControl=4,0,1),3)/100,0)</f>
        <v>0</v>
      </c>
      <c r="DA174" s="163">
        <f ca="1">IF(BD174,_xll.EURO(CP174,Strike1,AO174,AO174,CV174,CO174,IF(OptControl=4,0,1),0)-_xll.EURO(CP174,Strike1,AO174,AO174,CV174,CO174-1,IF(OptControl=4,0,1),0),0)</f>
        <v>0</v>
      </c>
      <c r="DB174" s="163">
        <f ca="1">IF(BD174,_xll.EURO(CP174,Strike2,AO174,AO174,CW174,CO174,IF(OptControl=3,1,0),0),0)</f>
        <v>0</v>
      </c>
      <c r="DC174" s="163">
        <f ca="1">IF(BD174,_xll.EURO(CP174,Strike2,AO174,AO174,CW174,CO174,IF(OptControl=3,1,0),1)+IF(OR(VolSkewFlag=2,ABS(CR174)&lt;0.0001),0,IF(CR174&gt;0,-1,1)*DD174*100*Strike2/CP174^2*CT174/10%),0)</f>
        <v>0</v>
      </c>
      <c r="DD174" s="163">
        <f ca="1">IF(BD174,_xll.EURO(CP174,Strike2,AO174,AO174,CW174,CO174,IF(OptControl=3,1,0),3)/100,0)</f>
        <v>0</v>
      </c>
      <c r="DE174" s="164">
        <f ca="1">IF(BD174,_xll.EURO(CP174,Strike2,AO174,AO174,CW174,CO174,IF(OptControl=3,1,0),0)-_xll.EURO(CP174,Strike2,AO174,AO174,CW174,CO174-1,IF(OptControl=3,1,0),0),0)</f>
        <v>0</v>
      </c>
      <c r="DG174" s="667">
        <f t="shared" ca="1" si="541"/>
        <v>41244</v>
      </c>
      <c r="DH174" s="475">
        <v>21.860000000000056</v>
      </c>
      <c r="DI174" s="665">
        <v>21.925000000000058</v>
      </c>
      <c r="DJ174" s="666">
        <f t="shared" ca="1" si="518"/>
        <v>41244</v>
      </c>
      <c r="DK174" s="475">
        <v>20.658530367127995</v>
      </c>
      <c r="DL174" s="665">
        <v>20.731900000000056</v>
      </c>
      <c r="DM174" s="667">
        <f t="shared" ca="1" si="519"/>
        <v>41244</v>
      </c>
      <c r="DN174" s="668">
        <f t="shared" si="520"/>
        <v>20.708530367127995</v>
      </c>
      <c r="DO174" s="667">
        <f t="shared" ca="1" si="542"/>
        <v>41244</v>
      </c>
      <c r="DP174" s="579">
        <f t="shared" si="543"/>
        <v>20.731900000000056</v>
      </c>
      <c r="DQ174" s="821">
        <v>0</v>
      </c>
      <c r="DR174" s="666">
        <f t="shared" ca="1" si="521"/>
        <v>41244</v>
      </c>
      <c r="DS174" s="669">
        <v>0.13219999999999801</v>
      </c>
      <c r="DT174" s="606">
        <v>0.13141999999999904</v>
      </c>
      <c r="DU174" s="666">
        <f t="shared" ca="1" si="522"/>
        <v>41244</v>
      </c>
      <c r="DV174" s="669">
        <v>0.13219999999999801</v>
      </c>
      <c r="DW174" s="606">
        <v>0.13141999999999904</v>
      </c>
      <c r="DX174" s="667">
        <f t="shared" ca="1" si="523"/>
        <v>41244</v>
      </c>
      <c r="DY174" s="606">
        <v>0.35</v>
      </c>
      <c r="DZ174" s="667">
        <f t="shared" ca="1" si="544"/>
        <v>41244</v>
      </c>
      <c r="EA174" s="606">
        <f t="shared" si="545"/>
        <v>0.13141999999999904</v>
      </c>
      <c r="EB174" s="1"/>
      <c r="EC174" s="118" t="str">
        <f t="shared" ca="1" si="524"/>
        <v/>
      </c>
      <c r="ED174" s="119" t="str">
        <f t="shared" ca="1" si="525"/>
        <v/>
      </c>
      <c r="EE174" s="112" t="str">
        <f t="shared" ca="1" si="526"/>
        <v/>
      </c>
      <c r="EF174" s="120">
        <f ca="1">IF(BD174,_xll.xASN(BR174,Strike1,AO174,ED174,0,BO174,0,BI174,BL174,IF(OptControl=4,0,1),0),0)</f>
        <v>0</v>
      </c>
      <c r="EG174" s="111">
        <f ca="1">IF(BD174,_xll.xASN(BR174,Strike2,AO174,EE174,0,BO174,0,BI174,BL174,IF(OptControl=3,1,0),0),0)</f>
        <v>0</v>
      </c>
      <c r="EL174" s="55"/>
      <c r="EM174" s="1"/>
      <c r="EN174" s="106"/>
      <c r="EO174" s="106"/>
      <c r="EP174" s="1"/>
      <c r="EQ174" s="683" t="s">
        <v>387</v>
      </c>
      <c r="ES174" s="455"/>
      <c r="ET174" s="36"/>
      <c r="EU174" s="107"/>
      <c r="EV174" s="475"/>
      <c r="EW174" s="456"/>
      <c r="EX174" s="456"/>
      <c r="EY174" s="250"/>
      <c r="EZ174" s="250"/>
      <c r="FA174" s="250"/>
      <c r="FB174" s="250"/>
      <c r="FC174" s="250"/>
      <c r="FD174" s="250"/>
      <c r="FE174" s="250"/>
      <c r="FF174" s="250"/>
      <c r="FG174" s="250"/>
      <c r="FH174" s="250"/>
      <c r="FI174" s="250"/>
      <c r="FJ174" s="673">
        <v>5</v>
      </c>
      <c r="FK174" s="479" t="str">
        <f ca="1">IF(OR(FK$169&lt;SwaptionFirstMonthPosition+1,$FJ174&lt;SwaptionFirstMonthPosition+1,FK$169&gt;SwaptionFirstMonthPosition+SwaptionNumOfMonths+1,$FJ174&gt;SwaptionFirstMonthPosition+SwaptionNumOfMonths+1),"",IF($FJ174=FK$169,1,IF($FJ174&lt;FK$169,INDEX($FK$170:$ID$241,FK$169,$FJ174),SUMPRODUCT(INDEX($FK$325:$ID$396,FK$169,1+SwaptionShift):INDEX($FK$325:$ID$396,FK$169,SwaptionMonthsToGo+SwaptionShift),INDEX($FK$245:$ID$316,$FJ174-FK$169,73-FK$169+SwaptionShift):INDEX($FK$245:$ID$316,$FJ174-FK$169,72-FK$169+SwaptionMonthsToGo+SwaptionShift))/SQRT(SUM(INDEX($FK329:$ID329,1+SwaptionShift):INDEX($FK329:$ID329,SwaptionMonthsToGo+SwaptionShift))*SUM(INDEX($FK$325:$ID$396,FK$169,1+SwaptionShift):INDEX($FK$325:$ID$396,FK$169,SwaptionMonthsToGo+SwaptionShift))))))</f>
        <v/>
      </c>
      <c r="FL174" s="479" t="str">
        <f ca="1">IF(OR(FL$169&lt;SwaptionFirstMonthPosition+1,$FJ174&lt;SwaptionFirstMonthPosition+1,FL$169&gt;SwaptionFirstMonthPosition+SwaptionNumOfMonths+1,$FJ174&gt;SwaptionFirstMonthPosition+SwaptionNumOfMonths+1),"",IF($FJ174=FL$169,1,IF($FJ174&lt;FL$169,INDEX($FK$170:$ID$241,FL$169,$FJ174),SUMPRODUCT(INDEX($FK$325:$ID$396,FL$169,1+SwaptionShift):INDEX($FK$325:$ID$396,FL$169,SwaptionMonthsToGo+SwaptionShift),INDEX($FK$245:$ID$316,$FJ174-FL$169,73-FL$169+SwaptionShift):INDEX($FK$245:$ID$316,$FJ174-FL$169,72-FL$169+SwaptionMonthsToGo+SwaptionShift))/SQRT(SUM(INDEX($FK329:$ID329,1+SwaptionShift):INDEX($FK329:$ID329,SwaptionMonthsToGo+SwaptionShift))*SUM(INDEX($FK$325:$ID$396,FL$169,1+SwaptionShift):INDEX($FK$325:$ID$396,FL$169,SwaptionMonthsToGo+SwaptionShift))))))</f>
        <v/>
      </c>
      <c r="FM174" s="479" t="str">
        <f ca="1">IF(OR(FM$169&lt;SwaptionFirstMonthPosition+1,$FJ174&lt;SwaptionFirstMonthPosition+1,FM$169&gt;SwaptionFirstMonthPosition+SwaptionNumOfMonths+1,$FJ174&gt;SwaptionFirstMonthPosition+SwaptionNumOfMonths+1),"",IF($FJ174=FM$169,1,IF($FJ174&lt;FM$169,INDEX($FK$170:$ID$241,FM$169,$FJ174),SUMPRODUCT(INDEX($FK$325:$ID$396,FM$169,1+SwaptionShift):INDEX($FK$325:$ID$396,FM$169,SwaptionMonthsToGo+SwaptionShift),INDEX($FK$245:$ID$316,$FJ174-FM$169,73-FM$169+SwaptionShift):INDEX($FK$245:$ID$316,$FJ174-FM$169,72-FM$169+SwaptionMonthsToGo+SwaptionShift))/SQRT(SUM(INDEX($FK329:$ID329,1+SwaptionShift):INDEX($FK329:$ID329,SwaptionMonthsToGo+SwaptionShift))*SUM(INDEX($FK$325:$ID$396,FM$169,1+SwaptionShift):INDEX($FK$325:$ID$396,FM$169,SwaptionMonthsToGo+SwaptionShift))))))</f>
        <v/>
      </c>
      <c r="FN174" s="479" t="str">
        <f ca="1">IF(OR(FN$169&lt;SwaptionFirstMonthPosition+1,$FJ174&lt;SwaptionFirstMonthPosition+1,FN$169&gt;SwaptionFirstMonthPosition+SwaptionNumOfMonths+1,$FJ174&gt;SwaptionFirstMonthPosition+SwaptionNumOfMonths+1),"",IF($FJ174=FN$169,1,IF($FJ174&lt;FN$169,INDEX($FK$170:$ID$241,FN$169,$FJ174),SUMPRODUCT(INDEX($FK$325:$ID$396,FN$169,1+SwaptionShift):INDEX($FK$325:$ID$396,FN$169,SwaptionMonthsToGo+SwaptionShift),INDEX($FK$245:$ID$316,$FJ174-FN$169,73-FN$169+SwaptionShift):INDEX($FK$245:$ID$316,$FJ174-FN$169,72-FN$169+SwaptionMonthsToGo+SwaptionShift))/SQRT(SUM(INDEX($FK329:$ID329,1+SwaptionShift):INDEX($FK329:$ID329,SwaptionMonthsToGo+SwaptionShift))*SUM(INDEX($FK$325:$ID$396,FN$169,1+SwaptionShift):INDEX($FK$325:$ID$396,FN$169,SwaptionMonthsToGo+SwaptionShift))))))</f>
        <v/>
      </c>
      <c r="FO174" s="479" t="str">
        <f ca="1">IF(OR(FO$169&lt;SwaptionFirstMonthPosition+1,$FJ174&lt;SwaptionFirstMonthPosition+1,FO$169&gt;SwaptionFirstMonthPosition+SwaptionNumOfMonths+1,$FJ174&gt;SwaptionFirstMonthPosition+SwaptionNumOfMonths+1),"",IF($FJ174=FO$169,1,IF($FJ174&lt;FO$169,INDEX($FK$170:$ID$241,FO$169,$FJ174),SUMPRODUCT(INDEX($FK$325:$ID$396,FO$169,1+SwaptionShift):INDEX($FK$325:$ID$396,FO$169,SwaptionMonthsToGo+SwaptionShift),INDEX($FK$245:$ID$316,$FJ174-FO$169,73-FO$169+SwaptionShift):INDEX($FK$245:$ID$316,$FJ174-FO$169,72-FO$169+SwaptionMonthsToGo+SwaptionShift))/SQRT(SUM(INDEX($FK329:$ID329,1+SwaptionShift):INDEX($FK329:$ID329,SwaptionMonthsToGo+SwaptionShift))*SUM(INDEX($FK$325:$ID$396,FO$169,1+SwaptionShift):INDEX($FK$325:$ID$396,FO$169,SwaptionMonthsToGo+SwaptionShift))))))</f>
        <v/>
      </c>
      <c r="FP174" s="479" t="str">
        <f ca="1">IF(OR(FP$169&lt;SwaptionFirstMonthPosition+1,$FJ174&lt;SwaptionFirstMonthPosition+1,FP$169&gt;SwaptionFirstMonthPosition+SwaptionNumOfMonths+1,$FJ174&gt;SwaptionFirstMonthPosition+SwaptionNumOfMonths+1),"",IF($FJ174=FP$169,1,IF($FJ174&lt;FP$169,INDEX($FK$170:$ID$241,FP$169,$FJ174),SUMPRODUCT(INDEX($FK$325:$ID$396,FP$169,1+SwaptionShift):INDEX($FK$325:$ID$396,FP$169,SwaptionMonthsToGo+SwaptionShift),INDEX($FK$245:$ID$316,$FJ174-FP$169,73-FP$169+SwaptionShift):INDEX($FK$245:$ID$316,$FJ174-FP$169,72-FP$169+SwaptionMonthsToGo+SwaptionShift))/SQRT(SUM(INDEX($FK329:$ID329,1+SwaptionShift):INDEX($FK329:$ID329,SwaptionMonthsToGo+SwaptionShift))*SUM(INDEX($FK$325:$ID$396,FP$169,1+SwaptionShift):INDEX($FK$325:$ID$396,FP$169,SwaptionMonthsToGo+SwaptionShift))))))</f>
        <v/>
      </c>
      <c r="FQ174" s="479" t="str">
        <f ca="1">IF(OR(FQ$169&lt;SwaptionFirstMonthPosition+1,$FJ174&lt;SwaptionFirstMonthPosition+1,FQ$169&gt;SwaptionFirstMonthPosition+SwaptionNumOfMonths+1,$FJ174&gt;SwaptionFirstMonthPosition+SwaptionNumOfMonths+1),"",IF($FJ174=FQ$169,1,IF($FJ174&lt;FQ$169,INDEX($FK$170:$ID$241,FQ$169,$FJ174),SUMPRODUCT(INDEX($FK$325:$ID$396,FQ$169,1+SwaptionShift):INDEX($FK$325:$ID$396,FQ$169,SwaptionMonthsToGo+SwaptionShift),INDEX($FK$245:$ID$316,$FJ174-FQ$169,73-FQ$169+SwaptionShift):INDEX($FK$245:$ID$316,$FJ174-FQ$169,72-FQ$169+SwaptionMonthsToGo+SwaptionShift))/SQRT(SUM(INDEX($FK329:$ID329,1+SwaptionShift):INDEX($FK329:$ID329,SwaptionMonthsToGo+SwaptionShift))*SUM(INDEX($FK$325:$ID$396,FQ$169,1+SwaptionShift):INDEX($FK$325:$ID$396,FQ$169,SwaptionMonthsToGo+SwaptionShift))))))</f>
        <v/>
      </c>
      <c r="FR174" s="479" t="str">
        <f ca="1">IF(OR(FR$169&lt;SwaptionFirstMonthPosition+1,$FJ174&lt;SwaptionFirstMonthPosition+1,FR$169&gt;SwaptionFirstMonthPosition+SwaptionNumOfMonths+1,$FJ174&gt;SwaptionFirstMonthPosition+SwaptionNumOfMonths+1),"",IF($FJ174=FR$169,1,IF($FJ174&lt;FR$169,INDEX($FK$170:$ID$241,FR$169,$FJ174),SUMPRODUCT(INDEX($FK$325:$ID$396,FR$169,1+SwaptionShift):INDEX($FK$325:$ID$396,FR$169,SwaptionMonthsToGo+SwaptionShift),INDEX($FK$245:$ID$316,$FJ174-FR$169,73-FR$169+SwaptionShift):INDEX($FK$245:$ID$316,$FJ174-FR$169,72-FR$169+SwaptionMonthsToGo+SwaptionShift))/SQRT(SUM(INDEX($FK329:$ID329,1+SwaptionShift):INDEX($FK329:$ID329,SwaptionMonthsToGo+SwaptionShift))*SUM(INDEX($FK$325:$ID$396,FR$169,1+SwaptionShift):INDEX($FK$325:$ID$396,FR$169,SwaptionMonthsToGo+SwaptionShift))))))</f>
        <v/>
      </c>
      <c r="FS174" s="479" t="str">
        <f ca="1">IF(OR(FS$169&lt;SwaptionFirstMonthPosition+1,$FJ174&lt;SwaptionFirstMonthPosition+1,FS$169&gt;SwaptionFirstMonthPosition+SwaptionNumOfMonths+1,$FJ174&gt;SwaptionFirstMonthPosition+SwaptionNumOfMonths+1),"",IF($FJ174=FS$169,1,IF($FJ174&lt;FS$169,INDEX($FK$170:$ID$241,FS$169,$FJ174),SUMPRODUCT(INDEX($FK$325:$ID$396,FS$169,1+SwaptionShift):INDEX($FK$325:$ID$396,FS$169,SwaptionMonthsToGo+SwaptionShift),INDEX($FK$245:$ID$316,$FJ174-FS$169,73-FS$169+SwaptionShift):INDEX($FK$245:$ID$316,$FJ174-FS$169,72-FS$169+SwaptionMonthsToGo+SwaptionShift))/SQRT(SUM(INDEX($FK329:$ID329,1+SwaptionShift):INDEX($FK329:$ID329,SwaptionMonthsToGo+SwaptionShift))*SUM(INDEX($FK$325:$ID$396,FS$169,1+SwaptionShift):INDEX($FK$325:$ID$396,FS$169,SwaptionMonthsToGo+SwaptionShift))))))</f>
        <v/>
      </c>
      <c r="FT174" s="479" t="str">
        <f ca="1">IF(OR(FT$169&lt;SwaptionFirstMonthPosition+1,$FJ174&lt;SwaptionFirstMonthPosition+1,FT$169&gt;SwaptionFirstMonthPosition+SwaptionNumOfMonths+1,$FJ174&gt;SwaptionFirstMonthPosition+SwaptionNumOfMonths+1),"",IF($FJ174=FT$169,1,IF($FJ174&lt;FT$169,INDEX($FK$170:$ID$241,FT$169,$FJ174),SUMPRODUCT(INDEX($FK$325:$ID$396,FT$169,1+SwaptionShift):INDEX($FK$325:$ID$396,FT$169,SwaptionMonthsToGo+SwaptionShift),INDEX($FK$245:$ID$316,$FJ174-FT$169,73-FT$169+SwaptionShift):INDEX($FK$245:$ID$316,$FJ174-FT$169,72-FT$169+SwaptionMonthsToGo+SwaptionShift))/SQRT(SUM(INDEX($FK329:$ID329,1+SwaptionShift):INDEX($FK329:$ID329,SwaptionMonthsToGo+SwaptionShift))*SUM(INDEX($FK$325:$ID$396,FT$169,1+SwaptionShift):INDEX($FK$325:$ID$396,FT$169,SwaptionMonthsToGo+SwaptionShift))))))</f>
        <v/>
      </c>
      <c r="FU174" s="479" t="str">
        <f ca="1">IF(OR(FU$169&lt;SwaptionFirstMonthPosition+1,$FJ174&lt;SwaptionFirstMonthPosition+1,FU$169&gt;SwaptionFirstMonthPosition+SwaptionNumOfMonths+1,$FJ174&gt;SwaptionFirstMonthPosition+SwaptionNumOfMonths+1),"",IF($FJ174=FU$169,1,IF($FJ174&lt;FU$169,INDEX($FK$170:$ID$241,FU$169,$FJ174),SUMPRODUCT(INDEX($FK$325:$ID$396,FU$169,1+SwaptionShift):INDEX($FK$325:$ID$396,FU$169,SwaptionMonthsToGo+SwaptionShift),INDEX($FK$245:$ID$316,$FJ174-FU$169,73-FU$169+SwaptionShift):INDEX($FK$245:$ID$316,$FJ174-FU$169,72-FU$169+SwaptionMonthsToGo+SwaptionShift))/SQRT(SUM(INDEX($FK329:$ID329,1+SwaptionShift):INDEX($FK329:$ID329,SwaptionMonthsToGo+SwaptionShift))*SUM(INDEX($FK$325:$ID$396,FU$169,1+SwaptionShift):INDEX($FK$325:$ID$396,FU$169,SwaptionMonthsToGo+SwaptionShift))))))</f>
        <v/>
      </c>
      <c r="FV174" s="479" t="str">
        <f ca="1">IF(OR(FV$169&lt;SwaptionFirstMonthPosition+1,$FJ174&lt;SwaptionFirstMonthPosition+1,FV$169&gt;SwaptionFirstMonthPosition+SwaptionNumOfMonths+1,$FJ174&gt;SwaptionFirstMonthPosition+SwaptionNumOfMonths+1),"",IF($FJ174=FV$169,1,IF($FJ174&lt;FV$169,INDEX($FK$170:$ID$241,FV$169,$FJ174),SUMPRODUCT(INDEX($FK$325:$ID$396,FV$169,1+SwaptionShift):INDEX($FK$325:$ID$396,FV$169,SwaptionMonthsToGo+SwaptionShift),INDEX($FK$245:$ID$316,$FJ174-FV$169,73-FV$169+SwaptionShift):INDEX($FK$245:$ID$316,$FJ174-FV$169,72-FV$169+SwaptionMonthsToGo+SwaptionShift))/SQRT(SUM(INDEX($FK329:$ID329,1+SwaptionShift):INDEX($FK329:$ID329,SwaptionMonthsToGo+SwaptionShift))*SUM(INDEX($FK$325:$ID$396,FV$169,1+SwaptionShift):INDEX($FK$325:$ID$396,FV$169,SwaptionMonthsToGo+SwaptionShift))))))</f>
        <v/>
      </c>
      <c r="FW174" s="479" t="str">
        <f ca="1">IF(OR(FW$169&lt;SwaptionFirstMonthPosition+1,$FJ174&lt;SwaptionFirstMonthPosition+1,FW$169&gt;SwaptionFirstMonthPosition+SwaptionNumOfMonths+1,$FJ174&gt;SwaptionFirstMonthPosition+SwaptionNumOfMonths+1),"",IF($FJ174=FW$169,1,IF($FJ174&lt;FW$169,INDEX($FK$170:$ID$241,FW$169,$FJ174),SUMPRODUCT(INDEX($FK$325:$ID$396,FW$169,1+SwaptionShift):INDEX($FK$325:$ID$396,FW$169,SwaptionMonthsToGo+SwaptionShift),INDEX($FK$245:$ID$316,$FJ174-FW$169,73-FW$169+SwaptionShift):INDEX($FK$245:$ID$316,$FJ174-FW$169,72-FW$169+SwaptionMonthsToGo+SwaptionShift))/SQRT(SUM(INDEX($FK329:$ID329,1+SwaptionShift):INDEX($FK329:$ID329,SwaptionMonthsToGo+SwaptionShift))*SUM(INDEX($FK$325:$ID$396,FW$169,1+SwaptionShift):INDEX($FK$325:$ID$396,FW$169,SwaptionMonthsToGo+SwaptionShift))))))</f>
        <v/>
      </c>
      <c r="FX174" s="479" t="str">
        <f ca="1">IF(OR(FX$169&lt;SwaptionFirstMonthPosition+1,$FJ174&lt;SwaptionFirstMonthPosition+1,FX$169&gt;SwaptionFirstMonthPosition+SwaptionNumOfMonths+1,$FJ174&gt;SwaptionFirstMonthPosition+SwaptionNumOfMonths+1),"",IF($FJ174=FX$169,1,IF($FJ174&lt;FX$169,INDEX($FK$170:$ID$241,FX$169,$FJ174),SUMPRODUCT(INDEX($FK$325:$ID$396,FX$169,1+SwaptionShift):INDEX($FK$325:$ID$396,FX$169,SwaptionMonthsToGo+SwaptionShift),INDEX($FK$245:$ID$316,$FJ174-FX$169,73-FX$169+SwaptionShift):INDEX($FK$245:$ID$316,$FJ174-FX$169,72-FX$169+SwaptionMonthsToGo+SwaptionShift))/SQRT(SUM(INDEX($FK329:$ID329,1+SwaptionShift):INDEX($FK329:$ID329,SwaptionMonthsToGo+SwaptionShift))*SUM(INDEX($FK$325:$ID$396,FX$169,1+SwaptionShift):INDEX($FK$325:$ID$396,FX$169,SwaptionMonthsToGo+SwaptionShift))))))</f>
        <v/>
      </c>
      <c r="FY174" s="479" t="str">
        <f ca="1">IF(OR(FY$169&lt;SwaptionFirstMonthPosition+1,$FJ174&lt;SwaptionFirstMonthPosition+1,FY$169&gt;SwaptionFirstMonthPosition+SwaptionNumOfMonths+1,$FJ174&gt;SwaptionFirstMonthPosition+SwaptionNumOfMonths+1),"",IF($FJ174=FY$169,1,IF($FJ174&lt;FY$169,INDEX($FK$170:$ID$241,FY$169,$FJ174),SUMPRODUCT(INDEX($FK$325:$ID$396,FY$169,1+SwaptionShift):INDEX($FK$325:$ID$396,FY$169,SwaptionMonthsToGo+SwaptionShift),INDEX($FK$245:$ID$316,$FJ174-FY$169,73-FY$169+SwaptionShift):INDEX($FK$245:$ID$316,$FJ174-FY$169,72-FY$169+SwaptionMonthsToGo+SwaptionShift))/SQRT(SUM(INDEX($FK329:$ID329,1+SwaptionShift):INDEX($FK329:$ID329,SwaptionMonthsToGo+SwaptionShift))*SUM(INDEX($FK$325:$ID$396,FY$169,1+SwaptionShift):INDEX($FK$325:$ID$396,FY$169,SwaptionMonthsToGo+SwaptionShift))))))</f>
        <v/>
      </c>
      <c r="FZ174" s="479" t="str">
        <f ca="1">IF(OR(FZ$169&lt;SwaptionFirstMonthPosition+1,$FJ174&lt;SwaptionFirstMonthPosition+1,FZ$169&gt;SwaptionFirstMonthPosition+SwaptionNumOfMonths+1,$FJ174&gt;SwaptionFirstMonthPosition+SwaptionNumOfMonths+1),"",IF($FJ174=FZ$169,1,IF($FJ174&lt;FZ$169,INDEX($FK$170:$ID$241,FZ$169,$FJ174),SUMPRODUCT(INDEX($FK$325:$ID$396,FZ$169,1+SwaptionShift):INDEX($FK$325:$ID$396,FZ$169,SwaptionMonthsToGo+SwaptionShift),INDEX($FK$245:$ID$316,$FJ174-FZ$169,73-FZ$169+SwaptionShift):INDEX($FK$245:$ID$316,$FJ174-FZ$169,72-FZ$169+SwaptionMonthsToGo+SwaptionShift))/SQRT(SUM(INDEX($FK329:$ID329,1+SwaptionShift):INDEX($FK329:$ID329,SwaptionMonthsToGo+SwaptionShift))*SUM(INDEX($FK$325:$ID$396,FZ$169,1+SwaptionShift):INDEX($FK$325:$ID$396,FZ$169,SwaptionMonthsToGo+SwaptionShift))))))</f>
        <v/>
      </c>
      <c r="GA174" s="479" t="str">
        <f ca="1">IF(OR(GA$169&lt;SwaptionFirstMonthPosition+1,$FJ174&lt;SwaptionFirstMonthPosition+1,GA$169&gt;SwaptionFirstMonthPosition+SwaptionNumOfMonths+1,$FJ174&gt;SwaptionFirstMonthPosition+SwaptionNumOfMonths+1),"",IF($FJ174=GA$169,1,IF($FJ174&lt;GA$169,INDEX($FK$170:$ID$241,GA$169,$FJ174),SUMPRODUCT(INDEX($FK$325:$ID$396,GA$169,1+SwaptionShift):INDEX($FK$325:$ID$396,GA$169,SwaptionMonthsToGo+SwaptionShift),INDEX($FK$245:$ID$316,$FJ174-GA$169,73-GA$169+SwaptionShift):INDEX($FK$245:$ID$316,$FJ174-GA$169,72-GA$169+SwaptionMonthsToGo+SwaptionShift))/SQRT(SUM(INDEX($FK329:$ID329,1+SwaptionShift):INDEX($FK329:$ID329,SwaptionMonthsToGo+SwaptionShift))*SUM(INDEX($FK$325:$ID$396,GA$169,1+SwaptionShift):INDEX($FK$325:$ID$396,GA$169,SwaptionMonthsToGo+SwaptionShift))))))</f>
        <v/>
      </c>
      <c r="GB174" s="479" t="str">
        <f ca="1">IF(OR(GB$169&lt;SwaptionFirstMonthPosition+1,$FJ174&lt;SwaptionFirstMonthPosition+1,GB$169&gt;SwaptionFirstMonthPosition+SwaptionNumOfMonths+1,$FJ174&gt;SwaptionFirstMonthPosition+SwaptionNumOfMonths+1),"",IF($FJ174=GB$169,1,IF($FJ174&lt;GB$169,INDEX($FK$170:$ID$241,GB$169,$FJ174),SUMPRODUCT(INDEX($FK$325:$ID$396,GB$169,1+SwaptionShift):INDEX($FK$325:$ID$396,GB$169,SwaptionMonthsToGo+SwaptionShift),INDEX($FK$245:$ID$316,$FJ174-GB$169,73-GB$169+SwaptionShift):INDEX($FK$245:$ID$316,$FJ174-GB$169,72-GB$169+SwaptionMonthsToGo+SwaptionShift))/SQRT(SUM(INDEX($FK329:$ID329,1+SwaptionShift):INDEX($FK329:$ID329,SwaptionMonthsToGo+SwaptionShift))*SUM(INDEX($FK$325:$ID$396,GB$169,1+SwaptionShift):INDEX($FK$325:$ID$396,GB$169,SwaptionMonthsToGo+SwaptionShift))))))</f>
        <v/>
      </c>
      <c r="GC174" s="479" t="str">
        <f ca="1">IF(OR(GC$169&lt;SwaptionFirstMonthPosition+1,$FJ174&lt;SwaptionFirstMonthPosition+1,GC$169&gt;SwaptionFirstMonthPosition+SwaptionNumOfMonths+1,$FJ174&gt;SwaptionFirstMonthPosition+SwaptionNumOfMonths+1),"",IF($FJ174=GC$169,1,IF($FJ174&lt;GC$169,INDEX($FK$170:$ID$241,GC$169,$FJ174),SUMPRODUCT(INDEX($FK$325:$ID$396,GC$169,1+SwaptionShift):INDEX($FK$325:$ID$396,GC$169,SwaptionMonthsToGo+SwaptionShift),INDEX($FK$245:$ID$316,$FJ174-GC$169,73-GC$169+SwaptionShift):INDEX($FK$245:$ID$316,$FJ174-GC$169,72-GC$169+SwaptionMonthsToGo+SwaptionShift))/SQRT(SUM(INDEX($FK329:$ID329,1+SwaptionShift):INDEX($FK329:$ID329,SwaptionMonthsToGo+SwaptionShift))*SUM(INDEX($FK$325:$ID$396,GC$169,1+SwaptionShift):INDEX($FK$325:$ID$396,GC$169,SwaptionMonthsToGo+SwaptionShift))))))</f>
        <v/>
      </c>
      <c r="GD174" s="479" t="str">
        <f ca="1">IF(OR(GD$169&lt;SwaptionFirstMonthPosition+1,$FJ174&lt;SwaptionFirstMonthPosition+1,GD$169&gt;SwaptionFirstMonthPosition+SwaptionNumOfMonths+1,$FJ174&gt;SwaptionFirstMonthPosition+SwaptionNumOfMonths+1),"",IF($FJ174=GD$169,1,IF($FJ174&lt;GD$169,INDEX($FK$170:$ID$241,GD$169,$FJ174),SUMPRODUCT(INDEX($FK$325:$ID$396,GD$169,1+SwaptionShift):INDEX($FK$325:$ID$396,GD$169,SwaptionMonthsToGo+SwaptionShift),INDEX($FK$245:$ID$316,$FJ174-GD$169,73-GD$169+SwaptionShift):INDEX($FK$245:$ID$316,$FJ174-GD$169,72-GD$169+SwaptionMonthsToGo+SwaptionShift))/SQRT(SUM(INDEX($FK329:$ID329,1+SwaptionShift):INDEX($FK329:$ID329,SwaptionMonthsToGo+SwaptionShift))*SUM(INDEX($FK$325:$ID$396,GD$169,1+SwaptionShift):INDEX($FK$325:$ID$396,GD$169,SwaptionMonthsToGo+SwaptionShift))))))</f>
        <v/>
      </c>
      <c r="GE174" s="479" t="str">
        <f ca="1">IF(OR(GE$169&lt;SwaptionFirstMonthPosition+1,$FJ174&lt;SwaptionFirstMonthPosition+1,GE$169&gt;SwaptionFirstMonthPosition+SwaptionNumOfMonths+1,$FJ174&gt;SwaptionFirstMonthPosition+SwaptionNumOfMonths+1),"",IF($FJ174=GE$169,1,IF($FJ174&lt;GE$169,INDEX($FK$170:$ID$241,GE$169,$FJ174),SUMPRODUCT(INDEX($FK$325:$ID$396,GE$169,1+SwaptionShift):INDEX($FK$325:$ID$396,GE$169,SwaptionMonthsToGo+SwaptionShift),INDEX($FK$245:$ID$316,$FJ174-GE$169,73-GE$169+SwaptionShift):INDEX($FK$245:$ID$316,$FJ174-GE$169,72-GE$169+SwaptionMonthsToGo+SwaptionShift))/SQRT(SUM(INDEX($FK329:$ID329,1+SwaptionShift):INDEX($FK329:$ID329,SwaptionMonthsToGo+SwaptionShift))*SUM(INDEX($FK$325:$ID$396,GE$169,1+SwaptionShift):INDEX($FK$325:$ID$396,GE$169,SwaptionMonthsToGo+SwaptionShift))))))</f>
        <v/>
      </c>
      <c r="GF174" s="479" t="str">
        <f ca="1">IF(OR(GF$169&lt;SwaptionFirstMonthPosition+1,$FJ174&lt;SwaptionFirstMonthPosition+1,GF$169&gt;SwaptionFirstMonthPosition+SwaptionNumOfMonths+1,$FJ174&gt;SwaptionFirstMonthPosition+SwaptionNumOfMonths+1),"",IF($FJ174=GF$169,1,IF($FJ174&lt;GF$169,INDEX($FK$170:$ID$241,GF$169,$FJ174),SUMPRODUCT(INDEX($FK$325:$ID$396,GF$169,1+SwaptionShift):INDEX($FK$325:$ID$396,GF$169,SwaptionMonthsToGo+SwaptionShift),INDEX($FK$245:$ID$316,$FJ174-GF$169,73-GF$169+SwaptionShift):INDEX($FK$245:$ID$316,$FJ174-GF$169,72-GF$169+SwaptionMonthsToGo+SwaptionShift))/SQRT(SUM(INDEX($FK329:$ID329,1+SwaptionShift):INDEX($FK329:$ID329,SwaptionMonthsToGo+SwaptionShift))*SUM(INDEX($FK$325:$ID$396,GF$169,1+SwaptionShift):INDEX($FK$325:$ID$396,GF$169,SwaptionMonthsToGo+SwaptionShift))))))</f>
        <v/>
      </c>
      <c r="GG174" s="479" t="str">
        <f ca="1">IF(OR(GG$169&lt;SwaptionFirstMonthPosition+1,$FJ174&lt;SwaptionFirstMonthPosition+1,GG$169&gt;SwaptionFirstMonthPosition+SwaptionNumOfMonths+1,$FJ174&gt;SwaptionFirstMonthPosition+SwaptionNumOfMonths+1),"",IF($FJ174=GG$169,1,IF($FJ174&lt;GG$169,INDEX($FK$170:$ID$241,GG$169,$FJ174),SUMPRODUCT(INDEX($FK$325:$ID$396,GG$169,1+SwaptionShift):INDEX($FK$325:$ID$396,GG$169,SwaptionMonthsToGo+SwaptionShift),INDEX($FK$245:$ID$316,$FJ174-GG$169,73-GG$169+SwaptionShift):INDEX($FK$245:$ID$316,$FJ174-GG$169,72-GG$169+SwaptionMonthsToGo+SwaptionShift))/SQRT(SUM(INDEX($FK329:$ID329,1+SwaptionShift):INDEX($FK329:$ID329,SwaptionMonthsToGo+SwaptionShift))*SUM(INDEX($FK$325:$ID$396,GG$169,1+SwaptionShift):INDEX($FK$325:$ID$396,GG$169,SwaptionMonthsToGo+SwaptionShift))))))</f>
        <v/>
      </c>
      <c r="GH174" s="479" t="str">
        <f ca="1">IF(OR(GH$169&lt;SwaptionFirstMonthPosition+1,$FJ174&lt;SwaptionFirstMonthPosition+1,GH$169&gt;SwaptionFirstMonthPosition+SwaptionNumOfMonths+1,$FJ174&gt;SwaptionFirstMonthPosition+SwaptionNumOfMonths+1),"",IF($FJ174=GH$169,1,IF($FJ174&lt;GH$169,INDEX($FK$170:$ID$241,GH$169,$FJ174),SUMPRODUCT(INDEX($FK$325:$ID$396,GH$169,1+SwaptionShift):INDEX($FK$325:$ID$396,GH$169,SwaptionMonthsToGo+SwaptionShift),INDEX($FK$245:$ID$316,$FJ174-GH$169,73-GH$169+SwaptionShift):INDEX($FK$245:$ID$316,$FJ174-GH$169,72-GH$169+SwaptionMonthsToGo+SwaptionShift))/SQRT(SUM(INDEX($FK329:$ID329,1+SwaptionShift):INDEX($FK329:$ID329,SwaptionMonthsToGo+SwaptionShift))*SUM(INDEX($FK$325:$ID$396,GH$169,1+SwaptionShift):INDEX($FK$325:$ID$396,GH$169,SwaptionMonthsToGo+SwaptionShift))))))</f>
        <v/>
      </c>
      <c r="GI174" s="479" t="str">
        <f ca="1">IF(OR(GI$169&lt;SwaptionFirstMonthPosition+1,$FJ174&lt;SwaptionFirstMonthPosition+1,GI$169&gt;SwaptionFirstMonthPosition+SwaptionNumOfMonths+1,$FJ174&gt;SwaptionFirstMonthPosition+SwaptionNumOfMonths+1),"",IF($FJ174=GI$169,1,IF($FJ174&lt;GI$169,INDEX($FK$170:$ID$241,GI$169,$FJ174),SUMPRODUCT(INDEX($FK$325:$ID$396,GI$169,1+SwaptionShift):INDEX($FK$325:$ID$396,GI$169,SwaptionMonthsToGo+SwaptionShift),INDEX($FK$245:$ID$316,$FJ174-GI$169,73-GI$169+SwaptionShift):INDEX($FK$245:$ID$316,$FJ174-GI$169,72-GI$169+SwaptionMonthsToGo+SwaptionShift))/SQRT(SUM(INDEX($FK329:$ID329,1+SwaptionShift):INDEX($FK329:$ID329,SwaptionMonthsToGo+SwaptionShift))*SUM(INDEX($FK$325:$ID$396,GI$169,1+SwaptionShift):INDEX($FK$325:$ID$396,GI$169,SwaptionMonthsToGo+SwaptionShift))))))</f>
        <v/>
      </c>
      <c r="GJ174" s="479" t="str">
        <f ca="1">IF(OR(GJ$169&lt;SwaptionFirstMonthPosition+1,$FJ174&lt;SwaptionFirstMonthPosition+1,GJ$169&gt;SwaptionFirstMonthPosition+SwaptionNumOfMonths+1,$FJ174&gt;SwaptionFirstMonthPosition+SwaptionNumOfMonths+1),"",IF($FJ174=GJ$169,1,IF($FJ174&lt;GJ$169,INDEX($FK$170:$ID$241,GJ$169,$FJ174),SUMPRODUCT(INDEX($FK$325:$ID$396,GJ$169,1+SwaptionShift):INDEX($FK$325:$ID$396,GJ$169,SwaptionMonthsToGo+SwaptionShift),INDEX($FK$245:$ID$316,$FJ174-GJ$169,73-GJ$169+SwaptionShift):INDEX($FK$245:$ID$316,$FJ174-GJ$169,72-GJ$169+SwaptionMonthsToGo+SwaptionShift))/SQRT(SUM(INDEX($FK329:$ID329,1+SwaptionShift):INDEX($FK329:$ID329,SwaptionMonthsToGo+SwaptionShift))*SUM(INDEX($FK$325:$ID$396,GJ$169,1+SwaptionShift):INDEX($FK$325:$ID$396,GJ$169,SwaptionMonthsToGo+SwaptionShift))))))</f>
        <v/>
      </c>
      <c r="GK174" s="479" t="str">
        <f ca="1">IF(OR(GK$169&lt;SwaptionFirstMonthPosition+1,$FJ174&lt;SwaptionFirstMonthPosition+1,GK$169&gt;SwaptionFirstMonthPosition+SwaptionNumOfMonths+1,$FJ174&gt;SwaptionFirstMonthPosition+SwaptionNumOfMonths+1),"",IF($FJ174=GK$169,1,IF($FJ174&lt;GK$169,INDEX($FK$170:$ID$241,GK$169,$FJ174),SUMPRODUCT(INDEX($FK$325:$ID$396,GK$169,1+SwaptionShift):INDEX($FK$325:$ID$396,GK$169,SwaptionMonthsToGo+SwaptionShift),INDEX($FK$245:$ID$316,$FJ174-GK$169,73-GK$169+SwaptionShift):INDEX($FK$245:$ID$316,$FJ174-GK$169,72-GK$169+SwaptionMonthsToGo+SwaptionShift))/SQRT(SUM(INDEX($FK329:$ID329,1+SwaptionShift):INDEX($FK329:$ID329,SwaptionMonthsToGo+SwaptionShift))*SUM(INDEX($FK$325:$ID$396,GK$169,1+SwaptionShift):INDEX($FK$325:$ID$396,GK$169,SwaptionMonthsToGo+SwaptionShift))))))</f>
        <v/>
      </c>
      <c r="GL174" s="479" t="str">
        <f ca="1">IF(OR(GL$169&lt;SwaptionFirstMonthPosition+1,$FJ174&lt;SwaptionFirstMonthPosition+1,GL$169&gt;SwaptionFirstMonthPosition+SwaptionNumOfMonths+1,$FJ174&gt;SwaptionFirstMonthPosition+SwaptionNumOfMonths+1),"",IF($FJ174=GL$169,1,IF($FJ174&lt;GL$169,INDEX($FK$170:$ID$241,GL$169,$FJ174),SUMPRODUCT(INDEX($FK$325:$ID$396,GL$169,1+SwaptionShift):INDEX($FK$325:$ID$396,GL$169,SwaptionMonthsToGo+SwaptionShift),INDEX($FK$245:$ID$316,$FJ174-GL$169,73-GL$169+SwaptionShift):INDEX($FK$245:$ID$316,$FJ174-GL$169,72-GL$169+SwaptionMonthsToGo+SwaptionShift))/SQRT(SUM(INDEX($FK329:$ID329,1+SwaptionShift):INDEX($FK329:$ID329,SwaptionMonthsToGo+SwaptionShift))*SUM(INDEX($FK$325:$ID$396,GL$169,1+SwaptionShift):INDEX($FK$325:$ID$396,GL$169,SwaptionMonthsToGo+SwaptionShift))))))</f>
        <v/>
      </c>
      <c r="GM174" s="479" t="str">
        <f ca="1">IF(OR(GM$169&lt;SwaptionFirstMonthPosition+1,$FJ174&lt;SwaptionFirstMonthPosition+1,GM$169&gt;SwaptionFirstMonthPosition+SwaptionNumOfMonths+1,$FJ174&gt;SwaptionFirstMonthPosition+SwaptionNumOfMonths+1),"",IF($FJ174=GM$169,1,IF($FJ174&lt;GM$169,INDEX($FK$170:$ID$241,GM$169,$FJ174),SUMPRODUCT(INDEX($FK$325:$ID$396,GM$169,1+SwaptionShift):INDEX($FK$325:$ID$396,GM$169,SwaptionMonthsToGo+SwaptionShift),INDEX($FK$245:$ID$316,$FJ174-GM$169,73-GM$169+SwaptionShift):INDEX($FK$245:$ID$316,$FJ174-GM$169,72-GM$169+SwaptionMonthsToGo+SwaptionShift))/SQRT(SUM(INDEX($FK329:$ID329,1+SwaptionShift):INDEX($FK329:$ID329,SwaptionMonthsToGo+SwaptionShift))*SUM(INDEX($FK$325:$ID$396,GM$169,1+SwaptionShift):INDEX($FK$325:$ID$396,GM$169,SwaptionMonthsToGo+SwaptionShift))))))</f>
        <v/>
      </c>
      <c r="GN174" s="479" t="str">
        <f ca="1">IF(OR(GN$169&lt;SwaptionFirstMonthPosition+1,$FJ174&lt;SwaptionFirstMonthPosition+1,GN$169&gt;SwaptionFirstMonthPosition+SwaptionNumOfMonths+1,$FJ174&gt;SwaptionFirstMonthPosition+SwaptionNumOfMonths+1),"",IF($FJ174=GN$169,1,IF($FJ174&lt;GN$169,INDEX($FK$170:$ID$241,GN$169,$FJ174),SUMPRODUCT(INDEX($FK$325:$ID$396,GN$169,1+SwaptionShift):INDEX($FK$325:$ID$396,GN$169,SwaptionMonthsToGo+SwaptionShift),INDEX($FK$245:$ID$316,$FJ174-GN$169,73-GN$169+SwaptionShift):INDEX($FK$245:$ID$316,$FJ174-GN$169,72-GN$169+SwaptionMonthsToGo+SwaptionShift))/SQRT(SUM(INDEX($FK329:$ID329,1+SwaptionShift):INDEX($FK329:$ID329,SwaptionMonthsToGo+SwaptionShift))*SUM(INDEX($FK$325:$ID$396,GN$169,1+SwaptionShift):INDEX($FK$325:$ID$396,GN$169,SwaptionMonthsToGo+SwaptionShift))))))</f>
        <v/>
      </c>
      <c r="GO174" s="479" t="str">
        <f ca="1">IF(OR(GO$169&lt;SwaptionFirstMonthPosition+1,$FJ174&lt;SwaptionFirstMonthPosition+1,GO$169&gt;SwaptionFirstMonthPosition+SwaptionNumOfMonths+1,$FJ174&gt;SwaptionFirstMonthPosition+SwaptionNumOfMonths+1),"",IF($FJ174=GO$169,1,IF($FJ174&lt;GO$169,INDEX($FK$170:$ID$241,GO$169,$FJ174),SUMPRODUCT(INDEX($FK$325:$ID$396,GO$169,1+SwaptionShift):INDEX($FK$325:$ID$396,GO$169,SwaptionMonthsToGo+SwaptionShift),INDEX($FK$245:$ID$316,$FJ174-GO$169,73-GO$169+SwaptionShift):INDEX($FK$245:$ID$316,$FJ174-GO$169,72-GO$169+SwaptionMonthsToGo+SwaptionShift))/SQRT(SUM(INDEX($FK329:$ID329,1+SwaptionShift):INDEX($FK329:$ID329,SwaptionMonthsToGo+SwaptionShift))*SUM(INDEX($FK$325:$ID$396,GO$169,1+SwaptionShift):INDEX($FK$325:$ID$396,GO$169,SwaptionMonthsToGo+SwaptionShift))))))</f>
        <v/>
      </c>
      <c r="GP174" s="479" t="str">
        <f ca="1">IF(OR(GP$169&lt;SwaptionFirstMonthPosition+1,$FJ174&lt;SwaptionFirstMonthPosition+1,GP$169&gt;SwaptionFirstMonthPosition+SwaptionNumOfMonths+1,$FJ174&gt;SwaptionFirstMonthPosition+SwaptionNumOfMonths+1),"",IF($FJ174=GP$169,1,IF($FJ174&lt;GP$169,INDEX($FK$170:$ID$241,GP$169,$FJ174),SUMPRODUCT(INDEX($FK$325:$ID$396,GP$169,1+SwaptionShift):INDEX($FK$325:$ID$396,GP$169,SwaptionMonthsToGo+SwaptionShift),INDEX($FK$245:$ID$316,$FJ174-GP$169,73-GP$169+SwaptionShift):INDEX($FK$245:$ID$316,$FJ174-GP$169,72-GP$169+SwaptionMonthsToGo+SwaptionShift))/SQRT(SUM(INDEX($FK329:$ID329,1+SwaptionShift):INDEX($FK329:$ID329,SwaptionMonthsToGo+SwaptionShift))*SUM(INDEX($FK$325:$ID$396,GP$169,1+SwaptionShift):INDEX($FK$325:$ID$396,GP$169,SwaptionMonthsToGo+SwaptionShift))))))</f>
        <v/>
      </c>
      <c r="GQ174" s="479" t="str">
        <f ca="1">IF(OR(GQ$169&lt;SwaptionFirstMonthPosition+1,$FJ174&lt;SwaptionFirstMonthPosition+1,GQ$169&gt;SwaptionFirstMonthPosition+SwaptionNumOfMonths+1,$FJ174&gt;SwaptionFirstMonthPosition+SwaptionNumOfMonths+1),"",IF($FJ174=GQ$169,1,IF($FJ174&lt;GQ$169,INDEX($FK$170:$ID$241,GQ$169,$FJ174),SUMPRODUCT(INDEX($FK$325:$ID$396,GQ$169,1+SwaptionShift):INDEX($FK$325:$ID$396,GQ$169,SwaptionMonthsToGo+SwaptionShift),INDEX($FK$245:$ID$316,$FJ174-GQ$169,73-GQ$169+SwaptionShift):INDEX($FK$245:$ID$316,$FJ174-GQ$169,72-GQ$169+SwaptionMonthsToGo+SwaptionShift))/SQRT(SUM(INDEX($FK329:$ID329,1+SwaptionShift):INDEX($FK329:$ID329,SwaptionMonthsToGo+SwaptionShift))*SUM(INDEX($FK$325:$ID$396,GQ$169,1+SwaptionShift):INDEX($FK$325:$ID$396,GQ$169,SwaptionMonthsToGo+SwaptionShift))))))</f>
        <v/>
      </c>
      <c r="GR174" s="479" t="str">
        <f ca="1">IF(OR(GR$169&lt;SwaptionFirstMonthPosition+1,$FJ174&lt;SwaptionFirstMonthPosition+1,GR$169&gt;SwaptionFirstMonthPosition+SwaptionNumOfMonths+1,$FJ174&gt;SwaptionFirstMonthPosition+SwaptionNumOfMonths+1),"",IF($FJ174=GR$169,1,IF($FJ174&lt;GR$169,INDEX($FK$170:$ID$241,GR$169,$FJ174),SUMPRODUCT(INDEX($FK$325:$ID$396,GR$169,1+SwaptionShift):INDEX($FK$325:$ID$396,GR$169,SwaptionMonthsToGo+SwaptionShift),INDEX($FK$245:$ID$316,$FJ174-GR$169,73-GR$169+SwaptionShift):INDEX($FK$245:$ID$316,$FJ174-GR$169,72-GR$169+SwaptionMonthsToGo+SwaptionShift))/SQRT(SUM(INDEX($FK329:$ID329,1+SwaptionShift):INDEX($FK329:$ID329,SwaptionMonthsToGo+SwaptionShift))*SUM(INDEX($FK$325:$ID$396,GR$169,1+SwaptionShift):INDEX($FK$325:$ID$396,GR$169,SwaptionMonthsToGo+SwaptionShift))))))</f>
        <v/>
      </c>
      <c r="GS174" s="479" t="str">
        <f ca="1">IF(OR(GS$169&lt;SwaptionFirstMonthPosition+1,$FJ174&lt;SwaptionFirstMonthPosition+1,GS$169&gt;SwaptionFirstMonthPosition+SwaptionNumOfMonths+1,$FJ174&gt;SwaptionFirstMonthPosition+SwaptionNumOfMonths+1),"",IF($FJ174=GS$169,1,IF($FJ174&lt;GS$169,INDEX($FK$170:$ID$241,GS$169,$FJ174),SUMPRODUCT(INDEX($FK$325:$ID$396,GS$169,1+SwaptionShift):INDEX($FK$325:$ID$396,GS$169,SwaptionMonthsToGo+SwaptionShift),INDEX($FK$245:$ID$316,$FJ174-GS$169,73-GS$169+SwaptionShift):INDEX($FK$245:$ID$316,$FJ174-GS$169,72-GS$169+SwaptionMonthsToGo+SwaptionShift))/SQRT(SUM(INDEX($FK329:$ID329,1+SwaptionShift):INDEX($FK329:$ID329,SwaptionMonthsToGo+SwaptionShift))*SUM(INDEX($FK$325:$ID$396,GS$169,1+SwaptionShift):INDEX($FK$325:$ID$396,GS$169,SwaptionMonthsToGo+SwaptionShift))))))</f>
        <v/>
      </c>
      <c r="GT174" s="479" t="str">
        <f ca="1">IF(OR(GT$169&lt;SwaptionFirstMonthPosition+1,$FJ174&lt;SwaptionFirstMonthPosition+1,GT$169&gt;SwaptionFirstMonthPosition+SwaptionNumOfMonths+1,$FJ174&gt;SwaptionFirstMonthPosition+SwaptionNumOfMonths+1),"",IF($FJ174=GT$169,1,IF($FJ174&lt;GT$169,INDEX($FK$170:$ID$241,GT$169,$FJ174),SUMPRODUCT(INDEX($FK$325:$ID$396,GT$169,1+SwaptionShift):INDEX($FK$325:$ID$396,GT$169,SwaptionMonthsToGo+SwaptionShift),INDEX($FK$245:$ID$316,$FJ174-GT$169,73-GT$169+SwaptionShift):INDEX($FK$245:$ID$316,$FJ174-GT$169,72-GT$169+SwaptionMonthsToGo+SwaptionShift))/SQRT(SUM(INDEX($FK329:$ID329,1+SwaptionShift):INDEX($FK329:$ID329,SwaptionMonthsToGo+SwaptionShift))*SUM(INDEX($FK$325:$ID$396,GT$169,1+SwaptionShift):INDEX($FK$325:$ID$396,GT$169,SwaptionMonthsToGo+SwaptionShift))))))</f>
        <v/>
      </c>
      <c r="GU174" s="479" t="str">
        <f ca="1">IF(OR(GU$169&lt;SwaptionFirstMonthPosition+1,$FJ174&lt;SwaptionFirstMonthPosition+1,GU$169&gt;SwaptionFirstMonthPosition+SwaptionNumOfMonths+1,$FJ174&gt;SwaptionFirstMonthPosition+SwaptionNumOfMonths+1),"",IF($FJ174=GU$169,1,IF($FJ174&lt;GU$169,INDEX($FK$170:$ID$241,GU$169,$FJ174),SUMPRODUCT(INDEX($FK$325:$ID$396,GU$169,1+SwaptionShift):INDEX($FK$325:$ID$396,GU$169,SwaptionMonthsToGo+SwaptionShift),INDEX($FK$245:$ID$316,$FJ174-GU$169,73-GU$169+SwaptionShift):INDEX($FK$245:$ID$316,$FJ174-GU$169,72-GU$169+SwaptionMonthsToGo+SwaptionShift))/SQRT(SUM(INDEX($FK329:$ID329,1+SwaptionShift):INDEX($FK329:$ID329,SwaptionMonthsToGo+SwaptionShift))*SUM(INDEX($FK$325:$ID$396,GU$169,1+SwaptionShift):INDEX($FK$325:$ID$396,GU$169,SwaptionMonthsToGo+SwaptionShift))))))</f>
        <v/>
      </c>
      <c r="GV174" s="479" t="str">
        <f ca="1">IF(OR(GV$169&lt;SwaptionFirstMonthPosition+1,$FJ174&lt;SwaptionFirstMonthPosition+1,GV$169&gt;SwaptionFirstMonthPosition+SwaptionNumOfMonths+1,$FJ174&gt;SwaptionFirstMonthPosition+SwaptionNumOfMonths+1),"",IF($FJ174=GV$169,1,IF($FJ174&lt;GV$169,INDEX($FK$170:$ID$241,GV$169,$FJ174),SUMPRODUCT(INDEX($FK$325:$ID$396,GV$169,1+SwaptionShift):INDEX($FK$325:$ID$396,GV$169,SwaptionMonthsToGo+SwaptionShift),INDEX($FK$245:$ID$316,$FJ174-GV$169,73-GV$169+SwaptionShift):INDEX($FK$245:$ID$316,$FJ174-GV$169,72-GV$169+SwaptionMonthsToGo+SwaptionShift))/SQRT(SUM(INDEX($FK329:$ID329,1+SwaptionShift):INDEX($FK329:$ID329,SwaptionMonthsToGo+SwaptionShift))*SUM(INDEX($FK$325:$ID$396,GV$169,1+SwaptionShift):INDEX($FK$325:$ID$396,GV$169,SwaptionMonthsToGo+SwaptionShift))))))</f>
        <v/>
      </c>
      <c r="GW174" s="479" t="str">
        <f ca="1">IF(OR(GW$169&lt;SwaptionFirstMonthPosition+1,$FJ174&lt;SwaptionFirstMonthPosition+1,GW$169&gt;SwaptionFirstMonthPosition+SwaptionNumOfMonths+1,$FJ174&gt;SwaptionFirstMonthPosition+SwaptionNumOfMonths+1),"",IF($FJ174=GW$169,1,IF($FJ174&lt;GW$169,INDEX($FK$170:$ID$241,GW$169,$FJ174),SUMPRODUCT(INDEX($FK$325:$ID$396,GW$169,1+SwaptionShift):INDEX($FK$325:$ID$396,GW$169,SwaptionMonthsToGo+SwaptionShift),INDEX($FK$245:$ID$316,$FJ174-GW$169,73-GW$169+SwaptionShift):INDEX($FK$245:$ID$316,$FJ174-GW$169,72-GW$169+SwaptionMonthsToGo+SwaptionShift))/SQRT(SUM(INDEX($FK329:$ID329,1+SwaptionShift):INDEX($FK329:$ID329,SwaptionMonthsToGo+SwaptionShift))*SUM(INDEX($FK$325:$ID$396,GW$169,1+SwaptionShift):INDEX($FK$325:$ID$396,GW$169,SwaptionMonthsToGo+SwaptionShift))))))</f>
        <v/>
      </c>
      <c r="GX174" s="479" t="str">
        <f ca="1">IF(OR(GX$169&lt;SwaptionFirstMonthPosition+1,$FJ174&lt;SwaptionFirstMonthPosition+1,GX$169&gt;SwaptionFirstMonthPosition+SwaptionNumOfMonths+1,$FJ174&gt;SwaptionFirstMonthPosition+SwaptionNumOfMonths+1),"",IF($FJ174=GX$169,1,IF($FJ174&lt;GX$169,INDEX($FK$170:$ID$241,GX$169,$FJ174),SUMPRODUCT(INDEX($FK$325:$ID$396,GX$169,1+SwaptionShift):INDEX($FK$325:$ID$396,GX$169,SwaptionMonthsToGo+SwaptionShift),INDEX($FK$245:$ID$316,$FJ174-GX$169,73-GX$169+SwaptionShift):INDEX($FK$245:$ID$316,$FJ174-GX$169,72-GX$169+SwaptionMonthsToGo+SwaptionShift))/SQRT(SUM(INDEX($FK329:$ID329,1+SwaptionShift):INDEX($FK329:$ID329,SwaptionMonthsToGo+SwaptionShift))*SUM(INDEX($FK$325:$ID$396,GX$169,1+SwaptionShift):INDEX($FK$325:$ID$396,GX$169,SwaptionMonthsToGo+SwaptionShift))))))</f>
        <v/>
      </c>
      <c r="GY174" s="479" t="str">
        <f ca="1">IF(OR(GY$169&lt;SwaptionFirstMonthPosition+1,$FJ174&lt;SwaptionFirstMonthPosition+1,GY$169&gt;SwaptionFirstMonthPosition+SwaptionNumOfMonths+1,$FJ174&gt;SwaptionFirstMonthPosition+SwaptionNumOfMonths+1),"",IF($FJ174=GY$169,1,IF($FJ174&lt;GY$169,INDEX($FK$170:$ID$241,GY$169,$FJ174),SUMPRODUCT(INDEX($FK$325:$ID$396,GY$169,1+SwaptionShift):INDEX($FK$325:$ID$396,GY$169,SwaptionMonthsToGo+SwaptionShift),INDEX($FK$245:$ID$316,$FJ174-GY$169,73-GY$169+SwaptionShift):INDEX($FK$245:$ID$316,$FJ174-GY$169,72-GY$169+SwaptionMonthsToGo+SwaptionShift))/SQRT(SUM(INDEX($FK329:$ID329,1+SwaptionShift):INDEX($FK329:$ID329,SwaptionMonthsToGo+SwaptionShift))*SUM(INDEX($FK$325:$ID$396,GY$169,1+SwaptionShift):INDEX($FK$325:$ID$396,GY$169,SwaptionMonthsToGo+SwaptionShift))))))</f>
        <v/>
      </c>
      <c r="GZ174" s="479" t="str">
        <f ca="1">IF(OR(GZ$169&lt;SwaptionFirstMonthPosition+1,$FJ174&lt;SwaptionFirstMonthPosition+1,GZ$169&gt;SwaptionFirstMonthPosition+SwaptionNumOfMonths+1,$FJ174&gt;SwaptionFirstMonthPosition+SwaptionNumOfMonths+1),"",IF($FJ174=GZ$169,1,IF($FJ174&lt;GZ$169,INDEX($FK$170:$ID$241,GZ$169,$FJ174),SUMPRODUCT(INDEX($FK$325:$ID$396,GZ$169,1+SwaptionShift):INDEX($FK$325:$ID$396,GZ$169,SwaptionMonthsToGo+SwaptionShift),INDEX($FK$245:$ID$316,$FJ174-GZ$169,73-GZ$169+SwaptionShift):INDEX($FK$245:$ID$316,$FJ174-GZ$169,72-GZ$169+SwaptionMonthsToGo+SwaptionShift))/SQRT(SUM(INDEX($FK329:$ID329,1+SwaptionShift):INDEX($FK329:$ID329,SwaptionMonthsToGo+SwaptionShift))*SUM(INDEX($FK$325:$ID$396,GZ$169,1+SwaptionShift):INDEX($FK$325:$ID$396,GZ$169,SwaptionMonthsToGo+SwaptionShift))))))</f>
        <v/>
      </c>
      <c r="HA174" s="479" t="str">
        <f ca="1">IF(OR(HA$169&lt;SwaptionFirstMonthPosition+1,$FJ174&lt;SwaptionFirstMonthPosition+1,HA$169&gt;SwaptionFirstMonthPosition+SwaptionNumOfMonths+1,$FJ174&gt;SwaptionFirstMonthPosition+SwaptionNumOfMonths+1),"",IF($FJ174=HA$169,1,IF($FJ174&lt;HA$169,INDEX($FK$170:$ID$241,HA$169,$FJ174),SUMPRODUCT(INDEX($FK$325:$ID$396,HA$169,1+SwaptionShift):INDEX($FK$325:$ID$396,HA$169,SwaptionMonthsToGo+SwaptionShift),INDEX($FK$245:$ID$316,$FJ174-HA$169,73-HA$169+SwaptionShift):INDEX($FK$245:$ID$316,$FJ174-HA$169,72-HA$169+SwaptionMonthsToGo+SwaptionShift))/SQRT(SUM(INDEX($FK329:$ID329,1+SwaptionShift):INDEX($FK329:$ID329,SwaptionMonthsToGo+SwaptionShift))*SUM(INDEX($FK$325:$ID$396,HA$169,1+SwaptionShift):INDEX($FK$325:$ID$396,HA$169,SwaptionMonthsToGo+SwaptionShift))))))</f>
        <v/>
      </c>
      <c r="HB174" s="479" t="str">
        <f ca="1">IF(OR(HB$169&lt;SwaptionFirstMonthPosition+1,$FJ174&lt;SwaptionFirstMonthPosition+1,HB$169&gt;SwaptionFirstMonthPosition+SwaptionNumOfMonths+1,$FJ174&gt;SwaptionFirstMonthPosition+SwaptionNumOfMonths+1),"",IF($FJ174=HB$169,1,IF($FJ174&lt;HB$169,INDEX($FK$170:$ID$241,HB$169,$FJ174),SUMPRODUCT(INDEX($FK$325:$ID$396,HB$169,1+SwaptionShift):INDEX($FK$325:$ID$396,HB$169,SwaptionMonthsToGo+SwaptionShift),INDEX($FK$245:$ID$316,$FJ174-HB$169,73-HB$169+SwaptionShift):INDEX($FK$245:$ID$316,$FJ174-HB$169,72-HB$169+SwaptionMonthsToGo+SwaptionShift))/SQRT(SUM(INDEX($FK329:$ID329,1+SwaptionShift):INDEX($FK329:$ID329,SwaptionMonthsToGo+SwaptionShift))*SUM(INDEX($FK$325:$ID$396,HB$169,1+SwaptionShift):INDEX($FK$325:$ID$396,HB$169,SwaptionMonthsToGo+SwaptionShift))))))</f>
        <v/>
      </c>
      <c r="HC174" s="479" t="str">
        <f ca="1">IF(OR(HC$169&lt;SwaptionFirstMonthPosition+1,$FJ174&lt;SwaptionFirstMonthPosition+1,HC$169&gt;SwaptionFirstMonthPosition+SwaptionNumOfMonths+1,$FJ174&gt;SwaptionFirstMonthPosition+SwaptionNumOfMonths+1),"",IF($FJ174=HC$169,1,IF($FJ174&lt;HC$169,INDEX($FK$170:$ID$241,HC$169,$FJ174),SUMPRODUCT(INDEX($FK$325:$ID$396,HC$169,1+SwaptionShift):INDEX($FK$325:$ID$396,HC$169,SwaptionMonthsToGo+SwaptionShift),INDEX($FK$245:$ID$316,$FJ174-HC$169,73-HC$169+SwaptionShift):INDEX($FK$245:$ID$316,$FJ174-HC$169,72-HC$169+SwaptionMonthsToGo+SwaptionShift))/SQRT(SUM(INDEX($FK329:$ID329,1+SwaptionShift):INDEX($FK329:$ID329,SwaptionMonthsToGo+SwaptionShift))*SUM(INDEX($FK$325:$ID$396,HC$169,1+SwaptionShift):INDEX($FK$325:$ID$396,HC$169,SwaptionMonthsToGo+SwaptionShift))))))</f>
        <v/>
      </c>
      <c r="HD174" s="479" t="str">
        <f ca="1">IF(OR(HD$169&lt;SwaptionFirstMonthPosition+1,$FJ174&lt;SwaptionFirstMonthPosition+1,HD$169&gt;SwaptionFirstMonthPosition+SwaptionNumOfMonths+1,$FJ174&gt;SwaptionFirstMonthPosition+SwaptionNumOfMonths+1),"",IF($FJ174=HD$169,1,IF($FJ174&lt;HD$169,INDEX($FK$170:$ID$241,HD$169,$FJ174),SUMPRODUCT(INDEX($FK$325:$ID$396,HD$169,1+SwaptionShift):INDEX($FK$325:$ID$396,HD$169,SwaptionMonthsToGo+SwaptionShift),INDEX($FK$245:$ID$316,$FJ174-HD$169,73-HD$169+SwaptionShift):INDEX($FK$245:$ID$316,$FJ174-HD$169,72-HD$169+SwaptionMonthsToGo+SwaptionShift))/SQRT(SUM(INDEX($FK329:$ID329,1+SwaptionShift):INDEX($FK329:$ID329,SwaptionMonthsToGo+SwaptionShift))*SUM(INDEX($FK$325:$ID$396,HD$169,1+SwaptionShift):INDEX($FK$325:$ID$396,HD$169,SwaptionMonthsToGo+SwaptionShift))))))</f>
        <v/>
      </c>
      <c r="HE174" s="479" t="str">
        <f ca="1">IF(OR(HE$169&lt;SwaptionFirstMonthPosition+1,$FJ174&lt;SwaptionFirstMonthPosition+1,HE$169&gt;SwaptionFirstMonthPosition+SwaptionNumOfMonths+1,$FJ174&gt;SwaptionFirstMonthPosition+SwaptionNumOfMonths+1),"",IF($FJ174=HE$169,1,IF($FJ174&lt;HE$169,INDEX($FK$170:$ID$241,HE$169,$FJ174),SUMPRODUCT(INDEX($FK$325:$ID$396,HE$169,1+SwaptionShift):INDEX($FK$325:$ID$396,HE$169,SwaptionMonthsToGo+SwaptionShift),INDEX($FK$245:$ID$316,$FJ174-HE$169,73-HE$169+SwaptionShift):INDEX($FK$245:$ID$316,$FJ174-HE$169,72-HE$169+SwaptionMonthsToGo+SwaptionShift))/SQRT(SUM(INDEX($FK329:$ID329,1+SwaptionShift):INDEX($FK329:$ID329,SwaptionMonthsToGo+SwaptionShift))*SUM(INDEX($FK$325:$ID$396,HE$169,1+SwaptionShift):INDEX($FK$325:$ID$396,HE$169,SwaptionMonthsToGo+SwaptionShift))))))</f>
        <v/>
      </c>
      <c r="HF174" s="479" t="str">
        <f ca="1">IF(OR(HF$169&lt;SwaptionFirstMonthPosition+1,$FJ174&lt;SwaptionFirstMonthPosition+1,HF$169&gt;SwaptionFirstMonthPosition+SwaptionNumOfMonths+1,$FJ174&gt;SwaptionFirstMonthPosition+SwaptionNumOfMonths+1),"",IF($FJ174=HF$169,1,IF($FJ174&lt;HF$169,INDEX($FK$170:$ID$241,HF$169,$FJ174),SUMPRODUCT(INDEX($FK$325:$ID$396,HF$169,1+SwaptionShift):INDEX($FK$325:$ID$396,HF$169,SwaptionMonthsToGo+SwaptionShift),INDEX($FK$245:$ID$316,$FJ174-HF$169,73-HF$169+SwaptionShift):INDEX($FK$245:$ID$316,$FJ174-HF$169,72-HF$169+SwaptionMonthsToGo+SwaptionShift))/SQRT(SUM(INDEX($FK329:$ID329,1+SwaptionShift):INDEX($FK329:$ID329,SwaptionMonthsToGo+SwaptionShift))*SUM(INDEX($FK$325:$ID$396,HF$169,1+SwaptionShift):INDEX($FK$325:$ID$396,HF$169,SwaptionMonthsToGo+SwaptionShift))))))</f>
        <v/>
      </c>
      <c r="HG174" s="479" t="str">
        <f ca="1">IF(OR(HG$169&lt;SwaptionFirstMonthPosition+1,$FJ174&lt;SwaptionFirstMonthPosition+1,HG$169&gt;SwaptionFirstMonthPosition+SwaptionNumOfMonths+1,$FJ174&gt;SwaptionFirstMonthPosition+SwaptionNumOfMonths+1),"",IF($FJ174=HG$169,1,IF($FJ174&lt;HG$169,INDEX($FK$170:$ID$241,HG$169,$FJ174),SUMPRODUCT(INDEX($FK$325:$ID$396,HG$169,1+SwaptionShift):INDEX($FK$325:$ID$396,HG$169,SwaptionMonthsToGo+SwaptionShift),INDEX($FK$245:$ID$316,$FJ174-HG$169,73-HG$169+SwaptionShift):INDEX($FK$245:$ID$316,$FJ174-HG$169,72-HG$169+SwaptionMonthsToGo+SwaptionShift))/SQRT(SUM(INDEX($FK329:$ID329,1+SwaptionShift):INDEX($FK329:$ID329,SwaptionMonthsToGo+SwaptionShift))*SUM(INDEX($FK$325:$ID$396,HG$169,1+SwaptionShift):INDEX($FK$325:$ID$396,HG$169,SwaptionMonthsToGo+SwaptionShift))))))</f>
        <v/>
      </c>
      <c r="HH174" s="479" t="str">
        <f ca="1">IF(OR(HH$169&lt;SwaptionFirstMonthPosition+1,$FJ174&lt;SwaptionFirstMonthPosition+1,HH$169&gt;SwaptionFirstMonthPosition+SwaptionNumOfMonths+1,$FJ174&gt;SwaptionFirstMonthPosition+SwaptionNumOfMonths+1),"",IF($FJ174=HH$169,1,IF($FJ174&lt;HH$169,INDEX($FK$170:$ID$241,HH$169,$FJ174),SUMPRODUCT(INDEX($FK$325:$ID$396,HH$169,1+SwaptionShift):INDEX($FK$325:$ID$396,HH$169,SwaptionMonthsToGo+SwaptionShift),INDEX($FK$245:$ID$316,$FJ174-HH$169,73-HH$169+SwaptionShift):INDEX($FK$245:$ID$316,$FJ174-HH$169,72-HH$169+SwaptionMonthsToGo+SwaptionShift))/SQRT(SUM(INDEX($FK329:$ID329,1+SwaptionShift):INDEX($FK329:$ID329,SwaptionMonthsToGo+SwaptionShift))*SUM(INDEX($FK$325:$ID$396,HH$169,1+SwaptionShift):INDEX($FK$325:$ID$396,HH$169,SwaptionMonthsToGo+SwaptionShift))))))</f>
        <v/>
      </c>
      <c r="HI174" s="479" t="str">
        <f ca="1">IF(OR(HI$169&lt;SwaptionFirstMonthPosition+1,$FJ174&lt;SwaptionFirstMonthPosition+1,HI$169&gt;SwaptionFirstMonthPosition+SwaptionNumOfMonths+1,$FJ174&gt;SwaptionFirstMonthPosition+SwaptionNumOfMonths+1),"",IF($FJ174=HI$169,1,IF($FJ174&lt;HI$169,INDEX($FK$170:$ID$241,HI$169,$FJ174),SUMPRODUCT(INDEX($FK$325:$ID$396,HI$169,1+SwaptionShift):INDEX($FK$325:$ID$396,HI$169,SwaptionMonthsToGo+SwaptionShift),INDEX($FK$245:$ID$316,$FJ174-HI$169,73-HI$169+SwaptionShift):INDEX($FK$245:$ID$316,$FJ174-HI$169,72-HI$169+SwaptionMonthsToGo+SwaptionShift))/SQRT(SUM(INDEX($FK329:$ID329,1+SwaptionShift):INDEX($FK329:$ID329,SwaptionMonthsToGo+SwaptionShift))*SUM(INDEX($FK$325:$ID$396,HI$169,1+SwaptionShift):INDEX($FK$325:$ID$396,HI$169,SwaptionMonthsToGo+SwaptionShift))))))</f>
        <v/>
      </c>
      <c r="HJ174" s="479" t="str">
        <f ca="1">IF(OR(HJ$169&lt;SwaptionFirstMonthPosition+1,$FJ174&lt;SwaptionFirstMonthPosition+1,HJ$169&gt;SwaptionFirstMonthPosition+SwaptionNumOfMonths+1,$FJ174&gt;SwaptionFirstMonthPosition+SwaptionNumOfMonths+1),"",IF($FJ174=HJ$169,1,IF($FJ174&lt;HJ$169,INDEX($FK$170:$ID$241,HJ$169,$FJ174),SUMPRODUCT(INDEX($FK$325:$ID$396,HJ$169,1+SwaptionShift):INDEX($FK$325:$ID$396,HJ$169,SwaptionMonthsToGo+SwaptionShift),INDEX($FK$245:$ID$316,$FJ174-HJ$169,73-HJ$169+SwaptionShift):INDEX($FK$245:$ID$316,$FJ174-HJ$169,72-HJ$169+SwaptionMonthsToGo+SwaptionShift))/SQRT(SUM(INDEX($FK329:$ID329,1+SwaptionShift):INDEX($FK329:$ID329,SwaptionMonthsToGo+SwaptionShift))*SUM(INDEX($FK$325:$ID$396,HJ$169,1+SwaptionShift):INDEX($FK$325:$ID$396,HJ$169,SwaptionMonthsToGo+SwaptionShift))))))</f>
        <v/>
      </c>
      <c r="HK174" s="479" t="str">
        <f ca="1">IF(OR(HK$169&lt;SwaptionFirstMonthPosition+1,$FJ174&lt;SwaptionFirstMonthPosition+1,HK$169&gt;SwaptionFirstMonthPosition+SwaptionNumOfMonths+1,$FJ174&gt;SwaptionFirstMonthPosition+SwaptionNumOfMonths+1),"",IF($FJ174=HK$169,1,IF($FJ174&lt;HK$169,INDEX($FK$170:$ID$241,HK$169,$FJ174),SUMPRODUCT(INDEX($FK$325:$ID$396,HK$169,1+SwaptionShift):INDEX($FK$325:$ID$396,HK$169,SwaptionMonthsToGo+SwaptionShift),INDEX($FK$245:$ID$316,$FJ174-HK$169,73-HK$169+SwaptionShift):INDEX($FK$245:$ID$316,$FJ174-HK$169,72-HK$169+SwaptionMonthsToGo+SwaptionShift))/SQRT(SUM(INDEX($FK329:$ID329,1+SwaptionShift):INDEX($FK329:$ID329,SwaptionMonthsToGo+SwaptionShift))*SUM(INDEX($FK$325:$ID$396,HK$169,1+SwaptionShift):INDEX($FK$325:$ID$396,HK$169,SwaptionMonthsToGo+SwaptionShift))))))</f>
        <v/>
      </c>
      <c r="HL174" s="479" t="str">
        <f ca="1">IF(OR(HL$169&lt;SwaptionFirstMonthPosition+1,$FJ174&lt;SwaptionFirstMonthPosition+1,HL$169&gt;SwaptionFirstMonthPosition+SwaptionNumOfMonths+1,$FJ174&gt;SwaptionFirstMonthPosition+SwaptionNumOfMonths+1),"",IF($FJ174=HL$169,1,IF($FJ174&lt;HL$169,INDEX($FK$170:$ID$241,HL$169,$FJ174),SUMPRODUCT(INDEX($FK$325:$ID$396,HL$169,1+SwaptionShift):INDEX($FK$325:$ID$396,HL$169,SwaptionMonthsToGo+SwaptionShift),INDEX($FK$245:$ID$316,$FJ174-HL$169,73-HL$169+SwaptionShift):INDEX($FK$245:$ID$316,$FJ174-HL$169,72-HL$169+SwaptionMonthsToGo+SwaptionShift))/SQRT(SUM(INDEX($FK329:$ID329,1+SwaptionShift):INDEX($FK329:$ID329,SwaptionMonthsToGo+SwaptionShift))*SUM(INDEX($FK$325:$ID$396,HL$169,1+SwaptionShift):INDEX($FK$325:$ID$396,HL$169,SwaptionMonthsToGo+SwaptionShift))))))</f>
        <v/>
      </c>
      <c r="HM174" s="479" t="str">
        <f ca="1">IF(OR(HM$169&lt;SwaptionFirstMonthPosition+1,$FJ174&lt;SwaptionFirstMonthPosition+1,HM$169&gt;SwaptionFirstMonthPosition+SwaptionNumOfMonths+1,$FJ174&gt;SwaptionFirstMonthPosition+SwaptionNumOfMonths+1),"",IF($FJ174=HM$169,1,IF($FJ174&lt;HM$169,INDEX($FK$170:$ID$241,HM$169,$FJ174),SUMPRODUCT(INDEX($FK$325:$ID$396,HM$169,1+SwaptionShift):INDEX($FK$325:$ID$396,HM$169,SwaptionMonthsToGo+SwaptionShift),INDEX($FK$245:$ID$316,$FJ174-HM$169,73-HM$169+SwaptionShift):INDEX($FK$245:$ID$316,$FJ174-HM$169,72-HM$169+SwaptionMonthsToGo+SwaptionShift))/SQRT(SUM(INDEX($FK329:$ID329,1+SwaptionShift):INDEX($FK329:$ID329,SwaptionMonthsToGo+SwaptionShift))*SUM(INDEX($FK$325:$ID$396,HM$169,1+SwaptionShift):INDEX($FK$325:$ID$396,HM$169,SwaptionMonthsToGo+SwaptionShift))))))</f>
        <v/>
      </c>
      <c r="HN174" s="479" t="str">
        <f ca="1">IF(OR(HN$169&lt;SwaptionFirstMonthPosition+1,$FJ174&lt;SwaptionFirstMonthPosition+1,HN$169&gt;SwaptionFirstMonthPosition+SwaptionNumOfMonths+1,$FJ174&gt;SwaptionFirstMonthPosition+SwaptionNumOfMonths+1),"",IF($FJ174=HN$169,1,IF($FJ174&lt;HN$169,INDEX($FK$170:$ID$241,HN$169,$FJ174),SUMPRODUCT(INDEX($FK$325:$ID$396,HN$169,1+SwaptionShift):INDEX($FK$325:$ID$396,HN$169,SwaptionMonthsToGo+SwaptionShift),INDEX($FK$245:$ID$316,$FJ174-HN$169,73-HN$169+SwaptionShift):INDEX($FK$245:$ID$316,$FJ174-HN$169,72-HN$169+SwaptionMonthsToGo+SwaptionShift))/SQRT(SUM(INDEX($FK329:$ID329,1+SwaptionShift):INDEX($FK329:$ID329,SwaptionMonthsToGo+SwaptionShift))*SUM(INDEX($FK$325:$ID$396,HN$169,1+SwaptionShift):INDEX($FK$325:$ID$396,HN$169,SwaptionMonthsToGo+SwaptionShift))))))</f>
        <v/>
      </c>
      <c r="HO174" s="479" t="str">
        <f ca="1">IF(OR(HO$169&lt;SwaptionFirstMonthPosition+1,$FJ174&lt;SwaptionFirstMonthPosition+1,HO$169&gt;SwaptionFirstMonthPosition+SwaptionNumOfMonths+1,$FJ174&gt;SwaptionFirstMonthPosition+SwaptionNumOfMonths+1),"",IF($FJ174=HO$169,1,IF($FJ174&lt;HO$169,INDEX($FK$170:$ID$241,HO$169,$FJ174),SUMPRODUCT(INDEX($FK$325:$ID$396,HO$169,1+SwaptionShift):INDEX($FK$325:$ID$396,HO$169,SwaptionMonthsToGo+SwaptionShift),INDEX($FK$245:$ID$316,$FJ174-HO$169,73-HO$169+SwaptionShift):INDEX($FK$245:$ID$316,$FJ174-HO$169,72-HO$169+SwaptionMonthsToGo+SwaptionShift))/SQRT(SUM(INDEX($FK329:$ID329,1+SwaptionShift):INDEX($FK329:$ID329,SwaptionMonthsToGo+SwaptionShift))*SUM(INDEX($FK$325:$ID$396,HO$169,1+SwaptionShift):INDEX($FK$325:$ID$396,HO$169,SwaptionMonthsToGo+SwaptionShift))))))</f>
        <v/>
      </c>
      <c r="HP174" s="479" t="str">
        <f ca="1">IF(OR(HP$169&lt;SwaptionFirstMonthPosition+1,$FJ174&lt;SwaptionFirstMonthPosition+1,HP$169&gt;SwaptionFirstMonthPosition+SwaptionNumOfMonths+1,$FJ174&gt;SwaptionFirstMonthPosition+SwaptionNumOfMonths+1),"",IF($FJ174=HP$169,1,IF($FJ174&lt;HP$169,INDEX($FK$170:$ID$241,HP$169,$FJ174),SUMPRODUCT(INDEX($FK$325:$ID$396,HP$169,1+SwaptionShift):INDEX($FK$325:$ID$396,HP$169,SwaptionMonthsToGo+SwaptionShift),INDEX($FK$245:$ID$316,$FJ174-HP$169,73-HP$169+SwaptionShift):INDEX($FK$245:$ID$316,$FJ174-HP$169,72-HP$169+SwaptionMonthsToGo+SwaptionShift))/SQRT(SUM(INDEX($FK329:$ID329,1+SwaptionShift):INDEX($FK329:$ID329,SwaptionMonthsToGo+SwaptionShift))*SUM(INDEX($FK$325:$ID$396,HP$169,1+SwaptionShift):INDEX($FK$325:$ID$396,HP$169,SwaptionMonthsToGo+SwaptionShift))))))</f>
        <v/>
      </c>
      <c r="HQ174" s="479" t="str">
        <f ca="1">IF(OR(HQ$169&lt;SwaptionFirstMonthPosition+1,$FJ174&lt;SwaptionFirstMonthPosition+1,HQ$169&gt;SwaptionFirstMonthPosition+SwaptionNumOfMonths+1,$FJ174&gt;SwaptionFirstMonthPosition+SwaptionNumOfMonths+1),"",IF($FJ174=HQ$169,1,IF($FJ174&lt;HQ$169,INDEX($FK$170:$ID$241,HQ$169,$FJ174),SUMPRODUCT(INDEX($FK$325:$ID$396,HQ$169,1+SwaptionShift):INDEX($FK$325:$ID$396,HQ$169,SwaptionMonthsToGo+SwaptionShift),INDEX($FK$245:$ID$316,$FJ174-HQ$169,73-HQ$169+SwaptionShift):INDEX($FK$245:$ID$316,$FJ174-HQ$169,72-HQ$169+SwaptionMonthsToGo+SwaptionShift))/SQRT(SUM(INDEX($FK329:$ID329,1+SwaptionShift):INDEX($FK329:$ID329,SwaptionMonthsToGo+SwaptionShift))*SUM(INDEX($FK$325:$ID$396,HQ$169,1+SwaptionShift):INDEX($FK$325:$ID$396,HQ$169,SwaptionMonthsToGo+SwaptionShift))))))</f>
        <v/>
      </c>
      <c r="HR174" s="479" t="str">
        <f ca="1">IF(OR(HR$169&lt;SwaptionFirstMonthPosition+1,$FJ174&lt;SwaptionFirstMonthPosition+1,HR$169&gt;SwaptionFirstMonthPosition+SwaptionNumOfMonths+1,$FJ174&gt;SwaptionFirstMonthPosition+SwaptionNumOfMonths+1),"",IF($FJ174=HR$169,1,IF($FJ174&lt;HR$169,INDEX($FK$170:$ID$241,HR$169,$FJ174),SUMPRODUCT(INDEX($FK$325:$ID$396,HR$169,1+SwaptionShift):INDEX($FK$325:$ID$396,HR$169,SwaptionMonthsToGo+SwaptionShift),INDEX($FK$245:$ID$316,$FJ174-HR$169,73-HR$169+SwaptionShift):INDEX($FK$245:$ID$316,$FJ174-HR$169,72-HR$169+SwaptionMonthsToGo+SwaptionShift))/SQRT(SUM(INDEX($FK329:$ID329,1+SwaptionShift):INDEX($FK329:$ID329,SwaptionMonthsToGo+SwaptionShift))*SUM(INDEX($FK$325:$ID$396,HR$169,1+SwaptionShift):INDEX($FK$325:$ID$396,HR$169,SwaptionMonthsToGo+SwaptionShift))))))</f>
        <v/>
      </c>
      <c r="HS174" s="479" t="str">
        <f ca="1">IF(OR(HS$169&lt;SwaptionFirstMonthPosition+1,$FJ174&lt;SwaptionFirstMonthPosition+1,HS$169&gt;SwaptionFirstMonthPosition+SwaptionNumOfMonths+1,$FJ174&gt;SwaptionFirstMonthPosition+SwaptionNumOfMonths+1),"",IF($FJ174=HS$169,1,IF($FJ174&lt;HS$169,INDEX($FK$170:$ID$241,HS$169,$FJ174),SUMPRODUCT(INDEX($FK$325:$ID$396,HS$169,1+SwaptionShift):INDEX($FK$325:$ID$396,HS$169,SwaptionMonthsToGo+SwaptionShift),INDEX($FK$245:$ID$316,$FJ174-HS$169,73-HS$169+SwaptionShift):INDEX($FK$245:$ID$316,$FJ174-HS$169,72-HS$169+SwaptionMonthsToGo+SwaptionShift))/SQRT(SUM(INDEX($FK329:$ID329,1+SwaptionShift):INDEX($FK329:$ID329,SwaptionMonthsToGo+SwaptionShift))*SUM(INDEX($FK$325:$ID$396,HS$169,1+SwaptionShift):INDEX($FK$325:$ID$396,HS$169,SwaptionMonthsToGo+SwaptionShift))))))</f>
        <v/>
      </c>
      <c r="HT174" s="479" t="str">
        <f ca="1">IF(OR(HT$169&lt;SwaptionFirstMonthPosition+1,$FJ174&lt;SwaptionFirstMonthPosition+1,HT$169&gt;SwaptionFirstMonthPosition+SwaptionNumOfMonths+1,$FJ174&gt;SwaptionFirstMonthPosition+SwaptionNumOfMonths+1),"",IF($FJ174=HT$169,1,IF($FJ174&lt;HT$169,INDEX($FK$170:$ID$241,HT$169,$FJ174),SUMPRODUCT(INDEX($FK$325:$ID$396,HT$169,1+SwaptionShift):INDEX($FK$325:$ID$396,HT$169,SwaptionMonthsToGo+SwaptionShift),INDEX($FK$245:$ID$316,$FJ174-HT$169,73-HT$169+SwaptionShift):INDEX($FK$245:$ID$316,$FJ174-HT$169,72-HT$169+SwaptionMonthsToGo+SwaptionShift))/SQRT(SUM(INDEX($FK329:$ID329,1+SwaptionShift):INDEX($FK329:$ID329,SwaptionMonthsToGo+SwaptionShift))*SUM(INDEX($FK$325:$ID$396,HT$169,1+SwaptionShift):INDEX($FK$325:$ID$396,HT$169,SwaptionMonthsToGo+SwaptionShift))))))</f>
        <v/>
      </c>
      <c r="HU174" s="479" t="str">
        <f ca="1">IF(OR(HU$169&lt;SwaptionFirstMonthPosition+1,$FJ174&lt;SwaptionFirstMonthPosition+1,HU$169&gt;SwaptionFirstMonthPosition+SwaptionNumOfMonths+1,$FJ174&gt;SwaptionFirstMonthPosition+SwaptionNumOfMonths+1),"",IF($FJ174=HU$169,1,IF($FJ174&lt;HU$169,INDEX($FK$170:$ID$241,HU$169,$FJ174),SUMPRODUCT(INDEX($FK$325:$ID$396,HU$169,1+SwaptionShift):INDEX($FK$325:$ID$396,HU$169,SwaptionMonthsToGo+SwaptionShift),INDEX($FK$245:$ID$316,$FJ174-HU$169,73-HU$169+SwaptionShift):INDEX($FK$245:$ID$316,$FJ174-HU$169,72-HU$169+SwaptionMonthsToGo+SwaptionShift))/SQRT(SUM(INDEX($FK329:$ID329,1+SwaptionShift):INDEX($FK329:$ID329,SwaptionMonthsToGo+SwaptionShift))*SUM(INDEX($FK$325:$ID$396,HU$169,1+SwaptionShift):INDEX($FK$325:$ID$396,HU$169,SwaptionMonthsToGo+SwaptionShift))))))</f>
        <v/>
      </c>
      <c r="HV174" s="479" t="str">
        <f ca="1">IF(OR(HV$169&lt;SwaptionFirstMonthPosition+1,$FJ174&lt;SwaptionFirstMonthPosition+1,HV$169&gt;SwaptionFirstMonthPosition+SwaptionNumOfMonths+1,$FJ174&gt;SwaptionFirstMonthPosition+SwaptionNumOfMonths+1),"",IF($FJ174=HV$169,1,IF($FJ174&lt;HV$169,INDEX($FK$170:$ID$241,HV$169,$FJ174),SUMPRODUCT(INDEX($FK$325:$ID$396,HV$169,1+SwaptionShift):INDEX($FK$325:$ID$396,HV$169,SwaptionMonthsToGo+SwaptionShift),INDEX($FK$245:$ID$316,$FJ174-HV$169,73-HV$169+SwaptionShift):INDEX($FK$245:$ID$316,$FJ174-HV$169,72-HV$169+SwaptionMonthsToGo+SwaptionShift))/SQRT(SUM(INDEX($FK329:$ID329,1+SwaptionShift):INDEX($FK329:$ID329,SwaptionMonthsToGo+SwaptionShift))*SUM(INDEX($FK$325:$ID$396,HV$169,1+SwaptionShift):INDEX($FK$325:$ID$396,HV$169,SwaptionMonthsToGo+SwaptionShift))))))</f>
        <v/>
      </c>
      <c r="HW174" s="479" t="str">
        <f ca="1">IF(OR(HW$169&lt;SwaptionFirstMonthPosition+1,$FJ174&lt;SwaptionFirstMonthPosition+1,HW$169&gt;SwaptionFirstMonthPosition+SwaptionNumOfMonths+1,$FJ174&gt;SwaptionFirstMonthPosition+SwaptionNumOfMonths+1),"",IF($FJ174=HW$169,1,IF($FJ174&lt;HW$169,INDEX($FK$170:$ID$241,HW$169,$FJ174),SUMPRODUCT(INDEX($FK$325:$ID$396,HW$169,1+SwaptionShift):INDEX($FK$325:$ID$396,HW$169,SwaptionMonthsToGo+SwaptionShift),INDEX($FK$245:$ID$316,$FJ174-HW$169,73-HW$169+SwaptionShift):INDEX($FK$245:$ID$316,$FJ174-HW$169,72-HW$169+SwaptionMonthsToGo+SwaptionShift))/SQRT(SUM(INDEX($FK329:$ID329,1+SwaptionShift):INDEX($FK329:$ID329,SwaptionMonthsToGo+SwaptionShift))*SUM(INDEX($FK$325:$ID$396,HW$169,1+SwaptionShift):INDEX($FK$325:$ID$396,HW$169,SwaptionMonthsToGo+SwaptionShift))))))</f>
        <v/>
      </c>
      <c r="HX174" s="479" t="str">
        <f ca="1">IF(OR(HX$169&lt;SwaptionFirstMonthPosition+1,$FJ174&lt;SwaptionFirstMonthPosition+1,HX$169&gt;SwaptionFirstMonthPosition+SwaptionNumOfMonths+1,$FJ174&gt;SwaptionFirstMonthPosition+SwaptionNumOfMonths+1),"",IF($FJ174=HX$169,1,IF($FJ174&lt;HX$169,INDEX($FK$170:$ID$241,HX$169,$FJ174),SUMPRODUCT(INDEX($FK$325:$ID$396,HX$169,1+SwaptionShift):INDEX($FK$325:$ID$396,HX$169,SwaptionMonthsToGo+SwaptionShift),INDEX($FK$245:$ID$316,$FJ174-HX$169,73-HX$169+SwaptionShift):INDEX($FK$245:$ID$316,$FJ174-HX$169,72-HX$169+SwaptionMonthsToGo+SwaptionShift))/SQRT(SUM(INDEX($FK329:$ID329,1+SwaptionShift):INDEX($FK329:$ID329,SwaptionMonthsToGo+SwaptionShift))*SUM(INDEX($FK$325:$ID$396,HX$169,1+SwaptionShift):INDEX($FK$325:$ID$396,HX$169,SwaptionMonthsToGo+SwaptionShift))))))</f>
        <v/>
      </c>
      <c r="HY174" s="479" t="str">
        <f ca="1">IF(OR(HY$169&lt;SwaptionFirstMonthPosition+1,$FJ174&lt;SwaptionFirstMonthPosition+1,HY$169&gt;SwaptionFirstMonthPosition+SwaptionNumOfMonths+1,$FJ174&gt;SwaptionFirstMonthPosition+SwaptionNumOfMonths+1),"",IF($FJ174=HY$169,1,IF($FJ174&lt;HY$169,INDEX($FK$170:$ID$241,HY$169,$FJ174),SUMPRODUCT(INDEX($FK$325:$ID$396,HY$169,1+SwaptionShift):INDEX($FK$325:$ID$396,HY$169,SwaptionMonthsToGo+SwaptionShift),INDEX($FK$245:$ID$316,$FJ174-HY$169,73-HY$169+SwaptionShift):INDEX($FK$245:$ID$316,$FJ174-HY$169,72-HY$169+SwaptionMonthsToGo+SwaptionShift))/SQRT(SUM(INDEX($FK329:$ID329,1+SwaptionShift):INDEX($FK329:$ID329,SwaptionMonthsToGo+SwaptionShift))*SUM(INDEX($FK$325:$ID$396,HY$169,1+SwaptionShift):INDEX($FK$325:$ID$396,HY$169,SwaptionMonthsToGo+SwaptionShift))))))</f>
        <v/>
      </c>
      <c r="HZ174" s="479" t="str">
        <f ca="1">IF(OR(HZ$169&lt;SwaptionFirstMonthPosition+1,$FJ174&lt;SwaptionFirstMonthPosition+1,HZ$169&gt;SwaptionFirstMonthPosition+SwaptionNumOfMonths+1,$FJ174&gt;SwaptionFirstMonthPosition+SwaptionNumOfMonths+1),"",IF($FJ174=HZ$169,1,IF($FJ174&lt;HZ$169,INDEX($FK$170:$ID$241,HZ$169,$FJ174),SUMPRODUCT(INDEX($FK$325:$ID$396,HZ$169,1+SwaptionShift):INDEX($FK$325:$ID$396,HZ$169,SwaptionMonthsToGo+SwaptionShift),INDEX($FK$245:$ID$316,$FJ174-HZ$169,73-HZ$169+SwaptionShift):INDEX($FK$245:$ID$316,$FJ174-HZ$169,72-HZ$169+SwaptionMonthsToGo+SwaptionShift))/SQRT(SUM(INDEX($FK329:$ID329,1+SwaptionShift):INDEX($FK329:$ID329,SwaptionMonthsToGo+SwaptionShift))*SUM(INDEX($FK$325:$ID$396,HZ$169,1+SwaptionShift):INDEX($FK$325:$ID$396,HZ$169,SwaptionMonthsToGo+SwaptionShift))))))</f>
        <v/>
      </c>
      <c r="IA174" s="479" t="str">
        <f ca="1">IF(OR(IA$169&lt;SwaptionFirstMonthPosition+1,$FJ174&lt;SwaptionFirstMonthPosition+1,IA$169&gt;SwaptionFirstMonthPosition+SwaptionNumOfMonths+1,$FJ174&gt;SwaptionFirstMonthPosition+SwaptionNumOfMonths+1),"",IF($FJ174=IA$169,1,IF($FJ174&lt;IA$169,INDEX($FK$170:$ID$241,IA$169,$FJ174),SUMPRODUCT(INDEX($FK$325:$ID$396,IA$169,1+SwaptionShift):INDEX($FK$325:$ID$396,IA$169,SwaptionMonthsToGo+SwaptionShift),INDEX($FK$245:$ID$316,$FJ174-IA$169,73-IA$169+SwaptionShift):INDEX($FK$245:$ID$316,$FJ174-IA$169,72-IA$169+SwaptionMonthsToGo+SwaptionShift))/SQRT(SUM(INDEX($FK329:$ID329,1+SwaptionShift):INDEX($FK329:$ID329,SwaptionMonthsToGo+SwaptionShift))*SUM(INDEX($FK$325:$ID$396,IA$169,1+SwaptionShift):INDEX($FK$325:$ID$396,IA$169,SwaptionMonthsToGo+SwaptionShift))))))</f>
        <v/>
      </c>
      <c r="IB174" s="479" t="str">
        <f ca="1">IF(OR(IB$169&lt;SwaptionFirstMonthPosition+1,$FJ174&lt;SwaptionFirstMonthPosition+1,IB$169&gt;SwaptionFirstMonthPosition+SwaptionNumOfMonths+1,$FJ174&gt;SwaptionFirstMonthPosition+SwaptionNumOfMonths+1),"",IF($FJ174=IB$169,1,IF($FJ174&lt;IB$169,INDEX($FK$170:$ID$241,IB$169,$FJ174),SUMPRODUCT(INDEX($FK$325:$ID$396,IB$169,1+SwaptionShift):INDEX($FK$325:$ID$396,IB$169,SwaptionMonthsToGo+SwaptionShift),INDEX($FK$245:$ID$316,$FJ174-IB$169,73-IB$169+SwaptionShift):INDEX($FK$245:$ID$316,$FJ174-IB$169,72-IB$169+SwaptionMonthsToGo+SwaptionShift))/SQRT(SUM(INDEX($FK329:$ID329,1+SwaptionShift):INDEX($FK329:$ID329,SwaptionMonthsToGo+SwaptionShift))*SUM(INDEX($FK$325:$ID$396,IB$169,1+SwaptionShift):INDEX($FK$325:$ID$396,IB$169,SwaptionMonthsToGo+SwaptionShift))))))</f>
        <v/>
      </c>
      <c r="IC174" s="479" t="str">
        <f ca="1">IF(OR(IC$169&lt;SwaptionFirstMonthPosition+1,$FJ174&lt;SwaptionFirstMonthPosition+1,IC$169&gt;SwaptionFirstMonthPosition+SwaptionNumOfMonths+1,$FJ174&gt;SwaptionFirstMonthPosition+SwaptionNumOfMonths+1),"",IF($FJ174=IC$169,1,IF($FJ174&lt;IC$169,INDEX($FK$170:$ID$241,IC$169,$FJ174),SUMPRODUCT(INDEX($FK$325:$ID$396,IC$169,1+SwaptionShift):INDEX($FK$325:$ID$396,IC$169,SwaptionMonthsToGo+SwaptionShift),INDEX($FK$245:$ID$316,$FJ174-IC$169,73-IC$169+SwaptionShift):INDEX($FK$245:$ID$316,$FJ174-IC$169,72-IC$169+SwaptionMonthsToGo+SwaptionShift))/SQRT(SUM(INDEX($FK329:$ID329,1+SwaptionShift):INDEX($FK329:$ID329,SwaptionMonthsToGo+SwaptionShift))*SUM(INDEX($FK$325:$ID$396,IC$169,1+SwaptionShift):INDEX($FK$325:$ID$396,IC$169,SwaptionMonthsToGo+SwaptionShift))))))</f>
        <v/>
      </c>
      <c r="ID174" s="678" t="str">
        <f ca="1">IF(OR(ID$169&lt;SwaptionFirstMonthPosition+1,$FJ174&lt;SwaptionFirstMonthPosition+1,ID$169&gt;SwaptionFirstMonthPosition+SwaptionNumOfMonths+1,$FJ174&gt;SwaptionFirstMonthPosition+SwaptionNumOfMonths+1),"",IF($FJ174=ID$169,1,IF($FJ174&lt;ID$169,INDEX($FK$170:$ID$241,ID$169,$FJ174),SUMPRODUCT(INDEX($FK$325:$ID$396,ID$169,1+SwaptionShift):INDEX($FK$325:$ID$396,ID$169,SwaptionMonthsToGo+SwaptionShift),INDEX($FK$245:$ID$316,$FJ174-ID$169,73-ID$169+SwaptionShift):INDEX($FK$245:$ID$316,$FJ174-ID$169,72-ID$169+SwaptionMonthsToGo+SwaptionShift))/SQRT(SUM(INDEX($FK329:$ID329,1+SwaptionShift):INDEX($FK329:$ID329,SwaptionMonthsToGo+SwaptionShift))*SUM(INDEX($FK$325:$ID$396,ID$169,1+SwaptionShift):INDEX($FK$325:$ID$396,ID$169,SwaptionMonthsToGo+SwaptionShift))))))</f>
        <v/>
      </c>
      <c r="IE174" s="250"/>
    </row>
    <row r="175" spans="8:239">
      <c r="H175" s="51">
        <f t="shared" ca="1" si="527"/>
        <v>0</v>
      </c>
      <c r="I175" s="379">
        <f t="shared" si="528"/>
        <v>41487</v>
      </c>
      <c r="J175" s="377"/>
      <c r="K175" s="104" t="s">
        <v>268</v>
      </c>
      <c r="L175" s="392">
        <f t="shared" si="529"/>
        <v>2.9625000000000044</v>
      </c>
      <c r="M175" s="171"/>
      <c r="N175" s="382">
        <v>0</v>
      </c>
      <c r="O175" s="171">
        <f t="shared" si="490"/>
        <v>0</v>
      </c>
      <c r="P175" s="377"/>
      <c r="Q175" s="104" t="s">
        <v>268</v>
      </c>
      <c r="R175" s="377">
        <f t="shared" ca="1" si="547"/>
        <v>1.5705573405512023</v>
      </c>
      <c r="S175" s="832">
        <f t="shared" si="564"/>
        <v>0.3600000000000001</v>
      </c>
      <c r="T175" s="831">
        <f t="shared" si="548"/>
        <v>0.99999999999679934</v>
      </c>
      <c r="U175" s="545">
        <f t="shared" si="549"/>
        <v>0.99999999999999978</v>
      </c>
      <c r="V175" s="389">
        <v>0</v>
      </c>
      <c r="W175" s="434">
        <f t="shared" si="491"/>
        <v>0</v>
      </c>
      <c r="X175" s="415">
        <f t="shared" si="492"/>
        <v>3.0136363636363681</v>
      </c>
      <c r="Y175" s="322">
        <f t="shared" si="493"/>
        <v>-1.2668999999999999</v>
      </c>
      <c r="Z175" s="322">
        <f t="shared" ca="1" si="494"/>
        <v>1.7467363636363682</v>
      </c>
      <c r="AA175" s="429">
        <f t="shared" si="495"/>
        <v>1.2668999999999999</v>
      </c>
      <c r="AB175" s="433">
        <f t="shared" ca="1" si="496"/>
        <v>1.2668999999999999</v>
      </c>
      <c r="AC175" s="229">
        <v>41475</v>
      </c>
      <c r="AD175" s="229">
        <v>41471</v>
      </c>
      <c r="AE175" s="229">
        <v>41470</v>
      </c>
      <c r="AF175" s="229">
        <v>41466</v>
      </c>
      <c r="AG175" s="249" t="s">
        <v>499</v>
      </c>
      <c r="AH175" s="247" t="s">
        <v>499</v>
      </c>
      <c r="AI175" s="146">
        <v>22</v>
      </c>
      <c r="AJ175" s="41">
        <v>14</v>
      </c>
      <c r="AK175" s="41">
        <v>8</v>
      </c>
      <c r="AL175" s="293">
        <v>22</v>
      </c>
      <c r="AM175" s="41">
        <v>10</v>
      </c>
      <c r="AN175" s="147">
        <v>12</v>
      </c>
      <c r="AO175" s="374"/>
      <c r="AP175" s="153">
        <f t="shared" ca="1" si="530"/>
        <v>1</v>
      </c>
      <c r="AQ175" s="374"/>
      <c r="AR175" s="153">
        <f t="shared" ca="1" si="550"/>
        <v>1</v>
      </c>
      <c r="AS175" s="272">
        <f t="shared" si="497"/>
        <v>0</v>
      </c>
      <c r="AT175" s="157">
        <f t="shared" si="531"/>
        <v>0</v>
      </c>
      <c r="AU175" s="157">
        <f t="shared" si="498"/>
        <v>0</v>
      </c>
      <c r="AV175" s="271">
        <f t="shared" ca="1" si="558"/>
        <v>9.9999999999999995E-7</v>
      </c>
      <c r="AW175" s="158" t="str">
        <f t="shared" ca="1" si="499"/>
        <v/>
      </c>
      <c r="AX175" s="157">
        <f t="shared" ca="1" si="551"/>
        <v>1.3610120673387233E-4</v>
      </c>
      <c r="AY175" s="157">
        <f t="shared" ca="1" si="552"/>
        <v>3.7475376442286363E-5</v>
      </c>
      <c r="AZ175" s="157">
        <f t="shared" ca="1" si="553"/>
        <v>1.8902303571784078E-6</v>
      </c>
      <c r="BA175" s="157">
        <f t="shared" ca="1" si="554"/>
        <v>2.3627879464730098E-7</v>
      </c>
      <c r="BB175" s="157">
        <f t="shared" ca="1" si="555"/>
        <v>2.6798190897600827E-9</v>
      </c>
      <c r="BC175" s="157">
        <f t="shared" ca="1" si="556"/>
        <v>1.1165533759995252E-10</v>
      </c>
      <c r="BD175" s="151">
        <f t="shared" ca="1" si="500"/>
        <v>0</v>
      </c>
      <c r="BE175" s="152">
        <f t="shared" ca="1" si="501"/>
        <v>0</v>
      </c>
      <c r="BF175" s="40">
        <f t="shared" si="502"/>
        <v>2013</v>
      </c>
      <c r="BG175" s="144">
        <f t="shared" si="503"/>
        <v>8</v>
      </c>
      <c r="BH175" s="145">
        <f t="shared" ca="1" si="504"/>
        <v>4726</v>
      </c>
      <c r="BI175" s="313">
        <f t="shared" ca="1" si="568"/>
        <v>12.982888432580424</v>
      </c>
      <c r="BJ175" s="42">
        <f t="shared" ca="1" si="505"/>
        <v>13.035156493062038</v>
      </c>
      <c r="BK175" s="42">
        <f t="shared" ca="1" si="506"/>
        <v>13.037894343849171</v>
      </c>
      <c r="BL175" s="42">
        <f t="shared" ca="1" si="569"/>
        <v>13.065023956194388</v>
      </c>
      <c r="BM175" s="150" t="e">
        <f t="shared" ca="1" si="507"/>
        <v>#DIV/0!</v>
      </c>
      <c r="BN175" s="42" t="e">
        <f t="shared" ca="1" si="508"/>
        <v>#DIV/0!</v>
      </c>
      <c r="BO175" s="293">
        <f t="shared" si="570"/>
        <v>22</v>
      </c>
      <c r="BP175" s="41">
        <f t="shared" si="571"/>
        <v>14</v>
      </c>
      <c r="BQ175" s="41">
        <f t="shared" si="572"/>
        <v>8</v>
      </c>
      <c r="BR175" s="305" t="str">
        <f t="shared" ca="1" si="509"/>
        <v/>
      </c>
      <c r="BS175" s="305" t="str">
        <f t="shared" ca="1" si="573"/>
        <v/>
      </c>
      <c r="BT175" s="307" t="str">
        <f t="shared" ca="1" si="574"/>
        <v/>
      </c>
      <c r="BU175" s="161" t="str">
        <f t="shared" ca="1" si="510"/>
        <v/>
      </c>
      <c r="BV175" s="161" t="str">
        <f t="shared" ca="1" si="511"/>
        <v/>
      </c>
      <c r="BW175" s="308" t="str">
        <f t="shared" ca="1" si="512"/>
        <v/>
      </c>
      <c r="BX175" s="309" t="str">
        <f t="shared" ca="1" si="513"/>
        <v/>
      </c>
      <c r="BY175" s="308" t="str">
        <f t="shared" ca="1" si="575"/>
        <v/>
      </c>
      <c r="BZ175" s="309" t="str">
        <f t="shared" ca="1" si="576"/>
        <v/>
      </c>
      <c r="CA175" s="154" t="str">
        <f t="shared" ca="1" si="514"/>
        <v/>
      </c>
      <c r="CB175" s="154" t="str">
        <f t="shared" ca="1" si="515"/>
        <v/>
      </c>
      <c r="CC175" s="154" t="str">
        <f t="shared" ca="1" si="516"/>
        <v/>
      </c>
      <c r="CD175" s="154" t="str">
        <f t="shared" ca="1" si="517"/>
        <v/>
      </c>
      <c r="CE175" s="310">
        <v>1</v>
      </c>
      <c r="CF175" s="162">
        <f ca="1">IF(BD175,_xll.xCrudeAPO(BU175,BV175,CA175,CB175,S176,S177,BI175,BL175,BP175,BQ175,0,Strike1,AO175,CE175,0,BL175,IF(OptControl=4,0,1),0,1),0)</f>
        <v>0</v>
      </c>
      <c r="CG175" s="163">
        <f ca="1">IF(BD175,_xll.xCrudeAPO(BU175,BV175,CA175,CB175,S176,S177,BI175,BL175,BP175,BQ175,0,Strike1,AO175,CE175,0,BL175,IF(OptControl=4,0,1),1,1)+_xll.xCrudeAPO(BU175,BV175,CA175,CB175,S176,S177,BI175,BL175,BP175,BQ175,0,Strike1,AO175,CE175,0,BL175,IF(OptControl=4,0,1),1,2)+IF(OR(VolSkewFlag=2,ABS(BS175)&lt;0.0001),0,IF(BS175&gt;0,-1,1)*CH175*Strike1/BR175^2*BY175/10%),0)</f>
        <v>0</v>
      </c>
      <c r="CH175" s="163">
        <f ca="1">IF(BD175,(_xll.xCrudeAPO(BU175,BV175,CA175,CB175,S176,S177,BI175,BL175,BP175,BQ175,0,Strike1,AO175,CE175,0,BL175,IF(OptControl=4,0,1),3,1)+_xll.xCrudeAPO(BU175,BV175,CA175,CB175,S176,S177,BI175,BL175,BP175,BQ175,0,Strike1,AO175,CE175,0,BL175,IF(OptControl=4,0,1),3,2))/100,0)</f>
        <v>0</v>
      </c>
      <c r="CI175" s="163">
        <f ca="1">IF(BD175,_xll.xCrudeAPO(BU175,BV175,CA175,CB175,S176,S177,BI175-DaysForThetaCalculation/365.25,BL175-DaysForThetaCalculation/365.25,BP175,BQ175,0,Strike1,AO175,CE175,0,BL175,IF(OptControl=4,0,1),0,1)-_xll.xCrudeAPO(BU175,BV175,CA175,CB175,S176,S177,BI175,BL175,BP175,BQ175,0,Strike1,AO175,CE175,0,BL175,IF(OptControl=4,0,1),0,1),0)</f>
        <v>0</v>
      </c>
      <c r="CJ175" s="311">
        <f ca="1">IF(BD175,_xll.xCrudeAPO(BU175,BV175,CC175,CD175,S176,S177,BI175,BL175,BP175,BQ175,0,Strike2,AO175,CE175,0,BL175,IF(OptControl=3,1,0),0,1),0)</f>
        <v>0</v>
      </c>
      <c r="CK175" s="163">
        <f ca="1">IF(BD175,_xll.xCrudeAPO(BU175,BV175,CC175,CD175,S176,S177,BI175,BL175,BP175,BQ175,0,Strike2,AO175,CE175,0,BL175,IF(OptControl=3,1,0),1,1)+_xll.xCrudeAPO(BU175,BV175,CC175,CD175,S176,S177,BI175,BL175,BP175,BQ175,0,Strike2,AO175,CE175,0,BL175,IF(OptControl=3,1,0),1,2)+IF(OR(VolSkewFlag=2,ABS(BT175)&lt;0.0001),0,IF(BT175&gt;0,-1,1)*CL175*Strike2/BR175^2*BZ175/10%),0)</f>
        <v>0</v>
      </c>
      <c r="CL175" s="163">
        <f ca="1">IF(BD175,(_xll.xCrudeAPO(BU175,BV175,CC175,CD175,S176,S177,BI175,BL175,BP175,BQ175,0,Strike2,AO175,CE175,0,BL175,IF(OptControl=3,1,0),3,1)+_xll.xCrudeAPO(BU175,BV175,CC175,CD175,S176,S177,BI175,BL175,BP175,BQ175,0,Strike2,AO175,CE175,0,BL175,IF(OptControl=3,1,0),3,2))/100,0)</f>
        <v>0</v>
      </c>
      <c r="CM175" s="164">
        <f ca="1">IF(BD175,_xll.xCrudeAPO(BU175,BV175,CC175,CD175,S176,S177,BI175-DaysForThetaCalculation/365.25,BL175-DaysForThetaCalculation/365.25,BP175,BQ175,0,Strike2,AO175,CE175,0,BL175,IF(OptControl=3,1,0),0,1)-_xll.xCrudeAPO(BU175,BV175,CC175,CD175,S176,S177,BI175,BL175,BP175,BQ175,0,Strike2,AO175,CE175,0,BL175,IF(OptControl=3,1,0),0,1),0)</f>
        <v>0</v>
      </c>
      <c r="CN175" s="53"/>
      <c r="CO175" s="796" t="str">
        <f t="shared" ca="1" si="532"/>
        <v/>
      </c>
      <c r="CP175" s="800" t="str">
        <f t="shared" ca="1" si="533"/>
        <v/>
      </c>
      <c r="CQ175" s="797" t="str">
        <f t="shared" ca="1" si="534"/>
        <v/>
      </c>
      <c r="CR175" s="797" t="str">
        <f t="shared" ca="1" si="535"/>
        <v/>
      </c>
      <c r="CS175" s="797" t="str">
        <f t="shared" ca="1" si="536"/>
        <v/>
      </c>
      <c r="CT175" s="797" t="str">
        <f t="shared" ca="1" si="537"/>
        <v/>
      </c>
      <c r="CU175" s="798" t="str">
        <f t="shared" ca="1" si="538"/>
        <v/>
      </c>
      <c r="CV175" s="799" t="str">
        <f t="shared" ca="1" si="539"/>
        <v/>
      </c>
      <c r="CW175" s="799" t="str">
        <f t="shared" ca="1" si="540"/>
        <v/>
      </c>
      <c r="CX175" s="163">
        <f ca="1">IF(BD175,_xll.EURO(CP175,Strike1,AO175,AO175,CV175,CO175,IF(OptControl=4,0,1),0),0)</f>
        <v>0</v>
      </c>
      <c r="CY175" s="163">
        <f ca="1">IF(BD175,_xll.EURO(CP175,Strike1,AO175,AO175,CV175,CO175,IF(OptControl=4,0,1),1)+IF(OR(VolSkewFlag=2,ABS(CQ175)&lt;0.0001),0,IF(CQ175&gt;0,-1,1)*CZ175*100*Strike1/CP175^2*CS175/10%),0)</f>
        <v>0</v>
      </c>
      <c r="CZ175" s="163">
        <f ca="1">IF(BD175,_xll.EURO(CP175,Strike1,AO175,AO175,CV175,CO175,IF(OptControl=4,0,1),3)/100,0)</f>
        <v>0</v>
      </c>
      <c r="DA175" s="163">
        <f ca="1">IF(BD175,_xll.EURO(CP175,Strike1,AO175,AO175,CV175,CO175,IF(OptControl=4,0,1),0)-_xll.EURO(CP175,Strike1,AO175,AO175,CV175,CO175-1,IF(OptControl=4,0,1),0),0)</f>
        <v>0</v>
      </c>
      <c r="DB175" s="163">
        <f ca="1">IF(BD175,_xll.EURO(CP175,Strike2,AO175,AO175,CW175,CO175,IF(OptControl=3,1,0),0),0)</f>
        <v>0</v>
      </c>
      <c r="DC175" s="163">
        <f ca="1">IF(BD175,_xll.EURO(CP175,Strike2,AO175,AO175,CW175,CO175,IF(OptControl=3,1,0),1)+IF(OR(VolSkewFlag=2,ABS(CR175)&lt;0.0001),0,IF(CR175&gt;0,-1,1)*DD175*100*Strike2/CP175^2*CT175/10%),0)</f>
        <v>0</v>
      </c>
      <c r="DD175" s="163">
        <f ca="1">IF(BD175,_xll.EURO(CP175,Strike2,AO175,AO175,CW175,CO175,IF(OptControl=3,1,0),3)/100,0)</f>
        <v>0</v>
      </c>
      <c r="DE175" s="164">
        <f ca="1">IF(BD175,_xll.EURO(CP175,Strike2,AO175,AO175,CW175,CO175,IF(OptControl=3,1,0),0)-_xll.EURO(CP175,Strike2,AO175,AO175,CW175,CO175-1,IF(OptControl=3,1,0),0),0)</f>
        <v>0</v>
      </c>
      <c r="DG175" s="667">
        <f t="shared" ca="1" si="541"/>
        <v>41275</v>
      </c>
      <c r="DH175" s="475">
        <v>21.910000000000057</v>
      </c>
      <c r="DI175" s="665">
        <v>21.980454545454606</v>
      </c>
      <c r="DJ175" s="666">
        <f t="shared" ca="1" si="518"/>
        <v>41275</v>
      </c>
      <c r="DK175" s="475">
        <v>20.707208027393438</v>
      </c>
      <c r="DL175" s="665">
        <v>20.811954545454604</v>
      </c>
      <c r="DM175" s="667">
        <f t="shared" ca="1" si="519"/>
        <v>41275</v>
      </c>
      <c r="DN175" s="668">
        <f t="shared" si="520"/>
        <v>20.757208027393439</v>
      </c>
      <c r="DO175" s="667">
        <f t="shared" ca="1" si="542"/>
        <v>41275</v>
      </c>
      <c r="DP175" s="579">
        <f t="shared" si="543"/>
        <v>20.811954545454604</v>
      </c>
      <c r="DQ175" s="821">
        <v>0</v>
      </c>
      <c r="DR175" s="666">
        <f t="shared" ca="1" si="521"/>
        <v>41275</v>
      </c>
      <c r="DS175" s="669">
        <v>0.13159999999999905</v>
      </c>
      <c r="DT175" s="606">
        <v>0.13075454545454451</v>
      </c>
      <c r="DU175" s="666">
        <f t="shared" ca="1" si="522"/>
        <v>41275</v>
      </c>
      <c r="DV175" s="669">
        <v>0.13159999999999905</v>
      </c>
      <c r="DW175" s="606">
        <v>0.13075454545454451</v>
      </c>
      <c r="DX175" s="667">
        <f t="shared" ca="1" si="523"/>
        <v>41275</v>
      </c>
      <c r="DY175" s="606">
        <v>0.35</v>
      </c>
      <c r="DZ175" s="667">
        <f t="shared" ca="1" si="544"/>
        <v>41275</v>
      </c>
      <c r="EA175" s="606">
        <f t="shared" si="545"/>
        <v>0.13075454545454451</v>
      </c>
      <c r="EB175" s="1"/>
      <c r="EC175" s="118" t="str">
        <f t="shared" ca="1" si="524"/>
        <v/>
      </c>
      <c r="ED175" s="119" t="str">
        <f t="shared" ca="1" si="525"/>
        <v/>
      </c>
      <c r="EE175" s="112" t="str">
        <f t="shared" ca="1" si="526"/>
        <v/>
      </c>
      <c r="EF175" s="120">
        <f ca="1">IF(BD175,_xll.xASN(BR175,Strike1,AO175,ED175,0,BO175,0,BI175,BL175,IF(OptControl=4,0,1),0),0)</f>
        <v>0</v>
      </c>
      <c r="EG175" s="111">
        <f ca="1">IF(BD175,_xll.xASN(BR175,Strike2,AO175,EE175,0,BO175,0,BI175,BL175,IF(OptControl=3,1,0),0),0)</f>
        <v>0</v>
      </c>
      <c r="EL175" s="55"/>
      <c r="EM175" s="1"/>
      <c r="EN175" s="106"/>
      <c r="EO175" s="106"/>
      <c r="EP175" s="1"/>
      <c r="EQ175" s="683" t="s">
        <v>388</v>
      </c>
      <c r="ES175" s="455"/>
      <c r="ET175" s="36"/>
      <c r="EU175" s="107"/>
      <c r="EV175" s="475"/>
      <c r="EW175" s="456"/>
      <c r="EX175" s="456"/>
      <c r="EY175" s="250"/>
      <c r="EZ175" s="250"/>
      <c r="FA175" s="250"/>
      <c r="FB175" s="250"/>
      <c r="FC175" s="250"/>
      <c r="FD175" s="250"/>
      <c r="FE175" s="250"/>
      <c r="FF175" s="250"/>
      <c r="FG175" s="250"/>
      <c r="FH175" s="250"/>
      <c r="FI175" s="250"/>
      <c r="FJ175" s="673">
        <v>6</v>
      </c>
      <c r="FK175" s="479" t="str">
        <f ca="1">IF(OR(FK$169&lt;SwaptionFirstMonthPosition+1,$FJ175&lt;SwaptionFirstMonthPosition+1,FK$169&gt;SwaptionFirstMonthPosition+SwaptionNumOfMonths+1,$FJ175&gt;SwaptionFirstMonthPosition+SwaptionNumOfMonths+1),"",IF($FJ175=FK$169,1,IF($FJ175&lt;FK$169,INDEX($FK$170:$ID$241,FK$169,$FJ175),SUMPRODUCT(INDEX($FK$325:$ID$396,FK$169,1+SwaptionShift):INDEX($FK$325:$ID$396,FK$169,SwaptionMonthsToGo+SwaptionShift),INDEX($FK$245:$ID$316,$FJ175-FK$169,73-FK$169+SwaptionShift):INDEX($FK$245:$ID$316,$FJ175-FK$169,72-FK$169+SwaptionMonthsToGo+SwaptionShift))/SQRT(SUM(INDEX($FK330:$ID330,1+SwaptionShift):INDEX($FK330:$ID330,SwaptionMonthsToGo+SwaptionShift))*SUM(INDEX($FK$325:$ID$396,FK$169,1+SwaptionShift):INDEX($FK$325:$ID$396,FK$169,SwaptionMonthsToGo+SwaptionShift))))))</f>
        <v/>
      </c>
      <c r="FL175" s="479" t="str">
        <f ca="1">IF(OR(FL$169&lt;SwaptionFirstMonthPosition+1,$FJ175&lt;SwaptionFirstMonthPosition+1,FL$169&gt;SwaptionFirstMonthPosition+SwaptionNumOfMonths+1,$FJ175&gt;SwaptionFirstMonthPosition+SwaptionNumOfMonths+1),"",IF($FJ175=FL$169,1,IF($FJ175&lt;FL$169,INDEX($FK$170:$ID$241,FL$169,$FJ175),SUMPRODUCT(INDEX($FK$325:$ID$396,FL$169,1+SwaptionShift):INDEX($FK$325:$ID$396,FL$169,SwaptionMonthsToGo+SwaptionShift),INDEX($FK$245:$ID$316,$FJ175-FL$169,73-FL$169+SwaptionShift):INDEX($FK$245:$ID$316,$FJ175-FL$169,72-FL$169+SwaptionMonthsToGo+SwaptionShift))/SQRT(SUM(INDEX($FK330:$ID330,1+SwaptionShift):INDEX($FK330:$ID330,SwaptionMonthsToGo+SwaptionShift))*SUM(INDEX($FK$325:$ID$396,FL$169,1+SwaptionShift):INDEX($FK$325:$ID$396,FL$169,SwaptionMonthsToGo+SwaptionShift))))))</f>
        <v/>
      </c>
      <c r="FM175" s="479" t="str">
        <f ca="1">IF(OR(FM$169&lt;SwaptionFirstMonthPosition+1,$FJ175&lt;SwaptionFirstMonthPosition+1,FM$169&gt;SwaptionFirstMonthPosition+SwaptionNumOfMonths+1,$FJ175&gt;SwaptionFirstMonthPosition+SwaptionNumOfMonths+1),"",IF($FJ175=FM$169,1,IF($FJ175&lt;FM$169,INDEX($FK$170:$ID$241,FM$169,$FJ175),SUMPRODUCT(INDEX($FK$325:$ID$396,FM$169,1+SwaptionShift):INDEX($FK$325:$ID$396,FM$169,SwaptionMonthsToGo+SwaptionShift),INDEX($FK$245:$ID$316,$FJ175-FM$169,73-FM$169+SwaptionShift):INDEX($FK$245:$ID$316,$FJ175-FM$169,72-FM$169+SwaptionMonthsToGo+SwaptionShift))/SQRT(SUM(INDEX($FK330:$ID330,1+SwaptionShift):INDEX($FK330:$ID330,SwaptionMonthsToGo+SwaptionShift))*SUM(INDEX($FK$325:$ID$396,FM$169,1+SwaptionShift):INDEX($FK$325:$ID$396,FM$169,SwaptionMonthsToGo+SwaptionShift))))))</f>
        <v/>
      </c>
      <c r="FN175" s="479" t="str">
        <f ca="1">IF(OR(FN$169&lt;SwaptionFirstMonthPosition+1,$FJ175&lt;SwaptionFirstMonthPosition+1,FN$169&gt;SwaptionFirstMonthPosition+SwaptionNumOfMonths+1,$FJ175&gt;SwaptionFirstMonthPosition+SwaptionNumOfMonths+1),"",IF($FJ175=FN$169,1,IF($FJ175&lt;FN$169,INDEX($FK$170:$ID$241,FN$169,$FJ175),SUMPRODUCT(INDEX($FK$325:$ID$396,FN$169,1+SwaptionShift):INDEX($FK$325:$ID$396,FN$169,SwaptionMonthsToGo+SwaptionShift),INDEX($FK$245:$ID$316,$FJ175-FN$169,73-FN$169+SwaptionShift):INDEX($FK$245:$ID$316,$FJ175-FN$169,72-FN$169+SwaptionMonthsToGo+SwaptionShift))/SQRT(SUM(INDEX($FK330:$ID330,1+SwaptionShift):INDEX($FK330:$ID330,SwaptionMonthsToGo+SwaptionShift))*SUM(INDEX($FK$325:$ID$396,FN$169,1+SwaptionShift):INDEX($FK$325:$ID$396,FN$169,SwaptionMonthsToGo+SwaptionShift))))))</f>
        <v/>
      </c>
      <c r="FO175" s="479" t="str">
        <f ca="1">IF(OR(FO$169&lt;SwaptionFirstMonthPosition+1,$FJ175&lt;SwaptionFirstMonthPosition+1,FO$169&gt;SwaptionFirstMonthPosition+SwaptionNumOfMonths+1,$FJ175&gt;SwaptionFirstMonthPosition+SwaptionNumOfMonths+1),"",IF($FJ175=FO$169,1,IF($FJ175&lt;FO$169,INDEX($FK$170:$ID$241,FO$169,$FJ175),SUMPRODUCT(INDEX($FK$325:$ID$396,FO$169,1+SwaptionShift):INDEX($FK$325:$ID$396,FO$169,SwaptionMonthsToGo+SwaptionShift),INDEX($FK$245:$ID$316,$FJ175-FO$169,73-FO$169+SwaptionShift):INDEX($FK$245:$ID$316,$FJ175-FO$169,72-FO$169+SwaptionMonthsToGo+SwaptionShift))/SQRT(SUM(INDEX($FK330:$ID330,1+SwaptionShift):INDEX($FK330:$ID330,SwaptionMonthsToGo+SwaptionShift))*SUM(INDEX($FK$325:$ID$396,FO$169,1+SwaptionShift):INDEX($FK$325:$ID$396,FO$169,SwaptionMonthsToGo+SwaptionShift))))))</f>
        <v/>
      </c>
      <c r="FP175" s="479">
        <f ca="1">IF(OR(FP$169&lt;SwaptionFirstMonthPosition+1,$FJ175&lt;SwaptionFirstMonthPosition+1,FP$169&gt;SwaptionFirstMonthPosition+SwaptionNumOfMonths+1,$FJ175&gt;SwaptionFirstMonthPosition+SwaptionNumOfMonths+1),"",IF($FJ175=FP$169,1,IF($FJ175&lt;FP$169,INDEX($FK$170:$ID$241,FP$169,$FJ175),SUMPRODUCT(INDEX($FK$325:$ID$396,FP$169,1+SwaptionShift):INDEX($FK$325:$ID$396,FP$169,SwaptionMonthsToGo+SwaptionShift),INDEX($FK$245:$ID$316,$FJ175-FP$169,73-FP$169+SwaptionShift):INDEX($FK$245:$ID$316,$FJ175-FP$169,72-FP$169+SwaptionMonthsToGo+SwaptionShift))/SQRT(SUM(INDEX($FK330:$ID330,1+SwaptionShift):INDEX($FK330:$ID330,SwaptionMonthsToGo+SwaptionShift))*SUM(INDEX($FK$325:$ID$396,FP$169,1+SwaptionShift):INDEX($FK$325:$ID$396,FP$169,SwaptionMonthsToGo+SwaptionShift))))))</f>
        <v>1</v>
      </c>
      <c r="FQ175" s="479">
        <f ca="1">IF(OR(FQ$169&lt;SwaptionFirstMonthPosition+1,$FJ175&lt;SwaptionFirstMonthPosition+1,FQ$169&gt;SwaptionFirstMonthPosition+SwaptionNumOfMonths+1,$FJ175&gt;SwaptionFirstMonthPosition+SwaptionNumOfMonths+1),"",IF($FJ175=FQ$169,1,IF($FJ175&lt;FQ$169,INDEX($FK$170:$ID$241,FQ$169,$FJ175),SUMPRODUCT(INDEX($FK$325:$ID$396,FQ$169,1+SwaptionShift):INDEX($FK$325:$ID$396,FQ$169,SwaptionMonthsToGo+SwaptionShift),INDEX($FK$245:$ID$316,$FJ175-FQ$169,73-FQ$169+SwaptionShift):INDEX($FK$245:$ID$316,$FJ175-FQ$169,72-FQ$169+SwaptionMonthsToGo+SwaptionShift))/SQRT(SUM(INDEX($FK330:$ID330,1+SwaptionShift):INDEX($FK330:$ID330,SwaptionMonthsToGo+SwaptionShift))*SUM(INDEX($FK$325:$ID$396,FQ$169,1+SwaptionShift):INDEX($FK$325:$ID$396,FQ$169,SwaptionMonthsToGo+SwaptionShift))))))</f>
        <v>0.97584684111295117</v>
      </c>
      <c r="FR175" s="479">
        <f ca="1">IF(OR(FR$169&lt;SwaptionFirstMonthPosition+1,$FJ175&lt;SwaptionFirstMonthPosition+1,FR$169&gt;SwaptionFirstMonthPosition+SwaptionNumOfMonths+1,$FJ175&gt;SwaptionFirstMonthPosition+SwaptionNumOfMonths+1),"",IF($FJ175=FR$169,1,IF($FJ175&lt;FR$169,INDEX($FK$170:$ID$241,FR$169,$FJ175),SUMPRODUCT(INDEX($FK$325:$ID$396,FR$169,1+SwaptionShift):INDEX($FK$325:$ID$396,FR$169,SwaptionMonthsToGo+SwaptionShift),INDEX($FK$245:$ID$316,$FJ175-FR$169,73-FR$169+SwaptionShift):INDEX($FK$245:$ID$316,$FJ175-FR$169,72-FR$169+SwaptionMonthsToGo+SwaptionShift))/SQRT(SUM(INDEX($FK330:$ID330,1+SwaptionShift):INDEX($FK330:$ID330,SwaptionMonthsToGo+SwaptionShift))*SUM(INDEX($FK$325:$ID$396,FR$169,1+SwaptionShift):INDEX($FK$325:$ID$396,FR$169,SwaptionMonthsToGo+SwaptionShift))))))</f>
        <v>0.95671538901884534</v>
      </c>
      <c r="FS175" s="479">
        <f ca="1">IF(OR(FS$169&lt;SwaptionFirstMonthPosition+1,$FJ175&lt;SwaptionFirstMonthPosition+1,FS$169&gt;SwaptionFirstMonthPosition+SwaptionNumOfMonths+1,$FJ175&gt;SwaptionFirstMonthPosition+SwaptionNumOfMonths+1),"",IF($FJ175=FS$169,1,IF($FJ175&lt;FS$169,INDEX($FK$170:$ID$241,FS$169,$FJ175),SUMPRODUCT(INDEX($FK$325:$ID$396,FS$169,1+SwaptionShift):INDEX($FK$325:$ID$396,FS$169,SwaptionMonthsToGo+SwaptionShift),INDEX($FK$245:$ID$316,$FJ175-FS$169,73-FS$169+SwaptionShift):INDEX($FK$245:$ID$316,$FJ175-FS$169,72-FS$169+SwaptionMonthsToGo+SwaptionShift))/SQRT(SUM(INDEX($FK330:$ID330,1+SwaptionShift):INDEX($FK330:$ID330,SwaptionMonthsToGo+SwaptionShift))*SUM(INDEX($FK$325:$ID$396,FS$169,1+SwaptionShift):INDEX($FK$325:$ID$396,FS$169,SwaptionMonthsToGo+SwaptionShift))))))</f>
        <v>0.94139264223721675</v>
      </c>
      <c r="FT175" s="479">
        <f ca="1">IF(OR(FT$169&lt;SwaptionFirstMonthPosition+1,$FJ175&lt;SwaptionFirstMonthPosition+1,FT$169&gt;SwaptionFirstMonthPosition+SwaptionNumOfMonths+1,$FJ175&gt;SwaptionFirstMonthPosition+SwaptionNumOfMonths+1),"",IF($FJ175=FT$169,1,IF($FJ175&lt;FT$169,INDEX($FK$170:$ID$241,FT$169,$FJ175),SUMPRODUCT(INDEX($FK$325:$ID$396,FT$169,1+SwaptionShift):INDEX($FK$325:$ID$396,FT$169,SwaptionMonthsToGo+SwaptionShift),INDEX($FK$245:$ID$316,$FJ175-FT$169,73-FT$169+SwaptionShift):INDEX($FK$245:$ID$316,$FJ175-FT$169,72-FT$169+SwaptionMonthsToGo+SwaptionShift))/SQRT(SUM(INDEX($FK330:$ID330,1+SwaptionShift):INDEX($FK330:$ID330,SwaptionMonthsToGo+SwaptionShift))*SUM(INDEX($FK$325:$ID$396,FT$169,1+SwaptionShift):INDEX($FK$325:$ID$396,FT$169,SwaptionMonthsToGo+SwaptionShift))))))</f>
        <v>0.92900753708298878</v>
      </c>
      <c r="FU175" s="479">
        <f ca="1">IF(OR(FU$169&lt;SwaptionFirstMonthPosition+1,$FJ175&lt;SwaptionFirstMonthPosition+1,FU$169&gt;SwaptionFirstMonthPosition+SwaptionNumOfMonths+1,$FJ175&gt;SwaptionFirstMonthPosition+SwaptionNumOfMonths+1),"",IF($FJ175=FU$169,1,IF($FJ175&lt;FU$169,INDEX($FK$170:$ID$241,FU$169,$FJ175),SUMPRODUCT(INDEX($FK$325:$ID$396,FU$169,1+SwaptionShift):INDEX($FK$325:$ID$396,FU$169,SwaptionMonthsToGo+SwaptionShift),INDEX($FK$245:$ID$316,$FJ175-FU$169,73-FU$169+SwaptionShift):INDEX($FK$245:$ID$316,$FJ175-FU$169,72-FU$169+SwaptionMonthsToGo+SwaptionShift))/SQRT(SUM(INDEX($FK330:$ID330,1+SwaptionShift):INDEX($FK330:$ID330,SwaptionMonthsToGo+SwaptionShift))*SUM(INDEX($FK$325:$ID$396,FU$169,1+SwaptionShift):INDEX($FK$325:$ID$396,FU$169,SwaptionMonthsToGo+SwaptionShift))))))</f>
        <v>0.91891985228488937</v>
      </c>
      <c r="FV175" s="479">
        <f ca="1">IF(OR(FV$169&lt;SwaptionFirstMonthPosition+1,$FJ175&lt;SwaptionFirstMonthPosition+1,FV$169&gt;SwaptionFirstMonthPosition+SwaptionNumOfMonths+1,$FJ175&gt;SwaptionFirstMonthPosition+SwaptionNumOfMonths+1),"",IF($FJ175=FV$169,1,IF($FJ175&lt;FV$169,INDEX($FK$170:$ID$241,FV$169,$FJ175),SUMPRODUCT(INDEX($FK$325:$ID$396,FV$169,1+SwaptionShift):INDEX($FK$325:$ID$396,FV$169,SwaptionMonthsToGo+SwaptionShift),INDEX($FK$245:$ID$316,$FJ175-FV$169,73-FV$169+SwaptionShift):INDEX($FK$245:$ID$316,$FJ175-FV$169,72-FV$169+SwaptionMonthsToGo+SwaptionShift))/SQRT(SUM(INDEX($FK330:$ID330,1+SwaptionShift):INDEX($FK330:$ID330,SwaptionMonthsToGo+SwaptionShift))*SUM(INDEX($FK$325:$ID$396,FV$169,1+SwaptionShift):INDEX($FK$325:$ID$396,FV$169,SwaptionMonthsToGo+SwaptionShift))))))</f>
        <v>0.91064991957747565</v>
      </c>
      <c r="FW175" s="479">
        <f ca="1">IF(OR(FW$169&lt;SwaptionFirstMonthPosition+1,$FJ175&lt;SwaptionFirstMonthPosition+1,FW$169&gt;SwaptionFirstMonthPosition+SwaptionNumOfMonths+1,$FJ175&gt;SwaptionFirstMonthPosition+SwaptionNumOfMonths+1),"",IF($FJ175=FW$169,1,IF($FJ175&lt;FW$169,INDEX($FK$170:$ID$241,FW$169,$FJ175),SUMPRODUCT(INDEX($FK$325:$ID$396,FW$169,1+SwaptionShift):INDEX($FK$325:$ID$396,FW$169,SwaptionMonthsToGo+SwaptionShift),INDEX($FK$245:$ID$316,$FJ175-FW$169,73-FW$169+SwaptionShift):INDEX($FK$245:$ID$316,$FJ175-FW$169,72-FW$169+SwaptionMonthsToGo+SwaptionShift))/SQRT(SUM(INDEX($FK330:$ID330,1+SwaptionShift):INDEX($FK330:$ID330,SwaptionMonthsToGo+SwaptionShift))*SUM(INDEX($FK$325:$ID$396,FW$169,1+SwaptionShift):INDEX($FK$325:$ID$396,FW$169,SwaptionMonthsToGo+SwaptionShift))))))</f>
        <v>0.90383251659204611</v>
      </c>
      <c r="FX175" s="479">
        <f ca="1">IF(OR(FX$169&lt;SwaptionFirstMonthPosition+1,$FJ175&lt;SwaptionFirstMonthPosition+1,FX$169&gt;SwaptionFirstMonthPosition+SwaptionNumOfMonths+1,$FJ175&gt;SwaptionFirstMonthPosition+SwaptionNumOfMonths+1),"",IF($FJ175=FX$169,1,IF($FJ175&lt;FX$169,INDEX($FK$170:$ID$241,FX$169,$FJ175),SUMPRODUCT(INDEX($FK$325:$ID$396,FX$169,1+SwaptionShift):INDEX($FK$325:$ID$396,FX$169,SwaptionMonthsToGo+SwaptionShift),INDEX($FK$245:$ID$316,$FJ175-FX$169,73-FX$169+SwaptionShift):INDEX($FK$245:$ID$316,$FJ175-FX$169,72-FX$169+SwaptionMonthsToGo+SwaptionShift))/SQRT(SUM(INDEX($FK330:$ID330,1+SwaptionShift):INDEX($FK330:$ID330,SwaptionMonthsToGo+SwaptionShift))*SUM(INDEX($FK$325:$ID$396,FX$169,1+SwaptionShift):INDEX($FK$325:$ID$396,FX$169,SwaptionMonthsToGo+SwaptionShift))))))</f>
        <v>0.89818570458108082</v>
      </c>
      <c r="FY175" s="479">
        <f ca="1">IF(OR(FY$169&lt;SwaptionFirstMonthPosition+1,$FJ175&lt;SwaptionFirstMonthPosition+1,FY$169&gt;SwaptionFirstMonthPosition+SwaptionNumOfMonths+1,$FJ175&gt;SwaptionFirstMonthPosition+SwaptionNumOfMonths+1),"",IF($FJ175=FY$169,1,IF($FJ175&lt;FY$169,INDEX($FK$170:$ID$241,FY$169,$FJ175),SUMPRODUCT(INDEX($FK$325:$ID$396,FY$169,1+SwaptionShift):INDEX($FK$325:$ID$396,FY$169,SwaptionMonthsToGo+SwaptionShift),INDEX($FK$245:$ID$316,$FJ175-FY$169,73-FY$169+SwaptionShift):INDEX($FK$245:$ID$316,$FJ175-FY$169,72-FY$169+SwaptionMonthsToGo+SwaptionShift))/SQRT(SUM(INDEX($FK330:$ID330,1+SwaptionShift):INDEX($FK330:$ID330,SwaptionMonthsToGo+SwaptionShift))*SUM(INDEX($FK$325:$ID$396,FY$169,1+SwaptionShift):INDEX($FK$325:$ID$396,FY$169,SwaptionMonthsToGo+SwaptionShift))))))</f>
        <v>0.89348923078936893</v>
      </c>
      <c r="FZ175" s="479">
        <f ca="1">IF(OR(FZ$169&lt;SwaptionFirstMonthPosition+1,$FJ175&lt;SwaptionFirstMonthPosition+1,FZ$169&gt;SwaptionFirstMonthPosition+SwaptionNumOfMonths+1,$FJ175&gt;SwaptionFirstMonthPosition+SwaptionNumOfMonths+1),"",IF($FJ175=FZ$169,1,IF($FJ175&lt;FZ$169,INDEX($FK$170:$ID$241,FZ$169,$FJ175),SUMPRODUCT(INDEX($FK$325:$ID$396,FZ$169,1+SwaptionShift):INDEX($FK$325:$ID$396,FZ$169,SwaptionMonthsToGo+SwaptionShift),INDEX($FK$245:$ID$316,$FJ175-FZ$169,73-FZ$169+SwaptionShift):INDEX($FK$245:$ID$316,$FJ175-FZ$169,72-FZ$169+SwaptionMonthsToGo+SwaptionShift))/SQRT(SUM(INDEX($FK330:$ID330,1+SwaptionShift):INDEX($FK330:$ID330,SwaptionMonthsToGo+SwaptionShift))*SUM(INDEX($FK$325:$ID$396,FZ$169,1+SwaptionShift):INDEX($FK$325:$ID$396,FZ$169,SwaptionMonthsToGo+SwaptionShift))))))</f>
        <v>0.88956923555550382</v>
      </c>
      <c r="GA175" s="479">
        <f ca="1">IF(OR(GA$169&lt;SwaptionFirstMonthPosition+1,$FJ175&lt;SwaptionFirstMonthPosition+1,GA$169&gt;SwaptionFirstMonthPosition+SwaptionNumOfMonths+1,$FJ175&gt;SwaptionFirstMonthPosition+SwaptionNumOfMonths+1),"",IF($FJ175=GA$169,1,IF($FJ175&lt;GA$169,INDEX($FK$170:$ID$241,GA$169,$FJ175),SUMPRODUCT(INDEX($FK$325:$ID$396,GA$169,1+SwaptionShift):INDEX($FK$325:$ID$396,GA$169,SwaptionMonthsToGo+SwaptionShift),INDEX($FK$245:$ID$316,$FJ175-GA$169,73-GA$169+SwaptionShift):INDEX($FK$245:$ID$316,$FJ175-GA$169,72-GA$169+SwaptionMonthsToGo+SwaptionShift))/SQRT(SUM(INDEX($FK330:$ID330,1+SwaptionShift):INDEX($FK330:$ID330,SwaptionMonthsToGo+SwaptionShift))*SUM(INDEX($FK$325:$ID$396,GA$169,1+SwaptionShift):INDEX($FK$325:$ID$396,GA$169,SwaptionMonthsToGo+SwaptionShift))))))</f>
        <v>0.88628722137629079</v>
      </c>
      <c r="GB175" s="479">
        <f ca="1">IF(OR(GB$169&lt;SwaptionFirstMonthPosition+1,$FJ175&lt;SwaptionFirstMonthPosition+1,GB$169&gt;SwaptionFirstMonthPosition+SwaptionNumOfMonths+1,$FJ175&gt;SwaptionFirstMonthPosition+SwaptionNumOfMonths+1),"",IF($FJ175=GB$169,1,IF($FJ175&lt;GB$169,INDEX($FK$170:$ID$241,GB$169,$FJ175),SUMPRODUCT(INDEX($FK$325:$ID$396,GB$169,1+SwaptionShift):INDEX($FK$325:$ID$396,GB$169,SwaptionMonthsToGo+SwaptionShift),INDEX($FK$245:$ID$316,$FJ175-GB$169,73-GB$169+SwaptionShift):INDEX($FK$245:$ID$316,$FJ175-GB$169,72-GB$169+SwaptionMonthsToGo+SwaptionShift))/SQRT(SUM(INDEX($FK330:$ID330,1+SwaptionShift):INDEX($FK330:$ID330,SwaptionMonthsToGo+SwaptionShift))*SUM(INDEX($FK$325:$ID$396,GB$169,1+SwaptionShift):INDEX($FK$325:$ID$396,GB$169,SwaptionMonthsToGo+SwaptionShift))))))</f>
        <v>0.88353196635440301</v>
      </c>
      <c r="GC175" s="479" t="str">
        <f ca="1">IF(OR(GC$169&lt;SwaptionFirstMonthPosition+1,$FJ175&lt;SwaptionFirstMonthPosition+1,GC$169&gt;SwaptionFirstMonthPosition+SwaptionNumOfMonths+1,$FJ175&gt;SwaptionFirstMonthPosition+SwaptionNumOfMonths+1),"",IF($FJ175=GC$169,1,IF($FJ175&lt;GC$169,INDEX($FK$170:$ID$241,GC$169,$FJ175),SUMPRODUCT(INDEX($FK$325:$ID$396,GC$169,1+SwaptionShift):INDEX($FK$325:$ID$396,GC$169,SwaptionMonthsToGo+SwaptionShift),INDEX($FK$245:$ID$316,$FJ175-GC$169,73-GC$169+SwaptionShift):INDEX($FK$245:$ID$316,$FJ175-GC$169,72-GC$169+SwaptionMonthsToGo+SwaptionShift))/SQRT(SUM(INDEX($FK330:$ID330,1+SwaptionShift):INDEX($FK330:$ID330,SwaptionMonthsToGo+SwaptionShift))*SUM(INDEX($FK$325:$ID$396,GC$169,1+SwaptionShift):INDEX($FK$325:$ID$396,GC$169,SwaptionMonthsToGo+SwaptionShift))))))</f>
        <v/>
      </c>
      <c r="GD175" s="479" t="str">
        <f ca="1">IF(OR(GD$169&lt;SwaptionFirstMonthPosition+1,$FJ175&lt;SwaptionFirstMonthPosition+1,GD$169&gt;SwaptionFirstMonthPosition+SwaptionNumOfMonths+1,$FJ175&gt;SwaptionFirstMonthPosition+SwaptionNumOfMonths+1),"",IF($FJ175=GD$169,1,IF($FJ175&lt;GD$169,INDEX($FK$170:$ID$241,GD$169,$FJ175),SUMPRODUCT(INDEX($FK$325:$ID$396,GD$169,1+SwaptionShift):INDEX($FK$325:$ID$396,GD$169,SwaptionMonthsToGo+SwaptionShift),INDEX($FK$245:$ID$316,$FJ175-GD$169,73-GD$169+SwaptionShift):INDEX($FK$245:$ID$316,$FJ175-GD$169,72-GD$169+SwaptionMonthsToGo+SwaptionShift))/SQRT(SUM(INDEX($FK330:$ID330,1+SwaptionShift):INDEX($FK330:$ID330,SwaptionMonthsToGo+SwaptionShift))*SUM(INDEX($FK$325:$ID$396,GD$169,1+SwaptionShift):INDEX($FK$325:$ID$396,GD$169,SwaptionMonthsToGo+SwaptionShift))))))</f>
        <v/>
      </c>
      <c r="GE175" s="479" t="str">
        <f ca="1">IF(OR(GE$169&lt;SwaptionFirstMonthPosition+1,$FJ175&lt;SwaptionFirstMonthPosition+1,GE$169&gt;SwaptionFirstMonthPosition+SwaptionNumOfMonths+1,$FJ175&gt;SwaptionFirstMonthPosition+SwaptionNumOfMonths+1),"",IF($FJ175=GE$169,1,IF($FJ175&lt;GE$169,INDEX($FK$170:$ID$241,GE$169,$FJ175),SUMPRODUCT(INDEX($FK$325:$ID$396,GE$169,1+SwaptionShift):INDEX($FK$325:$ID$396,GE$169,SwaptionMonthsToGo+SwaptionShift),INDEX($FK$245:$ID$316,$FJ175-GE$169,73-GE$169+SwaptionShift):INDEX($FK$245:$ID$316,$FJ175-GE$169,72-GE$169+SwaptionMonthsToGo+SwaptionShift))/SQRT(SUM(INDEX($FK330:$ID330,1+SwaptionShift):INDEX($FK330:$ID330,SwaptionMonthsToGo+SwaptionShift))*SUM(INDEX($FK$325:$ID$396,GE$169,1+SwaptionShift):INDEX($FK$325:$ID$396,GE$169,SwaptionMonthsToGo+SwaptionShift))))))</f>
        <v/>
      </c>
      <c r="GF175" s="479" t="str">
        <f ca="1">IF(OR(GF$169&lt;SwaptionFirstMonthPosition+1,$FJ175&lt;SwaptionFirstMonthPosition+1,GF$169&gt;SwaptionFirstMonthPosition+SwaptionNumOfMonths+1,$FJ175&gt;SwaptionFirstMonthPosition+SwaptionNumOfMonths+1),"",IF($FJ175=GF$169,1,IF($FJ175&lt;GF$169,INDEX($FK$170:$ID$241,GF$169,$FJ175),SUMPRODUCT(INDEX($FK$325:$ID$396,GF$169,1+SwaptionShift):INDEX($FK$325:$ID$396,GF$169,SwaptionMonthsToGo+SwaptionShift),INDEX($FK$245:$ID$316,$FJ175-GF$169,73-GF$169+SwaptionShift):INDEX($FK$245:$ID$316,$FJ175-GF$169,72-GF$169+SwaptionMonthsToGo+SwaptionShift))/SQRT(SUM(INDEX($FK330:$ID330,1+SwaptionShift):INDEX($FK330:$ID330,SwaptionMonthsToGo+SwaptionShift))*SUM(INDEX($FK$325:$ID$396,GF$169,1+SwaptionShift):INDEX($FK$325:$ID$396,GF$169,SwaptionMonthsToGo+SwaptionShift))))))</f>
        <v/>
      </c>
      <c r="GG175" s="479" t="str">
        <f ca="1">IF(OR(GG$169&lt;SwaptionFirstMonthPosition+1,$FJ175&lt;SwaptionFirstMonthPosition+1,GG$169&gt;SwaptionFirstMonthPosition+SwaptionNumOfMonths+1,$FJ175&gt;SwaptionFirstMonthPosition+SwaptionNumOfMonths+1),"",IF($FJ175=GG$169,1,IF($FJ175&lt;GG$169,INDEX($FK$170:$ID$241,GG$169,$FJ175),SUMPRODUCT(INDEX($FK$325:$ID$396,GG$169,1+SwaptionShift):INDEX($FK$325:$ID$396,GG$169,SwaptionMonthsToGo+SwaptionShift),INDEX($FK$245:$ID$316,$FJ175-GG$169,73-GG$169+SwaptionShift):INDEX($FK$245:$ID$316,$FJ175-GG$169,72-GG$169+SwaptionMonthsToGo+SwaptionShift))/SQRT(SUM(INDEX($FK330:$ID330,1+SwaptionShift):INDEX($FK330:$ID330,SwaptionMonthsToGo+SwaptionShift))*SUM(INDEX($FK$325:$ID$396,GG$169,1+SwaptionShift):INDEX($FK$325:$ID$396,GG$169,SwaptionMonthsToGo+SwaptionShift))))))</f>
        <v/>
      </c>
      <c r="GH175" s="479" t="str">
        <f ca="1">IF(OR(GH$169&lt;SwaptionFirstMonthPosition+1,$FJ175&lt;SwaptionFirstMonthPosition+1,GH$169&gt;SwaptionFirstMonthPosition+SwaptionNumOfMonths+1,$FJ175&gt;SwaptionFirstMonthPosition+SwaptionNumOfMonths+1),"",IF($FJ175=GH$169,1,IF($FJ175&lt;GH$169,INDEX($FK$170:$ID$241,GH$169,$FJ175),SUMPRODUCT(INDEX($FK$325:$ID$396,GH$169,1+SwaptionShift):INDEX($FK$325:$ID$396,GH$169,SwaptionMonthsToGo+SwaptionShift),INDEX($FK$245:$ID$316,$FJ175-GH$169,73-GH$169+SwaptionShift):INDEX($FK$245:$ID$316,$FJ175-GH$169,72-GH$169+SwaptionMonthsToGo+SwaptionShift))/SQRT(SUM(INDEX($FK330:$ID330,1+SwaptionShift):INDEX($FK330:$ID330,SwaptionMonthsToGo+SwaptionShift))*SUM(INDEX($FK$325:$ID$396,GH$169,1+SwaptionShift):INDEX($FK$325:$ID$396,GH$169,SwaptionMonthsToGo+SwaptionShift))))))</f>
        <v/>
      </c>
      <c r="GI175" s="479" t="str">
        <f ca="1">IF(OR(GI$169&lt;SwaptionFirstMonthPosition+1,$FJ175&lt;SwaptionFirstMonthPosition+1,GI$169&gt;SwaptionFirstMonthPosition+SwaptionNumOfMonths+1,$FJ175&gt;SwaptionFirstMonthPosition+SwaptionNumOfMonths+1),"",IF($FJ175=GI$169,1,IF($FJ175&lt;GI$169,INDEX($FK$170:$ID$241,GI$169,$FJ175),SUMPRODUCT(INDEX($FK$325:$ID$396,GI$169,1+SwaptionShift):INDEX($FK$325:$ID$396,GI$169,SwaptionMonthsToGo+SwaptionShift),INDEX($FK$245:$ID$316,$FJ175-GI$169,73-GI$169+SwaptionShift):INDEX($FK$245:$ID$316,$FJ175-GI$169,72-GI$169+SwaptionMonthsToGo+SwaptionShift))/SQRT(SUM(INDEX($FK330:$ID330,1+SwaptionShift):INDEX($FK330:$ID330,SwaptionMonthsToGo+SwaptionShift))*SUM(INDEX($FK$325:$ID$396,GI$169,1+SwaptionShift):INDEX($FK$325:$ID$396,GI$169,SwaptionMonthsToGo+SwaptionShift))))))</f>
        <v/>
      </c>
      <c r="GJ175" s="479" t="str">
        <f ca="1">IF(OR(GJ$169&lt;SwaptionFirstMonthPosition+1,$FJ175&lt;SwaptionFirstMonthPosition+1,GJ$169&gt;SwaptionFirstMonthPosition+SwaptionNumOfMonths+1,$FJ175&gt;SwaptionFirstMonthPosition+SwaptionNumOfMonths+1),"",IF($FJ175=GJ$169,1,IF($FJ175&lt;GJ$169,INDEX($FK$170:$ID$241,GJ$169,$FJ175),SUMPRODUCT(INDEX($FK$325:$ID$396,GJ$169,1+SwaptionShift):INDEX($FK$325:$ID$396,GJ$169,SwaptionMonthsToGo+SwaptionShift),INDEX($FK$245:$ID$316,$FJ175-GJ$169,73-GJ$169+SwaptionShift):INDEX($FK$245:$ID$316,$FJ175-GJ$169,72-GJ$169+SwaptionMonthsToGo+SwaptionShift))/SQRT(SUM(INDEX($FK330:$ID330,1+SwaptionShift):INDEX($FK330:$ID330,SwaptionMonthsToGo+SwaptionShift))*SUM(INDEX($FK$325:$ID$396,GJ$169,1+SwaptionShift):INDEX($FK$325:$ID$396,GJ$169,SwaptionMonthsToGo+SwaptionShift))))))</f>
        <v/>
      </c>
      <c r="GK175" s="479" t="str">
        <f ca="1">IF(OR(GK$169&lt;SwaptionFirstMonthPosition+1,$FJ175&lt;SwaptionFirstMonthPosition+1,GK$169&gt;SwaptionFirstMonthPosition+SwaptionNumOfMonths+1,$FJ175&gt;SwaptionFirstMonthPosition+SwaptionNumOfMonths+1),"",IF($FJ175=GK$169,1,IF($FJ175&lt;GK$169,INDEX($FK$170:$ID$241,GK$169,$FJ175),SUMPRODUCT(INDEX($FK$325:$ID$396,GK$169,1+SwaptionShift):INDEX($FK$325:$ID$396,GK$169,SwaptionMonthsToGo+SwaptionShift),INDEX($FK$245:$ID$316,$FJ175-GK$169,73-GK$169+SwaptionShift):INDEX($FK$245:$ID$316,$FJ175-GK$169,72-GK$169+SwaptionMonthsToGo+SwaptionShift))/SQRT(SUM(INDEX($FK330:$ID330,1+SwaptionShift):INDEX($FK330:$ID330,SwaptionMonthsToGo+SwaptionShift))*SUM(INDEX($FK$325:$ID$396,GK$169,1+SwaptionShift):INDEX($FK$325:$ID$396,GK$169,SwaptionMonthsToGo+SwaptionShift))))))</f>
        <v/>
      </c>
      <c r="GL175" s="479" t="str">
        <f ca="1">IF(OR(GL$169&lt;SwaptionFirstMonthPosition+1,$FJ175&lt;SwaptionFirstMonthPosition+1,GL$169&gt;SwaptionFirstMonthPosition+SwaptionNumOfMonths+1,$FJ175&gt;SwaptionFirstMonthPosition+SwaptionNumOfMonths+1),"",IF($FJ175=GL$169,1,IF($FJ175&lt;GL$169,INDEX($FK$170:$ID$241,GL$169,$FJ175),SUMPRODUCT(INDEX($FK$325:$ID$396,GL$169,1+SwaptionShift):INDEX($FK$325:$ID$396,GL$169,SwaptionMonthsToGo+SwaptionShift),INDEX($FK$245:$ID$316,$FJ175-GL$169,73-GL$169+SwaptionShift):INDEX($FK$245:$ID$316,$FJ175-GL$169,72-GL$169+SwaptionMonthsToGo+SwaptionShift))/SQRT(SUM(INDEX($FK330:$ID330,1+SwaptionShift):INDEX($FK330:$ID330,SwaptionMonthsToGo+SwaptionShift))*SUM(INDEX($FK$325:$ID$396,GL$169,1+SwaptionShift):INDEX($FK$325:$ID$396,GL$169,SwaptionMonthsToGo+SwaptionShift))))))</f>
        <v/>
      </c>
      <c r="GM175" s="479" t="str">
        <f ca="1">IF(OR(GM$169&lt;SwaptionFirstMonthPosition+1,$FJ175&lt;SwaptionFirstMonthPosition+1,GM$169&gt;SwaptionFirstMonthPosition+SwaptionNumOfMonths+1,$FJ175&gt;SwaptionFirstMonthPosition+SwaptionNumOfMonths+1),"",IF($FJ175=GM$169,1,IF($FJ175&lt;GM$169,INDEX($FK$170:$ID$241,GM$169,$FJ175),SUMPRODUCT(INDEX($FK$325:$ID$396,GM$169,1+SwaptionShift):INDEX($FK$325:$ID$396,GM$169,SwaptionMonthsToGo+SwaptionShift),INDEX($FK$245:$ID$316,$FJ175-GM$169,73-GM$169+SwaptionShift):INDEX($FK$245:$ID$316,$FJ175-GM$169,72-GM$169+SwaptionMonthsToGo+SwaptionShift))/SQRT(SUM(INDEX($FK330:$ID330,1+SwaptionShift):INDEX($FK330:$ID330,SwaptionMonthsToGo+SwaptionShift))*SUM(INDEX($FK$325:$ID$396,GM$169,1+SwaptionShift):INDEX($FK$325:$ID$396,GM$169,SwaptionMonthsToGo+SwaptionShift))))))</f>
        <v/>
      </c>
      <c r="GN175" s="479" t="str">
        <f ca="1">IF(OR(GN$169&lt;SwaptionFirstMonthPosition+1,$FJ175&lt;SwaptionFirstMonthPosition+1,GN$169&gt;SwaptionFirstMonthPosition+SwaptionNumOfMonths+1,$FJ175&gt;SwaptionFirstMonthPosition+SwaptionNumOfMonths+1),"",IF($FJ175=GN$169,1,IF($FJ175&lt;GN$169,INDEX($FK$170:$ID$241,GN$169,$FJ175),SUMPRODUCT(INDEX($FK$325:$ID$396,GN$169,1+SwaptionShift):INDEX($FK$325:$ID$396,GN$169,SwaptionMonthsToGo+SwaptionShift),INDEX($FK$245:$ID$316,$FJ175-GN$169,73-GN$169+SwaptionShift):INDEX($FK$245:$ID$316,$FJ175-GN$169,72-GN$169+SwaptionMonthsToGo+SwaptionShift))/SQRT(SUM(INDEX($FK330:$ID330,1+SwaptionShift):INDEX($FK330:$ID330,SwaptionMonthsToGo+SwaptionShift))*SUM(INDEX($FK$325:$ID$396,GN$169,1+SwaptionShift):INDEX($FK$325:$ID$396,GN$169,SwaptionMonthsToGo+SwaptionShift))))))</f>
        <v/>
      </c>
      <c r="GO175" s="479" t="str">
        <f ca="1">IF(OR(GO$169&lt;SwaptionFirstMonthPosition+1,$FJ175&lt;SwaptionFirstMonthPosition+1,GO$169&gt;SwaptionFirstMonthPosition+SwaptionNumOfMonths+1,$FJ175&gt;SwaptionFirstMonthPosition+SwaptionNumOfMonths+1),"",IF($FJ175=GO$169,1,IF($FJ175&lt;GO$169,INDEX($FK$170:$ID$241,GO$169,$FJ175),SUMPRODUCT(INDEX($FK$325:$ID$396,GO$169,1+SwaptionShift):INDEX($FK$325:$ID$396,GO$169,SwaptionMonthsToGo+SwaptionShift),INDEX($FK$245:$ID$316,$FJ175-GO$169,73-GO$169+SwaptionShift):INDEX($FK$245:$ID$316,$FJ175-GO$169,72-GO$169+SwaptionMonthsToGo+SwaptionShift))/SQRT(SUM(INDEX($FK330:$ID330,1+SwaptionShift):INDEX($FK330:$ID330,SwaptionMonthsToGo+SwaptionShift))*SUM(INDEX($FK$325:$ID$396,GO$169,1+SwaptionShift):INDEX($FK$325:$ID$396,GO$169,SwaptionMonthsToGo+SwaptionShift))))))</f>
        <v/>
      </c>
      <c r="GP175" s="479" t="str">
        <f ca="1">IF(OR(GP$169&lt;SwaptionFirstMonthPosition+1,$FJ175&lt;SwaptionFirstMonthPosition+1,GP$169&gt;SwaptionFirstMonthPosition+SwaptionNumOfMonths+1,$FJ175&gt;SwaptionFirstMonthPosition+SwaptionNumOfMonths+1),"",IF($FJ175=GP$169,1,IF($FJ175&lt;GP$169,INDEX($FK$170:$ID$241,GP$169,$FJ175),SUMPRODUCT(INDEX($FK$325:$ID$396,GP$169,1+SwaptionShift):INDEX($FK$325:$ID$396,GP$169,SwaptionMonthsToGo+SwaptionShift),INDEX($FK$245:$ID$316,$FJ175-GP$169,73-GP$169+SwaptionShift):INDEX($FK$245:$ID$316,$FJ175-GP$169,72-GP$169+SwaptionMonthsToGo+SwaptionShift))/SQRT(SUM(INDEX($FK330:$ID330,1+SwaptionShift):INDEX($FK330:$ID330,SwaptionMonthsToGo+SwaptionShift))*SUM(INDEX($FK$325:$ID$396,GP$169,1+SwaptionShift):INDEX($FK$325:$ID$396,GP$169,SwaptionMonthsToGo+SwaptionShift))))))</f>
        <v/>
      </c>
      <c r="GQ175" s="479" t="str">
        <f ca="1">IF(OR(GQ$169&lt;SwaptionFirstMonthPosition+1,$FJ175&lt;SwaptionFirstMonthPosition+1,GQ$169&gt;SwaptionFirstMonthPosition+SwaptionNumOfMonths+1,$FJ175&gt;SwaptionFirstMonthPosition+SwaptionNumOfMonths+1),"",IF($FJ175=GQ$169,1,IF($FJ175&lt;GQ$169,INDEX($FK$170:$ID$241,GQ$169,$FJ175),SUMPRODUCT(INDEX($FK$325:$ID$396,GQ$169,1+SwaptionShift):INDEX($FK$325:$ID$396,GQ$169,SwaptionMonthsToGo+SwaptionShift),INDEX($FK$245:$ID$316,$FJ175-GQ$169,73-GQ$169+SwaptionShift):INDEX($FK$245:$ID$316,$FJ175-GQ$169,72-GQ$169+SwaptionMonthsToGo+SwaptionShift))/SQRT(SUM(INDEX($FK330:$ID330,1+SwaptionShift):INDEX($FK330:$ID330,SwaptionMonthsToGo+SwaptionShift))*SUM(INDEX($FK$325:$ID$396,GQ$169,1+SwaptionShift):INDEX($FK$325:$ID$396,GQ$169,SwaptionMonthsToGo+SwaptionShift))))))</f>
        <v/>
      </c>
      <c r="GR175" s="479" t="str">
        <f ca="1">IF(OR(GR$169&lt;SwaptionFirstMonthPosition+1,$FJ175&lt;SwaptionFirstMonthPosition+1,GR$169&gt;SwaptionFirstMonthPosition+SwaptionNumOfMonths+1,$FJ175&gt;SwaptionFirstMonthPosition+SwaptionNumOfMonths+1),"",IF($FJ175=GR$169,1,IF($FJ175&lt;GR$169,INDEX($FK$170:$ID$241,GR$169,$FJ175),SUMPRODUCT(INDEX($FK$325:$ID$396,GR$169,1+SwaptionShift):INDEX($FK$325:$ID$396,GR$169,SwaptionMonthsToGo+SwaptionShift),INDEX($FK$245:$ID$316,$FJ175-GR$169,73-GR$169+SwaptionShift):INDEX($FK$245:$ID$316,$FJ175-GR$169,72-GR$169+SwaptionMonthsToGo+SwaptionShift))/SQRT(SUM(INDEX($FK330:$ID330,1+SwaptionShift):INDEX($FK330:$ID330,SwaptionMonthsToGo+SwaptionShift))*SUM(INDEX($FK$325:$ID$396,GR$169,1+SwaptionShift):INDEX($FK$325:$ID$396,GR$169,SwaptionMonthsToGo+SwaptionShift))))))</f>
        <v/>
      </c>
      <c r="GS175" s="479" t="str">
        <f ca="1">IF(OR(GS$169&lt;SwaptionFirstMonthPosition+1,$FJ175&lt;SwaptionFirstMonthPosition+1,GS$169&gt;SwaptionFirstMonthPosition+SwaptionNumOfMonths+1,$FJ175&gt;SwaptionFirstMonthPosition+SwaptionNumOfMonths+1),"",IF($FJ175=GS$169,1,IF($FJ175&lt;GS$169,INDEX($FK$170:$ID$241,GS$169,$FJ175),SUMPRODUCT(INDEX($FK$325:$ID$396,GS$169,1+SwaptionShift):INDEX($FK$325:$ID$396,GS$169,SwaptionMonthsToGo+SwaptionShift),INDEX($FK$245:$ID$316,$FJ175-GS$169,73-GS$169+SwaptionShift):INDEX($FK$245:$ID$316,$FJ175-GS$169,72-GS$169+SwaptionMonthsToGo+SwaptionShift))/SQRT(SUM(INDEX($FK330:$ID330,1+SwaptionShift):INDEX($FK330:$ID330,SwaptionMonthsToGo+SwaptionShift))*SUM(INDEX($FK$325:$ID$396,GS$169,1+SwaptionShift):INDEX($FK$325:$ID$396,GS$169,SwaptionMonthsToGo+SwaptionShift))))))</f>
        <v/>
      </c>
      <c r="GT175" s="479" t="str">
        <f ca="1">IF(OR(GT$169&lt;SwaptionFirstMonthPosition+1,$FJ175&lt;SwaptionFirstMonthPosition+1,GT$169&gt;SwaptionFirstMonthPosition+SwaptionNumOfMonths+1,$FJ175&gt;SwaptionFirstMonthPosition+SwaptionNumOfMonths+1),"",IF($FJ175=GT$169,1,IF($FJ175&lt;GT$169,INDEX($FK$170:$ID$241,GT$169,$FJ175),SUMPRODUCT(INDEX($FK$325:$ID$396,GT$169,1+SwaptionShift):INDEX($FK$325:$ID$396,GT$169,SwaptionMonthsToGo+SwaptionShift),INDEX($FK$245:$ID$316,$FJ175-GT$169,73-GT$169+SwaptionShift):INDEX($FK$245:$ID$316,$FJ175-GT$169,72-GT$169+SwaptionMonthsToGo+SwaptionShift))/SQRT(SUM(INDEX($FK330:$ID330,1+SwaptionShift):INDEX($FK330:$ID330,SwaptionMonthsToGo+SwaptionShift))*SUM(INDEX($FK$325:$ID$396,GT$169,1+SwaptionShift):INDEX($FK$325:$ID$396,GT$169,SwaptionMonthsToGo+SwaptionShift))))))</f>
        <v/>
      </c>
      <c r="GU175" s="479" t="str">
        <f ca="1">IF(OR(GU$169&lt;SwaptionFirstMonthPosition+1,$FJ175&lt;SwaptionFirstMonthPosition+1,GU$169&gt;SwaptionFirstMonthPosition+SwaptionNumOfMonths+1,$FJ175&gt;SwaptionFirstMonthPosition+SwaptionNumOfMonths+1),"",IF($FJ175=GU$169,1,IF($FJ175&lt;GU$169,INDEX($FK$170:$ID$241,GU$169,$FJ175),SUMPRODUCT(INDEX($FK$325:$ID$396,GU$169,1+SwaptionShift):INDEX($FK$325:$ID$396,GU$169,SwaptionMonthsToGo+SwaptionShift),INDEX($FK$245:$ID$316,$FJ175-GU$169,73-GU$169+SwaptionShift):INDEX($FK$245:$ID$316,$FJ175-GU$169,72-GU$169+SwaptionMonthsToGo+SwaptionShift))/SQRT(SUM(INDEX($FK330:$ID330,1+SwaptionShift):INDEX($FK330:$ID330,SwaptionMonthsToGo+SwaptionShift))*SUM(INDEX($FK$325:$ID$396,GU$169,1+SwaptionShift):INDEX($FK$325:$ID$396,GU$169,SwaptionMonthsToGo+SwaptionShift))))))</f>
        <v/>
      </c>
      <c r="GV175" s="479" t="str">
        <f ca="1">IF(OR(GV$169&lt;SwaptionFirstMonthPosition+1,$FJ175&lt;SwaptionFirstMonthPosition+1,GV$169&gt;SwaptionFirstMonthPosition+SwaptionNumOfMonths+1,$FJ175&gt;SwaptionFirstMonthPosition+SwaptionNumOfMonths+1),"",IF($FJ175=GV$169,1,IF($FJ175&lt;GV$169,INDEX($FK$170:$ID$241,GV$169,$FJ175),SUMPRODUCT(INDEX($FK$325:$ID$396,GV$169,1+SwaptionShift):INDEX($FK$325:$ID$396,GV$169,SwaptionMonthsToGo+SwaptionShift),INDEX($FK$245:$ID$316,$FJ175-GV$169,73-GV$169+SwaptionShift):INDEX($FK$245:$ID$316,$FJ175-GV$169,72-GV$169+SwaptionMonthsToGo+SwaptionShift))/SQRT(SUM(INDEX($FK330:$ID330,1+SwaptionShift):INDEX($FK330:$ID330,SwaptionMonthsToGo+SwaptionShift))*SUM(INDEX($FK$325:$ID$396,GV$169,1+SwaptionShift):INDEX($FK$325:$ID$396,GV$169,SwaptionMonthsToGo+SwaptionShift))))))</f>
        <v/>
      </c>
      <c r="GW175" s="479" t="str">
        <f ca="1">IF(OR(GW$169&lt;SwaptionFirstMonthPosition+1,$FJ175&lt;SwaptionFirstMonthPosition+1,GW$169&gt;SwaptionFirstMonthPosition+SwaptionNumOfMonths+1,$FJ175&gt;SwaptionFirstMonthPosition+SwaptionNumOfMonths+1),"",IF($FJ175=GW$169,1,IF($FJ175&lt;GW$169,INDEX($FK$170:$ID$241,GW$169,$FJ175),SUMPRODUCT(INDEX($FK$325:$ID$396,GW$169,1+SwaptionShift):INDEX($FK$325:$ID$396,GW$169,SwaptionMonthsToGo+SwaptionShift),INDEX($FK$245:$ID$316,$FJ175-GW$169,73-GW$169+SwaptionShift):INDEX($FK$245:$ID$316,$FJ175-GW$169,72-GW$169+SwaptionMonthsToGo+SwaptionShift))/SQRT(SUM(INDEX($FK330:$ID330,1+SwaptionShift):INDEX($FK330:$ID330,SwaptionMonthsToGo+SwaptionShift))*SUM(INDEX($FK$325:$ID$396,GW$169,1+SwaptionShift):INDEX($FK$325:$ID$396,GW$169,SwaptionMonthsToGo+SwaptionShift))))))</f>
        <v/>
      </c>
      <c r="GX175" s="479" t="str">
        <f ca="1">IF(OR(GX$169&lt;SwaptionFirstMonthPosition+1,$FJ175&lt;SwaptionFirstMonthPosition+1,GX$169&gt;SwaptionFirstMonthPosition+SwaptionNumOfMonths+1,$FJ175&gt;SwaptionFirstMonthPosition+SwaptionNumOfMonths+1),"",IF($FJ175=GX$169,1,IF($FJ175&lt;GX$169,INDEX($FK$170:$ID$241,GX$169,$FJ175),SUMPRODUCT(INDEX($FK$325:$ID$396,GX$169,1+SwaptionShift):INDEX($FK$325:$ID$396,GX$169,SwaptionMonthsToGo+SwaptionShift),INDEX($FK$245:$ID$316,$FJ175-GX$169,73-GX$169+SwaptionShift):INDEX($FK$245:$ID$316,$FJ175-GX$169,72-GX$169+SwaptionMonthsToGo+SwaptionShift))/SQRT(SUM(INDEX($FK330:$ID330,1+SwaptionShift):INDEX($FK330:$ID330,SwaptionMonthsToGo+SwaptionShift))*SUM(INDEX($FK$325:$ID$396,GX$169,1+SwaptionShift):INDEX($FK$325:$ID$396,GX$169,SwaptionMonthsToGo+SwaptionShift))))))</f>
        <v/>
      </c>
      <c r="GY175" s="479" t="str">
        <f ca="1">IF(OR(GY$169&lt;SwaptionFirstMonthPosition+1,$FJ175&lt;SwaptionFirstMonthPosition+1,GY$169&gt;SwaptionFirstMonthPosition+SwaptionNumOfMonths+1,$FJ175&gt;SwaptionFirstMonthPosition+SwaptionNumOfMonths+1),"",IF($FJ175=GY$169,1,IF($FJ175&lt;GY$169,INDEX($FK$170:$ID$241,GY$169,$FJ175),SUMPRODUCT(INDEX($FK$325:$ID$396,GY$169,1+SwaptionShift):INDEX($FK$325:$ID$396,GY$169,SwaptionMonthsToGo+SwaptionShift),INDEX($FK$245:$ID$316,$FJ175-GY$169,73-GY$169+SwaptionShift):INDEX($FK$245:$ID$316,$FJ175-GY$169,72-GY$169+SwaptionMonthsToGo+SwaptionShift))/SQRT(SUM(INDEX($FK330:$ID330,1+SwaptionShift):INDEX($FK330:$ID330,SwaptionMonthsToGo+SwaptionShift))*SUM(INDEX($FK$325:$ID$396,GY$169,1+SwaptionShift):INDEX($FK$325:$ID$396,GY$169,SwaptionMonthsToGo+SwaptionShift))))))</f>
        <v/>
      </c>
      <c r="GZ175" s="479" t="str">
        <f ca="1">IF(OR(GZ$169&lt;SwaptionFirstMonthPosition+1,$FJ175&lt;SwaptionFirstMonthPosition+1,GZ$169&gt;SwaptionFirstMonthPosition+SwaptionNumOfMonths+1,$FJ175&gt;SwaptionFirstMonthPosition+SwaptionNumOfMonths+1),"",IF($FJ175=GZ$169,1,IF($FJ175&lt;GZ$169,INDEX($FK$170:$ID$241,GZ$169,$FJ175),SUMPRODUCT(INDEX($FK$325:$ID$396,GZ$169,1+SwaptionShift):INDEX($FK$325:$ID$396,GZ$169,SwaptionMonthsToGo+SwaptionShift),INDEX($FK$245:$ID$316,$FJ175-GZ$169,73-GZ$169+SwaptionShift):INDEX($FK$245:$ID$316,$FJ175-GZ$169,72-GZ$169+SwaptionMonthsToGo+SwaptionShift))/SQRT(SUM(INDEX($FK330:$ID330,1+SwaptionShift):INDEX($FK330:$ID330,SwaptionMonthsToGo+SwaptionShift))*SUM(INDEX($FK$325:$ID$396,GZ$169,1+SwaptionShift):INDEX($FK$325:$ID$396,GZ$169,SwaptionMonthsToGo+SwaptionShift))))))</f>
        <v/>
      </c>
      <c r="HA175" s="479" t="str">
        <f ca="1">IF(OR(HA$169&lt;SwaptionFirstMonthPosition+1,$FJ175&lt;SwaptionFirstMonthPosition+1,HA$169&gt;SwaptionFirstMonthPosition+SwaptionNumOfMonths+1,$FJ175&gt;SwaptionFirstMonthPosition+SwaptionNumOfMonths+1),"",IF($FJ175=HA$169,1,IF($FJ175&lt;HA$169,INDEX($FK$170:$ID$241,HA$169,$FJ175),SUMPRODUCT(INDEX($FK$325:$ID$396,HA$169,1+SwaptionShift):INDEX($FK$325:$ID$396,HA$169,SwaptionMonthsToGo+SwaptionShift),INDEX($FK$245:$ID$316,$FJ175-HA$169,73-HA$169+SwaptionShift):INDEX($FK$245:$ID$316,$FJ175-HA$169,72-HA$169+SwaptionMonthsToGo+SwaptionShift))/SQRT(SUM(INDEX($FK330:$ID330,1+SwaptionShift):INDEX($FK330:$ID330,SwaptionMonthsToGo+SwaptionShift))*SUM(INDEX($FK$325:$ID$396,HA$169,1+SwaptionShift):INDEX($FK$325:$ID$396,HA$169,SwaptionMonthsToGo+SwaptionShift))))))</f>
        <v/>
      </c>
      <c r="HB175" s="479" t="str">
        <f ca="1">IF(OR(HB$169&lt;SwaptionFirstMonthPosition+1,$FJ175&lt;SwaptionFirstMonthPosition+1,HB$169&gt;SwaptionFirstMonthPosition+SwaptionNumOfMonths+1,$FJ175&gt;SwaptionFirstMonthPosition+SwaptionNumOfMonths+1),"",IF($FJ175=HB$169,1,IF($FJ175&lt;HB$169,INDEX($FK$170:$ID$241,HB$169,$FJ175),SUMPRODUCT(INDEX($FK$325:$ID$396,HB$169,1+SwaptionShift):INDEX($FK$325:$ID$396,HB$169,SwaptionMonthsToGo+SwaptionShift),INDEX($FK$245:$ID$316,$FJ175-HB$169,73-HB$169+SwaptionShift):INDEX($FK$245:$ID$316,$FJ175-HB$169,72-HB$169+SwaptionMonthsToGo+SwaptionShift))/SQRT(SUM(INDEX($FK330:$ID330,1+SwaptionShift):INDEX($FK330:$ID330,SwaptionMonthsToGo+SwaptionShift))*SUM(INDEX($FK$325:$ID$396,HB$169,1+SwaptionShift):INDEX($FK$325:$ID$396,HB$169,SwaptionMonthsToGo+SwaptionShift))))))</f>
        <v/>
      </c>
      <c r="HC175" s="479" t="str">
        <f ca="1">IF(OR(HC$169&lt;SwaptionFirstMonthPosition+1,$FJ175&lt;SwaptionFirstMonthPosition+1,HC$169&gt;SwaptionFirstMonthPosition+SwaptionNumOfMonths+1,$FJ175&gt;SwaptionFirstMonthPosition+SwaptionNumOfMonths+1),"",IF($FJ175=HC$169,1,IF($FJ175&lt;HC$169,INDEX($FK$170:$ID$241,HC$169,$FJ175),SUMPRODUCT(INDEX($FK$325:$ID$396,HC$169,1+SwaptionShift):INDEX($FK$325:$ID$396,HC$169,SwaptionMonthsToGo+SwaptionShift),INDEX($FK$245:$ID$316,$FJ175-HC$169,73-HC$169+SwaptionShift):INDEX($FK$245:$ID$316,$FJ175-HC$169,72-HC$169+SwaptionMonthsToGo+SwaptionShift))/SQRT(SUM(INDEX($FK330:$ID330,1+SwaptionShift):INDEX($FK330:$ID330,SwaptionMonthsToGo+SwaptionShift))*SUM(INDEX($FK$325:$ID$396,HC$169,1+SwaptionShift):INDEX($FK$325:$ID$396,HC$169,SwaptionMonthsToGo+SwaptionShift))))))</f>
        <v/>
      </c>
      <c r="HD175" s="479" t="str">
        <f ca="1">IF(OR(HD$169&lt;SwaptionFirstMonthPosition+1,$FJ175&lt;SwaptionFirstMonthPosition+1,HD$169&gt;SwaptionFirstMonthPosition+SwaptionNumOfMonths+1,$FJ175&gt;SwaptionFirstMonthPosition+SwaptionNumOfMonths+1),"",IF($FJ175=HD$169,1,IF($FJ175&lt;HD$169,INDEX($FK$170:$ID$241,HD$169,$FJ175),SUMPRODUCT(INDEX($FK$325:$ID$396,HD$169,1+SwaptionShift):INDEX($FK$325:$ID$396,HD$169,SwaptionMonthsToGo+SwaptionShift),INDEX($FK$245:$ID$316,$FJ175-HD$169,73-HD$169+SwaptionShift):INDEX($FK$245:$ID$316,$FJ175-HD$169,72-HD$169+SwaptionMonthsToGo+SwaptionShift))/SQRT(SUM(INDEX($FK330:$ID330,1+SwaptionShift):INDEX($FK330:$ID330,SwaptionMonthsToGo+SwaptionShift))*SUM(INDEX($FK$325:$ID$396,HD$169,1+SwaptionShift):INDEX($FK$325:$ID$396,HD$169,SwaptionMonthsToGo+SwaptionShift))))))</f>
        <v/>
      </c>
      <c r="HE175" s="479" t="str">
        <f ca="1">IF(OR(HE$169&lt;SwaptionFirstMonthPosition+1,$FJ175&lt;SwaptionFirstMonthPosition+1,HE$169&gt;SwaptionFirstMonthPosition+SwaptionNumOfMonths+1,$FJ175&gt;SwaptionFirstMonthPosition+SwaptionNumOfMonths+1),"",IF($FJ175=HE$169,1,IF($FJ175&lt;HE$169,INDEX($FK$170:$ID$241,HE$169,$FJ175),SUMPRODUCT(INDEX($FK$325:$ID$396,HE$169,1+SwaptionShift):INDEX($FK$325:$ID$396,HE$169,SwaptionMonthsToGo+SwaptionShift),INDEX($FK$245:$ID$316,$FJ175-HE$169,73-HE$169+SwaptionShift):INDEX($FK$245:$ID$316,$FJ175-HE$169,72-HE$169+SwaptionMonthsToGo+SwaptionShift))/SQRT(SUM(INDEX($FK330:$ID330,1+SwaptionShift):INDEX($FK330:$ID330,SwaptionMonthsToGo+SwaptionShift))*SUM(INDEX($FK$325:$ID$396,HE$169,1+SwaptionShift):INDEX($FK$325:$ID$396,HE$169,SwaptionMonthsToGo+SwaptionShift))))))</f>
        <v/>
      </c>
      <c r="HF175" s="479" t="str">
        <f ca="1">IF(OR(HF$169&lt;SwaptionFirstMonthPosition+1,$FJ175&lt;SwaptionFirstMonthPosition+1,HF$169&gt;SwaptionFirstMonthPosition+SwaptionNumOfMonths+1,$FJ175&gt;SwaptionFirstMonthPosition+SwaptionNumOfMonths+1),"",IF($FJ175=HF$169,1,IF($FJ175&lt;HF$169,INDEX($FK$170:$ID$241,HF$169,$FJ175),SUMPRODUCT(INDEX($FK$325:$ID$396,HF$169,1+SwaptionShift):INDEX($FK$325:$ID$396,HF$169,SwaptionMonthsToGo+SwaptionShift),INDEX($FK$245:$ID$316,$FJ175-HF$169,73-HF$169+SwaptionShift):INDEX($FK$245:$ID$316,$FJ175-HF$169,72-HF$169+SwaptionMonthsToGo+SwaptionShift))/SQRT(SUM(INDEX($FK330:$ID330,1+SwaptionShift):INDEX($FK330:$ID330,SwaptionMonthsToGo+SwaptionShift))*SUM(INDEX($FK$325:$ID$396,HF$169,1+SwaptionShift):INDEX($FK$325:$ID$396,HF$169,SwaptionMonthsToGo+SwaptionShift))))))</f>
        <v/>
      </c>
      <c r="HG175" s="479" t="str">
        <f ca="1">IF(OR(HG$169&lt;SwaptionFirstMonthPosition+1,$FJ175&lt;SwaptionFirstMonthPosition+1,HG$169&gt;SwaptionFirstMonthPosition+SwaptionNumOfMonths+1,$FJ175&gt;SwaptionFirstMonthPosition+SwaptionNumOfMonths+1),"",IF($FJ175=HG$169,1,IF($FJ175&lt;HG$169,INDEX($FK$170:$ID$241,HG$169,$FJ175),SUMPRODUCT(INDEX($FK$325:$ID$396,HG$169,1+SwaptionShift):INDEX($FK$325:$ID$396,HG$169,SwaptionMonthsToGo+SwaptionShift),INDEX($FK$245:$ID$316,$FJ175-HG$169,73-HG$169+SwaptionShift):INDEX($FK$245:$ID$316,$FJ175-HG$169,72-HG$169+SwaptionMonthsToGo+SwaptionShift))/SQRT(SUM(INDEX($FK330:$ID330,1+SwaptionShift):INDEX($FK330:$ID330,SwaptionMonthsToGo+SwaptionShift))*SUM(INDEX($FK$325:$ID$396,HG$169,1+SwaptionShift):INDEX($FK$325:$ID$396,HG$169,SwaptionMonthsToGo+SwaptionShift))))))</f>
        <v/>
      </c>
      <c r="HH175" s="479" t="str">
        <f ca="1">IF(OR(HH$169&lt;SwaptionFirstMonthPosition+1,$FJ175&lt;SwaptionFirstMonthPosition+1,HH$169&gt;SwaptionFirstMonthPosition+SwaptionNumOfMonths+1,$FJ175&gt;SwaptionFirstMonthPosition+SwaptionNumOfMonths+1),"",IF($FJ175=HH$169,1,IF($FJ175&lt;HH$169,INDEX($FK$170:$ID$241,HH$169,$FJ175),SUMPRODUCT(INDEX($FK$325:$ID$396,HH$169,1+SwaptionShift):INDEX($FK$325:$ID$396,HH$169,SwaptionMonthsToGo+SwaptionShift),INDEX($FK$245:$ID$316,$FJ175-HH$169,73-HH$169+SwaptionShift):INDEX($FK$245:$ID$316,$FJ175-HH$169,72-HH$169+SwaptionMonthsToGo+SwaptionShift))/SQRT(SUM(INDEX($FK330:$ID330,1+SwaptionShift):INDEX($FK330:$ID330,SwaptionMonthsToGo+SwaptionShift))*SUM(INDEX($FK$325:$ID$396,HH$169,1+SwaptionShift):INDEX($FK$325:$ID$396,HH$169,SwaptionMonthsToGo+SwaptionShift))))))</f>
        <v/>
      </c>
      <c r="HI175" s="479" t="str">
        <f ca="1">IF(OR(HI$169&lt;SwaptionFirstMonthPosition+1,$FJ175&lt;SwaptionFirstMonthPosition+1,HI$169&gt;SwaptionFirstMonthPosition+SwaptionNumOfMonths+1,$FJ175&gt;SwaptionFirstMonthPosition+SwaptionNumOfMonths+1),"",IF($FJ175=HI$169,1,IF($FJ175&lt;HI$169,INDEX($FK$170:$ID$241,HI$169,$FJ175),SUMPRODUCT(INDEX($FK$325:$ID$396,HI$169,1+SwaptionShift):INDEX($FK$325:$ID$396,HI$169,SwaptionMonthsToGo+SwaptionShift),INDEX($FK$245:$ID$316,$FJ175-HI$169,73-HI$169+SwaptionShift):INDEX($FK$245:$ID$316,$FJ175-HI$169,72-HI$169+SwaptionMonthsToGo+SwaptionShift))/SQRT(SUM(INDEX($FK330:$ID330,1+SwaptionShift):INDEX($FK330:$ID330,SwaptionMonthsToGo+SwaptionShift))*SUM(INDEX($FK$325:$ID$396,HI$169,1+SwaptionShift):INDEX($FK$325:$ID$396,HI$169,SwaptionMonthsToGo+SwaptionShift))))))</f>
        <v/>
      </c>
      <c r="HJ175" s="479" t="str">
        <f ca="1">IF(OR(HJ$169&lt;SwaptionFirstMonthPosition+1,$FJ175&lt;SwaptionFirstMonthPosition+1,HJ$169&gt;SwaptionFirstMonthPosition+SwaptionNumOfMonths+1,$FJ175&gt;SwaptionFirstMonthPosition+SwaptionNumOfMonths+1),"",IF($FJ175=HJ$169,1,IF($FJ175&lt;HJ$169,INDEX($FK$170:$ID$241,HJ$169,$FJ175),SUMPRODUCT(INDEX($FK$325:$ID$396,HJ$169,1+SwaptionShift):INDEX($FK$325:$ID$396,HJ$169,SwaptionMonthsToGo+SwaptionShift),INDEX($FK$245:$ID$316,$FJ175-HJ$169,73-HJ$169+SwaptionShift):INDEX($FK$245:$ID$316,$FJ175-HJ$169,72-HJ$169+SwaptionMonthsToGo+SwaptionShift))/SQRT(SUM(INDEX($FK330:$ID330,1+SwaptionShift):INDEX($FK330:$ID330,SwaptionMonthsToGo+SwaptionShift))*SUM(INDEX($FK$325:$ID$396,HJ$169,1+SwaptionShift):INDEX($FK$325:$ID$396,HJ$169,SwaptionMonthsToGo+SwaptionShift))))))</f>
        <v/>
      </c>
      <c r="HK175" s="479" t="str">
        <f ca="1">IF(OR(HK$169&lt;SwaptionFirstMonthPosition+1,$FJ175&lt;SwaptionFirstMonthPosition+1,HK$169&gt;SwaptionFirstMonthPosition+SwaptionNumOfMonths+1,$FJ175&gt;SwaptionFirstMonthPosition+SwaptionNumOfMonths+1),"",IF($FJ175=HK$169,1,IF($FJ175&lt;HK$169,INDEX($FK$170:$ID$241,HK$169,$FJ175),SUMPRODUCT(INDEX($FK$325:$ID$396,HK$169,1+SwaptionShift):INDEX($FK$325:$ID$396,HK$169,SwaptionMonthsToGo+SwaptionShift),INDEX($FK$245:$ID$316,$FJ175-HK$169,73-HK$169+SwaptionShift):INDEX($FK$245:$ID$316,$FJ175-HK$169,72-HK$169+SwaptionMonthsToGo+SwaptionShift))/SQRT(SUM(INDEX($FK330:$ID330,1+SwaptionShift):INDEX($FK330:$ID330,SwaptionMonthsToGo+SwaptionShift))*SUM(INDEX($FK$325:$ID$396,HK$169,1+SwaptionShift):INDEX($FK$325:$ID$396,HK$169,SwaptionMonthsToGo+SwaptionShift))))))</f>
        <v/>
      </c>
      <c r="HL175" s="479" t="str">
        <f ca="1">IF(OR(HL$169&lt;SwaptionFirstMonthPosition+1,$FJ175&lt;SwaptionFirstMonthPosition+1,HL$169&gt;SwaptionFirstMonthPosition+SwaptionNumOfMonths+1,$FJ175&gt;SwaptionFirstMonthPosition+SwaptionNumOfMonths+1),"",IF($FJ175=HL$169,1,IF($FJ175&lt;HL$169,INDEX($FK$170:$ID$241,HL$169,$FJ175),SUMPRODUCT(INDEX($FK$325:$ID$396,HL$169,1+SwaptionShift):INDEX($FK$325:$ID$396,HL$169,SwaptionMonthsToGo+SwaptionShift),INDEX($FK$245:$ID$316,$FJ175-HL$169,73-HL$169+SwaptionShift):INDEX($FK$245:$ID$316,$FJ175-HL$169,72-HL$169+SwaptionMonthsToGo+SwaptionShift))/SQRT(SUM(INDEX($FK330:$ID330,1+SwaptionShift):INDEX($FK330:$ID330,SwaptionMonthsToGo+SwaptionShift))*SUM(INDEX($FK$325:$ID$396,HL$169,1+SwaptionShift):INDEX($FK$325:$ID$396,HL$169,SwaptionMonthsToGo+SwaptionShift))))))</f>
        <v/>
      </c>
      <c r="HM175" s="479" t="str">
        <f ca="1">IF(OR(HM$169&lt;SwaptionFirstMonthPosition+1,$FJ175&lt;SwaptionFirstMonthPosition+1,HM$169&gt;SwaptionFirstMonthPosition+SwaptionNumOfMonths+1,$FJ175&gt;SwaptionFirstMonthPosition+SwaptionNumOfMonths+1),"",IF($FJ175=HM$169,1,IF($FJ175&lt;HM$169,INDEX($FK$170:$ID$241,HM$169,$FJ175),SUMPRODUCT(INDEX($FK$325:$ID$396,HM$169,1+SwaptionShift):INDEX($FK$325:$ID$396,HM$169,SwaptionMonthsToGo+SwaptionShift),INDEX($FK$245:$ID$316,$FJ175-HM$169,73-HM$169+SwaptionShift):INDEX($FK$245:$ID$316,$FJ175-HM$169,72-HM$169+SwaptionMonthsToGo+SwaptionShift))/SQRT(SUM(INDEX($FK330:$ID330,1+SwaptionShift):INDEX($FK330:$ID330,SwaptionMonthsToGo+SwaptionShift))*SUM(INDEX($FK$325:$ID$396,HM$169,1+SwaptionShift):INDEX($FK$325:$ID$396,HM$169,SwaptionMonthsToGo+SwaptionShift))))))</f>
        <v/>
      </c>
      <c r="HN175" s="479" t="str">
        <f ca="1">IF(OR(HN$169&lt;SwaptionFirstMonthPosition+1,$FJ175&lt;SwaptionFirstMonthPosition+1,HN$169&gt;SwaptionFirstMonthPosition+SwaptionNumOfMonths+1,$FJ175&gt;SwaptionFirstMonthPosition+SwaptionNumOfMonths+1),"",IF($FJ175=HN$169,1,IF($FJ175&lt;HN$169,INDEX($FK$170:$ID$241,HN$169,$FJ175),SUMPRODUCT(INDEX($FK$325:$ID$396,HN$169,1+SwaptionShift):INDEX($FK$325:$ID$396,HN$169,SwaptionMonthsToGo+SwaptionShift),INDEX($FK$245:$ID$316,$FJ175-HN$169,73-HN$169+SwaptionShift):INDEX($FK$245:$ID$316,$FJ175-HN$169,72-HN$169+SwaptionMonthsToGo+SwaptionShift))/SQRT(SUM(INDEX($FK330:$ID330,1+SwaptionShift):INDEX($FK330:$ID330,SwaptionMonthsToGo+SwaptionShift))*SUM(INDEX($FK$325:$ID$396,HN$169,1+SwaptionShift):INDEX($FK$325:$ID$396,HN$169,SwaptionMonthsToGo+SwaptionShift))))))</f>
        <v/>
      </c>
      <c r="HO175" s="479" t="str">
        <f ca="1">IF(OR(HO$169&lt;SwaptionFirstMonthPosition+1,$FJ175&lt;SwaptionFirstMonthPosition+1,HO$169&gt;SwaptionFirstMonthPosition+SwaptionNumOfMonths+1,$FJ175&gt;SwaptionFirstMonthPosition+SwaptionNumOfMonths+1),"",IF($FJ175=HO$169,1,IF($FJ175&lt;HO$169,INDEX($FK$170:$ID$241,HO$169,$FJ175),SUMPRODUCT(INDEX($FK$325:$ID$396,HO$169,1+SwaptionShift):INDEX($FK$325:$ID$396,HO$169,SwaptionMonthsToGo+SwaptionShift),INDEX($FK$245:$ID$316,$FJ175-HO$169,73-HO$169+SwaptionShift):INDEX($FK$245:$ID$316,$FJ175-HO$169,72-HO$169+SwaptionMonthsToGo+SwaptionShift))/SQRT(SUM(INDEX($FK330:$ID330,1+SwaptionShift):INDEX($FK330:$ID330,SwaptionMonthsToGo+SwaptionShift))*SUM(INDEX($FK$325:$ID$396,HO$169,1+SwaptionShift):INDEX($FK$325:$ID$396,HO$169,SwaptionMonthsToGo+SwaptionShift))))))</f>
        <v/>
      </c>
      <c r="HP175" s="479" t="str">
        <f ca="1">IF(OR(HP$169&lt;SwaptionFirstMonthPosition+1,$FJ175&lt;SwaptionFirstMonthPosition+1,HP$169&gt;SwaptionFirstMonthPosition+SwaptionNumOfMonths+1,$FJ175&gt;SwaptionFirstMonthPosition+SwaptionNumOfMonths+1),"",IF($FJ175=HP$169,1,IF($FJ175&lt;HP$169,INDEX($FK$170:$ID$241,HP$169,$FJ175),SUMPRODUCT(INDEX($FK$325:$ID$396,HP$169,1+SwaptionShift):INDEX($FK$325:$ID$396,HP$169,SwaptionMonthsToGo+SwaptionShift),INDEX($FK$245:$ID$316,$FJ175-HP$169,73-HP$169+SwaptionShift):INDEX($FK$245:$ID$316,$FJ175-HP$169,72-HP$169+SwaptionMonthsToGo+SwaptionShift))/SQRT(SUM(INDEX($FK330:$ID330,1+SwaptionShift):INDEX($FK330:$ID330,SwaptionMonthsToGo+SwaptionShift))*SUM(INDEX($FK$325:$ID$396,HP$169,1+SwaptionShift):INDEX($FK$325:$ID$396,HP$169,SwaptionMonthsToGo+SwaptionShift))))))</f>
        <v/>
      </c>
      <c r="HQ175" s="479" t="str">
        <f ca="1">IF(OR(HQ$169&lt;SwaptionFirstMonthPosition+1,$FJ175&lt;SwaptionFirstMonthPosition+1,HQ$169&gt;SwaptionFirstMonthPosition+SwaptionNumOfMonths+1,$FJ175&gt;SwaptionFirstMonthPosition+SwaptionNumOfMonths+1),"",IF($FJ175=HQ$169,1,IF($FJ175&lt;HQ$169,INDEX($FK$170:$ID$241,HQ$169,$FJ175),SUMPRODUCT(INDEX($FK$325:$ID$396,HQ$169,1+SwaptionShift):INDEX($FK$325:$ID$396,HQ$169,SwaptionMonthsToGo+SwaptionShift),INDEX($FK$245:$ID$316,$FJ175-HQ$169,73-HQ$169+SwaptionShift):INDEX($FK$245:$ID$316,$FJ175-HQ$169,72-HQ$169+SwaptionMonthsToGo+SwaptionShift))/SQRT(SUM(INDEX($FK330:$ID330,1+SwaptionShift):INDEX($FK330:$ID330,SwaptionMonthsToGo+SwaptionShift))*SUM(INDEX($FK$325:$ID$396,HQ$169,1+SwaptionShift):INDEX($FK$325:$ID$396,HQ$169,SwaptionMonthsToGo+SwaptionShift))))))</f>
        <v/>
      </c>
      <c r="HR175" s="479" t="str">
        <f ca="1">IF(OR(HR$169&lt;SwaptionFirstMonthPosition+1,$FJ175&lt;SwaptionFirstMonthPosition+1,HR$169&gt;SwaptionFirstMonthPosition+SwaptionNumOfMonths+1,$FJ175&gt;SwaptionFirstMonthPosition+SwaptionNumOfMonths+1),"",IF($FJ175=HR$169,1,IF($FJ175&lt;HR$169,INDEX($FK$170:$ID$241,HR$169,$FJ175),SUMPRODUCT(INDEX($FK$325:$ID$396,HR$169,1+SwaptionShift):INDEX($FK$325:$ID$396,HR$169,SwaptionMonthsToGo+SwaptionShift),INDEX($FK$245:$ID$316,$FJ175-HR$169,73-HR$169+SwaptionShift):INDEX($FK$245:$ID$316,$FJ175-HR$169,72-HR$169+SwaptionMonthsToGo+SwaptionShift))/SQRT(SUM(INDEX($FK330:$ID330,1+SwaptionShift):INDEX($FK330:$ID330,SwaptionMonthsToGo+SwaptionShift))*SUM(INDEX($FK$325:$ID$396,HR$169,1+SwaptionShift):INDEX($FK$325:$ID$396,HR$169,SwaptionMonthsToGo+SwaptionShift))))))</f>
        <v/>
      </c>
      <c r="HS175" s="479" t="str">
        <f ca="1">IF(OR(HS$169&lt;SwaptionFirstMonthPosition+1,$FJ175&lt;SwaptionFirstMonthPosition+1,HS$169&gt;SwaptionFirstMonthPosition+SwaptionNumOfMonths+1,$FJ175&gt;SwaptionFirstMonthPosition+SwaptionNumOfMonths+1),"",IF($FJ175=HS$169,1,IF($FJ175&lt;HS$169,INDEX($FK$170:$ID$241,HS$169,$FJ175),SUMPRODUCT(INDEX($FK$325:$ID$396,HS$169,1+SwaptionShift):INDEX($FK$325:$ID$396,HS$169,SwaptionMonthsToGo+SwaptionShift),INDEX($FK$245:$ID$316,$FJ175-HS$169,73-HS$169+SwaptionShift):INDEX($FK$245:$ID$316,$FJ175-HS$169,72-HS$169+SwaptionMonthsToGo+SwaptionShift))/SQRT(SUM(INDEX($FK330:$ID330,1+SwaptionShift):INDEX($FK330:$ID330,SwaptionMonthsToGo+SwaptionShift))*SUM(INDEX($FK$325:$ID$396,HS$169,1+SwaptionShift):INDEX($FK$325:$ID$396,HS$169,SwaptionMonthsToGo+SwaptionShift))))))</f>
        <v/>
      </c>
      <c r="HT175" s="479" t="str">
        <f ca="1">IF(OR(HT$169&lt;SwaptionFirstMonthPosition+1,$FJ175&lt;SwaptionFirstMonthPosition+1,HT$169&gt;SwaptionFirstMonthPosition+SwaptionNumOfMonths+1,$FJ175&gt;SwaptionFirstMonthPosition+SwaptionNumOfMonths+1),"",IF($FJ175=HT$169,1,IF($FJ175&lt;HT$169,INDEX($FK$170:$ID$241,HT$169,$FJ175),SUMPRODUCT(INDEX($FK$325:$ID$396,HT$169,1+SwaptionShift):INDEX($FK$325:$ID$396,HT$169,SwaptionMonthsToGo+SwaptionShift),INDEX($FK$245:$ID$316,$FJ175-HT$169,73-HT$169+SwaptionShift):INDEX($FK$245:$ID$316,$FJ175-HT$169,72-HT$169+SwaptionMonthsToGo+SwaptionShift))/SQRT(SUM(INDEX($FK330:$ID330,1+SwaptionShift):INDEX($FK330:$ID330,SwaptionMonthsToGo+SwaptionShift))*SUM(INDEX($FK$325:$ID$396,HT$169,1+SwaptionShift):INDEX($FK$325:$ID$396,HT$169,SwaptionMonthsToGo+SwaptionShift))))))</f>
        <v/>
      </c>
      <c r="HU175" s="479" t="str">
        <f ca="1">IF(OR(HU$169&lt;SwaptionFirstMonthPosition+1,$FJ175&lt;SwaptionFirstMonthPosition+1,HU$169&gt;SwaptionFirstMonthPosition+SwaptionNumOfMonths+1,$FJ175&gt;SwaptionFirstMonthPosition+SwaptionNumOfMonths+1),"",IF($FJ175=HU$169,1,IF($FJ175&lt;HU$169,INDEX($FK$170:$ID$241,HU$169,$FJ175),SUMPRODUCT(INDEX($FK$325:$ID$396,HU$169,1+SwaptionShift):INDEX($FK$325:$ID$396,HU$169,SwaptionMonthsToGo+SwaptionShift),INDEX($FK$245:$ID$316,$FJ175-HU$169,73-HU$169+SwaptionShift):INDEX($FK$245:$ID$316,$FJ175-HU$169,72-HU$169+SwaptionMonthsToGo+SwaptionShift))/SQRT(SUM(INDEX($FK330:$ID330,1+SwaptionShift):INDEX($FK330:$ID330,SwaptionMonthsToGo+SwaptionShift))*SUM(INDEX($FK$325:$ID$396,HU$169,1+SwaptionShift):INDEX($FK$325:$ID$396,HU$169,SwaptionMonthsToGo+SwaptionShift))))))</f>
        <v/>
      </c>
      <c r="HV175" s="479" t="str">
        <f ca="1">IF(OR(HV$169&lt;SwaptionFirstMonthPosition+1,$FJ175&lt;SwaptionFirstMonthPosition+1,HV$169&gt;SwaptionFirstMonthPosition+SwaptionNumOfMonths+1,$FJ175&gt;SwaptionFirstMonthPosition+SwaptionNumOfMonths+1),"",IF($FJ175=HV$169,1,IF($FJ175&lt;HV$169,INDEX($FK$170:$ID$241,HV$169,$FJ175),SUMPRODUCT(INDEX($FK$325:$ID$396,HV$169,1+SwaptionShift):INDEX($FK$325:$ID$396,HV$169,SwaptionMonthsToGo+SwaptionShift),INDEX($FK$245:$ID$316,$FJ175-HV$169,73-HV$169+SwaptionShift):INDEX($FK$245:$ID$316,$FJ175-HV$169,72-HV$169+SwaptionMonthsToGo+SwaptionShift))/SQRT(SUM(INDEX($FK330:$ID330,1+SwaptionShift):INDEX($FK330:$ID330,SwaptionMonthsToGo+SwaptionShift))*SUM(INDEX($FK$325:$ID$396,HV$169,1+SwaptionShift):INDEX($FK$325:$ID$396,HV$169,SwaptionMonthsToGo+SwaptionShift))))))</f>
        <v/>
      </c>
      <c r="HW175" s="479" t="str">
        <f ca="1">IF(OR(HW$169&lt;SwaptionFirstMonthPosition+1,$FJ175&lt;SwaptionFirstMonthPosition+1,HW$169&gt;SwaptionFirstMonthPosition+SwaptionNumOfMonths+1,$FJ175&gt;SwaptionFirstMonthPosition+SwaptionNumOfMonths+1),"",IF($FJ175=HW$169,1,IF($FJ175&lt;HW$169,INDEX($FK$170:$ID$241,HW$169,$FJ175),SUMPRODUCT(INDEX($FK$325:$ID$396,HW$169,1+SwaptionShift):INDEX($FK$325:$ID$396,HW$169,SwaptionMonthsToGo+SwaptionShift),INDEX($FK$245:$ID$316,$FJ175-HW$169,73-HW$169+SwaptionShift):INDEX($FK$245:$ID$316,$FJ175-HW$169,72-HW$169+SwaptionMonthsToGo+SwaptionShift))/SQRT(SUM(INDEX($FK330:$ID330,1+SwaptionShift):INDEX($FK330:$ID330,SwaptionMonthsToGo+SwaptionShift))*SUM(INDEX($FK$325:$ID$396,HW$169,1+SwaptionShift):INDEX($FK$325:$ID$396,HW$169,SwaptionMonthsToGo+SwaptionShift))))))</f>
        <v/>
      </c>
      <c r="HX175" s="479" t="str">
        <f ca="1">IF(OR(HX$169&lt;SwaptionFirstMonthPosition+1,$FJ175&lt;SwaptionFirstMonthPosition+1,HX$169&gt;SwaptionFirstMonthPosition+SwaptionNumOfMonths+1,$FJ175&gt;SwaptionFirstMonthPosition+SwaptionNumOfMonths+1),"",IF($FJ175=HX$169,1,IF($FJ175&lt;HX$169,INDEX($FK$170:$ID$241,HX$169,$FJ175),SUMPRODUCT(INDEX($FK$325:$ID$396,HX$169,1+SwaptionShift):INDEX($FK$325:$ID$396,HX$169,SwaptionMonthsToGo+SwaptionShift),INDEX($FK$245:$ID$316,$FJ175-HX$169,73-HX$169+SwaptionShift):INDEX($FK$245:$ID$316,$FJ175-HX$169,72-HX$169+SwaptionMonthsToGo+SwaptionShift))/SQRT(SUM(INDEX($FK330:$ID330,1+SwaptionShift):INDEX($FK330:$ID330,SwaptionMonthsToGo+SwaptionShift))*SUM(INDEX($FK$325:$ID$396,HX$169,1+SwaptionShift):INDEX($FK$325:$ID$396,HX$169,SwaptionMonthsToGo+SwaptionShift))))))</f>
        <v/>
      </c>
      <c r="HY175" s="479" t="str">
        <f ca="1">IF(OR(HY$169&lt;SwaptionFirstMonthPosition+1,$FJ175&lt;SwaptionFirstMonthPosition+1,HY$169&gt;SwaptionFirstMonthPosition+SwaptionNumOfMonths+1,$FJ175&gt;SwaptionFirstMonthPosition+SwaptionNumOfMonths+1),"",IF($FJ175=HY$169,1,IF($FJ175&lt;HY$169,INDEX($FK$170:$ID$241,HY$169,$FJ175),SUMPRODUCT(INDEX($FK$325:$ID$396,HY$169,1+SwaptionShift):INDEX($FK$325:$ID$396,HY$169,SwaptionMonthsToGo+SwaptionShift),INDEX($FK$245:$ID$316,$FJ175-HY$169,73-HY$169+SwaptionShift):INDEX($FK$245:$ID$316,$FJ175-HY$169,72-HY$169+SwaptionMonthsToGo+SwaptionShift))/SQRT(SUM(INDEX($FK330:$ID330,1+SwaptionShift):INDEX($FK330:$ID330,SwaptionMonthsToGo+SwaptionShift))*SUM(INDEX($FK$325:$ID$396,HY$169,1+SwaptionShift):INDEX($FK$325:$ID$396,HY$169,SwaptionMonthsToGo+SwaptionShift))))))</f>
        <v/>
      </c>
      <c r="HZ175" s="479" t="str">
        <f ca="1">IF(OR(HZ$169&lt;SwaptionFirstMonthPosition+1,$FJ175&lt;SwaptionFirstMonthPosition+1,HZ$169&gt;SwaptionFirstMonthPosition+SwaptionNumOfMonths+1,$FJ175&gt;SwaptionFirstMonthPosition+SwaptionNumOfMonths+1),"",IF($FJ175=HZ$169,1,IF($FJ175&lt;HZ$169,INDEX($FK$170:$ID$241,HZ$169,$FJ175),SUMPRODUCT(INDEX($FK$325:$ID$396,HZ$169,1+SwaptionShift):INDEX($FK$325:$ID$396,HZ$169,SwaptionMonthsToGo+SwaptionShift),INDEX($FK$245:$ID$316,$FJ175-HZ$169,73-HZ$169+SwaptionShift):INDEX($FK$245:$ID$316,$FJ175-HZ$169,72-HZ$169+SwaptionMonthsToGo+SwaptionShift))/SQRT(SUM(INDEX($FK330:$ID330,1+SwaptionShift):INDEX($FK330:$ID330,SwaptionMonthsToGo+SwaptionShift))*SUM(INDEX($FK$325:$ID$396,HZ$169,1+SwaptionShift):INDEX($FK$325:$ID$396,HZ$169,SwaptionMonthsToGo+SwaptionShift))))))</f>
        <v/>
      </c>
      <c r="IA175" s="479" t="str">
        <f ca="1">IF(OR(IA$169&lt;SwaptionFirstMonthPosition+1,$FJ175&lt;SwaptionFirstMonthPosition+1,IA$169&gt;SwaptionFirstMonthPosition+SwaptionNumOfMonths+1,$FJ175&gt;SwaptionFirstMonthPosition+SwaptionNumOfMonths+1),"",IF($FJ175=IA$169,1,IF($FJ175&lt;IA$169,INDEX($FK$170:$ID$241,IA$169,$FJ175),SUMPRODUCT(INDEX($FK$325:$ID$396,IA$169,1+SwaptionShift):INDEX($FK$325:$ID$396,IA$169,SwaptionMonthsToGo+SwaptionShift),INDEX($FK$245:$ID$316,$FJ175-IA$169,73-IA$169+SwaptionShift):INDEX($FK$245:$ID$316,$FJ175-IA$169,72-IA$169+SwaptionMonthsToGo+SwaptionShift))/SQRT(SUM(INDEX($FK330:$ID330,1+SwaptionShift):INDEX($FK330:$ID330,SwaptionMonthsToGo+SwaptionShift))*SUM(INDEX($FK$325:$ID$396,IA$169,1+SwaptionShift):INDEX($FK$325:$ID$396,IA$169,SwaptionMonthsToGo+SwaptionShift))))))</f>
        <v/>
      </c>
      <c r="IB175" s="479" t="str">
        <f ca="1">IF(OR(IB$169&lt;SwaptionFirstMonthPosition+1,$FJ175&lt;SwaptionFirstMonthPosition+1,IB$169&gt;SwaptionFirstMonthPosition+SwaptionNumOfMonths+1,$FJ175&gt;SwaptionFirstMonthPosition+SwaptionNumOfMonths+1),"",IF($FJ175=IB$169,1,IF($FJ175&lt;IB$169,INDEX($FK$170:$ID$241,IB$169,$FJ175),SUMPRODUCT(INDEX($FK$325:$ID$396,IB$169,1+SwaptionShift):INDEX($FK$325:$ID$396,IB$169,SwaptionMonthsToGo+SwaptionShift),INDEX($FK$245:$ID$316,$FJ175-IB$169,73-IB$169+SwaptionShift):INDEX($FK$245:$ID$316,$FJ175-IB$169,72-IB$169+SwaptionMonthsToGo+SwaptionShift))/SQRT(SUM(INDEX($FK330:$ID330,1+SwaptionShift):INDEX($FK330:$ID330,SwaptionMonthsToGo+SwaptionShift))*SUM(INDEX($FK$325:$ID$396,IB$169,1+SwaptionShift):INDEX($FK$325:$ID$396,IB$169,SwaptionMonthsToGo+SwaptionShift))))))</f>
        <v/>
      </c>
      <c r="IC175" s="479" t="str">
        <f ca="1">IF(OR(IC$169&lt;SwaptionFirstMonthPosition+1,$FJ175&lt;SwaptionFirstMonthPosition+1,IC$169&gt;SwaptionFirstMonthPosition+SwaptionNumOfMonths+1,$FJ175&gt;SwaptionFirstMonthPosition+SwaptionNumOfMonths+1),"",IF($FJ175=IC$169,1,IF($FJ175&lt;IC$169,INDEX($FK$170:$ID$241,IC$169,$FJ175),SUMPRODUCT(INDEX($FK$325:$ID$396,IC$169,1+SwaptionShift):INDEX($FK$325:$ID$396,IC$169,SwaptionMonthsToGo+SwaptionShift),INDEX($FK$245:$ID$316,$FJ175-IC$169,73-IC$169+SwaptionShift):INDEX($FK$245:$ID$316,$FJ175-IC$169,72-IC$169+SwaptionMonthsToGo+SwaptionShift))/SQRT(SUM(INDEX($FK330:$ID330,1+SwaptionShift):INDEX($FK330:$ID330,SwaptionMonthsToGo+SwaptionShift))*SUM(INDEX($FK$325:$ID$396,IC$169,1+SwaptionShift):INDEX($FK$325:$ID$396,IC$169,SwaptionMonthsToGo+SwaptionShift))))))</f>
        <v/>
      </c>
      <c r="ID175" s="678" t="str">
        <f ca="1">IF(OR(ID$169&lt;SwaptionFirstMonthPosition+1,$FJ175&lt;SwaptionFirstMonthPosition+1,ID$169&gt;SwaptionFirstMonthPosition+SwaptionNumOfMonths+1,$FJ175&gt;SwaptionFirstMonthPosition+SwaptionNumOfMonths+1),"",IF($FJ175=ID$169,1,IF($FJ175&lt;ID$169,INDEX($FK$170:$ID$241,ID$169,$FJ175),SUMPRODUCT(INDEX($FK$325:$ID$396,ID$169,1+SwaptionShift):INDEX($FK$325:$ID$396,ID$169,SwaptionMonthsToGo+SwaptionShift),INDEX($FK$245:$ID$316,$FJ175-ID$169,73-ID$169+SwaptionShift):INDEX($FK$245:$ID$316,$FJ175-ID$169,72-ID$169+SwaptionMonthsToGo+SwaptionShift))/SQRT(SUM(INDEX($FK330:$ID330,1+SwaptionShift):INDEX($FK330:$ID330,SwaptionMonthsToGo+SwaptionShift))*SUM(INDEX($FK$325:$ID$396,ID$169,1+SwaptionShift):INDEX($FK$325:$ID$396,ID$169,SwaptionMonthsToGo+SwaptionShift))))))</f>
        <v/>
      </c>
      <c r="IE175" s="250"/>
    </row>
    <row r="176" spans="8:239">
      <c r="H176" s="51">
        <f t="shared" ca="1" si="527"/>
        <v>0</v>
      </c>
      <c r="I176" s="379">
        <f t="shared" si="528"/>
        <v>41518</v>
      </c>
      <c r="J176" s="377"/>
      <c r="K176" s="104" t="s">
        <v>268</v>
      </c>
      <c r="L176" s="392">
        <f t="shared" si="529"/>
        <v>3.0000000000000044</v>
      </c>
      <c r="M176" s="171"/>
      <c r="N176" s="382">
        <v>0</v>
      </c>
      <c r="O176" s="171">
        <f t="shared" si="490"/>
        <v>0</v>
      </c>
      <c r="P176" s="377"/>
      <c r="Q176" s="104" t="s">
        <v>268</v>
      </c>
      <c r="R176" s="377">
        <f t="shared" ca="1" si="547"/>
        <v>1.8159125352403416</v>
      </c>
      <c r="S176" s="832">
        <f t="shared" si="564"/>
        <v>0.3600000000000001</v>
      </c>
      <c r="T176" s="831">
        <f t="shared" si="548"/>
        <v>0.99999999999726341</v>
      </c>
      <c r="U176" s="545">
        <f t="shared" si="549"/>
        <v>0.99999999999999978</v>
      </c>
      <c r="V176" s="389">
        <v>0</v>
      </c>
      <c r="W176" s="434">
        <f t="shared" si="491"/>
        <v>0</v>
      </c>
      <c r="X176" s="415">
        <f t="shared" si="492"/>
        <v>3.0482142857142907</v>
      </c>
      <c r="Y176" s="322">
        <f t="shared" si="493"/>
        <v>-1.2668999999999999</v>
      </c>
      <c r="Z176" s="322">
        <f t="shared" ca="1" si="494"/>
        <v>1.7813142857142907</v>
      </c>
      <c r="AA176" s="429">
        <f t="shared" si="495"/>
        <v>1.2668999999999999</v>
      </c>
      <c r="AB176" s="433">
        <f t="shared" ca="1" si="496"/>
        <v>1.2668999999999999</v>
      </c>
      <c r="AC176" s="229">
        <v>41506</v>
      </c>
      <c r="AD176" s="229">
        <v>41502</v>
      </c>
      <c r="AE176" s="229">
        <v>41501</v>
      </c>
      <c r="AF176" s="229">
        <v>41497</v>
      </c>
      <c r="AG176" s="249" t="s">
        <v>499</v>
      </c>
      <c r="AH176" s="247" t="s">
        <v>499</v>
      </c>
      <c r="AI176" s="146">
        <v>21</v>
      </c>
      <c r="AJ176" s="41">
        <v>15</v>
      </c>
      <c r="AK176" s="41">
        <v>6</v>
      </c>
      <c r="AL176" s="293">
        <v>21</v>
      </c>
      <c r="AM176" s="41">
        <v>10</v>
      </c>
      <c r="AN176" s="147">
        <v>11</v>
      </c>
      <c r="AO176" s="374"/>
      <c r="AP176" s="153">
        <f t="shared" ca="1" si="530"/>
        <v>1</v>
      </c>
      <c r="AQ176" s="374"/>
      <c r="AR176" s="153">
        <f t="shared" ca="1" si="550"/>
        <v>1</v>
      </c>
      <c r="AS176" s="272">
        <f t="shared" si="497"/>
        <v>0</v>
      </c>
      <c r="AT176" s="157">
        <f t="shared" si="531"/>
        <v>0</v>
      </c>
      <c r="AU176" s="157">
        <f t="shared" si="498"/>
        <v>0</v>
      </c>
      <c r="AV176" s="271">
        <f t="shared" ca="1" si="558"/>
        <v>9.9999999999999995E-7</v>
      </c>
      <c r="AW176" s="158" t="str">
        <f t="shared" ca="1" si="499"/>
        <v/>
      </c>
      <c r="AX176" s="157">
        <f t="shared" ca="1" si="551"/>
        <v>1.3157934019044468E-4</v>
      </c>
      <c r="AY176" s="157">
        <f t="shared" ca="1" si="552"/>
        <v>3.5989423529628669E-5</v>
      </c>
      <c r="AZ176" s="157">
        <f t="shared" ca="1" si="553"/>
        <v>1.7841398791918417E-6</v>
      </c>
      <c r="BA176" s="157">
        <f t="shared" ca="1" si="554"/>
        <v>2.2301748489898021E-7</v>
      </c>
      <c r="BB176" s="157">
        <f t="shared" ca="1" si="555"/>
        <v>2.4453744594949084E-9</v>
      </c>
      <c r="BC176" s="157">
        <f t="shared" ca="1" si="556"/>
        <v>9.9473597141324424E-11</v>
      </c>
      <c r="BD176" s="151">
        <f t="shared" ca="1" si="500"/>
        <v>0</v>
      </c>
      <c r="BE176" s="152">
        <f t="shared" ca="1" si="501"/>
        <v>0</v>
      </c>
      <c r="BF176" s="40">
        <f t="shared" si="502"/>
        <v>2013</v>
      </c>
      <c r="BG176" s="144">
        <f t="shared" si="503"/>
        <v>9</v>
      </c>
      <c r="BH176" s="145">
        <f t="shared" ca="1" si="504"/>
        <v>4757</v>
      </c>
      <c r="BI176" s="313">
        <f t="shared" ca="1" si="568"/>
        <v>13.067761806981519</v>
      </c>
      <c r="BJ176" s="42">
        <f t="shared" ca="1" si="505"/>
        <v>13.124474430429256</v>
      </c>
      <c r="BK176" s="42">
        <f t="shared" ca="1" si="506"/>
        <v>13.127212281216389</v>
      </c>
      <c r="BL176" s="42">
        <f t="shared" ca="1" si="569"/>
        <v>13.14715947980835</v>
      </c>
      <c r="BM176" s="150" t="e">
        <f t="shared" ca="1" si="507"/>
        <v>#DIV/0!</v>
      </c>
      <c r="BN176" s="42" t="e">
        <f t="shared" ca="1" si="508"/>
        <v>#DIV/0!</v>
      </c>
      <c r="BO176" s="293">
        <f t="shared" si="570"/>
        <v>21</v>
      </c>
      <c r="BP176" s="41">
        <f t="shared" si="571"/>
        <v>15</v>
      </c>
      <c r="BQ176" s="41">
        <f t="shared" si="572"/>
        <v>6</v>
      </c>
      <c r="BR176" s="305" t="str">
        <f t="shared" ca="1" si="509"/>
        <v/>
      </c>
      <c r="BS176" s="305" t="str">
        <f t="shared" ca="1" si="573"/>
        <v/>
      </c>
      <c r="BT176" s="307" t="str">
        <f t="shared" ca="1" si="574"/>
        <v/>
      </c>
      <c r="BU176" s="161" t="str">
        <f t="shared" ca="1" si="510"/>
        <v/>
      </c>
      <c r="BV176" s="161" t="str">
        <f t="shared" ca="1" si="511"/>
        <v/>
      </c>
      <c r="BW176" s="308" t="str">
        <f t="shared" ca="1" si="512"/>
        <v/>
      </c>
      <c r="BX176" s="309" t="str">
        <f t="shared" ca="1" si="513"/>
        <v/>
      </c>
      <c r="BY176" s="308" t="str">
        <f t="shared" ca="1" si="575"/>
        <v/>
      </c>
      <c r="BZ176" s="309" t="str">
        <f t="shared" ca="1" si="576"/>
        <v/>
      </c>
      <c r="CA176" s="154" t="str">
        <f t="shared" ca="1" si="514"/>
        <v/>
      </c>
      <c r="CB176" s="154" t="str">
        <f t="shared" ca="1" si="515"/>
        <v/>
      </c>
      <c r="CC176" s="154" t="str">
        <f t="shared" ca="1" si="516"/>
        <v/>
      </c>
      <c r="CD176" s="154" t="str">
        <f t="shared" ca="1" si="517"/>
        <v/>
      </c>
      <c r="CE176" s="310">
        <v>1</v>
      </c>
      <c r="CF176" s="162">
        <f ca="1">IF(BD176,_xll.xCrudeAPO(BU176,BV176,CA176,CB176,S177,S178,BI176,BL176,BP176,BQ176,0,Strike1,AO176,CE176,0,BL176,IF(OptControl=4,0,1),0,1),0)</f>
        <v>0</v>
      </c>
      <c r="CG176" s="163">
        <f ca="1">IF(BD176,_xll.xCrudeAPO(BU176,BV176,CA176,CB176,S177,S178,BI176,BL176,BP176,BQ176,0,Strike1,AO176,CE176,0,BL176,IF(OptControl=4,0,1),1,1)+_xll.xCrudeAPO(BU176,BV176,CA176,CB176,S177,S178,BI176,BL176,BP176,BQ176,0,Strike1,AO176,CE176,0,BL176,IF(OptControl=4,0,1),1,2)+IF(OR(VolSkewFlag=2,ABS(BS176)&lt;0.0001),0,IF(BS176&gt;0,-1,1)*CH176*Strike1/BR176^2*BY176/10%),0)</f>
        <v>0</v>
      </c>
      <c r="CH176" s="163">
        <f ca="1">IF(BD176,(_xll.xCrudeAPO(BU176,BV176,CA176,CB176,S177,S178,BI176,BL176,BP176,BQ176,0,Strike1,AO176,CE176,0,BL176,IF(OptControl=4,0,1),3,1)+_xll.xCrudeAPO(BU176,BV176,CA176,CB176,S177,S178,BI176,BL176,BP176,BQ176,0,Strike1,AO176,CE176,0,BL176,IF(OptControl=4,0,1),3,2))/100,0)</f>
        <v>0</v>
      </c>
      <c r="CI176" s="163">
        <f ca="1">IF(BD176,_xll.xCrudeAPO(BU176,BV176,CA176,CB176,S177,S178,BI176-DaysForThetaCalculation/365.25,BL176-DaysForThetaCalculation/365.25,BP176,BQ176,0,Strike1,AO176,CE176,0,BL176,IF(OptControl=4,0,1),0,1)-_xll.xCrudeAPO(BU176,BV176,CA176,CB176,S177,S178,BI176,BL176,BP176,BQ176,0,Strike1,AO176,CE176,0,BL176,IF(OptControl=4,0,1),0,1),0)</f>
        <v>0</v>
      </c>
      <c r="CJ176" s="311">
        <f ca="1">IF(BD176,_xll.xCrudeAPO(BU176,BV176,CC176,CD176,S177,S178,BI176,BL176,BP176,BQ176,0,Strike2,AO176,CE176,0,BL176,IF(OptControl=3,1,0),0,1),0)</f>
        <v>0</v>
      </c>
      <c r="CK176" s="163">
        <f ca="1">IF(BD176,_xll.xCrudeAPO(BU176,BV176,CC176,CD176,S177,S178,BI176,BL176,BP176,BQ176,0,Strike2,AO176,CE176,0,BL176,IF(OptControl=3,1,0),1,1)+_xll.xCrudeAPO(BU176,BV176,CC176,CD176,S177,S178,BI176,BL176,BP176,BQ176,0,Strike2,AO176,CE176,0,BL176,IF(OptControl=3,1,0),1,2)+IF(OR(VolSkewFlag=2,ABS(BT176)&lt;0.0001),0,IF(BT176&gt;0,-1,1)*CL176*Strike2/BR176^2*BZ176/10%),0)</f>
        <v>0</v>
      </c>
      <c r="CL176" s="163">
        <f ca="1">IF(BD176,(_xll.xCrudeAPO(BU176,BV176,CC176,CD176,S177,S178,BI176,BL176,BP176,BQ176,0,Strike2,AO176,CE176,0,BL176,IF(OptControl=3,1,0),3,1)+_xll.xCrudeAPO(BU176,BV176,CC176,CD176,S177,S178,BI176,BL176,BP176,BQ176,0,Strike2,AO176,CE176,0,BL176,IF(OptControl=3,1,0),3,2))/100,0)</f>
        <v>0</v>
      </c>
      <c r="CM176" s="164">
        <f ca="1">IF(BD176,_xll.xCrudeAPO(BU176,BV176,CC176,CD176,S177,S178,BI176-DaysForThetaCalculation/365.25,BL176-DaysForThetaCalculation/365.25,BP176,BQ176,0,Strike2,AO176,CE176,0,BL176,IF(OptControl=3,1,0),0,1)-_xll.xCrudeAPO(BU176,BV176,CC176,CD176,S177,S178,BI176,BL176,BP176,BQ176,0,Strike2,AO176,CE176,0,BL176,IF(OptControl=3,1,0),0,1),0)</f>
        <v>0</v>
      </c>
      <c r="CN176" s="53"/>
      <c r="CO176" s="796" t="str">
        <f t="shared" ca="1" si="532"/>
        <v/>
      </c>
      <c r="CP176" s="800" t="str">
        <f t="shared" ca="1" si="533"/>
        <v/>
      </c>
      <c r="CQ176" s="797" t="str">
        <f t="shared" ca="1" si="534"/>
        <v/>
      </c>
      <c r="CR176" s="797" t="str">
        <f t="shared" ca="1" si="535"/>
        <v/>
      </c>
      <c r="CS176" s="797" t="str">
        <f t="shared" ca="1" si="536"/>
        <v/>
      </c>
      <c r="CT176" s="797" t="str">
        <f t="shared" ca="1" si="537"/>
        <v/>
      </c>
      <c r="CU176" s="798" t="str">
        <f t="shared" ca="1" si="538"/>
        <v/>
      </c>
      <c r="CV176" s="799" t="str">
        <f t="shared" ca="1" si="539"/>
        <v/>
      </c>
      <c r="CW176" s="799" t="str">
        <f t="shared" ca="1" si="540"/>
        <v/>
      </c>
      <c r="CX176" s="163">
        <f ca="1">IF(BD176,_xll.EURO(CP176,Strike1,AO176,AO176,CV176,CO176,IF(OptControl=4,0,1),0),0)</f>
        <v>0</v>
      </c>
      <c r="CY176" s="163">
        <f ca="1">IF(BD176,_xll.EURO(CP176,Strike1,AO176,AO176,CV176,CO176,IF(OptControl=4,0,1),1)+IF(OR(VolSkewFlag=2,ABS(CQ176)&lt;0.0001),0,IF(CQ176&gt;0,-1,1)*CZ176*100*Strike1/CP176^2*CS176/10%),0)</f>
        <v>0</v>
      </c>
      <c r="CZ176" s="163">
        <f ca="1">IF(BD176,_xll.EURO(CP176,Strike1,AO176,AO176,CV176,CO176,IF(OptControl=4,0,1),3)/100,0)</f>
        <v>0</v>
      </c>
      <c r="DA176" s="163">
        <f ca="1">IF(BD176,_xll.EURO(CP176,Strike1,AO176,AO176,CV176,CO176,IF(OptControl=4,0,1),0)-_xll.EURO(CP176,Strike1,AO176,AO176,CV176,CO176-1,IF(OptControl=4,0,1),0),0)</f>
        <v>0</v>
      </c>
      <c r="DB176" s="163">
        <f ca="1">IF(BD176,_xll.EURO(CP176,Strike2,AO176,AO176,CW176,CO176,IF(OptControl=3,1,0),0),0)</f>
        <v>0</v>
      </c>
      <c r="DC176" s="163">
        <f ca="1">IF(BD176,_xll.EURO(CP176,Strike2,AO176,AO176,CW176,CO176,IF(OptControl=3,1,0),1)+IF(OR(VolSkewFlag=2,ABS(CR176)&lt;0.0001),0,IF(CR176&gt;0,-1,1)*DD176*100*Strike2/CP176^2*CT176/10%),0)</f>
        <v>0</v>
      </c>
      <c r="DD176" s="163">
        <f ca="1">IF(BD176,_xll.EURO(CP176,Strike2,AO176,AO176,CW176,CO176,IF(OptControl=3,1,0),3)/100,0)</f>
        <v>0</v>
      </c>
      <c r="DE176" s="164">
        <f ca="1">IF(BD176,_xll.EURO(CP176,Strike2,AO176,AO176,CW176,CO176,IF(OptControl=3,1,0),0)-_xll.EURO(CP176,Strike2,AO176,AO176,CW176,CO176-1,IF(OptControl=3,1,0),0),0)</f>
        <v>0</v>
      </c>
      <c r="DG176" s="667">
        <f t="shared" ca="1" si="541"/>
        <v>41306</v>
      </c>
      <c r="DH176" s="475">
        <v>21.960000000000058</v>
      </c>
      <c r="DI176" s="665">
        <v>22.025000000000059</v>
      </c>
      <c r="DJ176" s="666">
        <f t="shared" ca="1" si="518"/>
        <v>41306</v>
      </c>
      <c r="DK176" s="475">
        <v>20.756591972606675</v>
      </c>
      <c r="DL176" s="665">
        <v>20.856500000000061</v>
      </c>
      <c r="DM176" s="667">
        <f t="shared" ca="1" si="519"/>
        <v>41306</v>
      </c>
      <c r="DN176" s="668">
        <f t="shared" si="520"/>
        <v>20.806591972606675</v>
      </c>
      <c r="DO176" s="667">
        <f t="shared" ca="1" si="542"/>
        <v>41306</v>
      </c>
      <c r="DP176" s="579">
        <f t="shared" si="543"/>
        <v>20.856500000000061</v>
      </c>
      <c r="DQ176" s="821">
        <v>0</v>
      </c>
      <c r="DR176" s="666">
        <f t="shared" ca="1" si="521"/>
        <v>41306</v>
      </c>
      <c r="DS176" s="669">
        <v>0.13099999999999906</v>
      </c>
      <c r="DT176" s="606">
        <v>0.13021999999999906</v>
      </c>
      <c r="DU176" s="666">
        <f t="shared" ca="1" si="522"/>
        <v>41306</v>
      </c>
      <c r="DV176" s="669">
        <v>0.13099999999999906</v>
      </c>
      <c r="DW176" s="606">
        <v>0.13021999999999906</v>
      </c>
      <c r="DX176" s="667">
        <f t="shared" ca="1" si="523"/>
        <v>41306</v>
      </c>
      <c r="DY176" s="606">
        <v>0.35</v>
      </c>
      <c r="DZ176" s="667">
        <f t="shared" ca="1" si="544"/>
        <v>41306</v>
      </c>
      <c r="EA176" s="606">
        <f t="shared" si="545"/>
        <v>0.13021999999999906</v>
      </c>
      <c r="EB176" s="1"/>
      <c r="EC176" s="118" t="str">
        <f t="shared" ca="1" si="524"/>
        <v/>
      </c>
      <c r="ED176" s="119" t="str">
        <f t="shared" ca="1" si="525"/>
        <v/>
      </c>
      <c r="EE176" s="112" t="str">
        <f t="shared" ca="1" si="526"/>
        <v/>
      </c>
      <c r="EF176" s="120">
        <f ca="1">IF(BD176,_xll.xASN(BR176,Strike1,AO176,ED176,0,BO176,0,BI176,BL176,IF(OptControl=4,0,1),0),0)</f>
        <v>0</v>
      </c>
      <c r="EG176" s="111">
        <f ca="1">IF(BD176,_xll.xASN(BR176,Strike2,AO176,EE176,0,BO176,0,BI176,BL176,IF(OptControl=3,1,0),0),0)</f>
        <v>0</v>
      </c>
      <c r="EL176" s="55"/>
      <c r="EM176" s="1"/>
      <c r="EN176" s="106"/>
      <c r="EO176" s="106"/>
      <c r="EP176" s="1"/>
      <c r="EQ176" s="683" t="s">
        <v>389</v>
      </c>
      <c r="ES176" s="455"/>
      <c r="ET176" s="36"/>
      <c r="EU176" s="107"/>
      <c r="EV176" s="475"/>
      <c r="EW176" s="456"/>
      <c r="EX176" s="456"/>
      <c r="EY176" s="250"/>
      <c r="EZ176" s="250"/>
      <c r="FA176" s="250"/>
      <c r="FB176" s="250"/>
      <c r="FC176" s="250"/>
      <c r="FD176" s="250"/>
      <c r="FE176" s="250"/>
      <c r="FF176" s="250"/>
      <c r="FG176" s="250"/>
      <c r="FH176" s="250"/>
      <c r="FI176" s="250"/>
      <c r="FJ176" s="673">
        <v>7</v>
      </c>
      <c r="FK176" s="479" t="str">
        <f ca="1">IF(OR(FK$169&lt;SwaptionFirstMonthPosition+1,$FJ176&lt;SwaptionFirstMonthPosition+1,FK$169&gt;SwaptionFirstMonthPosition+SwaptionNumOfMonths+1,$FJ176&gt;SwaptionFirstMonthPosition+SwaptionNumOfMonths+1),"",IF($FJ176=FK$169,1,IF($FJ176&lt;FK$169,INDEX($FK$170:$ID$241,FK$169,$FJ176),SUMPRODUCT(INDEX($FK$325:$ID$396,FK$169,1+SwaptionShift):INDEX($FK$325:$ID$396,FK$169,SwaptionMonthsToGo+SwaptionShift),INDEX($FK$245:$ID$316,$FJ176-FK$169,73-FK$169+SwaptionShift):INDEX($FK$245:$ID$316,$FJ176-FK$169,72-FK$169+SwaptionMonthsToGo+SwaptionShift))/SQRT(SUM(INDEX($FK331:$ID331,1+SwaptionShift):INDEX($FK331:$ID331,SwaptionMonthsToGo+SwaptionShift))*SUM(INDEX($FK$325:$ID$396,FK$169,1+SwaptionShift):INDEX($FK$325:$ID$396,FK$169,SwaptionMonthsToGo+SwaptionShift))))))</f>
        <v/>
      </c>
      <c r="FL176" s="479" t="str">
        <f ca="1">IF(OR(FL$169&lt;SwaptionFirstMonthPosition+1,$FJ176&lt;SwaptionFirstMonthPosition+1,FL$169&gt;SwaptionFirstMonthPosition+SwaptionNumOfMonths+1,$FJ176&gt;SwaptionFirstMonthPosition+SwaptionNumOfMonths+1),"",IF($FJ176=FL$169,1,IF($FJ176&lt;FL$169,INDEX($FK$170:$ID$241,FL$169,$FJ176),SUMPRODUCT(INDEX($FK$325:$ID$396,FL$169,1+SwaptionShift):INDEX($FK$325:$ID$396,FL$169,SwaptionMonthsToGo+SwaptionShift),INDEX($FK$245:$ID$316,$FJ176-FL$169,73-FL$169+SwaptionShift):INDEX($FK$245:$ID$316,$FJ176-FL$169,72-FL$169+SwaptionMonthsToGo+SwaptionShift))/SQRT(SUM(INDEX($FK331:$ID331,1+SwaptionShift):INDEX($FK331:$ID331,SwaptionMonthsToGo+SwaptionShift))*SUM(INDEX($FK$325:$ID$396,FL$169,1+SwaptionShift):INDEX($FK$325:$ID$396,FL$169,SwaptionMonthsToGo+SwaptionShift))))))</f>
        <v/>
      </c>
      <c r="FM176" s="479" t="str">
        <f ca="1">IF(OR(FM$169&lt;SwaptionFirstMonthPosition+1,$FJ176&lt;SwaptionFirstMonthPosition+1,FM$169&gt;SwaptionFirstMonthPosition+SwaptionNumOfMonths+1,$FJ176&gt;SwaptionFirstMonthPosition+SwaptionNumOfMonths+1),"",IF($FJ176=FM$169,1,IF($FJ176&lt;FM$169,INDEX($FK$170:$ID$241,FM$169,$FJ176),SUMPRODUCT(INDEX($FK$325:$ID$396,FM$169,1+SwaptionShift):INDEX($FK$325:$ID$396,FM$169,SwaptionMonthsToGo+SwaptionShift),INDEX($FK$245:$ID$316,$FJ176-FM$169,73-FM$169+SwaptionShift):INDEX($FK$245:$ID$316,$FJ176-FM$169,72-FM$169+SwaptionMonthsToGo+SwaptionShift))/SQRT(SUM(INDEX($FK331:$ID331,1+SwaptionShift):INDEX($FK331:$ID331,SwaptionMonthsToGo+SwaptionShift))*SUM(INDEX($FK$325:$ID$396,FM$169,1+SwaptionShift):INDEX($FK$325:$ID$396,FM$169,SwaptionMonthsToGo+SwaptionShift))))))</f>
        <v/>
      </c>
      <c r="FN176" s="479" t="str">
        <f ca="1">IF(OR(FN$169&lt;SwaptionFirstMonthPosition+1,$FJ176&lt;SwaptionFirstMonthPosition+1,FN$169&gt;SwaptionFirstMonthPosition+SwaptionNumOfMonths+1,$FJ176&gt;SwaptionFirstMonthPosition+SwaptionNumOfMonths+1),"",IF($FJ176=FN$169,1,IF($FJ176&lt;FN$169,INDEX($FK$170:$ID$241,FN$169,$FJ176),SUMPRODUCT(INDEX($FK$325:$ID$396,FN$169,1+SwaptionShift):INDEX($FK$325:$ID$396,FN$169,SwaptionMonthsToGo+SwaptionShift),INDEX($FK$245:$ID$316,$FJ176-FN$169,73-FN$169+SwaptionShift):INDEX($FK$245:$ID$316,$FJ176-FN$169,72-FN$169+SwaptionMonthsToGo+SwaptionShift))/SQRT(SUM(INDEX($FK331:$ID331,1+SwaptionShift):INDEX($FK331:$ID331,SwaptionMonthsToGo+SwaptionShift))*SUM(INDEX($FK$325:$ID$396,FN$169,1+SwaptionShift):INDEX($FK$325:$ID$396,FN$169,SwaptionMonthsToGo+SwaptionShift))))))</f>
        <v/>
      </c>
      <c r="FO176" s="479" t="str">
        <f ca="1">IF(OR(FO$169&lt;SwaptionFirstMonthPosition+1,$FJ176&lt;SwaptionFirstMonthPosition+1,FO$169&gt;SwaptionFirstMonthPosition+SwaptionNumOfMonths+1,$FJ176&gt;SwaptionFirstMonthPosition+SwaptionNumOfMonths+1),"",IF($FJ176=FO$169,1,IF($FJ176&lt;FO$169,INDEX($FK$170:$ID$241,FO$169,$FJ176),SUMPRODUCT(INDEX($FK$325:$ID$396,FO$169,1+SwaptionShift):INDEX($FK$325:$ID$396,FO$169,SwaptionMonthsToGo+SwaptionShift),INDEX($FK$245:$ID$316,$FJ176-FO$169,73-FO$169+SwaptionShift):INDEX($FK$245:$ID$316,$FJ176-FO$169,72-FO$169+SwaptionMonthsToGo+SwaptionShift))/SQRT(SUM(INDEX($FK331:$ID331,1+SwaptionShift):INDEX($FK331:$ID331,SwaptionMonthsToGo+SwaptionShift))*SUM(INDEX($FK$325:$ID$396,FO$169,1+SwaptionShift):INDEX($FK$325:$ID$396,FO$169,SwaptionMonthsToGo+SwaptionShift))))))</f>
        <v/>
      </c>
      <c r="FP176" s="479">
        <f ca="1">IF(OR(FP$169&lt;SwaptionFirstMonthPosition+1,$FJ176&lt;SwaptionFirstMonthPosition+1,FP$169&gt;SwaptionFirstMonthPosition+SwaptionNumOfMonths+1,$FJ176&gt;SwaptionFirstMonthPosition+SwaptionNumOfMonths+1),"",IF($FJ176=FP$169,1,IF($FJ176&lt;FP$169,INDEX($FK$170:$ID$241,FP$169,$FJ176),SUMPRODUCT(INDEX($FK$325:$ID$396,FP$169,1+SwaptionShift):INDEX($FK$325:$ID$396,FP$169,SwaptionMonthsToGo+SwaptionShift),INDEX($FK$245:$ID$316,$FJ176-FP$169,73-FP$169+SwaptionShift):INDEX($FK$245:$ID$316,$FJ176-FP$169,72-FP$169+SwaptionMonthsToGo+SwaptionShift))/SQRT(SUM(INDEX($FK331:$ID331,1+SwaptionShift):INDEX($FK331:$ID331,SwaptionMonthsToGo+SwaptionShift))*SUM(INDEX($FK$325:$ID$396,FP$169,1+SwaptionShift):INDEX($FK$325:$ID$396,FP$169,SwaptionMonthsToGo+SwaptionShift))))))</f>
        <v>0.97584684111295117</v>
      </c>
      <c r="FQ176" s="479">
        <f ca="1">IF(OR(FQ$169&lt;SwaptionFirstMonthPosition+1,$FJ176&lt;SwaptionFirstMonthPosition+1,FQ$169&gt;SwaptionFirstMonthPosition+SwaptionNumOfMonths+1,$FJ176&gt;SwaptionFirstMonthPosition+SwaptionNumOfMonths+1),"",IF($FJ176=FQ$169,1,IF($FJ176&lt;FQ$169,INDEX($FK$170:$ID$241,FQ$169,$FJ176),SUMPRODUCT(INDEX($FK$325:$ID$396,FQ$169,1+SwaptionShift):INDEX($FK$325:$ID$396,FQ$169,SwaptionMonthsToGo+SwaptionShift),INDEX($FK$245:$ID$316,$FJ176-FQ$169,73-FQ$169+SwaptionShift):INDEX($FK$245:$ID$316,$FJ176-FQ$169,72-FQ$169+SwaptionMonthsToGo+SwaptionShift))/SQRT(SUM(INDEX($FK331:$ID331,1+SwaptionShift):INDEX($FK331:$ID331,SwaptionMonthsToGo+SwaptionShift))*SUM(INDEX($FK$325:$ID$396,FQ$169,1+SwaptionShift):INDEX($FK$325:$ID$396,FQ$169,SwaptionMonthsToGo+SwaptionShift))))))</f>
        <v>1</v>
      </c>
      <c r="FR176" s="479">
        <f ca="1">IF(OR(FR$169&lt;SwaptionFirstMonthPosition+1,$FJ176&lt;SwaptionFirstMonthPosition+1,FR$169&gt;SwaptionFirstMonthPosition+SwaptionNumOfMonths+1,$FJ176&gt;SwaptionFirstMonthPosition+SwaptionNumOfMonths+1),"",IF($FJ176=FR$169,1,IF($FJ176&lt;FR$169,INDEX($FK$170:$ID$241,FR$169,$FJ176),SUMPRODUCT(INDEX($FK$325:$ID$396,FR$169,1+SwaptionShift):INDEX($FK$325:$ID$396,FR$169,SwaptionMonthsToGo+SwaptionShift),INDEX($FK$245:$ID$316,$FJ176-FR$169,73-FR$169+SwaptionShift):INDEX($FK$245:$ID$316,$FJ176-FR$169,72-FR$169+SwaptionMonthsToGo+SwaptionShift))/SQRT(SUM(INDEX($FK331:$ID331,1+SwaptionShift):INDEX($FK331:$ID331,SwaptionMonthsToGo+SwaptionShift))*SUM(INDEX($FK$325:$ID$396,FR$169,1+SwaptionShift):INDEX($FK$325:$ID$396,FR$169,SwaptionMonthsToGo+SwaptionShift))))))</f>
        <v>0.98071781306478245</v>
      </c>
      <c r="FS176" s="479">
        <f ca="1">IF(OR(FS$169&lt;SwaptionFirstMonthPosition+1,$FJ176&lt;SwaptionFirstMonthPosition+1,FS$169&gt;SwaptionFirstMonthPosition+SwaptionNumOfMonths+1,$FJ176&gt;SwaptionFirstMonthPosition+SwaptionNumOfMonths+1),"",IF($FJ176=FS$169,1,IF($FJ176&lt;FS$169,INDEX($FK$170:$ID$241,FS$169,$FJ176),SUMPRODUCT(INDEX($FK$325:$ID$396,FS$169,1+SwaptionShift):INDEX($FK$325:$ID$396,FS$169,SwaptionMonthsToGo+SwaptionShift),INDEX($FK$245:$ID$316,$FJ176-FS$169,73-FS$169+SwaptionShift):INDEX($FK$245:$ID$316,$FJ176-FS$169,72-FS$169+SwaptionMonthsToGo+SwaptionShift))/SQRT(SUM(INDEX($FK331:$ID331,1+SwaptionShift):INDEX($FK331:$ID331,SwaptionMonthsToGo+SwaptionShift))*SUM(INDEX($FK$325:$ID$396,FS$169,1+SwaptionShift):INDEX($FK$325:$ID$396,FS$169,SwaptionMonthsToGo+SwaptionShift))))))</f>
        <v>0.9652711411468311</v>
      </c>
      <c r="FT176" s="479">
        <f ca="1">IF(OR(FT$169&lt;SwaptionFirstMonthPosition+1,$FJ176&lt;SwaptionFirstMonthPosition+1,FT$169&gt;SwaptionFirstMonthPosition+SwaptionNumOfMonths+1,$FJ176&gt;SwaptionFirstMonthPosition+SwaptionNumOfMonths+1),"",IF($FJ176=FT$169,1,IF($FJ176&lt;FT$169,INDEX($FK$170:$ID$241,FT$169,$FJ176),SUMPRODUCT(INDEX($FK$325:$ID$396,FT$169,1+SwaptionShift):INDEX($FK$325:$ID$396,FT$169,SwaptionMonthsToGo+SwaptionShift),INDEX($FK$245:$ID$316,$FJ176-FT$169,73-FT$169+SwaptionShift):INDEX($FK$245:$ID$316,$FJ176-FT$169,72-FT$169+SwaptionMonthsToGo+SwaptionShift))/SQRT(SUM(INDEX($FK331:$ID331,1+SwaptionShift):INDEX($FK331:$ID331,SwaptionMonthsToGo+SwaptionShift))*SUM(INDEX($FK$325:$ID$396,FT$169,1+SwaptionShift):INDEX($FK$325:$ID$396,FT$169,SwaptionMonthsToGo+SwaptionShift))))))</f>
        <v>0.9527839903602433</v>
      </c>
      <c r="FU176" s="479">
        <f ca="1">IF(OR(FU$169&lt;SwaptionFirstMonthPosition+1,$FJ176&lt;SwaptionFirstMonthPosition+1,FU$169&gt;SwaptionFirstMonthPosition+SwaptionNumOfMonths+1,$FJ176&gt;SwaptionFirstMonthPosition+SwaptionNumOfMonths+1),"",IF($FJ176=FU$169,1,IF($FJ176&lt;FU$169,INDEX($FK$170:$ID$241,FU$169,$FJ176),SUMPRODUCT(INDEX($FK$325:$ID$396,FU$169,1+SwaptionShift):INDEX($FK$325:$ID$396,FU$169,SwaptionMonthsToGo+SwaptionShift),INDEX($FK$245:$ID$316,$FJ176-FU$169,73-FU$169+SwaptionShift):INDEX($FK$245:$ID$316,$FJ176-FU$169,72-FU$169+SwaptionMonthsToGo+SwaptionShift))/SQRT(SUM(INDEX($FK331:$ID331,1+SwaptionShift):INDEX($FK331:$ID331,SwaptionMonthsToGo+SwaptionShift))*SUM(INDEX($FK$325:$ID$396,FU$169,1+SwaptionShift):INDEX($FK$325:$ID$396,FU$169,SwaptionMonthsToGo+SwaptionShift))))))</f>
        <v>0.94261210737945333</v>
      </c>
      <c r="FV176" s="479">
        <f ca="1">IF(OR(FV$169&lt;SwaptionFirstMonthPosition+1,$FJ176&lt;SwaptionFirstMonthPosition+1,FV$169&gt;SwaptionFirstMonthPosition+SwaptionNumOfMonths+1,$FJ176&gt;SwaptionFirstMonthPosition+SwaptionNumOfMonths+1),"",IF($FJ176=FV$169,1,IF($FJ176&lt;FV$169,INDEX($FK$170:$ID$241,FV$169,$FJ176),SUMPRODUCT(INDEX($FK$325:$ID$396,FV$169,1+SwaptionShift):INDEX($FK$325:$ID$396,FV$169,SwaptionMonthsToGo+SwaptionShift),INDEX($FK$245:$ID$316,$FJ176-FV$169,73-FV$169+SwaptionShift):INDEX($FK$245:$ID$316,$FJ176-FV$169,72-FV$169+SwaptionMonthsToGo+SwaptionShift))/SQRT(SUM(INDEX($FK331:$ID331,1+SwaptionShift):INDEX($FK331:$ID331,SwaptionMonthsToGo+SwaptionShift))*SUM(INDEX($FK$325:$ID$396,FV$169,1+SwaptionShift):INDEX($FK$325:$ID$396,FV$169,SwaptionMonthsToGo+SwaptionShift))))))</f>
        <v>0.93427254623555067</v>
      </c>
      <c r="FW176" s="479">
        <f ca="1">IF(OR(FW$169&lt;SwaptionFirstMonthPosition+1,$FJ176&lt;SwaptionFirstMonthPosition+1,FW$169&gt;SwaptionFirstMonthPosition+SwaptionNumOfMonths+1,$FJ176&gt;SwaptionFirstMonthPosition+SwaptionNumOfMonths+1),"",IF($FJ176=FW$169,1,IF($FJ176&lt;FW$169,INDEX($FK$170:$ID$241,FW$169,$FJ176),SUMPRODUCT(INDEX($FK$325:$ID$396,FW$169,1+SwaptionShift):INDEX($FK$325:$ID$396,FW$169,SwaptionMonthsToGo+SwaptionShift),INDEX($FK$245:$ID$316,$FJ176-FW$169,73-FW$169+SwaptionShift):INDEX($FK$245:$ID$316,$FJ176-FW$169,72-FW$169+SwaptionMonthsToGo+SwaptionShift))/SQRT(SUM(INDEX($FK331:$ID331,1+SwaptionShift):INDEX($FK331:$ID331,SwaptionMonthsToGo+SwaptionShift))*SUM(INDEX($FK$325:$ID$396,FW$169,1+SwaptionShift):INDEX($FK$325:$ID$396,FW$169,SwaptionMonthsToGo+SwaptionShift))))))</f>
        <v>0.92739742763696476</v>
      </c>
      <c r="FX176" s="479">
        <f ca="1">IF(OR(FX$169&lt;SwaptionFirstMonthPosition+1,$FJ176&lt;SwaptionFirstMonthPosition+1,FX$169&gt;SwaptionFirstMonthPosition+SwaptionNumOfMonths+1,$FJ176&gt;SwaptionFirstMonthPosition+SwaptionNumOfMonths+1),"",IF($FJ176=FX$169,1,IF($FJ176&lt;FX$169,INDEX($FK$170:$ID$241,FX$169,$FJ176),SUMPRODUCT(INDEX($FK$325:$ID$396,FX$169,1+SwaptionShift):INDEX($FK$325:$ID$396,FX$169,SwaptionMonthsToGo+SwaptionShift),INDEX($FK$245:$ID$316,$FJ176-FX$169,73-FX$169+SwaptionShift):INDEX($FK$245:$ID$316,$FJ176-FX$169,72-FX$169+SwaptionMonthsToGo+SwaptionShift))/SQRT(SUM(INDEX($FK331:$ID331,1+SwaptionShift):INDEX($FK331:$ID331,SwaptionMonthsToGo+SwaptionShift))*SUM(INDEX($FK$325:$ID$396,FX$169,1+SwaptionShift):INDEX($FK$325:$ID$396,FX$169,SwaptionMonthsToGo+SwaptionShift))))))</f>
        <v>0.92170266082958963</v>
      </c>
      <c r="FY176" s="479">
        <f ca="1">IF(OR(FY$169&lt;SwaptionFirstMonthPosition+1,$FJ176&lt;SwaptionFirstMonthPosition+1,FY$169&gt;SwaptionFirstMonthPosition+SwaptionNumOfMonths+1,$FJ176&gt;SwaptionFirstMonthPosition+SwaptionNumOfMonths+1),"",IF($FJ176=FY$169,1,IF($FJ176&lt;FY$169,INDEX($FK$170:$ID$241,FY$169,$FJ176),SUMPRODUCT(INDEX($FK$325:$ID$396,FY$169,1+SwaptionShift):INDEX($FK$325:$ID$396,FY$169,SwaptionMonthsToGo+SwaptionShift),INDEX($FK$245:$ID$316,$FJ176-FY$169,73-FY$169+SwaptionShift):INDEX($FK$245:$ID$316,$FJ176-FY$169,72-FY$169+SwaptionMonthsToGo+SwaptionShift))/SQRT(SUM(INDEX($FK331:$ID331,1+SwaptionShift):INDEX($FK331:$ID331,SwaptionMonthsToGo+SwaptionShift))*SUM(INDEX($FK$325:$ID$396,FY$169,1+SwaptionShift):INDEX($FK$325:$ID$396,FY$169,SwaptionMonthsToGo+SwaptionShift))))))</f>
        <v>0.91696624904527169</v>
      </c>
      <c r="FZ176" s="479">
        <f ca="1">IF(OR(FZ$169&lt;SwaptionFirstMonthPosition+1,$FJ176&lt;SwaptionFirstMonthPosition+1,FZ$169&gt;SwaptionFirstMonthPosition+SwaptionNumOfMonths+1,$FJ176&gt;SwaptionFirstMonthPosition+SwaptionNumOfMonths+1),"",IF($FJ176=FZ$169,1,IF($FJ176&lt;FZ$169,INDEX($FK$170:$ID$241,FZ$169,$FJ176),SUMPRODUCT(INDEX($FK$325:$ID$396,FZ$169,1+SwaptionShift):INDEX($FK$325:$ID$396,FZ$169,SwaptionMonthsToGo+SwaptionShift),INDEX($FK$245:$ID$316,$FJ176-FZ$169,73-FZ$169+SwaptionShift):INDEX($FK$245:$ID$316,$FJ176-FZ$169,72-FZ$169+SwaptionMonthsToGo+SwaptionShift))/SQRT(SUM(INDEX($FK331:$ID331,1+SwaptionShift):INDEX($FK331:$ID331,SwaptionMonthsToGo+SwaptionShift))*SUM(INDEX($FK$325:$ID$396,FZ$169,1+SwaptionShift):INDEX($FK$325:$ID$396,FZ$169,SwaptionMonthsToGo+SwaptionShift))))))</f>
        <v>0.91301291719091293</v>
      </c>
      <c r="GA176" s="479">
        <f ca="1">IF(OR(GA$169&lt;SwaptionFirstMonthPosition+1,$FJ176&lt;SwaptionFirstMonthPosition+1,GA$169&gt;SwaptionFirstMonthPosition+SwaptionNumOfMonths+1,$FJ176&gt;SwaptionFirstMonthPosition+SwaptionNumOfMonths+1),"",IF($FJ176=GA$169,1,IF($FJ176&lt;GA$169,INDEX($FK$170:$ID$241,GA$169,$FJ176),SUMPRODUCT(INDEX($FK$325:$ID$396,GA$169,1+SwaptionShift):INDEX($FK$325:$ID$396,GA$169,SwaptionMonthsToGo+SwaptionShift),INDEX($FK$245:$ID$316,$FJ176-GA$169,73-GA$169+SwaptionShift):INDEX($FK$245:$ID$316,$FJ176-GA$169,72-GA$169+SwaptionMonthsToGo+SwaptionShift))/SQRT(SUM(INDEX($FK331:$ID331,1+SwaptionShift):INDEX($FK331:$ID331,SwaptionMonthsToGo+SwaptionShift))*SUM(INDEX($FK$325:$ID$396,GA$169,1+SwaptionShift):INDEX($FK$325:$ID$396,GA$169,SwaptionMonthsToGo+SwaptionShift))))))</f>
        <v>0.9097030166371024</v>
      </c>
      <c r="GB176" s="479">
        <f ca="1">IF(OR(GB$169&lt;SwaptionFirstMonthPosition+1,$FJ176&lt;SwaptionFirstMonthPosition+1,GB$169&gt;SwaptionFirstMonthPosition+SwaptionNumOfMonths+1,$FJ176&gt;SwaptionFirstMonthPosition+SwaptionNumOfMonths+1),"",IF($FJ176=GB$169,1,IF($FJ176&lt;GB$169,INDEX($FK$170:$ID$241,GB$169,$FJ176),SUMPRODUCT(INDEX($FK$325:$ID$396,GB$169,1+SwaptionShift):INDEX($FK$325:$ID$396,GB$169,SwaptionMonthsToGo+SwaptionShift),INDEX($FK$245:$ID$316,$FJ176-GB$169,73-GB$169+SwaptionShift):INDEX($FK$245:$ID$316,$FJ176-GB$169,72-GB$169+SwaptionMonthsToGo+SwaptionShift))/SQRT(SUM(INDEX($FK331:$ID331,1+SwaptionShift):INDEX($FK331:$ID331,SwaptionMonthsToGo+SwaptionShift))*SUM(INDEX($FK$325:$ID$396,GB$169,1+SwaptionShift):INDEX($FK$325:$ID$396,GB$169,SwaptionMonthsToGo+SwaptionShift))))))</f>
        <v>0.90692438701005074</v>
      </c>
      <c r="GC176" s="479" t="str">
        <f ca="1">IF(OR(GC$169&lt;SwaptionFirstMonthPosition+1,$FJ176&lt;SwaptionFirstMonthPosition+1,GC$169&gt;SwaptionFirstMonthPosition+SwaptionNumOfMonths+1,$FJ176&gt;SwaptionFirstMonthPosition+SwaptionNumOfMonths+1),"",IF($FJ176=GC$169,1,IF($FJ176&lt;GC$169,INDEX($FK$170:$ID$241,GC$169,$FJ176),SUMPRODUCT(INDEX($FK$325:$ID$396,GC$169,1+SwaptionShift):INDEX($FK$325:$ID$396,GC$169,SwaptionMonthsToGo+SwaptionShift),INDEX($FK$245:$ID$316,$FJ176-GC$169,73-GC$169+SwaptionShift):INDEX($FK$245:$ID$316,$FJ176-GC$169,72-GC$169+SwaptionMonthsToGo+SwaptionShift))/SQRT(SUM(INDEX($FK331:$ID331,1+SwaptionShift):INDEX($FK331:$ID331,SwaptionMonthsToGo+SwaptionShift))*SUM(INDEX($FK$325:$ID$396,GC$169,1+SwaptionShift):INDEX($FK$325:$ID$396,GC$169,SwaptionMonthsToGo+SwaptionShift))))))</f>
        <v/>
      </c>
      <c r="GD176" s="479" t="str">
        <f ca="1">IF(OR(GD$169&lt;SwaptionFirstMonthPosition+1,$FJ176&lt;SwaptionFirstMonthPosition+1,GD$169&gt;SwaptionFirstMonthPosition+SwaptionNumOfMonths+1,$FJ176&gt;SwaptionFirstMonthPosition+SwaptionNumOfMonths+1),"",IF($FJ176=GD$169,1,IF($FJ176&lt;GD$169,INDEX($FK$170:$ID$241,GD$169,$FJ176),SUMPRODUCT(INDEX($FK$325:$ID$396,GD$169,1+SwaptionShift):INDEX($FK$325:$ID$396,GD$169,SwaptionMonthsToGo+SwaptionShift),INDEX($FK$245:$ID$316,$FJ176-GD$169,73-GD$169+SwaptionShift):INDEX($FK$245:$ID$316,$FJ176-GD$169,72-GD$169+SwaptionMonthsToGo+SwaptionShift))/SQRT(SUM(INDEX($FK331:$ID331,1+SwaptionShift):INDEX($FK331:$ID331,SwaptionMonthsToGo+SwaptionShift))*SUM(INDEX($FK$325:$ID$396,GD$169,1+SwaptionShift):INDEX($FK$325:$ID$396,GD$169,SwaptionMonthsToGo+SwaptionShift))))))</f>
        <v/>
      </c>
      <c r="GE176" s="479" t="str">
        <f ca="1">IF(OR(GE$169&lt;SwaptionFirstMonthPosition+1,$FJ176&lt;SwaptionFirstMonthPosition+1,GE$169&gt;SwaptionFirstMonthPosition+SwaptionNumOfMonths+1,$FJ176&gt;SwaptionFirstMonthPosition+SwaptionNumOfMonths+1),"",IF($FJ176=GE$169,1,IF($FJ176&lt;GE$169,INDEX($FK$170:$ID$241,GE$169,$FJ176),SUMPRODUCT(INDEX($FK$325:$ID$396,GE$169,1+SwaptionShift):INDEX($FK$325:$ID$396,GE$169,SwaptionMonthsToGo+SwaptionShift),INDEX($FK$245:$ID$316,$FJ176-GE$169,73-GE$169+SwaptionShift):INDEX($FK$245:$ID$316,$FJ176-GE$169,72-GE$169+SwaptionMonthsToGo+SwaptionShift))/SQRT(SUM(INDEX($FK331:$ID331,1+SwaptionShift):INDEX($FK331:$ID331,SwaptionMonthsToGo+SwaptionShift))*SUM(INDEX($FK$325:$ID$396,GE$169,1+SwaptionShift):INDEX($FK$325:$ID$396,GE$169,SwaptionMonthsToGo+SwaptionShift))))))</f>
        <v/>
      </c>
      <c r="GF176" s="479" t="str">
        <f ca="1">IF(OR(GF$169&lt;SwaptionFirstMonthPosition+1,$FJ176&lt;SwaptionFirstMonthPosition+1,GF$169&gt;SwaptionFirstMonthPosition+SwaptionNumOfMonths+1,$FJ176&gt;SwaptionFirstMonthPosition+SwaptionNumOfMonths+1),"",IF($FJ176=GF$169,1,IF($FJ176&lt;GF$169,INDEX($FK$170:$ID$241,GF$169,$FJ176),SUMPRODUCT(INDEX($FK$325:$ID$396,GF$169,1+SwaptionShift):INDEX($FK$325:$ID$396,GF$169,SwaptionMonthsToGo+SwaptionShift),INDEX($FK$245:$ID$316,$FJ176-GF$169,73-GF$169+SwaptionShift):INDEX($FK$245:$ID$316,$FJ176-GF$169,72-GF$169+SwaptionMonthsToGo+SwaptionShift))/SQRT(SUM(INDEX($FK331:$ID331,1+SwaptionShift):INDEX($FK331:$ID331,SwaptionMonthsToGo+SwaptionShift))*SUM(INDEX($FK$325:$ID$396,GF$169,1+SwaptionShift):INDEX($FK$325:$ID$396,GF$169,SwaptionMonthsToGo+SwaptionShift))))))</f>
        <v/>
      </c>
      <c r="GG176" s="479" t="str">
        <f ca="1">IF(OR(GG$169&lt;SwaptionFirstMonthPosition+1,$FJ176&lt;SwaptionFirstMonthPosition+1,GG$169&gt;SwaptionFirstMonthPosition+SwaptionNumOfMonths+1,$FJ176&gt;SwaptionFirstMonthPosition+SwaptionNumOfMonths+1),"",IF($FJ176=GG$169,1,IF($FJ176&lt;GG$169,INDEX($FK$170:$ID$241,GG$169,$FJ176),SUMPRODUCT(INDEX($FK$325:$ID$396,GG$169,1+SwaptionShift):INDEX($FK$325:$ID$396,GG$169,SwaptionMonthsToGo+SwaptionShift),INDEX($FK$245:$ID$316,$FJ176-GG$169,73-GG$169+SwaptionShift):INDEX($FK$245:$ID$316,$FJ176-GG$169,72-GG$169+SwaptionMonthsToGo+SwaptionShift))/SQRT(SUM(INDEX($FK331:$ID331,1+SwaptionShift):INDEX($FK331:$ID331,SwaptionMonthsToGo+SwaptionShift))*SUM(INDEX($FK$325:$ID$396,GG$169,1+SwaptionShift):INDEX($FK$325:$ID$396,GG$169,SwaptionMonthsToGo+SwaptionShift))))))</f>
        <v/>
      </c>
      <c r="GH176" s="479" t="str">
        <f ca="1">IF(OR(GH$169&lt;SwaptionFirstMonthPosition+1,$FJ176&lt;SwaptionFirstMonthPosition+1,GH$169&gt;SwaptionFirstMonthPosition+SwaptionNumOfMonths+1,$FJ176&gt;SwaptionFirstMonthPosition+SwaptionNumOfMonths+1),"",IF($FJ176=GH$169,1,IF($FJ176&lt;GH$169,INDEX($FK$170:$ID$241,GH$169,$FJ176),SUMPRODUCT(INDEX($FK$325:$ID$396,GH$169,1+SwaptionShift):INDEX($FK$325:$ID$396,GH$169,SwaptionMonthsToGo+SwaptionShift),INDEX($FK$245:$ID$316,$FJ176-GH$169,73-GH$169+SwaptionShift):INDEX($FK$245:$ID$316,$FJ176-GH$169,72-GH$169+SwaptionMonthsToGo+SwaptionShift))/SQRT(SUM(INDEX($FK331:$ID331,1+SwaptionShift):INDEX($FK331:$ID331,SwaptionMonthsToGo+SwaptionShift))*SUM(INDEX($FK$325:$ID$396,GH$169,1+SwaptionShift):INDEX($FK$325:$ID$396,GH$169,SwaptionMonthsToGo+SwaptionShift))))))</f>
        <v/>
      </c>
      <c r="GI176" s="479" t="str">
        <f ca="1">IF(OR(GI$169&lt;SwaptionFirstMonthPosition+1,$FJ176&lt;SwaptionFirstMonthPosition+1,GI$169&gt;SwaptionFirstMonthPosition+SwaptionNumOfMonths+1,$FJ176&gt;SwaptionFirstMonthPosition+SwaptionNumOfMonths+1),"",IF($FJ176=GI$169,1,IF($FJ176&lt;GI$169,INDEX($FK$170:$ID$241,GI$169,$FJ176),SUMPRODUCT(INDEX($FK$325:$ID$396,GI$169,1+SwaptionShift):INDEX($FK$325:$ID$396,GI$169,SwaptionMonthsToGo+SwaptionShift),INDEX($FK$245:$ID$316,$FJ176-GI$169,73-GI$169+SwaptionShift):INDEX($FK$245:$ID$316,$FJ176-GI$169,72-GI$169+SwaptionMonthsToGo+SwaptionShift))/SQRT(SUM(INDEX($FK331:$ID331,1+SwaptionShift):INDEX($FK331:$ID331,SwaptionMonthsToGo+SwaptionShift))*SUM(INDEX($FK$325:$ID$396,GI$169,1+SwaptionShift):INDEX($FK$325:$ID$396,GI$169,SwaptionMonthsToGo+SwaptionShift))))))</f>
        <v/>
      </c>
      <c r="GJ176" s="479" t="str">
        <f ca="1">IF(OR(GJ$169&lt;SwaptionFirstMonthPosition+1,$FJ176&lt;SwaptionFirstMonthPosition+1,GJ$169&gt;SwaptionFirstMonthPosition+SwaptionNumOfMonths+1,$FJ176&gt;SwaptionFirstMonthPosition+SwaptionNumOfMonths+1),"",IF($FJ176=GJ$169,1,IF($FJ176&lt;GJ$169,INDEX($FK$170:$ID$241,GJ$169,$FJ176),SUMPRODUCT(INDEX($FK$325:$ID$396,GJ$169,1+SwaptionShift):INDEX($FK$325:$ID$396,GJ$169,SwaptionMonthsToGo+SwaptionShift),INDEX($FK$245:$ID$316,$FJ176-GJ$169,73-GJ$169+SwaptionShift):INDEX($FK$245:$ID$316,$FJ176-GJ$169,72-GJ$169+SwaptionMonthsToGo+SwaptionShift))/SQRT(SUM(INDEX($FK331:$ID331,1+SwaptionShift):INDEX($FK331:$ID331,SwaptionMonthsToGo+SwaptionShift))*SUM(INDEX($FK$325:$ID$396,GJ$169,1+SwaptionShift):INDEX($FK$325:$ID$396,GJ$169,SwaptionMonthsToGo+SwaptionShift))))))</f>
        <v/>
      </c>
      <c r="GK176" s="479" t="str">
        <f ca="1">IF(OR(GK$169&lt;SwaptionFirstMonthPosition+1,$FJ176&lt;SwaptionFirstMonthPosition+1,GK$169&gt;SwaptionFirstMonthPosition+SwaptionNumOfMonths+1,$FJ176&gt;SwaptionFirstMonthPosition+SwaptionNumOfMonths+1),"",IF($FJ176=GK$169,1,IF($FJ176&lt;GK$169,INDEX($FK$170:$ID$241,GK$169,$FJ176),SUMPRODUCT(INDEX($FK$325:$ID$396,GK$169,1+SwaptionShift):INDEX($FK$325:$ID$396,GK$169,SwaptionMonthsToGo+SwaptionShift),INDEX($FK$245:$ID$316,$FJ176-GK$169,73-GK$169+SwaptionShift):INDEX($FK$245:$ID$316,$FJ176-GK$169,72-GK$169+SwaptionMonthsToGo+SwaptionShift))/SQRT(SUM(INDEX($FK331:$ID331,1+SwaptionShift):INDEX($FK331:$ID331,SwaptionMonthsToGo+SwaptionShift))*SUM(INDEX($FK$325:$ID$396,GK$169,1+SwaptionShift):INDEX($FK$325:$ID$396,GK$169,SwaptionMonthsToGo+SwaptionShift))))))</f>
        <v/>
      </c>
      <c r="GL176" s="479" t="str">
        <f ca="1">IF(OR(GL$169&lt;SwaptionFirstMonthPosition+1,$FJ176&lt;SwaptionFirstMonthPosition+1,GL$169&gt;SwaptionFirstMonthPosition+SwaptionNumOfMonths+1,$FJ176&gt;SwaptionFirstMonthPosition+SwaptionNumOfMonths+1),"",IF($FJ176=GL$169,1,IF($FJ176&lt;GL$169,INDEX($FK$170:$ID$241,GL$169,$FJ176),SUMPRODUCT(INDEX($FK$325:$ID$396,GL$169,1+SwaptionShift):INDEX($FK$325:$ID$396,GL$169,SwaptionMonthsToGo+SwaptionShift),INDEX($FK$245:$ID$316,$FJ176-GL$169,73-GL$169+SwaptionShift):INDEX($FK$245:$ID$316,$FJ176-GL$169,72-GL$169+SwaptionMonthsToGo+SwaptionShift))/SQRT(SUM(INDEX($FK331:$ID331,1+SwaptionShift):INDEX($FK331:$ID331,SwaptionMonthsToGo+SwaptionShift))*SUM(INDEX($FK$325:$ID$396,GL$169,1+SwaptionShift):INDEX($FK$325:$ID$396,GL$169,SwaptionMonthsToGo+SwaptionShift))))))</f>
        <v/>
      </c>
      <c r="GM176" s="479" t="str">
        <f ca="1">IF(OR(GM$169&lt;SwaptionFirstMonthPosition+1,$FJ176&lt;SwaptionFirstMonthPosition+1,GM$169&gt;SwaptionFirstMonthPosition+SwaptionNumOfMonths+1,$FJ176&gt;SwaptionFirstMonthPosition+SwaptionNumOfMonths+1),"",IF($FJ176=GM$169,1,IF($FJ176&lt;GM$169,INDEX($FK$170:$ID$241,GM$169,$FJ176),SUMPRODUCT(INDEX($FK$325:$ID$396,GM$169,1+SwaptionShift):INDEX($FK$325:$ID$396,GM$169,SwaptionMonthsToGo+SwaptionShift),INDEX($FK$245:$ID$316,$FJ176-GM$169,73-GM$169+SwaptionShift):INDEX($FK$245:$ID$316,$FJ176-GM$169,72-GM$169+SwaptionMonthsToGo+SwaptionShift))/SQRT(SUM(INDEX($FK331:$ID331,1+SwaptionShift):INDEX($FK331:$ID331,SwaptionMonthsToGo+SwaptionShift))*SUM(INDEX($FK$325:$ID$396,GM$169,1+SwaptionShift):INDEX($FK$325:$ID$396,GM$169,SwaptionMonthsToGo+SwaptionShift))))))</f>
        <v/>
      </c>
      <c r="GN176" s="479" t="str">
        <f ca="1">IF(OR(GN$169&lt;SwaptionFirstMonthPosition+1,$FJ176&lt;SwaptionFirstMonthPosition+1,GN$169&gt;SwaptionFirstMonthPosition+SwaptionNumOfMonths+1,$FJ176&gt;SwaptionFirstMonthPosition+SwaptionNumOfMonths+1),"",IF($FJ176=GN$169,1,IF($FJ176&lt;GN$169,INDEX($FK$170:$ID$241,GN$169,$FJ176),SUMPRODUCT(INDEX($FK$325:$ID$396,GN$169,1+SwaptionShift):INDEX($FK$325:$ID$396,GN$169,SwaptionMonthsToGo+SwaptionShift),INDEX($FK$245:$ID$316,$FJ176-GN$169,73-GN$169+SwaptionShift):INDEX($FK$245:$ID$316,$FJ176-GN$169,72-GN$169+SwaptionMonthsToGo+SwaptionShift))/SQRT(SUM(INDEX($FK331:$ID331,1+SwaptionShift):INDEX($FK331:$ID331,SwaptionMonthsToGo+SwaptionShift))*SUM(INDEX($FK$325:$ID$396,GN$169,1+SwaptionShift):INDEX($FK$325:$ID$396,GN$169,SwaptionMonthsToGo+SwaptionShift))))))</f>
        <v/>
      </c>
      <c r="GO176" s="479" t="str">
        <f ca="1">IF(OR(GO$169&lt;SwaptionFirstMonthPosition+1,$FJ176&lt;SwaptionFirstMonthPosition+1,GO$169&gt;SwaptionFirstMonthPosition+SwaptionNumOfMonths+1,$FJ176&gt;SwaptionFirstMonthPosition+SwaptionNumOfMonths+1),"",IF($FJ176=GO$169,1,IF($FJ176&lt;GO$169,INDEX($FK$170:$ID$241,GO$169,$FJ176),SUMPRODUCT(INDEX($FK$325:$ID$396,GO$169,1+SwaptionShift):INDEX($FK$325:$ID$396,GO$169,SwaptionMonthsToGo+SwaptionShift),INDEX($FK$245:$ID$316,$FJ176-GO$169,73-GO$169+SwaptionShift):INDEX($FK$245:$ID$316,$FJ176-GO$169,72-GO$169+SwaptionMonthsToGo+SwaptionShift))/SQRT(SUM(INDEX($FK331:$ID331,1+SwaptionShift):INDEX($FK331:$ID331,SwaptionMonthsToGo+SwaptionShift))*SUM(INDEX($FK$325:$ID$396,GO$169,1+SwaptionShift):INDEX($FK$325:$ID$396,GO$169,SwaptionMonthsToGo+SwaptionShift))))))</f>
        <v/>
      </c>
      <c r="GP176" s="479" t="str">
        <f ca="1">IF(OR(GP$169&lt;SwaptionFirstMonthPosition+1,$FJ176&lt;SwaptionFirstMonthPosition+1,GP$169&gt;SwaptionFirstMonthPosition+SwaptionNumOfMonths+1,$FJ176&gt;SwaptionFirstMonthPosition+SwaptionNumOfMonths+1),"",IF($FJ176=GP$169,1,IF($FJ176&lt;GP$169,INDEX($FK$170:$ID$241,GP$169,$FJ176),SUMPRODUCT(INDEX($FK$325:$ID$396,GP$169,1+SwaptionShift):INDEX($FK$325:$ID$396,GP$169,SwaptionMonthsToGo+SwaptionShift),INDEX($FK$245:$ID$316,$FJ176-GP$169,73-GP$169+SwaptionShift):INDEX($FK$245:$ID$316,$FJ176-GP$169,72-GP$169+SwaptionMonthsToGo+SwaptionShift))/SQRT(SUM(INDEX($FK331:$ID331,1+SwaptionShift):INDEX($FK331:$ID331,SwaptionMonthsToGo+SwaptionShift))*SUM(INDEX($FK$325:$ID$396,GP$169,1+SwaptionShift):INDEX($FK$325:$ID$396,GP$169,SwaptionMonthsToGo+SwaptionShift))))))</f>
        <v/>
      </c>
      <c r="GQ176" s="479" t="str">
        <f ca="1">IF(OR(GQ$169&lt;SwaptionFirstMonthPosition+1,$FJ176&lt;SwaptionFirstMonthPosition+1,GQ$169&gt;SwaptionFirstMonthPosition+SwaptionNumOfMonths+1,$FJ176&gt;SwaptionFirstMonthPosition+SwaptionNumOfMonths+1),"",IF($FJ176=GQ$169,1,IF($FJ176&lt;GQ$169,INDEX($FK$170:$ID$241,GQ$169,$FJ176),SUMPRODUCT(INDEX($FK$325:$ID$396,GQ$169,1+SwaptionShift):INDEX($FK$325:$ID$396,GQ$169,SwaptionMonthsToGo+SwaptionShift),INDEX($FK$245:$ID$316,$FJ176-GQ$169,73-GQ$169+SwaptionShift):INDEX($FK$245:$ID$316,$FJ176-GQ$169,72-GQ$169+SwaptionMonthsToGo+SwaptionShift))/SQRT(SUM(INDEX($FK331:$ID331,1+SwaptionShift):INDEX($FK331:$ID331,SwaptionMonthsToGo+SwaptionShift))*SUM(INDEX($FK$325:$ID$396,GQ$169,1+SwaptionShift):INDEX($FK$325:$ID$396,GQ$169,SwaptionMonthsToGo+SwaptionShift))))))</f>
        <v/>
      </c>
      <c r="GR176" s="479" t="str">
        <f ca="1">IF(OR(GR$169&lt;SwaptionFirstMonthPosition+1,$FJ176&lt;SwaptionFirstMonthPosition+1,GR$169&gt;SwaptionFirstMonthPosition+SwaptionNumOfMonths+1,$FJ176&gt;SwaptionFirstMonthPosition+SwaptionNumOfMonths+1),"",IF($FJ176=GR$169,1,IF($FJ176&lt;GR$169,INDEX($FK$170:$ID$241,GR$169,$FJ176),SUMPRODUCT(INDEX($FK$325:$ID$396,GR$169,1+SwaptionShift):INDEX($FK$325:$ID$396,GR$169,SwaptionMonthsToGo+SwaptionShift),INDEX($FK$245:$ID$316,$FJ176-GR$169,73-GR$169+SwaptionShift):INDEX($FK$245:$ID$316,$FJ176-GR$169,72-GR$169+SwaptionMonthsToGo+SwaptionShift))/SQRT(SUM(INDEX($FK331:$ID331,1+SwaptionShift):INDEX($FK331:$ID331,SwaptionMonthsToGo+SwaptionShift))*SUM(INDEX($FK$325:$ID$396,GR$169,1+SwaptionShift):INDEX($FK$325:$ID$396,GR$169,SwaptionMonthsToGo+SwaptionShift))))))</f>
        <v/>
      </c>
      <c r="GS176" s="479" t="str">
        <f ca="1">IF(OR(GS$169&lt;SwaptionFirstMonthPosition+1,$FJ176&lt;SwaptionFirstMonthPosition+1,GS$169&gt;SwaptionFirstMonthPosition+SwaptionNumOfMonths+1,$FJ176&gt;SwaptionFirstMonthPosition+SwaptionNumOfMonths+1),"",IF($FJ176=GS$169,1,IF($FJ176&lt;GS$169,INDEX($FK$170:$ID$241,GS$169,$FJ176),SUMPRODUCT(INDEX($FK$325:$ID$396,GS$169,1+SwaptionShift):INDEX($FK$325:$ID$396,GS$169,SwaptionMonthsToGo+SwaptionShift),INDEX($FK$245:$ID$316,$FJ176-GS$169,73-GS$169+SwaptionShift):INDEX($FK$245:$ID$316,$FJ176-GS$169,72-GS$169+SwaptionMonthsToGo+SwaptionShift))/SQRT(SUM(INDEX($FK331:$ID331,1+SwaptionShift):INDEX($FK331:$ID331,SwaptionMonthsToGo+SwaptionShift))*SUM(INDEX($FK$325:$ID$396,GS$169,1+SwaptionShift):INDEX($FK$325:$ID$396,GS$169,SwaptionMonthsToGo+SwaptionShift))))))</f>
        <v/>
      </c>
      <c r="GT176" s="479" t="str">
        <f ca="1">IF(OR(GT$169&lt;SwaptionFirstMonthPosition+1,$FJ176&lt;SwaptionFirstMonthPosition+1,GT$169&gt;SwaptionFirstMonthPosition+SwaptionNumOfMonths+1,$FJ176&gt;SwaptionFirstMonthPosition+SwaptionNumOfMonths+1),"",IF($FJ176=GT$169,1,IF($FJ176&lt;GT$169,INDEX($FK$170:$ID$241,GT$169,$FJ176),SUMPRODUCT(INDEX($FK$325:$ID$396,GT$169,1+SwaptionShift):INDEX($FK$325:$ID$396,GT$169,SwaptionMonthsToGo+SwaptionShift),INDEX($FK$245:$ID$316,$FJ176-GT$169,73-GT$169+SwaptionShift):INDEX($FK$245:$ID$316,$FJ176-GT$169,72-GT$169+SwaptionMonthsToGo+SwaptionShift))/SQRT(SUM(INDEX($FK331:$ID331,1+SwaptionShift):INDEX($FK331:$ID331,SwaptionMonthsToGo+SwaptionShift))*SUM(INDEX($FK$325:$ID$396,GT$169,1+SwaptionShift):INDEX($FK$325:$ID$396,GT$169,SwaptionMonthsToGo+SwaptionShift))))))</f>
        <v/>
      </c>
      <c r="GU176" s="479" t="str">
        <f ca="1">IF(OR(GU$169&lt;SwaptionFirstMonthPosition+1,$FJ176&lt;SwaptionFirstMonthPosition+1,GU$169&gt;SwaptionFirstMonthPosition+SwaptionNumOfMonths+1,$FJ176&gt;SwaptionFirstMonthPosition+SwaptionNumOfMonths+1),"",IF($FJ176=GU$169,1,IF($FJ176&lt;GU$169,INDEX($FK$170:$ID$241,GU$169,$FJ176),SUMPRODUCT(INDEX($FK$325:$ID$396,GU$169,1+SwaptionShift):INDEX($FK$325:$ID$396,GU$169,SwaptionMonthsToGo+SwaptionShift),INDEX($FK$245:$ID$316,$FJ176-GU$169,73-GU$169+SwaptionShift):INDEX($FK$245:$ID$316,$FJ176-GU$169,72-GU$169+SwaptionMonthsToGo+SwaptionShift))/SQRT(SUM(INDEX($FK331:$ID331,1+SwaptionShift):INDEX($FK331:$ID331,SwaptionMonthsToGo+SwaptionShift))*SUM(INDEX($FK$325:$ID$396,GU$169,1+SwaptionShift):INDEX($FK$325:$ID$396,GU$169,SwaptionMonthsToGo+SwaptionShift))))))</f>
        <v/>
      </c>
      <c r="GV176" s="479" t="str">
        <f ca="1">IF(OR(GV$169&lt;SwaptionFirstMonthPosition+1,$FJ176&lt;SwaptionFirstMonthPosition+1,GV$169&gt;SwaptionFirstMonthPosition+SwaptionNumOfMonths+1,$FJ176&gt;SwaptionFirstMonthPosition+SwaptionNumOfMonths+1),"",IF($FJ176=GV$169,1,IF($FJ176&lt;GV$169,INDEX($FK$170:$ID$241,GV$169,$FJ176),SUMPRODUCT(INDEX($FK$325:$ID$396,GV$169,1+SwaptionShift):INDEX($FK$325:$ID$396,GV$169,SwaptionMonthsToGo+SwaptionShift),INDEX($FK$245:$ID$316,$FJ176-GV$169,73-GV$169+SwaptionShift):INDEX($FK$245:$ID$316,$FJ176-GV$169,72-GV$169+SwaptionMonthsToGo+SwaptionShift))/SQRT(SUM(INDEX($FK331:$ID331,1+SwaptionShift):INDEX($FK331:$ID331,SwaptionMonthsToGo+SwaptionShift))*SUM(INDEX($FK$325:$ID$396,GV$169,1+SwaptionShift):INDEX($FK$325:$ID$396,GV$169,SwaptionMonthsToGo+SwaptionShift))))))</f>
        <v/>
      </c>
      <c r="GW176" s="479" t="str">
        <f ca="1">IF(OR(GW$169&lt;SwaptionFirstMonthPosition+1,$FJ176&lt;SwaptionFirstMonthPosition+1,GW$169&gt;SwaptionFirstMonthPosition+SwaptionNumOfMonths+1,$FJ176&gt;SwaptionFirstMonthPosition+SwaptionNumOfMonths+1),"",IF($FJ176=GW$169,1,IF($FJ176&lt;GW$169,INDEX($FK$170:$ID$241,GW$169,$FJ176),SUMPRODUCT(INDEX($FK$325:$ID$396,GW$169,1+SwaptionShift):INDEX($FK$325:$ID$396,GW$169,SwaptionMonthsToGo+SwaptionShift),INDEX($FK$245:$ID$316,$FJ176-GW$169,73-GW$169+SwaptionShift):INDEX($FK$245:$ID$316,$FJ176-GW$169,72-GW$169+SwaptionMonthsToGo+SwaptionShift))/SQRT(SUM(INDEX($FK331:$ID331,1+SwaptionShift):INDEX($FK331:$ID331,SwaptionMonthsToGo+SwaptionShift))*SUM(INDEX($FK$325:$ID$396,GW$169,1+SwaptionShift):INDEX($FK$325:$ID$396,GW$169,SwaptionMonthsToGo+SwaptionShift))))))</f>
        <v/>
      </c>
      <c r="GX176" s="479" t="str">
        <f ca="1">IF(OR(GX$169&lt;SwaptionFirstMonthPosition+1,$FJ176&lt;SwaptionFirstMonthPosition+1,GX$169&gt;SwaptionFirstMonthPosition+SwaptionNumOfMonths+1,$FJ176&gt;SwaptionFirstMonthPosition+SwaptionNumOfMonths+1),"",IF($FJ176=GX$169,1,IF($FJ176&lt;GX$169,INDEX($FK$170:$ID$241,GX$169,$FJ176),SUMPRODUCT(INDEX($FK$325:$ID$396,GX$169,1+SwaptionShift):INDEX($FK$325:$ID$396,GX$169,SwaptionMonthsToGo+SwaptionShift),INDEX($FK$245:$ID$316,$FJ176-GX$169,73-GX$169+SwaptionShift):INDEX($FK$245:$ID$316,$FJ176-GX$169,72-GX$169+SwaptionMonthsToGo+SwaptionShift))/SQRT(SUM(INDEX($FK331:$ID331,1+SwaptionShift):INDEX($FK331:$ID331,SwaptionMonthsToGo+SwaptionShift))*SUM(INDEX($FK$325:$ID$396,GX$169,1+SwaptionShift):INDEX($FK$325:$ID$396,GX$169,SwaptionMonthsToGo+SwaptionShift))))))</f>
        <v/>
      </c>
      <c r="GY176" s="479" t="str">
        <f ca="1">IF(OR(GY$169&lt;SwaptionFirstMonthPosition+1,$FJ176&lt;SwaptionFirstMonthPosition+1,GY$169&gt;SwaptionFirstMonthPosition+SwaptionNumOfMonths+1,$FJ176&gt;SwaptionFirstMonthPosition+SwaptionNumOfMonths+1),"",IF($FJ176=GY$169,1,IF($FJ176&lt;GY$169,INDEX($FK$170:$ID$241,GY$169,$FJ176),SUMPRODUCT(INDEX($FK$325:$ID$396,GY$169,1+SwaptionShift):INDEX($FK$325:$ID$396,GY$169,SwaptionMonthsToGo+SwaptionShift),INDEX($FK$245:$ID$316,$FJ176-GY$169,73-GY$169+SwaptionShift):INDEX($FK$245:$ID$316,$FJ176-GY$169,72-GY$169+SwaptionMonthsToGo+SwaptionShift))/SQRT(SUM(INDEX($FK331:$ID331,1+SwaptionShift):INDEX($FK331:$ID331,SwaptionMonthsToGo+SwaptionShift))*SUM(INDEX($FK$325:$ID$396,GY$169,1+SwaptionShift):INDEX($FK$325:$ID$396,GY$169,SwaptionMonthsToGo+SwaptionShift))))))</f>
        <v/>
      </c>
      <c r="GZ176" s="479" t="str">
        <f ca="1">IF(OR(GZ$169&lt;SwaptionFirstMonthPosition+1,$FJ176&lt;SwaptionFirstMonthPosition+1,GZ$169&gt;SwaptionFirstMonthPosition+SwaptionNumOfMonths+1,$FJ176&gt;SwaptionFirstMonthPosition+SwaptionNumOfMonths+1),"",IF($FJ176=GZ$169,1,IF($FJ176&lt;GZ$169,INDEX($FK$170:$ID$241,GZ$169,$FJ176),SUMPRODUCT(INDEX($FK$325:$ID$396,GZ$169,1+SwaptionShift):INDEX($FK$325:$ID$396,GZ$169,SwaptionMonthsToGo+SwaptionShift),INDEX($FK$245:$ID$316,$FJ176-GZ$169,73-GZ$169+SwaptionShift):INDEX($FK$245:$ID$316,$FJ176-GZ$169,72-GZ$169+SwaptionMonthsToGo+SwaptionShift))/SQRT(SUM(INDEX($FK331:$ID331,1+SwaptionShift):INDEX($FK331:$ID331,SwaptionMonthsToGo+SwaptionShift))*SUM(INDEX($FK$325:$ID$396,GZ$169,1+SwaptionShift):INDEX($FK$325:$ID$396,GZ$169,SwaptionMonthsToGo+SwaptionShift))))))</f>
        <v/>
      </c>
      <c r="HA176" s="479" t="str">
        <f ca="1">IF(OR(HA$169&lt;SwaptionFirstMonthPosition+1,$FJ176&lt;SwaptionFirstMonthPosition+1,HA$169&gt;SwaptionFirstMonthPosition+SwaptionNumOfMonths+1,$FJ176&gt;SwaptionFirstMonthPosition+SwaptionNumOfMonths+1),"",IF($FJ176=HA$169,1,IF($FJ176&lt;HA$169,INDEX($FK$170:$ID$241,HA$169,$FJ176),SUMPRODUCT(INDEX($FK$325:$ID$396,HA$169,1+SwaptionShift):INDEX($FK$325:$ID$396,HA$169,SwaptionMonthsToGo+SwaptionShift),INDEX($FK$245:$ID$316,$FJ176-HA$169,73-HA$169+SwaptionShift):INDEX($FK$245:$ID$316,$FJ176-HA$169,72-HA$169+SwaptionMonthsToGo+SwaptionShift))/SQRT(SUM(INDEX($FK331:$ID331,1+SwaptionShift):INDEX($FK331:$ID331,SwaptionMonthsToGo+SwaptionShift))*SUM(INDEX($FK$325:$ID$396,HA$169,1+SwaptionShift):INDEX($FK$325:$ID$396,HA$169,SwaptionMonthsToGo+SwaptionShift))))))</f>
        <v/>
      </c>
      <c r="HB176" s="479" t="str">
        <f ca="1">IF(OR(HB$169&lt;SwaptionFirstMonthPosition+1,$FJ176&lt;SwaptionFirstMonthPosition+1,HB$169&gt;SwaptionFirstMonthPosition+SwaptionNumOfMonths+1,$FJ176&gt;SwaptionFirstMonthPosition+SwaptionNumOfMonths+1),"",IF($FJ176=HB$169,1,IF($FJ176&lt;HB$169,INDEX($FK$170:$ID$241,HB$169,$FJ176),SUMPRODUCT(INDEX($FK$325:$ID$396,HB$169,1+SwaptionShift):INDEX($FK$325:$ID$396,HB$169,SwaptionMonthsToGo+SwaptionShift),INDEX($FK$245:$ID$316,$FJ176-HB$169,73-HB$169+SwaptionShift):INDEX($FK$245:$ID$316,$FJ176-HB$169,72-HB$169+SwaptionMonthsToGo+SwaptionShift))/SQRT(SUM(INDEX($FK331:$ID331,1+SwaptionShift):INDEX($FK331:$ID331,SwaptionMonthsToGo+SwaptionShift))*SUM(INDEX($FK$325:$ID$396,HB$169,1+SwaptionShift):INDEX($FK$325:$ID$396,HB$169,SwaptionMonthsToGo+SwaptionShift))))))</f>
        <v/>
      </c>
      <c r="HC176" s="479" t="str">
        <f ca="1">IF(OR(HC$169&lt;SwaptionFirstMonthPosition+1,$FJ176&lt;SwaptionFirstMonthPosition+1,HC$169&gt;SwaptionFirstMonthPosition+SwaptionNumOfMonths+1,$FJ176&gt;SwaptionFirstMonthPosition+SwaptionNumOfMonths+1),"",IF($FJ176=HC$169,1,IF($FJ176&lt;HC$169,INDEX($FK$170:$ID$241,HC$169,$FJ176),SUMPRODUCT(INDEX($FK$325:$ID$396,HC$169,1+SwaptionShift):INDEX($FK$325:$ID$396,HC$169,SwaptionMonthsToGo+SwaptionShift),INDEX($FK$245:$ID$316,$FJ176-HC$169,73-HC$169+SwaptionShift):INDEX($FK$245:$ID$316,$FJ176-HC$169,72-HC$169+SwaptionMonthsToGo+SwaptionShift))/SQRT(SUM(INDEX($FK331:$ID331,1+SwaptionShift):INDEX($FK331:$ID331,SwaptionMonthsToGo+SwaptionShift))*SUM(INDEX($FK$325:$ID$396,HC$169,1+SwaptionShift):INDEX($FK$325:$ID$396,HC$169,SwaptionMonthsToGo+SwaptionShift))))))</f>
        <v/>
      </c>
      <c r="HD176" s="479" t="str">
        <f ca="1">IF(OR(HD$169&lt;SwaptionFirstMonthPosition+1,$FJ176&lt;SwaptionFirstMonthPosition+1,HD$169&gt;SwaptionFirstMonthPosition+SwaptionNumOfMonths+1,$FJ176&gt;SwaptionFirstMonthPosition+SwaptionNumOfMonths+1),"",IF($FJ176=HD$169,1,IF($FJ176&lt;HD$169,INDEX($FK$170:$ID$241,HD$169,$FJ176),SUMPRODUCT(INDEX($FK$325:$ID$396,HD$169,1+SwaptionShift):INDEX($FK$325:$ID$396,HD$169,SwaptionMonthsToGo+SwaptionShift),INDEX($FK$245:$ID$316,$FJ176-HD$169,73-HD$169+SwaptionShift):INDEX($FK$245:$ID$316,$FJ176-HD$169,72-HD$169+SwaptionMonthsToGo+SwaptionShift))/SQRT(SUM(INDEX($FK331:$ID331,1+SwaptionShift):INDEX($FK331:$ID331,SwaptionMonthsToGo+SwaptionShift))*SUM(INDEX($FK$325:$ID$396,HD$169,1+SwaptionShift):INDEX($FK$325:$ID$396,HD$169,SwaptionMonthsToGo+SwaptionShift))))))</f>
        <v/>
      </c>
      <c r="HE176" s="479" t="str">
        <f ca="1">IF(OR(HE$169&lt;SwaptionFirstMonthPosition+1,$FJ176&lt;SwaptionFirstMonthPosition+1,HE$169&gt;SwaptionFirstMonthPosition+SwaptionNumOfMonths+1,$FJ176&gt;SwaptionFirstMonthPosition+SwaptionNumOfMonths+1),"",IF($FJ176=HE$169,1,IF($FJ176&lt;HE$169,INDEX($FK$170:$ID$241,HE$169,$FJ176),SUMPRODUCT(INDEX($FK$325:$ID$396,HE$169,1+SwaptionShift):INDEX($FK$325:$ID$396,HE$169,SwaptionMonthsToGo+SwaptionShift),INDEX($FK$245:$ID$316,$FJ176-HE$169,73-HE$169+SwaptionShift):INDEX($FK$245:$ID$316,$FJ176-HE$169,72-HE$169+SwaptionMonthsToGo+SwaptionShift))/SQRT(SUM(INDEX($FK331:$ID331,1+SwaptionShift):INDEX($FK331:$ID331,SwaptionMonthsToGo+SwaptionShift))*SUM(INDEX($FK$325:$ID$396,HE$169,1+SwaptionShift):INDEX($FK$325:$ID$396,HE$169,SwaptionMonthsToGo+SwaptionShift))))))</f>
        <v/>
      </c>
      <c r="HF176" s="479" t="str">
        <f ca="1">IF(OR(HF$169&lt;SwaptionFirstMonthPosition+1,$FJ176&lt;SwaptionFirstMonthPosition+1,HF$169&gt;SwaptionFirstMonthPosition+SwaptionNumOfMonths+1,$FJ176&gt;SwaptionFirstMonthPosition+SwaptionNumOfMonths+1),"",IF($FJ176=HF$169,1,IF($FJ176&lt;HF$169,INDEX($FK$170:$ID$241,HF$169,$FJ176),SUMPRODUCT(INDEX($FK$325:$ID$396,HF$169,1+SwaptionShift):INDEX($FK$325:$ID$396,HF$169,SwaptionMonthsToGo+SwaptionShift),INDEX($FK$245:$ID$316,$FJ176-HF$169,73-HF$169+SwaptionShift):INDEX($FK$245:$ID$316,$FJ176-HF$169,72-HF$169+SwaptionMonthsToGo+SwaptionShift))/SQRT(SUM(INDEX($FK331:$ID331,1+SwaptionShift):INDEX($FK331:$ID331,SwaptionMonthsToGo+SwaptionShift))*SUM(INDEX($FK$325:$ID$396,HF$169,1+SwaptionShift):INDEX($FK$325:$ID$396,HF$169,SwaptionMonthsToGo+SwaptionShift))))))</f>
        <v/>
      </c>
      <c r="HG176" s="479" t="str">
        <f ca="1">IF(OR(HG$169&lt;SwaptionFirstMonthPosition+1,$FJ176&lt;SwaptionFirstMonthPosition+1,HG$169&gt;SwaptionFirstMonthPosition+SwaptionNumOfMonths+1,$FJ176&gt;SwaptionFirstMonthPosition+SwaptionNumOfMonths+1),"",IF($FJ176=HG$169,1,IF($FJ176&lt;HG$169,INDEX($FK$170:$ID$241,HG$169,$FJ176),SUMPRODUCT(INDEX($FK$325:$ID$396,HG$169,1+SwaptionShift):INDEX($FK$325:$ID$396,HG$169,SwaptionMonthsToGo+SwaptionShift),INDEX($FK$245:$ID$316,$FJ176-HG$169,73-HG$169+SwaptionShift):INDEX($FK$245:$ID$316,$FJ176-HG$169,72-HG$169+SwaptionMonthsToGo+SwaptionShift))/SQRT(SUM(INDEX($FK331:$ID331,1+SwaptionShift):INDEX($FK331:$ID331,SwaptionMonthsToGo+SwaptionShift))*SUM(INDEX($FK$325:$ID$396,HG$169,1+SwaptionShift):INDEX($FK$325:$ID$396,HG$169,SwaptionMonthsToGo+SwaptionShift))))))</f>
        <v/>
      </c>
      <c r="HH176" s="479" t="str">
        <f ca="1">IF(OR(HH$169&lt;SwaptionFirstMonthPosition+1,$FJ176&lt;SwaptionFirstMonthPosition+1,HH$169&gt;SwaptionFirstMonthPosition+SwaptionNumOfMonths+1,$FJ176&gt;SwaptionFirstMonthPosition+SwaptionNumOfMonths+1),"",IF($FJ176=HH$169,1,IF($FJ176&lt;HH$169,INDEX($FK$170:$ID$241,HH$169,$FJ176),SUMPRODUCT(INDEX($FK$325:$ID$396,HH$169,1+SwaptionShift):INDEX($FK$325:$ID$396,HH$169,SwaptionMonthsToGo+SwaptionShift),INDEX($FK$245:$ID$316,$FJ176-HH$169,73-HH$169+SwaptionShift):INDEX($FK$245:$ID$316,$FJ176-HH$169,72-HH$169+SwaptionMonthsToGo+SwaptionShift))/SQRT(SUM(INDEX($FK331:$ID331,1+SwaptionShift):INDEX($FK331:$ID331,SwaptionMonthsToGo+SwaptionShift))*SUM(INDEX($FK$325:$ID$396,HH$169,1+SwaptionShift):INDEX($FK$325:$ID$396,HH$169,SwaptionMonthsToGo+SwaptionShift))))))</f>
        <v/>
      </c>
      <c r="HI176" s="479" t="str">
        <f ca="1">IF(OR(HI$169&lt;SwaptionFirstMonthPosition+1,$FJ176&lt;SwaptionFirstMonthPosition+1,HI$169&gt;SwaptionFirstMonthPosition+SwaptionNumOfMonths+1,$FJ176&gt;SwaptionFirstMonthPosition+SwaptionNumOfMonths+1),"",IF($FJ176=HI$169,1,IF($FJ176&lt;HI$169,INDEX($FK$170:$ID$241,HI$169,$FJ176),SUMPRODUCT(INDEX($FK$325:$ID$396,HI$169,1+SwaptionShift):INDEX($FK$325:$ID$396,HI$169,SwaptionMonthsToGo+SwaptionShift),INDEX($FK$245:$ID$316,$FJ176-HI$169,73-HI$169+SwaptionShift):INDEX($FK$245:$ID$316,$FJ176-HI$169,72-HI$169+SwaptionMonthsToGo+SwaptionShift))/SQRT(SUM(INDEX($FK331:$ID331,1+SwaptionShift):INDEX($FK331:$ID331,SwaptionMonthsToGo+SwaptionShift))*SUM(INDEX($FK$325:$ID$396,HI$169,1+SwaptionShift):INDEX($FK$325:$ID$396,HI$169,SwaptionMonthsToGo+SwaptionShift))))))</f>
        <v/>
      </c>
      <c r="HJ176" s="479" t="str">
        <f ca="1">IF(OR(HJ$169&lt;SwaptionFirstMonthPosition+1,$FJ176&lt;SwaptionFirstMonthPosition+1,HJ$169&gt;SwaptionFirstMonthPosition+SwaptionNumOfMonths+1,$FJ176&gt;SwaptionFirstMonthPosition+SwaptionNumOfMonths+1),"",IF($FJ176=HJ$169,1,IF($FJ176&lt;HJ$169,INDEX($FK$170:$ID$241,HJ$169,$FJ176),SUMPRODUCT(INDEX($FK$325:$ID$396,HJ$169,1+SwaptionShift):INDEX($FK$325:$ID$396,HJ$169,SwaptionMonthsToGo+SwaptionShift),INDEX($FK$245:$ID$316,$FJ176-HJ$169,73-HJ$169+SwaptionShift):INDEX($FK$245:$ID$316,$FJ176-HJ$169,72-HJ$169+SwaptionMonthsToGo+SwaptionShift))/SQRT(SUM(INDEX($FK331:$ID331,1+SwaptionShift):INDEX($FK331:$ID331,SwaptionMonthsToGo+SwaptionShift))*SUM(INDEX($FK$325:$ID$396,HJ$169,1+SwaptionShift):INDEX($FK$325:$ID$396,HJ$169,SwaptionMonthsToGo+SwaptionShift))))))</f>
        <v/>
      </c>
      <c r="HK176" s="479" t="str">
        <f ca="1">IF(OR(HK$169&lt;SwaptionFirstMonthPosition+1,$FJ176&lt;SwaptionFirstMonthPosition+1,HK$169&gt;SwaptionFirstMonthPosition+SwaptionNumOfMonths+1,$FJ176&gt;SwaptionFirstMonthPosition+SwaptionNumOfMonths+1),"",IF($FJ176=HK$169,1,IF($FJ176&lt;HK$169,INDEX($FK$170:$ID$241,HK$169,$FJ176),SUMPRODUCT(INDEX($FK$325:$ID$396,HK$169,1+SwaptionShift):INDEX($FK$325:$ID$396,HK$169,SwaptionMonthsToGo+SwaptionShift),INDEX($FK$245:$ID$316,$FJ176-HK$169,73-HK$169+SwaptionShift):INDEX($FK$245:$ID$316,$FJ176-HK$169,72-HK$169+SwaptionMonthsToGo+SwaptionShift))/SQRT(SUM(INDEX($FK331:$ID331,1+SwaptionShift):INDEX($FK331:$ID331,SwaptionMonthsToGo+SwaptionShift))*SUM(INDEX($FK$325:$ID$396,HK$169,1+SwaptionShift):INDEX($FK$325:$ID$396,HK$169,SwaptionMonthsToGo+SwaptionShift))))))</f>
        <v/>
      </c>
      <c r="HL176" s="479" t="str">
        <f ca="1">IF(OR(HL$169&lt;SwaptionFirstMonthPosition+1,$FJ176&lt;SwaptionFirstMonthPosition+1,HL$169&gt;SwaptionFirstMonthPosition+SwaptionNumOfMonths+1,$FJ176&gt;SwaptionFirstMonthPosition+SwaptionNumOfMonths+1),"",IF($FJ176=HL$169,1,IF($FJ176&lt;HL$169,INDEX($FK$170:$ID$241,HL$169,$FJ176),SUMPRODUCT(INDEX($FK$325:$ID$396,HL$169,1+SwaptionShift):INDEX($FK$325:$ID$396,HL$169,SwaptionMonthsToGo+SwaptionShift),INDEX($FK$245:$ID$316,$FJ176-HL$169,73-HL$169+SwaptionShift):INDEX($FK$245:$ID$316,$FJ176-HL$169,72-HL$169+SwaptionMonthsToGo+SwaptionShift))/SQRT(SUM(INDEX($FK331:$ID331,1+SwaptionShift):INDEX($FK331:$ID331,SwaptionMonthsToGo+SwaptionShift))*SUM(INDEX($FK$325:$ID$396,HL$169,1+SwaptionShift):INDEX($FK$325:$ID$396,HL$169,SwaptionMonthsToGo+SwaptionShift))))))</f>
        <v/>
      </c>
      <c r="HM176" s="479" t="str">
        <f ca="1">IF(OR(HM$169&lt;SwaptionFirstMonthPosition+1,$FJ176&lt;SwaptionFirstMonthPosition+1,HM$169&gt;SwaptionFirstMonthPosition+SwaptionNumOfMonths+1,$FJ176&gt;SwaptionFirstMonthPosition+SwaptionNumOfMonths+1),"",IF($FJ176=HM$169,1,IF($FJ176&lt;HM$169,INDEX($FK$170:$ID$241,HM$169,$FJ176),SUMPRODUCT(INDEX($FK$325:$ID$396,HM$169,1+SwaptionShift):INDEX($FK$325:$ID$396,HM$169,SwaptionMonthsToGo+SwaptionShift),INDEX($FK$245:$ID$316,$FJ176-HM$169,73-HM$169+SwaptionShift):INDEX($FK$245:$ID$316,$FJ176-HM$169,72-HM$169+SwaptionMonthsToGo+SwaptionShift))/SQRT(SUM(INDEX($FK331:$ID331,1+SwaptionShift):INDEX($FK331:$ID331,SwaptionMonthsToGo+SwaptionShift))*SUM(INDEX($FK$325:$ID$396,HM$169,1+SwaptionShift):INDEX($FK$325:$ID$396,HM$169,SwaptionMonthsToGo+SwaptionShift))))))</f>
        <v/>
      </c>
      <c r="HN176" s="479" t="str">
        <f ca="1">IF(OR(HN$169&lt;SwaptionFirstMonthPosition+1,$FJ176&lt;SwaptionFirstMonthPosition+1,HN$169&gt;SwaptionFirstMonthPosition+SwaptionNumOfMonths+1,$FJ176&gt;SwaptionFirstMonthPosition+SwaptionNumOfMonths+1),"",IF($FJ176=HN$169,1,IF($FJ176&lt;HN$169,INDEX($FK$170:$ID$241,HN$169,$FJ176),SUMPRODUCT(INDEX($FK$325:$ID$396,HN$169,1+SwaptionShift):INDEX($FK$325:$ID$396,HN$169,SwaptionMonthsToGo+SwaptionShift),INDEX($FK$245:$ID$316,$FJ176-HN$169,73-HN$169+SwaptionShift):INDEX($FK$245:$ID$316,$FJ176-HN$169,72-HN$169+SwaptionMonthsToGo+SwaptionShift))/SQRT(SUM(INDEX($FK331:$ID331,1+SwaptionShift):INDEX($FK331:$ID331,SwaptionMonthsToGo+SwaptionShift))*SUM(INDEX($FK$325:$ID$396,HN$169,1+SwaptionShift):INDEX($FK$325:$ID$396,HN$169,SwaptionMonthsToGo+SwaptionShift))))))</f>
        <v/>
      </c>
      <c r="HO176" s="479" t="str">
        <f ca="1">IF(OR(HO$169&lt;SwaptionFirstMonthPosition+1,$FJ176&lt;SwaptionFirstMonthPosition+1,HO$169&gt;SwaptionFirstMonthPosition+SwaptionNumOfMonths+1,$FJ176&gt;SwaptionFirstMonthPosition+SwaptionNumOfMonths+1),"",IF($FJ176=HO$169,1,IF($FJ176&lt;HO$169,INDEX($FK$170:$ID$241,HO$169,$FJ176),SUMPRODUCT(INDEX($FK$325:$ID$396,HO$169,1+SwaptionShift):INDEX($FK$325:$ID$396,HO$169,SwaptionMonthsToGo+SwaptionShift),INDEX($FK$245:$ID$316,$FJ176-HO$169,73-HO$169+SwaptionShift):INDEX($FK$245:$ID$316,$FJ176-HO$169,72-HO$169+SwaptionMonthsToGo+SwaptionShift))/SQRT(SUM(INDEX($FK331:$ID331,1+SwaptionShift):INDEX($FK331:$ID331,SwaptionMonthsToGo+SwaptionShift))*SUM(INDEX($FK$325:$ID$396,HO$169,1+SwaptionShift):INDEX($FK$325:$ID$396,HO$169,SwaptionMonthsToGo+SwaptionShift))))))</f>
        <v/>
      </c>
      <c r="HP176" s="479" t="str">
        <f ca="1">IF(OR(HP$169&lt;SwaptionFirstMonthPosition+1,$FJ176&lt;SwaptionFirstMonthPosition+1,HP$169&gt;SwaptionFirstMonthPosition+SwaptionNumOfMonths+1,$FJ176&gt;SwaptionFirstMonthPosition+SwaptionNumOfMonths+1),"",IF($FJ176=HP$169,1,IF($FJ176&lt;HP$169,INDEX($FK$170:$ID$241,HP$169,$FJ176),SUMPRODUCT(INDEX($FK$325:$ID$396,HP$169,1+SwaptionShift):INDEX($FK$325:$ID$396,HP$169,SwaptionMonthsToGo+SwaptionShift),INDEX($FK$245:$ID$316,$FJ176-HP$169,73-HP$169+SwaptionShift):INDEX($FK$245:$ID$316,$FJ176-HP$169,72-HP$169+SwaptionMonthsToGo+SwaptionShift))/SQRT(SUM(INDEX($FK331:$ID331,1+SwaptionShift):INDEX($FK331:$ID331,SwaptionMonthsToGo+SwaptionShift))*SUM(INDEX($FK$325:$ID$396,HP$169,1+SwaptionShift):INDEX($FK$325:$ID$396,HP$169,SwaptionMonthsToGo+SwaptionShift))))))</f>
        <v/>
      </c>
      <c r="HQ176" s="479" t="str">
        <f ca="1">IF(OR(HQ$169&lt;SwaptionFirstMonthPosition+1,$FJ176&lt;SwaptionFirstMonthPosition+1,HQ$169&gt;SwaptionFirstMonthPosition+SwaptionNumOfMonths+1,$FJ176&gt;SwaptionFirstMonthPosition+SwaptionNumOfMonths+1),"",IF($FJ176=HQ$169,1,IF($FJ176&lt;HQ$169,INDEX($FK$170:$ID$241,HQ$169,$FJ176),SUMPRODUCT(INDEX($FK$325:$ID$396,HQ$169,1+SwaptionShift):INDEX($FK$325:$ID$396,HQ$169,SwaptionMonthsToGo+SwaptionShift),INDEX($FK$245:$ID$316,$FJ176-HQ$169,73-HQ$169+SwaptionShift):INDEX($FK$245:$ID$316,$FJ176-HQ$169,72-HQ$169+SwaptionMonthsToGo+SwaptionShift))/SQRT(SUM(INDEX($FK331:$ID331,1+SwaptionShift):INDEX($FK331:$ID331,SwaptionMonthsToGo+SwaptionShift))*SUM(INDEX($FK$325:$ID$396,HQ$169,1+SwaptionShift):INDEX($FK$325:$ID$396,HQ$169,SwaptionMonthsToGo+SwaptionShift))))))</f>
        <v/>
      </c>
      <c r="HR176" s="479" t="str">
        <f ca="1">IF(OR(HR$169&lt;SwaptionFirstMonthPosition+1,$FJ176&lt;SwaptionFirstMonthPosition+1,HR$169&gt;SwaptionFirstMonthPosition+SwaptionNumOfMonths+1,$FJ176&gt;SwaptionFirstMonthPosition+SwaptionNumOfMonths+1),"",IF($FJ176=HR$169,1,IF($FJ176&lt;HR$169,INDEX($FK$170:$ID$241,HR$169,$FJ176),SUMPRODUCT(INDEX($FK$325:$ID$396,HR$169,1+SwaptionShift):INDEX($FK$325:$ID$396,HR$169,SwaptionMonthsToGo+SwaptionShift),INDEX($FK$245:$ID$316,$FJ176-HR$169,73-HR$169+SwaptionShift):INDEX($FK$245:$ID$316,$FJ176-HR$169,72-HR$169+SwaptionMonthsToGo+SwaptionShift))/SQRT(SUM(INDEX($FK331:$ID331,1+SwaptionShift):INDEX($FK331:$ID331,SwaptionMonthsToGo+SwaptionShift))*SUM(INDEX($FK$325:$ID$396,HR$169,1+SwaptionShift):INDEX($FK$325:$ID$396,HR$169,SwaptionMonthsToGo+SwaptionShift))))))</f>
        <v/>
      </c>
      <c r="HS176" s="479" t="str">
        <f ca="1">IF(OR(HS$169&lt;SwaptionFirstMonthPosition+1,$FJ176&lt;SwaptionFirstMonthPosition+1,HS$169&gt;SwaptionFirstMonthPosition+SwaptionNumOfMonths+1,$FJ176&gt;SwaptionFirstMonthPosition+SwaptionNumOfMonths+1),"",IF($FJ176=HS$169,1,IF($FJ176&lt;HS$169,INDEX($FK$170:$ID$241,HS$169,$FJ176),SUMPRODUCT(INDEX($FK$325:$ID$396,HS$169,1+SwaptionShift):INDEX($FK$325:$ID$396,HS$169,SwaptionMonthsToGo+SwaptionShift),INDEX($FK$245:$ID$316,$FJ176-HS$169,73-HS$169+SwaptionShift):INDEX($FK$245:$ID$316,$FJ176-HS$169,72-HS$169+SwaptionMonthsToGo+SwaptionShift))/SQRT(SUM(INDEX($FK331:$ID331,1+SwaptionShift):INDEX($FK331:$ID331,SwaptionMonthsToGo+SwaptionShift))*SUM(INDEX($FK$325:$ID$396,HS$169,1+SwaptionShift):INDEX($FK$325:$ID$396,HS$169,SwaptionMonthsToGo+SwaptionShift))))))</f>
        <v/>
      </c>
      <c r="HT176" s="479" t="str">
        <f ca="1">IF(OR(HT$169&lt;SwaptionFirstMonthPosition+1,$FJ176&lt;SwaptionFirstMonthPosition+1,HT$169&gt;SwaptionFirstMonthPosition+SwaptionNumOfMonths+1,$FJ176&gt;SwaptionFirstMonthPosition+SwaptionNumOfMonths+1),"",IF($FJ176=HT$169,1,IF($FJ176&lt;HT$169,INDEX($FK$170:$ID$241,HT$169,$FJ176),SUMPRODUCT(INDEX($FK$325:$ID$396,HT$169,1+SwaptionShift):INDEX($FK$325:$ID$396,HT$169,SwaptionMonthsToGo+SwaptionShift),INDEX($FK$245:$ID$316,$FJ176-HT$169,73-HT$169+SwaptionShift):INDEX($FK$245:$ID$316,$FJ176-HT$169,72-HT$169+SwaptionMonthsToGo+SwaptionShift))/SQRT(SUM(INDEX($FK331:$ID331,1+SwaptionShift):INDEX($FK331:$ID331,SwaptionMonthsToGo+SwaptionShift))*SUM(INDEX($FK$325:$ID$396,HT$169,1+SwaptionShift):INDEX($FK$325:$ID$396,HT$169,SwaptionMonthsToGo+SwaptionShift))))))</f>
        <v/>
      </c>
      <c r="HU176" s="479" t="str">
        <f ca="1">IF(OR(HU$169&lt;SwaptionFirstMonthPosition+1,$FJ176&lt;SwaptionFirstMonthPosition+1,HU$169&gt;SwaptionFirstMonthPosition+SwaptionNumOfMonths+1,$FJ176&gt;SwaptionFirstMonthPosition+SwaptionNumOfMonths+1),"",IF($FJ176=HU$169,1,IF($FJ176&lt;HU$169,INDEX($FK$170:$ID$241,HU$169,$FJ176),SUMPRODUCT(INDEX($FK$325:$ID$396,HU$169,1+SwaptionShift):INDEX($FK$325:$ID$396,HU$169,SwaptionMonthsToGo+SwaptionShift),INDEX($FK$245:$ID$316,$FJ176-HU$169,73-HU$169+SwaptionShift):INDEX($FK$245:$ID$316,$FJ176-HU$169,72-HU$169+SwaptionMonthsToGo+SwaptionShift))/SQRT(SUM(INDEX($FK331:$ID331,1+SwaptionShift):INDEX($FK331:$ID331,SwaptionMonthsToGo+SwaptionShift))*SUM(INDEX($FK$325:$ID$396,HU$169,1+SwaptionShift):INDEX($FK$325:$ID$396,HU$169,SwaptionMonthsToGo+SwaptionShift))))))</f>
        <v/>
      </c>
      <c r="HV176" s="479" t="str">
        <f ca="1">IF(OR(HV$169&lt;SwaptionFirstMonthPosition+1,$FJ176&lt;SwaptionFirstMonthPosition+1,HV$169&gt;SwaptionFirstMonthPosition+SwaptionNumOfMonths+1,$FJ176&gt;SwaptionFirstMonthPosition+SwaptionNumOfMonths+1),"",IF($FJ176=HV$169,1,IF($FJ176&lt;HV$169,INDEX($FK$170:$ID$241,HV$169,$FJ176),SUMPRODUCT(INDEX($FK$325:$ID$396,HV$169,1+SwaptionShift):INDEX($FK$325:$ID$396,HV$169,SwaptionMonthsToGo+SwaptionShift),INDEX($FK$245:$ID$316,$FJ176-HV$169,73-HV$169+SwaptionShift):INDEX($FK$245:$ID$316,$FJ176-HV$169,72-HV$169+SwaptionMonthsToGo+SwaptionShift))/SQRT(SUM(INDEX($FK331:$ID331,1+SwaptionShift):INDEX($FK331:$ID331,SwaptionMonthsToGo+SwaptionShift))*SUM(INDEX($FK$325:$ID$396,HV$169,1+SwaptionShift):INDEX($FK$325:$ID$396,HV$169,SwaptionMonthsToGo+SwaptionShift))))))</f>
        <v/>
      </c>
      <c r="HW176" s="479" t="str">
        <f ca="1">IF(OR(HW$169&lt;SwaptionFirstMonthPosition+1,$FJ176&lt;SwaptionFirstMonthPosition+1,HW$169&gt;SwaptionFirstMonthPosition+SwaptionNumOfMonths+1,$FJ176&gt;SwaptionFirstMonthPosition+SwaptionNumOfMonths+1),"",IF($FJ176=HW$169,1,IF($FJ176&lt;HW$169,INDEX($FK$170:$ID$241,HW$169,$FJ176),SUMPRODUCT(INDEX($FK$325:$ID$396,HW$169,1+SwaptionShift):INDEX($FK$325:$ID$396,HW$169,SwaptionMonthsToGo+SwaptionShift),INDEX($FK$245:$ID$316,$FJ176-HW$169,73-HW$169+SwaptionShift):INDEX($FK$245:$ID$316,$FJ176-HW$169,72-HW$169+SwaptionMonthsToGo+SwaptionShift))/SQRT(SUM(INDEX($FK331:$ID331,1+SwaptionShift):INDEX($FK331:$ID331,SwaptionMonthsToGo+SwaptionShift))*SUM(INDEX($FK$325:$ID$396,HW$169,1+SwaptionShift):INDEX($FK$325:$ID$396,HW$169,SwaptionMonthsToGo+SwaptionShift))))))</f>
        <v/>
      </c>
      <c r="HX176" s="479" t="str">
        <f ca="1">IF(OR(HX$169&lt;SwaptionFirstMonthPosition+1,$FJ176&lt;SwaptionFirstMonthPosition+1,HX$169&gt;SwaptionFirstMonthPosition+SwaptionNumOfMonths+1,$FJ176&gt;SwaptionFirstMonthPosition+SwaptionNumOfMonths+1),"",IF($FJ176=HX$169,1,IF($FJ176&lt;HX$169,INDEX($FK$170:$ID$241,HX$169,$FJ176),SUMPRODUCT(INDEX($FK$325:$ID$396,HX$169,1+SwaptionShift):INDEX($FK$325:$ID$396,HX$169,SwaptionMonthsToGo+SwaptionShift),INDEX($FK$245:$ID$316,$FJ176-HX$169,73-HX$169+SwaptionShift):INDEX($FK$245:$ID$316,$FJ176-HX$169,72-HX$169+SwaptionMonthsToGo+SwaptionShift))/SQRT(SUM(INDEX($FK331:$ID331,1+SwaptionShift):INDEX($FK331:$ID331,SwaptionMonthsToGo+SwaptionShift))*SUM(INDEX($FK$325:$ID$396,HX$169,1+SwaptionShift):INDEX($FK$325:$ID$396,HX$169,SwaptionMonthsToGo+SwaptionShift))))))</f>
        <v/>
      </c>
      <c r="HY176" s="479" t="str">
        <f ca="1">IF(OR(HY$169&lt;SwaptionFirstMonthPosition+1,$FJ176&lt;SwaptionFirstMonthPosition+1,HY$169&gt;SwaptionFirstMonthPosition+SwaptionNumOfMonths+1,$FJ176&gt;SwaptionFirstMonthPosition+SwaptionNumOfMonths+1),"",IF($FJ176=HY$169,1,IF($FJ176&lt;HY$169,INDEX($FK$170:$ID$241,HY$169,$FJ176),SUMPRODUCT(INDEX($FK$325:$ID$396,HY$169,1+SwaptionShift):INDEX($FK$325:$ID$396,HY$169,SwaptionMonthsToGo+SwaptionShift),INDEX($FK$245:$ID$316,$FJ176-HY$169,73-HY$169+SwaptionShift):INDEX($FK$245:$ID$316,$FJ176-HY$169,72-HY$169+SwaptionMonthsToGo+SwaptionShift))/SQRT(SUM(INDEX($FK331:$ID331,1+SwaptionShift):INDEX($FK331:$ID331,SwaptionMonthsToGo+SwaptionShift))*SUM(INDEX($FK$325:$ID$396,HY$169,1+SwaptionShift):INDEX($FK$325:$ID$396,HY$169,SwaptionMonthsToGo+SwaptionShift))))))</f>
        <v/>
      </c>
      <c r="HZ176" s="479" t="str">
        <f ca="1">IF(OR(HZ$169&lt;SwaptionFirstMonthPosition+1,$FJ176&lt;SwaptionFirstMonthPosition+1,HZ$169&gt;SwaptionFirstMonthPosition+SwaptionNumOfMonths+1,$FJ176&gt;SwaptionFirstMonthPosition+SwaptionNumOfMonths+1),"",IF($FJ176=HZ$169,1,IF($FJ176&lt;HZ$169,INDEX($FK$170:$ID$241,HZ$169,$FJ176),SUMPRODUCT(INDEX($FK$325:$ID$396,HZ$169,1+SwaptionShift):INDEX($FK$325:$ID$396,HZ$169,SwaptionMonthsToGo+SwaptionShift),INDEX($FK$245:$ID$316,$FJ176-HZ$169,73-HZ$169+SwaptionShift):INDEX($FK$245:$ID$316,$FJ176-HZ$169,72-HZ$169+SwaptionMonthsToGo+SwaptionShift))/SQRT(SUM(INDEX($FK331:$ID331,1+SwaptionShift):INDEX($FK331:$ID331,SwaptionMonthsToGo+SwaptionShift))*SUM(INDEX($FK$325:$ID$396,HZ$169,1+SwaptionShift):INDEX($FK$325:$ID$396,HZ$169,SwaptionMonthsToGo+SwaptionShift))))))</f>
        <v/>
      </c>
      <c r="IA176" s="479" t="str">
        <f ca="1">IF(OR(IA$169&lt;SwaptionFirstMonthPosition+1,$FJ176&lt;SwaptionFirstMonthPosition+1,IA$169&gt;SwaptionFirstMonthPosition+SwaptionNumOfMonths+1,$FJ176&gt;SwaptionFirstMonthPosition+SwaptionNumOfMonths+1),"",IF($FJ176=IA$169,1,IF($FJ176&lt;IA$169,INDEX($FK$170:$ID$241,IA$169,$FJ176),SUMPRODUCT(INDEX($FK$325:$ID$396,IA$169,1+SwaptionShift):INDEX($FK$325:$ID$396,IA$169,SwaptionMonthsToGo+SwaptionShift),INDEX($FK$245:$ID$316,$FJ176-IA$169,73-IA$169+SwaptionShift):INDEX($FK$245:$ID$316,$FJ176-IA$169,72-IA$169+SwaptionMonthsToGo+SwaptionShift))/SQRT(SUM(INDEX($FK331:$ID331,1+SwaptionShift):INDEX($FK331:$ID331,SwaptionMonthsToGo+SwaptionShift))*SUM(INDEX($FK$325:$ID$396,IA$169,1+SwaptionShift):INDEX($FK$325:$ID$396,IA$169,SwaptionMonthsToGo+SwaptionShift))))))</f>
        <v/>
      </c>
      <c r="IB176" s="479" t="str">
        <f ca="1">IF(OR(IB$169&lt;SwaptionFirstMonthPosition+1,$FJ176&lt;SwaptionFirstMonthPosition+1,IB$169&gt;SwaptionFirstMonthPosition+SwaptionNumOfMonths+1,$FJ176&gt;SwaptionFirstMonthPosition+SwaptionNumOfMonths+1),"",IF($FJ176=IB$169,1,IF($FJ176&lt;IB$169,INDEX($FK$170:$ID$241,IB$169,$FJ176),SUMPRODUCT(INDEX($FK$325:$ID$396,IB$169,1+SwaptionShift):INDEX($FK$325:$ID$396,IB$169,SwaptionMonthsToGo+SwaptionShift),INDEX($FK$245:$ID$316,$FJ176-IB$169,73-IB$169+SwaptionShift):INDEX($FK$245:$ID$316,$FJ176-IB$169,72-IB$169+SwaptionMonthsToGo+SwaptionShift))/SQRT(SUM(INDEX($FK331:$ID331,1+SwaptionShift):INDEX($FK331:$ID331,SwaptionMonthsToGo+SwaptionShift))*SUM(INDEX($FK$325:$ID$396,IB$169,1+SwaptionShift):INDEX($FK$325:$ID$396,IB$169,SwaptionMonthsToGo+SwaptionShift))))))</f>
        <v/>
      </c>
      <c r="IC176" s="479" t="str">
        <f ca="1">IF(OR(IC$169&lt;SwaptionFirstMonthPosition+1,$FJ176&lt;SwaptionFirstMonthPosition+1,IC$169&gt;SwaptionFirstMonthPosition+SwaptionNumOfMonths+1,$FJ176&gt;SwaptionFirstMonthPosition+SwaptionNumOfMonths+1),"",IF($FJ176=IC$169,1,IF($FJ176&lt;IC$169,INDEX($FK$170:$ID$241,IC$169,$FJ176),SUMPRODUCT(INDEX($FK$325:$ID$396,IC$169,1+SwaptionShift):INDEX($FK$325:$ID$396,IC$169,SwaptionMonthsToGo+SwaptionShift),INDEX($FK$245:$ID$316,$FJ176-IC$169,73-IC$169+SwaptionShift):INDEX($FK$245:$ID$316,$FJ176-IC$169,72-IC$169+SwaptionMonthsToGo+SwaptionShift))/SQRT(SUM(INDEX($FK331:$ID331,1+SwaptionShift):INDEX($FK331:$ID331,SwaptionMonthsToGo+SwaptionShift))*SUM(INDEX($FK$325:$ID$396,IC$169,1+SwaptionShift):INDEX($FK$325:$ID$396,IC$169,SwaptionMonthsToGo+SwaptionShift))))))</f>
        <v/>
      </c>
      <c r="ID176" s="678" t="str">
        <f ca="1">IF(OR(ID$169&lt;SwaptionFirstMonthPosition+1,$FJ176&lt;SwaptionFirstMonthPosition+1,ID$169&gt;SwaptionFirstMonthPosition+SwaptionNumOfMonths+1,$FJ176&gt;SwaptionFirstMonthPosition+SwaptionNumOfMonths+1),"",IF($FJ176=ID$169,1,IF($FJ176&lt;ID$169,INDEX($FK$170:$ID$241,ID$169,$FJ176),SUMPRODUCT(INDEX($FK$325:$ID$396,ID$169,1+SwaptionShift):INDEX($FK$325:$ID$396,ID$169,SwaptionMonthsToGo+SwaptionShift),INDEX($FK$245:$ID$316,$FJ176-ID$169,73-ID$169+SwaptionShift):INDEX($FK$245:$ID$316,$FJ176-ID$169,72-ID$169+SwaptionMonthsToGo+SwaptionShift))/SQRT(SUM(INDEX($FK331:$ID331,1+SwaptionShift):INDEX($FK331:$ID331,SwaptionMonthsToGo+SwaptionShift))*SUM(INDEX($FK$325:$ID$396,ID$169,1+SwaptionShift):INDEX($FK$325:$ID$396,ID$169,SwaptionMonthsToGo+SwaptionShift))))))</f>
        <v/>
      </c>
      <c r="IE176" s="250"/>
    </row>
    <row r="177" spans="8:239">
      <c r="H177" s="51">
        <f t="shared" ca="1" si="527"/>
        <v>0</v>
      </c>
      <c r="I177" s="379">
        <f t="shared" si="528"/>
        <v>41548</v>
      </c>
      <c r="J177" s="377"/>
      <c r="K177" s="104" t="s">
        <v>268</v>
      </c>
      <c r="L177" s="392">
        <f t="shared" si="529"/>
        <v>3.0375000000000045</v>
      </c>
      <c r="M177" s="171"/>
      <c r="N177" s="382">
        <v>0</v>
      </c>
      <c r="O177" s="171">
        <f t="shared" si="490"/>
        <v>0</v>
      </c>
      <c r="P177" s="377"/>
      <c r="Q177" s="104" t="s">
        <v>268</v>
      </c>
      <c r="R177" s="377">
        <f t="shared" ca="1" si="547"/>
        <v>1.6890895539663908</v>
      </c>
      <c r="S177" s="832">
        <f t="shared" si="564"/>
        <v>0.3600000000000001</v>
      </c>
      <c r="T177" s="831">
        <f t="shared" si="548"/>
        <v>0.9999999999976602</v>
      </c>
      <c r="U177" s="545">
        <f t="shared" si="549"/>
        <v>0.99999999999999978</v>
      </c>
      <c r="V177" s="389">
        <v>0</v>
      </c>
      <c r="W177" s="434">
        <f t="shared" si="491"/>
        <v>0</v>
      </c>
      <c r="X177" s="415">
        <f t="shared" si="492"/>
        <v>3.0896739130434834</v>
      </c>
      <c r="Y177" s="322">
        <f t="shared" si="493"/>
        <v>-1.1931</v>
      </c>
      <c r="Z177" s="322">
        <f t="shared" ca="1" si="494"/>
        <v>1.8965739130434833</v>
      </c>
      <c r="AA177" s="429">
        <f t="shared" si="495"/>
        <v>1.1931</v>
      </c>
      <c r="AB177" s="433">
        <f t="shared" ca="1" si="496"/>
        <v>1.1931</v>
      </c>
      <c r="AC177" s="229">
        <v>41537</v>
      </c>
      <c r="AD177" s="229">
        <v>41533</v>
      </c>
      <c r="AE177" s="229">
        <v>41532</v>
      </c>
      <c r="AF177" s="229">
        <v>41528</v>
      </c>
      <c r="AG177" s="249" t="s">
        <v>499</v>
      </c>
      <c r="AH177" s="247" t="s">
        <v>499</v>
      </c>
      <c r="AI177" s="146">
        <v>23</v>
      </c>
      <c r="AJ177" s="41">
        <v>14</v>
      </c>
      <c r="AK177" s="41">
        <v>9</v>
      </c>
      <c r="AL177" s="293">
        <v>23</v>
      </c>
      <c r="AM177" s="41">
        <v>10</v>
      </c>
      <c r="AN177" s="147">
        <v>13</v>
      </c>
      <c r="AO177" s="374"/>
      <c r="AP177" s="153">
        <f t="shared" ca="1" si="530"/>
        <v>1</v>
      </c>
      <c r="AQ177" s="374"/>
      <c r="AR177" s="153">
        <f t="shared" ca="1" si="550"/>
        <v>1</v>
      </c>
      <c r="AS177" s="272">
        <f t="shared" si="497"/>
        <v>0</v>
      </c>
      <c r="AT177" s="157">
        <f t="shared" si="531"/>
        <v>0</v>
      </c>
      <c r="AU177" s="157">
        <f t="shared" si="498"/>
        <v>0</v>
      </c>
      <c r="AV177" s="271">
        <f t="shared" ca="1" si="558"/>
        <v>9.9999999999999995E-7</v>
      </c>
      <c r="AW177" s="158" t="str">
        <f t="shared" ca="1" si="499"/>
        <v/>
      </c>
      <c r="AX177" s="157">
        <f t="shared" ca="1" si="551"/>
        <v>1.2720770947171882E-4</v>
      </c>
      <c r="AY177" s="157">
        <f t="shared" ca="1" si="552"/>
        <v>3.456239080052234E-5</v>
      </c>
      <c r="AZ177" s="157">
        <f t="shared" ca="1" si="553"/>
        <v>1.6840038022001991E-6</v>
      </c>
      <c r="BA177" s="157">
        <f t="shared" ca="1" si="554"/>
        <v>2.1050047527502489E-7</v>
      </c>
      <c r="BB177" s="157">
        <f t="shared" ca="1" si="555"/>
        <v>2.2314402752035683E-9</v>
      </c>
      <c r="BC177" s="157">
        <f t="shared" ca="1" si="556"/>
        <v>8.8620900182014363E-11</v>
      </c>
      <c r="BD177" s="151">
        <f t="shared" ca="1" si="500"/>
        <v>0</v>
      </c>
      <c r="BE177" s="152">
        <f t="shared" ca="1" si="501"/>
        <v>0</v>
      </c>
      <c r="BF177" s="40">
        <f t="shared" si="502"/>
        <v>2013</v>
      </c>
      <c r="BG177" s="144">
        <f t="shared" si="503"/>
        <v>10</v>
      </c>
      <c r="BH177" s="145">
        <f t="shared" ca="1" si="504"/>
        <v>4788</v>
      </c>
      <c r="BI177" s="313">
        <f t="shared" ca="1" si="568"/>
        <v>13.149897330595483</v>
      </c>
      <c r="BJ177" s="42">
        <f t="shared" ca="1" si="505"/>
        <v>13.199892866708328</v>
      </c>
      <c r="BK177" s="42">
        <f t="shared" ca="1" si="506"/>
        <v>13.202630717495461</v>
      </c>
      <c r="BL177" s="42">
        <f t="shared" ca="1" si="569"/>
        <v>13.232032854209445</v>
      </c>
      <c r="BM177" s="150" t="e">
        <f t="shared" ca="1" si="507"/>
        <v>#DIV/0!</v>
      </c>
      <c r="BN177" s="42" t="e">
        <f t="shared" ca="1" si="508"/>
        <v>#DIV/0!</v>
      </c>
      <c r="BO177" s="293">
        <f t="shared" si="570"/>
        <v>23</v>
      </c>
      <c r="BP177" s="41">
        <f t="shared" si="571"/>
        <v>14</v>
      </c>
      <c r="BQ177" s="41">
        <f t="shared" si="572"/>
        <v>9</v>
      </c>
      <c r="BR177" s="305" t="str">
        <f t="shared" ca="1" si="509"/>
        <v/>
      </c>
      <c r="BS177" s="305" t="str">
        <f t="shared" ca="1" si="573"/>
        <v/>
      </c>
      <c r="BT177" s="307" t="str">
        <f t="shared" ca="1" si="574"/>
        <v/>
      </c>
      <c r="BU177" s="161" t="str">
        <f t="shared" ca="1" si="510"/>
        <v/>
      </c>
      <c r="BV177" s="161" t="str">
        <f t="shared" ca="1" si="511"/>
        <v/>
      </c>
      <c r="BW177" s="308" t="str">
        <f t="shared" ca="1" si="512"/>
        <v/>
      </c>
      <c r="BX177" s="309" t="str">
        <f t="shared" ca="1" si="513"/>
        <v/>
      </c>
      <c r="BY177" s="308" t="str">
        <f t="shared" ca="1" si="575"/>
        <v/>
      </c>
      <c r="BZ177" s="309" t="str">
        <f t="shared" ca="1" si="576"/>
        <v/>
      </c>
      <c r="CA177" s="154" t="str">
        <f t="shared" ca="1" si="514"/>
        <v/>
      </c>
      <c r="CB177" s="154" t="str">
        <f t="shared" ca="1" si="515"/>
        <v/>
      </c>
      <c r="CC177" s="154" t="str">
        <f t="shared" ca="1" si="516"/>
        <v/>
      </c>
      <c r="CD177" s="154" t="str">
        <f t="shared" ca="1" si="517"/>
        <v/>
      </c>
      <c r="CE177" s="310">
        <v>1</v>
      </c>
      <c r="CF177" s="162">
        <f ca="1">IF(BD177,_xll.xCrudeAPO(BU177,BV177,CA177,CB177,S178,S179,BI177,BL177,BP177,BQ177,0,Strike1,AO177,CE177,0,BL177,IF(OptControl=4,0,1),0,1),0)</f>
        <v>0</v>
      </c>
      <c r="CG177" s="163">
        <f ca="1">IF(BD177,_xll.xCrudeAPO(BU177,BV177,CA177,CB177,S178,S179,BI177,BL177,BP177,BQ177,0,Strike1,AO177,CE177,0,BL177,IF(OptControl=4,0,1),1,1)+_xll.xCrudeAPO(BU177,BV177,CA177,CB177,S178,S179,BI177,BL177,BP177,BQ177,0,Strike1,AO177,CE177,0,BL177,IF(OptControl=4,0,1),1,2)+IF(OR(VolSkewFlag=2,ABS(BS177)&lt;0.0001),0,IF(BS177&gt;0,-1,1)*CH177*Strike1/BR177^2*BY177/10%),0)</f>
        <v>0</v>
      </c>
      <c r="CH177" s="163">
        <f ca="1">IF(BD177,(_xll.xCrudeAPO(BU177,BV177,CA177,CB177,S178,S179,BI177,BL177,BP177,BQ177,0,Strike1,AO177,CE177,0,BL177,IF(OptControl=4,0,1),3,1)+_xll.xCrudeAPO(BU177,BV177,CA177,CB177,S178,S179,BI177,BL177,BP177,BQ177,0,Strike1,AO177,CE177,0,BL177,IF(OptControl=4,0,1),3,2))/100,0)</f>
        <v>0</v>
      </c>
      <c r="CI177" s="163">
        <f ca="1">IF(BD177,_xll.xCrudeAPO(BU177,BV177,CA177,CB177,S178,S179,BI177-DaysForThetaCalculation/365.25,BL177-DaysForThetaCalculation/365.25,BP177,BQ177,0,Strike1,AO177,CE177,0,BL177,IF(OptControl=4,0,1),0,1)-_xll.xCrudeAPO(BU177,BV177,CA177,CB177,S178,S179,BI177,BL177,BP177,BQ177,0,Strike1,AO177,CE177,0,BL177,IF(OptControl=4,0,1),0,1),0)</f>
        <v>0</v>
      </c>
      <c r="CJ177" s="311">
        <f ca="1">IF(BD177,_xll.xCrudeAPO(BU177,BV177,CC177,CD177,S178,S179,BI177,BL177,BP177,BQ177,0,Strike2,AO177,CE177,0,BL177,IF(OptControl=3,1,0),0,1),0)</f>
        <v>0</v>
      </c>
      <c r="CK177" s="163">
        <f ca="1">IF(BD177,_xll.xCrudeAPO(BU177,BV177,CC177,CD177,S178,S179,BI177,BL177,BP177,BQ177,0,Strike2,AO177,CE177,0,BL177,IF(OptControl=3,1,0),1,1)+_xll.xCrudeAPO(BU177,BV177,CC177,CD177,S178,S179,BI177,BL177,BP177,BQ177,0,Strike2,AO177,CE177,0,BL177,IF(OptControl=3,1,0),1,2)+IF(OR(VolSkewFlag=2,ABS(BT177)&lt;0.0001),0,IF(BT177&gt;0,-1,1)*CL177*Strike2/BR177^2*BZ177/10%),0)</f>
        <v>0</v>
      </c>
      <c r="CL177" s="163">
        <f ca="1">IF(BD177,(_xll.xCrudeAPO(BU177,BV177,CC177,CD177,S178,S179,BI177,BL177,BP177,BQ177,0,Strike2,AO177,CE177,0,BL177,IF(OptControl=3,1,0),3,1)+_xll.xCrudeAPO(BU177,BV177,CC177,CD177,S178,S179,BI177,BL177,BP177,BQ177,0,Strike2,AO177,CE177,0,BL177,IF(OptControl=3,1,0),3,2))/100,0)</f>
        <v>0</v>
      </c>
      <c r="CM177" s="164">
        <f ca="1">IF(BD177,_xll.xCrudeAPO(BU177,BV177,CC177,CD177,S178,S179,BI177-DaysForThetaCalculation/365.25,BL177-DaysForThetaCalculation/365.25,BP177,BQ177,0,Strike2,AO177,CE177,0,BL177,IF(OptControl=3,1,0),0,1)-_xll.xCrudeAPO(BU177,BV177,CC177,CD177,S178,S179,BI177,BL177,BP177,BQ177,0,Strike2,AO177,CE177,0,BL177,IF(OptControl=3,1,0),0,1),0)</f>
        <v>0</v>
      </c>
      <c r="CN177" s="53"/>
      <c r="CO177" s="796" t="str">
        <f t="shared" ca="1" si="532"/>
        <v/>
      </c>
      <c r="CP177" s="800" t="str">
        <f t="shared" ca="1" si="533"/>
        <v/>
      </c>
      <c r="CQ177" s="797" t="str">
        <f t="shared" ca="1" si="534"/>
        <v/>
      </c>
      <c r="CR177" s="797" t="str">
        <f t="shared" ca="1" si="535"/>
        <v/>
      </c>
      <c r="CS177" s="797" t="str">
        <f t="shared" ca="1" si="536"/>
        <v/>
      </c>
      <c r="CT177" s="797" t="str">
        <f t="shared" ca="1" si="537"/>
        <v/>
      </c>
      <c r="CU177" s="798" t="str">
        <f t="shared" ca="1" si="538"/>
        <v/>
      </c>
      <c r="CV177" s="799" t="str">
        <f t="shared" ca="1" si="539"/>
        <v/>
      </c>
      <c r="CW177" s="799" t="str">
        <f t="shared" ca="1" si="540"/>
        <v/>
      </c>
      <c r="CX177" s="163">
        <f ca="1">IF(BD177,_xll.EURO(CP177,Strike1,AO177,AO177,CV177,CO177,IF(OptControl=4,0,1),0),0)</f>
        <v>0</v>
      </c>
      <c r="CY177" s="163">
        <f ca="1">IF(BD177,_xll.EURO(CP177,Strike1,AO177,AO177,CV177,CO177,IF(OptControl=4,0,1),1)+IF(OR(VolSkewFlag=2,ABS(CQ177)&lt;0.0001),0,IF(CQ177&gt;0,-1,1)*CZ177*100*Strike1/CP177^2*CS177/10%),0)</f>
        <v>0</v>
      </c>
      <c r="CZ177" s="163">
        <f ca="1">IF(BD177,_xll.EURO(CP177,Strike1,AO177,AO177,CV177,CO177,IF(OptControl=4,0,1),3)/100,0)</f>
        <v>0</v>
      </c>
      <c r="DA177" s="163">
        <f ca="1">IF(BD177,_xll.EURO(CP177,Strike1,AO177,AO177,CV177,CO177,IF(OptControl=4,0,1),0)-_xll.EURO(CP177,Strike1,AO177,AO177,CV177,CO177-1,IF(OptControl=4,0,1),0),0)</f>
        <v>0</v>
      </c>
      <c r="DB177" s="163">
        <f ca="1">IF(BD177,_xll.EURO(CP177,Strike2,AO177,AO177,CW177,CO177,IF(OptControl=3,1,0),0),0)</f>
        <v>0</v>
      </c>
      <c r="DC177" s="163">
        <f ca="1">IF(BD177,_xll.EURO(CP177,Strike2,AO177,AO177,CW177,CO177,IF(OptControl=3,1,0),1)+IF(OR(VolSkewFlag=2,ABS(CR177)&lt;0.0001),0,IF(CR177&gt;0,-1,1)*DD177*100*Strike2/CP177^2*CT177/10%),0)</f>
        <v>0</v>
      </c>
      <c r="DD177" s="163">
        <f ca="1">IF(BD177,_xll.EURO(CP177,Strike2,AO177,AO177,CW177,CO177,IF(OptControl=3,1,0),3)/100,0)</f>
        <v>0</v>
      </c>
      <c r="DE177" s="164">
        <f ca="1">IF(BD177,_xll.EURO(CP177,Strike2,AO177,AO177,CW177,CO177,IF(OptControl=3,1,0),0)-_xll.EURO(CP177,Strike2,AO177,AO177,CW177,CO177-1,IF(OptControl=3,1,0),0),0)</f>
        <v>0</v>
      </c>
      <c r="DG177" s="667">
        <f t="shared" ca="1" si="541"/>
        <v>41334</v>
      </c>
      <c r="DH177" s="475">
        <v>22.010000000000058</v>
      </c>
      <c r="DI177" s="665">
        <v>22.076666666666728</v>
      </c>
      <c r="DJ177" s="666">
        <f t="shared" ca="1" si="518"/>
        <v>41334</v>
      </c>
      <c r="DK177" s="475">
        <v>20.850282480503171</v>
      </c>
      <c r="DL177" s="665">
        <v>20.90816666666673</v>
      </c>
      <c r="DM177" s="667">
        <f t="shared" ca="1" si="519"/>
        <v>41334</v>
      </c>
      <c r="DN177" s="668">
        <f t="shared" si="520"/>
        <v>20.900282480503172</v>
      </c>
      <c r="DO177" s="667">
        <f t="shared" ca="1" si="542"/>
        <v>41334</v>
      </c>
      <c r="DP177" s="579">
        <f t="shared" si="543"/>
        <v>20.90816666666673</v>
      </c>
      <c r="DQ177" s="821">
        <v>0</v>
      </c>
      <c r="DR177" s="666">
        <f t="shared" ca="1" si="521"/>
        <v>41334</v>
      </c>
      <c r="DS177" s="669">
        <v>0.13039999999999904</v>
      </c>
      <c r="DT177" s="606">
        <v>0.12959999999999905</v>
      </c>
      <c r="DU177" s="666">
        <f t="shared" ca="1" si="522"/>
        <v>41334</v>
      </c>
      <c r="DV177" s="669">
        <v>0.13039999999999904</v>
      </c>
      <c r="DW177" s="606">
        <v>0.12959999999999905</v>
      </c>
      <c r="DX177" s="667">
        <f t="shared" ca="1" si="523"/>
        <v>41334</v>
      </c>
      <c r="DY177" s="606">
        <v>0.35</v>
      </c>
      <c r="DZ177" s="667">
        <f t="shared" ca="1" si="544"/>
        <v>41334</v>
      </c>
      <c r="EA177" s="606">
        <f t="shared" si="545"/>
        <v>0.12959999999999905</v>
      </c>
      <c r="EB177" s="1"/>
      <c r="EC177" s="118" t="str">
        <f t="shared" ca="1" si="524"/>
        <v/>
      </c>
      <c r="ED177" s="119" t="str">
        <f t="shared" ca="1" si="525"/>
        <v/>
      </c>
      <c r="EE177" s="112" t="str">
        <f t="shared" ca="1" si="526"/>
        <v/>
      </c>
      <c r="EF177" s="120">
        <f ca="1">IF(BD177,_xll.xASN(BR177,Strike1,AO177,ED177,0,BO177,0,BI177,BL177,IF(OptControl=4,0,1),0),0)</f>
        <v>0</v>
      </c>
      <c r="EG177" s="111">
        <f ca="1">IF(BD177,_xll.xASN(BR177,Strike2,AO177,EE177,0,BO177,0,BI177,BL177,IF(OptControl=3,1,0),0),0)</f>
        <v>0</v>
      </c>
      <c r="EL177" s="55"/>
      <c r="EM177" s="1"/>
      <c r="EN177" s="106"/>
      <c r="EO177" s="106"/>
      <c r="EP177" s="1"/>
      <c r="EQ177" s="683" t="s">
        <v>390</v>
      </c>
      <c r="ES177" s="455"/>
      <c r="ET177" s="36"/>
      <c r="EU177" s="107"/>
      <c r="EV177" s="475"/>
      <c r="EW177" s="456"/>
      <c r="EX177" s="456"/>
      <c r="EY177" s="250"/>
      <c r="EZ177" s="250"/>
      <c r="FA177" s="250"/>
      <c r="FB177" s="250"/>
      <c r="FC177" s="250"/>
      <c r="FD177" s="250"/>
      <c r="FE177" s="250"/>
      <c r="FF177" s="250"/>
      <c r="FG177" s="250"/>
      <c r="FH177" s="250"/>
      <c r="FI177" s="250"/>
      <c r="FJ177" s="673">
        <v>8</v>
      </c>
      <c r="FK177" s="479" t="str">
        <f ca="1">IF(OR(FK$169&lt;SwaptionFirstMonthPosition+1,$FJ177&lt;SwaptionFirstMonthPosition+1,FK$169&gt;SwaptionFirstMonthPosition+SwaptionNumOfMonths+1,$FJ177&gt;SwaptionFirstMonthPosition+SwaptionNumOfMonths+1),"",IF($FJ177=FK$169,1,IF($FJ177&lt;FK$169,INDEX($FK$170:$ID$241,FK$169,$FJ177),SUMPRODUCT(INDEX($FK$325:$ID$396,FK$169,1+SwaptionShift):INDEX($FK$325:$ID$396,FK$169,SwaptionMonthsToGo+SwaptionShift),INDEX($FK$245:$ID$316,$FJ177-FK$169,73-FK$169+SwaptionShift):INDEX($FK$245:$ID$316,$FJ177-FK$169,72-FK$169+SwaptionMonthsToGo+SwaptionShift))/SQRT(SUM(INDEX($FK332:$ID332,1+SwaptionShift):INDEX($FK332:$ID332,SwaptionMonthsToGo+SwaptionShift))*SUM(INDEX($FK$325:$ID$396,FK$169,1+SwaptionShift):INDEX($FK$325:$ID$396,FK$169,SwaptionMonthsToGo+SwaptionShift))))))</f>
        <v/>
      </c>
      <c r="FL177" s="479" t="str">
        <f ca="1">IF(OR(FL$169&lt;SwaptionFirstMonthPosition+1,$FJ177&lt;SwaptionFirstMonthPosition+1,FL$169&gt;SwaptionFirstMonthPosition+SwaptionNumOfMonths+1,$FJ177&gt;SwaptionFirstMonthPosition+SwaptionNumOfMonths+1),"",IF($FJ177=FL$169,1,IF($FJ177&lt;FL$169,INDEX($FK$170:$ID$241,FL$169,$FJ177),SUMPRODUCT(INDEX($FK$325:$ID$396,FL$169,1+SwaptionShift):INDEX($FK$325:$ID$396,FL$169,SwaptionMonthsToGo+SwaptionShift),INDEX($FK$245:$ID$316,$FJ177-FL$169,73-FL$169+SwaptionShift):INDEX($FK$245:$ID$316,$FJ177-FL$169,72-FL$169+SwaptionMonthsToGo+SwaptionShift))/SQRT(SUM(INDEX($FK332:$ID332,1+SwaptionShift):INDEX($FK332:$ID332,SwaptionMonthsToGo+SwaptionShift))*SUM(INDEX($FK$325:$ID$396,FL$169,1+SwaptionShift):INDEX($FK$325:$ID$396,FL$169,SwaptionMonthsToGo+SwaptionShift))))))</f>
        <v/>
      </c>
      <c r="FM177" s="479" t="str">
        <f ca="1">IF(OR(FM$169&lt;SwaptionFirstMonthPosition+1,$FJ177&lt;SwaptionFirstMonthPosition+1,FM$169&gt;SwaptionFirstMonthPosition+SwaptionNumOfMonths+1,$FJ177&gt;SwaptionFirstMonthPosition+SwaptionNumOfMonths+1),"",IF($FJ177=FM$169,1,IF($FJ177&lt;FM$169,INDEX($FK$170:$ID$241,FM$169,$FJ177),SUMPRODUCT(INDEX($FK$325:$ID$396,FM$169,1+SwaptionShift):INDEX($FK$325:$ID$396,FM$169,SwaptionMonthsToGo+SwaptionShift),INDEX($FK$245:$ID$316,$FJ177-FM$169,73-FM$169+SwaptionShift):INDEX($FK$245:$ID$316,$FJ177-FM$169,72-FM$169+SwaptionMonthsToGo+SwaptionShift))/SQRT(SUM(INDEX($FK332:$ID332,1+SwaptionShift):INDEX($FK332:$ID332,SwaptionMonthsToGo+SwaptionShift))*SUM(INDEX($FK$325:$ID$396,FM$169,1+SwaptionShift):INDEX($FK$325:$ID$396,FM$169,SwaptionMonthsToGo+SwaptionShift))))))</f>
        <v/>
      </c>
      <c r="FN177" s="479" t="str">
        <f ca="1">IF(OR(FN$169&lt;SwaptionFirstMonthPosition+1,$FJ177&lt;SwaptionFirstMonthPosition+1,FN$169&gt;SwaptionFirstMonthPosition+SwaptionNumOfMonths+1,$FJ177&gt;SwaptionFirstMonthPosition+SwaptionNumOfMonths+1),"",IF($FJ177=FN$169,1,IF($FJ177&lt;FN$169,INDEX($FK$170:$ID$241,FN$169,$FJ177),SUMPRODUCT(INDEX($FK$325:$ID$396,FN$169,1+SwaptionShift):INDEX($FK$325:$ID$396,FN$169,SwaptionMonthsToGo+SwaptionShift),INDEX($FK$245:$ID$316,$FJ177-FN$169,73-FN$169+SwaptionShift):INDEX($FK$245:$ID$316,$FJ177-FN$169,72-FN$169+SwaptionMonthsToGo+SwaptionShift))/SQRT(SUM(INDEX($FK332:$ID332,1+SwaptionShift):INDEX($FK332:$ID332,SwaptionMonthsToGo+SwaptionShift))*SUM(INDEX($FK$325:$ID$396,FN$169,1+SwaptionShift):INDEX($FK$325:$ID$396,FN$169,SwaptionMonthsToGo+SwaptionShift))))))</f>
        <v/>
      </c>
      <c r="FO177" s="479" t="str">
        <f ca="1">IF(OR(FO$169&lt;SwaptionFirstMonthPosition+1,$FJ177&lt;SwaptionFirstMonthPosition+1,FO$169&gt;SwaptionFirstMonthPosition+SwaptionNumOfMonths+1,$FJ177&gt;SwaptionFirstMonthPosition+SwaptionNumOfMonths+1),"",IF($FJ177=FO$169,1,IF($FJ177&lt;FO$169,INDEX($FK$170:$ID$241,FO$169,$FJ177),SUMPRODUCT(INDEX($FK$325:$ID$396,FO$169,1+SwaptionShift):INDEX($FK$325:$ID$396,FO$169,SwaptionMonthsToGo+SwaptionShift),INDEX($FK$245:$ID$316,$FJ177-FO$169,73-FO$169+SwaptionShift):INDEX($FK$245:$ID$316,$FJ177-FO$169,72-FO$169+SwaptionMonthsToGo+SwaptionShift))/SQRT(SUM(INDEX($FK332:$ID332,1+SwaptionShift):INDEX($FK332:$ID332,SwaptionMonthsToGo+SwaptionShift))*SUM(INDEX($FK$325:$ID$396,FO$169,1+SwaptionShift):INDEX($FK$325:$ID$396,FO$169,SwaptionMonthsToGo+SwaptionShift))))))</f>
        <v/>
      </c>
      <c r="FP177" s="479">
        <f ca="1">IF(OR(FP$169&lt;SwaptionFirstMonthPosition+1,$FJ177&lt;SwaptionFirstMonthPosition+1,FP$169&gt;SwaptionFirstMonthPosition+SwaptionNumOfMonths+1,$FJ177&gt;SwaptionFirstMonthPosition+SwaptionNumOfMonths+1),"",IF($FJ177=FP$169,1,IF($FJ177&lt;FP$169,INDEX($FK$170:$ID$241,FP$169,$FJ177),SUMPRODUCT(INDEX($FK$325:$ID$396,FP$169,1+SwaptionShift):INDEX($FK$325:$ID$396,FP$169,SwaptionMonthsToGo+SwaptionShift),INDEX($FK$245:$ID$316,$FJ177-FP$169,73-FP$169+SwaptionShift):INDEX($FK$245:$ID$316,$FJ177-FP$169,72-FP$169+SwaptionMonthsToGo+SwaptionShift))/SQRT(SUM(INDEX($FK332:$ID332,1+SwaptionShift):INDEX($FK332:$ID332,SwaptionMonthsToGo+SwaptionShift))*SUM(INDEX($FK$325:$ID$396,FP$169,1+SwaptionShift):INDEX($FK$325:$ID$396,FP$169,SwaptionMonthsToGo+SwaptionShift))))))</f>
        <v>0.95671538901884534</v>
      </c>
      <c r="FQ177" s="479">
        <f ca="1">IF(OR(FQ$169&lt;SwaptionFirstMonthPosition+1,$FJ177&lt;SwaptionFirstMonthPosition+1,FQ$169&gt;SwaptionFirstMonthPosition+SwaptionNumOfMonths+1,$FJ177&gt;SwaptionFirstMonthPosition+SwaptionNumOfMonths+1),"",IF($FJ177=FQ$169,1,IF($FJ177&lt;FQ$169,INDEX($FK$170:$ID$241,FQ$169,$FJ177),SUMPRODUCT(INDEX($FK$325:$ID$396,FQ$169,1+SwaptionShift):INDEX($FK$325:$ID$396,FQ$169,SwaptionMonthsToGo+SwaptionShift),INDEX($FK$245:$ID$316,$FJ177-FQ$169,73-FQ$169+SwaptionShift):INDEX($FK$245:$ID$316,$FJ177-FQ$169,72-FQ$169+SwaptionMonthsToGo+SwaptionShift))/SQRT(SUM(INDEX($FK332:$ID332,1+SwaptionShift):INDEX($FK332:$ID332,SwaptionMonthsToGo+SwaptionShift))*SUM(INDEX($FK$325:$ID$396,FQ$169,1+SwaptionShift):INDEX($FK$325:$ID$396,FQ$169,SwaptionMonthsToGo+SwaptionShift))))))</f>
        <v>0.98071781306478245</v>
      </c>
      <c r="FR177" s="479">
        <f ca="1">IF(OR(FR$169&lt;SwaptionFirstMonthPosition+1,$FJ177&lt;SwaptionFirstMonthPosition+1,FR$169&gt;SwaptionFirstMonthPosition+SwaptionNumOfMonths+1,$FJ177&gt;SwaptionFirstMonthPosition+SwaptionNumOfMonths+1),"",IF($FJ177=FR$169,1,IF($FJ177&lt;FR$169,INDEX($FK$170:$ID$241,FR$169,$FJ177),SUMPRODUCT(INDEX($FK$325:$ID$396,FR$169,1+SwaptionShift):INDEX($FK$325:$ID$396,FR$169,SwaptionMonthsToGo+SwaptionShift),INDEX($FK$245:$ID$316,$FJ177-FR$169,73-FR$169+SwaptionShift):INDEX($FK$245:$ID$316,$FJ177-FR$169,72-FR$169+SwaptionMonthsToGo+SwaptionShift))/SQRT(SUM(INDEX($FK332:$ID332,1+SwaptionShift):INDEX($FK332:$ID332,SwaptionMonthsToGo+SwaptionShift))*SUM(INDEX($FK$325:$ID$396,FR$169,1+SwaptionShift):INDEX($FK$325:$ID$396,FR$169,SwaptionMonthsToGo+SwaptionShift))))))</f>
        <v>1</v>
      </c>
      <c r="FS177" s="479">
        <f ca="1">IF(OR(FS$169&lt;SwaptionFirstMonthPosition+1,$FJ177&lt;SwaptionFirstMonthPosition+1,FS$169&gt;SwaptionFirstMonthPosition+SwaptionNumOfMonths+1,$FJ177&gt;SwaptionFirstMonthPosition+SwaptionNumOfMonths+1),"",IF($FJ177=FS$169,1,IF($FJ177&lt;FS$169,INDEX($FK$170:$ID$241,FS$169,$FJ177),SUMPRODUCT(INDEX($FK$325:$ID$396,FS$169,1+SwaptionShift):INDEX($FK$325:$ID$396,FS$169,SwaptionMonthsToGo+SwaptionShift),INDEX($FK$245:$ID$316,$FJ177-FS$169,73-FS$169+SwaptionShift):INDEX($FK$245:$ID$316,$FJ177-FS$169,72-FS$169+SwaptionMonthsToGo+SwaptionShift))/SQRT(SUM(INDEX($FK332:$ID332,1+SwaptionShift):INDEX($FK332:$ID332,SwaptionMonthsToGo+SwaptionShift))*SUM(INDEX($FK$325:$ID$396,FS$169,1+SwaptionShift):INDEX($FK$325:$ID$396,FS$169,SwaptionMonthsToGo+SwaptionShift))))))</f>
        <v>0.98447546567848332</v>
      </c>
      <c r="FT177" s="479">
        <f ca="1">IF(OR(FT$169&lt;SwaptionFirstMonthPosition+1,$FJ177&lt;SwaptionFirstMonthPosition+1,FT$169&gt;SwaptionFirstMonthPosition+SwaptionNumOfMonths+1,$FJ177&gt;SwaptionFirstMonthPosition+SwaptionNumOfMonths+1),"",IF($FJ177=FT$169,1,IF($FJ177&lt;FT$169,INDEX($FK$170:$ID$241,FT$169,$FJ177),SUMPRODUCT(INDEX($FK$325:$ID$396,FT$169,1+SwaptionShift):INDEX($FK$325:$ID$396,FT$169,SwaptionMonthsToGo+SwaptionShift),INDEX($FK$245:$ID$316,$FJ177-FT$169,73-FT$169+SwaptionShift):INDEX($FK$245:$ID$316,$FJ177-FT$169,72-FT$169+SwaptionMonthsToGo+SwaptionShift))/SQRT(SUM(INDEX($FK332:$ID332,1+SwaptionShift):INDEX($FK332:$ID332,SwaptionMonthsToGo+SwaptionShift))*SUM(INDEX($FK$325:$ID$396,FT$169,1+SwaptionShift):INDEX($FK$325:$ID$396,FT$169,SwaptionMonthsToGo+SwaptionShift))))))</f>
        <v>0.97192375735231873</v>
      </c>
      <c r="FU177" s="479">
        <f ca="1">IF(OR(FU$169&lt;SwaptionFirstMonthPosition+1,$FJ177&lt;SwaptionFirstMonthPosition+1,FU$169&gt;SwaptionFirstMonthPosition+SwaptionNumOfMonths+1,$FJ177&gt;SwaptionFirstMonthPosition+SwaptionNumOfMonths+1),"",IF($FJ177=FU$169,1,IF($FJ177&lt;FU$169,INDEX($FK$170:$ID$241,FU$169,$FJ177),SUMPRODUCT(INDEX($FK$325:$ID$396,FU$169,1+SwaptionShift):INDEX($FK$325:$ID$396,FU$169,SwaptionMonthsToGo+SwaptionShift),INDEX($FK$245:$ID$316,$FJ177-FU$169,73-FU$169+SwaptionShift):INDEX($FK$245:$ID$316,$FJ177-FU$169,72-FU$169+SwaptionMonthsToGo+SwaptionShift))/SQRT(SUM(INDEX($FK332:$ID332,1+SwaptionShift):INDEX($FK332:$ID332,SwaptionMonthsToGo+SwaptionShift))*SUM(INDEX($FK$325:$ID$396,FU$169,1+SwaptionShift):INDEX($FK$325:$ID$396,FU$169,SwaptionMonthsToGo+SwaptionShift))))))</f>
        <v>0.96169836231516259</v>
      </c>
      <c r="FV177" s="479">
        <f ca="1">IF(OR(FV$169&lt;SwaptionFirstMonthPosition+1,$FJ177&lt;SwaptionFirstMonthPosition+1,FV$169&gt;SwaptionFirstMonthPosition+SwaptionNumOfMonths+1,$FJ177&gt;SwaptionFirstMonthPosition+SwaptionNumOfMonths+1),"",IF($FJ177=FV$169,1,IF($FJ177&lt;FV$169,INDEX($FK$170:$ID$241,FV$169,$FJ177),SUMPRODUCT(INDEX($FK$325:$ID$396,FV$169,1+SwaptionShift):INDEX($FK$325:$ID$396,FV$169,SwaptionMonthsToGo+SwaptionShift),INDEX($FK$245:$ID$316,$FJ177-FV$169,73-FV$169+SwaptionShift):INDEX($FK$245:$ID$316,$FJ177-FV$169,72-FV$169+SwaptionMonthsToGo+SwaptionShift))/SQRT(SUM(INDEX($FK332:$ID332,1+SwaptionShift):INDEX($FK332:$ID332,SwaptionMonthsToGo+SwaptionShift))*SUM(INDEX($FK$325:$ID$396,FV$169,1+SwaptionShift):INDEX($FK$325:$ID$396,FV$169,SwaptionMonthsToGo+SwaptionShift))))))</f>
        <v>0.95331441784714344</v>
      </c>
      <c r="FW177" s="479">
        <f ca="1">IF(OR(FW$169&lt;SwaptionFirstMonthPosition+1,$FJ177&lt;SwaptionFirstMonthPosition+1,FW$169&gt;SwaptionFirstMonthPosition+SwaptionNumOfMonths+1,$FJ177&gt;SwaptionFirstMonthPosition+SwaptionNumOfMonths+1),"",IF($FJ177=FW$169,1,IF($FJ177&lt;FW$169,INDEX($FK$170:$ID$241,FW$169,$FJ177),SUMPRODUCT(INDEX($FK$325:$ID$396,FW$169,1+SwaptionShift):INDEX($FK$325:$ID$396,FW$169,SwaptionMonthsToGo+SwaptionShift),INDEX($FK$245:$ID$316,$FJ177-FW$169,73-FW$169+SwaptionShift):INDEX($FK$245:$ID$316,$FJ177-FW$169,72-FW$169+SwaptionMonthsToGo+SwaptionShift))/SQRT(SUM(INDEX($FK332:$ID332,1+SwaptionShift):INDEX($FK332:$ID332,SwaptionMonthsToGo+SwaptionShift))*SUM(INDEX($FK$325:$ID$396,FW$169,1+SwaptionShift):INDEX($FK$325:$ID$396,FW$169,SwaptionMonthsToGo+SwaptionShift))))))</f>
        <v>0.94640244465039891</v>
      </c>
      <c r="FX177" s="479">
        <f ca="1">IF(OR(FX$169&lt;SwaptionFirstMonthPosition+1,$FJ177&lt;SwaptionFirstMonthPosition+1,FX$169&gt;SwaptionFirstMonthPosition+SwaptionNumOfMonths+1,$FJ177&gt;SwaptionFirstMonthPosition+SwaptionNumOfMonths+1),"",IF($FJ177=FX$169,1,IF($FJ177&lt;FX$169,INDEX($FK$170:$ID$241,FX$169,$FJ177),SUMPRODUCT(INDEX($FK$325:$ID$396,FX$169,1+SwaptionShift):INDEX($FK$325:$ID$396,FX$169,SwaptionMonthsToGo+SwaptionShift),INDEX($FK$245:$ID$316,$FJ177-FX$169,73-FX$169+SwaptionShift):INDEX($FK$245:$ID$316,$FJ177-FX$169,72-FX$169+SwaptionMonthsToGo+SwaptionShift))/SQRT(SUM(INDEX($FK332:$ID332,1+SwaptionShift):INDEX($FK332:$ID332,SwaptionMonthsToGo+SwaptionShift))*SUM(INDEX($FK$325:$ID$396,FX$169,1+SwaptionShift):INDEX($FK$325:$ID$396,FX$169,SwaptionMonthsToGo+SwaptionShift))))))</f>
        <v>0.94067702889260041</v>
      </c>
      <c r="FY177" s="479">
        <f ca="1">IF(OR(FY$169&lt;SwaptionFirstMonthPosition+1,$FJ177&lt;SwaptionFirstMonthPosition+1,FY$169&gt;SwaptionFirstMonthPosition+SwaptionNumOfMonths+1,$FJ177&gt;SwaptionFirstMonthPosition+SwaptionNumOfMonths+1),"",IF($FJ177=FY$169,1,IF($FJ177&lt;FY$169,INDEX($FK$170:$ID$241,FY$169,$FJ177),SUMPRODUCT(INDEX($FK$325:$ID$396,FY$169,1+SwaptionShift):INDEX($FK$325:$ID$396,FY$169,SwaptionMonthsToGo+SwaptionShift),INDEX($FK$245:$ID$316,$FJ177-FY$169,73-FY$169+SwaptionShift):INDEX($FK$245:$ID$316,$FJ177-FY$169,72-FY$169+SwaptionMonthsToGo+SwaptionShift))/SQRT(SUM(INDEX($FK332:$ID332,1+SwaptionShift):INDEX($FK332:$ID332,SwaptionMonthsToGo+SwaptionShift))*SUM(INDEX($FK$325:$ID$396,FY$169,1+SwaptionShift):INDEX($FK$325:$ID$396,FY$169,SwaptionMonthsToGo+SwaptionShift))))))</f>
        <v>0.93591508554515923</v>
      </c>
      <c r="FZ177" s="479">
        <f ca="1">IF(OR(FZ$169&lt;SwaptionFirstMonthPosition+1,$FJ177&lt;SwaptionFirstMonthPosition+1,FZ$169&gt;SwaptionFirstMonthPosition+SwaptionNumOfMonths+1,$FJ177&gt;SwaptionFirstMonthPosition+SwaptionNumOfMonths+1),"",IF($FJ177=FZ$169,1,IF($FJ177&lt;FZ$169,INDEX($FK$170:$ID$241,FZ$169,$FJ177),SUMPRODUCT(INDEX($FK$325:$ID$396,FZ$169,1+SwaptionShift):INDEX($FK$325:$ID$396,FZ$169,SwaptionMonthsToGo+SwaptionShift),INDEX($FK$245:$ID$316,$FJ177-FZ$169,73-FZ$169+SwaptionShift):INDEX($FK$245:$ID$316,$FJ177-FZ$169,72-FZ$169+SwaptionMonthsToGo+SwaptionShift))/SQRT(SUM(INDEX($FK332:$ID332,1+SwaptionShift):INDEX($FK332:$ID332,SwaptionMonthsToGo+SwaptionShift))*SUM(INDEX($FK$325:$ID$396,FZ$169,1+SwaptionShift):INDEX($FK$325:$ID$396,FZ$169,SwaptionMonthsToGo+SwaptionShift))))))</f>
        <v>0.93194044683145028</v>
      </c>
      <c r="GA177" s="479">
        <f ca="1">IF(OR(GA$169&lt;SwaptionFirstMonthPosition+1,$FJ177&lt;SwaptionFirstMonthPosition+1,GA$169&gt;SwaptionFirstMonthPosition+SwaptionNumOfMonths+1,$FJ177&gt;SwaptionFirstMonthPosition+SwaptionNumOfMonths+1),"",IF($FJ177=GA$169,1,IF($FJ177&lt;GA$169,INDEX($FK$170:$ID$241,GA$169,$FJ177),SUMPRODUCT(INDEX($FK$325:$ID$396,GA$169,1+SwaptionShift):INDEX($FK$325:$ID$396,GA$169,SwaptionMonthsToGo+SwaptionShift),INDEX($FK$245:$ID$316,$FJ177-GA$169,73-GA$169+SwaptionShift):INDEX($FK$245:$ID$316,$FJ177-GA$169,72-GA$169+SwaptionMonthsToGo+SwaptionShift))/SQRT(SUM(INDEX($FK332:$ID332,1+SwaptionShift):INDEX($FK332:$ID332,SwaptionMonthsToGo+SwaptionShift))*SUM(INDEX($FK$325:$ID$396,GA$169,1+SwaptionShift):INDEX($FK$325:$ID$396,GA$169,SwaptionMonthsToGo+SwaptionShift))))))</f>
        <v>0.92861273259576338</v>
      </c>
      <c r="GB177" s="479">
        <f ca="1">IF(OR(GB$169&lt;SwaptionFirstMonthPosition+1,$FJ177&lt;SwaptionFirstMonthPosition+1,GB$169&gt;SwaptionFirstMonthPosition+SwaptionNumOfMonths+1,$FJ177&gt;SwaptionFirstMonthPosition+SwaptionNumOfMonths+1),"",IF($FJ177=GB$169,1,IF($FJ177&lt;GB$169,INDEX($FK$170:$ID$241,GB$169,$FJ177),SUMPRODUCT(INDEX($FK$325:$ID$396,GB$169,1+SwaptionShift):INDEX($FK$325:$ID$396,GB$169,SwaptionMonthsToGo+SwaptionShift),INDEX($FK$245:$ID$316,$FJ177-GB$169,73-GB$169+SwaptionShift):INDEX($FK$245:$ID$316,$FJ177-GB$169,72-GB$169+SwaptionMonthsToGo+SwaptionShift))/SQRT(SUM(INDEX($FK332:$ID332,1+SwaptionShift):INDEX($FK332:$ID332,SwaptionMonthsToGo+SwaptionShift))*SUM(INDEX($FK$325:$ID$396,GB$169,1+SwaptionShift):INDEX($FK$325:$ID$396,GB$169,SwaptionMonthsToGo+SwaptionShift))))))</f>
        <v>0.92581918289687992</v>
      </c>
      <c r="GC177" s="479" t="str">
        <f ca="1">IF(OR(GC$169&lt;SwaptionFirstMonthPosition+1,$FJ177&lt;SwaptionFirstMonthPosition+1,GC$169&gt;SwaptionFirstMonthPosition+SwaptionNumOfMonths+1,$FJ177&gt;SwaptionFirstMonthPosition+SwaptionNumOfMonths+1),"",IF($FJ177=GC$169,1,IF($FJ177&lt;GC$169,INDEX($FK$170:$ID$241,GC$169,$FJ177),SUMPRODUCT(INDEX($FK$325:$ID$396,GC$169,1+SwaptionShift):INDEX($FK$325:$ID$396,GC$169,SwaptionMonthsToGo+SwaptionShift),INDEX($FK$245:$ID$316,$FJ177-GC$169,73-GC$169+SwaptionShift):INDEX($FK$245:$ID$316,$FJ177-GC$169,72-GC$169+SwaptionMonthsToGo+SwaptionShift))/SQRT(SUM(INDEX($FK332:$ID332,1+SwaptionShift):INDEX($FK332:$ID332,SwaptionMonthsToGo+SwaptionShift))*SUM(INDEX($FK$325:$ID$396,GC$169,1+SwaptionShift):INDEX($FK$325:$ID$396,GC$169,SwaptionMonthsToGo+SwaptionShift))))))</f>
        <v/>
      </c>
      <c r="GD177" s="479" t="str">
        <f ca="1">IF(OR(GD$169&lt;SwaptionFirstMonthPosition+1,$FJ177&lt;SwaptionFirstMonthPosition+1,GD$169&gt;SwaptionFirstMonthPosition+SwaptionNumOfMonths+1,$FJ177&gt;SwaptionFirstMonthPosition+SwaptionNumOfMonths+1),"",IF($FJ177=GD$169,1,IF($FJ177&lt;GD$169,INDEX($FK$170:$ID$241,GD$169,$FJ177),SUMPRODUCT(INDEX($FK$325:$ID$396,GD$169,1+SwaptionShift):INDEX($FK$325:$ID$396,GD$169,SwaptionMonthsToGo+SwaptionShift),INDEX($FK$245:$ID$316,$FJ177-GD$169,73-GD$169+SwaptionShift):INDEX($FK$245:$ID$316,$FJ177-GD$169,72-GD$169+SwaptionMonthsToGo+SwaptionShift))/SQRT(SUM(INDEX($FK332:$ID332,1+SwaptionShift):INDEX($FK332:$ID332,SwaptionMonthsToGo+SwaptionShift))*SUM(INDEX($FK$325:$ID$396,GD$169,1+SwaptionShift):INDEX($FK$325:$ID$396,GD$169,SwaptionMonthsToGo+SwaptionShift))))))</f>
        <v/>
      </c>
      <c r="GE177" s="479" t="str">
        <f ca="1">IF(OR(GE$169&lt;SwaptionFirstMonthPosition+1,$FJ177&lt;SwaptionFirstMonthPosition+1,GE$169&gt;SwaptionFirstMonthPosition+SwaptionNumOfMonths+1,$FJ177&gt;SwaptionFirstMonthPosition+SwaptionNumOfMonths+1),"",IF($FJ177=GE$169,1,IF($FJ177&lt;GE$169,INDEX($FK$170:$ID$241,GE$169,$FJ177),SUMPRODUCT(INDEX($FK$325:$ID$396,GE$169,1+SwaptionShift):INDEX($FK$325:$ID$396,GE$169,SwaptionMonthsToGo+SwaptionShift),INDEX($FK$245:$ID$316,$FJ177-GE$169,73-GE$169+SwaptionShift):INDEX($FK$245:$ID$316,$FJ177-GE$169,72-GE$169+SwaptionMonthsToGo+SwaptionShift))/SQRT(SUM(INDEX($FK332:$ID332,1+SwaptionShift):INDEX($FK332:$ID332,SwaptionMonthsToGo+SwaptionShift))*SUM(INDEX($FK$325:$ID$396,GE$169,1+SwaptionShift):INDEX($FK$325:$ID$396,GE$169,SwaptionMonthsToGo+SwaptionShift))))))</f>
        <v/>
      </c>
      <c r="GF177" s="479" t="str">
        <f ca="1">IF(OR(GF$169&lt;SwaptionFirstMonthPosition+1,$FJ177&lt;SwaptionFirstMonthPosition+1,GF$169&gt;SwaptionFirstMonthPosition+SwaptionNumOfMonths+1,$FJ177&gt;SwaptionFirstMonthPosition+SwaptionNumOfMonths+1),"",IF($FJ177=GF$169,1,IF($FJ177&lt;GF$169,INDEX($FK$170:$ID$241,GF$169,$FJ177),SUMPRODUCT(INDEX($FK$325:$ID$396,GF$169,1+SwaptionShift):INDEX($FK$325:$ID$396,GF$169,SwaptionMonthsToGo+SwaptionShift),INDEX($FK$245:$ID$316,$FJ177-GF$169,73-GF$169+SwaptionShift):INDEX($FK$245:$ID$316,$FJ177-GF$169,72-GF$169+SwaptionMonthsToGo+SwaptionShift))/SQRT(SUM(INDEX($FK332:$ID332,1+SwaptionShift):INDEX($FK332:$ID332,SwaptionMonthsToGo+SwaptionShift))*SUM(INDEX($FK$325:$ID$396,GF$169,1+SwaptionShift):INDEX($FK$325:$ID$396,GF$169,SwaptionMonthsToGo+SwaptionShift))))))</f>
        <v/>
      </c>
      <c r="GG177" s="479" t="str">
        <f ca="1">IF(OR(GG$169&lt;SwaptionFirstMonthPosition+1,$FJ177&lt;SwaptionFirstMonthPosition+1,GG$169&gt;SwaptionFirstMonthPosition+SwaptionNumOfMonths+1,$FJ177&gt;SwaptionFirstMonthPosition+SwaptionNumOfMonths+1),"",IF($FJ177=GG$169,1,IF($FJ177&lt;GG$169,INDEX($FK$170:$ID$241,GG$169,$FJ177),SUMPRODUCT(INDEX($FK$325:$ID$396,GG$169,1+SwaptionShift):INDEX($FK$325:$ID$396,GG$169,SwaptionMonthsToGo+SwaptionShift),INDEX($FK$245:$ID$316,$FJ177-GG$169,73-GG$169+SwaptionShift):INDEX($FK$245:$ID$316,$FJ177-GG$169,72-GG$169+SwaptionMonthsToGo+SwaptionShift))/SQRT(SUM(INDEX($FK332:$ID332,1+SwaptionShift):INDEX($FK332:$ID332,SwaptionMonthsToGo+SwaptionShift))*SUM(INDEX($FK$325:$ID$396,GG$169,1+SwaptionShift):INDEX($FK$325:$ID$396,GG$169,SwaptionMonthsToGo+SwaptionShift))))))</f>
        <v/>
      </c>
      <c r="GH177" s="479" t="str">
        <f ca="1">IF(OR(GH$169&lt;SwaptionFirstMonthPosition+1,$FJ177&lt;SwaptionFirstMonthPosition+1,GH$169&gt;SwaptionFirstMonthPosition+SwaptionNumOfMonths+1,$FJ177&gt;SwaptionFirstMonthPosition+SwaptionNumOfMonths+1),"",IF($FJ177=GH$169,1,IF($FJ177&lt;GH$169,INDEX($FK$170:$ID$241,GH$169,$FJ177),SUMPRODUCT(INDEX($FK$325:$ID$396,GH$169,1+SwaptionShift):INDEX($FK$325:$ID$396,GH$169,SwaptionMonthsToGo+SwaptionShift),INDEX($FK$245:$ID$316,$FJ177-GH$169,73-GH$169+SwaptionShift):INDEX($FK$245:$ID$316,$FJ177-GH$169,72-GH$169+SwaptionMonthsToGo+SwaptionShift))/SQRT(SUM(INDEX($FK332:$ID332,1+SwaptionShift):INDEX($FK332:$ID332,SwaptionMonthsToGo+SwaptionShift))*SUM(INDEX($FK$325:$ID$396,GH$169,1+SwaptionShift):INDEX($FK$325:$ID$396,GH$169,SwaptionMonthsToGo+SwaptionShift))))))</f>
        <v/>
      </c>
      <c r="GI177" s="479" t="str">
        <f ca="1">IF(OR(GI$169&lt;SwaptionFirstMonthPosition+1,$FJ177&lt;SwaptionFirstMonthPosition+1,GI$169&gt;SwaptionFirstMonthPosition+SwaptionNumOfMonths+1,$FJ177&gt;SwaptionFirstMonthPosition+SwaptionNumOfMonths+1),"",IF($FJ177=GI$169,1,IF($FJ177&lt;GI$169,INDEX($FK$170:$ID$241,GI$169,$FJ177),SUMPRODUCT(INDEX($FK$325:$ID$396,GI$169,1+SwaptionShift):INDEX($FK$325:$ID$396,GI$169,SwaptionMonthsToGo+SwaptionShift),INDEX($FK$245:$ID$316,$FJ177-GI$169,73-GI$169+SwaptionShift):INDEX($FK$245:$ID$316,$FJ177-GI$169,72-GI$169+SwaptionMonthsToGo+SwaptionShift))/SQRT(SUM(INDEX($FK332:$ID332,1+SwaptionShift):INDEX($FK332:$ID332,SwaptionMonthsToGo+SwaptionShift))*SUM(INDEX($FK$325:$ID$396,GI$169,1+SwaptionShift):INDEX($FK$325:$ID$396,GI$169,SwaptionMonthsToGo+SwaptionShift))))))</f>
        <v/>
      </c>
      <c r="GJ177" s="479" t="str">
        <f ca="1">IF(OR(GJ$169&lt;SwaptionFirstMonthPosition+1,$FJ177&lt;SwaptionFirstMonthPosition+1,GJ$169&gt;SwaptionFirstMonthPosition+SwaptionNumOfMonths+1,$FJ177&gt;SwaptionFirstMonthPosition+SwaptionNumOfMonths+1),"",IF($FJ177=GJ$169,1,IF($FJ177&lt;GJ$169,INDEX($FK$170:$ID$241,GJ$169,$FJ177),SUMPRODUCT(INDEX($FK$325:$ID$396,GJ$169,1+SwaptionShift):INDEX($FK$325:$ID$396,GJ$169,SwaptionMonthsToGo+SwaptionShift),INDEX($FK$245:$ID$316,$FJ177-GJ$169,73-GJ$169+SwaptionShift):INDEX($FK$245:$ID$316,$FJ177-GJ$169,72-GJ$169+SwaptionMonthsToGo+SwaptionShift))/SQRT(SUM(INDEX($FK332:$ID332,1+SwaptionShift):INDEX($FK332:$ID332,SwaptionMonthsToGo+SwaptionShift))*SUM(INDEX($FK$325:$ID$396,GJ$169,1+SwaptionShift):INDEX($FK$325:$ID$396,GJ$169,SwaptionMonthsToGo+SwaptionShift))))))</f>
        <v/>
      </c>
      <c r="GK177" s="479" t="str">
        <f ca="1">IF(OR(GK$169&lt;SwaptionFirstMonthPosition+1,$FJ177&lt;SwaptionFirstMonthPosition+1,GK$169&gt;SwaptionFirstMonthPosition+SwaptionNumOfMonths+1,$FJ177&gt;SwaptionFirstMonthPosition+SwaptionNumOfMonths+1),"",IF($FJ177=GK$169,1,IF($FJ177&lt;GK$169,INDEX($FK$170:$ID$241,GK$169,$FJ177),SUMPRODUCT(INDEX($FK$325:$ID$396,GK$169,1+SwaptionShift):INDEX($FK$325:$ID$396,GK$169,SwaptionMonthsToGo+SwaptionShift),INDEX($FK$245:$ID$316,$FJ177-GK$169,73-GK$169+SwaptionShift):INDEX($FK$245:$ID$316,$FJ177-GK$169,72-GK$169+SwaptionMonthsToGo+SwaptionShift))/SQRT(SUM(INDEX($FK332:$ID332,1+SwaptionShift):INDEX($FK332:$ID332,SwaptionMonthsToGo+SwaptionShift))*SUM(INDEX($FK$325:$ID$396,GK$169,1+SwaptionShift):INDEX($FK$325:$ID$396,GK$169,SwaptionMonthsToGo+SwaptionShift))))))</f>
        <v/>
      </c>
      <c r="GL177" s="479" t="str">
        <f ca="1">IF(OR(GL$169&lt;SwaptionFirstMonthPosition+1,$FJ177&lt;SwaptionFirstMonthPosition+1,GL$169&gt;SwaptionFirstMonthPosition+SwaptionNumOfMonths+1,$FJ177&gt;SwaptionFirstMonthPosition+SwaptionNumOfMonths+1),"",IF($FJ177=GL$169,1,IF($FJ177&lt;GL$169,INDEX($FK$170:$ID$241,GL$169,$FJ177),SUMPRODUCT(INDEX($FK$325:$ID$396,GL$169,1+SwaptionShift):INDEX($FK$325:$ID$396,GL$169,SwaptionMonthsToGo+SwaptionShift),INDEX($FK$245:$ID$316,$FJ177-GL$169,73-GL$169+SwaptionShift):INDEX($FK$245:$ID$316,$FJ177-GL$169,72-GL$169+SwaptionMonthsToGo+SwaptionShift))/SQRT(SUM(INDEX($FK332:$ID332,1+SwaptionShift):INDEX($FK332:$ID332,SwaptionMonthsToGo+SwaptionShift))*SUM(INDEX($FK$325:$ID$396,GL$169,1+SwaptionShift):INDEX($FK$325:$ID$396,GL$169,SwaptionMonthsToGo+SwaptionShift))))))</f>
        <v/>
      </c>
      <c r="GM177" s="479" t="str">
        <f ca="1">IF(OR(GM$169&lt;SwaptionFirstMonthPosition+1,$FJ177&lt;SwaptionFirstMonthPosition+1,GM$169&gt;SwaptionFirstMonthPosition+SwaptionNumOfMonths+1,$FJ177&gt;SwaptionFirstMonthPosition+SwaptionNumOfMonths+1),"",IF($FJ177=GM$169,1,IF($FJ177&lt;GM$169,INDEX($FK$170:$ID$241,GM$169,$FJ177),SUMPRODUCT(INDEX($FK$325:$ID$396,GM$169,1+SwaptionShift):INDEX($FK$325:$ID$396,GM$169,SwaptionMonthsToGo+SwaptionShift),INDEX($FK$245:$ID$316,$FJ177-GM$169,73-GM$169+SwaptionShift):INDEX($FK$245:$ID$316,$FJ177-GM$169,72-GM$169+SwaptionMonthsToGo+SwaptionShift))/SQRT(SUM(INDEX($FK332:$ID332,1+SwaptionShift):INDEX($FK332:$ID332,SwaptionMonthsToGo+SwaptionShift))*SUM(INDEX($FK$325:$ID$396,GM$169,1+SwaptionShift):INDEX($FK$325:$ID$396,GM$169,SwaptionMonthsToGo+SwaptionShift))))))</f>
        <v/>
      </c>
      <c r="GN177" s="479" t="str">
        <f ca="1">IF(OR(GN$169&lt;SwaptionFirstMonthPosition+1,$FJ177&lt;SwaptionFirstMonthPosition+1,GN$169&gt;SwaptionFirstMonthPosition+SwaptionNumOfMonths+1,$FJ177&gt;SwaptionFirstMonthPosition+SwaptionNumOfMonths+1),"",IF($FJ177=GN$169,1,IF($FJ177&lt;GN$169,INDEX($FK$170:$ID$241,GN$169,$FJ177),SUMPRODUCT(INDEX($FK$325:$ID$396,GN$169,1+SwaptionShift):INDEX($FK$325:$ID$396,GN$169,SwaptionMonthsToGo+SwaptionShift),INDEX($FK$245:$ID$316,$FJ177-GN$169,73-GN$169+SwaptionShift):INDEX($FK$245:$ID$316,$FJ177-GN$169,72-GN$169+SwaptionMonthsToGo+SwaptionShift))/SQRT(SUM(INDEX($FK332:$ID332,1+SwaptionShift):INDEX($FK332:$ID332,SwaptionMonthsToGo+SwaptionShift))*SUM(INDEX($FK$325:$ID$396,GN$169,1+SwaptionShift):INDEX($FK$325:$ID$396,GN$169,SwaptionMonthsToGo+SwaptionShift))))))</f>
        <v/>
      </c>
      <c r="GO177" s="479" t="str">
        <f ca="1">IF(OR(GO$169&lt;SwaptionFirstMonthPosition+1,$FJ177&lt;SwaptionFirstMonthPosition+1,GO$169&gt;SwaptionFirstMonthPosition+SwaptionNumOfMonths+1,$FJ177&gt;SwaptionFirstMonthPosition+SwaptionNumOfMonths+1),"",IF($FJ177=GO$169,1,IF($FJ177&lt;GO$169,INDEX($FK$170:$ID$241,GO$169,$FJ177),SUMPRODUCT(INDEX($FK$325:$ID$396,GO$169,1+SwaptionShift):INDEX($FK$325:$ID$396,GO$169,SwaptionMonthsToGo+SwaptionShift),INDEX($FK$245:$ID$316,$FJ177-GO$169,73-GO$169+SwaptionShift):INDEX($FK$245:$ID$316,$FJ177-GO$169,72-GO$169+SwaptionMonthsToGo+SwaptionShift))/SQRT(SUM(INDEX($FK332:$ID332,1+SwaptionShift):INDEX($FK332:$ID332,SwaptionMonthsToGo+SwaptionShift))*SUM(INDEX($FK$325:$ID$396,GO$169,1+SwaptionShift):INDEX($FK$325:$ID$396,GO$169,SwaptionMonthsToGo+SwaptionShift))))))</f>
        <v/>
      </c>
      <c r="GP177" s="479" t="str">
        <f ca="1">IF(OR(GP$169&lt;SwaptionFirstMonthPosition+1,$FJ177&lt;SwaptionFirstMonthPosition+1,GP$169&gt;SwaptionFirstMonthPosition+SwaptionNumOfMonths+1,$FJ177&gt;SwaptionFirstMonthPosition+SwaptionNumOfMonths+1),"",IF($FJ177=GP$169,1,IF($FJ177&lt;GP$169,INDEX($FK$170:$ID$241,GP$169,$FJ177),SUMPRODUCT(INDEX($FK$325:$ID$396,GP$169,1+SwaptionShift):INDEX($FK$325:$ID$396,GP$169,SwaptionMonthsToGo+SwaptionShift),INDEX($FK$245:$ID$316,$FJ177-GP$169,73-GP$169+SwaptionShift):INDEX($FK$245:$ID$316,$FJ177-GP$169,72-GP$169+SwaptionMonthsToGo+SwaptionShift))/SQRT(SUM(INDEX($FK332:$ID332,1+SwaptionShift):INDEX($FK332:$ID332,SwaptionMonthsToGo+SwaptionShift))*SUM(INDEX($FK$325:$ID$396,GP$169,1+SwaptionShift):INDEX($FK$325:$ID$396,GP$169,SwaptionMonthsToGo+SwaptionShift))))))</f>
        <v/>
      </c>
      <c r="GQ177" s="479" t="str">
        <f ca="1">IF(OR(GQ$169&lt;SwaptionFirstMonthPosition+1,$FJ177&lt;SwaptionFirstMonthPosition+1,GQ$169&gt;SwaptionFirstMonthPosition+SwaptionNumOfMonths+1,$FJ177&gt;SwaptionFirstMonthPosition+SwaptionNumOfMonths+1),"",IF($FJ177=GQ$169,1,IF($FJ177&lt;GQ$169,INDEX($FK$170:$ID$241,GQ$169,$FJ177),SUMPRODUCT(INDEX($FK$325:$ID$396,GQ$169,1+SwaptionShift):INDEX($FK$325:$ID$396,GQ$169,SwaptionMonthsToGo+SwaptionShift),INDEX($FK$245:$ID$316,$FJ177-GQ$169,73-GQ$169+SwaptionShift):INDEX($FK$245:$ID$316,$FJ177-GQ$169,72-GQ$169+SwaptionMonthsToGo+SwaptionShift))/SQRT(SUM(INDEX($FK332:$ID332,1+SwaptionShift):INDEX($FK332:$ID332,SwaptionMonthsToGo+SwaptionShift))*SUM(INDEX($FK$325:$ID$396,GQ$169,1+SwaptionShift):INDEX($FK$325:$ID$396,GQ$169,SwaptionMonthsToGo+SwaptionShift))))))</f>
        <v/>
      </c>
      <c r="GR177" s="479" t="str">
        <f ca="1">IF(OR(GR$169&lt;SwaptionFirstMonthPosition+1,$FJ177&lt;SwaptionFirstMonthPosition+1,GR$169&gt;SwaptionFirstMonthPosition+SwaptionNumOfMonths+1,$FJ177&gt;SwaptionFirstMonthPosition+SwaptionNumOfMonths+1),"",IF($FJ177=GR$169,1,IF($FJ177&lt;GR$169,INDEX($FK$170:$ID$241,GR$169,$FJ177),SUMPRODUCT(INDEX($FK$325:$ID$396,GR$169,1+SwaptionShift):INDEX($FK$325:$ID$396,GR$169,SwaptionMonthsToGo+SwaptionShift),INDEX($FK$245:$ID$316,$FJ177-GR$169,73-GR$169+SwaptionShift):INDEX($FK$245:$ID$316,$FJ177-GR$169,72-GR$169+SwaptionMonthsToGo+SwaptionShift))/SQRT(SUM(INDEX($FK332:$ID332,1+SwaptionShift):INDEX($FK332:$ID332,SwaptionMonthsToGo+SwaptionShift))*SUM(INDEX($FK$325:$ID$396,GR$169,1+SwaptionShift):INDEX($FK$325:$ID$396,GR$169,SwaptionMonthsToGo+SwaptionShift))))))</f>
        <v/>
      </c>
      <c r="GS177" s="479" t="str">
        <f ca="1">IF(OR(GS$169&lt;SwaptionFirstMonthPosition+1,$FJ177&lt;SwaptionFirstMonthPosition+1,GS$169&gt;SwaptionFirstMonthPosition+SwaptionNumOfMonths+1,$FJ177&gt;SwaptionFirstMonthPosition+SwaptionNumOfMonths+1),"",IF($FJ177=GS$169,1,IF($FJ177&lt;GS$169,INDEX($FK$170:$ID$241,GS$169,$FJ177),SUMPRODUCT(INDEX($FK$325:$ID$396,GS$169,1+SwaptionShift):INDEX($FK$325:$ID$396,GS$169,SwaptionMonthsToGo+SwaptionShift),INDEX($FK$245:$ID$316,$FJ177-GS$169,73-GS$169+SwaptionShift):INDEX($FK$245:$ID$316,$FJ177-GS$169,72-GS$169+SwaptionMonthsToGo+SwaptionShift))/SQRT(SUM(INDEX($FK332:$ID332,1+SwaptionShift):INDEX($FK332:$ID332,SwaptionMonthsToGo+SwaptionShift))*SUM(INDEX($FK$325:$ID$396,GS$169,1+SwaptionShift):INDEX($FK$325:$ID$396,GS$169,SwaptionMonthsToGo+SwaptionShift))))))</f>
        <v/>
      </c>
      <c r="GT177" s="479" t="str">
        <f ca="1">IF(OR(GT$169&lt;SwaptionFirstMonthPosition+1,$FJ177&lt;SwaptionFirstMonthPosition+1,GT$169&gt;SwaptionFirstMonthPosition+SwaptionNumOfMonths+1,$FJ177&gt;SwaptionFirstMonthPosition+SwaptionNumOfMonths+1),"",IF($FJ177=GT$169,1,IF($FJ177&lt;GT$169,INDEX($FK$170:$ID$241,GT$169,$FJ177),SUMPRODUCT(INDEX($FK$325:$ID$396,GT$169,1+SwaptionShift):INDEX($FK$325:$ID$396,GT$169,SwaptionMonthsToGo+SwaptionShift),INDEX($FK$245:$ID$316,$FJ177-GT$169,73-GT$169+SwaptionShift):INDEX($FK$245:$ID$316,$FJ177-GT$169,72-GT$169+SwaptionMonthsToGo+SwaptionShift))/SQRT(SUM(INDEX($FK332:$ID332,1+SwaptionShift):INDEX($FK332:$ID332,SwaptionMonthsToGo+SwaptionShift))*SUM(INDEX($FK$325:$ID$396,GT$169,1+SwaptionShift):INDEX($FK$325:$ID$396,GT$169,SwaptionMonthsToGo+SwaptionShift))))))</f>
        <v/>
      </c>
      <c r="GU177" s="479" t="str">
        <f ca="1">IF(OR(GU$169&lt;SwaptionFirstMonthPosition+1,$FJ177&lt;SwaptionFirstMonthPosition+1,GU$169&gt;SwaptionFirstMonthPosition+SwaptionNumOfMonths+1,$FJ177&gt;SwaptionFirstMonthPosition+SwaptionNumOfMonths+1),"",IF($FJ177=GU$169,1,IF($FJ177&lt;GU$169,INDEX($FK$170:$ID$241,GU$169,$FJ177),SUMPRODUCT(INDEX($FK$325:$ID$396,GU$169,1+SwaptionShift):INDEX($FK$325:$ID$396,GU$169,SwaptionMonthsToGo+SwaptionShift),INDEX($FK$245:$ID$316,$FJ177-GU$169,73-GU$169+SwaptionShift):INDEX($FK$245:$ID$316,$FJ177-GU$169,72-GU$169+SwaptionMonthsToGo+SwaptionShift))/SQRT(SUM(INDEX($FK332:$ID332,1+SwaptionShift):INDEX($FK332:$ID332,SwaptionMonthsToGo+SwaptionShift))*SUM(INDEX($FK$325:$ID$396,GU$169,1+SwaptionShift):INDEX($FK$325:$ID$396,GU$169,SwaptionMonthsToGo+SwaptionShift))))))</f>
        <v/>
      </c>
      <c r="GV177" s="479" t="str">
        <f ca="1">IF(OR(GV$169&lt;SwaptionFirstMonthPosition+1,$FJ177&lt;SwaptionFirstMonthPosition+1,GV$169&gt;SwaptionFirstMonthPosition+SwaptionNumOfMonths+1,$FJ177&gt;SwaptionFirstMonthPosition+SwaptionNumOfMonths+1),"",IF($FJ177=GV$169,1,IF($FJ177&lt;GV$169,INDEX($FK$170:$ID$241,GV$169,$FJ177),SUMPRODUCT(INDEX($FK$325:$ID$396,GV$169,1+SwaptionShift):INDEX($FK$325:$ID$396,GV$169,SwaptionMonthsToGo+SwaptionShift),INDEX($FK$245:$ID$316,$FJ177-GV$169,73-GV$169+SwaptionShift):INDEX($FK$245:$ID$316,$FJ177-GV$169,72-GV$169+SwaptionMonthsToGo+SwaptionShift))/SQRT(SUM(INDEX($FK332:$ID332,1+SwaptionShift):INDEX($FK332:$ID332,SwaptionMonthsToGo+SwaptionShift))*SUM(INDEX($FK$325:$ID$396,GV$169,1+SwaptionShift):INDEX($FK$325:$ID$396,GV$169,SwaptionMonthsToGo+SwaptionShift))))))</f>
        <v/>
      </c>
      <c r="GW177" s="479" t="str">
        <f ca="1">IF(OR(GW$169&lt;SwaptionFirstMonthPosition+1,$FJ177&lt;SwaptionFirstMonthPosition+1,GW$169&gt;SwaptionFirstMonthPosition+SwaptionNumOfMonths+1,$FJ177&gt;SwaptionFirstMonthPosition+SwaptionNumOfMonths+1),"",IF($FJ177=GW$169,1,IF($FJ177&lt;GW$169,INDEX($FK$170:$ID$241,GW$169,$FJ177),SUMPRODUCT(INDEX($FK$325:$ID$396,GW$169,1+SwaptionShift):INDEX($FK$325:$ID$396,GW$169,SwaptionMonthsToGo+SwaptionShift),INDEX($FK$245:$ID$316,$FJ177-GW$169,73-GW$169+SwaptionShift):INDEX($FK$245:$ID$316,$FJ177-GW$169,72-GW$169+SwaptionMonthsToGo+SwaptionShift))/SQRT(SUM(INDEX($FK332:$ID332,1+SwaptionShift):INDEX($FK332:$ID332,SwaptionMonthsToGo+SwaptionShift))*SUM(INDEX($FK$325:$ID$396,GW$169,1+SwaptionShift):INDEX($FK$325:$ID$396,GW$169,SwaptionMonthsToGo+SwaptionShift))))))</f>
        <v/>
      </c>
      <c r="GX177" s="479" t="str">
        <f ca="1">IF(OR(GX$169&lt;SwaptionFirstMonthPosition+1,$FJ177&lt;SwaptionFirstMonthPosition+1,GX$169&gt;SwaptionFirstMonthPosition+SwaptionNumOfMonths+1,$FJ177&gt;SwaptionFirstMonthPosition+SwaptionNumOfMonths+1),"",IF($FJ177=GX$169,1,IF($FJ177&lt;GX$169,INDEX($FK$170:$ID$241,GX$169,$FJ177),SUMPRODUCT(INDEX($FK$325:$ID$396,GX$169,1+SwaptionShift):INDEX($FK$325:$ID$396,GX$169,SwaptionMonthsToGo+SwaptionShift),INDEX($FK$245:$ID$316,$FJ177-GX$169,73-GX$169+SwaptionShift):INDEX($FK$245:$ID$316,$FJ177-GX$169,72-GX$169+SwaptionMonthsToGo+SwaptionShift))/SQRT(SUM(INDEX($FK332:$ID332,1+SwaptionShift):INDEX($FK332:$ID332,SwaptionMonthsToGo+SwaptionShift))*SUM(INDEX($FK$325:$ID$396,GX$169,1+SwaptionShift):INDEX($FK$325:$ID$396,GX$169,SwaptionMonthsToGo+SwaptionShift))))))</f>
        <v/>
      </c>
      <c r="GY177" s="479" t="str">
        <f ca="1">IF(OR(GY$169&lt;SwaptionFirstMonthPosition+1,$FJ177&lt;SwaptionFirstMonthPosition+1,GY$169&gt;SwaptionFirstMonthPosition+SwaptionNumOfMonths+1,$FJ177&gt;SwaptionFirstMonthPosition+SwaptionNumOfMonths+1),"",IF($FJ177=GY$169,1,IF($FJ177&lt;GY$169,INDEX($FK$170:$ID$241,GY$169,$FJ177),SUMPRODUCT(INDEX($FK$325:$ID$396,GY$169,1+SwaptionShift):INDEX($FK$325:$ID$396,GY$169,SwaptionMonthsToGo+SwaptionShift),INDEX($FK$245:$ID$316,$FJ177-GY$169,73-GY$169+SwaptionShift):INDEX($FK$245:$ID$316,$FJ177-GY$169,72-GY$169+SwaptionMonthsToGo+SwaptionShift))/SQRT(SUM(INDEX($FK332:$ID332,1+SwaptionShift):INDEX($FK332:$ID332,SwaptionMonthsToGo+SwaptionShift))*SUM(INDEX($FK$325:$ID$396,GY$169,1+SwaptionShift):INDEX($FK$325:$ID$396,GY$169,SwaptionMonthsToGo+SwaptionShift))))))</f>
        <v/>
      </c>
      <c r="GZ177" s="479" t="str">
        <f ca="1">IF(OR(GZ$169&lt;SwaptionFirstMonthPosition+1,$FJ177&lt;SwaptionFirstMonthPosition+1,GZ$169&gt;SwaptionFirstMonthPosition+SwaptionNumOfMonths+1,$FJ177&gt;SwaptionFirstMonthPosition+SwaptionNumOfMonths+1),"",IF($FJ177=GZ$169,1,IF($FJ177&lt;GZ$169,INDEX($FK$170:$ID$241,GZ$169,$FJ177),SUMPRODUCT(INDEX($FK$325:$ID$396,GZ$169,1+SwaptionShift):INDEX($FK$325:$ID$396,GZ$169,SwaptionMonthsToGo+SwaptionShift),INDEX($FK$245:$ID$316,$FJ177-GZ$169,73-GZ$169+SwaptionShift):INDEX($FK$245:$ID$316,$FJ177-GZ$169,72-GZ$169+SwaptionMonthsToGo+SwaptionShift))/SQRT(SUM(INDEX($FK332:$ID332,1+SwaptionShift):INDEX($FK332:$ID332,SwaptionMonthsToGo+SwaptionShift))*SUM(INDEX($FK$325:$ID$396,GZ$169,1+SwaptionShift):INDEX($FK$325:$ID$396,GZ$169,SwaptionMonthsToGo+SwaptionShift))))))</f>
        <v/>
      </c>
      <c r="HA177" s="479" t="str">
        <f ca="1">IF(OR(HA$169&lt;SwaptionFirstMonthPosition+1,$FJ177&lt;SwaptionFirstMonthPosition+1,HA$169&gt;SwaptionFirstMonthPosition+SwaptionNumOfMonths+1,$FJ177&gt;SwaptionFirstMonthPosition+SwaptionNumOfMonths+1),"",IF($FJ177=HA$169,1,IF($FJ177&lt;HA$169,INDEX($FK$170:$ID$241,HA$169,$FJ177),SUMPRODUCT(INDEX($FK$325:$ID$396,HA$169,1+SwaptionShift):INDEX($FK$325:$ID$396,HA$169,SwaptionMonthsToGo+SwaptionShift),INDEX($FK$245:$ID$316,$FJ177-HA$169,73-HA$169+SwaptionShift):INDEX($FK$245:$ID$316,$FJ177-HA$169,72-HA$169+SwaptionMonthsToGo+SwaptionShift))/SQRT(SUM(INDEX($FK332:$ID332,1+SwaptionShift):INDEX($FK332:$ID332,SwaptionMonthsToGo+SwaptionShift))*SUM(INDEX($FK$325:$ID$396,HA$169,1+SwaptionShift):INDEX($FK$325:$ID$396,HA$169,SwaptionMonthsToGo+SwaptionShift))))))</f>
        <v/>
      </c>
      <c r="HB177" s="479" t="str">
        <f ca="1">IF(OR(HB$169&lt;SwaptionFirstMonthPosition+1,$FJ177&lt;SwaptionFirstMonthPosition+1,HB$169&gt;SwaptionFirstMonthPosition+SwaptionNumOfMonths+1,$FJ177&gt;SwaptionFirstMonthPosition+SwaptionNumOfMonths+1),"",IF($FJ177=HB$169,1,IF($FJ177&lt;HB$169,INDEX($FK$170:$ID$241,HB$169,$FJ177),SUMPRODUCT(INDEX($FK$325:$ID$396,HB$169,1+SwaptionShift):INDEX($FK$325:$ID$396,HB$169,SwaptionMonthsToGo+SwaptionShift),INDEX($FK$245:$ID$316,$FJ177-HB$169,73-HB$169+SwaptionShift):INDEX($FK$245:$ID$316,$FJ177-HB$169,72-HB$169+SwaptionMonthsToGo+SwaptionShift))/SQRT(SUM(INDEX($FK332:$ID332,1+SwaptionShift):INDEX($FK332:$ID332,SwaptionMonthsToGo+SwaptionShift))*SUM(INDEX($FK$325:$ID$396,HB$169,1+SwaptionShift):INDEX($FK$325:$ID$396,HB$169,SwaptionMonthsToGo+SwaptionShift))))))</f>
        <v/>
      </c>
      <c r="HC177" s="479" t="str">
        <f ca="1">IF(OR(HC$169&lt;SwaptionFirstMonthPosition+1,$FJ177&lt;SwaptionFirstMonthPosition+1,HC$169&gt;SwaptionFirstMonthPosition+SwaptionNumOfMonths+1,$FJ177&gt;SwaptionFirstMonthPosition+SwaptionNumOfMonths+1),"",IF($FJ177=HC$169,1,IF($FJ177&lt;HC$169,INDEX($FK$170:$ID$241,HC$169,$FJ177),SUMPRODUCT(INDEX($FK$325:$ID$396,HC$169,1+SwaptionShift):INDEX($FK$325:$ID$396,HC$169,SwaptionMonthsToGo+SwaptionShift),INDEX($FK$245:$ID$316,$FJ177-HC$169,73-HC$169+SwaptionShift):INDEX($FK$245:$ID$316,$FJ177-HC$169,72-HC$169+SwaptionMonthsToGo+SwaptionShift))/SQRT(SUM(INDEX($FK332:$ID332,1+SwaptionShift):INDEX($FK332:$ID332,SwaptionMonthsToGo+SwaptionShift))*SUM(INDEX($FK$325:$ID$396,HC$169,1+SwaptionShift):INDEX($FK$325:$ID$396,HC$169,SwaptionMonthsToGo+SwaptionShift))))))</f>
        <v/>
      </c>
      <c r="HD177" s="479" t="str">
        <f ca="1">IF(OR(HD$169&lt;SwaptionFirstMonthPosition+1,$FJ177&lt;SwaptionFirstMonthPosition+1,HD$169&gt;SwaptionFirstMonthPosition+SwaptionNumOfMonths+1,$FJ177&gt;SwaptionFirstMonthPosition+SwaptionNumOfMonths+1),"",IF($FJ177=HD$169,1,IF($FJ177&lt;HD$169,INDEX($FK$170:$ID$241,HD$169,$FJ177),SUMPRODUCT(INDEX($FK$325:$ID$396,HD$169,1+SwaptionShift):INDEX($FK$325:$ID$396,HD$169,SwaptionMonthsToGo+SwaptionShift),INDEX($FK$245:$ID$316,$FJ177-HD$169,73-HD$169+SwaptionShift):INDEX($FK$245:$ID$316,$FJ177-HD$169,72-HD$169+SwaptionMonthsToGo+SwaptionShift))/SQRT(SUM(INDEX($FK332:$ID332,1+SwaptionShift):INDEX($FK332:$ID332,SwaptionMonthsToGo+SwaptionShift))*SUM(INDEX($FK$325:$ID$396,HD$169,1+SwaptionShift):INDEX($FK$325:$ID$396,HD$169,SwaptionMonthsToGo+SwaptionShift))))))</f>
        <v/>
      </c>
      <c r="HE177" s="479" t="str">
        <f ca="1">IF(OR(HE$169&lt;SwaptionFirstMonthPosition+1,$FJ177&lt;SwaptionFirstMonthPosition+1,HE$169&gt;SwaptionFirstMonthPosition+SwaptionNumOfMonths+1,$FJ177&gt;SwaptionFirstMonthPosition+SwaptionNumOfMonths+1),"",IF($FJ177=HE$169,1,IF($FJ177&lt;HE$169,INDEX($FK$170:$ID$241,HE$169,$FJ177),SUMPRODUCT(INDEX($FK$325:$ID$396,HE$169,1+SwaptionShift):INDEX($FK$325:$ID$396,HE$169,SwaptionMonthsToGo+SwaptionShift),INDEX($FK$245:$ID$316,$FJ177-HE$169,73-HE$169+SwaptionShift):INDEX($FK$245:$ID$316,$FJ177-HE$169,72-HE$169+SwaptionMonthsToGo+SwaptionShift))/SQRT(SUM(INDEX($FK332:$ID332,1+SwaptionShift):INDEX($FK332:$ID332,SwaptionMonthsToGo+SwaptionShift))*SUM(INDEX($FK$325:$ID$396,HE$169,1+SwaptionShift):INDEX($FK$325:$ID$396,HE$169,SwaptionMonthsToGo+SwaptionShift))))))</f>
        <v/>
      </c>
      <c r="HF177" s="479" t="str">
        <f ca="1">IF(OR(HF$169&lt;SwaptionFirstMonthPosition+1,$FJ177&lt;SwaptionFirstMonthPosition+1,HF$169&gt;SwaptionFirstMonthPosition+SwaptionNumOfMonths+1,$FJ177&gt;SwaptionFirstMonthPosition+SwaptionNumOfMonths+1),"",IF($FJ177=HF$169,1,IF($FJ177&lt;HF$169,INDEX($FK$170:$ID$241,HF$169,$FJ177),SUMPRODUCT(INDEX($FK$325:$ID$396,HF$169,1+SwaptionShift):INDEX($FK$325:$ID$396,HF$169,SwaptionMonthsToGo+SwaptionShift),INDEX($FK$245:$ID$316,$FJ177-HF$169,73-HF$169+SwaptionShift):INDEX($FK$245:$ID$316,$FJ177-HF$169,72-HF$169+SwaptionMonthsToGo+SwaptionShift))/SQRT(SUM(INDEX($FK332:$ID332,1+SwaptionShift):INDEX($FK332:$ID332,SwaptionMonthsToGo+SwaptionShift))*SUM(INDEX($FK$325:$ID$396,HF$169,1+SwaptionShift):INDEX($FK$325:$ID$396,HF$169,SwaptionMonthsToGo+SwaptionShift))))))</f>
        <v/>
      </c>
      <c r="HG177" s="479" t="str">
        <f ca="1">IF(OR(HG$169&lt;SwaptionFirstMonthPosition+1,$FJ177&lt;SwaptionFirstMonthPosition+1,HG$169&gt;SwaptionFirstMonthPosition+SwaptionNumOfMonths+1,$FJ177&gt;SwaptionFirstMonthPosition+SwaptionNumOfMonths+1),"",IF($FJ177=HG$169,1,IF($FJ177&lt;HG$169,INDEX($FK$170:$ID$241,HG$169,$FJ177),SUMPRODUCT(INDEX($FK$325:$ID$396,HG$169,1+SwaptionShift):INDEX($FK$325:$ID$396,HG$169,SwaptionMonthsToGo+SwaptionShift),INDEX($FK$245:$ID$316,$FJ177-HG$169,73-HG$169+SwaptionShift):INDEX($FK$245:$ID$316,$FJ177-HG$169,72-HG$169+SwaptionMonthsToGo+SwaptionShift))/SQRT(SUM(INDEX($FK332:$ID332,1+SwaptionShift):INDEX($FK332:$ID332,SwaptionMonthsToGo+SwaptionShift))*SUM(INDEX($FK$325:$ID$396,HG$169,1+SwaptionShift):INDEX($FK$325:$ID$396,HG$169,SwaptionMonthsToGo+SwaptionShift))))))</f>
        <v/>
      </c>
      <c r="HH177" s="479" t="str">
        <f ca="1">IF(OR(HH$169&lt;SwaptionFirstMonthPosition+1,$FJ177&lt;SwaptionFirstMonthPosition+1,HH$169&gt;SwaptionFirstMonthPosition+SwaptionNumOfMonths+1,$FJ177&gt;SwaptionFirstMonthPosition+SwaptionNumOfMonths+1),"",IF($FJ177=HH$169,1,IF($FJ177&lt;HH$169,INDEX($FK$170:$ID$241,HH$169,$FJ177),SUMPRODUCT(INDEX($FK$325:$ID$396,HH$169,1+SwaptionShift):INDEX($FK$325:$ID$396,HH$169,SwaptionMonthsToGo+SwaptionShift),INDEX($FK$245:$ID$316,$FJ177-HH$169,73-HH$169+SwaptionShift):INDEX($FK$245:$ID$316,$FJ177-HH$169,72-HH$169+SwaptionMonthsToGo+SwaptionShift))/SQRT(SUM(INDEX($FK332:$ID332,1+SwaptionShift):INDEX($FK332:$ID332,SwaptionMonthsToGo+SwaptionShift))*SUM(INDEX($FK$325:$ID$396,HH$169,1+SwaptionShift):INDEX($FK$325:$ID$396,HH$169,SwaptionMonthsToGo+SwaptionShift))))))</f>
        <v/>
      </c>
      <c r="HI177" s="479" t="str">
        <f ca="1">IF(OR(HI$169&lt;SwaptionFirstMonthPosition+1,$FJ177&lt;SwaptionFirstMonthPosition+1,HI$169&gt;SwaptionFirstMonthPosition+SwaptionNumOfMonths+1,$FJ177&gt;SwaptionFirstMonthPosition+SwaptionNumOfMonths+1),"",IF($FJ177=HI$169,1,IF($FJ177&lt;HI$169,INDEX($FK$170:$ID$241,HI$169,$FJ177),SUMPRODUCT(INDEX($FK$325:$ID$396,HI$169,1+SwaptionShift):INDEX($FK$325:$ID$396,HI$169,SwaptionMonthsToGo+SwaptionShift),INDEX($FK$245:$ID$316,$FJ177-HI$169,73-HI$169+SwaptionShift):INDEX($FK$245:$ID$316,$FJ177-HI$169,72-HI$169+SwaptionMonthsToGo+SwaptionShift))/SQRT(SUM(INDEX($FK332:$ID332,1+SwaptionShift):INDEX($FK332:$ID332,SwaptionMonthsToGo+SwaptionShift))*SUM(INDEX($FK$325:$ID$396,HI$169,1+SwaptionShift):INDEX($FK$325:$ID$396,HI$169,SwaptionMonthsToGo+SwaptionShift))))))</f>
        <v/>
      </c>
      <c r="HJ177" s="479" t="str">
        <f ca="1">IF(OR(HJ$169&lt;SwaptionFirstMonthPosition+1,$FJ177&lt;SwaptionFirstMonthPosition+1,HJ$169&gt;SwaptionFirstMonthPosition+SwaptionNumOfMonths+1,$FJ177&gt;SwaptionFirstMonthPosition+SwaptionNumOfMonths+1),"",IF($FJ177=HJ$169,1,IF($FJ177&lt;HJ$169,INDEX($FK$170:$ID$241,HJ$169,$FJ177),SUMPRODUCT(INDEX($FK$325:$ID$396,HJ$169,1+SwaptionShift):INDEX($FK$325:$ID$396,HJ$169,SwaptionMonthsToGo+SwaptionShift),INDEX($FK$245:$ID$316,$FJ177-HJ$169,73-HJ$169+SwaptionShift):INDEX($FK$245:$ID$316,$FJ177-HJ$169,72-HJ$169+SwaptionMonthsToGo+SwaptionShift))/SQRT(SUM(INDEX($FK332:$ID332,1+SwaptionShift):INDEX($FK332:$ID332,SwaptionMonthsToGo+SwaptionShift))*SUM(INDEX($FK$325:$ID$396,HJ$169,1+SwaptionShift):INDEX($FK$325:$ID$396,HJ$169,SwaptionMonthsToGo+SwaptionShift))))))</f>
        <v/>
      </c>
      <c r="HK177" s="479" t="str">
        <f ca="1">IF(OR(HK$169&lt;SwaptionFirstMonthPosition+1,$FJ177&lt;SwaptionFirstMonthPosition+1,HK$169&gt;SwaptionFirstMonthPosition+SwaptionNumOfMonths+1,$FJ177&gt;SwaptionFirstMonthPosition+SwaptionNumOfMonths+1),"",IF($FJ177=HK$169,1,IF($FJ177&lt;HK$169,INDEX($FK$170:$ID$241,HK$169,$FJ177),SUMPRODUCT(INDEX($FK$325:$ID$396,HK$169,1+SwaptionShift):INDEX($FK$325:$ID$396,HK$169,SwaptionMonthsToGo+SwaptionShift),INDEX($FK$245:$ID$316,$FJ177-HK$169,73-HK$169+SwaptionShift):INDEX($FK$245:$ID$316,$FJ177-HK$169,72-HK$169+SwaptionMonthsToGo+SwaptionShift))/SQRT(SUM(INDEX($FK332:$ID332,1+SwaptionShift):INDEX($FK332:$ID332,SwaptionMonthsToGo+SwaptionShift))*SUM(INDEX($FK$325:$ID$396,HK$169,1+SwaptionShift):INDEX($FK$325:$ID$396,HK$169,SwaptionMonthsToGo+SwaptionShift))))))</f>
        <v/>
      </c>
      <c r="HL177" s="479" t="str">
        <f ca="1">IF(OR(HL$169&lt;SwaptionFirstMonthPosition+1,$FJ177&lt;SwaptionFirstMonthPosition+1,HL$169&gt;SwaptionFirstMonthPosition+SwaptionNumOfMonths+1,$FJ177&gt;SwaptionFirstMonthPosition+SwaptionNumOfMonths+1),"",IF($FJ177=HL$169,1,IF($FJ177&lt;HL$169,INDEX($FK$170:$ID$241,HL$169,$FJ177),SUMPRODUCT(INDEX($FK$325:$ID$396,HL$169,1+SwaptionShift):INDEX($FK$325:$ID$396,HL$169,SwaptionMonthsToGo+SwaptionShift),INDEX($FK$245:$ID$316,$FJ177-HL$169,73-HL$169+SwaptionShift):INDEX($FK$245:$ID$316,$FJ177-HL$169,72-HL$169+SwaptionMonthsToGo+SwaptionShift))/SQRT(SUM(INDEX($FK332:$ID332,1+SwaptionShift):INDEX($FK332:$ID332,SwaptionMonthsToGo+SwaptionShift))*SUM(INDEX($FK$325:$ID$396,HL$169,1+SwaptionShift):INDEX($FK$325:$ID$396,HL$169,SwaptionMonthsToGo+SwaptionShift))))))</f>
        <v/>
      </c>
      <c r="HM177" s="479" t="str">
        <f ca="1">IF(OR(HM$169&lt;SwaptionFirstMonthPosition+1,$FJ177&lt;SwaptionFirstMonthPosition+1,HM$169&gt;SwaptionFirstMonthPosition+SwaptionNumOfMonths+1,$FJ177&gt;SwaptionFirstMonthPosition+SwaptionNumOfMonths+1),"",IF($FJ177=HM$169,1,IF($FJ177&lt;HM$169,INDEX($FK$170:$ID$241,HM$169,$FJ177),SUMPRODUCT(INDEX($FK$325:$ID$396,HM$169,1+SwaptionShift):INDEX($FK$325:$ID$396,HM$169,SwaptionMonthsToGo+SwaptionShift),INDEX($FK$245:$ID$316,$FJ177-HM$169,73-HM$169+SwaptionShift):INDEX($FK$245:$ID$316,$FJ177-HM$169,72-HM$169+SwaptionMonthsToGo+SwaptionShift))/SQRT(SUM(INDEX($FK332:$ID332,1+SwaptionShift):INDEX($FK332:$ID332,SwaptionMonthsToGo+SwaptionShift))*SUM(INDEX($FK$325:$ID$396,HM$169,1+SwaptionShift):INDEX($FK$325:$ID$396,HM$169,SwaptionMonthsToGo+SwaptionShift))))))</f>
        <v/>
      </c>
      <c r="HN177" s="479" t="str">
        <f ca="1">IF(OR(HN$169&lt;SwaptionFirstMonthPosition+1,$FJ177&lt;SwaptionFirstMonthPosition+1,HN$169&gt;SwaptionFirstMonthPosition+SwaptionNumOfMonths+1,$FJ177&gt;SwaptionFirstMonthPosition+SwaptionNumOfMonths+1),"",IF($FJ177=HN$169,1,IF($FJ177&lt;HN$169,INDEX($FK$170:$ID$241,HN$169,$FJ177),SUMPRODUCT(INDEX($FK$325:$ID$396,HN$169,1+SwaptionShift):INDEX($FK$325:$ID$396,HN$169,SwaptionMonthsToGo+SwaptionShift),INDEX($FK$245:$ID$316,$FJ177-HN$169,73-HN$169+SwaptionShift):INDEX($FK$245:$ID$316,$FJ177-HN$169,72-HN$169+SwaptionMonthsToGo+SwaptionShift))/SQRT(SUM(INDEX($FK332:$ID332,1+SwaptionShift):INDEX($FK332:$ID332,SwaptionMonthsToGo+SwaptionShift))*SUM(INDEX($FK$325:$ID$396,HN$169,1+SwaptionShift):INDEX($FK$325:$ID$396,HN$169,SwaptionMonthsToGo+SwaptionShift))))))</f>
        <v/>
      </c>
      <c r="HO177" s="479" t="str">
        <f ca="1">IF(OR(HO$169&lt;SwaptionFirstMonthPosition+1,$FJ177&lt;SwaptionFirstMonthPosition+1,HO$169&gt;SwaptionFirstMonthPosition+SwaptionNumOfMonths+1,$FJ177&gt;SwaptionFirstMonthPosition+SwaptionNumOfMonths+1),"",IF($FJ177=HO$169,1,IF($FJ177&lt;HO$169,INDEX($FK$170:$ID$241,HO$169,$FJ177),SUMPRODUCT(INDEX($FK$325:$ID$396,HO$169,1+SwaptionShift):INDEX($FK$325:$ID$396,HO$169,SwaptionMonthsToGo+SwaptionShift),INDEX($FK$245:$ID$316,$FJ177-HO$169,73-HO$169+SwaptionShift):INDEX($FK$245:$ID$316,$FJ177-HO$169,72-HO$169+SwaptionMonthsToGo+SwaptionShift))/SQRT(SUM(INDEX($FK332:$ID332,1+SwaptionShift):INDEX($FK332:$ID332,SwaptionMonthsToGo+SwaptionShift))*SUM(INDEX($FK$325:$ID$396,HO$169,1+SwaptionShift):INDEX($FK$325:$ID$396,HO$169,SwaptionMonthsToGo+SwaptionShift))))))</f>
        <v/>
      </c>
      <c r="HP177" s="479" t="str">
        <f ca="1">IF(OR(HP$169&lt;SwaptionFirstMonthPosition+1,$FJ177&lt;SwaptionFirstMonthPosition+1,HP$169&gt;SwaptionFirstMonthPosition+SwaptionNumOfMonths+1,$FJ177&gt;SwaptionFirstMonthPosition+SwaptionNumOfMonths+1),"",IF($FJ177=HP$169,1,IF($FJ177&lt;HP$169,INDEX($FK$170:$ID$241,HP$169,$FJ177),SUMPRODUCT(INDEX($FK$325:$ID$396,HP$169,1+SwaptionShift):INDEX($FK$325:$ID$396,HP$169,SwaptionMonthsToGo+SwaptionShift),INDEX($FK$245:$ID$316,$FJ177-HP$169,73-HP$169+SwaptionShift):INDEX($FK$245:$ID$316,$FJ177-HP$169,72-HP$169+SwaptionMonthsToGo+SwaptionShift))/SQRT(SUM(INDEX($FK332:$ID332,1+SwaptionShift):INDEX($FK332:$ID332,SwaptionMonthsToGo+SwaptionShift))*SUM(INDEX($FK$325:$ID$396,HP$169,1+SwaptionShift):INDEX($FK$325:$ID$396,HP$169,SwaptionMonthsToGo+SwaptionShift))))))</f>
        <v/>
      </c>
      <c r="HQ177" s="479" t="str">
        <f ca="1">IF(OR(HQ$169&lt;SwaptionFirstMonthPosition+1,$FJ177&lt;SwaptionFirstMonthPosition+1,HQ$169&gt;SwaptionFirstMonthPosition+SwaptionNumOfMonths+1,$FJ177&gt;SwaptionFirstMonthPosition+SwaptionNumOfMonths+1),"",IF($FJ177=HQ$169,1,IF($FJ177&lt;HQ$169,INDEX($FK$170:$ID$241,HQ$169,$FJ177),SUMPRODUCT(INDEX($FK$325:$ID$396,HQ$169,1+SwaptionShift):INDEX($FK$325:$ID$396,HQ$169,SwaptionMonthsToGo+SwaptionShift),INDEX($FK$245:$ID$316,$FJ177-HQ$169,73-HQ$169+SwaptionShift):INDEX($FK$245:$ID$316,$FJ177-HQ$169,72-HQ$169+SwaptionMonthsToGo+SwaptionShift))/SQRT(SUM(INDEX($FK332:$ID332,1+SwaptionShift):INDEX($FK332:$ID332,SwaptionMonthsToGo+SwaptionShift))*SUM(INDEX($FK$325:$ID$396,HQ$169,1+SwaptionShift):INDEX($FK$325:$ID$396,HQ$169,SwaptionMonthsToGo+SwaptionShift))))))</f>
        <v/>
      </c>
      <c r="HR177" s="479" t="str">
        <f ca="1">IF(OR(HR$169&lt;SwaptionFirstMonthPosition+1,$FJ177&lt;SwaptionFirstMonthPosition+1,HR$169&gt;SwaptionFirstMonthPosition+SwaptionNumOfMonths+1,$FJ177&gt;SwaptionFirstMonthPosition+SwaptionNumOfMonths+1),"",IF($FJ177=HR$169,1,IF($FJ177&lt;HR$169,INDEX($FK$170:$ID$241,HR$169,$FJ177),SUMPRODUCT(INDEX($FK$325:$ID$396,HR$169,1+SwaptionShift):INDEX($FK$325:$ID$396,HR$169,SwaptionMonthsToGo+SwaptionShift),INDEX($FK$245:$ID$316,$FJ177-HR$169,73-HR$169+SwaptionShift):INDEX($FK$245:$ID$316,$FJ177-HR$169,72-HR$169+SwaptionMonthsToGo+SwaptionShift))/SQRT(SUM(INDEX($FK332:$ID332,1+SwaptionShift):INDEX($FK332:$ID332,SwaptionMonthsToGo+SwaptionShift))*SUM(INDEX($FK$325:$ID$396,HR$169,1+SwaptionShift):INDEX($FK$325:$ID$396,HR$169,SwaptionMonthsToGo+SwaptionShift))))))</f>
        <v/>
      </c>
      <c r="HS177" s="479" t="str">
        <f ca="1">IF(OR(HS$169&lt;SwaptionFirstMonthPosition+1,$FJ177&lt;SwaptionFirstMonthPosition+1,HS$169&gt;SwaptionFirstMonthPosition+SwaptionNumOfMonths+1,$FJ177&gt;SwaptionFirstMonthPosition+SwaptionNumOfMonths+1),"",IF($FJ177=HS$169,1,IF($FJ177&lt;HS$169,INDEX($FK$170:$ID$241,HS$169,$FJ177),SUMPRODUCT(INDEX($FK$325:$ID$396,HS$169,1+SwaptionShift):INDEX($FK$325:$ID$396,HS$169,SwaptionMonthsToGo+SwaptionShift),INDEX($FK$245:$ID$316,$FJ177-HS$169,73-HS$169+SwaptionShift):INDEX($FK$245:$ID$316,$FJ177-HS$169,72-HS$169+SwaptionMonthsToGo+SwaptionShift))/SQRT(SUM(INDEX($FK332:$ID332,1+SwaptionShift):INDEX($FK332:$ID332,SwaptionMonthsToGo+SwaptionShift))*SUM(INDEX($FK$325:$ID$396,HS$169,1+SwaptionShift):INDEX($FK$325:$ID$396,HS$169,SwaptionMonthsToGo+SwaptionShift))))))</f>
        <v/>
      </c>
      <c r="HT177" s="479" t="str">
        <f ca="1">IF(OR(HT$169&lt;SwaptionFirstMonthPosition+1,$FJ177&lt;SwaptionFirstMonthPosition+1,HT$169&gt;SwaptionFirstMonthPosition+SwaptionNumOfMonths+1,$FJ177&gt;SwaptionFirstMonthPosition+SwaptionNumOfMonths+1),"",IF($FJ177=HT$169,1,IF($FJ177&lt;HT$169,INDEX($FK$170:$ID$241,HT$169,$FJ177),SUMPRODUCT(INDEX($FK$325:$ID$396,HT$169,1+SwaptionShift):INDEX($FK$325:$ID$396,HT$169,SwaptionMonthsToGo+SwaptionShift),INDEX($FK$245:$ID$316,$FJ177-HT$169,73-HT$169+SwaptionShift):INDEX($FK$245:$ID$316,$FJ177-HT$169,72-HT$169+SwaptionMonthsToGo+SwaptionShift))/SQRT(SUM(INDEX($FK332:$ID332,1+SwaptionShift):INDEX($FK332:$ID332,SwaptionMonthsToGo+SwaptionShift))*SUM(INDEX($FK$325:$ID$396,HT$169,1+SwaptionShift):INDEX($FK$325:$ID$396,HT$169,SwaptionMonthsToGo+SwaptionShift))))))</f>
        <v/>
      </c>
      <c r="HU177" s="479" t="str">
        <f ca="1">IF(OR(HU$169&lt;SwaptionFirstMonthPosition+1,$FJ177&lt;SwaptionFirstMonthPosition+1,HU$169&gt;SwaptionFirstMonthPosition+SwaptionNumOfMonths+1,$FJ177&gt;SwaptionFirstMonthPosition+SwaptionNumOfMonths+1),"",IF($FJ177=HU$169,1,IF($FJ177&lt;HU$169,INDEX($FK$170:$ID$241,HU$169,$FJ177),SUMPRODUCT(INDEX($FK$325:$ID$396,HU$169,1+SwaptionShift):INDEX($FK$325:$ID$396,HU$169,SwaptionMonthsToGo+SwaptionShift),INDEX($FK$245:$ID$316,$FJ177-HU$169,73-HU$169+SwaptionShift):INDEX($FK$245:$ID$316,$FJ177-HU$169,72-HU$169+SwaptionMonthsToGo+SwaptionShift))/SQRT(SUM(INDEX($FK332:$ID332,1+SwaptionShift):INDEX($FK332:$ID332,SwaptionMonthsToGo+SwaptionShift))*SUM(INDEX($FK$325:$ID$396,HU$169,1+SwaptionShift):INDEX($FK$325:$ID$396,HU$169,SwaptionMonthsToGo+SwaptionShift))))))</f>
        <v/>
      </c>
      <c r="HV177" s="479" t="str">
        <f ca="1">IF(OR(HV$169&lt;SwaptionFirstMonthPosition+1,$FJ177&lt;SwaptionFirstMonthPosition+1,HV$169&gt;SwaptionFirstMonthPosition+SwaptionNumOfMonths+1,$FJ177&gt;SwaptionFirstMonthPosition+SwaptionNumOfMonths+1),"",IF($FJ177=HV$169,1,IF($FJ177&lt;HV$169,INDEX($FK$170:$ID$241,HV$169,$FJ177),SUMPRODUCT(INDEX($FK$325:$ID$396,HV$169,1+SwaptionShift):INDEX($FK$325:$ID$396,HV$169,SwaptionMonthsToGo+SwaptionShift),INDEX($FK$245:$ID$316,$FJ177-HV$169,73-HV$169+SwaptionShift):INDEX($FK$245:$ID$316,$FJ177-HV$169,72-HV$169+SwaptionMonthsToGo+SwaptionShift))/SQRT(SUM(INDEX($FK332:$ID332,1+SwaptionShift):INDEX($FK332:$ID332,SwaptionMonthsToGo+SwaptionShift))*SUM(INDEX($FK$325:$ID$396,HV$169,1+SwaptionShift):INDEX($FK$325:$ID$396,HV$169,SwaptionMonthsToGo+SwaptionShift))))))</f>
        <v/>
      </c>
      <c r="HW177" s="479" t="str">
        <f ca="1">IF(OR(HW$169&lt;SwaptionFirstMonthPosition+1,$FJ177&lt;SwaptionFirstMonthPosition+1,HW$169&gt;SwaptionFirstMonthPosition+SwaptionNumOfMonths+1,$FJ177&gt;SwaptionFirstMonthPosition+SwaptionNumOfMonths+1),"",IF($FJ177=HW$169,1,IF($FJ177&lt;HW$169,INDEX($FK$170:$ID$241,HW$169,$FJ177),SUMPRODUCT(INDEX($FK$325:$ID$396,HW$169,1+SwaptionShift):INDEX($FK$325:$ID$396,HW$169,SwaptionMonthsToGo+SwaptionShift),INDEX($FK$245:$ID$316,$FJ177-HW$169,73-HW$169+SwaptionShift):INDEX($FK$245:$ID$316,$FJ177-HW$169,72-HW$169+SwaptionMonthsToGo+SwaptionShift))/SQRT(SUM(INDEX($FK332:$ID332,1+SwaptionShift):INDEX($FK332:$ID332,SwaptionMonthsToGo+SwaptionShift))*SUM(INDEX($FK$325:$ID$396,HW$169,1+SwaptionShift):INDEX($FK$325:$ID$396,HW$169,SwaptionMonthsToGo+SwaptionShift))))))</f>
        <v/>
      </c>
      <c r="HX177" s="479" t="str">
        <f ca="1">IF(OR(HX$169&lt;SwaptionFirstMonthPosition+1,$FJ177&lt;SwaptionFirstMonthPosition+1,HX$169&gt;SwaptionFirstMonthPosition+SwaptionNumOfMonths+1,$FJ177&gt;SwaptionFirstMonthPosition+SwaptionNumOfMonths+1),"",IF($FJ177=HX$169,1,IF($FJ177&lt;HX$169,INDEX($FK$170:$ID$241,HX$169,$FJ177),SUMPRODUCT(INDEX($FK$325:$ID$396,HX$169,1+SwaptionShift):INDEX($FK$325:$ID$396,HX$169,SwaptionMonthsToGo+SwaptionShift),INDEX($FK$245:$ID$316,$FJ177-HX$169,73-HX$169+SwaptionShift):INDEX($FK$245:$ID$316,$FJ177-HX$169,72-HX$169+SwaptionMonthsToGo+SwaptionShift))/SQRT(SUM(INDEX($FK332:$ID332,1+SwaptionShift):INDEX($FK332:$ID332,SwaptionMonthsToGo+SwaptionShift))*SUM(INDEX($FK$325:$ID$396,HX$169,1+SwaptionShift):INDEX($FK$325:$ID$396,HX$169,SwaptionMonthsToGo+SwaptionShift))))))</f>
        <v/>
      </c>
      <c r="HY177" s="479" t="str">
        <f ca="1">IF(OR(HY$169&lt;SwaptionFirstMonthPosition+1,$FJ177&lt;SwaptionFirstMonthPosition+1,HY$169&gt;SwaptionFirstMonthPosition+SwaptionNumOfMonths+1,$FJ177&gt;SwaptionFirstMonthPosition+SwaptionNumOfMonths+1),"",IF($FJ177=HY$169,1,IF($FJ177&lt;HY$169,INDEX($FK$170:$ID$241,HY$169,$FJ177),SUMPRODUCT(INDEX($FK$325:$ID$396,HY$169,1+SwaptionShift):INDEX($FK$325:$ID$396,HY$169,SwaptionMonthsToGo+SwaptionShift),INDEX($FK$245:$ID$316,$FJ177-HY$169,73-HY$169+SwaptionShift):INDEX($FK$245:$ID$316,$FJ177-HY$169,72-HY$169+SwaptionMonthsToGo+SwaptionShift))/SQRT(SUM(INDEX($FK332:$ID332,1+SwaptionShift):INDEX($FK332:$ID332,SwaptionMonthsToGo+SwaptionShift))*SUM(INDEX($FK$325:$ID$396,HY$169,1+SwaptionShift):INDEX($FK$325:$ID$396,HY$169,SwaptionMonthsToGo+SwaptionShift))))))</f>
        <v/>
      </c>
      <c r="HZ177" s="479" t="str">
        <f ca="1">IF(OR(HZ$169&lt;SwaptionFirstMonthPosition+1,$FJ177&lt;SwaptionFirstMonthPosition+1,HZ$169&gt;SwaptionFirstMonthPosition+SwaptionNumOfMonths+1,$FJ177&gt;SwaptionFirstMonthPosition+SwaptionNumOfMonths+1),"",IF($FJ177=HZ$169,1,IF($FJ177&lt;HZ$169,INDEX($FK$170:$ID$241,HZ$169,$FJ177),SUMPRODUCT(INDEX($FK$325:$ID$396,HZ$169,1+SwaptionShift):INDEX($FK$325:$ID$396,HZ$169,SwaptionMonthsToGo+SwaptionShift),INDEX($FK$245:$ID$316,$FJ177-HZ$169,73-HZ$169+SwaptionShift):INDEX($FK$245:$ID$316,$FJ177-HZ$169,72-HZ$169+SwaptionMonthsToGo+SwaptionShift))/SQRT(SUM(INDEX($FK332:$ID332,1+SwaptionShift):INDEX($FK332:$ID332,SwaptionMonthsToGo+SwaptionShift))*SUM(INDEX($FK$325:$ID$396,HZ$169,1+SwaptionShift):INDEX($FK$325:$ID$396,HZ$169,SwaptionMonthsToGo+SwaptionShift))))))</f>
        <v/>
      </c>
      <c r="IA177" s="479" t="str">
        <f ca="1">IF(OR(IA$169&lt;SwaptionFirstMonthPosition+1,$FJ177&lt;SwaptionFirstMonthPosition+1,IA$169&gt;SwaptionFirstMonthPosition+SwaptionNumOfMonths+1,$FJ177&gt;SwaptionFirstMonthPosition+SwaptionNumOfMonths+1),"",IF($FJ177=IA$169,1,IF($FJ177&lt;IA$169,INDEX($FK$170:$ID$241,IA$169,$FJ177),SUMPRODUCT(INDEX($FK$325:$ID$396,IA$169,1+SwaptionShift):INDEX($FK$325:$ID$396,IA$169,SwaptionMonthsToGo+SwaptionShift),INDEX($FK$245:$ID$316,$FJ177-IA$169,73-IA$169+SwaptionShift):INDEX($FK$245:$ID$316,$FJ177-IA$169,72-IA$169+SwaptionMonthsToGo+SwaptionShift))/SQRT(SUM(INDEX($FK332:$ID332,1+SwaptionShift):INDEX($FK332:$ID332,SwaptionMonthsToGo+SwaptionShift))*SUM(INDEX($FK$325:$ID$396,IA$169,1+SwaptionShift):INDEX($FK$325:$ID$396,IA$169,SwaptionMonthsToGo+SwaptionShift))))))</f>
        <v/>
      </c>
      <c r="IB177" s="479" t="str">
        <f ca="1">IF(OR(IB$169&lt;SwaptionFirstMonthPosition+1,$FJ177&lt;SwaptionFirstMonthPosition+1,IB$169&gt;SwaptionFirstMonthPosition+SwaptionNumOfMonths+1,$FJ177&gt;SwaptionFirstMonthPosition+SwaptionNumOfMonths+1),"",IF($FJ177=IB$169,1,IF($FJ177&lt;IB$169,INDEX($FK$170:$ID$241,IB$169,$FJ177),SUMPRODUCT(INDEX($FK$325:$ID$396,IB$169,1+SwaptionShift):INDEX($FK$325:$ID$396,IB$169,SwaptionMonthsToGo+SwaptionShift),INDEX($FK$245:$ID$316,$FJ177-IB$169,73-IB$169+SwaptionShift):INDEX($FK$245:$ID$316,$FJ177-IB$169,72-IB$169+SwaptionMonthsToGo+SwaptionShift))/SQRT(SUM(INDEX($FK332:$ID332,1+SwaptionShift):INDEX($FK332:$ID332,SwaptionMonthsToGo+SwaptionShift))*SUM(INDEX($FK$325:$ID$396,IB$169,1+SwaptionShift):INDEX($FK$325:$ID$396,IB$169,SwaptionMonthsToGo+SwaptionShift))))))</f>
        <v/>
      </c>
      <c r="IC177" s="479" t="str">
        <f ca="1">IF(OR(IC$169&lt;SwaptionFirstMonthPosition+1,$FJ177&lt;SwaptionFirstMonthPosition+1,IC$169&gt;SwaptionFirstMonthPosition+SwaptionNumOfMonths+1,$FJ177&gt;SwaptionFirstMonthPosition+SwaptionNumOfMonths+1),"",IF($FJ177=IC$169,1,IF($FJ177&lt;IC$169,INDEX($FK$170:$ID$241,IC$169,$FJ177),SUMPRODUCT(INDEX($FK$325:$ID$396,IC$169,1+SwaptionShift):INDEX($FK$325:$ID$396,IC$169,SwaptionMonthsToGo+SwaptionShift),INDEX($FK$245:$ID$316,$FJ177-IC$169,73-IC$169+SwaptionShift):INDEX($FK$245:$ID$316,$FJ177-IC$169,72-IC$169+SwaptionMonthsToGo+SwaptionShift))/SQRT(SUM(INDEX($FK332:$ID332,1+SwaptionShift):INDEX($FK332:$ID332,SwaptionMonthsToGo+SwaptionShift))*SUM(INDEX($FK$325:$ID$396,IC$169,1+SwaptionShift):INDEX($FK$325:$ID$396,IC$169,SwaptionMonthsToGo+SwaptionShift))))))</f>
        <v/>
      </c>
      <c r="ID177" s="678" t="str">
        <f ca="1">IF(OR(ID$169&lt;SwaptionFirstMonthPosition+1,$FJ177&lt;SwaptionFirstMonthPosition+1,ID$169&gt;SwaptionFirstMonthPosition+SwaptionNumOfMonths+1,$FJ177&gt;SwaptionFirstMonthPosition+SwaptionNumOfMonths+1),"",IF($FJ177=ID$169,1,IF($FJ177&lt;ID$169,INDEX($FK$170:$ID$241,ID$169,$FJ177),SUMPRODUCT(INDEX($FK$325:$ID$396,ID$169,1+SwaptionShift):INDEX($FK$325:$ID$396,ID$169,SwaptionMonthsToGo+SwaptionShift),INDEX($FK$245:$ID$316,$FJ177-ID$169,73-ID$169+SwaptionShift):INDEX($FK$245:$ID$316,$FJ177-ID$169,72-ID$169+SwaptionMonthsToGo+SwaptionShift))/SQRT(SUM(INDEX($FK332:$ID332,1+SwaptionShift):INDEX($FK332:$ID332,SwaptionMonthsToGo+SwaptionShift))*SUM(INDEX($FK$325:$ID$396,ID$169,1+SwaptionShift):INDEX($FK$325:$ID$396,ID$169,SwaptionMonthsToGo+SwaptionShift))))))</f>
        <v/>
      </c>
      <c r="IE177" s="250"/>
    </row>
    <row r="178" spans="8:239">
      <c r="H178" s="51">
        <f t="shared" ca="1" si="527"/>
        <v>0</v>
      </c>
      <c r="I178" s="379">
        <f t="shared" si="528"/>
        <v>41579</v>
      </c>
      <c r="J178" s="377"/>
      <c r="K178" s="104" t="s">
        <v>268</v>
      </c>
      <c r="L178" s="392">
        <f t="shared" si="529"/>
        <v>3.0750000000000046</v>
      </c>
      <c r="M178" s="171"/>
      <c r="N178" s="382">
        <v>0</v>
      </c>
      <c r="O178" s="171">
        <f t="shared" si="490"/>
        <v>0</v>
      </c>
      <c r="P178" s="377"/>
      <c r="Q178" s="104" t="s">
        <v>268</v>
      </c>
      <c r="R178" s="377">
        <f t="shared" ca="1" si="547"/>
        <v>1.8651549509396546</v>
      </c>
      <c r="S178" s="832">
        <f t="shared" si="564"/>
        <v>0.3600000000000001</v>
      </c>
      <c r="T178" s="831">
        <f t="shared" si="548"/>
        <v>0.99999999999799938</v>
      </c>
      <c r="U178" s="545">
        <f t="shared" si="549"/>
        <v>0.99999999999999978</v>
      </c>
      <c r="V178" s="389">
        <v>0</v>
      </c>
      <c r="W178" s="434">
        <f t="shared" si="491"/>
        <v>0</v>
      </c>
      <c r="X178" s="415">
        <f t="shared" si="492"/>
        <v>3.1250000000000049</v>
      </c>
      <c r="Y178" s="322">
        <f t="shared" si="493"/>
        <v>-1.1931</v>
      </c>
      <c r="Z178" s="322">
        <f t="shared" ca="1" si="494"/>
        <v>1.9319000000000048</v>
      </c>
      <c r="AA178" s="429">
        <f t="shared" si="495"/>
        <v>1.1931</v>
      </c>
      <c r="AB178" s="433">
        <f t="shared" ca="1" si="496"/>
        <v>1.1931</v>
      </c>
      <c r="AC178" s="229">
        <v>41567</v>
      </c>
      <c r="AD178" s="229">
        <v>41563</v>
      </c>
      <c r="AE178" s="229">
        <v>41562</v>
      </c>
      <c r="AF178" s="229">
        <v>41558</v>
      </c>
      <c r="AG178" s="249" t="s">
        <v>499</v>
      </c>
      <c r="AH178" s="247" t="s">
        <v>499</v>
      </c>
      <c r="AI178" s="146">
        <v>21</v>
      </c>
      <c r="AJ178" s="41">
        <v>14</v>
      </c>
      <c r="AK178" s="41">
        <v>7</v>
      </c>
      <c r="AL178" s="293">
        <v>21</v>
      </c>
      <c r="AM178" s="41">
        <v>10</v>
      </c>
      <c r="AN178" s="147">
        <v>11</v>
      </c>
      <c r="AO178" s="374"/>
      <c r="AP178" s="153">
        <f t="shared" ca="1" si="530"/>
        <v>1</v>
      </c>
      <c r="AQ178" s="374"/>
      <c r="AR178" s="153">
        <f t="shared" ca="1" si="550"/>
        <v>1</v>
      </c>
      <c r="AS178" s="272">
        <f t="shared" si="497"/>
        <v>0</v>
      </c>
      <c r="AT178" s="157">
        <f t="shared" si="531"/>
        <v>0</v>
      </c>
      <c r="AU178" s="157">
        <f t="shared" si="498"/>
        <v>0</v>
      </c>
      <c r="AV178" s="271">
        <f t="shared" ca="1" si="558"/>
        <v>9.9999999999999995E-7</v>
      </c>
      <c r="AW178" s="158" t="str">
        <f t="shared" ca="1" si="499"/>
        <v/>
      </c>
      <c r="AX178" s="157">
        <f t="shared" ca="1" si="551"/>
        <v>1.2298132309844452E-4</v>
      </c>
      <c r="AY178" s="157">
        <f t="shared" ca="1" si="552"/>
        <v>3.3191941984416564E-5</v>
      </c>
      <c r="AZ178" s="157">
        <f t="shared" ca="1" si="553"/>
        <v>1.5894879313550715E-6</v>
      </c>
      <c r="BA178" s="157">
        <f t="shared" ca="1" si="554"/>
        <v>1.9868599141938394E-7</v>
      </c>
      <c r="BB178" s="157">
        <f t="shared" ca="1" si="555"/>
        <v>2.0362221754900699E-9</v>
      </c>
      <c r="BC178" s="157">
        <f t="shared" ca="1" si="556"/>
        <v>7.8952246372599488E-11</v>
      </c>
      <c r="BD178" s="151">
        <f t="shared" ca="1" si="500"/>
        <v>0</v>
      </c>
      <c r="BE178" s="152">
        <f t="shared" ca="1" si="501"/>
        <v>0</v>
      </c>
      <c r="BF178" s="40">
        <f t="shared" si="502"/>
        <v>2013</v>
      </c>
      <c r="BG178" s="144">
        <f t="shared" si="503"/>
        <v>11</v>
      </c>
      <c r="BH178" s="145">
        <f t="shared" ca="1" si="504"/>
        <v>4818</v>
      </c>
      <c r="BI178" s="313">
        <f t="shared" ca="1" si="568"/>
        <v>13.234770704996578</v>
      </c>
      <c r="BJ178" s="42">
        <f t="shared" ca="1" si="505"/>
        <v>13.287702486881132</v>
      </c>
      <c r="BK178" s="42">
        <f t="shared" ca="1" si="506"/>
        <v>13.290440337668265</v>
      </c>
      <c r="BL178" s="42">
        <f t="shared" ca="1" si="569"/>
        <v>13.314168377823409</v>
      </c>
      <c r="BM178" s="150" t="e">
        <f t="shared" ca="1" si="507"/>
        <v>#DIV/0!</v>
      </c>
      <c r="BN178" s="42" t="e">
        <f t="shared" ca="1" si="508"/>
        <v>#DIV/0!</v>
      </c>
      <c r="BO178" s="293">
        <f t="shared" si="570"/>
        <v>21</v>
      </c>
      <c r="BP178" s="41">
        <f t="shared" si="571"/>
        <v>14</v>
      </c>
      <c r="BQ178" s="41">
        <f t="shared" si="572"/>
        <v>7</v>
      </c>
      <c r="BR178" s="305" t="str">
        <f t="shared" ca="1" si="509"/>
        <v/>
      </c>
      <c r="BS178" s="305" t="str">
        <f t="shared" ca="1" si="573"/>
        <v/>
      </c>
      <c r="BT178" s="307" t="str">
        <f t="shared" ca="1" si="574"/>
        <v/>
      </c>
      <c r="BU178" s="161" t="str">
        <f t="shared" ca="1" si="510"/>
        <v/>
      </c>
      <c r="BV178" s="161" t="str">
        <f t="shared" ca="1" si="511"/>
        <v/>
      </c>
      <c r="BW178" s="308" t="str">
        <f t="shared" ca="1" si="512"/>
        <v/>
      </c>
      <c r="BX178" s="309" t="str">
        <f t="shared" ca="1" si="513"/>
        <v/>
      </c>
      <c r="BY178" s="308" t="str">
        <f t="shared" ca="1" si="575"/>
        <v/>
      </c>
      <c r="BZ178" s="309" t="str">
        <f t="shared" ca="1" si="576"/>
        <v/>
      </c>
      <c r="CA178" s="154" t="str">
        <f t="shared" ca="1" si="514"/>
        <v/>
      </c>
      <c r="CB178" s="154" t="str">
        <f t="shared" ca="1" si="515"/>
        <v/>
      </c>
      <c r="CC178" s="154" t="str">
        <f t="shared" ca="1" si="516"/>
        <v/>
      </c>
      <c r="CD178" s="154" t="str">
        <f t="shared" ca="1" si="517"/>
        <v/>
      </c>
      <c r="CE178" s="310">
        <v>1</v>
      </c>
      <c r="CF178" s="162">
        <f ca="1">IF(BD178,_xll.xCrudeAPO(BU178,BV178,CA178,CB178,S179,S180,BI178,BL178,BP178,BQ178,0,Strike1,AO178,CE178,0,BL178,IF(OptControl=4,0,1),0,1),0)</f>
        <v>0</v>
      </c>
      <c r="CG178" s="163">
        <f ca="1">IF(BD178,_xll.xCrudeAPO(BU178,BV178,CA178,CB178,S179,S180,BI178,BL178,BP178,BQ178,0,Strike1,AO178,CE178,0,BL178,IF(OptControl=4,0,1),1,1)+_xll.xCrudeAPO(BU178,BV178,CA178,CB178,S179,S180,BI178,BL178,BP178,BQ178,0,Strike1,AO178,CE178,0,BL178,IF(OptControl=4,0,1),1,2)+IF(OR(VolSkewFlag=2,ABS(BS178)&lt;0.0001),0,IF(BS178&gt;0,-1,1)*CH178*Strike1/BR178^2*BY178/10%),0)</f>
        <v>0</v>
      </c>
      <c r="CH178" s="163">
        <f ca="1">IF(BD178,(_xll.xCrudeAPO(BU178,BV178,CA178,CB178,S179,S180,BI178,BL178,BP178,BQ178,0,Strike1,AO178,CE178,0,BL178,IF(OptControl=4,0,1),3,1)+_xll.xCrudeAPO(BU178,BV178,CA178,CB178,S179,S180,BI178,BL178,BP178,BQ178,0,Strike1,AO178,CE178,0,BL178,IF(OptControl=4,0,1),3,2))/100,0)</f>
        <v>0</v>
      </c>
      <c r="CI178" s="163">
        <f ca="1">IF(BD178,_xll.xCrudeAPO(BU178,BV178,CA178,CB178,S179,S180,BI178-DaysForThetaCalculation/365.25,BL178-DaysForThetaCalculation/365.25,BP178,BQ178,0,Strike1,AO178,CE178,0,BL178,IF(OptControl=4,0,1),0,1)-_xll.xCrudeAPO(BU178,BV178,CA178,CB178,S179,S180,BI178,BL178,BP178,BQ178,0,Strike1,AO178,CE178,0,BL178,IF(OptControl=4,0,1),0,1),0)</f>
        <v>0</v>
      </c>
      <c r="CJ178" s="311">
        <f ca="1">IF(BD178,_xll.xCrudeAPO(BU178,BV178,CC178,CD178,S179,S180,BI178,BL178,BP178,BQ178,0,Strike2,AO178,CE178,0,BL178,IF(OptControl=3,1,0),0,1),0)</f>
        <v>0</v>
      </c>
      <c r="CK178" s="163">
        <f ca="1">IF(BD178,_xll.xCrudeAPO(BU178,BV178,CC178,CD178,S179,S180,BI178,BL178,BP178,BQ178,0,Strike2,AO178,CE178,0,BL178,IF(OptControl=3,1,0),1,1)+_xll.xCrudeAPO(BU178,BV178,CC178,CD178,S179,S180,BI178,BL178,BP178,BQ178,0,Strike2,AO178,CE178,0,BL178,IF(OptControl=3,1,0),1,2)+IF(OR(VolSkewFlag=2,ABS(BT178)&lt;0.0001),0,IF(BT178&gt;0,-1,1)*CL178*Strike2/BR178^2*BZ178/10%),0)</f>
        <v>0</v>
      </c>
      <c r="CL178" s="163">
        <f ca="1">IF(BD178,(_xll.xCrudeAPO(BU178,BV178,CC178,CD178,S179,S180,BI178,BL178,BP178,BQ178,0,Strike2,AO178,CE178,0,BL178,IF(OptControl=3,1,0),3,1)+_xll.xCrudeAPO(BU178,BV178,CC178,CD178,S179,S180,BI178,BL178,BP178,BQ178,0,Strike2,AO178,CE178,0,BL178,IF(OptControl=3,1,0),3,2))/100,0)</f>
        <v>0</v>
      </c>
      <c r="CM178" s="164">
        <f ca="1">IF(BD178,_xll.xCrudeAPO(BU178,BV178,CC178,CD178,S179,S180,BI178-DaysForThetaCalculation/365.25,BL178-DaysForThetaCalculation/365.25,BP178,BQ178,0,Strike2,AO178,CE178,0,BL178,IF(OptControl=3,1,0),0,1)-_xll.xCrudeAPO(BU178,BV178,CC178,CD178,S179,S180,BI178,BL178,BP178,BQ178,0,Strike2,AO178,CE178,0,BL178,IF(OptControl=3,1,0),0,1),0)</f>
        <v>0</v>
      </c>
      <c r="CN178" s="53"/>
      <c r="CO178" s="796" t="str">
        <f t="shared" ca="1" si="532"/>
        <v/>
      </c>
      <c r="CP178" s="800" t="str">
        <f t="shared" ca="1" si="533"/>
        <v/>
      </c>
      <c r="CQ178" s="797" t="str">
        <f t="shared" ca="1" si="534"/>
        <v/>
      </c>
      <c r="CR178" s="797" t="str">
        <f t="shared" ca="1" si="535"/>
        <v/>
      </c>
      <c r="CS178" s="797" t="str">
        <f t="shared" ca="1" si="536"/>
        <v/>
      </c>
      <c r="CT178" s="797" t="str">
        <f t="shared" ca="1" si="537"/>
        <v/>
      </c>
      <c r="CU178" s="798" t="str">
        <f t="shared" ca="1" si="538"/>
        <v/>
      </c>
      <c r="CV178" s="799" t="str">
        <f t="shared" ca="1" si="539"/>
        <v/>
      </c>
      <c r="CW178" s="799" t="str">
        <f t="shared" ca="1" si="540"/>
        <v/>
      </c>
      <c r="CX178" s="163">
        <f ca="1">IF(BD178,_xll.EURO(CP178,Strike1,AO178,AO178,CV178,CO178,IF(OptControl=4,0,1),0),0)</f>
        <v>0</v>
      </c>
      <c r="CY178" s="163">
        <f ca="1">IF(BD178,_xll.EURO(CP178,Strike1,AO178,AO178,CV178,CO178,IF(OptControl=4,0,1),1)+IF(OR(VolSkewFlag=2,ABS(CQ178)&lt;0.0001),0,IF(CQ178&gt;0,-1,1)*CZ178*100*Strike1/CP178^2*CS178/10%),0)</f>
        <v>0</v>
      </c>
      <c r="CZ178" s="163">
        <f ca="1">IF(BD178,_xll.EURO(CP178,Strike1,AO178,AO178,CV178,CO178,IF(OptControl=4,0,1),3)/100,0)</f>
        <v>0</v>
      </c>
      <c r="DA178" s="163">
        <f ca="1">IF(BD178,_xll.EURO(CP178,Strike1,AO178,AO178,CV178,CO178,IF(OptControl=4,0,1),0)-_xll.EURO(CP178,Strike1,AO178,AO178,CV178,CO178-1,IF(OptControl=4,0,1),0),0)</f>
        <v>0</v>
      </c>
      <c r="DB178" s="163">
        <f ca="1">IF(BD178,_xll.EURO(CP178,Strike2,AO178,AO178,CW178,CO178,IF(OptControl=3,1,0),0),0)</f>
        <v>0</v>
      </c>
      <c r="DC178" s="163">
        <f ca="1">IF(BD178,_xll.EURO(CP178,Strike2,AO178,AO178,CW178,CO178,IF(OptControl=3,1,0),1)+IF(OR(VolSkewFlag=2,ABS(CR178)&lt;0.0001),0,IF(CR178&gt;0,-1,1)*DD178*100*Strike2/CP178^2*CT178/10%),0)</f>
        <v>0</v>
      </c>
      <c r="DD178" s="163">
        <f ca="1">IF(BD178,_xll.EURO(CP178,Strike2,AO178,AO178,CW178,CO178,IF(OptControl=3,1,0),3)/100,0)</f>
        <v>0</v>
      </c>
      <c r="DE178" s="164">
        <f ca="1">IF(BD178,_xll.EURO(CP178,Strike2,AO178,AO178,CW178,CO178,IF(OptControl=3,1,0),0)-_xll.EURO(CP178,Strike2,AO178,AO178,CW178,CO178-1,IF(OptControl=3,1,0),0),0)</f>
        <v>0</v>
      </c>
      <c r="DG178" s="667">
        <f t="shared" ca="1" si="541"/>
        <v>41365</v>
      </c>
      <c r="DH178" s="475">
        <v>22.060000000000059</v>
      </c>
      <c r="DI178" s="665">
        <v>22.12590909090915</v>
      </c>
      <c r="DJ178" s="666">
        <f t="shared" ca="1" si="518"/>
        <v>41365</v>
      </c>
      <c r="DK178" s="475">
        <v>20.862717519496954</v>
      </c>
      <c r="DL178" s="665">
        <v>20.834409090909151</v>
      </c>
      <c r="DM178" s="667">
        <f t="shared" ca="1" si="519"/>
        <v>41365</v>
      </c>
      <c r="DN178" s="668">
        <f t="shared" si="520"/>
        <v>20.912717519496955</v>
      </c>
      <c r="DO178" s="667">
        <f t="shared" ca="1" si="542"/>
        <v>41365</v>
      </c>
      <c r="DP178" s="579">
        <f t="shared" si="543"/>
        <v>20.834409090909151</v>
      </c>
      <c r="DQ178" s="821">
        <v>0</v>
      </c>
      <c r="DR178" s="666">
        <f t="shared" ca="1" si="521"/>
        <v>41365</v>
      </c>
      <c r="DS178" s="669">
        <v>0.12979999999999906</v>
      </c>
      <c r="DT178" s="606">
        <v>0.12900909090908963</v>
      </c>
      <c r="DU178" s="666">
        <f t="shared" ca="1" si="522"/>
        <v>41365</v>
      </c>
      <c r="DV178" s="669">
        <v>0.12979999999999906</v>
      </c>
      <c r="DW178" s="606">
        <v>0.12900909090908963</v>
      </c>
      <c r="DX178" s="667">
        <f t="shared" ca="1" si="523"/>
        <v>41365</v>
      </c>
      <c r="DY178" s="606">
        <v>0.35</v>
      </c>
      <c r="DZ178" s="667">
        <f t="shared" ca="1" si="544"/>
        <v>41365</v>
      </c>
      <c r="EA178" s="606">
        <f t="shared" si="545"/>
        <v>0.12900909090908963</v>
      </c>
      <c r="EB178" s="1"/>
      <c r="EC178" s="118" t="str">
        <f t="shared" ca="1" si="524"/>
        <v/>
      </c>
      <c r="ED178" s="119" t="str">
        <f t="shared" ca="1" si="525"/>
        <v/>
      </c>
      <c r="EE178" s="112" t="str">
        <f t="shared" ca="1" si="526"/>
        <v/>
      </c>
      <c r="EF178" s="120">
        <f ca="1">IF(BD178,_xll.xASN(BR178,Strike1,AO178,ED178,0,BO178,0,BI178,BL178,IF(OptControl=4,0,1),0),0)</f>
        <v>0</v>
      </c>
      <c r="EG178" s="111">
        <f ca="1">IF(BD178,_xll.xASN(BR178,Strike2,AO178,EE178,0,BO178,0,BI178,BL178,IF(OptControl=3,1,0),0),0)</f>
        <v>0</v>
      </c>
      <c r="EL178" s="55"/>
      <c r="EM178" s="1"/>
      <c r="EN178" s="106"/>
      <c r="EO178" s="106"/>
      <c r="EP178" s="1"/>
      <c r="EQ178" s="683" t="s">
        <v>391</v>
      </c>
      <c r="ES178" s="455"/>
      <c r="ET178" s="36"/>
      <c r="EU178" s="107"/>
      <c r="EV178" s="475"/>
      <c r="EW178" s="456"/>
      <c r="EX178" s="456"/>
      <c r="EY178" s="250"/>
      <c r="EZ178" s="250"/>
      <c r="FA178" s="250"/>
      <c r="FB178" s="250"/>
      <c r="FC178" s="250"/>
      <c r="FD178" s="250"/>
      <c r="FE178" s="250"/>
      <c r="FF178" s="250"/>
      <c r="FG178" s="250"/>
      <c r="FH178" s="250"/>
      <c r="FI178" s="250"/>
      <c r="FJ178" s="673">
        <v>9</v>
      </c>
      <c r="FK178" s="479" t="str">
        <f ca="1">IF(OR(FK$169&lt;SwaptionFirstMonthPosition+1,$FJ178&lt;SwaptionFirstMonthPosition+1,FK$169&gt;SwaptionFirstMonthPosition+SwaptionNumOfMonths+1,$FJ178&gt;SwaptionFirstMonthPosition+SwaptionNumOfMonths+1),"",IF($FJ178=FK$169,1,IF($FJ178&lt;FK$169,INDEX($FK$170:$ID$241,FK$169,$FJ178),SUMPRODUCT(INDEX($FK$325:$ID$396,FK$169,1+SwaptionShift):INDEX($FK$325:$ID$396,FK$169,SwaptionMonthsToGo+SwaptionShift),INDEX($FK$245:$ID$316,$FJ178-FK$169,73-FK$169+SwaptionShift):INDEX($FK$245:$ID$316,$FJ178-FK$169,72-FK$169+SwaptionMonthsToGo+SwaptionShift))/SQRT(SUM(INDEX($FK333:$ID333,1+SwaptionShift):INDEX($FK333:$ID333,SwaptionMonthsToGo+SwaptionShift))*SUM(INDEX($FK$325:$ID$396,FK$169,1+SwaptionShift):INDEX($FK$325:$ID$396,FK$169,SwaptionMonthsToGo+SwaptionShift))))))</f>
        <v/>
      </c>
      <c r="FL178" s="479" t="str">
        <f ca="1">IF(OR(FL$169&lt;SwaptionFirstMonthPosition+1,$FJ178&lt;SwaptionFirstMonthPosition+1,FL$169&gt;SwaptionFirstMonthPosition+SwaptionNumOfMonths+1,$FJ178&gt;SwaptionFirstMonthPosition+SwaptionNumOfMonths+1),"",IF($FJ178=FL$169,1,IF($FJ178&lt;FL$169,INDEX($FK$170:$ID$241,FL$169,$FJ178),SUMPRODUCT(INDEX($FK$325:$ID$396,FL$169,1+SwaptionShift):INDEX($FK$325:$ID$396,FL$169,SwaptionMonthsToGo+SwaptionShift),INDEX($FK$245:$ID$316,$FJ178-FL$169,73-FL$169+SwaptionShift):INDEX($FK$245:$ID$316,$FJ178-FL$169,72-FL$169+SwaptionMonthsToGo+SwaptionShift))/SQRT(SUM(INDEX($FK333:$ID333,1+SwaptionShift):INDEX($FK333:$ID333,SwaptionMonthsToGo+SwaptionShift))*SUM(INDEX($FK$325:$ID$396,FL$169,1+SwaptionShift):INDEX($FK$325:$ID$396,FL$169,SwaptionMonthsToGo+SwaptionShift))))))</f>
        <v/>
      </c>
      <c r="FM178" s="479" t="str">
        <f ca="1">IF(OR(FM$169&lt;SwaptionFirstMonthPosition+1,$FJ178&lt;SwaptionFirstMonthPosition+1,FM$169&gt;SwaptionFirstMonthPosition+SwaptionNumOfMonths+1,$FJ178&gt;SwaptionFirstMonthPosition+SwaptionNumOfMonths+1),"",IF($FJ178=FM$169,1,IF($FJ178&lt;FM$169,INDEX($FK$170:$ID$241,FM$169,$FJ178),SUMPRODUCT(INDEX($FK$325:$ID$396,FM$169,1+SwaptionShift):INDEX($FK$325:$ID$396,FM$169,SwaptionMonthsToGo+SwaptionShift),INDEX($FK$245:$ID$316,$FJ178-FM$169,73-FM$169+SwaptionShift):INDEX($FK$245:$ID$316,$FJ178-FM$169,72-FM$169+SwaptionMonthsToGo+SwaptionShift))/SQRT(SUM(INDEX($FK333:$ID333,1+SwaptionShift):INDEX($FK333:$ID333,SwaptionMonthsToGo+SwaptionShift))*SUM(INDEX($FK$325:$ID$396,FM$169,1+SwaptionShift):INDEX($FK$325:$ID$396,FM$169,SwaptionMonthsToGo+SwaptionShift))))))</f>
        <v/>
      </c>
      <c r="FN178" s="479" t="str">
        <f ca="1">IF(OR(FN$169&lt;SwaptionFirstMonthPosition+1,$FJ178&lt;SwaptionFirstMonthPosition+1,FN$169&gt;SwaptionFirstMonthPosition+SwaptionNumOfMonths+1,$FJ178&gt;SwaptionFirstMonthPosition+SwaptionNumOfMonths+1),"",IF($FJ178=FN$169,1,IF($FJ178&lt;FN$169,INDEX($FK$170:$ID$241,FN$169,$FJ178),SUMPRODUCT(INDEX($FK$325:$ID$396,FN$169,1+SwaptionShift):INDEX($FK$325:$ID$396,FN$169,SwaptionMonthsToGo+SwaptionShift),INDEX($FK$245:$ID$316,$FJ178-FN$169,73-FN$169+SwaptionShift):INDEX($FK$245:$ID$316,$FJ178-FN$169,72-FN$169+SwaptionMonthsToGo+SwaptionShift))/SQRT(SUM(INDEX($FK333:$ID333,1+SwaptionShift):INDEX($FK333:$ID333,SwaptionMonthsToGo+SwaptionShift))*SUM(INDEX($FK$325:$ID$396,FN$169,1+SwaptionShift):INDEX($FK$325:$ID$396,FN$169,SwaptionMonthsToGo+SwaptionShift))))))</f>
        <v/>
      </c>
      <c r="FO178" s="479" t="str">
        <f ca="1">IF(OR(FO$169&lt;SwaptionFirstMonthPosition+1,$FJ178&lt;SwaptionFirstMonthPosition+1,FO$169&gt;SwaptionFirstMonthPosition+SwaptionNumOfMonths+1,$FJ178&gt;SwaptionFirstMonthPosition+SwaptionNumOfMonths+1),"",IF($FJ178=FO$169,1,IF($FJ178&lt;FO$169,INDEX($FK$170:$ID$241,FO$169,$FJ178),SUMPRODUCT(INDEX($FK$325:$ID$396,FO$169,1+SwaptionShift):INDEX($FK$325:$ID$396,FO$169,SwaptionMonthsToGo+SwaptionShift),INDEX($FK$245:$ID$316,$FJ178-FO$169,73-FO$169+SwaptionShift):INDEX($FK$245:$ID$316,$FJ178-FO$169,72-FO$169+SwaptionMonthsToGo+SwaptionShift))/SQRT(SUM(INDEX($FK333:$ID333,1+SwaptionShift):INDEX($FK333:$ID333,SwaptionMonthsToGo+SwaptionShift))*SUM(INDEX($FK$325:$ID$396,FO$169,1+SwaptionShift):INDEX($FK$325:$ID$396,FO$169,SwaptionMonthsToGo+SwaptionShift))))))</f>
        <v/>
      </c>
      <c r="FP178" s="479">
        <f ca="1">IF(OR(FP$169&lt;SwaptionFirstMonthPosition+1,$FJ178&lt;SwaptionFirstMonthPosition+1,FP$169&gt;SwaptionFirstMonthPosition+SwaptionNumOfMonths+1,$FJ178&gt;SwaptionFirstMonthPosition+SwaptionNumOfMonths+1),"",IF($FJ178=FP$169,1,IF($FJ178&lt;FP$169,INDEX($FK$170:$ID$241,FP$169,$FJ178),SUMPRODUCT(INDEX($FK$325:$ID$396,FP$169,1+SwaptionShift):INDEX($FK$325:$ID$396,FP$169,SwaptionMonthsToGo+SwaptionShift),INDEX($FK$245:$ID$316,$FJ178-FP$169,73-FP$169+SwaptionShift):INDEX($FK$245:$ID$316,$FJ178-FP$169,72-FP$169+SwaptionMonthsToGo+SwaptionShift))/SQRT(SUM(INDEX($FK333:$ID333,1+SwaptionShift):INDEX($FK333:$ID333,SwaptionMonthsToGo+SwaptionShift))*SUM(INDEX($FK$325:$ID$396,FP$169,1+SwaptionShift):INDEX($FK$325:$ID$396,FP$169,SwaptionMonthsToGo+SwaptionShift))))))</f>
        <v>0.94139264223721675</v>
      </c>
      <c r="FQ178" s="479">
        <f ca="1">IF(OR(FQ$169&lt;SwaptionFirstMonthPosition+1,$FJ178&lt;SwaptionFirstMonthPosition+1,FQ$169&gt;SwaptionFirstMonthPosition+SwaptionNumOfMonths+1,$FJ178&gt;SwaptionFirstMonthPosition+SwaptionNumOfMonths+1),"",IF($FJ178=FQ$169,1,IF($FJ178&lt;FQ$169,INDEX($FK$170:$ID$241,FQ$169,$FJ178),SUMPRODUCT(INDEX($FK$325:$ID$396,FQ$169,1+SwaptionShift):INDEX($FK$325:$ID$396,FQ$169,SwaptionMonthsToGo+SwaptionShift),INDEX($FK$245:$ID$316,$FJ178-FQ$169,73-FQ$169+SwaptionShift):INDEX($FK$245:$ID$316,$FJ178-FQ$169,72-FQ$169+SwaptionMonthsToGo+SwaptionShift))/SQRT(SUM(INDEX($FK333:$ID333,1+SwaptionShift):INDEX($FK333:$ID333,SwaptionMonthsToGo+SwaptionShift))*SUM(INDEX($FK$325:$ID$396,FQ$169,1+SwaptionShift):INDEX($FK$325:$ID$396,FQ$169,SwaptionMonthsToGo+SwaptionShift))))))</f>
        <v>0.9652711411468311</v>
      </c>
      <c r="FR178" s="479">
        <f ca="1">IF(OR(FR$169&lt;SwaptionFirstMonthPosition+1,$FJ178&lt;SwaptionFirstMonthPosition+1,FR$169&gt;SwaptionFirstMonthPosition+SwaptionNumOfMonths+1,$FJ178&gt;SwaptionFirstMonthPosition+SwaptionNumOfMonths+1),"",IF($FJ178=FR$169,1,IF($FJ178&lt;FR$169,INDEX($FK$170:$ID$241,FR$169,$FJ178),SUMPRODUCT(INDEX($FK$325:$ID$396,FR$169,1+SwaptionShift):INDEX($FK$325:$ID$396,FR$169,SwaptionMonthsToGo+SwaptionShift),INDEX($FK$245:$ID$316,$FJ178-FR$169,73-FR$169+SwaptionShift):INDEX($FK$245:$ID$316,$FJ178-FR$169,72-FR$169+SwaptionMonthsToGo+SwaptionShift))/SQRT(SUM(INDEX($FK333:$ID333,1+SwaptionShift):INDEX($FK333:$ID333,SwaptionMonthsToGo+SwaptionShift))*SUM(INDEX($FK$325:$ID$396,FR$169,1+SwaptionShift):INDEX($FK$325:$ID$396,FR$169,SwaptionMonthsToGo+SwaptionShift))))))</f>
        <v>0.98447546567848332</v>
      </c>
      <c r="FS178" s="479">
        <f ca="1">IF(OR(FS$169&lt;SwaptionFirstMonthPosition+1,$FJ178&lt;SwaptionFirstMonthPosition+1,FS$169&gt;SwaptionFirstMonthPosition+SwaptionNumOfMonths+1,$FJ178&gt;SwaptionFirstMonthPosition+SwaptionNumOfMonths+1),"",IF($FJ178=FS$169,1,IF($FJ178&lt;FS$169,INDEX($FK$170:$ID$241,FS$169,$FJ178),SUMPRODUCT(INDEX($FK$325:$ID$396,FS$169,1+SwaptionShift):INDEX($FK$325:$ID$396,FS$169,SwaptionMonthsToGo+SwaptionShift),INDEX($FK$245:$ID$316,$FJ178-FS$169,73-FS$169+SwaptionShift):INDEX($FK$245:$ID$316,$FJ178-FS$169,72-FS$169+SwaptionMonthsToGo+SwaptionShift))/SQRT(SUM(INDEX($FK333:$ID333,1+SwaptionShift):INDEX($FK333:$ID333,SwaptionMonthsToGo+SwaptionShift))*SUM(INDEX($FK$325:$ID$396,FS$169,1+SwaptionShift):INDEX($FK$325:$ID$396,FS$169,SwaptionMonthsToGo+SwaptionShift))))))</f>
        <v>1</v>
      </c>
      <c r="FT178" s="479">
        <f ca="1">IF(OR(FT$169&lt;SwaptionFirstMonthPosition+1,$FJ178&lt;SwaptionFirstMonthPosition+1,FT$169&gt;SwaptionFirstMonthPosition+SwaptionNumOfMonths+1,$FJ178&gt;SwaptionFirstMonthPosition+SwaptionNumOfMonths+1),"",IF($FJ178=FT$169,1,IF($FJ178&lt;FT$169,INDEX($FK$170:$ID$241,FT$169,$FJ178),SUMPRODUCT(INDEX($FK$325:$ID$396,FT$169,1+SwaptionShift):INDEX($FK$325:$ID$396,FT$169,SwaptionMonthsToGo+SwaptionShift),INDEX($FK$245:$ID$316,$FJ178-FT$169,73-FT$169+SwaptionShift):INDEX($FK$245:$ID$316,$FJ178-FT$169,72-FT$169+SwaptionMonthsToGo+SwaptionShift))/SQRT(SUM(INDEX($FK333:$ID333,1+SwaptionShift):INDEX($FK333:$ID333,SwaptionMonthsToGo+SwaptionShift))*SUM(INDEX($FK$325:$ID$396,FT$169,1+SwaptionShift):INDEX($FK$325:$ID$396,FT$169,SwaptionMonthsToGo+SwaptionShift))))))</f>
        <v>0.98740935828546383</v>
      </c>
      <c r="FU178" s="479">
        <f ca="1">IF(OR(FU$169&lt;SwaptionFirstMonthPosition+1,$FJ178&lt;SwaptionFirstMonthPosition+1,FU$169&gt;SwaptionFirstMonthPosition+SwaptionNumOfMonths+1,$FJ178&gt;SwaptionFirstMonthPosition+SwaptionNumOfMonths+1),"",IF($FJ178=FU$169,1,IF($FJ178&lt;FU$169,INDEX($FK$170:$ID$241,FU$169,$FJ178),SUMPRODUCT(INDEX($FK$325:$ID$396,FU$169,1+SwaptionShift):INDEX($FK$325:$ID$396,FU$169,SwaptionMonthsToGo+SwaptionShift),INDEX($FK$245:$ID$316,$FJ178-FU$169,73-FU$169+SwaptionShift):INDEX($FK$245:$ID$316,$FJ178-FU$169,72-FU$169+SwaptionMonthsToGo+SwaptionShift))/SQRT(SUM(INDEX($FK333:$ID333,1+SwaptionShift):INDEX($FK333:$ID333,SwaptionMonthsToGo+SwaptionShift))*SUM(INDEX($FK$325:$ID$396,FU$169,1+SwaptionShift):INDEX($FK$325:$ID$396,FU$169,SwaptionMonthsToGo+SwaptionShift))))))</f>
        <v>0.97715145647715562</v>
      </c>
      <c r="FV178" s="479">
        <f ca="1">IF(OR(FV$169&lt;SwaptionFirstMonthPosition+1,$FJ178&lt;SwaptionFirstMonthPosition+1,FV$169&gt;SwaptionFirstMonthPosition+SwaptionNumOfMonths+1,$FJ178&gt;SwaptionFirstMonthPosition+SwaptionNumOfMonths+1),"",IF($FJ178=FV$169,1,IF($FJ178&lt;FV$169,INDEX($FK$170:$ID$241,FV$169,$FJ178),SUMPRODUCT(INDEX($FK$325:$ID$396,FV$169,1+SwaptionShift):INDEX($FK$325:$ID$396,FV$169,SwaptionMonthsToGo+SwaptionShift),INDEX($FK$245:$ID$316,$FJ178-FV$169,73-FV$169+SwaptionShift):INDEX($FK$245:$ID$316,$FJ178-FV$169,72-FV$169+SwaptionMonthsToGo+SwaptionShift))/SQRT(SUM(INDEX($FK333:$ID333,1+SwaptionShift):INDEX($FK333:$ID333,SwaptionMonthsToGo+SwaptionShift))*SUM(INDEX($FK$325:$ID$396,FV$169,1+SwaptionShift):INDEX($FK$325:$ID$396,FV$169,SwaptionMonthsToGo+SwaptionShift))))))</f>
        <v>0.96874042609322186</v>
      </c>
      <c r="FW178" s="479">
        <f ca="1">IF(OR(FW$169&lt;SwaptionFirstMonthPosition+1,$FJ178&lt;SwaptionFirstMonthPosition+1,FW$169&gt;SwaptionFirstMonthPosition+SwaptionNumOfMonths+1,$FJ178&gt;SwaptionFirstMonthPosition+SwaptionNumOfMonths+1),"",IF($FJ178=FW$169,1,IF($FJ178&lt;FW$169,INDEX($FK$170:$ID$241,FW$169,$FJ178),SUMPRODUCT(INDEX($FK$325:$ID$396,FW$169,1+SwaptionShift):INDEX($FK$325:$ID$396,FW$169,SwaptionMonthsToGo+SwaptionShift),INDEX($FK$245:$ID$316,$FJ178-FW$169,73-FW$169+SwaptionShift):INDEX($FK$245:$ID$316,$FJ178-FW$169,72-FW$169+SwaptionMonthsToGo+SwaptionShift))/SQRT(SUM(INDEX($FK333:$ID333,1+SwaptionShift):INDEX($FK333:$ID333,SwaptionMonthsToGo+SwaptionShift))*SUM(INDEX($FK$325:$ID$396,FW$169,1+SwaptionShift):INDEX($FK$325:$ID$396,FW$169,SwaptionMonthsToGo+SwaptionShift))))))</f>
        <v>0.96180590027515067</v>
      </c>
      <c r="FX178" s="479">
        <f ca="1">IF(OR(FX$169&lt;SwaptionFirstMonthPosition+1,$FJ178&lt;SwaptionFirstMonthPosition+1,FX$169&gt;SwaptionFirstMonthPosition+SwaptionNumOfMonths+1,$FJ178&gt;SwaptionFirstMonthPosition+SwaptionNumOfMonths+1),"",IF($FJ178=FX$169,1,IF($FJ178&lt;FX$169,INDEX($FK$170:$ID$241,FX$169,$FJ178),SUMPRODUCT(INDEX($FK$325:$ID$396,FX$169,1+SwaptionShift):INDEX($FK$325:$ID$396,FX$169,SwaptionMonthsToGo+SwaptionShift),INDEX($FK$245:$ID$316,$FJ178-FX$169,73-FX$169+SwaptionShift):INDEX($FK$245:$ID$316,$FJ178-FX$169,72-FX$169+SwaptionMonthsToGo+SwaptionShift))/SQRT(SUM(INDEX($FK333:$ID333,1+SwaptionShift):INDEX($FK333:$ID333,SwaptionMonthsToGo+SwaptionShift))*SUM(INDEX($FK$325:$ID$396,FX$169,1+SwaptionShift):INDEX($FK$325:$ID$396,FX$169,SwaptionMonthsToGo+SwaptionShift))))))</f>
        <v>0.9560617039224959</v>
      </c>
      <c r="FY178" s="479">
        <f ca="1">IF(OR(FY$169&lt;SwaptionFirstMonthPosition+1,$FJ178&lt;SwaptionFirstMonthPosition+1,FY$169&gt;SwaptionFirstMonthPosition+SwaptionNumOfMonths+1,$FJ178&gt;SwaptionFirstMonthPosition+SwaptionNumOfMonths+1),"",IF($FJ178=FY$169,1,IF($FJ178&lt;FY$169,INDEX($FK$170:$ID$241,FY$169,$FJ178),SUMPRODUCT(INDEX($FK$325:$ID$396,FY$169,1+SwaptionShift):INDEX($FK$325:$ID$396,FY$169,SwaptionMonthsToGo+SwaptionShift),INDEX($FK$245:$ID$316,$FJ178-FY$169,73-FY$169+SwaptionShift):INDEX($FK$245:$ID$316,$FJ178-FY$169,72-FY$169+SwaptionMonthsToGo+SwaptionShift))/SQRT(SUM(INDEX($FK333:$ID333,1+SwaptionShift):INDEX($FK333:$ID333,SwaptionMonthsToGo+SwaptionShift))*SUM(INDEX($FK$325:$ID$396,FY$169,1+SwaptionShift):INDEX($FK$325:$ID$396,FY$169,SwaptionMonthsToGo+SwaptionShift))))))</f>
        <v>0.95128411004753477</v>
      </c>
      <c r="FZ178" s="479">
        <f ca="1">IF(OR(FZ$169&lt;SwaptionFirstMonthPosition+1,$FJ178&lt;SwaptionFirstMonthPosition+1,FZ$169&gt;SwaptionFirstMonthPosition+SwaptionNumOfMonths+1,$FJ178&gt;SwaptionFirstMonthPosition+SwaptionNumOfMonths+1),"",IF($FJ178=FZ$169,1,IF($FJ178&lt;FZ$169,INDEX($FK$170:$ID$241,FZ$169,$FJ178),SUMPRODUCT(INDEX($FK$325:$ID$396,FZ$169,1+SwaptionShift):INDEX($FK$325:$ID$396,FZ$169,SwaptionMonthsToGo+SwaptionShift),INDEX($FK$245:$ID$316,$FJ178-FZ$169,73-FZ$169+SwaptionShift):INDEX($FK$245:$ID$316,$FJ178-FZ$169,72-FZ$169+SwaptionMonthsToGo+SwaptionShift))/SQRT(SUM(INDEX($FK333:$ID333,1+SwaptionShift):INDEX($FK333:$ID333,SwaptionMonthsToGo+SwaptionShift))*SUM(INDEX($FK$325:$ID$396,FZ$169,1+SwaptionShift):INDEX($FK$325:$ID$396,FZ$169,SwaptionMonthsToGo+SwaptionShift))))))</f>
        <v>0.94729641509909501</v>
      </c>
      <c r="GA178" s="479">
        <f ca="1">IF(OR(GA$169&lt;SwaptionFirstMonthPosition+1,$FJ178&lt;SwaptionFirstMonthPosition+1,GA$169&gt;SwaptionFirstMonthPosition+SwaptionNumOfMonths+1,$FJ178&gt;SwaptionFirstMonthPosition+SwaptionNumOfMonths+1),"",IF($FJ178=GA$169,1,IF($FJ178&lt;GA$169,INDEX($FK$170:$ID$241,GA$169,$FJ178),SUMPRODUCT(INDEX($FK$325:$ID$396,GA$169,1+SwaptionShift):INDEX($FK$325:$ID$396,GA$169,SwaptionMonthsToGo+SwaptionShift),INDEX($FK$245:$ID$316,$FJ178-GA$169,73-GA$169+SwaptionShift):INDEX($FK$245:$ID$316,$FJ178-GA$169,72-GA$169+SwaptionMonthsToGo+SwaptionShift))/SQRT(SUM(INDEX($FK333:$ID333,1+SwaptionShift):INDEX($FK333:$ID333,SwaptionMonthsToGo+SwaptionShift))*SUM(INDEX($FK$325:$ID$396,GA$169,1+SwaptionShift):INDEX($FK$325:$ID$396,GA$169,SwaptionMonthsToGo+SwaptionShift))))))</f>
        <v>0.94395779455548812</v>
      </c>
      <c r="GB178" s="479">
        <f ca="1">IF(OR(GB$169&lt;SwaptionFirstMonthPosition+1,$FJ178&lt;SwaptionFirstMonthPosition+1,GB$169&gt;SwaptionFirstMonthPosition+SwaptionNumOfMonths+1,$FJ178&gt;SwaptionFirstMonthPosition+SwaptionNumOfMonths+1),"",IF($FJ178=GB$169,1,IF($FJ178&lt;GB$169,INDEX($FK$170:$ID$241,GB$169,$FJ178),SUMPRODUCT(INDEX($FK$325:$ID$396,GB$169,1+SwaptionShift):INDEX($FK$325:$ID$396,GB$169,SwaptionMonthsToGo+SwaptionShift),INDEX($FK$245:$ID$316,$FJ178-GB$169,73-GB$169+SwaptionShift):INDEX($FK$245:$ID$316,$FJ178-GB$169,72-GB$169+SwaptionMonthsToGo+SwaptionShift))/SQRT(SUM(INDEX($FK333:$ID333,1+SwaptionShift):INDEX($FK333:$ID333,SwaptionMonthsToGo+SwaptionShift))*SUM(INDEX($FK$325:$ID$396,GB$169,1+SwaptionShift):INDEX($FK$325:$ID$396,GB$169,SwaptionMonthsToGo+SwaptionShift))))))</f>
        <v>0.94115512124242839</v>
      </c>
      <c r="GC178" s="479" t="str">
        <f ca="1">IF(OR(GC$169&lt;SwaptionFirstMonthPosition+1,$FJ178&lt;SwaptionFirstMonthPosition+1,GC$169&gt;SwaptionFirstMonthPosition+SwaptionNumOfMonths+1,$FJ178&gt;SwaptionFirstMonthPosition+SwaptionNumOfMonths+1),"",IF($FJ178=GC$169,1,IF($FJ178&lt;GC$169,INDEX($FK$170:$ID$241,GC$169,$FJ178),SUMPRODUCT(INDEX($FK$325:$ID$396,GC$169,1+SwaptionShift):INDEX($FK$325:$ID$396,GC$169,SwaptionMonthsToGo+SwaptionShift),INDEX($FK$245:$ID$316,$FJ178-GC$169,73-GC$169+SwaptionShift):INDEX($FK$245:$ID$316,$FJ178-GC$169,72-GC$169+SwaptionMonthsToGo+SwaptionShift))/SQRT(SUM(INDEX($FK333:$ID333,1+SwaptionShift):INDEX($FK333:$ID333,SwaptionMonthsToGo+SwaptionShift))*SUM(INDEX($FK$325:$ID$396,GC$169,1+SwaptionShift):INDEX($FK$325:$ID$396,GC$169,SwaptionMonthsToGo+SwaptionShift))))))</f>
        <v/>
      </c>
      <c r="GD178" s="479" t="str">
        <f ca="1">IF(OR(GD$169&lt;SwaptionFirstMonthPosition+1,$FJ178&lt;SwaptionFirstMonthPosition+1,GD$169&gt;SwaptionFirstMonthPosition+SwaptionNumOfMonths+1,$FJ178&gt;SwaptionFirstMonthPosition+SwaptionNumOfMonths+1),"",IF($FJ178=GD$169,1,IF($FJ178&lt;GD$169,INDEX($FK$170:$ID$241,GD$169,$FJ178),SUMPRODUCT(INDEX($FK$325:$ID$396,GD$169,1+SwaptionShift):INDEX($FK$325:$ID$396,GD$169,SwaptionMonthsToGo+SwaptionShift),INDEX($FK$245:$ID$316,$FJ178-GD$169,73-GD$169+SwaptionShift):INDEX($FK$245:$ID$316,$FJ178-GD$169,72-GD$169+SwaptionMonthsToGo+SwaptionShift))/SQRT(SUM(INDEX($FK333:$ID333,1+SwaptionShift):INDEX($FK333:$ID333,SwaptionMonthsToGo+SwaptionShift))*SUM(INDEX($FK$325:$ID$396,GD$169,1+SwaptionShift):INDEX($FK$325:$ID$396,GD$169,SwaptionMonthsToGo+SwaptionShift))))))</f>
        <v/>
      </c>
      <c r="GE178" s="479" t="str">
        <f ca="1">IF(OR(GE$169&lt;SwaptionFirstMonthPosition+1,$FJ178&lt;SwaptionFirstMonthPosition+1,GE$169&gt;SwaptionFirstMonthPosition+SwaptionNumOfMonths+1,$FJ178&gt;SwaptionFirstMonthPosition+SwaptionNumOfMonths+1),"",IF($FJ178=GE$169,1,IF($FJ178&lt;GE$169,INDEX($FK$170:$ID$241,GE$169,$FJ178),SUMPRODUCT(INDEX($FK$325:$ID$396,GE$169,1+SwaptionShift):INDEX($FK$325:$ID$396,GE$169,SwaptionMonthsToGo+SwaptionShift),INDEX($FK$245:$ID$316,$FJ178-GE$169,73-GE$169+SwaptionShift):INDEX($FK$245:$ID$316,$FJ178-GE$169,72-GE$169+SwaptionMonthsToGo+SwaptionShift))/SQRT(SUM(INDEX($FK333:$ID333,1+SwaptionShift):INDEX($FK333:$ID333,SwaptionMonthsToGo+SwaptionShift))*SUM(INDEX($FK$325:$ID$396,GE$169,1+SwaptionShift):INDEX($FK$325:$ID$396,GE$169,SwaptionMonthsToGo+SwaptionShift))))))</f>
        <v/>
      </c>
      <c r="GF178" s="479" t="str">
        <f ca="1">IF(OR(GF$169&lt;SwaptionFirstMonthPosition+1,$FJ178&lt;SwaptionFirstMonthPosition+1,GF$169&gt;SwaptionFirstMonthPosition+SwaptionNumOfMonths+1,$FJ178&gt;SwaptionFirstMonthPosition+SwaptionNumOfMonths+1),"",IF($FJ178=GF$169,1,IF($FJ178&lt;GF$169,INDEX($FK$170:$ID$241,GF$169,$FJ178),SUMPRODUCT(INDEX($FK$325:$ID$396,GF$169,1+SwaptionShift):INDEX($FK$325:$ID$396,GF$169,SwaptionMonthsToGo+SwaptionShift),INDEX($FK$245:$ID$316,$FJ178-GF$169,73-GF$169+SwaptionShift):INDEX($FK$245:$ID$316,$FJ178-GF$169,72-GF$169+SwaptionMonthsToGo+SwaptionShift))/SQRT(SUM(INDEX($FK333:$ID333,1+SwaptionShift):INDEX($FK333:$ID333,SwaptionMonthsToGo+SwaptionShift))*SUM(INDEX($FK$325:$ID$396,GF$169,1+SwaptionShift):INDEX($FK$325:$ID$396,GF$169,SwaptionMonthsToGo+SwaptionShift))))))</f>
        <v/>
      </c>
      <c r="GG178" s="479" t="str">
        <f ca="1">IF(OR(GG$169&lt;SwaptionFirstMonthPosition+1,$FJ178&lt;SwaptionFirstMonthPosition+1,GG$169&gt;SwaptionFirstMonthPosition+SwaptionNumOfMonths+1,$FJ178&gt;SwaptionFirstMonthPosition+SwaptionNumOfMonths+1),"",IF($FJ178=GG$169,1,IF($FJ178&lt;GG$169,INDEX($FK$170:$ID$241,GG$169,$FJ178),SUMPRODUCT(INDEX($FK$325:$ID$396,GG$169,1+SwaptionShift):INDEX($FK$325:$ID$396,GG$169,SwaptionMonthsToGo+SwaptionShift),INDEX($FK$245:$ID$316,$FJ178-GG$169,73-GG$169+SwaptionShift):INDEX($FK$245:$ID$316,$FJ178-GG$169,72-GG$169+SwaptionMonthsToGo+SwaptionShift))/SQRT(SUM(INDEX($FK333:$ID333,1+SwaptionShift):INDEX($FK333:$ID333,SwaptionMonthsToGo+SwaptionShift))*SUM(INDEX($FK$325:$ID$396,GG$169,1+SwaptionShift):INDEX($FK$325:$ID$396,GG$169,SwaptionMonthsToGo+SwaptionShift))))))</f>
        <v/>
      </c>
      <c r="GH178" s="479" t="str">
        <f ca="1">IF(OR(GH$169&lt;SwaptionFirstMonthPosition+1,$FJ178&lt;SwaptionFirstMonthPosition+1,GH$169&gt;SwaptionFirstMonthPosition+SwaptionNumOfMonths+1,$FJ178&gt;SwaptionFirstMonthPosition+SwaptionNumOfMonths+1),"",IF($FJ178=GH$169,1,IF($FJ178&lt;GH$169,INDEX($FK$170:$ID$241,GH$169,$FJ178),SUMPRODUCT(INDEX($FK$325:$ID$396,GH$169,1+SwaptionShift):INDEX($FK$325:$ID$396,GH$169,SwaptionMonthsToGo+SwaptionShift),INDEX($FK$245:$ID$316,$FJ178-GH$169,73-GH$169+SwaptionShift):INDEX($FK$245:$ID$316,$FJ178-GH$169,72-GH$169+SwaptionMonthsToGo+SwaptionShift))/SQRT(SUM(INDEX($FK333:$ID333,1+SwaptionShift):INDEX($FK333:$ID333,SwaptionMonthsToGo+SwaptionShift))*SUM(INDEX($FK$325:$ID$396,GH$169,1+SwaptionShift):INDEX($FK$325:$ID$396,GH$169,SwaptionMonthsToGo+SwaptionShift))))))</f>
        <v/>
      </c>
      <c r="GI178" s="479" t="str">
        <f ca="1">IF(OR(GI$169&lt;SwaptionFirstMonthPosition+1,$FJ178&lt;SwaptionFirstMonthPosition+1,GI$169&gt;SwaptionFirstMonthPosition+SwaptionNumOfMonths+1,$FJ178&gt;SwaptionFirstMonthPosition+SwaptionNumOfMonths+1),"",IF($FJ178=GI$169,1,IF($FJ178&lt;GI$169,INDEX($FK$170:$ID$241,GI$169,$FJ178),SUMPRODUCT(INDEX($FK$325:$ID$396,GI$169,1+SwaptionShift):INDEX($FK$325:$ID$396,GI$169,SwaptionMonthsToGo+SwaptionShift),INDEX($FK$245:$ID$316,$FJ178-GI$169,73-GI$169+SwaptionShift):INDEX($FK$245:$ID$316,$FJ178-GI$169,72-GI$169+SwaptionMonthsToGo+SwaptionShift))/SQRT(SUM(INDEX($FK333:$ID333,1+SwaptionShift):INDEX($FK333:$ID333,SwaptionMonthsToGo+SwaptionShift))*SUM(INDEX($FK$325:$ID$396,GI$169,1+SwaptionShift):INDEX($FK$325:$ID$396,GI$169,SwaptionMonthsToGo+SwaptionShift))))))</f>
        <v/>
      </c>
      <c r="GJ178" s="479" t="str">
        <f ca="1">IF(OR(GJ$169&lt;SwaptionFirstMonthPosition+1,$FJ178&lt;SwaptionFirstMonthPosition+1,GJ$169&gt;SwaptionFirstMonthPosition+SwaptionNumOfMonths+1,$FJ178&gt;SwaptionFirstMonthPosition+SwaptionNumOfMonths+1),"",IF($FJ178=GJ$169,1,IF($FJ178&lt;GJ$169,INDEX($FK$170:$ID$241,GJ$169,$FJ178),SUMPRODUCT(INDEX($FK$325:$ID$396,GJ$169,1+SwaptionShift):INDEX($FK$325:$ID$396,GJ$169,SwaptionMonthsToGo+SwaptionShift),INDEX($FK$245:$ID$316,$FJ178-GJ$169,73-GJ$169+SwaptionShift):INDEX($FK$245:$ID$316,$FJ178-GJ$169,72-GJ$169+SwaptionMonthsToGo+SwaptionShift))/SQRT(SUM(INDEX($FK333:$ID333,1+SwaptionShift):INDEX($FK333:$ID333,SwaptionMonthsToGo+SwaptionShift))*SUM(INDEX($FK$325:$ID$396,GJ$169,1+SwaptionShift):INDEX($FK$325:$ID$396,GJ$169,SwaptionMonthsToGo+SwaptionShift))))))</f>
        <v/>
      </c>
      <c r="GK178" s="479" t="str">
        <f ca="1">IF(OR(GK$169&lt;SwaptionFirstMonthPosition+1,$FJ178&lt;SwaptionFirstMonthPosition+1,GK$169&gt;SwaptionFirstMonthPosition+SwaptionNumOfMonths+1,$FJ178&gt;SwaptionFirstMonthPosition+SwaptionNumOfMonths+1),"",IF($FJ178=GK$169,1,IF($FJ178&lt;GK$169,INDEX($FK$170:$ID$241,GK$169,$FJ178),SUMPRODUCT(INDEX($FK$325:$ID$396,GK$169,1+SwaptionShift):INDEX($FK$325:$ID$396,GK$169,SwaptionMonthsToGo+SwaptionShift),INDEX($FK$245:$ID$316,$FJ178-GK$169,73-GK$169+SwaptionShift):INDEX($FK$245:$ID$316,$FJ178-GK$169,72-GK$169+SwaptionMonthsToGo+SwaptionShift))/SQRT(SUM(INDEX($FK333:$ID333,1+SwaptionShift):INDEX($FK333:$ID333,SwaptionMonthsToGo+SwaptionShift))*SUM(INDEX($FK$325:$ID$396,GK$169,1+SwaptionShift):INDEX($FK$325:$ID$396,GK$169,SwaptionMonthsToGo+SwaptionShift))))))</f>
        <v/>
      </c>
      <c r="GL178" s="479" t="str">
        <f ca="1">IF(OR(GL$169&lt;SwaptionFirstMonthPosition+1,$FJ178&lt;SwaptionFirstMonthPosition+1,GL$169&gt;SwaptionFirstMonthPosition+SwaptionNumOfMonths+1,$FJ178&gt;SwaptionFirstMonthPosition+SwaptionNumOfMonths+1),"",IF($FJ178=GL$169,1,IF($FJ178&lt;GL$169,INDEX($FK$170:$ID$241,GL$169,$FJ178),SUMPRODUCT(INDEX($FK$325:$ID$396,GL$169,1+SwaptionShift):INDEX($FK$325:$ID$396,GL$169,SwaptionMonthsToGo+SwaptionShift),INDEX($FK$245:$ID$316,$FJ178-GL$169,73-GL$169+SwaptionShift):INDEX($FK$245:$ID$316,$FJ178-GL$169,72-GL$169+SwaptionMonthsToGo+SwaptionShift))/SQRT(SUM(INDEX($FK333:$ID333,1+SwaptionShift):INDEX($FK333:$ID333,SwaptionMonthsToGo+SwaptionShift))*SUM(INDEX($FK$325:$ID$396,GL$169,1+SwaptionShift):INDEX($FK$325:$ID$396,GL$169,SwaptionMonthsToGo+SwaptionShift))))))</f>
        <v/>
      </c>
      <c r="GM178" s="479" t="str">
        <f ca="1">IF(OR(GM$169&lt;SwaptionFirstMonthPosition+1,$FJ178&lt;SwaptionFirstMonthPosition+1,GM$169&gt;SwaptionFirstMonthPosition+SwaptionNumOfMonths+1,$FJ178&gt;SwaptionFirstMonthPosition+SwaptionNumOfMonths+1),"",IF($FJ178=GM$169,1,IF($FJ178&lt;GM$169,INDEX($FK$170:$ID$241,GM$169,$FJ178),SUMPRODUCT(INDEX($FK$325:$ID$396,GM$169,1+SwaptionShift):INDEX($FK$325:$ID$396,GM$169,SwaptionMonthsToGo+SwaptionShift),INDEX($FK$245:$ID$316,$FJ178-GM$169,73-GM$169+SwaptionShift):INDEX($FK$245:$ID$316,$FJ178-GM$169,72-GM$169+SwaptionMonthsToGo+SwaptionShift))/SQRT(SUM(INDEX($FK333:$ID333,1+SwaptionShift):INDEX($FK333:$ID333,SwaptionMonthsToGo+SwaptionShift))*SUM(INDEX($FK$325:$ID$396,GM$169,1+SwaptionShift):INDEX($FK$325:$ID$396,GM$169,SwaptionMonthsToGo+SwaptionShift))))))</f>
        <v/>
      </c>
      <c r="GN178" s="479" t="str">
        <f ca="1">IF(OR(GN$169&lt;SwaptionFirstMonthPosition+1,$FJ178&lt;SwaptionFirstMonthPosition+1,GN$169&gt;SwaptionFirstMonthPosition+SwaptionNumOfMonths+1,$FJ178&gt;SwaptionFirstMonthPosition+SwaptionNumOfMonths+1),"",IF($FJ178=GN$169,1,IF($FJ178&lt;GN$169,INDEX($FK$170:$ID$241,GN$169,$FJ178),SUMPRODUCT(INDEX($FK$325:$ID$396,GN$169,1+SwaptionShift):INDEX($FK$325:$ID$396,GN$169,SwaptionMonthsToGo+SwaptionShift),INDEX($FK$245:$ID$316,$FJ178-GN$169,73-GN$169+SwaptionShift):INDEX($FK$245:$ID$316,$FJ178-GN$169,72-GN$169+SwaptionMonthsToGo+SwaptionShift))/SQRT(SUM(INDEX($FK333:$ID333,1+SwaptionShift):INDEX($FK333:$ID333,SwaptionMonthsToGo+SwaptionShift))*SUM(INDEX($FK$325:$ID$396,GN$169,1+SwaptionShift):INDEX($FK$325:$ID$396,GN$169,SwaptionMonthsToGo+SwaptionShift))))))</f>
        <v/>
      </c>
      <c r="GO178" s="479" t="str">
        <f ca="1">IF(OR(GO$169&lt;SwaptionFirstMonthPosition+1,$FJ178&lt;SwaptionFirstMonthPosition+1,GO$169&gt;SwaptionFirstMonthPosition+SwaptionNumOfMonths+1,$FJ178&gt;SwaptionFirstMonthPosition+SwaptionNumOfMonths+1),"",IF($FJ178=GO$169,1,IF($FJ178&lt;GO$169,INDEX($FK$170:$ID$241,GO$169,$FJ178),SUMPRODUCT(INDEX($FK$325:$ID$396,GO$169,1+SwaptionShift):INDEX($FK$325:$ID$396,GO$169,SwaptionMonthsToGo+SwaptionShift),INDEX($FK$245:$ID$316,$FJ178-GO$169,73-GO$169+SwaptionShift):INDEX($FK$245:$ID$316,$FJ178-GO$169,72-GO$169+SwaptionMonthsToGo+SwaptionShift))/SQRT(SUM(INDEX($FK333:$ID333,1+SwaptionShift):INDEX($FK333:$ID333,SwaptionMonthsToGo+SwaptionShift))*SUM(INDEX($FK$325:$ID$396,GO$169,1+SwaptionShift):INDEX($FK$325:$ID$396,GO$169,SwaptionMonthsToGo+SwaptionShift))))))</f>
        <v/>
      </c>
      <c r="GP178" s="479" t="str">
        <f ca="1">IF(OR(GP$169&lt;SwaptionFirstMonthPosition+1,$FJ178&lt;SwaptionFirstMonthPosition+1,GP$169&gt;SwaptionFirstMonthPosition+SwaptionNumOfMonths+1,$FJ178&gt;SwaptionFirstMonthPosition+SwaptionNumOfMonths+1),"",IF($FJ178=GP$169,1,IF($FJ178&lt;GP$169,INDEX($FK$170:$ID$241,GP$169,$FJ178),SUMPRODUCT(INDEX($FK$325:$ID$396,GP$169,1+SwaptionShift):INDEX($FK$325:$ID$396,GP$169,SwaptionMonthsToGo+SwaptionShift),INDEX($FK$245:$ID$316,$FJ178-GP$169,73-GP$169+SwaptionShift):INDEX($FK$245:$ID$316,$FJ178-GP$169,72-GP$169+SwaptionMonthsToGo+SwaptionShift))/SQRT(SUM(INDEX($FK333:$ID333,1+SwaptionShift):INDEX($FK333:$ID333,SwaptionMonthsToGo+SwaptionShift))*SUM(INDEX($FK$325:$ID$396,GP$169,1+SwaptionShift):INDEX($FK$325:$ID$396,GP$169,SwaptionMonthsToGo+SwaptionShift))))))</f>
        <v/>
      </c>
      <c r="GQ178" s="479" t="str">
        <f ca="1">IF(OR(GQ$169&lt;SwaptionFirstMonthPosition+1,$FJ178&lt;SwaptionFirstMonthPosition+1,GQ$169&gt;SwaptionFirstMonthPosition+SwaptionNumOfMonths+1,$FJ178&gt;SwaptionFirstMonthPosition+SwaptionNumOfMonths+1),"",IF($FJ178=GQ$169,1,IF($FJ178&lt;GQ$169,INDEX($FK$170:$ID$241,GQ$169,$FJ178),SUMPRODUCT(INDEX($FK$325:$ID$396,GQ$169,1+SwaptionShift):INDEX($FK$325:$ID$396,GQ$169,SwaptionMonthsToGo+SwaptionShift),INDEX($FK$245:$ID$316,$FJ178-GQ$169,73-GQ$169+SwaptionShift):INDEX($FK$245:$ID$316,$FJ178-GQ$169,72-GQ$169+SwaptionMonthsToGo+SwaptionShift))/SQRT(SUM(INDEX($FK333:$ID333,1+SwaptionShift):INDEX($FK333:$ID333,SwaptionMonthsToGo+SwaptionShift))*SUM(INDEX($FK$325:$ID$396,GQ$169,1+SwaptionShift):INDEX($FK$325:$ID$396,GQ$169,SwaptionMonthsToGo+SwaptionShift))))))</f>
        <v/>
      </c>
      <c r="GR178" s="479" t="str">
        <f ca="1">IF(OR(GR$169&lt;SwaptionFirstMonthPosition+1,$FJ178&lt;SwaptionFirstMonthPosition+1,GR$169&gt;SwaptionFirstMonthPosition+SwaptionNumOfMonths+1,$FJ178&gt;SwaptionFirstMonthPosition+SwaptionNumOfMonths+1),"",IF($FJ178=GR$169,1,IF($FJ178&lt;GR$169,INDEX($FK$170:$ID$241,GR$169,$FJ178),SUMPRODUCT(INDEX($FK$325:$ID$396,GR$169,1+SwaptionShift):INDEX($FK$325:$ID$396,GR$169,SwaptionMonthsToGo+SwaptionShift),INDEX($FK$245:$ID$316,$FJ178-GR$169,73-GR$169+SwaptionShift):INDEX($FK$245:$ID$316,$FJ178-GR$169,72-GR$169+SwaptionMonthsToGo+SwaptionShift))/SQRT(SUM(INDEX($FK333:$ID333,1+SwaptionShift):INDEX($FK333:$ID333,SwaptionMonthsToGo+SwaptionShift))*SUM(INDEX($FK$325:$ID$396,GR$169,1+SwaptionShift):INDEX($FK$325:$ID$396,GR$169,SwaptionMonthsToGo+SwaptionShift))))))</f>
        <v/>
      </c>
      <c r="GS178" s="479" t="str">
        <f ca="1">IF(OR(GS$169&lt;SwaptionFirstMonthPosition+1,$FJ178&lt;SwaptionFirstMonthPosition+1,GS$169&gt;SwaptionFirstMonthPosition+SwaptionNumOfMonths+1,$FJ178&gt;SwaptionFirstMonthPosition+SwaptionNumOfMonths+1),"",IF($FJ178=GS$169,1,IF($FJ178&lt;GS$169,INDEX($FK$170:$ID$241,GS$169,$FJ178),SUMPRODUCT(INDEX($FK$325:$ID$396,GS$169,1+SwaptionShift):INDEX($FK$325:$ID$396,GS$169,SwaptionMonthsToGo+SwaptionShift),INDEX($FK$245:$ID$316,$FJ178-GS$169,73-GS$169+SwaptionShift):INDEX($FK$245:$ID$316,$FJ178-GS$169,72-GS$169+SwaptionMonthsToGo+SwaptionShift))/SQRT(SUM(INDEX($FK333:$ID333,1+SwaptionShift):INDEX($FK333:$ID333,SwaptionMonthsToGo+SwaptionShift))*SUM(INDEX($FK$325:$ID$396,GS$169,1+SwaptionShift):INDEX($FK$325:$ID$396,GS$169,SwaptionMonthsToGo+SwaptionShift))))))</f>
        <v/>
      </c>
      <c r="GT178" s="479" t="str">
        <f ca="1">IF(OR(GT$169&lt;SwaptionFirstMonthPosition+1,$FJ178&lt;SwaptionFirstMonthPosition+1,GT$169&gt;SwaptionFirstMonthPosition+SwaptionNumOfMonths+1,$FJ178&gt;SwaptionFirstMonthPosition+SwaptionNumOfMonths+1),"",IF($FJ178=GT$169,1,IF($FJ178&lt;GT$169,INDEX($FK$170:$ID$241,GT$169,$FJ178),SUMPRODUCT(INDEX($FK$325:$ID$396,GT$169,1+SwaptionShift):INDEX($FK$325:$ID$396,GT$169,SwaptionMonthsToGo+SwaptionShift),INDEX($FK$245:$ID$316,$FJ178-GT$169,73-GT$169+SwaptionShift):INDEX($FK$245:$ID$316,$FJ178-GT$169,72-GT$169+SwaptionMonthsToGo+SwaptionShift))/SQRT(SUM(INDEX($FK333:$ID333,1+SwaptionShift):INDEX($FK333:$ID333,SwaptionMonthsToGo+SwaptionShift))*SUM(INDEX($FK$325:$ID$396,GT$169,1+SwaptionShift):INDEX($FK$325:$ID$396,GT$169,SwaptionMonthsToGo+SwaptionShift))))))</f>
        <v/>
      </c>
      <c r="GU178" s="479" t="str">
        <f ca="1">IF(OR(GU$169&lt;SwaptionFirstMonthPosition+1,$FJ178&lt;SwaptionFirstMonthPosition+1,GU$169&gt;SwaptionFirstMonthPosition+SwaptionNumOfMonths+1,$FJ178&gt;SwaptionFirstMonthPosition+SwaptionNumOfMonths+1),"",IF($FJ178=GU$169,1,IF($FJ178&lt;GU$169,INDEX($FK$170:$ID$241,GU$169,$FJ178),SUMPRODUCT(INDEX($FK$325:$ID$396,GU$169,1+SwaptionShift):INDEX($FK$325:$ID$396,GU$169,SwaptionMonthsToGo+SwaptionShift),INDEX($FK$245:$ID$316,$FJ178-GU$169,73-GU$169+SwaptionShift):INDEX($FK$245:$ID$316,$FJ178-GU$169,72-GU$169+SwaptionMonthsToGo+SwaptionShift))/SQRT(SUM(INDEX($FK333:$ID333,1+SwaptionShift):INDEX($FK333:$ID333,SwaptionMonthsToGo+SwaptionShift))*SUM(INDEX($FK$325:$ID$396,GU$169,1+SwaptionShift):INDEX($FK$325:$ID$396,GU$169,SwaptionMonthsToGo+SwaptionShift))))))</f>
        <v/>
      </c>
      <c r="GV178" s="479" t="str">
        <f ca="1">IF(OR(GV$169&lt;SwaptionFirstMonthPosition+1,$FJ178&lt;SwaptionFirstMonthPosition+1,GV$169&gt;SwaptionFirstMonthPosition+SwaptionNumOfMonths+1,$FJ178&gt;SwaptionFirstMonthPosition+SwaptionNumOfMonths+1),"",IF($FJ178=GV$169,1,IF($FJ178&lt;GV$169,INDEX($FK$170:$ID$241,GV$169,$FJ178),SUMPRODUCT(INDEX($FK$325:$ID$396,GV$169,1+SwaptionShift):INDEX($FK$325:$ID$396,GV$169,SwaptionMonthsToGo+SwaptionShift),INDEX($FK$245:$ID$316,$FJ178-GV$169,73-GV$169+SwaptionShift):INDEX($FK$245:$ID$316,$FJ178-GV$169,72-GV$169+SwaptionMonthsToGo+SwaptionShift))/SQRT(SUM(INDEX($FK333:$ID333,1+SwaptionShift):INDEX($FK333:$ID333,SwaptionMonthsToGo+SwaptionShift))*SUM(INDEX($FK$325:$ID$396,GV$169,1+SwaptionShift):INDEX($FK$325:$ID$396,GV$169,SwaptionMonthsToGo+SwaptionShift))))))</f>
        <v/>
      </c>
      <c r="GW178" s="479" t="str">
        <f ca="1">IF(OR(GW$169&lt;SwaptionFirstMonthPosition+1,$FJ178&lt;SwaptionFirstMonthPosition+1,GW$169&gt;SwaptionFirstMonthPosition+SwaptionNumOfMonths+1,$FJ178&gt;SwaptionFirstMonthPosition+SwaptionNumOfMonths+1),"",IF($FJ178=GW$169,1,IF($FJ178&lt;GW$169,INDEX($FK$170:$ID$241,GW$169,$FJ178),SUMPRODUCT(INDEX($FK$325:$ID$396,GW$169,1+SwaptionShift):INDEX($FK$325:$ID$396,GW$169,SwaptionMonthsToGo+SwaptionShift),INDEX($FK$245:$ID$316,$FJ178-GW$169,73-GW$169+SwaptionShift):INDEX($FK$245:$ID$316,$FJ178-GW$169,72-GW$169+SwaptionMonthsToGo+SwaptionShift))/SQRT(SUM(INDEX($FK333:$ID333,1+SwaptionShift):INDEX($FK333:$ID333,SwaptionMonthsToGo+SwaptionShift))*SUM(INDEX($FK$325:$ID$396,GW$169,1+SwaptionShift):INDEX($FK$325:$ID$396,GW$169,SwaptionMonthsToGo+SwaptionShift))))))</f>
        <v/>
      </c>
      <c r="GX178" s="479" t="str">
        <f ca="1">IF(OR(GX$169&lt;SwaptionFirstMonthPosition+1,$FJ178&lt;SwaptionFirstMonthPosition+1,GX$169&gt;SwaptionFirstMonthPosition+SwaptionNumOfMonths+1,$FJ178&gt;SwaptionFirstMonthPosition+SwaptionNumOfMonths+1),"",IF($FJ178=GX$169,1,IF($FJ178&lt;GX$169,INDEX($FK$170:$ID$241,GX$169,$FJ178),SUMPRODUCT(INDEX($FK$325:$ID$396,GX$169,1+SwaptionShift):INDEX($FK$325:$ID$396,GX$169,SwaptionMonthsToGo+SwaptionShift),INDEX($FK$245:$ID$316,$FJ178-GX$169,73-GX$169+SwaptionShift):INDEX($FK$245:$ID$316,$FJ178-GX$169,72-GX$169+SwaptionMonthsToGo+SwaptionShift))/SQRT(SUM(INDEX($FK333:$ID333,1+SwaptionShift):INDEX($FK333:$ID333,SwaptionMonthsToGo+SwaptionShift))*SUM(INDEX($FK$325:$ID$396,GX$169,1+SwaptionShift):INDEX($FK$325:$ID$396,GX$169,SwaptionMonthsToGo+SwaptionShift))))))</f>
        <v/>
      </c>
      <c r="GY178" s="479" t="str">
        <f ca="1">IF(OR(GY$169&lt;SwaptionFirstMonthPosition+1,$FJ178&lt;SwaptionFirstMonthPosition+1,GY$169&gt;SwaptionFirstMonthPosition+SwaptionNumOfMonths+1,$FJ178&gt;SwaptionFirstMonthPosition+SwaptionNumOfMonths+1),"",IF($FJ178=GY$169,1,IF($FJ178&lt;GY$169,INDEX($FK$170:$ID$241,GY$169,$FJ178),SUMPRODUCT(INDEX($FK$325:$ID$396,GY$169,1+SwaptionShift):INDEX($FK$325:$ID$396,GY$169,SwaptionMonthsToGo+SwaptionShift),INDEX($FK$245:$ID$316,$FJ178-GY$169,73-GY$169+SwaptionShift):INDEX($FK$245:$ID$316,$FJ178-GY$169,72-GY$169+SwaptionMonthsToGo+SwaptionShift))/SQRT(SUM(INDEX($FK333:$ID333,1+SwaptionShift):INDEX($FK333:$ID333,SwaptionMonthsToGo+SwaptionShift))*SUM(INDEX($FK$325:$ID$396,GY$169,1+SwaptionShift):INDEX($FK$325:$ID$396,GY$169,SwaptionMonthsToGo+SwaptionShift))))))</f>
        <v/>
      </c>
      <c r="GZ178" s="479" t="str">
        <f ca="1">IF(OR(GZ$169&lt;SwaptionFirstMonthPosition+1,$FJ178&lt;SwaptionFirstMonthPosition+1,GZ$169&gt;SwaptionFirstMonthPosition+SwaptionNumOfMonths+1,$FJ178&gt;SwaptionFirstMonthPosition+SwaptionNumOfMonths+1),"",IF($FJ178=GZ$169,1,IF($FJ178&lt;GZ$169,INDEX($FK$170:$ID$241,GZ$169,$FJ178),SUMPRODUCT(INDEX($FK$325:$ID$396,GZ$169,1+SwaptionShift):INDEX($FK$325:$ID$396,GZ$169,SwaptionMonthsToGo+SwaptionShift),INDEX($FK$245:$ID$316,$FJ178-GZ$169,73-GZ$169+SwaptionShift):INDEX($FK$245:$ID$316,$FJ178-GZ$169,72-GZ$169+SwaptionMonthsToGo+SwaptionShift))/SQRT(SUM(INDEX($FK333:$ID333,1+SwaptionShift):INDEX($FK333:$ID333,SwaptionMonthsToGo+SwaptionShift))*SUM(INDEX($FK$325:$ID$396,GZ$169,1+SwaptionShift):INDEX($FK$325:$ID$396,GZ$169,SwaptionMonthsToGo+SwaptionShift))))))</f>
        <v/>
      </c>
      <c r="HA178" s="479" t="str">
        <f ca="1">IF(OR(HA$169&lt;SwaptionFirstMonthPosition+1,$FJ178&lt;SwaptionFirstMonthPosition+1,HA$169&gt;SwaptionFirstMonthPosition+SwaptionNumOfMonths+1,$FJ178&gt;SwaptionFirstMonthPosition+SwaptionNumOfMonths+1),"",IF($FJ178=HA$169,1,IF($FJ178&lt;HA$169,INDEX($FK$170:$ID$241,HA$169,$FJ178),SUMPRODUCT(INDEX($FK$325:$ID$396,HA$169,1+SwaptionShift):INDEX($FK$325:$ID$396,HA$169,SwaptionMonthsToGo+SwaptionShift),INDEX($FK$245:$ID$316,$FJ178-HA$169,73-HA$169+SwaptionShift):INDEX($FK$245:$ID$316,$FJ178-HA$169,72-HA$169+SwaptionMonthsToGo+SwaptionShift))/SQRT(SUM(INDEX($FK333:$ID333,1+SwaptionShift):INDEX($FK333:$ID333,SwaptionMonthsToGo+SwaptionShift))*SUM(INDEX($FK$325:$ID$396,HA$169,1+SwaptionShift):INDEX($FK$325:$ID$396,HA$169,SwaptionMonthsToGo+SwaptionShift))))))</f>
        <v/>
      </c>
      <c r="HB178" s="479" t="str">
        <f ca="1">IF(OR(HB$169&lt;SwaptionFirstMonthPosition+1,$FJ178&lt;SwaptionFirstMonthPosition+1,HB$169&gt;SwaptionFirstMonthPosition+SwaptionNumOfMonths+1,$FJ178&gt;SwaptionFirstMonthPosition+SwaptionNumOfMonths+1),"",IF($FJ178=HB$169,1,IF($FJ178&lt;HB$169,INDEX($FK$170:$ID$241,HB$169,$FJ178),SUMPRODUCT(INDEX($FK$325:$ID$396,HB$169,1+SwaptionShift):INDEX($FK$325:$ID$396,HB$169,SwaptionMonthsToGo+SwaptionShift),INDEX($FK$245:$ID$316,$FJ178-HB$169,73-HB$169+SwaptionShift):INDEX($FK$245:$ID$316,$FJ178-HB$169,72-HB$169+SwaptionMonthsToGo+SwaptionShift))/SQRT(SUM(INDEX($FK333:$ID333,1+SwaptionShift):INDEX($FK333:$ID333,SwaptionMonthsToGo+SwaptionShift))*SUM(INDEX($FK$325:$ID$396,HB$169,1+SwaptionShift):INDEX($FK$325:$ID$396,HB$169,SwaptionMonthsToGo+SwaptionShift))))))</f>
        <v/>
      </c>
      <c r="HC178" s="479" t="str">
        <f ca="1">IF(OR(HC$169&lt;SwaptionFirstMonthPosition+1,$FJ178&lt;SwaptionFirstMonthPosition+1,HC$169&gt;SwaptionFirstMonthPosition+SwaptionNumOfMonths+1,$FJ178&gt;SwaptionFirstMonthPosition+SwaptionNumOfMonths+1),"",IF($FJ178=HC$169,1,IF($FJ178&lt;HC$169,INDEX($FK$170:$ID$241,HC$169,$FJ178),SUMPRODUCT(INDEX($FK$325:$ID$396,HC$169,1+SwaptionShift):INDEX($FK$325:$ID$396,HC$169,SwaptionMonthsToGo+SwaptionShift),INDEX($FK$245:$ID$316,$FJ178-HC$169,73-HC$169+SwaptionShift):INDEX($FK$245:$ID$316,$FJ178-HC$169,72-HC$169+SwaptionMonthsToGo+SwaptionShift))/SQRT(SUM(INDEX($FK333:$ID333,1+SwaptionShift):INDEX($FK333:$ID333,SwaptionMonthsToGo+SwaptionShift))*SUM(INDEX($FK$325:$ID$396,HC$169,1+SwaptionShift):INDEX($FK$325:$ID$396,HC$169,SwaptionMonthsToGo+SwaptionShift))))))</f>
        <v/>
      </c>
      <c r="HD178" s="479" t="str">
        <f ca="1">IF(OR(HD$169&lt;SwaptionFirstMonthPosition+1,$FJ178&lt;SwaptionFirstMonthPosition+1,HD$169&gt;SwaptionFirstMonthPosition+SwaptionNumOfMonths+1,$FJ178&gt;SwaptionFirstMonthPosition+SwaptionNumOfMonths+1),"",IF($FJ178=HD$169,1,IF($FJ178&lt;HD$169,INDEX($FK$170:$ID$241,HD$169,$FJ178),SUMPRODUCT(INDEX($FK$325:$ID$396,HD$169,1+SwaptionShift):INDEX($FK$325:$ID$396,HD$169,SwaptionMonthsToGo+SwaptionShift),INDEX($FK$245:$ID$316,$FJ178-HD$169,73-HD$169+SwaptionShift):INDEX($FK$245:$ID$316,$FJ178-HD$169,72-HD$169+SwaptionMonthsToGo+SwaptionShift))/SQRT(SUM(INDEX($FK333:$ID333,1+SwaptionShift):INDEX($FK333:$ID333,SwaptionMonthsToGo+SwaptionShift))*SUM(INDEX($FK$325:$ID$396,HD$169,1+SwaptionShift):INDEX($FK$325:$ID$396,HD$169,SwaptionMonthsToGo+SwaptionShift))))))</f>
        <v/>
      </c>
      <c r="HE178" s="479" t="str">
        <f ca="1">IF(OR(HE$169&lt;SwaptionFirstMonthPosition+1,$FJ178&lt;SwaptionFirstMonthPosition+1,HE$169&gt;SwaptionFirstMonthPosition+SwaptionNumOfMonths+1,$FJ178&gt;SwaptionFirstMonthPosition+SwaptionNumOfMonths+1),"",IF($FJ178=HE$169,1,IF($FJ178&lt;HE$169,INDEX($FK$170:$ID$241,HE$169,$FJ178),SUMPRODUCT(INDEX($FK$325:$ID$396,HE$169,1+SwaptionShift):INDEX($FK$325:$ID$396,HE$169,SwaptionMonthsToGo+SwaptionShift),INDEX($FK$245:$ID$316,$FJ178-HE$169,73-HE$169+SwaptionShift):INDEX($FK$245:$ID$316,$FJ178-HE$169,72-HE$169+SwaptionMonthsToGo+SwaptionShift))/SQRT(SUM(INDEX($FK333:$ID333,1+SwaptionShift):INDEX($FK333:$ID333,SwaptionMonthsToGo+SwaptionShift))*SUM(INDEX($FK$325:$ID$396,HE$169,1+SwaptionShift):INDEX($FK$325:$ID$396,HE$169,SwaptionMonthsToGo+SwaptionShift))))))</f>
        <v/>
      </c>
      <c r="HF178" s="479" t="str">
        <f ca="1">IF(OR(HF$169&lt;SwaptionFirstMonthPosition+1,$FJ178&lt;SwaptionFirstMonthPosition+1,HF$169&gt;SwaptionFirstMonthPosition+SwaptionNumOfMonths+1,$FJ178&gt;SwaptionFirstMonthPosition+SwaptionNumOfMonths+1),"",IF($FJ178=HF$169,1,IF($FJ178&lt;HF$169,INDEX($FK$170:$ID$241,HF$169,$FJ178),SUMPRODUCT(INDEX($FK$325:$ID$396,HF$169,1+SwaptionShift):INDEX($FK$325:$ID$396,HF$169,SwaptionMonthsToGo+SwaptionShift),INDEX($FK$245:$ID$316,$FJ178-HF$169,73-HF$169+SwaptionShift):INDEX($FK$245:$ID$316,$FJ178-HF$169,72-HF$169+SwaptionMonthsToGo+SwaptionShift))/SQRT(SUM(INDEX($FK333:$ID333,1+SwaptionShift):INDEX($FK333:$ID333,SwaptionMonthsToGo+SwaptionShift))*SUM(INDEX($FK$325:$ID$396,HF$169,1+SwaptionShift):INDEX($FK$325:$ID$396,HF$169,SwaptionMonthsToGo+SwaptionShift))))))</f>
        <v/>
      </c>
      <c r="HG178" s="479" t="str">
        <f ca="1">IF(OR(HG$169&lt;SwaptionFirstMonthPosition+1,$FJ178&lt;SwaptionFirstMonthPosition+1,HG$169&gt;SwaptionFirstMonthPosition+SwaptionNumOfMonths+1,$FJ178&gt;SwaptionFirstMonthPosition+SwaptionNumOfMonths+1),"",IF($FJ178=HG$169,1,IF($FJ178&lt;HG$169,INDEX($FK$170:$ID$241,HG$169,$FJ178),SUMPRODUCT(INDEX($FK$325:$ID$396,HG$169,1+SwaptionShift):INDEX($FK$325:$ID$396,HG$169,SwaptionMonthsToGo+SwaptionShift),INDEX($FK$245:$ID$316,$FJ178-HG$169,73-HG$169+SwaptionShift):INDEX($FK$245:$ID$316,$FJ178-HG$169,72-HG$169+SwaptionMonthsToGo+SwaptionShift))/SQRT(SUM(INDEX($FK333:$ID333,1+SwaptionShift):INDEX($FK333:$ID333,SwaptionMonthsToGo+SwaptionShift))*SUM(INDEX($FK$325:$ID$396,HG$169,1+SwaptionShift):INDEX($FK$325:$ID$396,HG$169,SwaptionMonthsToGo+SwaptionShift))))))</f>
        <v/>
      </c>
      <c r="HH178" s="479" t="str">
        <f ca="1">IF(OR(HH$169&lt;SwaptionFirstMonthPosition+1,$FJ178&lt;SwaptionFirstMonthPosition+1,HH$169&gt;SwaptionFirstMonthPosition+SwaptionNumOfMonths+1,$FJ178&gt;SwaptionFirstMonthPosition+SwaptionNumOfMonths+1),"",IF($FJ178=HH$169,1,IF($FJ178&lt;HH$169,INDEX($FK$170:$ID$241,HH$169,$FJ178),SUMPRODUCT(INDEX($FK$325:$ID$396,HH$169,1+SwaptionShift):INDEX($FK$325:$ID$396,HH$169,SwaptionMonthsToGo+SwaptionShift),INDEX($FK$245:$ID$316,$FJ178-HH$169,73-HH$169+SwaptionShift):INDEX($FK$245:$ID$316,$FJ178-HH$169,72-HH$169+SwaptionMonthsToGo+SwaptionShift))/SQRT(SUM(INDEX($FK333:$ID333,1+SwaptionShift):INDEX($FK333:$ID333,SwaptionMonthsToGo+SwaptionShift))*SUM(INDEX($FK$325:$ID$396,HH$169,1+SwaptionShift):INDEX($FK$325:$ID$396,HH$169,SwaptionMonthsToGo+SwaptionShift))))))</f>
        <v/>
      </c>
      <c r="HI178" s="479" t="str">
        <f ca="1">IF(OR(HI$169&lt;SwaptionFirstMonthPosition+1,$FJ178&lt;SwaptionFirstMonthPosition+1,HI$169&gt;SwaptionFirstMonthPosition+SwaptionNumOfMonths+1,$FJ178&gt;SwaptionFirstMonthPosition+SwaptionNumOfMonths+1),"",IF($FJ178=HI$169,1,IF($FJ178&lt;HI$169,INDEX($FK$170:$ID$241,HI$169,$FJ178),SUMPRODUCT(INDEX($FK$325:$ID$396,HI$169,1+SwaptionShift):INDEX($FK$325:$ID$396,HI$169,SwaptionMonthsToGo+SwaptionShift),INDEX($FK$245:$ID$316,$FJ178-HI$169,73-HI$169+SwaptionShift):INDEX($FK$245:$ID$316,$FJ178-HI$169,72-HI$169+SwaptionMonthsToGo+SwaptionShift))/SQRT(SUM(INDEX($FK333:$ID333,1+SwaptionShift):INDEX($FK333:$ID333,SwaptionMonthsToGo+SwaptionShift))*SUM(INDEX($FK$325:$ID$396,HI$169,1+SwaptionShift):INDEX($FK$325:$ID$396,HI$169,SwaptionMonthsToGo+SwaptionShift))))))</f>
        <v/>
      </c>
      <c r="HJ178" s="479" t="str">
        <f ca="1">IF(OR(HJ$169&lt;SwaptionFirstMonthPosition+1,$FJ178&lt;SwaptionFirstMonthPosition+1,HJ$169&gt;SwaptionFirstMonthPosition+SwaptionNumOfMonths+1,$FJ178&gt;SwaptionFirstMonthPosition+SwaptionNumOfMonths+1),"",IF($FJ178=HJ$169,1,IF($FJ178&lt;HJ$169,INDEX($FK$170:$ID$241,HJ$169,$FJ178),SUMPRODUCT(INDEX($FK$325:$ID$396,HJ$169,1+SwaptionShift):INDEX($FK$325:$ID$396,HJ$169,SwaptionMonthsToGo+SwaptionShift),INDEX($FK$245:$ID$316,$FJ178-HJ$169,73-HJ$169+SwaptionShift):INDEX($FK$245:$ID$316,$FJ178-HJ$169,72-HJ$169+SwaptionMonthsToGo+SwaptionShift))/SQRT(SUM(INDEX($FK333:$ID333,1+SwaptionShift):INDEX($FK333:$ID333,SwaptionMonthsToGo+SwaptionShift))*SUM(INDEX($FK$325:$ID$396,HJ$169,1+SwaptionShift):INDEX($FK$325:$ID$396,HJ$169,SwaptionMonthsToGo+SwaptionShift))))))</f>
        <v/>
      </c>
      <c r="HK178" s="479" t="str">
        <f ca="1">IF(OR(HK$169&lt;SwaptionFirstMonthPosition+1,$FJ178&lt;SwaptionFirstMonthPosition+1,HK$169&gt;SwaptionFirstMonthPosition+SwaptionNumOfMonths+1,$FJ178&gt;SwaptionFirstMonthPosition+SwaptionNumOfMonths+1),"",IF($FJ178=HK$169,1,IF($FJ178&lt;HK$169,INDEX($FK$170:$ID$241,HK$169,$FJ178),SUMPRODUCT(INDEX($FK$325:$ID$396,HK$169,1+SwaptionShift):INDEX($FK$325:$ID$396,HK$169,SwaptionMonthsToGo+SwaptionShift),INDEX($FK$245:$ID$316,$FJ178-HK$169,73-HK$169+SwaptionShift):INDEX($FK$245:$ID$316,$FJ178-HK$169,72-HK$169+SwaptionMonthsToGo+SwaptionShift))/SQRT(SUM(INDEX($FK333:$ID333,1+SwaptionShift):INDEX($FK333:$ID333,SwaptionMonthsToGo+SwaptionShift))*SUM(INDEX($FK$325:$ID$396,HK$169,1+SwaptionShift):INDEX($FK$325:$ID$396,HK$169,SwaptionMonthsToGo+SwaptionShift))))))</f>
        <v/>
      </c>
      <c r="HL178" s="479" t="str">
        <f ca="1">IF(OR(HL$169&lt;SwaptionFirstMonthPosition+1,$FJ178&lt;SwaptionFirstMonthPosition+1,HL$169&gt;SwaptionFirstMonthPosition+SwaptionNumOfMonths+1,$FJ178&gt;SwaptionFirstMonthPosition+SwaptionNumOfMonths+1),"",IF($FJ178=HL$169,1,IF($FJ178&lt;HL$169,INDEX($FK$170:$ID$241,HL$169,$FJ178),SUMPRODUCT(INDEX($FK$325:$ID$396,HL$169,1+SwaptionShift):INDEX($FK$325:$ID$396,HL$169,SwaptionMonthsToGo+SwaptionShift),INDEX($FK$245:$ID$316,$FJ178-HL$169,73-HL$169+SwaptionShift):INDEX($FK$245:$ID$316,$FJ178-HL$169,72-HL$169+SwaptionMonthsToGo+SwaptionShift))/SQRT(SUM(INDEX($FK333:$ID333,1+SwaptionShift):INDEX($FK333:$ID333,SwaptionMonthsToGo+SwaptionShift))*SUM(INDEX($FK$325:$ID$396,HL$169,1+SwaptionShift):INDEX($FK$325:$ID$396,HL$169,SwaptionMonthsToGo+SwaptionShift))))))</f>
        <v/>
      </c>
      <c r="HM178" s="479" t="str">
        <f ca="1">IF(OR(HM$169&lt;SwaptionFirstMonthPosition+1,$FJ178&lt;SwaptionFirstMonthPosition+1,HM$169&gt;SwaptionFirstMonthPosition+SwaptionNumOfMonths+1,$FJ178&gt;SwaptionFirstMonthPosition+SwaptionNumOfMonths+1),"",IF($FJ178=HM$169,1,IF($FJ178&lt;HM$169,INDEX($FK$170:$ID$241,HM$169,$FJ178),SUMPRODUCT(INDEX($FK$325:$ID$396,HM$169,1+SwaptionShift):INDEX($FK$325:$ID$396,HM$169,SwaptionMonthsToGo+SwaptionShift),INDEX($FK$245:$ID$316,$FJ178-HM$169,73-HM$169+SwaptionShift):INDEX($FK$245:$ID$316,$FJ178-HM$169,72-HM$169+SwaptionMonthsToGo+SwaptionShift))/SQRT(SUM(INDEX($FK333:$ID333,1+SwaptionShift):INDEX($FK333:$ID333,SwaptionMonthsToGo+SwaptionShift))*SUM(INDEX($FK$325:$ID$396,HM$169,1+SwaptionShift):INDEX($FK$325:$ID$396,HM$169,SwaptionMonthsToGo+SwaptionShift))))))</f>
        <v/>
      </c>
      <c r="HN178" s="479" t="str">
        <f ca="1">IF(OR(HN$169&lt;SwaptionFirstMonthPosition+1,$FJ178&lt;SwaptionFirstMonthPosition+1,HN$169&gt;SwaptionFirstMonthPosition+SwaptionNumOfMonths+1,$FJ178&gt;SwaptionFirstMonthPosition+SwaptionNumOfMonths+1),"",IF($FJ178=HN$169,1,IF($FJ178&lt;HN$169,INDEX($FK$170:$ID$241,HN$169,$FJ178),SUMPRODUCT(INDEX($FK$325:$ID$396,HN$169,1+SwaptionShift):INDEX($FK$325:$ID$396,HN$169,SwaptionMonthsToGo+SwaptionShift),INDEX($FK$245:$ID$316,$FJ178-HN$169,73-HN$169+SwaptionShift):INDEX($FK$245:$ID$316,$FJ178-HN$169,72-HN$169+SwaptionMonthsToGo+SwaptionShift))/SQRT(SUM(INDEX($FK333:$ID333,1+SwaptionShift):INDEX($FK333:$ID333,SwaptionMonthsToGo+SwaptionShift))*SUM(INDEX($FK$325:$ID$396,HN$169,1+SwaptionShift):INDEX($FK$325:$ID$396,HN$169,SwaptionMonthsToGo+SwaptionShift))))))</f>
        <v/>
      </c>
      <c r="HO178" s="479" t="str">
        <f ca="1">IF(OR(HO$169&lt;SwaptionFirstMonthPosition+1,$FJ178&lt;SwaptionFirstMonthPosition+1,HO$169&gt;SwaptionFirstMonthPosition+SwaptionNumOfMonths+1,$FJ178&gt;SwaptionFirstMonthPosition+SwaptionNumOfMonths+1),"",IF($FJ178=HO$169,1,IF($FJ178&lt;HO$169,INDEX($FK$170:$ID$241,HO$169,$FJ178),SUMPRODUCT(INDEX($FK$325:$ID$396,HO$169,1+SwaptionShift):INDEX($FK$325:$ID$396,HO$169,SwaptionMonthsToGo+SwaptionShift),INDEX($FK$245:$ID$316,$FJ178-HO$169,73-HO$169+SwaptionShift):INDEX($FK$245:$ID$316,$FJ178-HO$169,72-HO$169+SwaptionMonthsToGo+SwaptionShift))/SQRT(SUM(INDEX($FK333:$ID333,1+SwaptionShift):INDEX($FK333:$ID333,SwaptionMonthsToGo+SwaptionShift))*SUM(INDEX($FK$325:$ID$396,HO$169,1+SwaptionShift):INDEX($FK$325:$ID$396,HO$169,SwaptionMonthsToGo+SwaptionShift))))))</f>
        <v/>
      </c>
      <c r="HP178" s="479" t="str">
        <f ca="1">IF(OR(HP$169&lt;SwaptionFirstMonthPosition+1,$FJ178&lt;SwaptionFirstMonthPosition+1,HP$169&gt;SwaptionFirstMonthPosition+SwaptionNumOfMonths+1,$FJ178&gt;SwaptionFirstMonthPosition+SwaptionNumOfMonths+1),"",IF($FJ178=HP$169,1,IF($FJ178&lt;HP$169,INDEX($FK$170:$ID$241,HP$169,$FJ178),SUMPRODUCT(INDEX($FK$325:$ID$396,HP$169,1+SwaptionShift):INDEX($FK$325:$ID$396,HP$169,SwaptionMonthsToGo+SwaptionShift),INDEX($FK$245:$ID$316,$FJ178-HP$169,73-HP$169+SwaptionShift):INDEX($FK$245:$ID$316,$FJ178-HP$169,72-HP$169+SwaptionMonthsToGo+SwaptionShift))/SQRT(SUM(INDEX($FK333:$ID333,1+SwaptionShift):INDEX($FK333:$ID333,SwaptionMonthsToGo+SwaptionShift))*SUM(INDEX($FK$325:$ID$396,HP$169,1+SwaptionShift):INDEX($FK$325:$ID$396,HP$169,SwaptionMonthsToGo+SwaptionShift))))))</f>
        <v/>
      </c>
      <c r="HQ178" s="479" t="str">
        <f ca="1">IF(OR(HQ$169&lt;SwaptionFirstMonthPosition+1,$FJ178&lt;SwaptionFirstMonthPosition+1,HQ$169&gt;SwaptionFirstMonthPosition+SwaptionNumOfMonths+1,$FJ178&gt;SwaptionFirstMonthPosition+SwaptionNumOfMonths+1),"",IF($FJ178=HQ$169,1,IF($FJ178&lt;HQ$169,INDEX($FK$170:$ID$241,HQ$169,$FJ178),SUMPRODUCT(INDEX($FK$325:$ID$396,HQ$169,1+SwaptionShift):INDEX($FK$325:$ID$396,HQ$169,SwaptionMonthsToGo+SwaptionShift),INDEX($FK$245:$ID$316,$FJ178-HQ$169,73-HQ$169+SwaptionShift):INDEX($FK$245:$ID$316,$FJ178-HQ$169,72-HQ$169+SwaptionMonthsToGo+SwaptionShift))/SQRT(SUM(INDEX($FK333:$ID333,1+SwaptionShift):INDEX($FK333:$ID333,SwaptionMonthsToGo+SwaptionShift))*SUM(INDEX($FK$325:$ID$396,HQ$169,1+SwaptionShift):INDEX($FK$325:$ID$396,HQ$169,SwaptionMonthsToGo+SwaptionShift))))))</f>
        <v/>
      </c>
      <c r="HR178" s="479" t="str">
        <f ca="1">IF(OR(HR$169&lt;SwaptionFirstMonthPosition+1,$FJ178&lt;SwaptionFirstMonthPosition+1,HR$169&gt;SwaptionFirstMonthPosition+SwaptionNumOfMonths+1,$FJ178&gt;SwaptionFirstMonthPosition+SwaptionNumOfMonths+1),"",IF($FJ178=HR$169,1,IF($FJ178&lt;HR$169,INDEX($FK$170:$ID$241,HR$169,$FJ178),SUMPRODUCT(INDEX($FK$325:$ID$396,HR$169,1+SwaptionShift):INDEX($FK$325:$ID$396,HR$169,SwaptionMonthsToGo+SwaptionShift),INDEX($FK$245:$ID$316,$FJ178-HR$169,73-HR$169+SwaptionShift):INDEX($FK$245:$ID$316,$FJ178-HR$169,72-HR$169+SwaptionMonthsToGo+SwaptionShift))/SQRT(SUM(INDEX($FK333:$ID333,1+SwaptionShift):INDEX($FK333:$ID333,SwaptionMonthsToGo+SwaptionShift))*SUM(INDEX($FK$325:$ID$396,HR$169,1+SwaptionShift):INDEX($FK$325:$ID$396,HR$169,SwaptionMonthsToGo+SwaptionShift))))))</f>
        <v/>
      </c>
      <c r="HS178" s="479" t="str">
        <f ca="1">IF(OR(HS$169&lt;SwaptionFirstMonthPosition+1,$FJ178&lt;SwaptionFirstMonthPosition+1,HS$169&gt;SwaptionFirstMonthPosition+SwaptionNumOfMonths+1,$FJ178&gt;SwaptionFirstMonthPosition+SwaptionNumOfMonths+1),"",IF($FJ178=HS$169,1,IF($FJ178&lt;HS$169,INDEX($FK$170:$ID$241,HS$169,$FJ178),SUMPRODUCT(INDEX($FK$325:$ID$396,HS$169,1+SwaptionShift):INDEX($FK$325:$ID$396,HS$169,SwaptionMonthsToGo+SwaptionShift),INDEX($FK$245:$ID$316,$FJ178-HS$169,73-HS$169+SwaptionShift):INDEX($FK$245:$ID$316,$FJ178-HS$169,72-HS$169+SwaptionMonthsToGo+SwaptionShift))/SQRT(SUM(INDEX($FK333:$ID333,1+SwaptionShift):INDEX($FK333:$ID333,SwaptionMonthsToGo+SwaptionShift))*SUM(INDEX($FK$325:$ID$396,HS$169,1+SwaptionShift):INDEX($FK$325:$ID$396,HS$169,SwaptionMonthsToGo+SwaptionShift))))))</f>
        <v/>
      </c>
      <c r="HT178" s="479" t="str">
        <f ca="1">IF(OR(HT$169&lt;SwaptionFirstMonthPosition+1,$FJ178&lt;SwaptionFirstMonthPosition+1,HT$169&gt;SwaptionFirstMonthPosition+SwaptionNumOfMonths+1,$FJ178&gt;SwaptionFirstMonthPosition+SwaptionNumOfMonths+1),"",IF($FJ178=HT$169,1,IF($FJ178&lt;HT$169,INDEX($FK$170:$ID$241,HT$169,$FJ178),SUMPRODUCT(INDEX($FK$325:$ID$396,HT$169,1+SwaptionShift):INDEX($FK$325:$ID$396,HT$169,SwaptionMonthsToGo+SwaptionShift),INDEX($FK$245:$ID$316,$FJ178-HT$169,73-HT$169+SwaptionShift):INDEX($FK$245:$ID$316,$FJ178-HT$169,72-HT$169+SwaptionMonthsToGo+SwaptionShift))/SQRT(SUM(INDEX($FK333:$ID333,1+SwaptionShift):INDEX($FK333:$ID333,SwaptionMonthsToGo+SwaptionShift))*SUM(INDEX($FK$325:$ID$396,HT$169,1+SwaptionShift):INDEX($FK$325:$ID$396,HT$169,SwaptionMonthsToGo+SwaptionShift))))))</f>
        <v/>
      </c>
      <c r="HU178" s="479" t="str">
        <f ca="1">IF(OR(HU$169&lt;SwaptionFirstMonthPosition+1,$FJ178&lt;SwaptionFirstMonthPosition+1,HU$169&gt;SwaptionFirstMonthPosition+SwaptionNumOfMonths+1,$FJ178&gt;SwaptionFirstMonthPosition+SwaptionNumOfMonths+1),"",IF($FJ178=HU$169,1,IF($FJ178&lt;HU$169,INDEX($FK$170:$ID$241,HU$169,$FJ178),SUMPRODUCT(INDEX($FK$325:$ID$396,HU$169,1+SwaptionShift):INDEX($FK$325:$ID$396,HU$169,SwaptionMonthsToGo+SwaptionShift),INDEX($FK$245:$ID$316,$FJ178-HU$169,73-HU$169+SwaptionShift):INDEX($FK$245:$ID$316,$FJ178-HU$169,72-HU$169+SwaptionMonthsToGo+SwaptionShift))/SQRT(SUM(INDEX($FK333:$ID333,1+SwaptionShift):INDEX($FK333:$ID333,SwaptionMonthsToGo+SwaptionShift))*SUM(INDEX($FK$325:$ID$396,HU$169,1+SwaptionShift):INDEX($FK$325:$ID$396,HU$169,SwaptionMonthsToGo+SwaptionShift))))))</f>
        <v/>
      </c>
      <c r="HV178" s="479" t="str">
        <f ca="1">IF(OR(HV$169&lt;SwaptionFirstMonthPosition+1,$FJ178&lt;SwaptionFirstMonthPosition+1,HV$169&gt;SwaptionFirstMonthPosition+SwaptionNumOfMonths+1,$FJ178&gt;SwaptionFirstMonthPosition+SwaptionNumOfMonths+1),"",IF($FJ178=HV$169,1,IF($FJ178&lt;HV$169,INDEX($FK$170:$ID$241,HV$169,$FJ178),SUMPRODUCT(INDEX($FK$325:$ID$396,HV$169,1+SwaptionShift):INDEX($FK$325:$ID$396,HV$169,SwaptionMonthsToGo+SwaptionShift),INDEX($FK$245:$ID$316,$FJ178-HV$169,73-HV$169+SwaptionShift):INDEX($FK$245:$ID$316,$FJ178-HV$169,72-HV$169+SwaptionMonthsToGo+SwaptionShift))/SQRT(SUM(INDEX($FK333:$ID333,1+SwaptionShift):INDEX($FK333:$ID333,SwaptionMonthsToGo+SwaptionShift))*SUM(INDEX($FK$325:$ID$396,HV$169,1+SwaptionShift):INDEX($FK$325:$ID$396,HV$169,SwaptionMonthsToGo+SwaptionShift))))))</f>
        <v/>
      </c>
      <c r="HW178" s="479" t="str">
        <f ca="1">IF(OR(HW$169&lt;SwaptionFirstMonthPosition+1,$FJ178&lt;SwaptionFirstMonthPosition+1,HW$169&gt;SwaptionFirstMonthPosition+SwaptionNumOfMonths+1,$FJ178&gt;SwaptionFirstMonthPosition+SwaptionNumOfMonths+1),"",IF($FJ178=HW$169,1,IF($FJ178&lt;HW$169,INDEX($FK$170:$ID$241,HW$169,$FJ178),SUMPRODUCT(INDEX($FK$325:$ID$396,HW$169,1+SwaptionShift):INDEX($FK$325:$ID$396,HW$169,SwaptionMonthsToGo+SwaptionShift),INDEX($FK$245:$ID$316,$FJ178-HW$169,73-HW$169+SwaptionShift):INDEX($FK$245:$ID$316,$FJ178-HW$169,72-HW$169+SwaptionMonthsToGo+SwaptionShift))/SQRT(SUM(INDEX($FK333:$ID333,1+SwaptionShift):INDEX($FK333:$ID333,SwaptionMonthsToGo+SwaptionShift))*SUM(INDEX($FK$325:$ID$396,HW$169,1+SwaptionShift):INDEX($FK$325:$ID$396,HW$169,SwaptionMonthsToGo+SwaptionShift))))))</f>
        <v/>
      </c>
      <c r="HX178" s="479" t="str">
        <f ca="1">IF(OR(HX$169&lt;SwaptionFirstMonthPosition+1,$FJ178&lt;SwaptionFirstMonthPosition+1,HX$169&gt;SwaptionFirstMonthPosition+SwaptionNumOfMonths+1,$FJ178&gt;SwaptionFirstMonthPosition+SwaptionNumOfMonths+1),"",IF($FJ178=HX$169,1,IF($FJ178&lt;HX$169,INDEX($FK$170:$ID$241,HX$169,$FJ178),SUMPRODUCT(INDEX($FK$325:$ID$396,HX$169,1+SwaptionShift):INDEX($FK$325:$ID$396,HX$169,SwaptionMonthsToGo+SwaptionShift),INDEX($FK$245:$ID$316,$FJ178-HX$169,73-HX$169+SwaptionShift):INDEX($FK$245:$ID$316,$FJ178-HX$169,72-HX$169+SwaptionMonthsToGo+SwaptionShift))/SQRT(SUM(INDEX($FK333:$ID333,1+SwaptionShift):INDEX($FK333:$ID333,SwaptionMonthsToGo+SwaptionShift))*SUM(INDEX($FK$325:$ID$396,HX$169,1+SwaptionShift):INDEX($FK$325:$ID$396,HX$169,SwaptionMonthsToGo+SwaptionShift))))))</f>
        <v/>
      </c>
      <c r="HY178" s="479" t="str">
        <f ca="1">IF(OR(HY$169&lt;SwaptionFirstMonthPosition+1,$FJ178&lt;SwaptionFirstMonthPosition+1,HY$169&gt;SwaptionFirstMonthPosition+SwaptionNumOfMonths+1,$FJ178&gt;SwaptionFirstMonthPosition+SwaptionNumOfMonths+1),"",IF($FJ178=HY$169,1,IF($FJ178&lt;HY$169,INDEX($FK$170:$ID$241,HY$169,$FJ178),SUMPRODUCT(INDEX($FK$325:$ID$396,HY$169,1+SwaptionShift):INDEX($FK$325:$ID$396,HY$169,SwaptionMonthsToGo+SwaptionShift),INDEX($FK$245:$ID$316,$FJ178-HY$169,73-HY$169+SwaptionShift):INDEX($FK$245:$ID$316,$FJ178-HY$169,72-HY$169+SwaptionMonthsToGo+SwaptionShift))/SQRT(SUM(INDEX($FK333:$ID333,1+SwaptionShift):INDEX($FK333:$ID333,SwaptionMonthsToGo+SwaptionShift))*SUM(INDEX($FK$325:$ID$396,HY$169,1+SwaptionShift):INDEX($FK$325:$ID$396,HY$169,SwaptionMonthsToGo+SwaptionShift))))))</f>
        <v/>
      </c>
      <c r="HZ178" s="479" t="str">
        <f ca="1">IF(OR(HZ$169&lt;SwaptionFirstMonthPosition+1,$FJ178&lt;SwaptionFirstMonthPosition+1,HZ$169&gt;SwaptionFirstMonthPosition+SwaptionNumOfMonths+1,$FJ178&gt;SwaptionFirstMonthPosition+SwaptionNumOfMonths+1),"",IF($FJ178=HZ$169,1,IF($FJ178&lt;HZ$169,INDEX($FK$170:$ID$241,HZ$169,$FJ178),SUMPRODUCT(INDEX($FK$325:$ID$396,HZ$169,1+SwaptionShift):INDEX($FK$325:$ID$396,HZ$169,SwaptionMonthsToGo+SwaptionShift),INDEX($FK$245:$ID$316,$FJ178-HZ$169,73-HZ$169+SwaptionShift):INDEX($FK$245:$ID$316,$FJ178-HZ$169,72-HZ$169+SwaptionMonthsToGo+SwaptionShift))/SQRT(SUM(INDEX($FK333:$ID333,1+SwaptionShift):INDEX($FK333:$ID333,SwaptionMonthsToGo+SwaptionShift))*SUM(INDEX($FK$325:$ID$396,HZ$169,1+SwaptionShift):INDEX($FK$325:$ID$396,HZ$169,SwaptionMonthsToGo+SwaptionShift))))))</f>
        <v/>
      </c>
      <c r="IA178" s="479" t="str">
        <f ca="1">IF(OR(IA$169&lt;SwaptionFirstMonthPosition+1,$FJ178&lt;SwaptionFirstMonthPosition+1,IA$169&gt;SwaptionFirstMonthPosition+SwaptionNumOfMonths+1,$FJ178&gt;SwaptionFirstMonthPosition+SwaptionNumOfMonths+1),"",IF($FJ178=IA$169,1,IF($FJ178&lt;IA$169,INDEX($FK$170:$ID$241,IA$169,$FJ178),SUMPRODUCT(INDEX($FK$325:$ID$396,IA$169,1+SwaptionShift):INDEX($FK$325:$ID$396,IA$169,SwaptionMonthsToGo+SwaptionShift),INDEX($FK$245:$ID$316,$FJ178-IA$169,73-IA$169+SwaptionShift):INDEX($FK$245:$ID$316,$FJ178-IA$169,72-IA$169+SwaptionMonthsToGo+SwaptionShift))/SQRT(SUM(INDEX($FK333:$ID333,1+SwaptionShift):INDEX($FK333:$ID333,SwaptionMonthsToGo+SwaptionShift))*SUM(INDEX($FK$325:$ID$396,IA$169,1+SwaptionShift):INDEX($FK$325:$ID$396,IA$169,SwaptionMonthsToGo+SwaptionShift))))))</f>
        <v/>
      </c>
      <c r="IB178" s="479" t="str">
        <f ca="1">IF(OR(IB$169&lt;SwaptionFirstMonthPosition+1,$FJ178&lt;SwaptionFirstMonthPosition+1,IB$169&gt;SwaptionFirstMonthPosition+SwaptionNumOfMonths+1,$FJ178&gt;SwaptionFirstMonthPosition+SwaptionNumOfMonths+1),"",IF($FJ178=IB$169,1,IF($FJ178&lt;IB$169,INDEX($FK$170:$ID$241,IB$169,$FJ178),SUMPRODUCT(INDEX($FK$325:$ID$396,IB$169,1+SwaptionShift):INDEX($FK$325:$ID$396,IB$169,SwaptionMonthsToGo+SwaptionShift),INDEX($FK$245:$ID$316,$FJ178-IB$169,73-IB$169+SwaptionShift):INDEX($FK$245:$ID$316,$FJ178-IB$169,72-IB$169+SwaptionMonthsToGo+SwaptionShift))/SQRT(SUM(INDEX($FK333:$ID333,1+SwaptionShift):INDEX($FK333:$ID333,SwaptionMonthsToGo+SwaptionShift))*SUM(INDEX($FK$325:$ID$396,IB$169,1+SwaptionShift):INDEX($FK$325:$ID$396,IB$169,SwaptionMonthsToGo+SwaptionShift))))))</f>
        <v/>
      </c>
      <c r="IC178" s="479" t="str">
        <f ca="1">IF(OR(IC$169&lt;SwaptionFirstMonthPosition+1,$FJ178&lt;SwaptionFirstMonthPosition+1,IC$169&gt;SwaptionFirstMonthPosition+SwaptionNumOfMonths+1,$FJ178&gt;SwaptionFirstMonthPosition+SwaptionNumOfMonths+1),"",IF($FJ178=IC$169,1,IF($FJ178&lt;IC$169,INDEX($FK$170:$ID$241,IC$169,$FJ178),SUMPRODUCT(INDEX($FK$325:$ID$396,IC$169,1+SwaptionShift):INDEX($FK$325:$ID$396,IC$169,SwaptionMonthsToGo+SwaptionShift),INDEX($FK$245:$ID$316,$FJ178-IC$169,73-IC$169+SwaptionShift):INDEX($FK$245:$ID$316,$FJ178-IC$169,72-IC$169+SwaptionMonthsToGo+SwaptionShift))/SQRT(SUM(INDEX($FK333:$ID333,1+SwaptionShift):INDEX($FK333:$ID333,SwaptionMonthsToGo+SwaptionShift))*SUM(INDEX($FK$325:$ID$396,IC$169,1+SwaptionShift):INDEX($FK$325:$ID$396,IC$169,SwaptionMonthsToGo+SwaptionShift))))))</f>
        <v/>
      </c>
      <c r="ID178" s="678" t="str">
        <f ca="1">IF(OR(ID$169&lt;SwaptionFirstMonthPosition+1,$FJ178&lt;SwaptionFirstMonthPosition+1,ID$169&gt;SwaptionFirstMonthPosition+SwaptionNumOfMonths+1,$FJ178&gt;SwaptionFirstMonthPosition+SwaptionNumOfMonths+1),"",IF($FJ178=ID$169,1,IF($FJ178&lt;ID$169,INDEX($FK$170:$ID$241,ID$169,$FJ178),SUMPRODUCT(INDEX($FK$325:$ID$396,ID$169,1+SwaptionShift):INDEX($FK$325:$ID$396,ID$169,SwaptionMonthsToGo+SwaptionShift),INDEX($FK$245:$ID$316,$FJ178-ID$169,73-ID$169+SwaptionShift):INDEX($FK$245:$ID$316,$FJ178-ID$169,72-ID$169+SwaptionMonthsToGo+SwaptionShift))/SQRT(SUM(INDEX($FK333:$ID333,1+SwaptionShift):INDEX($FK333:$ID333,SwaptionMonthsToGo+SwaptionShift))*SUM(INDEX($FK$325:$ID$396,ID$169,1+SwaptionShift):INDEX($FK$325:$ID$396,ID$169,SwaptionMonthsToGo+SwaptionShift))))))</f>
        <v/>
      </c>
      <c r="IE178" s="250"/>
    </row>
    <row r="179" spans="8:239">
      <c r="H179" s="51">
        <f t="shared" ca="1" si="527"/>
        <v>0</v>
      </c>
      <c r="I179" s="379">
        <f t="shared" si="528"/>
        <v>41609</v>
      </c>
      <c r="J179" s="377"/>
      <c r="K179" s="104" t="s">
        <v>268</v>
      </c>
      <c r="L179" s="392">
        <f t="shared" si="529"/>
        <v>3.1125000000000047</v>
      </c>
      <c r="M179" s="171"/>
      <c r="N179" s="382">
        <v>0</v>
      </c>
      <c r="O179" s="171">
        <f t="shared" si="490"/>
        <v>0</v>
      </c>
      <c r="P179" s="377"/>
      <c r="Q179" s="104" t="s">
        <v>268</v>
      </c>
      <c r="R179" s="377">
        <f t="shared" ca="1" si="547"/>
        <v>1.9207423454310439</v>
      </c>
      <c r="S179" s="832">
        <f t="shared" si="564"/>
        <v>0.3600000000000001</v>
      </c>
      <c r="T179" s="831">
        <f t="shared" si="548"/>
        <v>0.99999999999828948</v>
      </c>
      <c r="U179" s="545">
        <f t="shared" si="549"/>
        <v>0.99999999999999978</v>
      </c>
      <c r="V179" s="389">
        <v>0</v>
      </c>
      <c r="W179" s="434">
        <f t="shared" ref="W179:W196" si="578">(J180*AJ179+J181*AK179)/AI179</f>
        <v>0</v>
      </c>
      <c r="X179" s="415">
        <f t="shared" ref="X179:X196" si="579">(L180*AJ179+L181*AK179)/AI179</f>
        <v>3.1607142857142905</v>
      </c>
      <c r="Y179" s="322">
        <f t="shared" ref="Y179:Y196" si="580">IF(Q181="extra",W179-AA179,(P180*AM179+P181*AN179)/AL179)</f>
        <v>-1.1931</v>
      </c>
      <c r="Z179" s="322">
        <f t="shared" ref="Z179:Z196" ca="1" si="581">IF(Q181="extra",X179-AB179,(R180*AM179+R181*AN179)/AL179)</f>
        <v>1.9676142857142904</v>
      </c>
      <c r="AA179" s="429">
        <f t="shared" si="495"/>
        <v>1.1931</v>
      </c>
      <c r="AB179" s="433">
        <f t="shared" ca="1" si="496"/>
        <v>1.1931</v>
      </c>
      <c r="AC179" s="229">
        <v>41598</v>
      </c>
      <c r="AD179" s="229">
        <v>41594</v>
      </c>
      <c r="AE179" s="229">
        <v>41593</v>
      </c>
      <c r="AF179" s="229">
        <v>41589</v>
      </c>
      <c r="AG179" s="249" t="s">
        <v>499</v>
      </c>
      <c r="AH179" s="247" t="s">
        <v>499</v>
      </c>
      <c r="AI179" s="146">
        <v>21</v>
      </c>
      <c r="AJ179" s="41">
        <v>15</v>
      </c>
      <c r="AK179" s="41">
        <v>6</v>
      </c>
      <c r="AL179" s="293">
        <v>21</v>
      </c>
      <c r="AM179" s="41">
        <v>10</v>
      </c>
      <c r="AN179" s="147">
        <v>11</v>
      </c>
      <c r="AO179" s="374"/>
      <c r="AP179" s="153">
        <f t="shared" ca="1" si="530"/>
        <v>1</v>
      </c>
      <c r="AQ179" s="374"/>
      <c r="AR179" s="153">
        <f t="shared" ca="1" si="550"/>
        <v>1</v>
      </c>
      <c r="AS179" s="272">
        <f t="shared" ref="AS179:AS196" si="582">(O180*AJ179+O181*AK179)/AI179</f>
        <v>0</v>
      </c>
      <c r="AT179" s="157">
        <f t="shared" si="531"/>
        <v>0</v>
      </c>
      <c r="AU179" s="157">
        <f t="shared" si="498"/>
        <v>0</v>
      </c>
      <c r="AV179" s="271">
        <f t="shared" ca="1" si="558"/>
        <v>9.9999999999999995E-7</v>
      </c>
      <c r="AW179" s="158" t="str">
        <f t="shared" ref="AW179:AW242" ca="1" si="583">IF($I179-DateToday+15&gt;=$T$8,"",IF($I179-DateToday+15&lt;$T$5,1,MATCH($I179-DateToday+15,$T$5:$T$8)))</f>
        <v/>
      </c>
      <c r="AX179" s="157">
        <f t="shared" ca="1" si="551"/>
        <v>1.18895355429747E-4</v>
      </c>
      <c r="AY179" s="157">
        <f t="shared" ca="1" si="552"/>
        <v>3.1875833447269074E-5</v>
      </c>
      <c r="AZ179" s="157">
        <f t="shared" ca="1" si="553"/>
        <v>1.500276828723615E-6</v>
      </c>
      <c r="BA179" s="157">
        <f t="shared" ca="1" si="554"/>
        <v>1.8753460359045188E-7</v>
      </c>
      <c r="BB179" s="157">
        <f t="shared" ca="1" si="555"/>
        <v>1.8580827791051976E-9</v>
      </c>
      <c r="BC179" s="157">
        <f t="shared" ca="1" si="556"/>
        <v>7.0338455087649072E-11</v>
      </c>
      <c r="BD179" s="151">
        <f t="shared" ref="BD179:BD196" ca="1" si="584">IF(OR(DateStart&gt;=I180,DateEnd&lt;I179),0,IF(VolumeOverrideFlag,V179,Volume))</f>
        <v>0</v>
      </c>
      <c r="BE179" s="152">
        <f t="shared" ref="BE179:BE196" ca="1" si="585">IF(OR(DateStart2&gt;=I180,DateEnd2&lt;I179),0,IF(VolumeOverrideFlag,V179,VolumeSwaption))</f>
        <v>0</v>
      </c>
      <c r="BF179" s="40">
        <f t="shared" ref="BF179:BF196" si="586">YEAR(I179)</f>
        <v>2013</v>
      </c>
      <c r="BG179" s="144">
        <f t="shared" ref="BG179:BG196" si="587">MONTH(I179)</f>
        <v>12</v>
      </c>
      <c r="BH179" s="145">
        <f t="shared" ref="BH179:BH196" ca="1" si="588">AD179-DateToday+1</f>
        <v>4849</v>
      </c>
      <c r="BI179" s="313">
        <f t="shared" ca="1" si="568"/>
        <v>13.316906228610542</v>
      </c>
      <c r="BJ179" s="42">
        <f t="shared" ca="1" si="505"/>
        <v>13.375574459763371</v>
      </c>
      <c r="BK179" s="42">
        <f t="shared" ca="1" si="506"/>
        <v>13.378312310550504</v>
      </c>
      <c r="BL179" s="42">
        <f t="shared" ca="1" si="569"/>
        <v>13.399041752224504</v>
      </c>
      <c r="BM179" s="150" t="e">
        <f t="shared" ca="1" si="507"/>
        <v>#DIV/0!</v>
      </c>
      <c r="BN179" s="42" t="e">
        <f t="shared" ca="1" si="508"/>
        <v>#DIV/0!</v>
      </c>
      <c r="BO179" s="293">
        <f t="shared" si="570"/>
        <v>21</v>
      </c>
      <c r="BP179" s="41">
        <f t="shared" si="571"/>
        <v>15</v>
      </c>
      <c r="BQ179" s="41">
        <f t="shared" si="572"/>
        <v>6</v>
      </c>
      <c r="BR179" s="305" t="str">
        <f t="shared" ca="1" si="509"/>
        <v/>
      </c>
      <c r="BS179" s="305" t="str">
        <f t="shared" ca="1" si="573"/>
        <v/>
      </c>
      <c r="BT179" s="307" t="str">
        <f t="shared" ca="1" si="574"/>
        <v/>
      </c>
      <c r="BU179" s="161" t="str">
        <f t="shared" ca="1" si="510"/>
        <v/>
      </c>
      <c r="BV179" s="161" t="str">
        <f t="shared" ca="1" si="511"/>
        <v/>
      </c>
      <c r="BW179" s="308" t="str">
        <f t="shared" ca="1" si="512"/>
        <v/>
      </c>
      <c r="BX179" s="309" t="str">
        <f t="shared" ca="1" si="513"/>
        <v/>
      </c>
      <c r="BY179" s="308" t="str">
        <f t="shared" ca="1" si="575"/>
        <v/>
      </c>
      <c r="BZ179" s="309" t="str">
        <f t="shared" ca="1" si="576"/>
        <v/>
      </c>
      <c r="CA179" s="154" t="str">
        <f t="shared" ca="1" si="514"/>
        <v/>
      </c>
      <c r="CB179" s="154" t="str">
        <f t="shared" ca="1" si="515"/>
        <v/>
      </c>
      <c r="CC179" s="154" t="str">
        <f t="shared" ca="1" si="516"/>
        <v/>
      </c>
      <c r="CD179" s="154" t="str">
        <f t="shared" ca="1" si="517"/>
        <v/>
      </c>
      <c r="CE179" s="310">
        <v>1</v>
      </c>
      <c r="CF179" s="162">
        <f ca="1">IF(BD179,_xll.xCrudeAPO(BU179,BV179,CA179,CB179,S180,S181,BI179,BL179,BP179,BQ179,0,Strike1,AO179,CE179,0,BL179,IF(OptControl=4,0,1),0,1),0)</f>
        <v>0</v>
      </c>
      <c r="CG179" s="163">
        <f ca="1">IF(BD179,_xll.xCrudeAPO(BU179,BV179,CA179,CB179,S180,S181,BI179,BL179,BP179,BQ179,0,Strike1,AO179,CE179,0,BL179,IF(OptControl=4,0,1),1,1)+_xll.xCrudeAPO(BU179,BV179,CA179,CB179,S180,S181,BI179,BL179,BP179,BQ179,0,Strike1,AO179,CE179,0,BL179,IF(OptControl=4,0,1),1,2)+IF(OR(VolSkewFlag=2,ABS(BS179)&lt;0.0001),0,IF(BS179&gt;0,-1,1)*CH179*Strike1/BR179^2*BY179/10%),0)</f>
        <v>0</v>
      </c>
      <c r="CH179" s="163">
        <f ca="1">IF(BD179,(_xll.xCrudeAPO(BU179,BV179,CA179,CB179,S180,S181,BI179,BL179,BP179,BQ179,0,Strike1,AO179,CE179,0,BL179,IF(OptControl=4,0,1),3,1)+_xll.xCrudeAPO(BU179,BV179,CA179,CB179,S180,S181,BI179,BL179,BP179,BQ179,0,Strike1,AO179,CE179,0,BL179,IF(OptControl=4,0,1),3,2))/100,0)</f>
        <v>0</v>
      </c>
      <c r="CI179" s="163">
        <f ca="1">IF(BD179,_xll.xCrudeAPO(BU179,BV179,CA179,CB179,S180,S181,BI179-DaysForThetaCalculation/365.25,BL179-DaysForThetaCalculation/365.25,BP179,BQ179,0,Strike1,AO179,CE179,0,BL179,IF(OptControl=4,0,1),0,1)-_xll.xCrudeAPO(BU179,BV179,CA179,CB179,S180,S181,BI179,BL179,BP179,BQ179,0,Strike1,AO179,CE179,0,BL179,IF(OptControl=4,0,1),0,1),0)</f>
        <v>0</v>
      </c>
      <c r="CJ179" s="311">
        <f ca="1">IF(BD179,_xll.xCrudeAPO(BU179,BV179,CC179,CD179,S180,S181,BI179,BL179,BP179,BQ179,0,Strike2,AO179,CE179,0,BL179,IF(OptControl=3,1,0),0,1),0)</f>
        <v>0</v>
      </c>
      <c r="CK179" s="163">
        <f ca="1">IF(BD179,_xll.xCrudeAPO(BU179,BV179,CC179,CD179,S180,S181,BI179,BL179,BP179,BQ179,0,Strike2,AO179,CE179,0,BL179,IF(OptControl=3,1,0),1,1)+_xll.xCrudeAPO(BU179,BV179,CC179,CD179,S180,S181,BI179,BL179,BP179,BQ179,0,Strike2,AO179,CE179,0,BL179,IF(OptControl=3,1,0),1,2)+IF(OR(VolSkewFlag=2,ABS(BT179)&lt;0.0001),0,IF(BT179&gt;0,-1,1)*CL179*Strike2/BR179^2*BZ179/10%),0)</f>
        <v>0</v>
      </c>
      <c r="CL179" s="163">
        <f ca="1">IF(BD179,(_xll.xCrudeAPO(BU179,BV179,CC179,CD179,S180,S181,BI179,BL179,BP179,BQ179,0,Strike2,AO179,CE179,0,BL179,IF(OptControl=3,1,0),3,1)+_xll.xCrudeAPO(BU179,BV179,CC179,CD179,S180,S181,BI179,BL179,BP179,BQ179,0,Strike2,AO179,CE179,0,BL179,IF(OptControl=3,1,0),3,2))/100,0)</f>
        <v>0</v>
      </c>
      <c r="CM179" s="164">
        <f ca="1">IF(BD179,_xll.xCrudeAPO(BU179,BV179,CC179,CD179,S180,S181,BI179-DaysForThetaCalculation/365.25,BL179-DaysForThetaCalculation/365.25,BP179,BQ179,0,Strike2,AO179,CE179,0,BL179,IF(OptControl=3,1,0),0,1)-_xll.xCrudeAPO(BU179,BV179,CC179,CD179,S180,S181,BI179,BL179,BP179,BQ179,0,Strike2,AO179,CE179,0,BL179,IF(OptControl=3,1,0),0,1),0)</f>
        <v>0</v>
      </c>
      <c r="CN179" s="53"/>
      <c r="CO179" s="796" t="str">
        <f t="shared" ca="1" si="532"/>
        <v/>
      </c>
      <c r="CP179" s="800" t="str">
        <f t="shared" ca="1" si="533"/>
        <v/>
      </c>
      <c r="CQ179" s="797" t="str">
        <f t="shared" ca="1" si="534"/>
        <v/>
      </c>
      <c r="CR179" s="797" t="str">
        <f t="shared" ca="1" si="535"/>
        <v/>
      </c>
      <c r="CS179" s="797" t="str">
        <f t="shared" ca="1" si="536"/>
        <v/>
      </c>
      <c r="CT179" s="797" t="str">
        <f t="shared" ca="1" si="537"/>
        <v/>
      </c>
      <c r="CU179" s="798" t="str">
        <f t="shared" ca="1" si="538"/>
        <v/>
      </c>
      <c r="CV179" s="799" t="str">
        <f t="shared" ca="1" si="539"/>
        <v/>
      </c>
      <c r="CW179" s="799" t="str">
        <f t="shared" ca="1" si="540"/>
        <v/>
      </c>
      <c r="CX179" s="163">
        <f ca="1">IF(BD179,_xll.EURO(CP179,Strike1,AO179,AO179,CV179,CO179,IF(OptControl=4,0,1),0),0)</f>
        <v>0</v>
      </c>
      <c r="CY179" s="163">
        <f ca="1">IF(BD179,_xll.EURO(CP179,Strike1,AO179,AO179,CV179,CO179,IF(OptControl=4,0,1),1)+IF(OR(VolSkewFlag=2,ABS(CQ179)&lt;0.0001),0,IF(CQ179&gt;0,-1,1)*CZ179*100*Strike1/CP179^2*CS179/10%),0)</f>
        <v>0</v>
      </c>
      <c r="CZ179" s="163">
        <f ca="1">IF(BD179,_xll.EURO(CP179,Strike1,AO179,AO179,CV179,CO179,IF(OptControl=4,0,1),3)/100,0)</f>
        <v>0</v>
      </c>
      <c r="DA179" s="163">
        <f ca="1">IF(BD179,_xll.EURO(CP179,Strike1,AO179,AO179,CV179,CO179,IF(OptControl=4,0,1),0)-_xll.EURO(CP179,Strike1,AO179,AO179,CV179,CO179-1,IF(OptControl=4,0,1),0),0)</f>
        <v>0</v>
      </c>
      <c r="DB179" s="163">
        <f ca="1">IF(BD179,_xll.EURO(CP179,Strike2,AO179,AO179,CW179,CO179,IF(OptControl=3,1,0),0),0)</f>
        <v>0</v>
      </c>
      <c r="DC179" s="163">
        <f ca="1">IF(BD179,_xll.EURO(CP179,Strike2,AO179,AO179,CW179,CO179,IF(OptControl=3,1,0),1)+IF(OR(VolSkewFlag=2,ABS(CR179)&lt;0.0001),0,IF(CR179&gt;0,-1,1)*DD179*100*Strike2/CP179^2*CT179/10%),0)</f>
        <v>0</v>
      </c>
      <c r="DD179" s="163">
        <f ca="1">IF(BD179,_xll.EURO(CP179,Strike2,AO179,AO179,CW179,CO179,IF(OptControl=3,1,0),3)/100,0)</f>
        <v>0</v>
      </c>
      <c r="DE179" s="164">
        <f ca="1">IF(BD179,_xll.EURO(CP179,Strike2,AO179,AO179,CW179,CO179,IF(OptControl=3,1,0),0)-_xll.EURO(CP179,Strike2,AO179,AO179,CW179,CO179-1,IF(OptControl=3,1,0),0),0)</f>
        <v>0</v>
      </c>
      <c r="DG179" s="667">
        <f t="shared" ca="1" si="541"/>
        <v>41395</v>
      </c>
      <c r="DH179" s="475">
        <v>22.11000000000006</v>
      </c>
      <c r="DI179" s="665">
        <v>22.179565217391367</v>
      </c>
      <c r="DJ179" s="666">
        <f t="shared" ref="DJ179:DJ196" ca="1" si="589">DG179</f>
        <v>41395</v>
      </c>
      <c r="DK179" s="475">
        <v>20.949484073184706</v>
      </c>
      <c r="DL179" s="665">
        <v>20.888065217391368</v>
      </c>
      <c r="DM179" s="667">
        <f t="shared" ref="DM179:DM196" ca="1" si="590">DG179</f>
        <v>41395</v>
      </c>
      <c r="DN179" s="668">
        <f t="shared" ref="DN179:DN196" si="591">DK179+BrentPhyBrentSpread</f>
        <v>20.999484073184707</v>
      </c>
      <c r="DO179" s="667">
        <f t="shared" ca="1" si="542"/>
        <v>41395</v>
      </c>
      <c r="DP179" s="579">
        <f t="shared" si="543"/>
        <v>20.888065217391368</v>
      </c>
      <c r="DQ179" s="821">
        <v>0</v>
      </c>
      <c r="DR179" s="666">
        <f t="shared" ref="DR179:DR196" ca="1" si="592">DG179</f>
        <v>41395</v>
      </c>
      <c r="DS179" s="669">
        <v>0.12919999999999904</v>
      </c>
      <c r="DT179" s="606">
        <v>0.12836521739130241</v>
      </c>
      <c r="DU179" s="666">
        <f t="shared" ref="DU179:DU196" ca="1" si="593">DG179</f>
        <v>41395</v>
      </c>
      <c r="DV179" s="669">
        <v>0.12919999999999904</v>
      </c>
      <c r="DW179" s="606">
        <v>0.12836521739130241</v>
      </c>
      <c r="DX179" s="667">
        <f t="shared" ref="DX179:DX196" ca="1" si="594">DG179</f>
        <v>41395</v>
      </c>
      <c r="DY179" s="606">
        <v>0.35</v>
      </c>
      <c r="DZ179" s="667">
        <f t="shared" ca="1" si="544"/>
        <v>41395</v>
      </c>
      <c r="EA179" s="606">
        <f t="shared" si="545"/>
        <v>0.12836521739130241</v>
      </c>
      <c r="EB179" s="1"/>
      <c r="EC179" s="118" t="str">
        <f t="shared" ref="EC179:EC196" ca="1" si="595">IF(BD179,IF(Underlying=1,AS179,AU179),"")</f>
        <v/>
      </c>
      <c r="ED179" s="119" t="str">
        <f t="shared" ca="1" si="525"/>
        <v/>
      </c>
      <c r="EE179" s="112" t="str">
        <f t="shared" ca="1" si="526"/>
        <v/>
      </c>
      <c r="EF179" s="120">
        <f ca="1">IF(BD179,_xll.xASN(BR179,Strike1,AO179,ED179,0,BO179,0,BI179,BL179,IF(OptControl=4,0,1),0),0)</f>
        <v>0</v>
      </c>
      <c r="EG179" s="111">
        <f ca="1">IF(BD179,_xll.xASN(BR179,Strike2,AO179,EE179,0,BO179,0,BI179,BL179,IF(OptControl=3,1,0),0),0)</f>
        <v>0</v>
      </c>
      <c r="EL179" s="55"/>
      <c r="EM179" s="1"/>
      <c r="EN179" s="106"/>
      <c r="EO179" s="106"/>
      <c r="EP179" s="1"/>
      <c r="EQ179" s="683" t="s">
        <v>392</v>
      </c>
      <c r="ES179" s="455"/>
      <c r="ET179" s="36"/>
      <c r="EU179" s="107"/>
      <c r="EV179" s="475"/>
      <c r="EW179" s="456"/>
      <c r="EX179" s="456"/>
      <c r="EY179" s="250"/>
      <c r="EZ179" s="250"/>
      <c r="FA179" s="250"/>
      <c r="FB179" s="250"/>
      <c r="FC179" s="250"/>
      <c r="FD179" s="250"/>
      <c r="FE179" s="250"/>
      <c r="FF179" s="250"/>
      <c r="FG179" s="250"/>
      <c r="FH179" s="250"/>
      <c r="FI179" s="250"/>
      <c r="FJ179" s="673">
        <v>10</v>
      </c>
      <c r="FK179" s="479" t="str">
        <f ca="1">IF(OR(FK$169&lt;SwaptionFirstMonthPosition+1,$FJ179&lt;SwaptionFirstMonthPosition+1,FK$169&gt;SwaptionFirstMonthPosition+SwaptionNumOfMonths+1,$FJ179&gt;SwaptionFirstMonthPosition+SwaptionNumOfMonths+1),"",IF($FJ179=FK$169,1,IF($FJ179&lt;FK$169,INDEX($FK$170:$ID$241,FK$169,$FJ179),SUMPRODUCT(INDEX($FK$325:$ID$396,FK$169,1+SwaptionShift):INDEX($FK$325:$ID$396,FK$169,SwaptionMonthsToGo+SwaptionShift),INDEX($FK$245:$ID$316,$FJ179-FK$169,73-FK$169+SwaptionShift):INDEX($FK$245:$ID$316,$FJ179-FK$169,72-FK$169+SwaptionMonthsToGo+SwaptionShift))/SQRT(SUM(INDEX($FK334:$ID334,1+SwaptionShift):INDEX($FK334:$ID334,SwaptionMonthsToGo+SwaptionShift))*SUM(INDEX($FK$325:$ID$396,FK$169,1+SwaptionShift):INDEX($FK$325:$ID$396,FK$169,SwaptionMonthsToGo+SwaptionShift))))))</f>
        <v/>
      </c>
      <c r="FL179" s="479" t="str">
        <f ca="1">IF(OR(FL$169&lt;SwaptionFirstMonthPosition+1,$FJ179&lt;SwaptionFirstMonthPosition+1,FL$169&gt;SwaptionFirstMonthPosition+SwaptionNumOfMonths+1,$FJ179&gt;SwaptionFirstMonthPosition+SwaptionNumOfMonths+1),"",IF($FJ179=FL$169,1,IF($FJ179&lt;FL$169,INDEX($FK$170:$ID$241,FL$169,$FJ179),SUMPRODUCT(INDEX($FK$325:$ID$396,FL$169,1+SwaptionShift):INDEX($FK$325:$ID$396,FL$169,SwaptionMonthsToGo+SwaptionShift),INDEX($FK$245:$ID$316,$FJ179-FL$169,73-FL$169+SwaptionShift):INDEX($FK$245:$ID$316,$FJ179-FL$169,72-FL$169+SwaptionMonthsToGo+SwaptionShift))/SQRT(SUM(INDEX($FK334:$ID334,1+SwaptionShift):INDEX($FK334:$ID334,SwaptionMonthsToGo+SwaptionShift))*SUM(INDEX($FK$325:$ID$396,FL$169,1+SwaptionShift):INDEX($FK$325:$ID$396,FL$169,SwaptionMonthsToGo+SwaptionShift))))))</f>
        <v/>
      </c>
      <c r="FM179" s="479" t="str">
        <f ca="1">IF(OR(FM$169&lt;SwaptionFirstMonthPosition+1,$FJ179&lt;SwaptionFirstMonthPosition+1,FM$169&gt;SwaptionFirstMonthPosition+SwaptionNumOfMonths+1,$FJ179&gt;SwaptionFirstMonthPosition+SwaptionNumOfMonths+1),"",IF($FJ179=FM$169,1,IF($FJ179&lt;FM$169,INDEX($FK$170:$ID$241,FM$169,$FJ179),SUMPRODUCT(INDEX($FK$325:$ID$396,FM$169,1+SwaptionShift):INDEX($FK$325:$ID$396,FM$169,SwaptionMonthsToGo+SwaptionShift),INDEX($FK$245:$ID$316,$FJ179-FM$169,73-FM$169+SwaptionShift):INDEX($FK$245:$ID$316,$FJ179-FM$169,72-FM$169+SwaptionMonthsToGo+SwaptionShift))/SQRT(SUM(INDEX($FK334:$ID334,1+SwaptionShift):INDEX($FK334:$ID334,SwaptionMonthsToGo+SwaptionShift))*SUM(INDEX($FK$325:$ID$396,FM$169,1+SwaptionShift):INDEX($FK$325:$ID$396,FM$169,SwaptionMonthsToGo+SwaptionShift))))))</f>
        <v/>
      </c>
      <c r="FN179" s="479" t="str">
        <f ca="1">IF(OR(FN$169&lt;SwaptionFirstMonthPosition+1,$FJ179&lt;SwaptionFirstMonthPosition+1,FN$169&gt;SwaptionFirstMonthPosition+SwaptionNumOfMonths+1,$FJ179&gt;SwaptionFirstMonthPosition+SwaptionNumOfMonths+1),"",IF($FJ179=FN$169,1,IF($FJ179&lt;FN$169,INDEX($FK$170:$ID$241,FN$169,$FJ179),SUMPRODUCT(INDEX($FK$325:$ID$396,FN$169,1+SwaptionShift):INDEX($FK$325:$ID$396,FN$169,SwaptionMonthsToGo+SwaptionShift),INDEX($FK$245:$ID$316,$FJ179-FN$169,73-FN$169+SwaptionShift):INDEX($FK$245:$ID$316,$FJ179-FN$169,72-FN$169+SwaptionMonthsToGo+SwaptionShift))/SQRT(SUM(INDEX($FK334:$ID334,1+SwaptionShift):INDEX($FK334:$ID334,SwaptionMonthsToGo+SwaptionShift))*SUM(INDEX($FK$325:$ID$396,FN$169,1+SwaptionShift):INDEX($FK$325:$ID$396,FN$169,SwaptionMonthsToGo+SwaptionShift))))))</f>
        <v/>
      </c>
      <c r="FO179" s="479" t="str">
        <f ca="1">IF(OR(FO$169&lt;SwaptionFirstMonthPosition+1,$FJ179&lt;SwaptionFirstMonthPosition+1,FO$169&gt;SwaptionFirstMonthPosition+SwaptionNumOfMonths+1,$FJ179&gt;SwaptionFirstMonthPosition+SwaptionNumOfMonths+1),"",IF($FJ179=FO$169,1,IF($FJ179&lt;FO$169,INDEX($FK$170:$ID$241,FO$169,$FJ179),SUMPRODUCT(INDEX($FK$325:$ID$396,FO$169,1+SwaptionShift):INDEX($FK$325:$ID$396,FO$169,SwaptionMonthsToGo+SwaptionShift),INDEX($FK$245:$ID$316,$FJ179-FO$169,73-FO$169+SwaptionShift):INDEX($FK$245:$ID$316,$FJ179-FO$169,72-FO$169+SwaptionMonthsToGo+SwaptionShift))/SQRT(SUM(INDEX($FK334:$ID334,1+SwaptionShift):INDEX($FK334:$ID334,SwaptionMonthsToGo+SwaptionShift))*SUM(INDEX($FK$325:$ID$396,FO$169,1+SwaptionShift):INDEX($FK$325:$ID$396,FO$169,SwaptionMonthsToGo+SwaptionShift))))))</f>
        <v/>
      </c>
      <c r="FP179" s="479">
        <f ca="1">IF(OR(FP$169&lt;SwaptionFirstMonthPosition+1,$FJ179&lt;SwaptionFirstMonthPosition+1,FP$169&gt;SwaptionFirstMonthPosition+SwaptionNumOfMonths+1,$FJ179&gt;SwaptionFirstMonthPosition+SwaptionNumOfMonths+1),"",IF($FJ179=FP$169,1,IF($FJ179&lt;FP$169,INDEX($FK$170:$ID$241,FP$169,$FJ179),SUMPRODUCT(INDEX($FK$325:$ID$396,FP$169,1+SwaptionShift):INDEX($FK$325:$ID$396,FP$169,SwaptionMonthsToGo+SwaptionShift),INDEX($FK$245:$ID$316,$FJ179-FP$169,73-FP$169+SwaptionShift):INDEX($FK$245:$ID$316,$FJ179-FP$169,72-FP$169+SwaptionMonthsToGo+SwaptionShift))/SQRT(SUM(INDEX($FK334:$ID334,1+SwaptionShift):INDEX($FK334:$ID334,SwaptionMonthsToGo+SwaptionShift))*SUM(INDEX($FK$325:$ID$396,FP$169,1+SwaptionShift):INDEX($FK$325:$ID$396,FP$169,SwaptionMonthsToGo+SwaptionShift))))))</f>
        <v>0.92900753708298878</v>
      </c>
      <c r="FQ179" s="479">
        <f ca="1">IF(OR(FQ$169&lt;SwaptionFirstMonthPosition+1,$FJ179&lt;SwaptionFirstMonthPosition+1,FQ$169&gt;SwaptionFirstMonthPosition+SwaptionNumOfMonths+1,$FJ179&gt;SwaptionFirstMonthPosition+SwaptionNumOfMonths+1),"",IF($FJ179=FQ$169,1,IF($FJ179&lt;FQ$169,INDEX($FK$170:$ID$241,FQ$169,$FJ179),SUMPRODUCT(INDEX($FK$325:$ID$396,FQ$169,1+SwaptionShift):INDEX($FK$325:$ID$396,FQ$169,SwaptionMonthsToGo+SwaptionShift),INDEX($FK$245:$ID$316,$FJ179-FQ$169,73-FQ$169+SwaptionShift):INDEX($FK$245:$ID$316,$FJ179-FQ$169,72-FQ$169+SwaptionMonthsToGo+SwaptionShift))/SQRT(SUM(INDEX($FK334:$ID334,1+SwaptionShift):INDEX($FK334:$ID334,SwaptionMonthsToGo+SwaptionShift))*SUM(INDEX($FK$325:$ID$396,FQ$169,1+SwaptionShift):INDEX($FK$325:$ID$396,FQ$169,SwaptionMonthsToGo+SwaptionShift))))))</f>
        <v>0.9527839903602433</v>
      </c>
      <c r="FR179" s="479">
        <f ca="1">IF(OR(FR$169&lt;SwaptionFirstMonthPosition+1,$FJ179&lt;SwaptionFirstMonthPosition+1,FR$169&gt;SwaptionFirstMonthPosition+SwaptionNumOfMonths+1,$FJ179&gt;SwaptionFirstMonthPosition+SwaptionNumOfMonths+1),"",IF($FJ179=FR$169,1,IF($FJ179&lt;FR$169,INDEX($FK$170:$ID$241,FR$169,$FJ179),SUMPRODUCT(INDEX($FK$325:$ID$396,FR$169,1+SwaptionShift):INDEX($FK$325:$ID$396,FR$169,SwaptionMonthsToGo+SwaptionShift),INDEX($FK$245:$ID$316,$FJ179-FR$169,73-FR$169+SwaptionShift):INDEX($FK$245:$ID$316,$FJ179-FR$169,72-FR$169+SwaptionMonthsToGo+SwaptionShift))/SQRT(SUM(INDEX($FK334:$ID334,1+SwaptionShift):INDEX($FK334:$ID334,SwaptionMonthsToGo+SwaptionShift))*SUM(INDEX($FK$325:$ID$396,FR$169,1+SwaptionShift):INDEX($FK$325:$ID$396,FR$169,SwaptionMonthsToGo+SwaptionShift))))))</f>
        <v>0.97192375735231873</v>
      </c>
      <c r="FS179" s="479">
        <f ca="1">IF(OR(FS$169&lt;SwaptionFirstMonthPosition+1,$FJ179&lt;SwaptionFirstMonthPosition+1,FS$169&gt;SwaptionFirstMonthPosition+SwaptionNumOfMonths+1,$FJ179&gt;SwaptionFirstMonthPosition+SwaptionNumOfMonths+1),"",IF($FJ179=FS$169,1,IF($FJ179&lt;FS$169,INDEX($FK$170:$ID$241,FS$169,$FJ179),SUMPRODUCT(INDEX($FK$325:$ID$396,FS$169,1+SwaptionShift):INDEX($FK$325:$ID$396,FS$169,SwaptionMonthsToGo+SwaptionShift),INDEX($FK$245:$ID$316,$FJ179-FS$169,73-FS$169+SwaptionShift):INDEX($FK$245:$ID$316,$FJ179-FS$169,72-FS$169+SwaptionMonthsToGo+SwaptionShift))/SQRT(SUM(INDEX($FK334:$ID334,1+SwaptionShift):INDEX($FK334:$ID334,SwaptionMonthsToGo+SwaptionShift))*SUM(INDEX($FK$325:$ID$396,FS$169,1+SwaptionShift):INDEX($FK$325:$ID$396,FS$169,SwaptionMonthsToGo+SwaptionShift))))))</f>
        <v>0.98740935828546383</v>
      </c>
      <c r="FT179" s="479">
        <f ca="1">IF(OR(FT$169&lt;SwaptionFirstMonthPosition+1,$FJ179&lt;SwaptionFirstMonthPosition+1,FT$169&gt;SwaptionFirstMonthPosition+SwaptionNumOfMonths+1,$FJ179&gt;SwaptionFirstMonthPosition+SwaptionNumOfMonths+1),"",IF($FJ179=FT$169,1,IF($FJ179&lt;FT$169,INDEX($FK$170:$ID$241,FT$169,$FJ179),SUMPRODUCT(INDEX($FK$325:$ID$396,FT$169,1+SwaptionShift):INDEX($FK$325:$ID$396,FT$169,SwaptionMonthsToGo+SwaptionShift),INDEX($FK$245:$ID$316,$FJ179-FT$169,73-FT$169+SwaptionShift):INDEX($FK$245:$ID$316,$FJ179-FT$169,72-FT$169+SwaptionMonthsToGo+SwaptionShift))/SQRT(SUM(INDEX($FK334:$ID334,1+SwaptionShift):INDEX($FK334:$ID334,SwaptionMonthsToGo+SwaptionShift))*SUM(INDEX($FK$325:$ID$396,FT$169,1+SwaptionShift):INDEX($FK$325:$ID$396,FT$169,SwaptionMonthsToGo+SwaptionShift))))))</f>
        <v>1</v>
      </c>
      <c r="FU179" s="479">
        <f ca="1">IF(OR(FU$169&lt;SwaptionFirstMonthPosition+1,$FJ179&lt;SwaptionFirstMonthPosition+1,FU$169&gt;SwaptionFirstMonthPosition+SwaptionNumOfMonths+1,$FJ179&gt;SwaptionFirstMonthPosition+SwaptionNumOfMonths+1),"",IF($FJ179=FU$169,1,IF($FJ179&lt;FU$169,INDEX($FK$170:$ID$241,FU$169,$FJ179),SUMPRODUCT(INDEX($FK$325:$ID$396,FU$169,1+SwaptionShift):INDEX($FK$325:$ID$396,FU$169,SwaptionMonthsToGo+SwaptionShift),INDEX($FK$245:$ID$316,$FJ179-FU$169,73-FU$169+SwaptionShift):INDEX($FK$245:$ID$316,$FJ179-FU$169,72-FU$169+SwaptionMonthsToGo+SwaptionShift))/SQRT(SUM(INDEX($FK334:$ID334,1+SwaptionShift):INDEX($FK334:$ID334,SwaptionMonthsToGo+SwaptionShift))*SUM(INDEX($FK$325:$ID$396,FU$169,1+SwaptionShift):INDEX($FK$325:$ID$396,FU$169,SwaptionMonthsToGo+SwaptionShift))))))</f>
        <v>0.98972384729149687</v>
      </c>
      <c r="FV179" s="479">
        <f ca="1">IF(OR(FV$169&lt;SwaptionFirstMonthPosition+1,$FJ179&lt;SwaptionFirstMonthPosition+1,FV$169&gt;SwaptionFirstMonthPosition+SwaptionNumOfMonths+1,$FJ179&gt;SwaptionFirstMonthPosition+SwaptionNumOfMonths+1),"",IF($FJ179=FV$169,1,IF($FJ179&lt;FV$169,INDEX($FK$170:$ID$241,FV$169,$FJ179),SUMPRODUCT(INDEX($FK$325:$ID$396,FV$169,1+SwaptionShift):INDEX($FK$325:$ID$396,FV$169,SwaptionMonthsToGo+SwaptionShift),INDEX($FK$245:$ID$316,$FJ179-FV$169,73-FV$169+SwaptionShift):INDEX($FK$245:$ID$316,$FJ179-FV$169,72-FV$169+SwaptionMonthsToGo+SwaptionShift))/SQRT(SUM(INDEX($FK334:$ID334,1+SwaptionShift):INDEX($FK334:$ID334,SwaptionMonthsToGo+SwaptionShift))*SUM(INDEX($FK$325:$ID$396,FV$169,1+SwaptionShift):INDEX($FK$325:$ID$396,FV$169,SwaptionMonthsToGo+SwaptionShift))))))</f>
        <v>0.98129748433544028</v>
      </c>
      <c r="FW179" s="479">
        <f ca="1">IF(OR(FW$169&lt;SwaptionFirstMonthPosition+1,$FJ179&lt;SwaptionFirstMonthPosition+1,FW$169&gt;SwaptionFirstMonthPosition+SwaptionNumOfMonths+1,$FJ179&gt;SwaptionFirstMonthPosition+SwaptionNumOfMonths+1),"",IF($FJ179=FW$169,1,IF($FJ179&lt;FW$169,INDEX($FK$170:$ID$241,FW$169,$FJ179),SUMPRODUCT(INDEX($FK$325:$ID$396,FW$169,1+SwaptionShift):INDEX($FK$325:$ID$396,FW$169,SwaptionMonthsToGo+SwaptionShift),INDEX($FK$245:$ID$316,$FJ179-FW$169,73-FW$169+SwaptionShift):INDEX($FK$245:$ID$316,$FJ179-FW$169,72-FW$169+SwaptionMonthsToGo+SwaptionShift))/SQRT(SUM(INDEX($FK334:$ID334,1+SwaptionShift):INDEX($FK334:$ID334,SwaptionMonthsToGo+SwaptionShift))*SUM(INDEX($FK$325:$ID$396,FW$169,1+SwaptionShift):INDEX($FK$325:$ID$396,FW$169,SwaptionMonthsToGo+SwaptionShift))))))</f>
        <v>0.97435013090006406</v>
      </c>
      <c r="FX179" s="479">
        <f ca="1">IF(OR(FX$169&lt;SwaptionFirstMonthPosition+1,$FJ179&lt;SwaptionFirstMonthPosition+1,FX$169&gt;SwaptionFirstMonthPosition+SwaptionNumOfMonths+1,$FJ179&gt;SwaptionFirstMonthPosition+SwaptionNumOfMonths+1),"",IF($FJ179=FX$169,1,IF($FJ179&lt;FX$169,INDEX($FK$170:$ID$241,FX$169,$FJ179),SUMPRODUCT(INDEX($FK$325:$ID$396,FX$169,1+SwaptionShift):INDEX($FK$325:$ID$396,FX$169,SwaptionMonthsToGo+SwaptionShift),INDEX($FK$245:$ID$316,$FJ179-FX$169,73-FX$169+SwaptionShift):INDEX($FK$245:$ID$316,$FJ179-FX$169,72-FX$169+SwaptionMonthsToGo+SwaptionShift))/SQRT(SUM(INDEX($FK334:$ID334,1+SwaptionShift):INDEX($FK334:$ID334,SwaptionMonthsToGo+SwaptionShift))*SUM(INDEX($FK$325:$ID$396,FX$169,1+SwaptionShift):INDEX($FK$325:$ID$396,FX$169,SwaptionMonthsToGo+SwaptionShift))))))</f>
        <v>0.96859522718181112</v>
      </c>
      <c r="FY179" s="479">
        <f ca="1">IF(OR(FY$169&lt;SwaptionFirstMonthPosition+1,$FJ179&lt;SwaptionFirstMonthPosition+1,FY$169&gt;SwaptionFirstMonthPosition+SwaptionNumOfMonths+1,$FJ179&gt;SwaptionFirstMonthPosition+SwaptionNumOfMonths+1),"",IF($FJ179=FY$169,1,IF($FJ179&lt;FY$169,INDEX($FK$170:$ID$241,FY$169,$FJ179),SUMPRODUCT(INDEX($FK$325:$ID$396,FY$169,1+SwaptionShift):INDEX($FK$325:$ID$396,FY$169,SwaptionMonthsToGo+SwaptionShift),INDEX($FK$245:$ID$316,$FJ179-FY$169,73-FY$169+SwaptionShift):INDEX($FK$245:$ID$316,$FJ179-FY$169,72-FY$169+SwaptionMonthsToGo+SwaptionShift))/SQRT(SUM(INDEX($FK334:$ID334,1+SwaptionShift):INDEX($FK334:$ID334,SwaptionMonthsToGo+SwaptionShift))*SUM(INDEX($FK$325:$ID$396,FY$169,1+SwaptionShift):INDEX($FK$325:$ID$396,FY$169,SwaptionMonthsToGo+SwaptionShift))))))</f>
        <v>0.96380870497790505</v>
      </c>
      <c r="FZ179" s="479">
        <f ca="1">IF(OR(FZ$169&lt;SwaptionFirstMonthPosition+1,$FJ179&lt;SwaptionFirstMonthPosition+1,FZ$169&gt;SwaptionFirstMonthPosition+SwaptionNumOfMonths+1,$FJ179&gt;SwaptionFirstMonthPosition+SwaptionNumOfMonths+1),"",IF($FJ179=FZ$169,1,IF($FJ179&lt;FZ$169,INDEX($FK$170:$ID$241,FZ$169,$FJ179),SUMPRODUCT(INDEX($FK$325:$ID$396,FZ$169,1+SwaptionShift):INDEX($FK$325:$ID$396,FZ$169,SwaptionMonthsToGo+SwaptionShift),INDEX($FK$245:$ID$316,$FJ179-FZ$169,73-FZ$169+SwaptionShift):INDEX($FK$245:$ID$316,$FJ179-FZ$169,72-FZ$169+SwaptionMonthsToGo+SwaptionShift))/SQRT(SUM(INDEX($FK334:$ID334,1+SwaptionShift):INDEX($FK334:$ID334,SwaptionMonthsToGo+SwaptionShift))*SUM(INDEX($FK$325:$ID$396,FZ$169,1+SwaptionShift):INDEX($FK$325:$ID$396,FZ$169,SwaptionMonthsToGo+SwaptionShift))))))</f>
        <v>0.95981356643483318</v>
      </c>
      <c r="GA179" s="479">
        <f ca="1">IF(OR(GA$169&lt;SwaptionFirstMonthPosition+1,$FJ179&lt;SwaptionFirstMonthPosition+1,GA$169&gt;SwaptionFirstMonthPosition+SwaptionNumOfMonths+1,$FJ179&gt;SwaptionFirstMonthPosition+SwaptionNumOfMonths+1),"",IF($FJ179=GA$169,1,IF($FJ179&lt;GA$169,INDEX($FK$170:$ID$241,GA$169,$FJ179),SUMPRODUCT(INDEX($FK$325:$ID$396,GA$169,1+SwaptionShift):INDEX($FK$325:$ID$396,GA$169,SwaptionMonthsToGo+SwaptionShift),INDEX($FK$245:$ID$316,$FJ179-GA$169,73-GA$169+SwaptionShift):INDEX($FK$245:$ID$316,$FJ179-GA$169,72-GA$169+SwaptionMonthsToGo+SwaptionShift))/SQRT(SUM(INDEX($FK334:$ID334,1+SwaptionShift):INDEX($FK334:$ID334,SwaptionMonthsToGo+SwaptionShift))*SUM(INDEX($FK$325:$ID$396,GA$169,1+SwaptionShift):INDEX($FK$325:$ID$396,GA$169,SwaptionMonthsToGo+SwaptionShift))))))</f>
        <v>0.95646873752278838</v>
      </c>
      <c r="GB179" s="479">
        <f ca="1">IF(OR(GB$169&lt;SwaptionFirstMonthPosition+1,$FJ179&lt;SwaptionFirstMonthPosition+1,GB$169&gt;SwaptionFirstMonthPosition+SwaptionNumOfMonths+1,$FJ179&gt;SwaptionFirstMonthPosition+SwaptionNumOfMonths+1),"",IF($FJ179=GB$169,1,IF($FJ179&lt;GB$169,INDEX($FK$170:$ID$241,GB$169,$FJ179),SUMPRODUCT(INDEX($FK$325:$ID$396,GB$169,1+SwaptionShift):INDEX($FK$325:$ID$396,GB$169,SwaptionMonthsToGo+SwaptionShift),INDEX($FK$245:$ID$316,$FJ179-GB$169,73-GB$169+SwaptionShift):INDEX($FK$245:$ID$316,$FJ179-GB$169,72-GB$169+SwaptionMonthsToGo+SwaptionShift))/SQRT(SUM(INDEX($FK334:$ID334,1+SwaptionShift):INDEX($FK334:$ID334,SwaptionMonthsToGo+SwaptionShift))*SUM(INDEX($FK$325:$ID$396,GB$169,1+SwaptionShift):INDEX($FK$325:$ID$396,GB$169,SwaptionMonthsToGo+SwaptionShift))))))</f>
        <v>0.95366088182414177</v>
      </c>
      <c r="GC179" s="479" t="str">
        <f ca="1">IF(OR(GC$169&lt;SwaptionFirstMonthPosition+1,$FJ179&lt;SwaptionFirstMonthPosition+1,GC$169&gt;SwaptionFirstMonthPosition+SwaptionNumOfMonths+1,$FJ179&gt;SwaptionFirstMonthPosition+SwaptionNumOfMonths+1),"",IF($FJ179=GC$169,1,IF($FJ179&lt;GC$169,INDEX($FK$170:$ID$241,GC$169,$FJ179),SUMPRODUCT(INDEX($FK$325:$ID$396,GC$169,1+SwaptionShift):INDEX($FK$325:$ID$396,GC$169,SwaptionMonthsToGo+SwaptionShift),INDEX($FK$245:$ID$316,$FJ179-GC$169,73-GC$169+SwaptionShift):INDEX($FK$245:$ID$316,$FJ179-GC$169,72-GC$169+SwaptionMonthsToGo+SwaptionShift))/SQRT(SUM(INDEX($FK334:$ID334,1+SwaptionShift):INDEX($FK334:$ID334,SwaptionMonthsToGo+SwaptionShift))*SUM(INDEX($FK$325:$ID$396,GC$169,1+SwaptionShift):INDEX($FK$325:$ID$396,GC$169,SwaptionMonthsToGo+SwaptionShift))))))</f>
        <v/>
      </c>
      <c r="GD179" s="479" t="str">
        <f ca="1">IF(OR(GD$169&lt;SwaptionFirstMonthPosition+1,$FJ179&lt;SwaptionFirstMonthPosition+1,GD$169&gt;SwaptionFirstMonthPosition+SwaptionNumOfMonths+1,$FJ179&gt;SwaptionFirstMonthPosition+SwaptionNumOfMonths+1),"",IF($FJ179=GD$169,1,IF($FJ179&lt;GD$169,INDEX($FK$170:$ID$241,GD$169,$FJ179),SUMPRODUCT(INDEX($FK$325:$ID$396,GD$169,1+SwaptionShift):INDEX($FK$325:$ID$396,GD$169,SwaptionMonthsToGo+SwaptionShift),INDEX($FK$245:$ID$316,$FJ179-GD$169,73-GD$169+SwaptionShift):INDEX($FK$245:$ID$316,$FJ179-GD$169,72-GD$169+SwaptionMonthsToGo+SwaptionShift))/SQRT(SUM(INDEX($FK334:$ID334,1+SwaptionShift):INDEX($FK334:$ID334,SwaptionMonthsToGo+SwaptionShift))*SUM(INDEX($FK$325:$ID$396,GD$169,1+SwaptionShift):INDEX($FK$325:$ID$396,GD$169,SwaptionMonthsToGo+SwaptionShift))))))</f>
        <v/>
      </c>
      <c r="GE179" s="479" t="str">
        <f ca="1">IF(OR(GE$169&lt;SwaptionFirstMonthPosition+1,$FJ179&lt;SwaptionFirstMonthPosition+1,GE$169&gt;SwaptionFirstMonthPosition+SwaptionNumOfMonths+1,$FJ179&gt;SwaptionFirstMonthPosition+SwaptionNumOfMonths+1),"",IF($FJ179=GE$169,1,IF($FJ179&lt;GE$169,INDEX($FK$170:$ID$241,GE$169,$FJ179),SUMPRODUCT(INDEX($FK$325:$ID$396,GE$169,1+SwaptionShift):INDEX($FK$325:$ID$396,GE$169,SwaptionMonthsToGo+SwaptionShift),INDEX($FK$245:$ID$316,$FJ179-GE$169,73-GE$169+SwaptionShift):INDEX($FK$245:$ID$316,$FJ179-GE$169,72-GE$169+SwaptionMonthsToGo+SwaptionShift))/SQRT(SUM(INDEX($FK334:$ID334,1+SwaptionShift):INDEX($FK334:$ID334,SwaptionMonthsToGo+SwaptionShift))*SUM(INDEX($FK$325:$ID$396,GE$169,1+SwaptionShift):INDEX($FK$325:$ID$396,GE$169,SwaptionMonthsToGo+SwaptionShift))))))</f>
        <v/>
      </c>
      <c r="GF179" s="479" t="str">
        <f ca="1">IF(OR(GF$169&lt;SwaptionFirstMonthPosition+1,$FJ179&lt;SwaptionFirstMonthPosition+1,GF$169&gt;SwaptionFirstMonthPosition+SwaptionNumOfMonths+1,$FJ179&gt;SwaptionFirstMonthPosition+SwaptionNumOfMonths+1),"",IF($FJ179=GF$169,1,IF($FJ179&lt;GF$169,INDEX($FK$170:$ID$241,GF$169,$FJ179),SUMPRODUCT(INDEX($FK$325:$ID$396,GF$169,1+SwaptionShift):INDEX($FK$325:$ID$396,GF$169,SwaptionMonthsToGo+SwaptionShift),INDEX($FK$245:$ID$316,$FJ179-GF$169,73-GF$169+SwaptionShift):INDEX($FK$245:$ID$316,$FJ179-GF$169,72-GF$169+SwaptionMonthsToGo+SwaptionShift))/SQRT(SUM(INDEX($FK334:$ID334,1+SwaptionShift):INDEX($FK334:$ID334,SwaptionMonthsToGo+SwaptionShift))*SUM(INDEX($FK$325:$ID$396,GF$169,1+SwaptionShift):INDEX($FK$325:$ID$396,GF$169,SwaptionMonthsToGo+SwaptionShift))))))</f>
        <v/>
      </c>
      <c r="GG179" s="479" t="str">
        <f ca="1">IF(OR(GG$169&lt;SwaptionFirstMonthPosition+1,$FJ179&lt;SwaptionFirstMonthPosition+1,GG$169&gt;SwaptionFirstMonthPosition+SwaptionNumOfMonths+1,$FJ179&gt;SwaptionFirstMonthPosition+SwaptionNumOfMonths+1),"",IF($FJ179=GG$169,1,IF($FJ179&lt;GG$169,INDEX($FK$170:$ID$241,GG$169,$FJ179),SUMPRODUCT(INDEX($FK$325:$ID$396,GG$169,1+SwaptionShift):INDEX($FK$325:$ID$396,GG$169,SwaptionMonthsToGo+SwaptionShift),INDEX($FK$245:$ID$316,$FJ179-GG$169,73-GG$169+SwaptionShift):INDEX($FK$245:$ID$316,$FJ179-GG$169,72-GG$169+SwaptionMonthsToGo+SwaptionShift))/SQRT(SUM(INDEX($FK334:$ID334,1+SwaptionShift):INDEX($FK334:$ID334,SwaptionMonthsToGo+SwaptionShift))*SUM(INDEX($FK$325:$ID$396,GG$169,1+SwaptionShift):INDEX($FK$325:$ID$396,GG$169,SwaptionMonthsToGo+SwaptionShift))))))</f>
        <v/>
      </c>
      <c r="GH179" s="479" t="str">
        <f ca="1">IF(OR(GH$169&lt;SwaptionFirstMonthPosition+1,$FJ179&lt;SwaptionFirstMonthPosition+1,GH$169&gt;SwaptionFirstMonthPosition+SwaptionNumOfMonths+1,$FJ179&gt;SwaptionFirstMonthPosition+SwaptionNumOfMonths+1),"",IF($FJ179=GH$169,1,IF($FJ179&lt;GH$169,INDEX($FK$170:$ID$241,GH$169,$FJ179),SUMPRODUCT(INDEX($FK$325:$ID$396,GH$169,1+SwaptionShift):INDEX($FK$325:$ID$396,GH$169,SwaptionMonthsToGo+SwaptionShift),INDEX($FK$245:$ID$316,$FJ179-GH$169,73-GH$169+SwaptionShift):INDEX($FK$245:$ID$316,$FJ179-GH$169,72-GH$169+SwaptionMonthsToGo+SwaptionShift))/SQRT(SUM(INDEX($FK334:$ID334,1+SwaptionShift):INDEX($FK334:$ID334,SwaptionMonthsToGo+SwaptionShift))*SUM(INDEX($FK$325:$ID$396,GH$169,1+SwaptionShift):INDEX($FK$325:$ID$396,GH$169,SwaptionMonthsToGo+SwaptionShift))))))</f>
        <v/>
      </c>
      <c r="GI179" s="479" t="str">
        <f ca="1">IF(OR(GI$169&lt;SwaptionFirstMonthPosition+1,$FJ179&lt;SwaptionFirstMonthPosition+1,GI$169&gt;SwaptionFirstMonthPosition+SwaptionNumOfMonths+1,$FJ179&gt;SwaptionFirstMonthPosition+SwaptionNumOfMonths+1),"",IF($FJ179=GI$169,1,IF($FJ179&lt;GI$169,INDEX($FK$170:$ID$241,GI$169,$FJ179),SUMPRODUCT(INDEX($FK$325:$ID$396,GI$169,1+SwaptionShift):INDEX($FK$325:$ID$396,GI$169,SwaptionMonthsToGo+SwaptionShift),INDEX($FK$245:$ID$316,$FJ179-GI$169,73-GI$169+SwaptionShift):INDEX($FK$245:$ID$316,$FJ179-GI$169,72-GI$169+SwaptionMonthsToGo+SwaptionShift))/SQRT(SUM(INDEX($FK334:$ID334,1+SwaptionShift):INDEX($FK334:$ID334,SwaptionMonthsToGo+SwaptionShift))*SUM(INDEX($FK$325:$ID$396,GI$169,1+SwaptionShift):INDEX($FK$325:$ID$396,GI$169,SwaptionMonthsToGo+SwaptionShift))))))</f>
        <v/>
      </c>
      <c r="GJ179" s="479" t="str">
        <f ca="1">IF(OR(GJ$169&lt;SwaptionFirstMonthPosition+1,$FJ179&lt;SwaptionFirstMonthPosition+1,GJ$169&gt;SwaptionFirstMonthPosition+SwaptionNumOfMonths+1,$FJ179&gt;SwaptionFirstMonthPosition+SwaptionNumOfMonths+1),"",IF($FJ179=GJ$169,1,IF($FJ179&lt;GJ$169,INDEX($FK$170:$ID$241,GJ$169,$FJ179),SUMPRODUCT(INDEX($FK$325:$ID$396,GJ$169,1+SwaptionShift):INDEX($FK$325:$ID$396,GJ$169,SwaptionMonthsToGo+SwaptionShift),INDEX($FK$245:$ID$316,$FJ179-GJ$169,73-GJ$169+SwaptionShift):INDEX($FK$245:$ID$316,$FJ179-GJ$169,72-GJ$169+SwaptionMonthsToGo+SwaptionShift))/SQRT(SUM(INDEX($FK334:$ID334,1+SwaptionShift):INDEX($FK334:$ID334,SwaptionMonthsToGo+SwaptionShift))*SUM(INDEX($FK$325:$ID$396,GJ$169,1+SwaptionShift):INDEX($FK$325:$ID$396,GJ$169,SwaptionMonthsToGo+SwaptionShift))))))</f>
        <v/>
      </c>
      <c r="GK179" s="479" t="str">
        <f ca="1">IF(OR(GK$169&lt;SwaptionFirstMonthPosition+1,$FJ179&lt;SwaptionFirstMonthPosition+1,GK$169&gt;SwaptionFirstMonthPosition+SwaptionNumOfMonths+1,$FJ179&gt;SwaptionFirstMonthPosition+SwaptionNumOfMonths+1),"",IF($FJ179=GK$169,1,IF($FJ179&lt;GK$169,INDEX($FK$170:$ID$241,GK$169,$FJ179),SUMPRODUCT(INDEX($FK$325:$ID$396,GK$169,1+SwaptionShift):INDEX($FK$325:$ID$396,GK$169,SwaptionMonthsToGo+SwaptionShift),INDEX($FK$245:$ID$316,$FJ179-GK$169,73-GK$169+SwaptionShift):INDEX($FK$245:$ID$316,$FJ179-GK$169,72-GK$169+SwaptionMonthsToGo+SwaptionShift))/SQRT(SUM(INDEX($FK334:$ID334,1+SwaptionShift):INDEX($FK334:$ID334,SwaptionMonthsToGo+SwaptionShift))*SUM(INDEX($FK$325:$ID$396,GK$169,1+SwaptionShift):INDEX($FK$325:$ID$396,GK$169,SwaptionMonthsToGo+SwaptionShift))))))</f>
        <v/>
      </c>
      <c r="GL179" s="479" t="str">
        <f ca="1">IF(OR(GL$169&lt;SwaptionFirstMonthPosition+1,$FJ179&lt;SwaptionFirstMonthPosition+1,GL$169&gt;SwaptionFirstMonthPosition+SwaptionNumOfMonths+1,$FJ179&gt;SwaptionFirstMonthPosition+SwaptionNumOfMonths+1),"",IF($FJ179=GL$169,1,IF($FJ179&lt;GL$169,INDEX($FK$170:$ID$241,GL$169,$FJ179),SUMPRODUCT(INDEX($FK$325:$ID$396,GL$169,1+SwaptionShift):INDEX($FK$325:$ID$396,GL$169,SwaptionMonthsToGo+SwaptionShift),INDEX($FK$245:$ID$316,$FJ179-GL$169,73-GL$169+SwaptionShift):INDEX($FK$245:$ID$316,$FJ179-GL$169,72-GL$169+SwaptionMonthsToGo+SwaptionShift))/SQRT(SUM(INDEX($FK334:$ID334,1+SwaptionShift):INDEX($FK334:$ID334,SwaptionMonthsToGo+SwaptionShift))*SUM(INDEX($FK$325:$ID$396,GL$169,1+SwaptionShift):INDEX($FK$325:$ID$396,GL$169,SwaptionMonthsToGo+SwaptionShift))))))</f>
        <v/>
      </c>
      <c r="GM179" s="479" t="str">
        <f ca="1">IF(OR(GM$169&lt;SwaptionFirstMonthPosition+1,$FJ179&lt;SwaptionFirstMonthPosition+1,GM$169&gt;SwaptionFirstMonthPosition+SwaptionNumOfMonths+1,$FJ179&gt;SwaptionFirstMonthPosition+SwaptionNumOfMonths+1),"",IF($FJ179=GM$169,1,IF($FJ179&lt;GM$169,INDEX($FK$170:$ID$241,GM$169,$FJ179),SUMPRODUCT(INDEX($FK$325:$ID$396,GM$169,1+SwaptionShift):INDEX($FK$325:$ID$396,GM$169,SwaptionMonthsToGo+SwaptionShift),INDEX($FK$245:$ID$316,$FJ179-GM$169,73-GM$169+SwaptionShift):INDEX($FK$245:$ID$316,$FJ179-GM$169,72-GM$169+SwaptionMonthsToGo+SwaptionShift))/SQRT(SUM(INDEX($FK334:$ID334,1+SwaptionShift):INDEX($FK334:$ID334,SwaptionMonthsToGo+SwaptionShift))*SUM(INDEX($FK$325:$ID$396,GM$169,1+SwaptionShift):INDEX($FK$325:$ID$396,GM$169,SwaptionMonthsToGo+SwaptionShift))))))</f>
        <v/>
      </c>
      <c r="GN179" s="479" t="str">
        <f ca="1">IF(OR(GN$169&lt;SwaptionFirstMonthPosition+1,$FJ179&lt;SwaptionFirstMonthPosition+1,GN$169&gt;SwaptionFirstMonthPosition+SwaptionNumOfMonths+1,$FJ179&gt;SwaptionFirstMonthPosition+SwaptionNumOfMonths+1),"",IF($FJ179=GN$169,1,IF($FJ179&lt;GN$169,INDEX($FK$170:$ID$241,GN$169,$FJ179),SUMPRODUCT(INDEX($FK$325:$ID$396,GN$169,1+SwaptionShift):INDEX($FK$325:$ID$396,GN$169,SwaptionMonthsToGo+SwaptionShift),INDEX($FK$245:$ID$316,$FJ179-GN$169,73-GN$169+SwaptionShift):INDEX($FK$245:$ID$316,$FJ179-GN$169,72-GN$169+SwaptionMonthsToGo+SwaptionShift))/SQRT(SUM(INDEX($FK334:$ID334,1+SwaptionShift):INDEX($FK334:$ID334,SwaptionMonthsToGo+SwaptionShift))*SUM(INDEX($FK$325:$ID$396,GN$169,1+SwaptionShift):INDEX($FK$325:$ID$396,GN$169,SwaptionMonthsToGo+SwaptionShift))))))</f>
        <v/>
      </c>
      <c r="GO179" s="479" t="str">
        <f ca="1">IF(OR(GO$169&lt;SwaptionFirstMonthPosition+1,$FJ179&lt;SwaptionFirstMonthPosition+1,GO$169&gt;SwaptionFirstMonthPosition+SwaptionNumOfMonths+1,$FJ179&gt;SwaptionFirstMonthPosition+SwaptionNumOfMonths+1),"",IF($FJ179=GO$169,1,IF($FJ179&lt;GO$169,INDEX($FK$170:$ID$241,GO$169,$FJ179),SUMPRODUCT(INDEX($FK$325:$ID$396,GO$169,1+SwaptionShift):INDEX($FK$325:$ID$396,GO$169,SwaptionMonthsToGo+SwaptionShift),INDEX($FK$245:$ID$316,$FJ179-GO$169,73-GO$169+SwaptionShift):INDEX($FK$245:$ID$316,$FJ179-GO$169,72-GO$169+SwaptionMonthsToGo+SwaptionShift))/SQRT(SUM(INDEX($FK334:$ID334,1+SwaptionShift):INDEX($FK334:$ID334,SwaptionMonthsToGo+SwaptionShift))*SUM(INDEX($FK$325:$ID$396,GO$169,1+SwaptionShift):INDEX($FK$325:$ID$396,GO$169,SwaptionMonthsToGo+SwaptionShift))))))</f>
        <v/>
      </c>
      <c r="GP179" s="479" t="str">
        <f ca="1">IF(OR(GP$169&lt;SwaptionFirstMonthPosition+1,$FJ179&lt;SwaptionFirstMonthPosition+1,GP$169&gt;SwaptionFirstMonthPosition+SwaptionNumOfMonths+1,$FJ179&gt;SwaptionFirstMonthPosition+SwaptionNumOfMonths+1),"",IF($FJ179=GP$169,1,IF($FJ179&lt;GP$169,INDEX($FK$170:$ID$241,GP$169,$FJ179),SUMPRODUCT(INDEX($FK$325:$ID$396,GP$169,1+SwaptionShift):INDEX($FK$325:$ID$396,GP$169,SwaptionMonthsToGo+SwaptionShift),INDEX($FK$245:$ID$316,$FJ179-GP$169,73-GP$169+SwaptionShift):INDEX($FK$245:$ID$316,$FJ179-GP$169,72-GP$169+SwaptionMonthsToGo+SwaptionShift))/SQRT(SUM(INDEX($FK334:$ID334,1+SwaptionShift):INDEX($FK334:$ID334,SwaptionMonthsToGo+SwaptionShift))*SUM(INDEX($FK$325:$ID$396,GP$169,1+SwaptionShift):INDEX($FK$325:$ID$396,GP$169,SwaptionMonthsToGo+SwaptionShift))))))</f>
        <v/>
      </c>
      <c r="GQ179" s="479" t="str">
        <f ca="1">IF(OR(GQ$169&lt;SwaptionFirstMonthPosition+1,$FJ179&lt;SwaptionFirstMonthPosition+1,GQ$169&gt;SwaptionFirstMonthPosition+SwaptionNumOfMonths+1,$FJ179&gt;SwaptionFirstMonthPosition+SwaptionNumOfMonths+1),"",IF($FJ179=GQ$169,1,IF($FJ179&lt;GQ$169,INDEX($FK$170:$ID$241,GQ$169,$FJ179),SUMPRODUCT(INDEX($FK$325:$ID$396,GQ$169,1+SwaptionShift):INDEX($FK$325:$ID$396,GQ$169,SwaptionMonthsToGo+SwaptionShift),INDEX($FK$245:$ID$316,$FJ179-GQ$169,73-GQ$169+SwaptionShift):INDEX($FK$245:$ID$316,$FJ179-GQ$169,72-GQ$169+SwaptionMonthsToGo+SwaptionShift))/SQRT(SUM(INDEX($FK334:$ID334,1+SwaptionShift):INDEX($FK334:$ID334,SwaptionMonthsToGo+SwaptionShift))*SUM(INDEX($FK$325:$ID$396,GQ$169,1+SwaptionShift):INDEX($FK$325:$ID$396,GQ$169,SwaptionMonthsToGo+SwaptionShift))))))</f>
        <v/>
      </c>
      <c r="GR179" s="479" t="str">
        <f ca="1">IF(OR(GR$169&lt;SwaptionFirstMonthPosition+1,$FJ179&lt;SwaptionFirstMonthPosition+1,GR$169&gt;SwaptionFirstMonthPosition+SwaptionNumOfMonths+1,$FJ179&gt;SwaptionFirstMonthPosition+SwaptionNumOfMonths+1),"",IF($FJ179=GR$169,1,IF($FJ179&lt;GR$169,INDEX($FK$170:$ID$241,GR$169,$FJ179),SUMPRODUCT(INDEX($FK$325:$ID$396,GR$169,1+SwaptionShift):INDEX($FK$325:$ID$396,GR$169,SwaptionMonthsToGo+SwaptionShift),INDEX($FK$245:$ID$316,$FJ179-GR$169,73-GR$169+SwaptionShift):INDEX($FK$245:$ID$316,$FJ179-GR$169,72-GR$169+SwaptionMonthsToGo+SwaptionShift))/SQRT(SUM(INDEX($FK334:$ID334,1+SwaptionShift):INDEX($FK334:$ID334,SwaptionMonthsToGo+SwaptionShift))*SUM(INDEX($FK$325:$ID$396,GR$169,1+SwaptionShift):INDEX($FK$325:$ID$396,GR$169,SwaptionMonthsToGo+SwaptionShift))))))</f>
        <v/>
      </c>
      <c r="GS179" s="479" t="str">
        <f ca="1">IF(OR(GS$169&lt;SwaptionFirstMonthPosition+1,$FJ179&lt;SwaptionFirstMonthPosition+1,GS$169&gt;SwaptionFirstMonthPosition+SwaptionNumOfMonths+1,$FJ179&gt;SwaptionFirstMonthPosition+SwaptionNumOfMonths+1),"",IF($FJ179=GS$169,1,IF($FJ179&lt;GS$169,INDEX($FK$170:$ID$241,GS$169,$FJ179),SUMPRODUCT(INDEX($FK$325:$ID$396,GS$169,1+SwaptionShift):INDEX($FK$325:$ID$396,GS$169,SwaptionMonthsToGo+SwaptionShift),INDEX($FK$245:$ID$316,$FJ179-GS$169,73-GS$169+SwaptionShift):INDEX($FK$245:$ID$316,$FJ179-GS$169,72-GS$169+SwaptionMonthsToGo+SwaptionShift))/SQRT(SUM(INDEX($FK334:$ID334,1+SwaptionShift):INDEX($FK334:$ID334,SwaptionMonthsToGo+SwaptionShift))*SUM(INDEX($FK$325:$ID$396,GS$169,1+SwaptionShift):INDEX($FK$325:$ID$396,GS$169,SwaptionMonthsToGo+SwaptionShift))))))</f>
        <v/>
      </c>
      <c r="GT179" s="479" t="str">
        <f ca="1">IF(OR(GT$169&lt;SwaptionFirstMonthPosition+1,$FJ179&lt;SwaptionFirstMonthPosition+1,GT$169&gt;SwaptionFirstMonthPosition+SwaptionNumOfMonths+1,$FJ179&gt;SwaptionFirstMonthPosition+SwaptionNumOfMonths+1),"",IF($FJ179=GT$169,1,IF($FJ179&lt;GT$169,INDEX($FK$170:$ID$241,GT$169,$FJ179),SUMPRODUCT(INDEX($FK$325:$ID$396,GT$169,1+SwaptionShift):INDEX($FK$325:$ID$396,GT$169,SwaptionMonthsToGo+SwaptionShift),INDEX($FK$245:$ID$316,$FJ179-GT$169,73-GT$169+SwaptionShift):INDEX($FK$245:$ID$316,$FJ179-GT$169,72-GT$169+SwaptionMonthsToGo+SwaptionShift))/SQRT(SUM(INDEX($FK334:$ID334,1+SwaptionShift):INDEX($FK334:$ID334,SwaptionMonthsToGo+SwaptionShift))*SUM(INDEX($FK$325:$ID$396,GT$169,1+SwaptionShift):INDEX($FK$325:$ID$396,GT$169,SwaptionMonthsToGo+SwaptionShift))))))</f>
        <v/>
      </c>
      <c r="GU179" s="479" t="str">
        <f ca="1">IF(OR(GU$169&lt;SwaptionFirstMonthPosition+1,$FJ179&lt;SwaptionFirstMonthPosition+1,GU$169&gt;SwaptionFirstMonthPosition+SwaptionNumOfMonths+1,$FJ179&gt;SwaptionFirstMonthPosition+SwaptionNumOfMonths+1),"",IF($FJ179=GU$169,1,IF($FJ179&lt;GU$169,INDEX($FK$170:$ID$241,GU$169,$FJ179),SUMPRODUCT(INDEX($FK$325:$ID$396,GU$169,1+SwaptionShift):INDEX($FK$325:$ID$396,GU$169,SwaptionMonthsToGo+SwaptionShift),INDEX($FK$245:$ID$316,$FJ179-GU$169,73-GU$169+SwaptionShift):INDEX($FK$245:$ID$316,$FJ179-GU$169,72-GU$169+SwaptionMonthsToGo+SwaptionShift))/SQRT(SUM(INDEX($FK334:$ID334,1+SwaptionShift):INDEX($FK334:$ID334,SwaptionMonthsToGo+SwaptionShift))*SUM(INDEX($FK$325:$ID$396,GU$169,1+SwaptionShift):INDEX($FK$325:$ID$396,GU$169,SwaptionMonthsToGo+SwaptionShift))))))</f>
        <v/>
      </c>
      <c r="GV179" s="479" t="str">
        <f ca="1">IF(OR(GV$169&lt;SwaptionFirstMonthPosition+1,$FJ179&lt;SwaptionFirstMonthPosition+1,GV$169&gt;SwaptionFirstMonthPosition+SwaptionNumOfMonths+1,$FJ179&gt;SwaptionFirstMonthPosition+SwaptionNumOfMonths+1),"",IF($FJ179=GV$169,1,IF($FJ179&lt;GV$169,INDEX($FK$170:$ID$241,GV$169,$FJ179),SUMPRODUCT(INDEX($FK$325:$ID$396,GV$169,1+SwaptionShift):INDEX($FK$325:$ID$396,GV$169,SwaptionMonthsToGo+SwaptionShift),INDEX($FK$245:$ID$316,$FJ179-GV$169,73-GV$169+SwaptionShift):INDEX($FK$245:$ID$316,$FJ179-GV$169,72-GV$169+SwaptionMonthsToGo+SwaptionShift))/SQRT(SUM(INDEX($FK334:$ID334,1+SwaptionShift):INDEX($FK334:$ID334,SwaptionMonthsToGo+SwaptionShift))*SUM(INDEX($FK$325:$ID$396,GV$169,1+SwaptionShift):INDEX($FK$325:$ID$396,GV$169,SwaptionMonthsToGo+SwaptionShift))))))</f>
        <v/>
      </c>
      <c r="GW179" s="479" t="str">
        <f ca="1">IF(OR(GW$169&lt;SwaptionFirstMonthPosition+1,$FJ179&lt;SwaptionFirstMonthPosition+1,GW$169&gt;SwaptionFirstMonthPosition+SwaptionNumOfMonths+1,$FJ179&gt;SwaptionFirstMonthPosition+SwaptionNumOfMonths+1),"",IF($FJ179=GW$169,1,IF($FJ179&lt;GW$169,INDEX($FK$170:$ID$241,GW$169,$FJ179),SUMPRODUCT(INDEX($FK$325:$ID$396,GW$169,1+SwaptionShift):INDEX($FK$325:$ID$396,GW$169,SwaptionMonthsToGo+SwaptionShift),INDEX($FK$245:$ID$316,$FJ179-GW$169,73-GW$169+SwaptionShift):INDEX($FK$245:$ID$316,$FJ179-GW$169,72-GW$169+SwaptionMonthsToGo+SwaptionShift))/SQRT(SUM(INDEX($FK334:$ID334,1+SwaptionShift):INDEX($FK334:$ID334,SwaptionMonthsToGo+SwaptionShift))*SUM(INDEX($FK$325:$ID$396,GW$169,1+SwaptionShift):INDEX($FK$325:$ID$396,GW$169,SwaptionMonthsToGo+SwaptionShift))))))</f>
        <v/>
      </c>
      <c r="GX179" s="479" t="str">
        <f ca="1">IF(OR(GX$169&lt;SwaptionFirstMonthPosition+1,$FJ179&lt;SwaptionFirstMonthPosition+1,GX$169&gt;SwaptionFirstMonthPosition+SwaptionNumOfMonths+1,$FJ179&gt;SwaptionFirstMonthPosition+SwaptionNumOfMonths+1),"",IF($FJ179=GX$169,1,IF($FJ179&lt;GX$169,INDEX($FK$170:$ID$241,GX$169,$FJ179),SUMPRODUCT(INDEX($FK$325:$ID$396,GX$169,1+SwaptionShift):INDEX($FK$325:$ID$396,GX$169,SwaptionMonthsToGo+SwaptionShift),INDEX($FK$245:$ID$316,$FJ179-GX$169,73-GX$169+SwaptionShift):INDEX($FK$245:$ID$316,$FJ179-GX$169,72-GX$169+SwaptionMonthsToGo+SwaptionShift))/SQRT(SUM(INDEX($FK334:$ID334,1+SwaptionShift):INDEX($FK334:$ID334,SwaptionMonthsToGo+SwaptionShift))*SUM(INDEX($FK$325:$ID$396,GX$169,1+SwaptionShift):INDEX($FK$325:$ID$396,GX$169,SwaptionMonthsToGo+SwaptionShift))))))</f>
        <v/>
      </c>
      <c r="GY179" s="479" t="str">
        <f ca="1">IF(OR(GY$169&lt;SwaptionFirstMonthPosition+1,$FJ179&lt;SwaptionFirstMonthPosition+1,GY$169&gt;SwaptionFirstMonthPosition+SwaptionNumOfMonths+1,$FJ179&gt;SwaptionFirstMonthPosition+SwaptionNumOfMonths+1),"",IF($FJ179=GY$169,1,IF($FJ179&lt;GY$169,INDEX($FK$170:$ID$241,GY$169,$FJ179),SUMPRODUCT(INDEX($FK$325:$ID$396,GY$169,1+SwaptionShift):INDEX($FK$325:$ID$396,GY$169,SwaptionMonthsToGo+SwaptionShift),INDEX($FK$245:$ID$316,$FJ179-GY$169,73-GY$169+SwaptionShift):INDEX($FK$245:$ID$316,$FJ179-GY$169,72-GY$169+SwaptionMonthsToGo+SwaptionShift))/SQRT(SUM(INDEX($FK334:$ID334,1+SwaptionShift):INDEX($FK334:$ID334,SwaptionMonthsToGo+SwaptionShift))*SUM(INDEX($FK$325:$ID$396,GY$169,1+SwaptionShift):INDEX($FK$325:$ID$396,GY$169,SwaptionMonthsToGo+SwaptionShift))))))</f>
        <v/>
      </c>
      <c r="GZ179" s="479" t="str">
        <f ca="1">IF(OR(GZ$169&lt;SwaptionFirstMonthPosition+1,$FJ179&lt;SwaptionFirstMonthPosition+1,GZ$169&gt;SwaptionFirstMonthPosition+SwaptionNumOfMonths+1,$FJ179&gt;SwaptionFirstMonthPosition+SwaptionNumOfMonths+1),"",IF($FJ179=GZ$169,1,IF($FJ179&lt;GZ$169,INDEX($FK$170:$ID$241,GZ$169,$FJ179),SUMPRODUCT(INDEX($FK$325:$ID$396,GZ$169,1+SwaptionShift):INDEX($FK$325:$ID$396,GZ$169,SwaptionMonthsToGo+SwaptionShift),INDEX($FK$245:$ID$316,$FJ179-GZ$169,73-GZ$169+SwaptionShift):INDEX($FK$245:$ID$316,$FJ179-GZ$169,72-GZ$169+SwaptionMonthsToGo+SwaptionShift))/SQRT(SUM(INDEX($FK334:$ID334,1+SwaptionShift):INDEX($FK334:$ID334,SwaptionMonthsToGo+SwaptionShift))*SUM(INDEX($FK$325:$ID$396,GZ$169,1+SwaptionShift):INDEX($FK$325:$ID$396,GZ$169,SwaptionMonthsToGo+SwaptionShift))))))</f>
        <v/>
      </c>
      <c r="HA179" s="479" t="str">
        <f ca="1">IF(OR(HA$169&lt;SwaptionFirstMonthPosition+1,$FJ179&lt;SwaptionFirstMonthPosition+1,HA$169&gt;SwaptionFirstMonthPosition+SwaptionNumOfMonths+1,$FJ179&gt;SwaptionFirstMonthPosition+SwaptionNumOfMonths+1),"",IF($FJ179=HA$169,1,IF($FJ179&lt;HA$169,INDEX($FK$170:$ID$241,HA$169,$FJ179),SUMPRODUCT(INDEX($FK$325:$ID$396,HA$169,1+SwaptionShift):INDEX($FK$325:$ID$396,HA$169,SwaptionMonthsToGo+SwaptionShift),INDEX($FK$245:$ID$316,$FJ179-HA$169,73-HA$169+SwaptionShift):INDEX($FK$245:$ID$316,$FJ179-HA$169,72-HA$169+SwaptionMonthsToGo+SwaptionShift))/SQRT(SUM(INDEX($FK334:$ID334,1+SwaptionShift):INDEX($FK334:$ID334,SwaptionMonthsToGo+SwaptionShift))*SUM(INDEX($FK$325:$ID$396,HA$169,1+SwaptionShift):INDEX($FK$325:$ID$396,HA$169,SwaptionMonthsToGo+SwaptionShift))))))</f>
        <v/>
      </c>
      <c r="HB179" s="479" t="str">
        <f ca="1">IF(OR(HB$169&lt;SwaptionFirstMonthPosition+1,$FJ179&lt;SwaptionFirstMonthPosition+1,HB$169&gt;SwaptionFirstMonthPosition+SwaptionNumOfMonths+1,$FJ179&gt;SwaptionFirstMonthPosition+SwaptionNumOfMonths+1),"",IF($FJ179=HB$169,1,IF($FJ179&lt;HB$169,INDEX($FK$170:$ID$241,HB$169,$FJ179),SUMPRODUCT(INDEX($FK$325:$ID$396,HB$169,1+SwaptionShift):INDEX($FK$325:$ID$396,HB$169,SwaptionMonthsToGo+SwaptionShift),INDEX($FK$245:$ID$316,$FJ179-HB$169,73-HB$169+SwaptionShift):INDEX($FK$245:$ID$316,$FJ179-HB$169,72-HB$169+SwaptionMonthsToGo+SwaptionShift))/SQRT(SUM(INDEX($FK334:$ID334,1+SwaptionShift):INDEX($FK334:$ID334,SwaptionMonthsToGo+SwaptionShift))*SUM(INDEX($FK$325:$ID$396,HB$169,1+SwaptionShift):INDEX($FK$325:$ID$396,HB$169,SwaptionMonthsToGo+SwaptionShift))))))</f>
        <v/>
      </c>
      <c r="HC179" s="479" t="str">
        <f ca="1">IF(OR(HC$169&lt;SwaptionFirstMonthPosition+1,$FJ179&lt;SwaptionFirstMonthPosition+1,HC$169&gt;SwaptionFirstMonthPosition+SwaptionNumOfMonths+1,$FJ179&gt;SwaptionFirstMonthPosition+SwaptionNumOfMonths+1),"",IF($FJ179=HC$169,1,IF($FJ179&lt;HC$169,INDEX($FK$170:$ID$241,HC$169,$FJ179),SUMPRODUCT(INDEX($FK$325:$ID$396,HC$169,1+SwaptionShift):INDEX($FK$325:$ID$396,HC$169,SwaptionMonthsToGo+SwaptionShift),INDEX($FK$245:$ID$316,$FJ179-HC$169,73-HC$169+SwaptionShift):INDEX($FK$245:$ID$316,$FJ179-HC$169,72-HC$169+SwaptionMonthsToGo+SwaptionShift))/SQRT(SUM(INDEX($FK334:$ID334,1+SwaptionShift):INDEX($FK334:$ID334,SwaptionMonthsToGo+SwaptionShift))*SUM(INDEX($FK$325:$ID$396,HC$169,1+SwaptionShift):INDEX($FK$325:$ID$396,HC$169,SwaptionMonthsToGo+SwaptionShift))))))</f>
        <v/>
      </c>
      <c r="HD179" s="479" t="str">
        <f ca="1">IF(OR(HD$169&lt;SwaptionFirstMonthPosition+1,$FJ179&lt;SwaptionFirstMonthPosition+1,HD$169&gt;SwaptionFirstMonthPosition+SwaptionNumOfMonths+1,$FJ179&gt;SwaptionFirstMonthPosition+SwaptionNumOfMonths+1),"",IF($FJ179=HD$169,1,IF($FJ179&lt;HD$169,INDEX($FK$170:$ID$241,HD$169,$FJ179),SUMPRODUCT(INDEX($FK$325:$ID$396,HD$169,1+SwaptionShift):INDEX($FK$325:$ID$396,HD$169,SwaptionMonthsToGo+SwaptionShift),INDEX($FK$245:$ID$316,$FJ179-HD$169,73-HD$169+SwaptionShift):INDEX($FK$245:$ID$316,$FJ179-HD$169,72-HD$169+SwaptionMonthsToGo+SwaptionShift))/SQRT(SUM(INDEX($FK334:$ID334,1+SwaptionShift):INDEX($FK334:$ID334,SwaptionMonthsToGo+SwaptionShift))*SUM(INDEX($FK$325:$ID$396,HD$169,1+SwaptionShift):INDEX($FK$325:$ID$396,HD$169,SwaptionMonthsToGo+SwaptionShift))))))</f>
        <v/>
      </c>
      <c r="HE179" s="479" t="str">
        <f ca="1">IF(OR(HE$169&lt;SwaptionFirstMonthPosition+1,$FJ179&lt;SwaptionFirstMonthPosition+1,HE$169&gt;SwaptionFirstMonthPosition+SwaptionNumOfMonths+1,$FJ179&gt;SwaptionFirstMonthPosition+SwaptionNumOfMonths+1),"",IF($FJ179=HE$169,1,IF($FJ179&lt;HE$169,INDEX($FK$170:$ID$241,HE$169,$FJ179),SUMPRODUCT(INDEX($FK$325:$ID$396,HE$169,1+SwaptionShift):INDEX($FK$325:$ID$396,HE$169,SwaptionMonthsToGo+SwaptionShift),INDEX($FK$245:$ID$316,$FJ179-HE$169,73-HE$169+SwaptionShift):INDEX($FK$245:$ID$316,$FJ179-HE$169,72-HE$169+SwaptionMonthsToGo+SwaptionShift))/SQRT(SUM(INDEX($FK334:$ID334,1+SwaptionShift):INDEX($FK334:$ID334,SwaptionMonthsToGo+SwaptionShift))*SUM(INDEX($FK$325:$ID$396,HE$169,1+SwaptionShift):INDEX($FK$325:$ID$396,HE$169,SwaptionMonthsToGo+SwaptionShift))))))</f>
        <v/>
      </c>
      <c r="HF179" s="479" t="str">
        <f ca="1">IF(OR(HF$169&lt;SwaptionFirstMonthPosition+1,$FJ179&lt;SwaptionFirstMonthPosition+1,HF$169&gt;SwaptionFirstMonthPosition+SwaptionNumOfMonths+1,$FJ179&gt;SwaptionFirstMonthPosition+SwaptionNumOfMonths+1),"",IF($FJ179=HF$169,1,IF($FJ179&lt;HF$169,INDEX($FK$170:$ID$241,HF$169,$FJ179),SUMPRODUCT(INDEX($FK$325:$ID$396,HF$169,1+SwaptionShift):INDEX($FK$325:$ID$396,HF$169,SwaptionMonthsToGo+SwaptionShift),INDEX($FK$245:$ID$316,$FJ179-HF$169,73-HF$169+SwaptionShift):INDEX($FK$245:$ID$316,$FJ179-HF$169,72-HF$169+SwaptionMonthsToGo+SwaptionShift))/SQRT(SUM(INDEX($FK334:$ID334,1+SwaptionShift):INDEX($FK334:$ID334,SwaptionMonthsToGo+SwaptionShift))*SUM(INDEX($FK$325:$ID$396,HF$169,1+SwaptionShift):INDEX($FK$325:$ID$396,HF$169,SwaptionMonthsToGo+SwaptionShift))))))</f>
        <v/>
      </c>
      <c r="HG179" s="479" t="str">
        <f ca="1">IF(OR(HG$169&lt;SwaptionFirstMonthPosition+1,$FJ179&lt;SwaptionFirstMonthPosition+1,HG$169&gt;SwaptionFirstMonthPosition+SwaptionNumOfMonths+1,$FJ179&gt;SwaptionFirstMonthPosition+SwaptionNumOfMonths+1),"",IF($FJ179=HG$169,1,IF($FJ179&lt;HG$169,INDEX($FK$170:$ID$241,HG$169,$FJ179),SUMPRODUCT(INDEX($FK$325:$ID$396,HG$169,1+SwaptionShift):INDEX($FK$325:$ID$396,HG$169,SwaptionMonthsToGo+SwaptionShift),INDEX($FK$245:$ID$316,$FJ179-HG$169,73-HG$169+SwaptionShift):INDEX($FK$245:$ID$316,$FJ179-HG$169,72-HG$169+SwaptionMonthsToGo+SwaptionShift))/SQRT(SUM(INDEX($FK334:$ID334,1+SwaptionShift):INDEX($FK334:$ID334,SwaptionMonthsToGo+SwaptionShift))*SUM(INDEX($FK$325:$ID$396,HG$169,1+SwaptionShift):INDEX($FK$325:$ID$396,HG$169,SwaptionMonthsToGo+SwaptionShift))))))</f>
        <v/>
      </c>
      <c r="HH179" s="479" t="str">
        <f ca="1">IF(OR(HH$169&lt;SwaptionFirstMonthPosition+1,$FJ179&lt;SwaptionFirstMonthPosition+1,HH$169&gt;SwaptionFirstMonthPosition+SwaptionNumOfMonths+1,$FJ179&gt;SwaptionFirstMonthPosition+SwaptionNumOfMonths+1),"",IF($FJ179=HH$169,1,IF($FJ179&lt;HH$169,INDEX($FK$170:$ID$241,HH$169,$FJ179),SUMPRODUCT(INDEX($FK$325:$ID$396,HH$169,1+SwaptionShift):INDEX($FK$325:$ID$396,HH$169,SwaptionMonthsToGo+SwaptionShift),INDEX($FK$245:$ID$316,$FJ179-HH$169,73-HH$169+SwaptionShift):INDEX($FK$245:$ID$316,$FJ179-HH$169,72-HH$169+SwaptionMonthsToGo+SwaptionShift))/SQRT(SUM(INDEX($FK334:$ID334,1+SwaptionShift):INDEX($FK334:$ID334,SwaptionMonthsToGo+SwaptionShift))*SUM(INDEX($FK$325:$ID$396,HH$169,1+SwaptionShift):INDEX($FK$325:$ID$396,HH$169,SwaptionMonthsToGo+SwaptionShift))))))</f>
        <v/>
      </c>
      <c r="HI179" s="479" t="str">
        <f ca="1">IF(OR(HI$169&lt;SwaptionFirstMonthPosition+1,$FJ179&lt;SwaptionFirstMonthPosition+1,HI$169&gt;SwaptionFirstMonthPosition+SwaptionNumOfMonths+1,$FJ179&gt;SwaptionFirstMonthPosition+SwaptionNumOfMonths+1),"",IF($FJ179=HI$169,1,IF($FJ179&lt;HI$169,INDEX($FK$170:$ID$241,HI$169,$FJ179),SUMPRODUCT(INDEX($FK$325:$ID$396,HI$169,1+SwaptionShift):INDEX($FK$325:$ID$396,HI$169,SwaptionMonthsToGo+SwaptionShift),INDEX($FK$245:$ID$316,$FJ179-HI$169,73-HI$169+SwaptionShift):INDEX($FK$245:$ID$316,$FJ179-HI$169,72-HI$169+SwaptionMonthsToGo+SwaptionShift))/SQRT(SUM(INDEX($FK334:$ID334,1+SwaptionShift):INDEX($FK334:$ID334,SwaptionMonthsToGo+SwaptionShift))*SUM(INDEX($FK$325:$ID$396,HI$169,1+SwaptionShift):INDEX($FK$325:$ID$396,HI$169,SwaptionMonthsToGo+SwaptionShift))))))</f>
        <v/>
      </c>
      <c r="HJ179" s="479" t="str">
        <f ca="1">IF(OR(HJ$169&lt;SwaptionFirstMonthPosition+1,$FJ179&lt;SwaptionFirstMonthPosition+1,HJ$169&gt;SwaptionFirstMonthPosition+SwaptionNumOfMonths+1,$FJ179&gt;SwaptionFirstMonthPosition+SwaptionNumOfMonths+1),"",IF($FJ179=HJ$169,1,IF($FJ179&lt;HJ$169,INDEX($FK$170:$ID$241,HJ$169,$FJ179),SUMPRODUCT(INDEX($FK$325:$ID$396,HJ$169,1+SwaptionShift):INDEX($FK$325:$ID$396,HJ$169,SwaptionMonthsToGo+SwaptionShift),INDEX($FK$245:$ID$316,$FJ179-HJ$169,73-HJ$169+SwaptionShift):INDEX($FK$245:$ID$316,$FJ179-HJ$169,72-HJ$169+SwaptionMonthsToGo+SwaptionShift))/SQRT(SUM(INDEX($FK334:$ID334,1+SwaptionShift):INDEX($FK334:$ID334,SwaptionMonthsToGo+SwaptionShift))*SUM(INDEX($FK$325:$ID$396,HJ$169,1+SwaptionShift):INDEX($FK$325:$ID$396,HJ$169,SwaptionMonthsToGo+SwaptionShift))))))</f>
        <v/>
      </c>
      <c r="HK179" s="479" t="str">
        <f ca="1">IF(OR(HK$169&lt;SwaptionFirstMonthPosition+1,$FJ179&lt;SwaptionFirstMonthPosition+1,HK$169&gt;SwaptionFirstMonthPosition+SwaptionNumOfMonths+1,$FJ179&gt;SwaptionFirstMonthPosition+SwaptionNumOfMonths+1),"",IF($FJ179=HK$169,1,IF($FJ179&lt;HK$169,INDEX($FK$170:$ID$241,HK$169,$FJ179),SUMPRODUCT(INDEX($FK$325:$ID$396,HK$169,1+SwaptionShift):INDEX($FK$325:$ID$396,HK$169,SwaptionMonthsToGo+SwaptionShift),INDEX($FK$245:$ID$316,$FJ179-HK$169,73-HK$169+SwaptionShift):INDEX($FK$245:$ID$316,$FJ179-HK$169,72-HK$169+SwaptionMonthsToGo+SwaptionShift))/SQRT(SUM(INDEX($FK334:$ID334,1+SwaptionShift):INDEX($FK334:$ID334,SwaptionMonthsToGo+SwaptionShift))*SUM(INDEX($FK$325:$ID$396,HK$169,1+SwaptionShift):INDEX($FK$325:$ID$396,HK$169,SwaptionMonthsToGo+SwaptionShift))))))</f>
        <v/>
      </c>
      <c r="HL179" s="479" t="str">
        <f ca="1">IF(OR(HL$169&lt;SwaptionFirstMonthPosition+1,$FJ179&lt;SwaptionFirstMonthPosition+1,HL$169&gt;SwaptionFirstMonthPosition+SwaptionNumOfMonths+1,$FJ179&gt;SwaptionFirstMonthPosition+SwaptionNumOfMonths+1),"",IF($FJ179=HL$169,1,IF($FJ179&lt;HL$169,INDEX($FK$170:$ID$241,HL$169,$FJ179),SUMPRODUCT(INDEX($FK$325:$ID$396,HL$169,1+SwaptionShift):INDEX($FK$325:$ID$396,HL$169,SwaptionMonthsToGo+SwaptionShift),INDEX($FK$245:$ID$316,$FJ179-HL$169,73-HL$169+SwaptionShift):INDEX($FK$245:$ID$316,$FJ179-HL$169,72-HL$169+SwaptionMonthsToGo+SwaptionShift))/SQRT(SUM(INDEX($FK334:$ID334,1+SwaptionShift):INDEX($FK334:$ID334,SwaptionMonthsToGo+SwaptionShift))*SUM(INDEX($FK$325:$ID$396,HL$169,1+SwaptionShift):INDEX($FK$325:$ID$396,HL$169,SwaptionMonthsToGo+SwaptionShift))))))</f>
        <v/>
      </c>
      <c r="HM179" s="479" t="str">
        <f ca="1">IF(OR(HM$169&lt;SwaptionFirstMonthPosition+1,$FJ179&lt;SwaptionFirstMonthPosition+1,HM$169&gt;SwaptionFirstMonthPosition+SwaptionNumOfMonths+1,$FJ179&gt;SwaptionFirstMonthPosition+SwaptionNumOfMonths+1),"",IF($FJ179=HM$169,1,IF($FJ179&lt;HM$169,INDEX($FK$170:$ID$241,HM$169,$FJ179),SUMPRODUCT(INDEX($FK$325:$ID$396,HM$169,1+SwaptionShift):INDEX($FK$325:$ID$396,HM$169,SwaptionMonthsToGo+SwaptionShift),INDEX($FK$245:$ID$316,$FJ179-HM$169,73-HM$169+SwaptionShift):INDEX($FK$245:$ID$316,$FJ179-HM$169,72-HM$169+SwaptionMonthsToGo+SwaptionShift))/SQRT(SUM(INDEX($FK334:$ID334,1+SwaptionShift):INDEX($FK334:$ID334,SwaptionMonthsToGo+SwaptionShift))*SUM(INDEX($FK$325:$ID$396,HM$169,1+SwaptionShift):INDEX($FK$325:$ID$396,HM$169,SwaptionMonthsToGo+SwaptionShift))))))</f>
        <v/>
      </c>
      <c r="HN179" s="479" t="str">
        <f ca="1">IF(OR(HN$169&lt;SwaptionFirstMonthPosition+1,$FJ179&lt;SwaptionFirstMonthPosition+1,HN$169&gt;SwaptionFirstMonthPosition+SwaptionNumOfMonths+1,$FJ179&gt;SwaptionFirstMonthPosition+SwaptionNumOfMonths+1),"",IF($FJ179=HN$169,1,IF($FJ179&lt;HN$169,INDEX($FK$170:$ID$241,HN$169,$FJ179),SUMPRODUCT(INDEX($FK$325:$ID$396,HN$169,1+SwaptionShift):INDEX($FK$325:$ID$396,HN$169,SwaptionMonthsToGo+SwaptionShift),INDEX($FK$245:$ID$316,$FJ179-HN$169,73-HN$169+SwaptionShift):INDEX($FK$245:$ID$316,$FJ179-HN$169,72-HN$169+SwaptionMonthsToGo+SwaptionShift))/SQRT(SUM(INDEX($FK334:$ID334,1+SwaptionShift):INDEX($FK334:$ID334,SwaptionMonthsToGo+SwaptionShift))*SUM(INDEX($FK$325:$ID$396,HN$169,1+SwaptionShift):INDEX($FK$325:$ID$396,HN$169,SwaptionMonthsToGo+SwaptionShift))))))</f>
        <v/>
      </c>
      <c r="HO179" s="479" t="str">
        <f ca="1">IF(OR(HO$169&lt;SwaptionFirstMonthPosition+1,$FJ179&lt;SwaptionFirstMonthPosition+1,HO$169&gt;SwaptionFirstMonthPosition+SwaptionNumOfMonths+1,$FJ179&gt;SwaptionFirstMonthPosition+SwaptionNumOfMonths+1),"",IF($FJ179=HO$169,1,IF($FJ179&lt;HO$169,INDEX($FK$170:$ID$241,HO$169,$FJ179),SUMPRODUCT(INDEX($FK$325:$ID$396,HO$169,1+SwaptionShift):INDEX($FK$325:$ID$396,HO$169,SwaptionMonthsToGo+SwaptionShift),INDEX($FK$245:$ID$316,$FJ179-HO$169,73-HO$169+SwaptionShift):INDEX($FK$245:$ID$316,$FJ179-HO$169,72-HO$169+SwaptionMonthsToGo+SwaptionShift))/SQRT(SUM(INDEX($FK334:$ID334,1+SwaptionShift):INDEX($FK334:$ID334,SwaptionMonthsToGo+SwaptionShift))*SUM(INDEX($FK$325:$ID$396,HO$169,1+SwaptionShift):INDEX($FK$325:$ID$396,HO$169,SwaptionMonthsToGo+SwaptionShift))))))</f>
        <v/>
      </c>
      <c r="HP179" s="479" t="str">
        <f ca="1">IF(OR(HP$169&lt;SwaptionFirstMonthPosition+1,$FJ179&lt;SwaptionFirstMonthPosition+1,HP$169&gt;SwaptionFirstMonthPosition+SwaptionNumOfMonths+1,$FJ179&gt;SwaptionFirstMonthPosition+SwaptionNumOfMonths+1),"",IF($FJ179=HP$169,1,IF($FJ179&lt;HP$169,INDEX($FK$170:$ID$241,HP$169,$FJ179),SUMPRODUCT(INDEX($FK$325:$ID$396,HP$169,1+SwaptionShift):INDEX($FK$325:$ID$396,HP$169,SwaptionMonthsToGo+SwaptionShift),INDEX($FK$245:$ID$316,$FJ179-HP$169,73-HP$169+SwaptionShift):INDEX($FK$245:$ID$316,$FJ179-HP$169,72-HP$169+SwaptionMonthsToGo+SwaptionShift))/SQRT(SUM(INDEX($FK334:$ID334,1+SwaptionShift):INDEX($FK334:$ID334,SwaptionMonthsToGo+SwaptionShift))*SUM(INDEX($FK$325:$ID$396,HP$169,1+SwaptionShift):INDEX($FK$325:$ID$396,HP$169,SwaptionMonthsToGo+SwaptionShift))))))</f>
        <v/>
      </c>
      <c r="HQ179" s="479" t="str">
        <f ca="1">IF(OR(HQ$169&lt;SwaptionFirstMonthPosition+1,$FJ179&lt;SwaptionFirstMonthPosition+1,HQ$169&gt;SwaptionFirstMonthPosition+SwaptionNumOfMonths+1,$FJ179&gt;SwaptionFirstMonthPosition+SwaptionNumOfMonths+1),"",IF($FJ179=HQ$169,1,IF($FJ179&lt;HQ$169,INDEX($FK$170:$ID$241,HQ$169,$FJ179),SUMPRODUCT(INDEX($FK$325:$ID$396,HQ$169,1+SwaptionShift):INDEX($FK$325:$ID$396,HQ$169,SwaptionMonthsToGo+SwaptionShift),INDEX($FK$245:$ID$316,$FJ179-HQ$169,73-HQ$169+SwaptionShift):INDEX($FK$245:$ID$316,$FJ179-HQ$169,72-HQ$169+SwaptionMonthsToGo+SwaptionShift))/SQRT(SUM(INDEX($FK334:$ID334,1+SwaptionShift):INDEX($FK334:$ID334,SwaptionMonthsToGo+SwaptionShift))*SUM(INDEX($FK$325:$ID$396,HQ$169,1+SwaptionShift):INDEX($FK$325:$ID$396,HQ$169,SwaptionMonthsToGo+SwaptionShift))))))</f>
        <v/>
      </c>
      <c r="HR179" s="479" t="str">
        <f ca="1">IF(OR(HR$169&lt;SwaptionFirstMonthPosition+1,$FJ179&lt;SwaptionFirstMonthPosition+1,HR$169&gt;SwaptionFirstMonthPosition+SwaptionNumOfMonths+1,$FJ179&gt;SwaptionFirstMonthPosition+SwaptionNumOfMonths+1),"",IF($FJ179=HR$169,1,IF($FJ179&lt;HR$169,INDEX($FK$170:$ID$241,HR$169,$FJ179),SUMPRODUCT(INDEX($FK$325:$ID$396,HR$169,1+SwaptionShift):INDEX($FK$325:$ID$396,HR$169,SwaptionMonthsToGo+SwaptionShift),INDEX($FK$245:$ID$316,$FJ179-HR$169,73-HR$169+SwaptionShift):INDEX($FK$245:$ID$316,$FJ179-HR$169,72-HR$169+SwaptionMonthsToGo+SwaptionShift))/SQRT(SUM(INDEX($FK334:$ID334,1+SwaptionShift):INDEX($FK334:$ID334,SwaptionMonthsToGo+SwaptionShift))*SUM(INDEX($FK$325:$ID$396,HR$169,1+SwaptionShift):INDEX($FK$325:$ID$396,HR$169,SwaptionMonthsToGo+SwaptionShift))))))</f>
        <v/>
      </c>
      <c r="HS179" s="479" t="str">
        <f ca="1">IF(OR(HS$169&lt;SwaptionFirstMonthPosition+1,$FJ179&lt;SwaptionFirstMonthPosition+1,HS$169&gt;SwaptionFirstMonthPosition+SwaptionNumOfMonths+1,$FJ179&gt;SwaptionFirstMonthPosition+SwaptionNumOfMonths+1),"",IF($FJ179=HS$169,1,IF($FJ179&lt;HS$169,INDEX($FK$170:$ID$241,HS$169,$FJ179),SUMPRODUCT(INDEX($FK$325:$ID$396,HS$169,1+SwaptionShift):INDEX($FK$325:$ID$396,HS$169,SwaptionMonthsToGo+SwaptionShift),INDEX($FK$245:$ID$316,$FJ179-HS$169,73-HS$169+SwaptionShift):INDEX($FK$245:$ID$316,$FJ179-HS$169,72-HS$169+SwaptionMonthsToGo+SwaptionShift))/SQRT(SUM(INDEX($FK334:$ID334,1+SwaptionShift):INDEX($FK334:$ID334,SwaptionMonthsToGo+SwaptionShift))*SUM(INDEX($FK$325:$ID$396,HS$169,1+SwaptionShift):INDEX($FK$325:$ID$396,HS$169,SwaptionMonthsToGo+SwaptionShift))))))</f>
        <v/>
      </c>
      <c r="HT179" s="479" t="str">
        <f ca="1">IF(OR(HT$169&lt;SwaptionFirstMonthPosition+1,$FJ179&lt;SwaptionFirstMonthPosition+1,HT$169&gt;SwaptionFirstMonthPosition+SwaptionNumOfMonths+1,$FJ179&gt;SwaptionFirstMonthPosition+SwaptionNumOfMonths+1),"",IF($FJ179=HT$169,1,IF($FJ179&lt;HT$169,INDEX($FK$170:$ID$241,HT$169,$FJ179),SUMPRODUCT(INDEX($FK$325:$ID$396,HT$169,1+SwaptionShift):INDEX($FK$325:$ID$396,HT$169,SwaptionMonthsToGo+SwaptionShift),INDEX($FK$245:$ID$316,$FJ179-HT$169,73-HT$169+SwaptionShift):INDEX($FK$245:$ID$316,$FJ179-HT$169,72-HT$169+SwaptionMonthsToGo+SwaptionShift))/SQRT(SUM(INDEX($FK334:$ID334,1+SwaptionShift):INDEX($FK334:$ID334,SwaptionMonthsToGo+SwaptionShift))*SUM(INDEX($FK$325:$ID$396,HT$169,1+SwaptionShift):INDEX($FK$325:$ID$396,HT$169,SwaptionMonthsToGo+SwaptionShift))))))</f>
        <v/>
      </c>
      <c r="HU179" s="479" t="str">
        <f ca="1">IF(OR(HU$169&lt;SwaptionFirstMonthPosition+1,$FJ179&lt;SwaptionFirstMonthPosition+1,HU$169&gt;SwaptionFirstMonthPosition+SwaptionNumOfMonths+1,$FJ179&gt;SwaptionFirstMonthPosition+SwaptionNumOfMonths+1),"",IF($FJ179=HU$169,1,IF($FJ179&lt;HU$169,INDEX($FK$170:$ID$241,HU$169,$FJ179),SUMPRODUCT(INDEX($FK$325:$ID$396,HU$169,1+SwaptionShift):INDEX($FK$325:$ID$396,HU$169,SwaptionMonthsToGo+SwaptionShift),INDEX($FK$245:$ID$316,$FJ179-HU$169,73-HU$169+SwaptionShift):INDEX($FK$245:$ID$316,$FJ179-HU$169,72-HU$169+SwaptionMonthsToGo+SwaptionShift))/SQRT(SUM(INDEX($FK334:$ID334,1+SwaptionShift):INDEX($FK334:$ID334,SwaptionMonthsToGo+SwaptionShift))*SUM(INDEX($FK$325:$ID$396,HU$169,1+SwaptionShift):INDEX($FK$325:$ID$396,HU$169,SwaptionMonthsToGo+SwaptionShift))))))</f>
        <v/>
      </c>
      <c r="HV179" s="479" t="str">
        <f ca="1">IF(OR(HV$169&lt;SwaptionFirstMonthPosition+1,$FJ179&lt;SwaptionFirstMonthPosition+1,HV$169&gt;SwaptionFirstMonthPosition+SwaptionNumOfMonths+1,$FJ179&gt;SwaptionFirstMonthPosition+SwaptionNumOfMonths+1),"",IF($FJ179=HV$169,1,IF($FJ179&lt;HV$169,INDEX($FK$170:$ID$241,HV$169,$FJ179),SUMPRODUCT(INDEX($FK$325:$ID$396,HV$169,1+SwaptionShift):INDEX($FK$325:$ID$396,HV$169,SwaptionMonthsToGo+SwaptionShift),INDEX($FK$245:$ID$316,$FJ179-HV$169,73-HV$169+SwaptionShift):INDEX($FK$245:$ID$316,$FJ179-HV$169,72-HV$169+SwaptionMonthsToGo+SwaptionShift))/SQRT(SUM(INDEX($FK334:$ID334,1+SwaptionShift):INDEX($FK334:$ID334,SwaptionMonthsToGo+SwaptionShift))*SUM(INDEX($FK$325:$ID$396,HV$169,1+SwaptionShift):INDEX($FK$325:$ID$396,HV$169,SwaptionMonthsToGo+SwaptionShift))))))</f>
        <v/>
      </c>
      <c r="HW179" s="479" t="str">
        <f ca="1">IF(OR(HW$169&lt;SwaptionFirstMonthPosition+1,$FJ179&lt;SwaptionFirstMonthPosition+1,HW$169&gt;SwaptionFirstMonthPosition+SwaptionNumOfMonths+1,$FJ179&gt;SwaptionFirstMonthPosition+SwaptionNumOfMonths+1),"",IF($FJ179=HW$169,1,IF($FJ179&lt;HW$169,INDEX($FK$170:$ID$241,HW$169,$FJ179),SUMPRODUCT(INDEX($FK$325:$ID$396,HW$169,1+SwaptionShift):INDEX($FK$325:$ID$396,HW$169,SwaptionMonthsToGo+SwaptionShift),INDEX($FK$245:$ID$316,$FJ179-HW$169,73-HW$169+SwaptionShift):INDEX($FK$245:$ID$316,$FJ179-HW$169,72-HW$169+SwaptionMonthsToGo+SwaptionShift))/SQRT(SUM(INDEX($FK334:$ID334,1+SwaptionShift):INDEX($FK334:$ID334,SwaptionMonthsToGo+SwaptionShift))*SUM(INDEX($FK$325:$ID$396,HW$169,1+SwaptionShift):INDEX($FK$325:$ID$396,HW$169,SwaptionMonthsToGo+SwaptionShift))))))</f>
        <v/>
      </c>
      <c r="HX179" s="479" t="str">
        <f ca="1">IF(OR(HX$169&lt;SwaptionFirstMonthPosition+1,$FJ179&lt;SwaptionFirstMonthPosition+1,HX$169&gt;SwaptionFirstMonthPosition+SwaptionNumOfMonths+1,$FJ179&gt;SwaptionFirstMonthPosition+SwaptionNumOfMonths+1),"",IF($FJ179=HX$169,1,IF($FJ179&lt;HX$169,INDEX($FK$170:$ID$241,HX$169,$FJ179),SUMPRODUCT(INDEX($FK$325:$ID$396,HX$169,1+SwaptionShift):INDEX($FK$325:$ID$396,HX$169,SwaptionMonthsToGo+SwaptionShift),INDEX($FK$245:$ID$316,$FJ179-HX$169,73-HX$169+SwaptionShift):INDEX($FK$245:$ID$316,$FJ179-HX$169,72-HX$169+SwaptionMonthsToGo+SwaptionShift))/SQRT(SUM(INDEX($FK334:$ID334,1+SwaptionShift):INDEX($FK334:$ID334,SwaptionMonthsToGo+SwaptionShift))*SUM(INDEX($FK$325:$ID$396,HX$169,1+SwaptionShift):INDEX($FK$325:$ID$396,HX$169,SwaptionMonthsToGo+SwaptionShift))))))</f>
        <v/>
      </c>
      <c r="HY179" s="479" t="str">
        <f ca="1">IF(OR(HY$169&lt;SwaptionFirstMonthPosition+1,$FJ179&lt;SwaptionFirstMonthPosition+1,HY$169&gt;SwaptionFirstMonthPosition+SwaptionNumOfMonths+1,$FJ179&gt;SwaptionFirstMonthPosition+SwaptionNumOfMonths+1),"",IF($FJ179=HY$169,1,IF($FJ179&lt;HY$169,INDEX($FK$170:$ID$241,HY$169,$FJ179),SUMPRODUCT(INDEX($FK$325:$ID$396,HY$169,1+SwaptionShift):INDEX($FK$325:$ID$396,HY$169,SwaptionMonthsToGo+SwaptionShift),INDEX($FK$245:$ID$316,$FJ179-HY$169,73-HY$169+SwaptionShift):INDEX($FK$245:$ID$316,$FJ179-HY$169,72-HY$169+SwaptionMonthsToGo+SwaptionShift))/SQRT(SUM(INDEX($FK334:$ID334,1+SwaptionShift):INDEX($FK334:$ID334,SwaptionMonthsToGo+SwaptionShift))*SUM(INDEX($FK$325:$ID$396,HY$169,1+SwaptionShift):INDEX($FK$325:$ID$396,HY$169,SwaptionMonthsToGo+SwaptionShift))))))</f>
        <v/>
      </c>
      <c r="HZ179" s="479" t="str">
        <f ca="1">IF(OR(HZ$169&lt;SwaptionFirstMonthPosition+1,$FJ179&lt;SwaptionFirstMonthPosition+1,HZ$169&gt;SwaptionFirstMonthPosition+SwaptionNumOfMonths+1,$FJ179&gt;SwaptionFirstMonthPosition+SwaptionNumOfMonths+1),"",IF($FJ179=HZ$169,1,IF($FJ179&lt;HZ$169,INDEX($FK$170:$ID$241,HZ$169,$FJ179),SUMPRODUCT(INDEX($FK$325:$ID$396,HZ$169,1+SwaptionShift):INDEX($FK$325:$ID$396,HZ$169,SwaptionMonthsToGo+SwaptionShift),INDEX($FK$245:$ID$316,$FJ179-HZ$169,73-HZ$169+SwaptionShift):INDEX($FK$245:$ID$316,$FJ179-HZ$169,72-HZ$169+SwaptionMonthsToGo+SwaptionShift))/SQRT(SUM(INDEX($FK334:$ID334,1+SwaptionShift):INDEX($FK334:$ID334,SwaptionMonthsToGo+SwaptionShift))*SUM(INDEX($FK$325:$ID$396,HZ$169,1+SwaptionShift):INDEX($FK$325:$ID$396,HZ$169,SwaptionMonthsToGo+SwaptionShift))))))</f>
        <v/>
      </c>
      <c r="IA179" s="479" t="str">
        <f ca="1">IF(OR(IA$169&lt;SwaptionFirstMonthPosition+1,$FJ179&lt;SwaptionFirstMonthPosition+1,IA$169&gt;SwaptionFirstMonthPosition+SwaptionNumOfMonths+1,$FJ179&gt;SwaptionFirstMonthPosition+SwaptionNumOfMonths+1),"",IF($FJ179=IA$169,1,IF($FJ179&lt;IA$169,INDEX($FK$170:$ID$241,IA$169,$FJ179),SUMPRODUCT(INDEX($FK$325:$ID$396,IA$169,1+SwaptionShift):INDEX($FK$325:$ID$396,IA$169,SwaptionMonthsToGo+SwaptionShift),INDEX($FK$245:$ID$316,$FJ179-IA$169,73-IA$169+SwaptionShift):INDEX($FK$245:$ID$316,$FJ179-IA$169,72-IA$169+SwaptionMonthsToGo+SwaptionShift))/SQRT(SUM(INDEX($FK334:$ID334,1+SwaptionShift):INDEX($FK334:$ID334,SwaptionMonthsToGo+SwaptionShift))*SUM(INDEX($FK$325:$ID$396,IA$169,1+SwaptionShift):INDEX($FK$325:$ID$396,IA$169,SwaptionMonthsToGo+SwaptionShift))))))</f>
        <v/>
      </c>
      <c r="IB179" s="479" t="str">
        <f ca="1">IF(OR(IB$169&lt;SwaptionFirstMonthPosition+1,$FJ179&lt;SwaptionFirstMonthPosition+1,IB$169&gt;SwaptionFirstMonthPosition+SwaptionNumOfMonths+1,$FJ179&gt;SwaptionFirstMonthPosition+SwaptionNumOfMonths+1),"",IF($FJ179=IB$169,1,IF($FJ179&lt;IB$169,INDEX($FK$170:$ID$241,IB$169,$FJ179),SUMPRODUCT(INDEX($FK$325:$ID$396,IB$169,1+SwaptionShift):INDEX($FK$325:$ID$396,IB$169,SwaptionMonthsToGo+SwaptionShift),INDEX($FK$245:$ID$316,$FJ179-IB$169,73-IB$169+SwaptionShift):INDEX($FK$245:$ID$316,$FJ179-IB$169,72-IB$169+SwaptionMonthsToGo+SwaptionShift))/SQRT(SUM(INDEX($FK334:$ID334,1+SwaptionShift):INDEX($FK334:$ID334,SwaptionMonthsToGo+SwaptionShift))*SUM(INDEX($FK$325:$ID$396,IB$169,1+SwaptionShift):INDEX($FK$325:$ID$396,IB$169,SwaptionMonthsToGo+SwaptionShift))))))</f>
        <v/>
      </c>
      <c r="IC179" s="479" t="str">
        <f ca="1">IF(OR(IC$169&lt;SwaptionFirstMonthPosition+1,$FJ179&lt;SwaptionFirstMonthPosition+1,IC$169&gt;SwaptionFirstMonthPosition+SwaptionNumOfMonths+1,$FJ179&gt;SwaptionFirstMonthPosition+SwaptionNumOfMonths+1),"",IF($FJ179=IC$169,1,IF($FJ179&lt;IC$169,INDEX($FK$170:$ID$241,IC$169,$FJ179),SUMPRODUCT(INDEX($FK$325:$ID$396,IC$169,1+SwaptionShift):INDEX($FK$325:$ID$396,IC$169,SwaptionMonthsToGo+SwaptionShift),INDEX($FK$245:$ID$316,$FJ179-IC$169,73-IC$169+SwaptionShift):INDEX($FK$245:$ID$316,$FJ179-IC$169,72-IC$169+SwaptionMonthsToGo+SwaptionShift))/SQRT(SUM(INDEX($FK334:$ID334,1+SwaptionShift):INDEX($FK334:$ID334,SwaptionMonthsToGo+SwaptionShift))*SUM(INDEX($FK$325:$ID$396,IC$169,1+SwaptionShift):INDEX($FK$325:$ID$396,IC$169,SwaptionMonthsToGo+SwaptionShift))))))</f>
        <v/>
      </c>
      <c r="ID179" s="678" t="str">
        <f ca="1">IF(OR(ID$169&lt;SwaptionFirstMonthPosition+1,$FJ179&lt;SwaptionFirstMonthPosition+1,ID$169&gt;SwaptionFirstMonthPosition+SwaptionNumOfMonths+1,$FJ179&gt;SwaptionFirstMonthPosition+SwaptionNumOfMonths+1),"",IF($FJ179=ID$169,1,IF($FJ179&lt;ID$169,INDEX($FK$170:$ID$241,ID$169,$FJ179),SUMPRODUCT(INDEX($FK$325:$ID$396,ID$169,1+SwaptionShift):INDEX($FK$325:$ID$396,ID$169,SwaptionMonthsToGo+SwaptionShift),INDEX($FK$245:$ID$316,$FJ179-ID$169,73-ID$169+SwaptionShift):INDEX($FK$245:$ID$316,$FJ179-ID$169,72-ID$169+SwaptionMonthsToGo+SwaptionShift))/SQRT(SUM(INDEX($FK334:$ID334,1+SwaptionShift):INDEX($FK334:$ID334,SwaptionMonthsToGo+SwaptionShift))*SUM(INDEX($FK$325:$ID$396,ID$169,1+SwaptionShift):INDEX($FK$325:$ID$396,ID$169,SwaptionMonthsToGo+SwaptionShift))))))</f>
        <v/>
      </c>
      <c r="IE179" s="250"/>
    </row>
    <row r="180" spans="8:239">
      <c r="H180" s="51">
        <f t="shared" ca="1" si="527"/>
        <v>0</v>
      </c>
      <c r="I180" s="379">
        <f t="shared" si="528"/>
        <v>41640</v>
      </c>
      <c r="J180" s="377"/>
      <c r="K180" s="104" t="s">
        <v>268</v>
      </c>
      <c r="L180" s="392">
        <f t="shared" si="529"/>
        <v>3.1500000000000048</v>
      </c>
      <c r="M180" s="171"/>
      <c r="N180" s="382">
        <v>0</v>
      </c>
      <c r="O180" s="171">
        <f t="shared" si="490"/>
        <v>0</v>
      </c>
      <c r="P180" s="377"/>
      <c r="Q180" s="104" t="s">
        <v>268</v>
      </c>
      <c r="R180" s="377">
        <f t="shared" ca="1" si="547"/>
        <v>1.9420433223354239</v>
      </c>
      <c r="S180" s="832">
        <f t="shared" si="564"/>
        <v>0.3600000000000001</v>
      </c>
      <c r="T180" s="831">
        <f t="shared" si="548"/>
        <v>0.9999999999985375</v>
      </c>
      <c r="U180" s="545">
        <f t="shared" si="549"/>
        <v>0.99999999999999978</v>
      </c>
      <c r="V180" s="389">
        <v>0</v>
      </c>
      <c r="W180" s="434">
        <f t="shared" si="578"/>
        <v>0</v>
      </c>
      <c r="X180" s="415">
        <f t="shared" si="579"/>
        <v>3.2028409090909138</v>
      </c>
      <c r="Y180" s="322">
        <f t="shared" si="580"/>
        <v>-1.1684999999999999</v>
      </c>
      <c r="Z180" s="322">
        <f t="shared" ca="1" si="581"/>
        <v>2.0343409090909139</v>
      </c>
      <c r="AA180" s="429">
        <f t="shared" si="495"/>
        <v>1.1684999999999999</v>
      </c>
      <c r="AB180" s="433">
        <f t="shared" ca="1" si="496"/>
        <v>1.1684999999999999</v>
      </c>
      <c r="AC180" s="229">
        <v>41628</v>
      </c>
      <c r="AD180" s="229">
        <v>41624</v>
      </c>
      <c r="AE180" s="229">
        <v>41623</v>
      </c>
      <c r="AF180" s="229">
        <v>41619</v>
      </c>
      <c r="AG180" s="249" t="s">
        <v>499</v>
      </c>
      <c r="AH180" s="247" t="s">
        <v>499</v>
      </c>
      <c r="AI180" s="146">
        <v>22</v>
      </c>
      <c r="AJ180" s="41">
        <v>13</v>
      </c>
      <c r="AK180" s="41">
        <v>9</v>
      </c>
      <c r="AL180" s="293">
        <v>22</v>
      </c>
      <c r="AM180" s="41">
        <v>9</v>
      </c>
      <c r="AN180" s="147">
        <v>13</v>
      </c>
      <c r="AO180" s="374"/>
      <c r="AP180" s="153">
        <f t="shared" ca="1" si="530"/>
        <v>1</v>
      </c>
      <c r="AQ180" s="374"/>
      <c r="AR180" s="153">
        <f t="shared" ca="1" si="550"/>
        <v>1</v>
      </c>
      <c r="AS180" s="272">
        <f t="shared" si="582"/>
        <v>0</v>
      </c>
      <c r="AT180" s="157">
        <f t="shared" si="531"/>
        <v>0</v>
      </c>
      <c r="AU180" s="157">
        <f t="shared" si="498"/>
        <v>0</v>
      </c>
      <c r="AV180" s="271">
        <f t="shared" ca="1" si="558"/>
        <v>9.9999999999999995E-7</v>
      </c>
      <c r="AW180" s="158" t="str">
        <f t="shared" ca="1" si="583"/>
        <v/>
      </c>
      <c r="AX180" s="157">
        <f t="shared" ca="1" si="551"/>
        <v>1.14945141153264E-4</v>
      </c>
      <c r="AY180" s="157">
        <f t="shared" ca="1" si="552"/>
        <v>3.0611910518374512E-5</v>
      </c>
      <c r="AZ180" s="157">
        <f t="shared" ca="1" si="553"/>
        <v>1.4160727605437731E-6</v>
      </c>
      <c r="BA180" s="157">
        <f t="shared" ca="1" si="554"/>
        <v>1.7700909506797164E-7</v>
      </c>
      <c r="BB180" s="157">
        <f t="shared" ca="1" si="555"/>
        <v>1.6955279514998737E-9</v>
      </c>
      <c r="BC180" s="157">
        <f t="shared" ca="1" si="556"/>
        <v>6.2664439473558332E-11</v>
      </c>
      <c r="BD180" s="151">
        <f t="shared" ca="1" si="584"/>
        <v>0</v>
      </c>
      <c r="BE180" s="152">
        <f t="shared" ca="1" si="585"/>
        <v>0</v>
      </c>
      <c r="BF180" s="40">
        <f t="shared" si="586"/>
        <v>2014</v>
      </c>
      <c r="BG180" s="144">
        <f t="shared" si="587"/>
        <v>1</v>
      </c>
      <c r="BH180" s="145">
        <f t="shared" ca="1" si="588"/>
        <v>4879</v>
      </c>
      <c r="BI180" s="313">
        <f t="shared" ca="1" si="568"/>
        <v>13.401779603011637</v>
      </c>
      <c r="BJ180" s="42">
        <f t="shared" ca="1" si="505"/>
        <v>13.450314230601705</v>
      </c>
      <c r="BK180" s="42">
        <f t="shared" ca="1" si="506"/>
        <v>13.453052081388838</v>
      </c>
      <c r="BL180" s="42">
        <f t="shared" ca="1" si="569"/>
        <v>13.483915126625599</v>
      </c>
      <c r="BM180" s="150" t="e">
        <f t="shared" ca="1" si="507"/>
        <v>#DIV/0!</v>
      </c>
      <c r="BN180" s="42" t="e">
        <f t="shared" ca="1" si="508"/>
        <v>#DIV/0!</v>
      </c>
      <c r="BO180" s="293">
        <f t="shared" si="570"/>
        <v>22</v>
      </c>
      <c r="BP180" s="41">
        <f t="shared" si="571"/>
        <v>13</v>
      </c>
      <c r="BQ180" s="41">
        <f t="shared" si="572"/>
        <v>9</v>
      </c>
      <c r="BR180" s="305" t="str">
        <f t="shared" ca="1" si="509"/>
        <v/>
      </c>
      <c r="BS180" s="305" t="str">
        <f t="shared" ca="1" si="573"/>
        <v/>
      </c>
      <c r="BT180" s="307" t="str">
        <f t="shared" ca="1" si="574"/>
        <v/>
      </c>
      <c r="BU180" s="161" t="str">
        <f t="shared" ca="1" si="510"/>
        <v/>
      </c>
      <c r="BV180" s="161" t="str">
        <f t="shared" ca="1" si="511"/>
        <v/>
      </c>
      <c r="BW180" s="308" t="str">
        <f t="shared" ca="1" si="512"/>
        <v/>
      </c>
      <c r="BX180" s="309" t="str">
        <f t="shared" ca="1" si="513"/>
        <v/>
      </c>
      <c r="BY180" s="308" t="str">
        <f t="shared" ca="1" si="575"/>
        <v/>
      </c>
      <c r="BZ180" s="309" t="str">
        <f t="shared" ca="1" si="576"/>
        <v/>
      </c>
      <c r="CA180" s="154" t="str">
        <f t="shared" ca="1" si="514"/>
        <v/>
      </c>
      <c r="CB180" s="154" t="str">
        <f t="shared" ca="1" si="515"/>
        <v/>
      </c>
      <c r="CC180" s="154" t="str">
        <f t="shared" ca="1" si="516"/>
        <v/>
      </c>
      <c r="CD180" s="154" t="str">
        <f t="shared" ca="1" si="517"/>
        <v/>
      </c>
      <c r="CE180" s="310">
        <v>1</v>
      </c>
      <c r="CF180" s="162">
        <f ca="1">IF(BD180,_xll.xCrudeAPO(BU180,BV180,CA180,CB180,S181,S182,BI180,BL180,BP180,BQ180,0,Strike1,AO180,CE180,0,BL180,IF(OptControl=4,0,1),0,1),0)</f>
        <v>0</v>
      </c>
      <c r="CG180" s="163">
        <f ca="1">IF(BD180,_xll.xCrudeAPO(BU180,BV180,CA180,CB180,S181,S182,BI180,BL180,BP180,BQ180,0,Strike1,AO180,CE180,0,BL180,IF(OptControl=4,0,1),1,1)+_xll.xCrudeAPO(BU180,BV180,CA180,CB180,S181,S182,BI180,BL180,BP180,BQ180,0,Strike1,AO180,CE180,0,BL180,IF(OptControl=4,0,1),1,2)+IF(OR(VolSkewFlag=2,ABS(BS180)&lt;0.0001),0,IF(BS180&gt;0,-1,1)*CH180*Strike1/BR180^2*BY180/10%),0)</f>
        <v>0</v>
      </c>
      <c r="CH180" s="163">
        <f ca="1">IF(BD180,(_xll.xCrudeAPO(BU180,BV180,CA180,CB180,S181,S182,BI180,BL180,BP180,BQ180,0,Strike1,AO180,CE180,0,BL180,IF(OptControl=4,0,1),3,1)+_xll.xCrudeAPO(BU180,BV180,CA180,CB180,S181,S182,BI180,BL180,BP180,BQ180,0,Strike1,AO180,CE180,0,BL180,IF(OptControl=4,0,1),3,2))/100,0)</f>
        <v>0</v>
      </c>
      <c r="CI180" s="163">
        <f ca="1">IF(BD180,_xll.xCrudeAPO(BU180,BV180,CA180,CB180,S181,S182,BI180-DaysForThetaCalculation/365.25,BL180-DaysForThetaCalculation/365.25,BP180,BQ180,0,Strike1,AO180,CE180,0,BL180,IF(OptControl=4,0,1),0,1)-_xll.xCrudeAPO(BU180,BV180,CA180,CB180,S181,S182,BI180,BL180,BP180,BQ180,0,Strike1,AO180,CE180,0,BL180,IF(OptControl=4,0,1),0,1),0)</f>
        <v>0</v>
      </c>
      <c r="CJ180" s="311">
        <f ca="1">IF(BD180,_xll.xCrudeAPO(BU180,BV180,CC180,CD180,S181,S182,BI180,BL180,BP180,BQ180,0,Strike2,AO180,CE180,0,BL180,IF(OptControl=3,1,0),0,1),0)</f>
        <v>0</v>
      </c>
      <c r="CK180" s="163">
        <f ca="1">IF(BD180,_xll.xCrudeAPO(BU180,BV180,CC180,CD180,S181,S182,BI180,BL180,BP180,BQ180,0,Strike2,AO180,CE180,0,BL180,IF(OptControl=3,1,0),1,1)+_xll.xCrudeAPO(BU180,BV180,CC180,CD180,S181,S182,BI180,BL180,BP180,BQ180,0,Strike2,AO180,CE180,0,BL180,IF(OptControl=3,1,0),1,2)+IF(OR(VolSkewFlag=2,ABS(BT180)&lt;0.0001),0,IF(BT180&gt;0,-1,1)*CL180*Strike2/BR180^2*BZ180/10%),0)</f>
        <v>0</v>
      </c>
      <c r="CL180" s="163">
        <f ca="1">IF(BD180,(_xll.xCrudeAPO(BU180,BV180,CC180,CD180,S181,S182,BI180,BL180,BP180,BQ180,0,Strike2,AO180,CE180,0,BL180,IF(OptControl=3,1,0),3,1)+_xll.xCrudeAPO(BU180,BV180,CC180,CD180,S181,S182,BI180,BL180,BP180,BQ180,0,Strike2,AO180,CE180,0,BL180,IF(OptControl=3,1,0),3,2))/100,0)</f>
        <v>0</v>
      </c>
      <c r="CM180" s="164">
        <f ca="1">IF(BD180,_xll.xCrudeAPO(BU180,BV180,CC180,CD180,S181,S182,BI180-DaysForThetaCalculation/365.25,BL180-DaysForThetaCalculation/365.25,BP180,BQ180,0,Strike2,AO180,CE180,0,BL180,IF(OptControl=3,1,0),0,1)-_xll.xCrudeAPO(BU180,BV180,CC180,CD180,S181,S182,BI180,BL180,BP180,BQ180,0,Strike2,AO180,CE180,0,BL180,IF(OptControl=3,1,0),0,1),0)</f>
        <v>0</v>
      </c>
      <c r="CN180" s="53"/>
      <c r="CO180" s="796" t="str">
        <f t="shared" ca="1" si="532"/>
        <v/>
      </c>
      <c r="CP180" s="800" t="str">
        <f t="shared" ca="1" si="533"/>
        <v/>
      </c>
      <c r="CQ180" s="797" t="str">
        <f t="shared" ca="1" si="534"/>
        <v/>
      </c>
      <c r="CR180" s="797" t="str">
        <f t="shared" ca="1" si="535"/>
        <v/>
      </c>
      <c r="CS180" s="797" t="str">
        <f t="shared" ca="1" si="536"/>
        <v/>
      </c>
      <c r="CT180" s="797" t="str">
        <f t="shared" ca="1" si="537"/>
        <v/>
      </c>
      <c r="CU180" s="798" t="str">
        <f t="shared" ca="1" si="538"/>
        <v/>
      </c>
      <c r="CV180" s="799" t="str">
        <f t="shared" ca="1" si="539"/>
        <v/>
      </c>
      <c r="CW180" s="799" t="str">
        <f t="shared" ca="1" si="540"/>
        <v/>
      </c>
      <c r="CX180" s="163">
        <f ca="1">IF(BD180,_xll.EURO(CP180,Strike1,AO180,AO180,CV180,CO180,IF(OptControl=4,0,1),0),0)</f>
        <v>0</v>
      </c>
      <c r="CY180" s="163">
        <f ca="1">IF(BD180,_xll.EURO(CP180,Strike1,AO180,AO180,CV180,CO180,IF(OptControl=4,0,1),1)+IF(OR(VolSkewFlag=2,ABS(CQ180)&lt;0.0001),0,IF(CQ180&gt;0,-1,1)*CZ180*100*Strike1/CP180^2*CS180/10%),0)</f>
        <v>0</v>
      </c>
      <c r="CZ180" s="163">
        <f ca="1">IF(BD180,_xll.EURO(CP180,Strike1,AO180,AO180,CV180,CO180,IF(OptControl=4,0,1),3)/100,0)</f>
        <v>0</v>
      </c>
      <c r="DA180" s="163">
        <f ca="1">IF(BD180,_xll.EURO(CP180,Strike1,AO180,AO180,CV180,CO180,IF(OptControl=4,0,1),0)-_xll.EURO(CP180,Strike1,AO180,AO180,CV180,CO180-1,IF(OptControl=4,0,1),0),0)</f>
        <v>0</v>
      </c>
      <c r="DB180" s="163">
        <f ca="1">IF(BD180,_xll.EURO(CP180,Strike2,AO180,AO180,CW180,CO180,IF(OptControl=3,1,0),0),0)</f>
        <v>0</v>
      </c>
      <c r="DC180" s="163">
        <f ca="1">IF(BD180,_xll.EURO(CP180,Strike2,AO180,AO180,CW180,CO180,IF(OptControl=3,1,0),1)+IF(OR(VolSkewFlag=2,ABS(CR180)&lt;0.0001),0,IF(CR180&gt;0,-1,1)*DD180*100*Strike2/CP180^2*CT180/10%),0)</f>
        <v>0</v>
      </c>
      <c r="DD180" s="163">
        <f ca="1">IF(BD180,_xll.EURO(CP180,Strike2,AO180,AO180,CW180,CO180,IF(OptControl=3,1,0),3)/100,0)</f>
        <v>0</v>
      </c>
      <c r="DE180" s="164">
        <f ca="1">IF(BD180,_xll.EURO(CP180,Strike2,AO180,AO180,CW180,CO180,IF(OptControl=3,1,0),0)-_xll.EURO(CP180,Strike2,AO180,AO180,CW180,CO180-1,IF(OptControl=3,1,0),0),0)</f>
        <v>0</v>
      </c>
      <c r="DG180" s="667">
        <f t="shared" ca="1" si="541"/>
        <v>41426</v>
      </c>
      <c r="DH180" s="475">
        <v>22.160000000000061</v>
      </c>
      <c r="DI180" s="665">
        <v>22.225000000000062</v>
      </c>
      <c r="DJ180" s="666">
        <f t="shared" ca="1" si="589"/>
        <v>41426</v>
      </c>
      <c r="DK180" s="475">
        <v>20.738513272346189</v>
      </c>
      <c r="DL180" s="665">
        <v>20.933500000000063</v>
      </c>
      <c r="DM180" s="667">
        <f t="shared" ca="1" si="590"/>
        <v>41426</v>
      </c>
      <c r="DN180" s="668">
        <f t="shared" si="591"/>
        <v>20.78851327234619</v>
      </c>
      <c r="DO180" s="667">
        <f t="shared" ca="1" si="542"/>
        <v>41426</v>
      </c>
      <c r="DP180" s="579">
        <f t="shared" si="543"/>
        <v>20.933500000000063</v>
      </c>
      <c r="DQ180" s="821">
        <v>0</v>
      </c>
      <c r="DR180" s="666">
        <f t="shared" ca="1" si="592"/>
        <v>41426</v>
      </c>
      <c r="DS180" s="669">
        <v>0.12859999999999805</v>
      </c>
      <c r="DT180" s="606">
        <v>0.12781999999999805</v>
      </c>
      <c r="DU180" s="666">
        <f t="shared" ca="1" si="593"/>
        <v>41426</v>
      </c>
      <c r="DV180" s="669">
        <v>0.12859999999999805</v>
      </c>
      <c r="DW180" s="606">
        <v>0.12781999999999805</v>
      </c>
      <c r="DX180" s="667">
        <f t="shared" ca="1" si="594"/>
        <v>41426</v>
      </c>
      <c r="DY180" s="606">
        <v>0.35</v>
      </c>
      <c r="DZ180" s="667">
        <f t="shared" ca="1" si="544"/>
        <v>41426</v>
      </c>
      <c r="EA180" s="606">
        <f t="shared" si="545"/>
        <v>0.12781999999999805</v>
      </c>
      <c r="EB180" s="1"/>
      <c r="EC180" s="118" t="str">
        <f t="shared" ca="1" si="595"/>
        <v/>
      </c>
      <c r="ED180" s="119" t="str">
        <f t="shared" ca="1" si="525"/>
        <v/>
      </c>
      <c r="EE180" s="112" t="str">
        <f t="shared" ca="1" si="526"/>
        <v/>
      </c>
      <c r="EF180" s="120">
        <f ca="1">IF(BD180,_xll.xASN(BR180,Strike1,AO180,ED180,0,BO180,0,BI180,BL180,IF(OptControl=4,0,1),0),0)</f>
        <v>0</v>
      </c>
      <c r="EG180" s="111">
        <f ca="1">IF(BD180,_xll.xASN(BR180,Strike2,AO180,EE180,0,BO180,0,BI180,BL180,IF(OptControl=3,1,0),0),0)</f>
        <v>0</v>
      </c>
      <c r="EL180" s="55"/>
      <c r="EM180" s="1"/>
      <c r="EN180" s="106"/>
      <c r="EO180" s="106"/>
      <c r="EP180" s="1"/>
      <c r="EQ180" s="683" t="s">
        <v>393</v>
      </c>
      <c r="ES180" s="455"/>
      <c r="ET180" s="36"/>
      <c r="EU180" s="107"/>
      <c r="EV180" s="475"/>
      <c r="EW180" s="456"/>
      <c r="EX180" s="456"/>
      <c r="EY180" s="250"/>
      <c r="EZ180" s="250"/>
      <c r="FA180" s="250"/>
      <c r="FB180" s="250"/>
      <c r="FC180" s="250"/>
      <c r="FD180" s="250"/>
      <c r="FE180" s="250"/>
      <c r="FF180" s="250"/>
      <c r="FG180" s="250"/>
      <c r="FH180" s="250"/>
      <c r="FI180" s="250"/>
      <c r="FJ180" s="673">
        <v>11</v>
      </c>
      <c r="FK180" s="479" t="str">
        <f ca="1">IF(OR(FK$169&lt;SwaptionFirstMonthPosition+1,$FJ180&lt;SwaptionFirstMonthPosition+1,FK$169&gt;SwaptionFirstMonthPosition+SwaptionNumOfMonths+1,$FJ180&gt;SwaptionFirstMonthPosition+SwaptionNumOfMonths+1),"",IF($FJ180=FK$169,1,IF($FJ180&lt;FK$169,INDEX($FK$170:$ID$241,FK$169,$FJ180),SUMPRODUCT(INDEX($FK$325:$ID$396,FK$169,1+SwaptionShift):INDEX($FK$325:$ID$396,FK$169,SwaptionMonthsToGo+SwaptionShift),INDEX($FK$245:$ID$316,$FJ180-FK$169,73-FK$169+SwaptionShift):INDEX($FK$245:$ID$316,$FJ180-FK$169,72-FK$169+SwaptionMonthsToGo+SwaptionShift))/SQRT(SUM(INDEX($FK335:$ID335,1+SwaptionShift):INDEX($FK335:$ID335,SwaptionMonthsToGo+SwaptionShift))*SUM(INDEX($FK$325:$ID$396,FK$169,1+SwaptionShift):INDEX($FK$325:$ID$396,FK$169,SwaptionMonthsToGo+SwaptionShift))))))</f>
        <v/>
      </c>
      <c r="FL180" s="479" t="str">
        <f ca="1">IF(OR(FL$169&lt;SwaptionFirstMonthPosition+1,$FJ180&lt;SwaptionFirstMonthPosition+1,FL$169&gt;SwaptionFirstMonthPosition+SwaptionNumOfMonths+1,$FJ180&gt;SwaptionFirstMonthPosition+SwaptionNumOfMonths+1),"",IF($FJ180=FL$169,1,IF($FJ180&lt;FL$169,INDEX($FK$170:$ID$241,FL$169,$FJ180),SUMPRODUCT(INDEX($FK$325:$ID$396,FL$169,1+SwaptionShift):INDEX($FK$325:$ID$396,FL$169,SwaptionMonthsToGo+SwaptionShift),INDEX($FK$245:$ID$316,$FJ180-FL$169,73-FL$169+SwaptionShift):INDEX($FK$245:$ID$316,$FJ180-FL$169,72-FL$169+SwaptionMonthsToGo+SwaptionShift))/SQRT(SUM(INDEX($FK335:$ID335,1+SwaptionShift):INDEX($FK335:$ID335,SwaptionMonthsToGo+SwaptionShift))*SUM(INDEX($FK$325:$ID$396,FL$169,1+SwaptionShift):INDEX($FK$325:$ID$396,FL$169,SwaptionMonthsToGo+SwaptionShift))))))</f>
        <v/>
      </c>
      <c r="FM180" s="479" t="str">
        <f ca="1">IF(OR(FM$169&lt;SwaptionFirstMonthPosition+1,$FJ180&lt;SwaptionFirstMonthPosition+1,FM$169&gt;SwaptionFirstMonthPosition+SwaptionNumOfMonths+1,$FJ180&gt;SwaptionFirstMonthPosition+SwaptionNumOfMonths+1),"",IF($FJ180=FM$169,1,IF($FJ180&lt;FM$169,INDEX($FK$170:$ID$241,FM$169,$FJ180),SUMPRODUCT(INDEX($FK$325:$ID$396,FM$169,1+SwaptionShift):INDEX($FK$325:$ID$396,FM$169,SwaptionMonthsToGo+SwaptionShift),INDEX($FK$245:$ID$316,$FJ180-FM$169,73-FM$169+SwaptionShift):INDEX($FK$245:$ID$316,$FJ180-FM$169,72-FM$169+SwaptionMonthsToGo+SwaptionShift))/SQRT(SUM(INDEX($FK335:$ID335,1+SwaptionShift):INDEX($FK335:$ID335,SwaptionMonthsToGo+SwaptionShift))*SUM(INDEX($FK$325:$ID$396,FM$169,1+SwaptionShift):INDEX($FK$325:$ID$396,FM$169,SwaptionMonthsToGo+SwaptionShift))))))</f>
        <v/>
      </c>
      <c r="FN180" s="479" t="str">
        <f ca="1">IF(OR(FN$169&lt;SwaptionFirstMonthPosition+1,$FJ180&lt;SwaptionFirstMonthPosition+1,FN$169&gt;SwaptionFirstMonthPosition+SwaptionNumOfMonths+1,$FJ180&gt;SwaptionFirstMonthPosition+SwaptionNumOfMonths+1),"",IF($FJ180=FN$169,1,IF($FJ180&lt;FN$169,INDEX($FK$170:$ID$241,FN$169,$FJ180),SUMPRODUCT(INDEX($FK$325:$ID$396,FN$169,1+SwaptionShift):INDEX($FK$325:$ID$396,FN$169,SwaptionMonthsToGo+SwaptionShift),INDEX($FK$245:$ID$316,$FJ180-FN$169,73-FN$169+SwaptionShift):INDEX($FK$245:$ID$316,$FJ180-FN$169,72-FN$169+SwaptionMonthsToGo+SwaptionShift))/SQRT(SUM(INDEX($FK335:$ID335,1+SwaptionShift):INDEX($FK335:$ID335,SwaptionMonthsToGo+SwaptionShift))*SUM(INDEX($FK$325:$ID$396,FN$169,1+SwaptionShift):INDEX($FK$325:$ID$396,FN$169,SwaptionMonthsToGo+SwaptionShift))))))</f>
        <v/>
      </c>
      <c r="FO180" s="479" t="str">
        <f ca="1">IF(OR(FO$169&lt;SwaptionFirstMonthPosition+1,$FJ180&lt;SwaptionFirstMonthPosition+1,FO$169&gt;SwaptionFirstMonthPosition+SwaptionNumOfMonths+1,$FJ180&gt;SwaptionFirstMonthPosition+SwaptionNumOfMonths+1),"",IF($FJ180=FO$169,1,IF($FJ180&lt;FO$169,INDEX($FK$170:$ID$241,FO$169,$FJ180),SUMPRODUCT(INDEX($FK$325:$ID$396,FO$169,1+SwaptionShift):INDEX($FK$325:$ID$396,FO$169,SwaptionMonthsToGo+SwaptionShift),INDEX($FK$245:$ID$316,$FJ180-FO$169,73-FO$169+SwaptionShift):INDEX($FK$245:$ID$316,$FJ180-FO$169,72-FO$169+SwaptionMonthsToGo+SwaptionShift))/SQRT(SUM(INDEX($FK335:$ID335,1+SwaptionShift):INDEX($FK335:$ID335,SwaptionMonthsToGo+SwaptionShift))*SUM(INDEX($FK$325:$ID$396,FO$169,1+SwaptionShift):INDEX($FK$325:$ID$396,FO$169,SwaptionMonthsToGo+SwaptionShift))))))</f>
        <v/>
      </c>
      <c r="FP180" s="479">
        <f ca="1">IF(OR(FP$169&lt;SwaptionFirstMonthPosition+1,$FJ180&lt;SwaptionFirstMonthPosition+1,FP$169&gt;SwaptionFirstMonthPosition+SwaptionNumOfMonths+1,$FJ180&gt;SwaptionFirstMonthPosition+SwaptionNumOfMonths+1),"",IF($FJ180=FP$169,1,IF($FJ180&lt;FP$169,INDEX($FK$170:$ID$241,FP$169,$FJ180),SUMPRODUCT(INDEX($FK$325:$ID$396,FP$169,1+SwaptionShift):INDEX($FK$325:$ID$396,FP$169,SwaptionMonthsToGo+SwaptionShift),INDEX($FK$245:$ID$316,$FJ180-FP$169,73-FP$169+SwaptionShift):INDEX($FK$245:$ID$316,$FJ180-FP$169,72-FP$169+SwaptionMonthsToGo+SwaptionShift))/SQRT(SUM(INDEX($FK335:$ID335,1+SwaptionShift):INDEX($FK335:$ID335,SwaptionMonthsToGo+SwaptionShift))*SUM(INDEX($FK$325:$ID$396,FP$169,1+SwaptionShift):INDEX($FK$325:$ID$396,FP$169,SwaptionMonthsToGo+SwaptionShift))))))</f>
        <v>0.91891985228488937</v>
      </c>
      <c r="FQ180" s="479">
        <f ca="1">IF(OR(FQ$169&lt;SwaptionFirstMonthPosition+1,$FJ180&lt;SwaptionFirstMonthPosition+1,FQ$169&gt;SwaptionFirstMonthPosition+SwaptionNumOfMonths+1,$FJ180&gt;SwaptionFirstMonthPosition+SwaptionNumOfMonths+1),"",IF($FJ180=FQ$169,1,IF($FJ180&lt;FQ$169,INDEX($FK$170:$ID$241,FQ$169,$FJ180),SUMPRODUCT(INDEX($FK$325:$ID$396,FQ$169,1+SwaptionShift):INDEX($FK$325:$ID$396,FQ$169,SwaptionMonthsToGo+SwaptionShift),INDEX($FK$245:$ID$316,$FJ180-FQ$169,73-FQ$169+SwaptionShift):INDEX($FK$245:$ID$316,$FJ180-FQ$169,72-FQ$169+SwaptionMonthsToGo+SwaptionShift))/SQRT(SUM(INDEX($FK335:$ID335,1+SwaptionShift):INDEX($FK335:$ID335,SwaptionMonthsToGo+SwaptionShift))*SUM(INDEX($FK$325:$ID$396,FQ$169,1+SwaptionShift):INDEX($FK$325:$ID$396,FQ$169,SwaptionMonthsToGo+SwaptionShift))))))</f>
        <v>0.94261210737945333</v>
      </c>
      <c r="FR180" s="479">
        <f ca="1">IF(OR(FR$169&lt;SwaptionFirstMonthPosition+1,$FJ180&lt;SwaptionFirstMonthPosition+1,FR$169&gt;SwaptionFirstMonthPosition+SwaptionNumOfMonths+1,$FJ180&gt;SwaptionFirstMonthPosition+SwaptionNumOfMonths+1),"",IF($FJ180=FR$169,1,IF($FJ180&lt;FR$169,INDEX($FK$170:$ID$241,FR$169,$FJ180),SUMPRODUCT(INDEX($FK$325:$ID$396,FR$169,1+SwaptionShift):INDEX($FK$325:$ID$396,FR$169,SwaptionMonthsToGo+SwaptionShift),INDEX($FK$245:$ID$316,$FJ180-FR$169,73-FR$169+SwaptionShift):INDEX($FK$245:$ID$316,$FJ180-FR$169,72-FR$169+SwaptionMonthsToGo+SwaptionShift))/SQRT(SUM(INDEX($FK335:$ID335,1+SwaptionShift):INDEX($FK335:$ID335,SwaptionMonthsToGo+SwaptionShift))*SUM(INDEX($FK$325:$ID$396,FR$169,1+SwaptionShift):INDEX($FK$325:$ID$396,FR$169,SwaptionMonthsToGo+SwaptionShift))))))</f>
        <v>0.96169836231516259</v>
      </c>
      <c r="FS180" s="479">
        <f ca="1">IF(OR(FS$169&lt;SwaptionFirstMonthPosition+1,$FJ180&lt;SwaptionFirstMonthPosition+1,FS$169&gt;SwaptionFirstMonthPosition+SwaptionNumOfMonths+1,$FJ180&gt;SwaptionFirstMonthPosition+SwaptionNumOfMonths+1),"",IF($FJ180=FS$169,1,IF($FJ180&lt;FS$169,INDEX($FK$170:$ID$241,FS$169,$FJ180),SUMPRODUCT(INDEX($FK$325:$ID$396,FS$169,1+SwaptionShift):INDEX($FK$325:$ID$396,FS$169,SwaptionMonthsToGo+SwaptionShift),INDEX($FK$245:$ID$316,$FJ180-FS$169,73-FS$169+SwaptionShift):INDEX($FK$245:$ID$316,$FJ180-FS$169,72-FS$169+SwaptionMonthsToGo+SwaptionShift))/SQRT(SUM(INDEX($FK335:$ID335,1+SwaptionShift):INDEX($FK335:$ID335,SwaptionMonthsToGo+SwaptionShift))*SUM(INDEX($FK$325:$ID$396,FS$169,1+SwaptionShift):INDEX($FK$325:$ID$396,FS$169,SwaptionMonthsToGo+SwaptionShift))))))</f>
        <v>0.97715145647715562</v>
      </c>
      <c r="FT180" s="479">
        <f ca="1">IF(OR(FT$169&lt;SwaptionFirstMonthPosition+1,$FJ180&lt;SwaptionFirstMonthPosition+1,FT$169&gt;SwaptionFirstMonthPosition+SwaptionNumOfMonths+1,$FJ180&gt;SwaptionFirstMonthPosition+SwaptionNumOfMonths+1),"",IF($FJ180=FT$169,1,IF($FJ180&lt;FT$169,INDEX($FK$170:$ID$241,FT$169,$FJ180),SUMPRODUCT(INDEX($FK$325:$ID$396,FT$169,1+SwaptionShift):INDEX($FK$325:$ID$396,FT$169,SwaptionMonthsToGo+SwaptionShift),INDEX($FK$245:$ID$316,$FJ180-FT$169,73-FT$169+SwaptionShift):INDEX($FK$245:$ID$316,$FJ180-FT$169,72-FT$169+SwaptionMonthsToGo+SwaptionShift))/SQRT(SUM(INDEX($FK335:$ID335,1+SwaptionShift):INDEX($FK335:$ID335,SwaptionMonthsToGo+SwaptionShift))*SUM(INDEX($FK$325:$ID$396,FT$169,1+SwaptionShift):INDEX($FK$325:$ID$396,FT$169,SwaptionMonthsToGo+SwaptionShift))))))</f>
        <v>0.98972384729149687</v>
      </c>
      <c r="FU180" s="479">
        <f ca="1">IF(OR(FU$169&lt;SwaptionFirstMonthPosition+1,$FJ180&lt;SwaptionFirstMonthPosition+1,FU$169&gt;SwaptionFirstMonthPosition+SwaptionNumOfMonths+1,$FJ180&gt;SwaptionFirstMonthPosition+SwaptionNumOfMonths+1),"",IF($FJ180=FU$169,1,IF($FJ180&lt;FU$169,INDEX($FK$170:$ID$241,FU$169,$FJ180),SUMPRODUCT(INDEX($FK$325:$ID$396,FU$169,1+SwaptionShift):INDEX($FK$325:$ID$396,FU$169,SwaptionMonthsToGo+SwaptionShift),INDEX($FK$245:$ID$316,$FJ180-FU$169,73-FU$169+SwaptionShift):INDEX($FK$245:$ID$316,$FJ180-FU$169,72-FU$169+SwaptionMonthsToGo+SwaptionShift))/SQRT(SUM(INDEX($FK335:$ID335,1+SwaptionShift):INDEX($FK335:$ID335,SwaptionMonthsToGo+SwaptionShift))*SUM(INDEX($FK$325:$ID$396,FU$169,1+SwaptionShift):INDEX($FK$325:$ID$396,FU$169,SwaptionMonthsToGo+SwaptionShift))))))</f>
        <v>1</v>
      </c>
      <c r="FV180" s="479">
        <f ca="1">IF(OR(FV$169&lt;SwaptionFirstMonthPosition+1,$FJ180&lt;SwaptionFirstMonthPosition+1,FV$169&gt;SwaptionFirstMonthPosition+SwaptionNumOfMonths+1,$FJ180&gt;SwaptionFirstMonthPosition+SwaptionNumOfMonths+1),"",IF($FJ180=FV$169,1,IF($FJ180&lt;FV$169,INDEX($FK$170:$ID$241,FV$169,$FJ180),SUMPRODUCT(INDEX($FK$325:$ID$396,FV$169,1+SwaptionShift):INDEX($FK$325:$ID$396,FV$169,SwaptionMonthsToGo+SwaptionShift),INDEX($FK$245:$ID$316,$FJ180-FV$169,73-FV$169+SwaptionShift):INDEX($FK$245:$ID$316,$FJ180-FV$169,72-FV$169+SwaptionMonthsToGo+SwaptionShift))/SQRT(SUM(INDEX($FK335:$ID335,1+SwaptionShift):INDEX($FK335:$ID335,SwaptionMonthsToGo+SwaptionShift))*SUM(INDEX($FK$325:$ID$396,FV$169,1+SwaptionShift):INDEX($FK$325:$ID$396,FV$169,SwaptionMonthsToGo+SwaptionShift))))))</f>
        <v>0.99156619058860751</v>
      </c>
      <c r="FW180" s="479">
        <f ca="1">IF(OR(FW$169&lt;SwaptionFirstMonthPosition+1,$FJ180&lt;SwaptionFirstMonthPosition+1,FW$169&gt;SwaptionFirstMonthPosition+SwaptionNumOfMonths+1,$FJ180&gt;SwaptionFirstMonthPosition+SwaptionNumOfMonths+1),"",IF($FJ180=FW$169,1,IF($FJ180&lt;FW$169,INDEX($FK$170:$ID$241,FW$169,$FJ180),SUMPRODUCT(INDEX($FK$325:$ID$396,FW$169,1+SwaptionShift):INDEX($FK$325:$ID$396,FW$169,SwaptionMonthsToGo+SwaptionShift),INDEX($FK$245:$ID$316,$FJ180-FW$169,73-FW$169+SwaptionShift):INDEX($FK$245:$ID$316,$FJ180-FW$169,72-FW$169+SwaptionMonthsToGo+SwaptionShift))/SQRT(SUM(INDEX($FK335:$ID335,1+SwaptionShift):INDEX($FK335:$ID335,SwaptionMonthsToGo+SwaptionShift))*SUM(INDEX($FK$325:$ID$396,FW$169,1+SwaptionShift):INDEX($FK$325:$ID$396,FW$169,SwaptionMonthsToGo+SwaptionShift))))))</f>
        <v>0.98461254072414317</v>
      </c>
      <c r="FX180" s="479">
        <f ca="1">IF(OR(FX$169&lt;SwaptionFirstMonthPosition+1,$FJ180&lt;SwaptionFirstMonthPosition+1,FX$169&gt;SwaptionFirstMonthPosition+SwaptionNumOfMonths+1,$FJ180&gt;SwaptionFirstMonthPosition+SwaptionNumOfMonths+1),"",IF($FJ180=FX$169,1,IF($FJ180&lt;FX$169,INDEX($FK$170:$ID$241,FX$169,$FJ180),SUMPRODUCT(INDEX($FK$325:$ID$396,FX$169,1+SwaptionShift):INDEX($FK$325:$ID$396,FX$169,SwaptionMonthsToGo+SwaptionShift),INDEX($FK$245:$ID$316,$FJ180-FX$169,73-FX$169+SwaptionShift):INDEX($FK$245:$ID$316,$FJ180-FX$169,72-FX$169+SwaptionMonthsToGo+SwaptionShift))/SQRT(SUM(INDEX($FK335:$ID335,1+SwaptionShift):INDEX($FK335:$ID335,SwaptionMonthsToGo+SwaptionShift))*SUM(INDEX($FK$325:$ID$396,FX$169,1+SwaptionShift):INDEX($FK$325:$ID$396,FX$169,SwaptionMonthsToGo+SwaptionShift))))))</f>
        <v>0.97885235407388138</v>
      </c>
      <c r="FY180" s="479">
        <f ca="1">IF(OR(FY$169&lt;SwaptionFirstMonthPosition+1,$FJ180&lt;SwaptionFirstMonthPosition+1,FY$169&gt;SwaptionFirstMonthPosition+SwaptionNumOfMonths+1,$FJ180&gt;SwaptionFirstMonthPosition+SwaptionNumOfMonths+1),"",IF($FJ180=FY$169,1,IF($FJ180&lt;FY$169,INDEX($FK$170:$ID$241,FY$169,$FJ180),SUMPRODUCT(INDEX($FK$325:$ID$396,FY$169,1+SwaptionShift):INDEX($FK$325:$ID$396,FY$169,SwaptionMonthsToGo+SwaptionShift),INDEX($FK$245:$ID$316,$FJ180-FY$169,73-FY$169+SwaptionShift):INDEX($FK$245:$ID$316,$FJ180-FY$169,72-FY$169+SwaptionMonthsToGo+SwaptionShift))/SQRT(SUM(INDEX($FK335:$ID335,1+SwaptionShift):INDEX($FK335:$ID335,SwaptionMonthsToGo+SwaptionShift))*SUM(INDEX($FK$325:$ID$396,FY$169,1+SwaptionShift):INDEX($FK$325:$ID$396,FY$169,SwaptionMonthsToGo+SwaptionShift))))))</f>
        <v>0.97406142084226621</v>
      </c>
      <c r="FZ180" s="479">
        <f ca="1">IF(OR(FZ$169&lt;SwaptionFirstMonthPosition+1,$FJ180&lt;SwaptionFirstMonthPosition+1,FZ$169&gt;SwaptionFirstMonthPosition+SwaptionNumOfMonths+1,$FJ180&gt;SwaptionFirstMonthPosition+SwaptionNumOfMonths+1),"",IF($FJ180=FZ$169,1,IF($FJ180&lt;FZ$169,INDEX($FK$170:$ID$241,FZ$169,$FJ180),SUMPRODUCT(INDEX($FK$325:$ID$396,FZ$169,1+SwaptionShift):INDEX($FK$325:$ID$396,FZ$169,SwaptionMonthsToGo+SwaptionShift),INDEX($FK$245:$ID$316,$FJ180-FZ$169,73-FZ$169+SwaptionShift):INDEX($FK$245:$ID$316,$FJ180-FZ$169,72-FZ$169+SwaptionMonthsToGo+SwaptionShift))/SQRT(SUM(INDEX($FK335:$ID335,1+SwaptionShift):INDEX($FK335:$ID335,SwaptionMonthsToGo+SwaptionShift))*SUM(INDEX($FK$325:$ID$396,FZ$169,1+SwaptionShift):INDEX($FK$325:$ID$396,FZ$169,SwaptionMonthsToGo+SwaptionShift))))))</f>
        <v>0.97006261000321548</v>
      </c>
      <c r="GA180" s="479">
        <f ca="1">IF(OR(GA$169&lt;SwaptionFirstMonthPosition+1,$FJ180&lt;SwaptionFirstMonthPosition+1,GA$169&gt;SwaptionFirstMonthPosition+SwaptionNumOfMonths+1,$FJ180&gt;SwaptionFirstMonthPosition+SwaptionNumOfMonths+1),"",IF($FJ180=GA$169,1,IF($FJ180&lt;GA$169,INDEX($FK$170:$ID$241,GA$169,$FJ180),SUMPRODUCT(INDEX($FK$325:$ID$396,GA$169,1+SwaptionShift):INDEX($FK$325:$ID$396,GA$169,SwaptionMonthsToGo+SwaptionShift),INDEX($FK$245:$ID$316,$FJ180-GA$169,73-GA$169+SwaptionShift):INDEX($FK$245:$ID$316,$FJ180-GA$169,72-GA$169+SwaptionMonthsToGo+SwaptionShift))/SQRT(SUM(INDEX($FK335:$ID335,1+SwaptionShift):INDEX($FK335:$ID335,SwaptionMonthsToGo+SwaptionShift))*SUM(INDEX($FK$325:$ID$396,GA$169,1+SwaptionShift):INDEX($FK$325:$ID$396,GA$169,SwaptionMonthsToGo+SwaptionShift))))))</f>
        <v>0.96671472854699625</v>
      </c>
      <c r="GB180" s="479">
        <f ca="1">IF(OR(GB$169&lt;SwaptionFirstMonthPosition+1,$FJ180&lt;SwaptionFirstMonthPosition+1,GB$169&gt;SwaptionFirstMonthPosition+SwaptionNumOfMonths+1,$FJ180&gt;SwaptionFirstMonthPosition+SwaptionNumOfMonths+1),"",IF($FJ180=GB$169,1,IF($FJ180&lt;GB$169,INDEX($FK$170:$ID$241,GB$169,$FJ180),SUMPRODUCT(INDEX($FK$325:$ID$396,GB$169,1+SwaptionShift):INDEX($FK$325:$ID$396,GB$169,SwaptionMonthsToGo+SwaptionShift),INDEX($FK$245:$ID$316,$FJ180-GB$169,73-GB$169+SwaptionShift):INDEX($FK$245:$ID$316,$FJ180-GB$169,72-GB$169+SwaptionMonthsToGo+SwaptionShift))/SQRT(SUM(INDEX($FK335:$ID335,1+SwaptionShift):INDEX($FK335:$ID335,SwaptionMonthsToGo+SwaptionShift))*SUM(INDEX($FK$325:$ID$396,GB$169,1+SwaptionShift):INDEX($FK$325:$ID$396,GB$169,SwaptionMonthsToGo+SwaptionShift))))))</f>
        <v>0.96390433693582533</v>
      </c>
      <c r="GC180" s="479" t="str">
        <f ca="1">IF(OR(GC$169&lt;SwaptionFirstMonthPosition+1,$FJ180&lt;SwaptionFirstMonthPosition+1,GC$169&gt;SwaptionFirstMonthPosition+SwaptionNumOfMonths+1,$FJ180&gt;SwaptionFirstMonthPosition+SwaptionNumOfMonths+1),"",IF($FJ180=GC$169,1,IF($FJ180&lt;GC$169,INDEX($FK$170:$ID$241,GC$169,$FJ180),SUMPRODUCT(INDEX($FK$325:$ID$396,GC$169,1+SwaptionShift):INDEX($FK$325:$ID$396,GC$169,SwaptionMonthsToGo+SwaptionShift),INDEX($FK$245:$ID$316,$FJ180-GC$169,73-GC$169+SwaptionShift):INDEX($FK$245:$ID$316,$FJ180-GC$169,72-GC$169+SwaptionMonthsToGo+SwaptionShift))/SQRT(SUM(INDEX($FK335:$ID335,1+SwaptionShift):INDEX($FK335:$ID335,SwaptionMonthsToGo+SwaptionShift))*SUM(INDEX($FK$325:$ID$396,GC$169,1+SwaptionShift):INDEX($FK$325:$ID$396,GC$169,SwaptionMonthsToGo+SwaptionShift))))))</f>
        <v/>
      </c>
      <c r="GD180" s="479" t="str">
        <f ca="1">IF(OR(GD$169&lt;SwaptionFirstMonthPosition+1,$FJ180&lt;SwaptionFirstMonthPosition+1,GD$169&gt;SwaptionFirstMonthPosition+SwaptionNumOfMonths+1,$FJ180&gt;SwaptionFirstMonthPosition+SwaptionNumOfMonths+1),"",IF($FJ180=GD$169,1,IF($FJ180&lt;GD$169,INDEX($FK$170:$ID$241,GD$169,$FJ180),SUMPRODUCT(INDEX($FK$325:$ID$396,GD$169,1+SwaptionShift):INDEX($FK$325:$ID$396,GD$169,SwaptionMonthsToGo+SwaptionShift),INDEX($FK$245:$ID$316,$FJ180-GD$169,73-GD$169+SwaptionShift):INDEX($FK$245:$ID$316,$FJ180-GD$169,72-GD$169+SwaptionMonthsToGo+SwaptionShift))/SQRT(SUM(INDEX($FK335:$ID335,1+SwaptionShift):INDEX($FK335:$ID335,SwaptionMonthsToGo+SwaptionShift))*SUM(INDEX($FK$325:$ID$396,GD$169,1+SwaptionShift):INDEX($FK$325:$ID$396,GD$169,SwaptionMonthsToGo+SwaptionShift))))))</f>
        <v/>
      </c>
      <c r="GE180" s="479" t="str">
        <f ca="1">IF(OR(GE$169&lt;SwaptionFirstMonthPosition+1,$FJ180&lt;SwaptionFirstMonthPosition+1,GE$169&gt;SwaptionFirstMonthPosition+SwaptionNumOfMonths+1,$FJ180&gt;SwaptionFirstMonthPosition+SwaptionNumOfMonths+1),"",IF($FJ180=GE$169,1,IF($FJ180&lt;GE$169,INDEX($FK$170:$ID$241,GE$169,$FJ180),SUMPRODUCT(INDEX($FK$325:$ID$396,GE$169,1+SwaptionShift):INDEX($FK$325:$ID$396,GE$169,SwaptionMonthsToGo+SwaptionShift),INDEX($FK$245:$ID$316,$FJ180-GE$169,73-GE$169+SwaptionShift):INDEX($FK$245:$ID$316,$FJ180-GE$169,72-GE$169+SwaptionMonthsToGo+SwaptionShift))/SQRT(SUM(INDEX($FK335:$ID335,1+SwaptionShift):INDEX($FK335:$ID335,SwaptionMonthsToGo+SwaptionShift))*SUM(INDEX($FK$325:$ID$396,GE$169,1+SwaptionShift):INDEX($FK$325:$ID$396,GE$169,SwaptionMonthsToGo+SwaptionShift))))))</f>
        <v/>
      </c>
      <c r="GF180" s="479" t="str">
        <f ca="1">IF(OR(GF$169&lt;SwaptionFirstMonthPosition+1,$FJ180&lt;SwaptionFirstMonthPosition+1,GF$169&gt;SwaptionFirstMonthPosition+SwaptionNumOfMonths+1,$FJ180&gt;SwaptionFirstMonthPosition+SwaptionNumOfMonths+1),"",IF($FJ180=GF$169,1,IF($FJ180&lt;GF$169,INDEX($FK$170:$ID$241,GF$169,$FJ180),SUMPRODUCT(INDEX($FK$325:$ID$396,GF$169,1+SwaptionShift):INDEX($FK$325:$ID$396,GF$169,SwaptionMonthsToGo+SwaptionShift),INDEX($FK$245:$ID$316,$FJ180-GF$169,73-GF$169+SwaptionShift):INDEX($FK$245:$ID$316,$FJ180-GF$169,72-GF$169+SwaptionMonthsToGo+SwaptionShift))/SQRT(SUM(INDEX($FK335:$ID335,1+SwaptionShift):INDEX($FK335:$ID335,SwaptionMonthsToGo+SwaptionShift))*SUM(INDEX($FK$325:$ID$396,GF$169,1+SwaptionShift):INDEX($FK$325:$ID$396,GF$169,SwaptionMonthsToGo+SwaptionShift))))))</f>
        <v/>
      </c>
      <c r="GG180" s="479" t="str">
        <f ca="1">IF(OR(GG$169&lt;SwaptionFirstMonthPosition+1,$FJ180&lt;SwaptionFirstMonthPosition+1,GG$169&gt;SwaptionFirstMonthPosition+SwaptionNumOfMonths+1,$FJ180&gt;SwaptionFirstMonthPosition+SwaptionNumOfMonths+1),"",IF($FJ180=GG$169,1,IF($FJ180&lt;GG$169,INDEX($FK$170:$ID$241,GG$169,$FJ180),SUMPRODUCT(INDEX($FK$325:$ID$396,GG$169,1+SwaptionShift):INDEX($FK$325:$ID$396,GG$169,SwaptionMonthsToGo+SwaptionShift),INDEX($FK$245:$ID$316,$FJ180-GG$169,73-GG$169+SwaptionShift):INDEX($FK$245:$ID$316,$FJ180-GG$169,72-GG$169+SwaptionMonthsToGo+SwaptionShift))/SQRT(SUM(INDEX($FK335:$ID335,1+SwaptionShift):INDEX($FK335:$ID335,SwaptionMonthsToGo+SwaptionShift))*SUM(INDEX($FK$325:$ID$396,GG$169,1+SwaptionShift):INDEX($FK$325:$ID$396,GG$169,SwaptionMonthsToGo+SwaptionShift))))))</f>
        <v/>
      </c>
      <c r="GH180" s="479" t="str">
        <f ca="1">IF(OR(GH$169&lt;SwaptionFirstMonthPosition+1,$FJ180&lt;SwaptionFirstMonthPosition+1,GH$169&gt;SwaptionFirstMonthPosition+SwaptionNumOfMonths+1,$FJ180&gt;SwaptionFirstMonthPosition+SwaptionNumOfMonths+1),"",IF($FJ180=GH$169,1,IF($FJ180&lt;GH$169,INDEX($FK$170:$ID$241,GH$169,$FJ180),SUMPRODUCT(INDEX($FK$325:$ID$396,GH$169,1+SwaptionShift):INDEX($FK$325:$ID$396,GH$169,SwaptionMonthsToGo+SwaptionShift),INDEX($FK$245:$ID$316,$FJ180-GH$169,73-GH$169+SwaptionShift):INDEX($FK$245:$ID$316,$FJ180-GH$169,72-GH$169+SwaptionMonthsToGo+SwaptionShift))/SQRT(SUM(INDEX($FK335:$ID335,1+SwaptionShift):INDEX($FK335:$ID335,SwaptionMonthsToGo+SwaptionShift))*SUM(INDEX($FK$325:$ID$396,GH$169,1+SwaptionShift):INDEX($FK$325:$ID$396,GH$169,SwaptionMonthsToGo+SwaptionShift))))))</f>
        <v/>
      </c>
      <c r="GI180" s="479" t="str">
        <f ca="1">IF(OR(GI$169&lt;SwaptionFirstMonthPosition+1,$FJ180&lt;SwaptionFirstMonthPosition+1,GI$169&gt;SwaptionFirstMonthPosition+SwaptionNumOfMonths+1,$FJ180&gt;SwaptionFirstMonthPosition+SwaptionNumOfMonths+1),"",IF($FJ180=GI$169,1,IF($FJ180&lt;GI$169,INDEX($FK$170:$ID$241,GI$169,$FJ180),SUMPRODUCT(INDEX($FK$325:$ID$396,GI$169,1+SwaptionShift):INDEX($FK$325:$ID$396,GI$169,SwaptionMonthsToGo+SwaptionShift),INDEX($FK$245:$ID$316,$FJ180-GI$169,73-GI$169+SwaptionShift):INDEX($FK$245:$ID$316,$FJ180-GI$169,72-GI$169+SwaptionMonthsToGo+SwaptionShift))/SQRT(SUM(INDEX($FK335:$ID335,1+SwaptionShift):INDEX($FK335:$ID335,SwaptionMonthsToGo+SwaptionShift))*SUM(INDEX($FK$325:$ID$396,GI$169,1+SwaptionShift):INDEX($FK$325:$ID$396,GI$169,SwaptionMonthsToGo+SwaptionShift))))))</f>
        <v/>
      </c>
      <c r="GJ180" s="479" t="str">
        <f ca="1">IF(OR(GJ$169&lt;SwaptionFirstMonthPosition+1,$FJ180&lt;SwaptionFirstMonthPosition+1,GJ$169&gt;SwaptionFirstMonthPosition+SwaptionNumOfMonths+1,$FJ180&gt;SwaptionFirstMonthPosition+SwaptionNumOfMonths+1),"",IF($FJ180=GJ$169,1,IF($FJ180&lt;GJ$169,INDEX($FK$170:$ID$241,GJ$169,$FJ180),SUMPRODUCT(INDEX($FK$325:$ID$396,GJ$169,1+SwaptionShift):INDEX($FK$325:$ID$396,GJ$169,SwaptionMonthsToGo+SwaptionShift),INDEX($FK$245:$ID$316,$FJ180-GJ$169,73-GJ$169+SwaptionShift):INDEX($FK$245:$ID$316,$FJ180-GJ$169,72-GJ$169+SwaptionMonthsToGo+SwaptionShift))/SQRT(SUM(INDEX($FK335:$ID335,1+SwaptionShift):INDEX($FK335:$ID335,SwaptionMonthsToGo+SwaptionShift))*SUM(INDEX($FK$325:$ID$396,GJ$169,1+SwaptionShift):INDEX($FK$325:$ID$396,GJ$169,SwaptionMonthsToGo+SwaptionShift))))))</f>
        <v/>
      </c>
      <c r="GK180" s="479" t="str">
        <f ca="1">IF(OR(GK$169&lt;SwaptionFirstMonthPosition+1,$FJ180&lt;SwaptionFirstMonthPosition+1,GK$169&gt;SwaptionFirstMonthPosition+SwaptionNumOfMonths+1,$FJ180&gt;SwaptionFirstMonthPosition+SwaptionNumOfMonths+1),"",IF($FJ180=GK$169,1,IF($FJ180&lt;GK$169,INDEX($FK$170:$ID$241,GK$169,$FJ180),SUMPRODUCT(INDEX($FK$325:$ID$396,GK$169,1+SwaptionShift):INDEX($FK$325:$ID$396,GK$169,SwaptionMonthsToGo+SwaptionShift),INDEX($FK$245:$ID$316,$FJ180-GK$169,73-GK$169+SwaptionShift):INDEX($FK$245:$ID$316,$FJ180-GK$169,72-GK$169+SwaptionMonthsToGo+SwaptionShift))/SQRT(SUM(INDEX($FK335:$ID335,1+SwaptionShift):INDEX($FK335:$ID335,SwaptionMonthsToGo+SwaptionShift))*SUM(INDEX($FK$325:$ID$396,GK$169,1+SwaptionShift):INDEX($FK$325:$ID$396,GK$169,SwaptionMonthsToGo+SwaptionShift))))))</f>
        <v/>
      </c>
      <c r="GL180" s="479" t="str">
        <f ca="1">IF(OR(GL$169&lt;SwaptionFirstMonthPosition+1,$FJ180&lt;SwaptionFirstMonthPosition+1,GL$169&gt;SwaptionFirstMonthPosition+SwaptionNumOfMonths+1,$FJ180&gt;SwaptionFirstMonthPosition+SwaptionNumOfMonths+1),"",IF($FJ180=GL$169,1,IF($FJ180&lt;GL$169,INDEX($FK$170:$ID$241,GL$169,$FJ180),SUMPRODUCT(INDEX($FK$325:$ID$396,GL$169,1+SwaptionShift):INDEX($FK$325:$ID$396,GL$169,SwaptionMonthsToGo+SwaptionShift),INDEX($FK$245:$ID$316,$FJ180-GL$169,73-GL$169+SwaptionShift):INDEX($FK$245:$ID$316,$FJ180-GL$169,72-GL$169+SwaptionMonthsToGo+SwaptionShift))/SQRT(SUM(INDEX($FK335:$ID335,1+SwaptionShift):INDEX($FK335:$ID335,SwaptionMonthsToGo+SwaptionShift))*SUM(INDEX($FK$325:$ID$396,GL$169,1+SwaptionShift):INDEX($FK$325:$ID$396,GL$169,SwaptionMonthsToGo+SwaptionShift))))))</f>
        <v/>
      </c>
      <c r="GM180" s="479" t="str">
        <f ca="1">IF(OR(GM$169&lt;SwaptionFirstMonthPosition+1,$FJ180&lt;SwaptionFirstMonthPosition+1,GM$169&gt;SwaptionFirstMonthPosition+SwaptionNumOfMonths+1,$FJ180&gt;SwaptionFirstMonthPosition+SwaptionNumOfMonths+1),"",IF($FJ180=GM$169,1,IF($FJ180&lt;GM$169,INDEX($FK$170:$ID$241,GM$169,$FJ180),SUMPRODUCT(INDEX($FK$325:$ID$396,GM$169,1+SwaptionShift):INDEX($FK$325:$ID$396,GM$169,SwaptionMonthsToGo+SwaptionShift),INDEX($FK$245:$ID$316,$FJ180-GM$169,73-GM$169+SwaptionShift):INDEX($FK$245:$ID$316,$FJ180-GM$169,72-GM$169+SwaptionMonthsToGo+SwaptionShift))/SQRT(SUM(INDEX($FK335:$ID335,1+SwaptionShift):INDEX($FK335:$ID335,SwaptionMonthsToGo+SwaptionShift))*SUM(INDEX($FK$325:$ID$396,GM$169,1+SwaptionShift):INDEX($FK$325:$ID$396,GM$169,SwaptionMonthsToGo+SwaptionShift))))))</f>
        <v/>
      </c>
      <c r="GN180" s="479" t="str">
        <f ca="1">IF(OR(GN$169&lt;SwaptionFirstMonthPosition+1,$FJ180&lt;SwaptionFirstMonthPosition+1,GN$169&gt;SwaptionFirstMonthPosition+SwaptionNumOfMonths+1,$FJ180&gt;SwaptionFirstMonthPosition+SwaptionNumOfMonths+1),"",IF($FJ180=GN$169,1,IF($FJ180&lt;GN$169,INDEX($FK$170:$ID$241,GN$169,$FJ180),SUMPRODUCT(INDEX($FK$325:$ID$396,GN$169,1+SwaptionShift):INDEX($FK$325:$ID$396,GN$169,SwaptionMonthsToGo+SwaptionShift),INDEX($FK$245:$ID$316,$FJ180-GN$169,73-GN$169+SwaptionShift):INDEX($FK$245:$ID$316,$FJ180-GN$169,72-GN$169+SwaptionMonthsToGo+SwaptionShift))/SQRT(SUM(INDEX($FK335:$ID335,1+SwaptionShift):INDEX($FK335:$ID335,SwaptionMonthsToGo+SwaptionShift))*SUM(INDEX($FK$325:$ID$396,GN$169,1+SwaptionShift):INDEX($FK$325:$ID$396,GN$169,SwaptionMonthsToGo+SwaptionShift))))))</f>
        <v/>
      </c>
      <c r="GO180" s="479" t="str">
        <f ca="1">IF(OR(GO$169&lt;SwaptionFirstMonthPosition+1,$FJ180&lt;SwaptionFirstMonthPosition+1,GO$169&gt;SwaptionFirstMonthPosition+SwaptionNumOfMonths+1,$FJ180&gt;SwaptionFirstMonthPosition+SwaptionNumOfMonths+1),"",IF($FJ180=GO$169,1,IF($FJ180&lt;GO$169,INDEX($FK$170:$ID$241,GO$169,$FJ180),SUMPRODUCT(INDEX($FK$325:$ID$396,GO$169,1+SwaptionShift):INDEX($FK$325:$ID$396,GO$169,SwaptionMonthsToGo+SwaptionShift),INDEX($FK$245:$ID$316,$FJ180-GO$169,73-GO$169+SwaptionShift):INDEX($FK$245:$ID$316,$FJ180-GO$169,72-GO$169+SwaptionMonthsToGo+SwaptionShift))/SQRT(SUM(INDEX($FK335:$ID335,1+SwaptionShift):INDEX($FK335:$ID335,SwaptionMonthsToGo+SwaptionShift))*SUM(INDEX($FK$325:$ID$396,GO$169,1+SwaptionShift):INDEX($FK$325:$ID$396,GO$169,SwaptionMonthsToGo+SwaptionShift))))))</f>
        <v/>
      </c>
      <c r="GP180" s="479" t="str">
        <f ca="1">IF(OR(GP$169&lt;SwaptionFirstMonthPosition+1,$FJ180&lt;SwaptionFirstMonthPosition+1,GP$169&gt;SwaptionFirstMonthPosition+SwaptionNumOfMonths+1,$FJ180&gt;SwaptionFirstMonthPosition+SwaptionNumOfMonths+1),"",IF($FJ180=GP$169,1,IF($FJ180&lt;GP$169,INDEX($FK$170:$ID$241,GP$169,$FJ180),SUMPRODUCT(INDEX($FK$325:$ID$396,GP$169,1+SwaptionShift):INDEX($FK$325:$ID$396,GP$169,SwaptionMonthsToGo+SwaptionShift),INDEX($FK$245:$ID$316,$FJ180-GP$169,73-GP$169+SwaptionShift):INDEX($FK$245:$ID$316,$FJ180-GP$169,72-GP$169+SwaptionMonthsToGo+SwaptionShift))/SQRT(SUM(INDEX($FK335:$ID335,1+SwaptionShift):INDEX($FK335:$ID335,SwaptionMonthsToGo+SwaptionShift))*SUM(INDEX($FK$325:$ID$396,GP$169,1+SwaptionShift):INDEX($FK$325:$ID$396,GP$169,SwaptionMonthsToGo+SwaptionShift))))))</f>
        <v/>
      </c>
      <c r="GQ180" s="479" t="str">
        <f ca="1">IF(OR(GQ$169&lt;SwaptionFirstMonthPosition+1,$FJ180&lt;SwaptionFirstMonthPosition+1,GQ$169&gt;SwaptionFirstMonthPosition+SwaptionNumOfMonths+1,$FJ180&gt;SwaptionFirstMonthPosition+SwaptionNumOfMonths+1),"",IF($FJ180=GQ$169,1,IF($FJ180&lt;GQ$169,INDEX($FK$170:$ID$241,GQ$169,$FJ180),SUMPRODUCT(INDEX($FK$325:$ID$396,GQ$169,1+SwaptionShift):INDEX($FK$325:$ID$396,GQ$169,SwaptionMonthsToGo+SwaptionShift),INDEX($FK$245:$ID$316,$FJ180-GQ$169,73-GQ$169+SwaptionShift):INDEX($FK$245:$ID$316,$FJ180-GQ$169,72-GQ$169+SwaptionMonthsToGo+SwaptionShift))/SQRT(SUM(INDEX($FK335:$ID335,1+SwaptionShift):INDEX($FK335:$ID335,SwaptionMonthsToGo+SwaptionShift))*SUM(INDEX($FK$325:$ID$396,GQ$169,1+SwaptionShift):INDEX($FK$325:$ID$396,GQ$169,SwaptionMonthsToGo+SwaptionShift))))))</f>
        <v/>
      </c>
      <c r="GR180" s="479" t="str">
        <f ca="1">IF(OR(GR$169&lt;SwaptionFirstMonthPosition+1,$FJ180&lt;SwaptionFirstMonthPosition+1,GR$169&gt;SwaptionFirstMonthPosition+SwaptionNumOfMonths+1,$FJ180&gt;SwaptionFirstMonthPosition+SwaptionNumOfMonths+1),"",IF($FJ180=GR$169,1,IF($FJ180&lt;GR$169,INDEX($FK$170:$ID$241,GR$169,$FJ180),SUMPRODUCT(INDEX($FK$325:$ID$396,GR$169,1+SwaptionShift):INDEX($FK$325:$ID$396,GR$169,SwaptionMonthsToGo+SwaptionShift),INDEX($FK$245:$ID$316,$FJ180-GR$169,73-GR$169+SwaptionShift):INDEX($FK$245:$ID$316,$FJ180-GR$169,72-GR$169+SwaptionMonthsToGo+SwaptionShift))/SQRT(SUM(INDEX($FK335:$ID335,1+SwaptionShift):INDEX($FK335:$ID335,SwaptionMonthsToGo+SwaptionShift))*SUM(INDEX($FK$325:$ID$396,GR$169,1+SwaptionShift):INDEX($FK$325:$ID$396,GR$169,SwaptionMonthsToGo+SwaptionShift))))))</f>
        <v/>
      </c>
      <c r="GS180" s="479" t="str">
        <f ca="1">IF(OR(GS$169&lt;SwaptionFirstMonthPosition+1,$FJ180&lt;SwaptionFirstMonthPosition+1,GS$169&gt;SwaptionFirstMonthPosition+SwaptionNumOfMonths+1,$FJ180&gt;SwaptionFirstMonthPosition+SwaptionNumOfMonths+1),"",IF($FJ180=GS$169,1,IF($FJ180&lt;GS$169,INDEX($FK$170:$ID$241,GS$169,$FJ180),SUMPRODUCT(INDEX($FK$325:$ID$396,GS$169,1+SwaptionShift):INDEX($FK$325:$ID$396,GS$169,SwaptionMonthsToGo+SwaptionShift),INDEX($FK$245:$ID$316,$FJ180-GS$169,73-GS$169+SwaptionShift):INDEX($FK$245:$ID$316,$FJ180-GS$169,72-GS$169+SwaptionMonthsToGo+SwaptionShift))/SQRT(SUM(INDEX($FK335:$ID335,1+SwaptionShift):INDEX($FK335:$ID335,SwaptionMonthsToGo+SwaptionShift))*SUM(INDEX($FK$325:$ID$396,GS$169,1+SwaptionShift):INDEX($FK$325:$ID$396,GS$169,SwaptionMonthsToGo+SwaptionShift))))))</f>
        <v/>
      </c>
      <c r="GT180" s="479" t="str">
        <f ca="1">IF(OR(GT$169&lt;SwaptionFirstMonthPosition+1,$FJ180&lt;SwaptionFirstMonthPosition+1,GT$169&gt;SwaptionFirstMonthPosition+SwaptionNumOfMonths+1,$FJ180&gt;SwaptionFirstMonthPosition+SwaptionNumOfMonths+1),"",IF($FJ180=GT$169,1,IF($FJ180&lt;GT$169,INDEX($FK$170:$ID$241,GT$169,$FJ180),SUMPRODUCT(INDEX($FK$325:$ID$396,GT$169,1+SwaptionShift):INDEX($FK$325:$ID$396,GT$169,SwaptionMonthsToGo+SwaptionShift),INDEX($FK$245:$ID$316,$FJ180-GT$169,73-GT$169+SwaptionShift):INDEX($FK$245:$ID$316,$FJ180-GT$169,72-GT$169+SwaptionMonthsToGo+SwaptionShift))/SQRT(SUM(INDEX($FK335:$ID335,1+SwaptionShift):INDEX($FK335:$ID335,SwaptionMonthsToGo+SwaptionShift))*SUM(INDEX($FK$325:$ID$396,GT$169,1+SwaptionShift):INDEX($FK$325:$ID$396,GT$169,SwaptionMonthsToGo+SwaptionShift))))))</f>
        <v/>
      </c>
      <c r="GU180" s="479" t="str">
        <f ca="1">IF(OR(GU$169&lt;SwaptionFirstMonthPosition+1,$FJ180&lt;SwaptionFirstMonthPosition+1,GU$169&gt;SwaptionFirstMonthPosition+SwaptionNumOfMonths+1,$FJ180&gt;SwaptionFirstMonthPosition+SwaptionNumOfMonths+1),"",IF($FJ180=GU$169,1,IF($FJ180&lt;GU$169,INDEX($FK$170:$ID$241,GU$169,$FJ180),SUMPRODUCT(INDEX($FK$325:$ID$396,GU$169,1+SwaptionShift):INDEX($FK$325:$ID$396,GU$169,SwaptionMonthsToGo+SwaptionShift),INDEX($FK$245:$ID$316,$FJ180-GU$169,73-GU$169+SwaptionShift):INDEX($FK$245:$ID$316,$FJ180-GU$169,72-GU$169+SwaptionMonthsToGo+SwaptionShift))/SQRT(SUM(INDEX($FK335:$ID335,1+SwaptionShift):INDEX($FK335:$ID335,SwaptionMonthsToGo+SwaptionShift))*SUM(INDEX($FK$325:$ID$396,GU$169,1+SwaptionShift):INDEX($FK$325:$ID$396,GU$169,SwaptionMonthsToGo+SwaptionShift))))))</f>
        <v/>
      </c>
      <c r="GV180" s="479" t="str">
        <f ca="1">IF(OR(GV$169&lt;SwaptionFirstMonthPosition+1,$FJ180&lt;SwaptionFirstMonthPosition+1,GV$169&gt;SwaptionFirstMonthPosition+SwaptionNumOfMonths+1,$FJ180&gt;SwaptionFirstMonthPosition+SwaptionNumOfMonths+1),"",IF($FJ180=GV$169,1,IF($FJ180&lt;GV$169,INDEX($FK$170:$ID$241,GV$169,$FJ180),SUMPRODUCT(INDEX($FK$325:$ID$396,GV$169,1+SwaptionShift):INDEX($FK$325:$ID$396,GV$169,SwaptionMonthsToGo+SwaptionShift),INDEX($FK$245:$ID$316,$FJ180-GV$169,73-GV$169+SwaptionShift):INDEX($FK$245:$ID$316,$FJ180-GV$169,72-GV$169+SwaptionMonthsToGo+SwaptionShift))/SQRT(SUM(INDEX($FK335:$ID335,1+SwaptionShift):INDEX($FK335:$ID335,SwaptionMonthsToGo+SwaptionShift))*SUM(INDEX($FK$325:$ID$396,GV$169,1+SwaptionShift):INDEX($FK$325:$ID$396,GV$169,SwaptionMonthsToGo+SwaptionShift))))))</f>
        <v/>
      </c>
      <c r="GW180" s="479" t="str">
        <f ca="1">IF(OR(GW$169&lt;SwaptionFirstMonthPosition+1,$FJ180&lt;SwaptionFirstMonthPosition+1,GW$169&gt;SwaptionFirstMonthPosition+SwaptionNumOfMonths+1,$FJ180&gt;SwaptionFirstMonthPosition+SwaptionNumOfMonths+1),"",IF($FJ180=GW$169,1,IF($FJ180&lt;GW$169,INDEX($FK$170:$ID$241,GW$169,$FJ180),SUMPRODUCT(INDEX($FK$325:$ID$396,GW$169,1+SwaptionShift):INDEX($FK$325:$ID$396,GW$169,SwaptionMonthsToGo+SwaptionShift),INDEX($FK$245:$ID$316,$FJ180-GW$169,73-GW$169+SwaptionShift):INDEX($FK$245:$ID$316,$FJ180-GW$169,72-GW$169+SwaptionMonthsToGo+SwaptionShift))/SQRT(SUM(INDEX($FK335:$ID335,1+SwaptionShift):INDEX($FK335:$ID335,SwaptionMonthsToGo+SwaptionShift))*SUM(INDEX($FK$325:$ID$396,GW$169,1+SwaptionShift):INDEX($FK$325:$ID$396,GW$169,SwaptionMonthsToGo+SwaptionShift))))))</f>
        <v/>
      </c>
      <c r="GX180" s="479" t="str">
        <f ca="1">IF(OR(GX$169&lt;SwaptionFirstMonthPosition+1,$FJ180&lt;SwaptionFirstMonthPosition+1,GX$169&gt;SwaptionFirstMonthPosition+SwaptionNumOfMonths+1,$FJ180&gt;SwaptionFirstMonthPosition+SwaptionNumOfMonths+1),"",IF($FJ180=GX$169,1,IF($FJ180&lt;GX$169,INDEX($FK$170:$ID$241,GX$169,$FJ180),SUMPRODUCT(INDEX($FK$325:$ID$396,GX$169,1+SwaptionShift):INDEX($FK$325:$ID$396,GX$169,SwaptionMonthsToGo+SwaptionShift),INDEX($FK$245:$ID$316,$FJ180-GX$169,73-GX$169+SwaptionShift):INDEX($FK$245:$ID$316,$FJ180-GX$169,72-GX$169+SwaptionMonthsToGo+SwaptionShift))/SQRT(SUM(INDEX($FK335:$ID335,1+SwaptionShift):INDEX($FK335:$ID335,SwaptionMonthsToGo+SwaptionShift))*SUM(INDEX($FK$325:$ID$396,GX$169,1+SwaptionShift):INDEX($FK$325:$ID$396,GX$169,SwaptionMonthsToGo+SwaptionShift))))))</f>
        <v/>
      </c>
      <c r="GY180" s="479" t="str">
        <f ca="1">IF(OR(GY$169&lt;SwaptionFirstMonthPosition+1,$FJ180&lt;SwaptionFirstMonthPosition+1,GY$169&gt;SwaptionFirstMonthPosition+SwaptionNumOfMonths+1,$FJ180&gt;SwaptionFirstMonthPosition+SwaptionNumOfMonths+1),"",IF($FJ180=GY$169,1,IF($FJ180&lt;GY$169,INDEX($FK$170:$ID$241,GY$169,$FJ180),SUMPRODUCT(INDEX($FK$325:$ID$396,GY$169,1+SwaptionShift):INDEX($FK$325:$ID$396,GY$169,SwaptionMonthsToGo+SwaptionShift),INDEX($FK$245:$ID$316,$FJ180-GY$169,73-GY$169+SwaptionShift):INDEX($FK$245:$ID$316,$FJ180-GY$169,72-GY$169+SwaptionMonthsToGo+SwaptionShift))/SQRT(SUM(INDEX($FK335:$ID335,1+SwaptionShift):INDEX($FK335:$ID335,SwaptionMonthsToGo+SwaptionShift))*SUM(INDEX($FK$325:$ID$396,GY$169,1+SwaptionShift):INDEX($FK$325:$ID$396,GY$169,SwaptionMonthsToGo+SwaptionShift))))))</f>
        <v/>
      </c>
      <c r="GZ180" s="479" t="str">
        <f ca="1">IF(OR(GZ$169&lt;SwaptionFirstMonthPosition+1,$FJ180&lt;SwaptionFirstMonthPosition+1,GZ$169&gt;SwaptionFirstMonthPosition+SwaptionNumOfMonths+1,$FJ180&gt;SwaptionFirstMonthPosition+SwaptionNumOfMonths+1),"",IF($FJ180=GZ$169,1,IF($FJ180&lt;GZ$169,INDEX($FK$170:$ID$241,GZ$169,$FJ180),SUMPRODUCT(INDEX($FK$325:$ID$396,GZ$169,1+SwaptionShift):INDEX($FK$325:$ID$396,GZ$169,SwaptionMonthsToGo+SwaptionShift),INDEX($FK$245:$ID$316,$FJ180-GZ$169,73-GZ$169+SwaptionShift):INDEX($FK$245:$ID$316,$FJ180-GZ$169,72-GZ$169+SwaptionMonthsToGo+SwaptionShift))/SQRT(SUM(INDEX($FK335:$ID335,1+SwaptionShift):INDEX($FK335:$ID335,SwaptionMonthsToGo+SwaptionShift))*SUM(INDEX($FK$325:$ID$396,GZ$169,1+SwaptionShift):INDEX($FK$325:$ID$396,GZ$169,SwaptionMonthsToGo+SwaptionShift))))))</f>
        <v/>
      </c>
      <c r="HA180" s="479" t="str">
        <f ca="1">IF(OR(HA$169&lt;SwaptionFirstMonthPosition+1,$FJ180&lt;SwaptionFirstMonthPosition+1,HA$169&gt;SwaptionFirstMonthPosition+SwaptionNumOfMonths+1,$FJ180&gt;SwaptionFirstMonthPosition+SwaptionNumOfMonths+1),"",IF($FJ180=HA$169,1,IF($FJ180&lt;HA$169,INDEX($FK$170:$ID$241,HA$169,$FJ180),SUMPRODUCT(INDEX($FK$325:$ID$396,HA$169,1+SwaptionShift):INDEX($FK$325:$ID$396,HA$169,SwaptionMonthsToGo+SwaptionShift),INDEX($FK$245:$ID$316,$FJ180-HA$169,73-HA$169+SwaptionShift):INDEX($FK$245:$ID$316,$FJ180-HA$169,72-HA$169+SwaptionMonthsToGo+SwaptionShift))/SQRT(SUM(INDEX($FK335:$ID335,1+SwaptionShift):INDEX($FK335:$ID335,SwaptionMonthsToGo+SwaptionShift))*SUM(INDEX($FK$325:$ID$396,HA$169,1+SwaptionShift):INDEX($FK$325:$ID$396,HA$169,SwaptionMonthsToGo+SwaptionShift))))))</f>
        <v/>
      </c>
      <c r="HB180" s="479" t="str">
        <f ca="1">IF(OR(HB$169&lt;SwaptionFirstMonthPosition+1,$FJ180&lt;SwaptionFirstMonthPosition+1,HB$169&gt;SwaptionFirstMonthPosition+SwaptionNumOfMonths+1,$FJ180&gt;SwaptionFirstMonthPosition+SwaptionNumOfMonths+1),"",IF($FJ180=HB$169,1,IF($FJ180&lt;HB$169,INDEX($FK$170:$ID$241,HB$169,$FJ180),SUMPRODUCT(INDEX($FK$325:$ID$396,HB$169,1+SwaptionShift):INDEX($FK$325:$ID$396,HB$169,SwaptionMonthsToGo+SwaptionShift),INDEX($FK$245:$ID$316,$FJ180-HB$169,73-HB$169+SwaptionShift):INDEX($FK$245:$ID$316,$FJ180-HB$169,72-HB$169+SwaptionMonthsToGo+SwaptionShift))/SQRT(SUM(INDEX($FK335:$ID335,1+SwaptionShift):INDEX($FK335:$ID335,SwaptionMonthsToGo+SwaptionShift))*SUM(INDEX($FK$325:$ID$396,HB$169,1+SwaptionShift):INDEX($FK$325:$ID$396,HB$169,SwaptionMonthsToGo+SwaptionShift))))))</f>
        <v/>
      </c>
      <c r="HC180" s="479" t="str">
        <f ca="1">IF(OR(HC$169&lt;SwaptionFirstMonthPosition+1,$FJ180&lt;SwaptionFirstMonthPosition+1,HC$169&gt;SwaptionFirstMonthPosition+SwaptionNumOfMonths+1,$FJ180&gt;SwaptionFirstMonthPosition+SwaptionNumOfMonths+1),"",IF($FJ180=HC$169,1,IF($FJ180&lt;HC$169,INDEX($FK$170:$ID$241,HC$169,$FJ180),SUMPRODUCT(INDEX($FK$325:$ID$396,HC$169,1+SwaptionShift):INDEX($FK$325:$ID$396,HC$169,SwaptionMonthsToGo+SwaptionShift),INDEX($FK$245:$ID$316,$FJ180-HC$169,73-HC$169+SwaptionShift):INDEX($FK$245:$ID$316,$FJ180-HC$169,72-HC$169+SwaptionMonthsToGo+SwaptionShift))/SQRT(SUM(INDEX($FK335:$ID335,1+SwaptionShift):INDEX($FK335:$ID335,SwaptionMonthsToGo+SwaptionShift))*SUM(INDEX($FK$325:$ID$396,HC$169,1+SwaptionShift):INDEX($FK$325:$ID$396,HC$169,SwaptionMonthsToGo+SwaptionShift))))))</f>
        <v/>
      </c>
      <c r="HD180" s="479" t="str">
        <f ca="1">IF(OR(HD$169&lt;SwaptionFirstMonthPosition+1,$FJ180&lt;SwaptionFirstMonthPosition+1,HD$169&gt;SwaptionFirstMonthPosition+SwaptionNumOfMonths+1,$FJ180&gt;SwaptionFirstMonthPosition+SwaptionNumOfMonths+1),"",IF($FJ180=HD$169,1,IF($FJ180&lt;HD$169,INDEX($FK$170:$ID$241,HD$169,$FJ180),SUMPRODUCT(INDEX($FK$325:$ID$396,HD$169,1+SwaptionShift):INDEX($FK$325:$ID$396,HD$169,SwaptionMonthsToGo+SwaptionShift),INDEX($FK$245:$ID$316,$FJ180-HD$169,73-HD$169+SwaptionShift):INDEX($FK$245:$ID$316,$FJ180-HD$169,72-HD$169+SwaptionMonthsToGo+SwaptionShift))/SQRT(SUM(INDEX($FK335:$ID335,1+SwaptionShift):INDEX($FK335:$ID335,SwaptionMonthsToGo+SwaptionShift))*SUM(INDEX($FK$325:$ID$396,HD$169,1+SwaptionShift):INDEX($FK$325:$ID$396,HD$169,SwaptionMonthsToGo+SwaptionShift))))))</f>
        <v/>
      </c>
      <c r="HE180" s="479" t="str">
        <f ca="1">IF(OR(HE$169&lt;SwaptionFirstMonthPosition+1,$FJ180&lt;SwaptionFirstMonthPosition+1,HE$169&gt;SwaptionFirstMonthPosition+SwaptionNumOfMonths+1,$FJ180&gt;SwaptionFirstMonthPosition+SwaptionNumOfMonths+1),"",IF($FJ180=HE$169,1,IF($FJ180&lt;HE$169,INDEX($FK$170:$ID$241,HE$169,$FJ180),SUMPRODUCT(INDEX($FK$325:$ID$396,HE$169,1+SwaptionShift):INDEX($FK$325:$ID$396,HE$169,SwaptionMonthsToGo+SwaptionShift),INDEX($FK$245:$ID$316,$FJ180-HE$169,73-HE$169+SwaptionShift):INDEX($FK$245:$ID$316,$FJ180-HE$169,72-HE$169+SwaptionMonthsToGo+SwaptionShift))/SQRT(SUM(INDEX($FK335:$ID335,1+SwaptionShift):INDEX($FK335:$ID335,SwaptionMonthsToGo+SwaptionShift))*SUM(INDEX($FK$325:$ID$396,HE$169,1+SwaptionShift):INDEX($FK$325:$ID$396,HE$169,SwaptionMonthsToGo+SwaptionShift))))))</f>
        <v/>
      </c>
      <c r="HF180" s="479" t="str">
        <f ca="1">IF(OR(HF$169&lt;SwaptionFirstMonthPosition+1,$FJ180&lt;SwaptionFirstMonthPosition+1,HF$169&gt;SwaptionFirstMonthPosition+SwaptionNumOfMonths+1,$FJ180&gt;SwaptionFirstMonthPosition+SwaptionNumOfMonths+1),"",IF($FJ180=HF$169,1,IF($FJ180&lt;HF$169,INDEX($FK$170:$ID$241,HF$169,$FJ180),SUMPRODUCT(INDEX($FK$325:$ID$396,HF$169,1+SwaptionShift):INDEX($FK$325:$ID$396,HF$169,SwaptionMonthsToGo+SwaptionShift),INDEX($FK$245:$ID$316,$FJ180-HF$169,73-HF$169+SwaptionShift):INDEX($FK$245:$ID$316,$FJ180-HF$169,72-HF$169+SwaptionMonthsToGo+SwaptionShift))/SQRT(SUM(INDEX($FK335:$ID335,1+SwaptionShift):INDEX($FK335:$ID335,SwaptionMonthsToGo+SwaptionShift))*SUM(INDEX($FK$325:$ID$396,HF$169,1+SwaptionShift):INDEX($FK$325:$ID$396,HF$169,SwaptionMonthsToGo+SwaptionShift))))))</f>
        <v/>
      </c>
      <c r="HG180" s="479" t="str">
        <f ca="1">IF(OR(HG$169&lt;SwaptionFirstMonthPosition+1,$FJ180&lt;SwaptionFirstMonthPosition+1,HG$169&gt;SwaptionFirstMonthPosition+SwaptionNumOfMonths+1,$FJ180&gt;SwaptionFirstMonthPosition+SwaptionNumOfMonths+1),"",IF($FJ180=HG$169,1,IF($FJ180&lt;HG$169,INDEX($FK$170:$ID$241,HG$169,$FJ180),SUMPRODUCT(INDEX($FK$325:$ID$396,HG$169,1+SwaptionShift):INDEX($FK$325:$ID$396,HG$169,SwaptionMonthsToGo+SwaptionShift),INDEX($FK$245:$ID$316,$FJ180-HG$169,73-HG$169+SwaptionShift):INDEX($FK$245:$ID$316,$FJ180-HG$169,72-HG$169+SwaptionMonthsToGo+SwaptionShift))/SQRT(SUM(INDEX($FK335:$ID335,1+SwaptionShift):INDEX($FK335:$ID335,SwaptionMonthsToGo+SwaptionShift))*SUM(INDEX($FK$325:$ID$396,HG$169,1+SwaptionShift):INDEX($FK$325:$ID$396,HG$169,SwaptionMonthsToGo+SwaptionShift))))))</f>
        <v/>
      </c>
      <c r="HH180" s="479" t="str">
        <f ca="1">IF(OR(HH$169&lt;SwaptionFirstMonthPosition+1,$FJ180&lt;SwaptionFirstMonthPosition+1,HH$169&gt;SwaptionFirstMonthPosition+SwaptionNumOfMonths+1,$FJ180&gt;SwaptionFirstMonthPosition+SwaptionNumOfMonths+1),"",IF($FJ180=HH$169,1,IF($FJ180&lt;HH$169,INDEX($FK$170:$ID$241,HH$169,$FJ180),SUMPRODUCT(INDEX($FK$325:$ID$396,HH$169,1+SwaptionShift):INDEX($FK$325:$ID$396,HH$169,SwaptionMonthsToGo+SwaptionShift),INDEX($FK$245:$ID$316,$FJ180-HH$169,73-HH$169+SwaptionShift):INDEX($FK$245:$ID$316,$FJ180-HH$169,72-HH$169+SwaptionMonthsToGo+SwaptionShift))/SQRT(SUM(INDEX($FK335:$ID335,1+SwaptionShift):INDEX($FK335:$ID335,SwaptionMonthsToGo+SwaptionShift))*SUM(INDEX($FK$325:$ID$396,HH$169,1+SwaptionShift):INDEX($FK$325:$ID$396,HH$169,SwaptionMonthsToGo+SwaptionShift))))))</f>
        <v/>
      </c>
      <c r="HI180" s="479" t="str">
        <f ca="1">IF(OR(HI$169&lt;SwaptionFirstMonthPosition+1,$FJ180&lt;SwaptionFirstMonthPosition+1,HI$169&gt;SwaptionFirstMonthPosition+SwaptionNumOfMonths+1,$FJ180&gt;SwaptionFirstMonthPosition+SwaptionNumOfMonths+1),"",IF($FJ180=HI$169,1,IF($FJ180&lt;HI$169,INDEX($FK$170:$ID$241,HI$169,$FJ180),SUMPRODUCT(INDEX($FK$325:$ID$396,HI$169,1+SwaptionShift):INDEX($FK$325:$ID$396,HI$169,SwaptionMonthsToGo+SwaptionShift),INDEX($FK$245:$ID$316,$FJ180-HI$169,73-HI$169+SwaptionShift):INDEX($FK$245:$ID$316,$FJ180-HI$169,72-HI$169+SwaptionMonthsToGo+SwaptionShift))/SQRT(SUM(INDEX($FK335:$ID335,1+SwaptionShift):INDEX($FK335:$ID335,SwaptionMonthsToGo+SwaptionShift))*SUM(INDEX($FK$325:$ID$396,HI$169,1+SwaptionShift):INDEX($FK$325:$ID$396,HI$169,SwaptionMonthsToGo+SwaptionShift))))))</f>
        <v/>
      </c>
      <c r="HJ180" s="479" t="str">
        <f ca="1">IF(OR(HJ$169&lt;SwaptionFirstMonthPosition+1,$FJ180&lt;SwaptionFirstMonthPosition+1,HJ$169&gt;SwaptionFirstMonthPosition+SwaptionNumOfMonths+1,$FJ180&gt;SwaptionFirstMonthPosition+SwaptionNumOfMonths+1),"",IF($FJ180=HJ$169,1,IF($FJ180&lt;HJ$169,INDEX($FK$170:$ID$241,HJ$169,$FJ180),SUMPRODUCT(INDEX($FK$325:$ID$396,HJ$169,1+SwaptionShift):INDEX($FK$325:$ID$396,HJ$169,SwaptionMonthsToGo+SwaptionShift),INDEX($FK$245:$ID$316,$FJ180-HJ$169,73-HJ$169+SwaptionShift):INDEX($FK$245:$ID$316,$FJ180-HJ$169,72-HJ$169+SwaptionMonthsToGo+SwaptionShift))/SQRT(SUM(INDEX($FK335:$ID335,1+SwaptionShift):INDEX($FK335:$ID335,SwaptionMonthsToGo+SwaptionShift))*SUM(INDEX($FK$325:$ID$396,HJ$169,1+SwaptionShift):INDEX($FK$325:$ID$396,HJ$169,SwaptionMonthsToGo+SwaptionShift))))))</f>
        <v/>
      </c>
      <c r="HK180" s="479" t="str">
        <f ca="1">IF(OR(HK$169&lt;SwaptionFirstMonthPosition+1,$FJ180&lt;SwaptionFirstMonthPosition+1,HK$169&gt;SwaptionFirstMonthPosition+SwaptionNumOfMonths+1,$FJ180&gt;SwaptionFirstMonthPosition+SwaptionNumOfMonths+1),"",IF($FJ180=HK$169,1,IF($FJ180&lt;HK$169,INDEX($FK$170:$ID$241,HK$169,$FJ180),SUMPRODUCT(INDEX($FK$325:$ID$396,HK$169,1+SwaptionShift):INDEX($FK$325:$ID$396,HK$169,SwaptionMonthsToGo+SwaptionShift),INDEX($FK$245:$ID$316,$FJ180-HK$169,73-HK$169+SwaptionShift):INDEX($FK$245:$ID$316,$FJ180-HK$169,72-HK$169+SwaptionMonthsToGo+SwaptionShift))/SQRT(SUM(INDEX($FK335:$ID335,1+SwaptionShift):INDEX($FK335:$ID335,SwaptionMonthsToGo+SwaptionShift))*SUM(INDEX($FK$325:$ID$396,HK$169,1+SwaptionShift):INDEX($FK$325:$ID$396,HK$169,SwaptionMonthsToGo+SwaptionShift))))))</f>
        <v/>
      </c>
      <c r="HL180" s="479" t="str">
        <f ca="1">IF(OR(HL$169&lt;SwaptionFirstMonthPosition+1,$FJ180&lt;SwaptionFirstMonthPosition+1,HL$169&gt;SwaptionFirstMonthPosition+SwaptionNumOfMonths+1,$FJ180&gt;SwaptionFirstMonthPosition+SwaptionNumOfMonths+1),"",IF($FJ180=HL$169,1,IF($FJ180&lt;HL$169,INDEX($FK$170:$ID$241,HL$169,$FJ180),SUMPRODUCT(INDEX($FK$325:$ID$396,HL$169,1+SwaptionShift):INDEX($FK$325:$ID$396,HL$169,SwaptionMonthsToGo+SwaptionShift),INDEX($FK$245:$ID$316,$FJ180-HL$169,73-HL$169+SwaptionShift):INDEX($FK$245:$ID$316,$FJ180-HL$169,72-HL$169+SwaptionMonthsToGo+SwaptionShift))/SQRT(SUM(INDEX($FK335:$ID335,1+SwaptionShift):INDEX($FK335:$ID335,SwaptionMonthsToGo+SwaptionShift))*SUM(INDEX($FK$325:$ID$396,HL$169,1+SwaptionShift):INDEX($FK$325:$ID$396,HL$169,SwaptionMonthsToGo+SwaptionShift))))))</f>
        <v/>
      </c>
      <c r="HM180" s="479" t="str">
        <f ca="1">IF(OR(HM$169&lt;SwaptionFirstMonthPosition+1,$FJ180&lt;SwaptionFirstMonthPosition+1,HM$169&gt;SwaptionFirstMonthPosition+SwaptionNumOfMonths+1,$FJ180&gt;SwaptionFirstMonthPosition+SwaptionNumOfMonths+1),"",IF($FJ180=HM$169,1,IF($FJ180&lt;HM$169,INDEX($FK$170:$ID$241,HM$169,$FJ180),SUMPRODUCT(INDEX($FK$325:$ID$396,HM$169,1+SwaptionShift):INDEX($FK$325:$ID$396,HM$169,SwaptionMonthsToGo+SwaptionShift),INDEX($FK$245:$ID$316,$FJ180-HM$169,73-HM$169+SwaptionShift):INDEX($FK$245:$ID$316,$FJ180-HM$169,72-HM$169+SwaptionMonthsToGo+SwaptionShift))/SQRT(SUM(INDEX($FK335:$ID335,1+SwaptionShift):INDEX($FK335:$ID335,SwaptionMonthsToGo+SwaptionShift))*SUM(INDEX($FK$325:$ID$396,HM$169,1+SwaptionShift):INDEX($FK$325:$ID$396,HM$169,SwaptionMonthsToGo+SwaptionShift))))))</f>
        <v/>
      </c>
      <c r="HN180" s="479" t="str">
        <f ca="1">IF(OR(HN$169&lt;SwaptionFirstMonthPosition+1,$FJ180&lt;SwaptionFirstMonthPosition+1,HN$169&gt;SwaptionFirstMonthPosition+SwaptionNumOfMonths+1,$FJ180&gt;SwaptionFirstMonthPosition+SwaptionNumOfMonths+1),"",IF($FJ180=HN$169,1,IF($FJ180&lt;HN$169,INDEX($FK$170:$ID$241,HN$169,$FJ180),SUMPRODUCT(INDEX($FK$325:$ID$396,HN$169,1+SwaptionShift):INDEX($FK$325:$ID$396,HN$169,SwaptionMonthsToGo+SwaptionShift),INDEX($FK$245:$ID$316,$FJ180-HN$169,73-HN$169+SwaptionShift):INDEX($FK$245:$ID$316,$FJ180-HN$169,72-HN$169+SwaptionMonthsToGo+SwaptionShift))/SQRT(SUM(INDEX($FK335:$ID335,1+SwaptionShift):INDEX($FK335:$ID335,SwaptionMonthsToGo+SwaptionShift))*SUM(INDEX($FK$325:$ID$396,HN$169,1+SwaptionShift):INDEX($FK$325:$ID$396,HN$169,SwaptionMonthsToGo+SwaptionShift))))))</f>
        <v/>
      </c>
      <c r="HO180" s="479" t="str">
        <f ca="1">IF(OR(HO$169&lt;SwaptionFirstMonthPosition+1,$FJ180&lt;SwaptionFirstMonthPosition+1,HO$169&gt;SwaptionFirstMonthPosition+SwaptionNumOfMonths+1,$FJ180&gt;SwaptionFirstMonthPosition+SwaptionNumOfMonths+1),"",IF($FJ180=HO$169,1,IF($FJ180&lt;HO$169,INDEX($FK$170:$ID$241,HO$169,$FJ180),SUMPRODUCT(INDEX($FK$325:$ID$396,HO$169,1+SwaptionShift):INDEX($FK$325:$ID$396,HO$169,SwaptionMonthsToGo+SwaptionShift),INDEX($FK$245:$ID$316,$FJ180-HO$169,73-HO$169+SwaptionShift):INDEX($FK$245:$ID$316,$FJ180-HO$169,72-HO$169+SwaptionMonthsToGo+SwaptionShift))/SQRT(SUM(INDEX($FK335:$ID335,1+SwaptionShift):INDEX($FK335:$ID335,SwaptionMonthsToGo+SwaptionShift))*SUM(INDEX($FK$325:$ID$396,HO$169,1+SwaptionShift):INDEX($FK$325:$ID$396,HO$169,SwaptionMonthsToGo+SwaptionShift))))))</f>
        <v/>
      </c>
      <c r="HP180" s="479" t="str">
        <f ca="1">IF(OR(HP$169&lt;SwaptionFirstMonthPosition+1,$FJ180&lt;SwaptionFirstMonthPosition+1,HP$169&gt;SwaptionFirstMonthPosition+SwaptionNumOfMonths+1,$FJ180&gt;SwaptionFirstMonthPosition+SwaptionNumOfMonths+1),"",IF($FJ180=HP$169,1,IF($FJ180&lt;HP$169,INDEX($FK$170:$ID$241,HP$169,$FJ180),SUMPRODUCT(INDEX($FK$325:$ID$396,HP$169,1+SwaptionShift):INDEX($FK$325:$ID$396,HP$169,SwaptionMonthsToGo+SwaptionShift),INDEX($FK$245:$ID$316,$FJ180-HP$169,73-HP$169+SwaptionShift):INDEX($FK$245:$ID$316,$FJ180-HP$169,72-HP$169+SwaptionMonthsToGo+SwaptionShift))/SQRT(SUM(INDEX($FK335:$ID335,1+SwaptionShift):INDEX($FK335:$ID335,SwaptionMonthsToGo+SwaptionShift))*SUM(INDEX($FK$325:$ID$396,HP$169,1+SwaptionShift):INDEX($FK$325:$ID$396,HP$169,SwaptionMonthsToGo+SwaptionShift))))))</f>
        <v/>
      </c>
      <c r="HQ180" s="479" t="str">
        <f ca="1">IF(OR(HQ$169&lt;SwaptionFirstMonthPosition+1,$FJ180&lt;SwaptionFirstMonthPosition+1,HQ$169&gt;SwaptionFirstMonthPosition+SwaptionNumOfMonths+1,$FJ180&gt;SwaptionFirstMonthPosition+SwaptionNumOfMonths+1),"",IF($FJ180=HQ$169,1,IF($FJ180&lt;HQ$169,INDEX($FK$170:$ID$241,HQ$169,$FJ180),SUMPRODUCT(INDEX($FK$325:$ID$396,HQ$169,1+SwaptionShift):INDEX($FK$325:$ID$396,HQ$169,SwaptionMonthsToGo+SwaptionShift),INDEX($FK$245:$ID$316,$FJ180-HQ$169,73-HQ$169+SwaptionShift):INDEX($FK$245:$ID$316,$FJ180-HQ$169,72-HQ$169+SwaptionMonthsToGo+SwaptionShift))/SQRT(SUM(INDEX($FK335:$ID335,1+SwaptionShift):INDEX($FK335:$ID335,SwaptionMonthsToGo+SwaptionShift))*SUM(INDEX($FK$325:$ID$396,HQ$169,1+SwaptionShift):INDEX($FK$325:$ID$396,HQ$169,SwaptionMonthsToGo+SwaptionShift))))))</f>
        <v/>
      </c>
      <c r="HR180" s="479" t="str">
        <f ca="1">IF(OR(HR$169&lt;SwaptionFirstMonthPosition+1,$FJ180&lt;SwaptionFirstMonthPosition+1,HR$169&gt;SwaptionFirstMonthPosition+SwaptionNumOfMonths+1,$FJ180&gt;SwaptionFirstMonthPosition+SwaptionNumOfMonths+1),"",IF($FJ180=HR$169,1,IF($FJ180&lt;HR$169,INDEX($FK$170:$ID$241,HR$169,$FJ180),SUMPRODUCT(INDEX($FK$325:$ID$396,HR$169,1+SwaptionShift):INDEX($FK$325:$ID$396,HR$169,SwaptionMonthsToGo+SwaptionShift),INDEX($FK$245:$ID$316,$FJ180-HR$169,73-HR$169+SwaptionShift):INDEX($FK$245:$ID$316,$FJ180-HR$169,72-HR$169+SwaptionMonthsToGo+SwaptionShift))/SQRT(SUM(INDEX($FK335:$ID335,1+SwaptionShift):INDEX($FK335:$ID335,SwaptionMonthsToGo+SwaptionShift))*SUM(INDEX($FK$325:$ID$396,HR$169,1+SwaptionShift):INDEX($FK$325:$ID$396,HR$169,SwaptionMonthsToGo+SwaptionShift))))))</f>
        <v/>
      </c>
      <c r="HS180" s="479" t="str">
        <f ca="1">IF(OR(HS$169&lt;SwaptionFirstMonthPosition+1,$FJ180&lt;SwaptionFirstMonthPosition+1,HS$169&gt;SwaptionFirstMonthPosition+SwaptionNumOfMonths+1,$FJ180&gt;SwaptionFirstMonthPosition+SwaptionNumOfMonths+1),"",IF($FJ180=HS$169,1,IF($FJ180&lt;HS$169,INDEX($FK$170:$ID$241,HS$169,$FJ180),SUMPRODUCT(INDEX($FK$325:$ID$396,HS$169,1+SwaptionShift):INDEX($FK$325:$ID$396,HS$169,SwaptionMonthsToGo+SwaptionShift),INDEX($FK$245:$ID$316,$FJ180-HS$169,73-HS$169+SwaptionShift):INDEX($FK$245:$ID$316,$FJ180-HS$169,72-HS$169+SwaptionMonthsToGo+SwaptionShift))/SQRT(SUM(INDEX($FK335:$ID335,1+SwaptionShift):INDEX($FK335:$ID335,SwaptionMonthsToGo+SwaptionShift))*SUM(INDEX($FK$325:$ID$396,HS$169,1+SwaptionShift):INDEX($FK$325:$ID$396,HS$169,SwaptionMonthsToGo+SwaptionShift))))))</f>
        <v/>
      </c>
      <c r="HT180" s="479" t="str">
        <f ca="1">IF(OR(HT$169&lt;SwaptionFirstMonthPosition+1,$FJ180&lt;SwaptionFirstMonthPosition+1,HT$169&gt;SwaptionFirstMonthPosition+SwaptionNumOfMonths+1,$FJ180&gt;SwaptionFirstMonthPosition+SwaptionNumOfMonths+1),"",IF($FJ180=HT$169,1,IF($FJ180&lt;HT$169,INDEX($FK$170:$ID$241,HT$169,$FJ180),SUMPRODUCT(INDEX($FK$325:$ID$396,HT$169,1+SwaptionShift):INDEX($FK$325:$ID$396,HT$169,SwaptionMonthsToGo+SwaptionShift),INDEX($FK$245:$ID$316,$FJ180-HT$169,73-HT$169+SwaptionShift):INDEX($FK$245:$ID$316,$FJ180-HT$169,72-HT$169+SwaptionMonthsToGo+SwaptionShift))/SQRT(SUM(INDEX($FK335:$ID335,1+SwaptionShift):INDEX($FK335:$ID335,SwaptionMonthsToGo+SwaptionShift))*SUM(INDEX($FK$325:$ID$396,HT$169,1+SwaptionShift):INDEX($FK$325:$ID$396,HT$169,SwaptionMonthsToGo+SwaptionShift))))))</f>
        <v/>
      </c>
      <c r="HU180" s="479" t="str">
        <f ca="1">IF(OR(HU$169&lt;SwaptionFirstMonthPosition+1,$FJ180&lt;SwaptionFirstMonthPosition+1,HU$169&gt;SwaptionFirstMonthPosition+SwaptionNumOfMonths+1,$FJ180&gt;SwaptionFirstMonthPosition+SwaptionNumOfMonths+1),"",IF($FJ180=HU$169,1,IF($FJ180&lt;HU$169,INDEX($FK$170:$ID$241,HU$169,$FJ180),SUMPRODUCT(INDEX($FK$325:$ID$396,HU$169,1+SwaptionShift):INDEX($FK$325:$ID$396,HU$169,SwaptionMonthsToGo+SwaptionShift),INDEX($FK$245:$ID$316,$FJ180-HU$169,73-HU$169+SwaptionShift):INDEX($FK$245:$ID$316,$FJ180-HU$169,72-HU$169+SwaptionMonthsToGo+SwaptionShift))/SQRT(SUM(INDEX($FK335:$ID335,1+SwaptionShift):INDEX($FK335:$ID335,SwaptionMonthsToGo+SwaptionShift))*SUM(INDEX($FK$325:$ID$396,HU$169,1+SwaptionShift):INDEX($FK$325:$ID$396,HU$169,SwaptionMonthsToGo+SwaptionShift))))))</f>
        <v/>
      </c>
      <c r="HV180" s="479" t="str">
        <f ca="1">IF(OR(HV$169&lt;SwaptionFirstMonthPosition+1,$FJ180&lt;SwaptionFirstMonthPosition+1,HV$169&gt;SwaptionFirstMonthPosition+SwaptionNumOfMonths+1,$FJ180&gt;SwaptionFirstMonthPosition+SwaptionNumOfMonths+1),"",IF($FJ180=HV$169,1,IF($FJ180&lt;HV$169,INDEX($FK$170:$ID$241,HV$169,$FJ180),SUMPRODUCT(INDEX($FK$325:$ID$396,HV$169,1+SwaptionShift):INDEX($FK$325:$ID$396,HV$169,SwaptionMonthsToGo+SwaptionShift),INDEX($FK$245:$ID$316,$FJ180-HV$169,73-HV$169+SwaptionShift):INDEX($FK$245:$ID$316,$FJ180-HV$169,72-HV$169+SwaptionMonthsToGo+SwaptionShift))/SQRT(SUM(INDEX($FK335:$ID335,1+SwaptionShift):INDEX($FK335:$ID335,SwaptionMonthsToGo+SwaptionShift))*SUM(INDEX($FK$325:$ID$396,HV$169,1+SwaptionShift):INDEX($FK$325:$ID$396,HV$169,SwaptionMonthsToGo+SwaptionShift))))))</f>
        <v/>
      </c>
      <c r="HW180" s="479" t="str">
        <f ca="1">IF(OR(HW$169&lt;SwaptionFirstMonthPosition+1,$FJ180&lt;SwaptionFirstMonthPosition+1,HW$169&gt;SwaptionFirstMonthPosition+SwaptionNumOfMonths+1,$FJ180&gt;SwaptionFirstMonthPosition+SwaptionNumOfMonths+1),"",IF($FJ180=HW$169,1,IF($FJ180&lt;HW$169,INDEX($FK$170:$ID$241,HW$169,$FJ180),SUMPRODUCT(INDEX($FK$325:$ID$396,HW$169,1+SwaptionShift):INDEX($FK$325:$ID$396,HW$169,SwaptionMonthsToGo+SwaptionShift),INDEX($FK$245:$ID$316,$FJ180-HW$169,73-HW$169+SwaptionShift):INDEX($FK$245:$ID$316,$FJ180-HW$169,72-HW$169+SwaptionMonthsToGo+SwaptionShift))/SQRT(SUM(INDEX($FK335:$ID335,1+SwaptionShift):INDEX($FK335:$ID335,SwaptionMonthsToGo+SwaptionShift))*SUM(INDEX($FK$325:$ID$396,HW$169,1+SwaptionShift):INDEX($FK$325:$ID$396,HW$169,SwaptionMonthsToGo+SwaptionShift))))))</f>
        <v/>
      </c>
      <c r="HX180" s="479" t="str">
        <f ca="1">IF(OR(HX$169&lt;SwaptionFirstMonthPosition+1,$FJ180&lt;SwaptionFirstMonthPosition+1,HX$169&gt;SwaptionFirstMonthPosition+SwaptionNumOfMonths+1,$FJ180&gt;SwaptionFirstMonthPosition+SwaptionNumOfMonths+1),"",IF($FJ180=HX$169,1,IF($FJ180&lt;HX$169,INDEX($FK$170:$ID$241,HX$169,$FJ180),SUMPRODUCT(INDEX($FK$325:$ID$396,HX$169,1+SwaptionShift):INDEX($FK$325:$ID$396,HX$169,SwaptionMonthsToGo+SwaptionShift),INDEX($FK$245:$ID$316,$FJ180-HX$169,73-HX$169+SwaptionShift):INDEX($FK$245:$ID$316,$FJ180-HX$169,72-HX$169+SwaptionMonthsToGo+SwaptionShift))/SQRT(SUM(INDEX($FK335:$ID335,1+SwaptionShift):INDEX($FK335:$ID335,SwaptionMonthsToGo+SwaptionShift))*SUM(INDEX($FK$325:$ID$396,HX$169,1+SwaptionShift):INDEX($FK$325:$ID$396,HX$169,SwaptionMonthsToGo+SwaptionShift))))))</f>
        <v/>
      </c>
      <c r="HY180" s="479" t="str">
        <f ca="1">IF(OR(HY$169&lt;SwaptionFirstMonthPosition+1,$FJ180&lt;SwaptionFirstMonthPosition+1,HY$169&gt;SwaptionFirstMonthPosition+SwaptionNumOfMonths+1,$FJ180&gt;SwaptionFirstMonthPosition+SwaptionNumOfMonths+1),"",IF($FJ180=HY$169,1,IF($FJ180&lt;HY$169,INDEX($FK$170:$ID$241,HY$169,$FJ180),SUMPRODUCT(INDEX($FK$325:$ID$396,HY$169,1+SwaptionShift):INDEX($FK$325:$ID$396,HY$169,SwaptionMonthsToGo+SwaptionShift),INDEX($FK$245:$ID$316,$FJ180-HY$169,73-HY$169+SwaptionShift):INDEX($FK$245:$ID$316,$FJ180-HY$169,72-HY$169+SwaptionMonthsToGo+SwaptionShift))/SQRT(SUM(INDEX($FK335:$ID335,1+SwaptionShift):INDEX($FK335:$ID335,SwaptionMonthsToGo+SwaptionShift))*SUM(INDEX($FK$325:$ID$396,HY$169,1+SwaptionShift):INDEX($FK$325:$ID$396,HY$169,SwaptionMonthsToGo+SwaptionShift))))))</f>
        <v/>
      </c>
      <c r="HZ180" s="479" t="str">
        <f ca="1">IF(OR(HZ$169&lt;SwaptionFirstMonthPosition+1,$FJ180&lt;SwaptionFirstMonthPosition+1,HZ$169&gt;SwaptionFirstMonthPosition+SwaptionNumOfMonths+1,$FJ180&gt;SwaptionFirstMonthPosition+SwaptionNumOfMonths+1),"",IF($FJ180=HZ$169,1,IF($FJ180&lt;HZ$169,INDEX($FK$170:$ID$241,HZ$169,$FJ180),SUMPRODUCT(INDEX($FK$325:$ID$396,HZ$169,1+SwaptionShift):INDEX($FK$325:$ID$396,HZ$169,SwaptionMonthsToGo+SwaptionShift),INDEX($FK$245:$ID$316,$FJ180-HZ$169,73-HZ$169+SwaptionShift):INDEX($FK$245:$ID$316,$FJ180-HZ$169,72-HZ$169+SwaptionMonthsToGo+SwaptionShift))/SQRT(SUM(INDEX($FK335:$ID335,1+SwaptionShift):INDEX($FK335:$ID335,SwaptionMonthsToGo+SwaptionShift))*SUM(INDEX($FK$325:$ID$396,HZ$169,1+SwaptionShift):INDEX($FK$325:$ID$396,HZ$169,SwaptionMonthsToGo+SwaptionShift))))))</f>
        <v/>
      </c>
      <c r="IA180" s="479" t="str">
        <f ca="1">IF(OR(IA$169&lt;SwaptionFirstMonthPosition+1,$FJ180&lt;SwaptionFirstMonthPosition+1,IA$169&gt;SwaptionFirstMonthPosition+SwaptionNumOfMonths+1,$FJ180&gt;SwaptionFirstMonthPosition+SwaptionNumOfMonths+1),"",IF($FJ180=IA$169,1,IF($FJ180&lt;IA$169,INDEX($FK$170:$ID$241,IA$169,$FJ180),SUMPRODUCT(INDEX($FK$325:$ID$396,IA$169,1+SwaptionShift):INDEX($FK$325:$ID$396,IA$169,SwaptionMonthsToGo+SwaptionShift),INDEX($FK$245:$ID$316,$FJ180-IA$169,73-IA$169+SwaptionShift):INDEX($FK$245:$ID$316,$FJ180-IA$169,72-IA$169+SwaptionMonthsToGo+SwaptionShift))/SQRT(SUM(INDEX($FK335:$ID335,1+SwaptionShift):INDEX($FK335:$ID335,SwaptionMonthsToGo+SwaptionShift))*SUM(INDEX($FK$325:$ID$396,IA$169,1+SwaptionShift):INDEX($FK$325:$ID$396,IA$169,SwaptionMonthsToGo+SwaptionShift))))))</f>
        <v/>
      </c>
      <c r="IB180" s="479" t="str">
        <f ca="1">IF(OR(IB$169&lt;SwaptionFirstMonthPosition+1,$FJ180&lt;SwaptionFirstMonthPosition+1,IB$169&gt;SwaptionFirstMonthPosition+SwaptionNumOfMonths+1,$FJ180&gt;SwaptionFirstMonthPosition+SwaptionNumOfMonths+1),"",IF($FJ180=IB$169,1,IF($FJ180&lt;IB$169,INDEX($FK$170:$ID$241,IB$169,$FJ180),SUMPRODUCT(INDEX($FK$325:$ID$396,IB$169,1+SwaptionShift):INDEX($FK$325:$ID$396,IB$169,SwaptionMonthsToGo+SwaptionShift),INDEX($FK$245:$ID$316,$FJ180-IB$169,73-IB$169+SwaptionShift):INDEX($FK$245:$ID$316,$FJ180-IB$169,72-IB$169+SwaptionMonthsToGo+SwaptionShift))/SQRT(SUM(INDEX($FK335:$ID335,1+SwaptionShift):INDEX($FK335:$ID335,SwaptionMonthsToGo+SwaptionShift))*SUM(INDEX($FK$325:$ID$396,IB$169,1+SwaptionShift):INDEX($FK$325:$ID$396,IB$169,SwaptionMonthsToGo+SwaptionShift))))))</f>
        <v/>
      </c>
      <c r="IC180" s="479" t="str">
        <f ca="1">IF(OR(IC$169&lt;SwaptionFirstMonthPosition+1,$FJ180&lt;SwaptionFirstMonthPosition+1,IC$169&gt;SwaptionFirstMonthPosition+SwaptionNumOfMonths+1,$FJ180&gt;SwaptionFirstMonthPosition+SwaptionNumOfMonths+1),"",IF($FJ180=IC$169,1,IF($FJ180&lt;IC$169,INDEX($FK$170:$ID$241,IC$169,$FJ180),SUMPRODUCT(INDEX($FK$325:$ID$396,IC$169,1+SwaptionShift):INDEX($FK$325:$ID$396,IC$169,SwaptionMonthsToGo+SwaptionShift),INDEX($FK$245:$ID$316,$FJ180-IC$169,73-IC$169+SwaptionShift):INDEX($FK$245:$ID$316,$FJ180-IC$169,72-IC$169+SwaptionMonthsToGo+SwaptionShift))/SQRT(SUM(INDEX($FK335:$ID335,1+SwaptionShift):INDEX($FK335:$ID335,SwaptionMonthsToGo+SwaptionShift))*SUM(INDEX($FK$325:$ID$396,IC$169,1+SwaptionShift):INDEX($FK$325:$ID$396,IC$169,SwaptionMonthsToGo+SwaptionShift))))))</f>
        <v/>
      </c>
      <c r="ID180" s="678" t="str">
        <f ca="1">IF(OR(ID$169&lt;SwaptionFirstMonthPosition+1,$FJ180&lt;SwaptionFirstMonthPosition+1,ID$169&gt;SwaptionFirstMonthPosition+SwaptionNumOfMonths+1,$FJ180&gt;SwaptionFirstMonthPosition+SwaptionNumOfMonths+1),"",IF($FJ180=ID$169,1,IF($FJ180&lt;ID$169,INDEX($FK$170:$ID$241,ID$169,$FJ180),SUMPRODUCT(INDEX($FK$325:$ID$396,ID$169,1+SwaptionShift):INDEX($FK$325:$ID$396,ID$169,SwaptionMonthsToGo+SwaptionShift),INDEX($FK$245:$ID$316,$FJ180-ID$169,73-ID$169+SwaptionShift):INDEX($FK$245:$ID$316,$FJ180-ID$169,72-ID$169+SwaptionMonthsToGo+SwaptionShift))/SQRT(SUM(INDEX($FK335:$ID335,1+SwaptionShift):INDEX($FK335:$ID335,SwaptionMonthsToGo+SwaptionShift))*SUM(INDEX($FK$325:$ID$396,ID$169,1+SwaptionShift):INDEX($FK$325:$ID$396,ID$169,SwaptionMonthsToGo+SwaptionShift))))))</f>
        <v/>
      </c>
      <c r="IE180" s="250"/>
    </row>
    <row r="181" spans="8:239">
      <c r="H181" s="51">
        <f t="shared" ca="1" si="527"/>
        <v>0</v>
      </c>
      <c r="I181" s="379">
        <f t="shared" si="528"/>
        <v>41671</v>
      </c>
      <c r="J181" s="377"/>
      <c r="K181" s="104" t="s">
        <v>268</v>
      </c>
      <c r="L181" s="392">
        <f t="shared" si="529"/>
        <v>3.1875000000000049</v>
      </c>
      <c r="M181" s="171"/>
      <c r="N181" s="382">
        <v>0</v>
      </c>
      <c r="O181" s="171">
        <f t="shared" si="490"/>
        <v>0</v>
      </c>
      <c r="P181" s="377"/>
      <c r="Q181" s="104" t="s">
        <v>268</v>
      </c>
      <c r="R181" s="377">
        <f t="shared" ca="1" si="547"/>
        <v>1.9908606160587146</v>
      </c>
      <c r="S181" s="832">
        <f t="shared" si="564"/>
        <v>0.3600000000000001</v>
      </c>
      <c r="T181" s="831">
        <f t="shared" si="548"/>
        <v>0.99999999999874956</v>
      </c>
      <c r="U181" s="545">
        <f t="shared" si="549"/>
        <v>0.99999999999999978</v>
      </c>
      <c r="V181" s="389">
        <v>0</v>
      </c>
      <c r="W181" s="434">
        <f t="shared" si="578"/>
        <v>0</v>
      </c>
      <c r="X181" s="415">
        <f t="shared" si="579"/>
        <v>3.2362500000000054</v>
      </c>
      <c r="Y181" s="322">
        <f t="shared" si="580"/>
        <v>-1.1684999999999999</v>
      </c>
      <c r="Z181" s="322">
        <f t="shared" ca="1" si="581"/>
        <v>2.0677500000000055</v>
      </c>
      <c r="AA181" s="429">
        <f t="shared" si="495"/>
        <v>1.1684999999999999</v>
      </c>
      <c r="AB181" s="433">
        <f t="shared" ca="1" si="496"/>
        <v>1.1684999999999999</v>
      </c>
      <c r="AC181" s="229">
        <v>41659</v>
      </c>
      <c r="AD181" s="229">
        <v>41655</v>
      </c>
      <c r="AE181" s="229">
        <v>41654</v>
      </c>
      <c r="AF181" s="229">
        <v>41650</v>
      </c>
      <c r="AG181" s="249" t="s">
        <v>499</v>
      </c>
      <c r="AH181" s="247" t="s">
        <v>499</v>
      </c>
      <c r="AI181" s="146">
        <v>20</v>
      </c>
      <c r="AJ181" s="41">
        <v>14</v>
      </c>
      <c r="AK181" s="41">
        <v>6</v>
      </c>
      <c r="AL181" s="293">
        <v>20</v>
      </c>
      <c r="AM181" s="41">
        <v>10</v>
      </c>
      <c r="AN181" s="147">
        <v>10</v>
      </c>
      <c r="AO181" s="374"/>
      <c r="AP181" s="153">
        <f t="shared" ca="1" si="530"/>
        <v>1</v>
      </c>
      <c r="AQ181" s="374"/>
      <c r="AR181" s="153">
        <f t="shared" ca="1" si="550"/>
        <v>1</v>
      </c>
      <c r="AS181" s="272">
        <f t="shared" si="582"/>
        <v>0</v>
      </c>
      <c r="AT181" s="157">
        <f t="shared" si="531"/>
        <v>0</v>
      </c>
      <c r="AU181" s="157">
        <f t="shared" si="498"/>
        <v>0</v>
      </c>
      <c r="AV181" s="271">
        <f t="shared" ca="1" si="558"/>
        <v>9.9999999999999995E-7</v>
      </c>
      <c r="AW181" s="158" t="str">
        <f t="shared" ca="1" si="583"/>
        <v/>
      </c>
      <c r="AX181" s="157">
        <f t="shared" ca="1" si="551"/>
        <v>1.1112616995834401E-4</v>
      </c>
      <c r="AY181" s="157">
        <f t="shared" ca="1" si="552"/>
        <v>2.939810396283935E-5</v>
      </c>
      <c r="AZ181" s="157">
        <f t="shared" ca="1" si="553"/>
        <v>1.3365947035655224E-6</v>
      </c>
      <c r="BA181" s="157">
        <f t="shared" ca="1" si="554"/>
        <v>1.670743379456903E-7</v>
      </c>
      <c r="BB181" s="157">
        <f t="shared" ca="1" si="555"/>
        <v>1.5471942728524673E-9</v>
      </c>
      <c r="BC181" s="157">
        <f t="shared" ca="1" si="556"/>
        <v>5.5827668799975955E-11</v>
      </c>
      <c r="BD181" s="151">
        <f t="shared" ca="1" si="584"/>
        <v>0</v>
      </c>
      <c r="BE181" s="152">
        <f t="shared" ca="1" si="585"/>
        <v>0</v>
      </c>
      <c r="BF181" s="40">
        <f t="shared" si="586"/>
        <v>2014</v>
      </c>
      <c r="BG181" s="144">
        <f t="shared" si="587"/>
        <v>2</v>
      </c>
      <c r="BH181" s="145">
        <f t="shared" ca="1" si="588"/>
        <v>4910</v>
      </c>
      <c r="BI181" s="313">
        <f t="shared" ca="1" si="568"/>
        <v>13.486652977412732</v>
      </c>
      <c r="BJ181" s="42">
        <f t="shared" ca="1" si="505"/>
        <v>13.538398357289529</v>
      </c>
      <c r="BK181" s="42">
        <f t="shared" ca="1" si="506"/>
        <v>13.541136208076662</v>
      </c>
      <c r="BL181" s="42">
        <f t="shared" ca="1" si="569"/>
        <v>13.560574948665298</v>
      </c>
      <c r="BM181" s="150" t="e">
        <f t="shared" ca="1" si="507"/>
        <v>#DIV/0!</v>
      </c>
      <c r="BN181" s="42" t="e">
        <f t="shared" ca="1" si="508"/>
        <v>#DIV/0!</v>
      </c>
      <c r="BO181" s="293">
        <f t="shared" si="570"/>
        <v>20</v>
      </c>
      <c r="BP181" s="41">
        <f t="shared" si="571"/>
        <v>14</v>
      </c>
      <c r="BQ181" s="41">
        <f t="shared" si="572"/>
        <v>6</v>
      </c>
      <c r="BR181" s="305" t="str">
        <f t="shared" ca="1" si="509"/>
        <v/>
      </c>
      <c r="BS181" s="305" t="str">
        <f t="shared" ca="1" si="573"/>
        <v/>
      </c>
      <c r="BT181" s="307" t="str">
        <f t="shared" ca="1" si="574"/>
        <v/>
      </c>
      <c r="BU181" s="161" t="str">
        <f t="shared" ca="1" si="510"/>
        <v/>
      </c>
      <c r="BV181" s="161" t="str">
        <f t="shared" ca="1" si="511"/>
        <v/>
      </c>
      <c r="BW181" s="308" t="str">
        <f t="shared" ca="1" si="512"/>
        <v/>
      </c>
      <c r="BX181" s="309" t="str">
        <f t="shared" ca="1" si="513"/>
        <v/>
      </c>
      <c r="BY181" s="308" t="str">
        <f t="shared" ca="1" si="575"/>
        <v/>
      </c>
      <c r="BZ181" s="309" t="str">
        <f t="shared" ca="1" si="576"/>
        <v/>
      </c>
      <c r="CA181" s="154" t="str">
        <f t="shared" ca="1" si="514"/>
        <v/>
      </c>
      <c r="CB181" s="154" t="str">
        <f t="shared" ca="1" si="515"/>
        <v/>
      </c>
      <c r="CC181" s="154" t="str">
        <f t="shared" ca="1" si="516"/>
        <v/>
      </c>
      <c r="CD181" s="154" t="str">
        <f t="shared" ca="1" si="517"/>
        <v/>
      </c>
      <c r="CE181" s="310">
        <v>1</v>
      </c>
      <c r="CF181" s="162">
        <f ca="1">IF(BD181,_xll.xCrudeAPO(BU181,BV181,CA181,CB181,S182,S183,BI181,BL181,BP181,BQ181,0,Strike1,AO181,CE181,0,BL181,IF(OptControl=4,0,1),0,1),0)</f>
        <v>0</v>
      </c>
      <c r="CG181" s="163">
        <f ca="1">IF(BD181,_xll.xCrudeAPO(BU181,BV181,CA181,CB181,S182,S183,BI181,BL181,BP181,BQ181,0,Strike1,AO181,CE181,0,BL181,IF(OptControl=4,0,1),1,1)+_xll.xCrudeAPO(BU181,BV181,CA181,CB181,S182,S183,BI181,BL181,BP181,BQ181,0,Strike1,AO181,CE181,0,BL181,IF(OptControl=4,0,1),1,2)+IF(OR(VolSkewFlag=2,ABS(BS181)&lt;0.0001),0,IF(BS181&gt;0,-1,1)*CH181*Strike1/BR181^2*BY181/10%),0)</f>
        <v>0</v>
      </c>
      <c r="CH181" s="163">
        <f ca="1">IF(BD181,(_xll.xCrudeAPO(BU181,BV181,CA181,CB181,S182,S183,BI181,BL181,BP181,BQ181,0,Strike1,AO181,CE181,0,BL181,IF(OptControl=4,0,1),3,1)+_xll.xCrudeAPO(BU181,BV181,CA181,CB181,S182,S183,BI181,BL181,BP181,BQ181,0,Strike1,AO181,CE181,0,BL181,IF(OptControl=4,0,1),3,2))/100,0)</f>
        <v>0</v>
      </c>
      <c r="CI181" s="163">
        <f ca="1">IF(BD181,_xll.xCrudeAPO(BU181,BV181,CA181,CB181,S182,S183,BI181-DaysForThetaCalculation/365.25,BL181-DaysForThetaCalculation/365.25,BP181,BQ181,0,Strike1,AO181,CE181,0,BL181,IF(OptControl=4,0,1),0,1)-_xll.xCrudeAPO(BU181,BV181,CA181,CB181,S182,S183,BI181,BL181,BP181,BQ181,0,Strike1,AO181,CE181,0,BL181,IF(OptControl=4,0,1),0,1),0)</f>
        <v>0</v>
      </c>
      <c r="CJ181" s="311">
        <f ca="1">IF(BD181,_xll.xCrudeAPO(BU181,BV181,CC181,CD181,S182,S183,BI181,BL181,BP181,BQ181,0,Strike2,AO181,CE181,0,BL181,IF(OptControl=3,1,0),0,1),0)</f>
        <v>0</v>
      </c>
      <c r="CK181" s="163">
        <f ca="1">IF(BD181,_xll.xCrudeAPO(BU181,BV181,CC181,CD181,S182,S183,BI181,BL181,BP181,BQ181,0,Strike2,AO181,CE181,0,BL181,IF(OptControl=3,1,0),1,1)+_xll.xCrudeAPO(BU181,BV181,CC181,CD181,S182,S183,BI181,BL181,BP181,BQ181,0,Strike2,AO181,CE181,0,BL181,IF(OptControl=3,1,0),1,2)+IF(OR(VolSkewFlag=2,ABS(BT181)&lt;0.0001),0,IF(BT181&gt;0,-1,1)*CL181*Strike2/BR181^2*BZ181/10%),0)</f>
        <v>0</v>
      </c>
      <c r="CL181" s="163">
        <f ca="1">IF(BD181,(_xll.xCrudeAPO(BU181,BV181,CC181,CD181,S182,S183,BI181,BL181,BP181,BQ181,0,Strike2,AO181,CE181,0,BL181,IF(OptControl=3,1,0),3,1)+_xll.xCrudeAPO(BU181,BV181,CC181,CD181,S182,S183,BI181,BL181,BP181,BQ181,0,Strike2,AO181,CE181,0,BL181,IF(OptControl=3,1,0),3,2))/100,0)</f>
        <v>0</v>
      </c>
      <c r="CM181" s="164">
        <f ca="1">IF(BD181,_xll.xCrudeAPO(BU181,BV181,CC181,CD181,S182,S183,BI181-DaysForThetaCalculation/365.25,BL181-DaysForThetaCalculation/365.25,BP181,BQ181,0,Strike2,AO181,CE181,0,BL181,IF(OptControl=3,1,0),0,1)-_xll.xCrudeAPO(BU181,BV181,CC181,CD181,S182,S183,BI181,BL181,BP181,BQ181,0,Strike2,AO181,CE181,0,BL181,IF(OptControl=3,1,0),0,1),0)</f>
        <v>0</v>
      </c>
      <c r="CN181" s="53"/>
      <c r="CO181" s="796" t="str">
        <f t="shared" ca="1" si="532"/>
        <v/>
      </c>
      <c r="CP181" s="800" t="str">
        <f t="shared" ca="1" si="533"/>
        <v/>
      </c>
      <c r="CQ181" s="797" t="str">
        <f t="shared" ca="1" si="534"/>
        <v/>
      </c>
      <c r="CR181" s="797" t="str">
        <f t="shared" ca="1" si="535"/>
        <v/>
      </c>
      <c r="CS181" s="797" t="str">
        <f t="shared" ca="1" si="536"/>
        <v/>
      </c>
      <c r="CT181" s="797" t="str">
        <f t="shared" ca="1" si="537"/>
        <v/>
      </c>
      <c r="CU181" s="798" t="str">
        <f t="shared" ca="1" si="538"/>
        <v/>
      </c>
      <c r="CV181" s="799" t="str">
        <f t="shared" ca="1" si="539"/>
        <v/>
      </c>
      <c r="CW181" s="799" t="str">
        <f t="shared" ca="1" si="540"/>
        <v/>
      </c>
      <c r="CX181" s="163">
        <f ca="1">IF(BD181,_xll.EURO(CP181,Strike1,AO181,AO181,CV181,CO181,IF(OptControl=4,0,1),0),0)</f>
        <v>0</v>
      </c>
      <c r="CY181" s="163">
        <f ca="1">IF(BD181,_xll.EURO(CP181,Strike1,AO181,AO181,CV181,CO181,IF(OptControl=4,0,1),1)+IF(OR(VolSkewFlag=2,ABS(CQ181)&lt;0.0001),0,IF(CQ181&gt;0,-1,1)*CZ181*100*Strike1/CP181^2*CS181/10%),0)</f>
        <v>0</v>
      </c>
      <c r="CZ181" s="163">
        <f ca="1">IF(BD181,_xll.EURO(CP181,Strike1,AO181,AO181,CV181,CO181,IF(OptControl=4,0,1),3)/100,0)</f>
        <v>0</v>
      </c>
      <c r="DA181" s="163">
        <f ca="1">IF(BD181,_xll.EURO(CP181,Strike1,AO181,AO181,CV181,CO181,IF(OptControl=4,0,1),0)-_xll.EURO(CP181,Strike1,AO181,AO181,CV181,CO181-1,IF(OptControl=4,0,1),0),0)</f>
        <v>0</v>
      </c>
      <c r="DB181" s="163">
        <f ca="1">IF(BD181,_xll.EURO(CP181,Strike2,AO181,AO181,CW181,CO181,IF(OptControl=3,1,0),0),0)</f>
        <v>0</v>
      </c>
      <c r="DC181" s="163">
        <f ca="1">IF(BD181,_xll.EURO(CP181,Strike2,AO181,AO181,CW181,CO181,IF(OptControl=3,1,0),1)+IF(OR(VolSkewFlag=2,ABS(CR181)&lt;0.0001),0,IF(CR181&gt;0,-1,1)*DD181*100*Strike2/CP181^2*CT181/10%),0)</f>
        <v>0</v>
      </c>
      <c r="DD181" s="163">
        <f ca="1">IF(BD181,_xll.EURO(CP181,Strike2,AO181,AO181,CW181,CO181,IF(OptControl=3,1,0),3)/100,0)</f>
        <v>0</v>
      </c>
      <c r="DE181" s="164">
        <f ca="1">IF(BD181,_xll.EURO(CP181,Strike2,AO181,AO181,CW181,CO181,IF(OptControl=3,1,0),0)-_xll.EURO(CP181,Strike2,AO181,AO181,CW181,CO181-1,IF(OptControl=3,1,0),0),0)</f>
        <v>0</v>
      </c>
      <c r="DG181" s="667">
        <f t="shared" ca="1" si="541"/>
        <v>41456</v>
      </c>
      <c r="DH181" s="475">
        <v>22.210000000000061</v>
      </c>
      <c r="DI181" s="665">
        <v>22.278181818181881</v>
      </c>
      <c r="DJ181" s="666">
        <f t="shared" ca="1" si="589"/>
        <v>41456</v>
      </c>
      <c r="DK181" s="475">
        <v>21.003105175118431</v>
      </c>
      <c r="DL181" s="665">
        <v>21.011281818181882</v>
      </c>
      <c r="DM181" s="667">
        <f t="shared" ca="1" si="590"/>
        <v>41456</v>
      </c>
      <c r="DN181" s="668">
        <f t="shared" si="591"/>
        <v>21.053105175118432</v>
      </c>
      <c r="DO181" s="667">
        <f t="shared" ca="1" si="542"/>
        <v>41456</v>
      </c>
      <c r="DP181" s="579">
        <f t="shared" si="543"/>
        <v>21.011281818181882</v>
      </c>
      <c r="DQ181" s="821">
        <v>0</v>
      </c>
      <c r="DR181" s="666">
        <f t="shared" ca="1" si="592"/>
        <v>41456</v>
      </c>
      <c r="DS181" s="669">
        <v>0.12799999999999806</v>
      </c>
      <c r="DT181" s="606">
        <v>0.12718181818181623</v>
      </c>
      <c r="DU181" s="666">
        <f t="shared" ca="1" si="593"/>
        <v>41456</v>
      </c>
      <c r="DV181" s="669">
        <v>0.12799999999999806</v>
      </c>
      <c r="DW181" s="606">
        <v>0.12718181818181623</v>
      </c>
      <c r="DX181" s="667">
        <f t="shared" ca="1" si="594"/>
        <v>41456</v>
      </c>
      <c r="DY181" s="606">
        <v>0.35</v>
      </c>
      <c r="DZ181" s="667">
        <f t="shared" ca="1" si="544"/>
        <v>41456</v>
      </c>
      <c r="EA181" s="606">
        <f t="shared" si="545"/>
        <v>0.12718181818181623</v>
      </c>
      <c r="EB181" s="1"/>
      <c r="EC181" s="118" t="str">
        <f t="shared" ca="1" si="595"/>
        <v/>
      </c>
      <c r="ED181" s="119" t="str">
        <f t="shared" ca="1" si="525"/>
        <v/>
      </c>
      <c r="EE181" s="112" t="str">
        <f t="shared" ca="1" si="526"/>
        <v/>
      </c>
      <c r="EF181" s="120">
        <f ca="1">IF(BD181,_xll.xASN(BR181,Strike1,AO181,ED181,0,BO181,0,BI181,BL181,IF(OptControl=4,0,1),0),0)</f>
        <v>0</v>
      </c>
      <c r="EG181" s="111">
        <f ca="1">IF(BD181,_xll.xASN(BR181,Strike2,AO181,EE181,0,BO181,0,BI181,BL181,IF(OptControl=3,1,0),0),0)</f>
        <v>0</v>
      </c>
      <c r="EL181" s="55"/>
      <c r="EM181" s="1"/>
      <c r="EN181" s="106"/>
      <c r="EO181" s="106"/>
      <c r="EP181" s="1"/>
      <c r="EQ181" s="683" t="s">
        <v>394</v>
      </c>
      <c r="ES181" s="455"/>
      <c r="ET181" s="36"/>
      <c r="EU181" s="107"/>
      <c r="EV181" s="475"/>
      <c r="EW181" s="456"/>
      <c r="EX181" s="456"/>
      <c r="EY181" s="250"/>
      <c r="EZ181" s="250"/>
      <c r="FA181" s="250"/>
      <c r="FB181" s="250"/>
      <c r="FC181" s="250"/>
      <c r="FD181" s="250"/>
      <c r="FE181" s="250"/>
      <c r="FF181" s="250"/>
      <c r="FG181" s="250"/>
      <c r="FH181" s="250"/>
      <c r="FI181" s="250"/>
      <c r="FJ181" s="673">
        <v>12</v>
      </c>
      <c r="FK181" s="479" t="str">
        <f ca="1">IF(OR(FK$169&lt;SwaptionFirstMonthPosition+1,$FJ181&lt;SwaptionFirstMonthPosition+1,FK$169&gt;SwaptionFirstMonthPosition+SwaptionNumOfMonths+1,$FJ181&gt;SwaptionFirstMonthPosition+SwaptionNumOfMonths+1),"",IF($FJ181=FK$169,1,IF($FJ181&lt;FK$169,INDEX($FK$170:$ID$241,FK$169,$FJ181),SUMPRODUCT(INDEX($FK$325:$ID$396,FK$169,1+SwaptionShift):INDEX($FK$325:$ID$396,FK$169,SwaptionMonthsToGo+SwaptionShift),INDEX($FK$245:$ID$316,$FJ181-FK$169,73-FK$169+SwaptionShift):INDEX($FK$245:$ID$316,$FJ181-FK$169,72-FK$169+SwaptionMonthsToGo+SwaptionShift))/SQRT(SUM(INDEX($FK336:$ID336,1+SwaptionShift):INDEX($FK336:$ID336,SwaptionMonthsToGo+SwaptionShift))*SUM(INDEX($FK$325:$ID$396,FK$169,1+SwaptionShift):INDEX($FK$325:$ID$396,FK$169,SwaptionMonthsToGo+SwaptionShift))))))</f>
        <v/>
      </c>
      <c r="FL181" s="479" t="str">
        <f ca="1">IF(OR(FL$169&lt;SwaptionFirstMonthPosition+1,$FJ181&lt;SwaptionFirstMonthPosition+1,FL$169&gt;SwaptionFirstMonthPosition+SwaptionNumOfMonths+1,$FJ181&gt;SwaptionFirstMonthPosition+SwaptionNumOfMonths+1),"",IF($FJ181=FL$169,1,IF($FJ181&lt;FL$169,INDEX($FK$170:$ID$241,FL$169,$FJ181),SUMPRODUCT(INDEX($FK$325:$ID$396,FL$169,1+SwaptionShift):INDEX($FK$325:$ID$396,FL$169,SwaptionMonthsToGo+SwaptionShift),INDEX($FK$245:$ID$316,$FJ181-FL$169,73-FL$169+SwaptionShift):INDEX($FK$245:$ID$316,$FJ181-FL$169,72-FL$169+SwaptionMonthsToGo+SwaptionShift))/SQRT(SUM(INDEX($FK336:$ID336,1+SwaptionShift):INDEX($FK336:$ID336,SwaptionMonthsToGo+SwaptionShift))*SUM(INDEX($FK$325:$ID$396,FL$169,1+SwaptionShift):INDEX($FK$325:$ID$396,FL$169,SwaptionMonthsToGo+SwaptionShift))))))</f>
        <v/>
      </c>
      <c r="FM181" s="479" t="str">
        <f ca="1">IF(OR(FM$169&lt;SwaptionFirstMonthPosition+1,$FJ181&lt;SwaptionFirstMonthPosition+1,FM$169&gt;SwaptionFirstMonthPosition+SwaptionNumOfMonths+1,$FJ181&gt;SwaptionFirstMonthPosition+SwaptionNumOfMonths+1),"",IF($FJ181=FM$169,1,IF($FJ181&lt;FM$169,INDEX($FK$170:$ID$241,FM$169,$FJ181),SUMPRODUCT(INDEX($FK$325:$ID$396,FM$169,1+SwaptionShift):INDEX($FK$325:$ID$396,FM$169,SwaptionMonthsToGo+SwaptionShift),INDEX($FK$245:$ID$316,$FJ181-FM$169,73-FM$169+SwaptionShift):INDEX($FK$245:$ID$316,$FJ181-FM$169,72-FM$169+SwaptionMonthsToGo+SwaptionShift))/SQRT(SUM(INDEX($FK336:$ID336,1+SwaptionShift):INDEX($FK336:$ID336,SwaptionMonthsToGo+SwaptionShift))*SUM(INDEX($FK$325:$ID$396,FM$169,1+SwaptionShift):INDEX($FK$325:$ID$396,FM$169,SwaptionMonthsToGo+SwaptionShift))))))</f>
        <v/>
      </c>
      <c r="FN181" s="479" t="str">
        <f ca="1">IF(OR(FN$169&lt;SwaptionFirstMonthPosition+1,$FJ181&lt;SwaptionFirstMonthPosition+1,FN$169&gt;SwaptionFirstMonthPosition+SwaptionNumOfMonths+1,$FJ181&gt;SwaptionFirstMonthPosition+SwaptionNumOfMonths+1),"",IF($FJ181=FN$169,1,IF($FJ181&lt;FN$169,INDEX($FK$170:$ID$241,FN$169,$FJ181),SUMPRODUCT(INDEX($FK$325:$ID$396,FN$169,1+SwaptionShift):INDEX($FK$325:$ID$396,FN$169,SwaptionMonthsToGo+SwaptionShift),INDEX($FK$245:$ID$316,$FJ181-FN$169,73-FN$169+SwaptionShift):INDEX($FK$245:$ID$316,$FJ181-FN$169,72-FN$169+SwaptionMonthsToGo+SwaptionShift))/SQRT(SUM(INDEX($FK336:$ID336,1+SwaptionShift):INDEX($FK336:$ID336,SwaptionMonthsToGo+SwaptionShift))*SUM(INDEX($FK$325:$ID$396,FN$169,1+SwaptionShift):INDEX($FK$325:$ID$396,FN$169,SwaptionMonthsToGo+SwaptionShift))))))</f>
        <v/>
      </c>
      <c r="FO181" s="479" t="str">
        <f ca="1">IF(OR(FO$169&lt;SwaptionFirstMonthPosition+1,$FJ181&lt;SwaptionFirstMonthPosition+1,FO$169&gt;SwaptionFirstMonthPosition+SwaptionNumOfMonths+1,$FJ181&gt;SwaptionFirstMonthPosition+SwaptionNumOfMonths+1),"",IF($FJ181=FO$169,1,IF($FJ181&lt;FO$169,INDEX($FK$170:$ID$241,FO$169,$FJ181),SUMPRODUCT(INDEX($FK$325:$ID$396,FO$169,1+SwaptionShift):INDEX($FK$325:$ID$396,FO$169,SwaptionMonthsToGo+SwaptionShift),INDEX($FK$245:$ID$316,$FJ181-FO$169,73-FO$169+SwaptionShift):INDEX($FK$245:$ID$316,$FJ181-FO$169,72-FO$169+SwaptionMonthsToGo+SwaptionShift))/SQRT(SUM(INDEX($FK336:$ID336,1+SwaptionShift):INDEX($FK336:$ID336,SwaptionMonthsToGo+SwaptionShift))*SUM(INDEX($FK$325:$ID$396,FO$169,1+SwaptionShift):INDEX($FK$325:$ID$396,FO$169,SwaptionMonthsToGo+SwaptionShift))))))</f>
        <v/>
      </c>
      <c r="FP181" s="479">
        <f ca="1">IF(OR(FP$169&lt;SwaptionFirstMonthPosition+1,$FJ181&lt;SwaptionFirstMonthPosition+1,FP$169&gt;SwaptionFirstMonthPosition+SwaptionNumOfMonths+1,$FJ181&gt;SwaptionFirstMonthPosition+SwaptionNumOfMonths+1),"",IF($FJ181=FP$169,1,IF($FJ181&lt;FP$169,INDEX($FK$170:$ID$241,FP$169,$FJ181),SUMPRODUCT(INDEX($FK$325:$ID$396,FP$169,1+SwaptionShift):INDEX($FK$325:$ID$396,FP$169,SwaptionMonthsToGo+SwaptionShift),INDEX($FK$245:$ID$316,$FJ181-FP$169,73-FP$169+SwaptionShift):INDEX($FK$245:$ID$316,$FJ181-FP$169,72-FP$169+SwaptionMonthsToGo+SwaptionShift))/SQRT(SUM(INDEX($FK336:$ID336,1+SwaptionShift):INDEX($FK336:$ID336,SwaptionMonthsToGo+SwaptionShift))*SUM(INDEX($FK$325:$ID$396,FP$169,1+SwaptionShift):INDEX($FK$325:$ID$396,FP$169,SwaptionMonthsToGo+SwaptionShift))))))</f>
        <v>0.91064991957747565</v>
      </c>
      <c r="FQ181" s="479">
        <f ca="1">IF(OR(FQ$169&lt;SwaptionFirstMonthPosition+1,$FJ181&lt;SwaptionFirstMonthPosition+1,FQ$169&gt;SwaptionFirstMonthPosition+SwaptionNumOfMonths+1,$FJ181&gt;SwaptionFirstMonthPosition+SwaptionNumOfMonths+1),"",IF($FJ181=FQ$169,1,IF($FJ181&lt;FQ$169,INDEX($FK$170:$ID$241,FQ$169,$FJ181),SUMPRODUCT(INDEX($FK$325:$ID$396,FQ$169,1+SwaptionShift):INDEX($FK$325:$ID$396,FQ$169,SwaptionMonthsToGo+SwaptionShift),INDEX($FK$245:$ID$316,$FJ181-FQ$169,73-FQ$169+SwaptionShift):INDEX($FK$245:$ID$316,$FJ181-FQ$169,72-FQ$169+SwaptionMonthsToGo+SwaptionShift))/SQRT(SUM(INDEX($FK336:$ID336,1+SwaptionShift):INDEX($FK336:$ID336,SwaptionMonthsToGo+SwaptionShift))*SUM(INDEX($FK$325:$ID$396,FQ$169,1+SwaptionShift):INDEX($FK$325:$ID$396,FQ$169,SwaptionMonthsToGo+SwaptionShift))))))</f>
        <v>0.93427254623555067</v>
      </c>
      <c r="FR181" s="479">
        <f ca="1">IF(OR(FR$169&lt;SwaptionFirstMonthPosition+1,$FJ181&lt;SwaptionFirstMonthPosition+1,FR$169&gt;SwaptionFirstMonthPosition+SwaptionNumOfMonths+1,$FJ181&gt;SwaptionFirstMonthPosition+SwaptionNumOfMonths+1),"",IF($FJ181=FR$169,1,IF($FJ181&lt;FR$169,INDEX($FK$170:$ID$241,FR$169,$FJ181),SUMPRODUCT(INDEX($FK$325:$ID$396,FR$169,1+SwaptionShift):INDEX($FK$325:$ID$396,FR$169,SwaptionMonthsToGo+SwaptionShift),INDEX($FK$245:$ID$316,$FJ181-FR$169,73-FR$169+SwaptionShift):INDEX($FK$245:$ID$316,$FJ181-FR$169,72-FR$169+SwaptionMonthsToGo+SwaptionShift))/SQRT(SUM(INDEX($FK336:$ID336,1+SwaptionShift):INDEX($FK336:$ID336,SwaptionMonthsToGo+SwaptionShift))*SUM(INDEX($FK$325:$ID$396,FR$169,1+SwaptionShift):INDEX($FK$325:$ID$396,FR$169,SwaptionMonthsToGo+SwaptionShift))))))</f>
        <v>0.95331441784714344</v>
      </c>
      <c r="FS181" s="479">
        <f ca="1">IF(OR(FS$169&lt;SwaptionFirstMonthPosition+1,$FJ181&lt;SwaptionFirstMonthPosition+1,FS$169&gt;SwaptionFirstMonthPosition+SwaptionNumOfMonths+1,$FJ181&gt;SwaptionFirstMonthPosition+SwaptionNumOfMonths+1),"",IF($FJ181=FS$169,1,IF($FJ181&lt;FS$169,INDEX($FK$170:$ID$241,FS$169,$FJ181),SUMPRODUCT(INDEX($FK$325:$ID$396,FS$169,1+SwaptionShift):INDEX($FK$325:$ID$396,FS$169,SwaptionMonthsToGo+SwaptionShift),INDEX($FK$245:$ID$316,$FJ181-FS$169,73-FS$169+SwaptionShift):INDEX($FK$245:$ID$316,$FJ181-FS$169,72-FS$169+SwaptionMonthsToGo+SwaptionShift))/SQRT(SUM(INDEX($FK336:$ID336,1+SwaptionShift):INDEX($FK336:$ID336,SwaptionMonthsToGo+SwaptionShift))*SUM(INDEX($FK$325:$ID$396,FS$169,1+SwaptionShift):INDEX($FK$325:$ID$396,FS$169,SwaptionMonthsToGo+SwaptionShift))))))</f>
        <v>0.96874042609322186</v>
      </c>
      <c r="FT181" s="479">
        <f ca="1">IF(OR(FT$169&lt;SwaptionFirstMonthPosition+1,$FJ181&lt;SwaptionFirstMonthPosition+1,FT$169&gt;SwaptionFirstMonthPosition+SwaptionNumOfMonths+1,$FJ181&gt;SwaptionFirstMonthPosition+SwaptionNumOfMonths+1),"",IF($FJ181=FT$169,1,IF($FJ181&lt;FT$169,INDEX($FK$170:$ID$241,FT$169,$FJ181),SUMPRODUCT(INDEX($FK$325:$ID$396,FT$169,1+SwaptionShift):INDEX($FK$325:$ID$396,FT$169,SwaptionMonthsToGo+SwaptionShift),INDEX($FK$245:$ID$316,$FJ181-FT$169,73-FT$169+SwaptionShift):INDEX($FK$245:$ID$316,$FJ181-FT$169,72-FT$169+SwaptionMonthsToGo+SwaptionShift))/SQRT(SUM(INDEX($FK336:$ID336,1+SwaptionShift):INDEX($FK336:$ID336,SwaptionMonthsToGo+SwaptionShift))*SUM(INDEX($FK$325:$ID$396,FT$169,1+SwaptionShift):INDEX($FK$325:$ID$396,FT$169,SwaptionMonthsToGo+SwaptionShift))))))</f>
        <v>0.98129748433544028</v>
      </c>
      <c r="FU181" s="479">
        <f ca="1">IF(OR(FU$169&lt;SwaptionFirstMonthPosition+1,$FJ181&lt;SwaptionFirstMonthPosition+1,FU$169&gt;SwaptionFirstMonthPosition+SwaptionNumOfMonths+1,$FJ181&gt;SwaptionFirstMonthPosition+SwaptionNumOfMonths+1),"",IF($FJ181=FU$169,1,IF($FJ181&lt;FU$169,INDEX($FK$170:$ID$241,FU$169,$FJ181),SUMPRODUCT(INDEX($FK$325:$ID$396,FU$169,1+SwaptionShift):INDEX($FK$325:$ID$396,FU$169,SwaptionMonthsToGo+SwaptionShift),INDEX($FK$245:$ID$316,$FJ181-FU$169,73-FU$169+SwaptionShift):INDEX($FK$245:$ID$316,$FJ181-FU$169,72-FU$169+SwaptionMonthsToGo+SwaptionShift))/SQRT(SUM(INDEX($FK336:$ID336,1+SwaptionShift):INDEX($FK336:$ID336,SwaptionMonthsToGo+SwaptionShift))*SUM(INDEX($FK$325:$ID$396,FU$169,1+SwaptionShift):INDEX($FK$325:$ID$396,FU$169,SwaptionMonthsToGo+SwaptionShift))))))</f>
        <v>0.99156619058860751</v>
      </c>
      <c r="FV181" s="479">
        <f ca="1">IF(OR(FV$169&lt;SwaptionFirstMonthPosition+1,$FJ181&lt;SwaptionFirstMonthPosition+1,FV$169&gt;SwaptionFirstMonthPosition+SwaptionNumOfMonths+1,$FJ181&gt;SwaptionFirstMonthPosition+SwaptionNumOfMonths+1),"",IF($FJ181=FV$169,1,IF($FJ181&lt;FV$169,INDEX($FK$170:$ID$241,FV$169,$FJ181),SUMPRODUCT(INDEX($FK$325:$ID$396,FV$169,1+SwaptionShift):INDEX($FK$325:$ID$396,FV$169,SwaptionMonthsToGo+SwaptionShift),INDEX($FK$245:$ID$316,$FJ181-FV$169,73-FV$169+SwaptionShift):INDEX($FK$245:$ID$316,$FJ181-FV$169,72-FV$169+SwaptionMonthsToGo+SwaptionShift))/SQRT(SUM(INDEX($FK336:$ID336,1+SwaptionShift):INDEX($FK336:$ID336,SwaptionMonthsToGo+SwaptionShift))*SUM(INDEX($FK$325:$ID$396,FV$169,1+SwaptionShift):INDEX($FK$325:$ID$396,FV$169,SwaptionMonthsToGo+SwaptionShift))))))</f>
        <v>1</v>
      </c>
      <c r="FW181" s="479">
        <f ca="1">IF(OR(FW$169&lt;SwaptionFirstMonthPosition+1,$FJ181&lt;SwaptionFirstMonthPosition+1,FW$169&gt;SwaptionFirstMonthPosition+SwaptionNumOfMonths+1,$FJ181&gt;SwaptionFirstMonthPosition+SwaptionNumOfMonths+1),"",IF($FJ181=FW$169,1,IF($FJ181&lt;FW$169,INDEX($FK$170:$ID$241,FW$169,$FJ181),SUMPRODUCT(INDEX($FK$325:$ID$396,FW$169,1+SwaptionShift):INDEX($FK$325:$ID$396,FW$169,SwaptionMonthsToGo+SwaptionShift),INDEX($FK$245:$ID$316,$FJ181-FW$169,73-FW$169+SwaptionShift):INDEX($FK$245:$ID$316,$FJ181-FW$169,72-FW$169+SwaptionMonthsToGo+SwaptionShift))/SQRT(SUM(INDEX($FK336:$ID336,1+SwaptionShift):INDEX($FK336:$ID336,SwaptionMonthsToGo+SwaptionShift))*SUM(INDEX($FK$325:$ID$396,FW$169,1+SwaptionShift):INDEX($FK$325:$ID$396,FW$169,SwaptionMonthsToGo+SwaptionShift))))))</f>
        <v>0.99304435996301921</v>
      </c>
      <c r="FX181" s="479">
        <f ca="1">IF(OR(FX$169&lt;SwaptionFirstMonthPosition+1,$FJ181&lt;SwaptionFirstMonthPosition+1,FX$169&gt;SwaptionFirstMonthPosition+SwaptionNumOfMonths+1,$FJ181&gt;SwaptionFirstMonthPosition+SwaptionNumOfMonths+1),"",IF($FJ181=FX$169,1,IF($FJ181&lt;FX$169,INDEX($FK$170:$ID$241,FX$169,$FJ181),SUMPRODUCT(INDEX($FK$325:$ID$396,FX$169,1+SwaptionShift):INDEX($FK$325:$ID$396,FX$169,SwaptionMonthsToGo+SwaptionShift),INDEX($FK$245:$ID$316,$FJ181-FX$169,73-FX$169+SwaptionShift):INDEX($FK$245:$ID$316,$FJ181-FX$169,72-FX$169+SwaptionMonthsToGo+SwaptionShift))/SQRT(SUM(INDEX($FK336:$ID336,1+SwaptionShift):INDEX($FK336:$ID336,SwaptionMonthsToGo+SwaptionShift))*SUM(INDEX($FK$325:$ID$396,FX$169,1+SwaptionShift):INDEX($FK$325:$ID$396,FX$169,SwaptionMonthsToGo+SwaptionShift))))))</f>
        <v>0.98728246915317663</v>
      </c>
      <c r="FY181" s="479">
        <f ca="1">IF(OR(FY$169&lt;SwaptionFirstMonthPosition+1,$FJ181&lt;SwaptionFirstMonthPosition+1,FY$169&gt;SwaptionFirstMonthPosition+SwaptionNumOfMonths+1,$FJ181&gt;SwaptionFirstMonthPosition+SwaptionNumOfMonths+1),"",IF($FJ181=FY$169,1,IF($FJ181&lt;FY$169,INDEX($FK$170:$ID$241,FY$169,$FJ181),SUMPRODUCT(INDEX($FK$325:$ID$396,FY$169,1+SwaptionShift):INDEX($FK$325:$ID$396,FY$169,SwaptionMonthsToGo+SwaptionShift),INDEX($FK$245:$ID$316,$FJ181-FY$169,73-FY$169+SwaptionShift):INDEX($FK$245:$ID$316,$FJ181-FY$169,72-FY$169+SwaptionMonthsToGo+SwaptionShift))/SQRT(SUM(INDEX($FK336:$ID336,1+SwaptionShift):INDEX($FK336:$ID336,SwaptionMonthsToGo+SwaptionShift))*SUM(INDEX($FK$325:$ID$396,FY$169,1+SwaptionShift):INDEX($FK$325:$ID$396,FY$169,SwaptionMonthsToGo+SwaptionShift))))))</f>
        <v>0.98249010570788697</v>
      </c>
      <c r="FZ181" s="479">
        <f ca="1">IF(OR(FZ$169&lt;SwaptionFirstMonthPosition+1,$FJ181&lt;SwaptionFirstMonthPosition+1,FZ$169&gt;SwaptionFirstMonthPosition+SwaptionNumOfMonths+1,$FJ181&gt;SwaptionFirstMonthPosition+SwaptionNumOfMonths+1),"",IF($FJ181=FZ$169,1,IF($FJ181&lt;FZ$169,INDEX($FK$170:$ID$241,FZ$169,$FJ181),SUMPRODUCT(INDEX($FK$325:$ID$396,FZ$169,1+SwaptionShift):INDEX($FK$325:$ID$396,FZ$169,SwaptionMonthsToGo+SwaptionShift),INDEX($FK$245:$ID$316,$FJ181-FZ$169,73-FZ$169+SwaptionShift):INDEX($FK$245:$ID$316,$FJ181-FZ$169,72-FZ$169+SwaptionMonthsToGo+SwaptionShift))/SQRT(SUM(INDEX($FK336:$ID336,1+SwaptionShift):INDEX($FK336:$ID336,SwaptionMonthsToGo+SwaptionShift))*SUM(INDEX($FK$325:$ID$396,FZ$169,1+SwaptionShift):INDEX($FK$325:$ID$396,FZ$169,SwaptionMonthsToGo+SwaptionShift))))))</f>
        <v>0.97849011074835324</v>
      </c>
      <c r="GA181" s="479">
        <f ca="1">IF(OR(GA$169&lt;SwaptionFirstMonthPosition+1,$FJ181&lt;SwaptionFirstMonthPosition+1,GA$169&gt;SwaptionFirstMonthPosition+SwaptionNumOfMonths+1,$FJ181&gt;SwaptionFirstMonthPosition+SwaptionNumOfMonths+1),"",IF($FJ181=GA$169,1,IF($FJ181&lt;GA$169,INDEX($FK$170:$ID$241,GA$169,$FJ181),SUMPRODUCT(INDEX($FK$325:$ID$396,GA$169,1+SwaptionShift):INDEX($FK$325:$ID$396,GA$169,SwaptionMonthsToGo+SwaptionShift),INDEX($FK$245:$ID$316,$FJ181-GA$169,73-GA$169+SwaptionShift):INDEX($FK$245:$ID$316,$FJ181-GA$169,72-GA$169+SwaptionMonthsToGo+SwaptionShift))/SQRT(SUM(INDEX($FK336:$ID336,1+SwaptionShift):INDEX($FK336:$ID336,SwaptionMonthsToGo+SwaptionShift))*SUM(INDEX($FK$325:$ID$396,GA$169,1+SwaptionShift):INDEX($FK$325:$ID$396,GA$169,SwaptionMonthsToGo+SwaptionShift))))))</f>
        <v>0.97514125805576135</v>
      </c>
      <c r="GB181" s="479">
        <f ca="1">IF(OR(GB$169&lt;SwaptionFirstMonthPosition+1,$FJ181&lt;SwaptionFirstMonthPosition+1,GB$169&gt;SwaptionFirstMonthPosition+SwaptionNumOfMonths+1,$FJ181&gt;SwaptionFirstMonthPosition+SwaptionNumOfMonths+1),"",IF($FJ181=GB$169,1,IF($FJ181&lt;GB$169,INDEX($FK$170:$ID$241,GB$169,$FJ181),SUMPRODUCT(INDEX($FK$325:$ID$396,GB$169,1+SwaptionShift):INDEX($FK$325:$ID$396,GB$169,SwaptionMonthsToGo+SwaptionShift),INDEX($FK$245:$ID$316,$FJ181-GB$169,73-GB$169+SwaptionShift):INDEX($FK$245:$ID$316,$FJ181-GB$169,72-GB$169+SwaptionMonthsToGo+SwaptionShift))/SQRT(SUM(INDEX($FK336:$ID336,1+SwaptionShift):INDEX($FK336:$ID336,SwaptionMonthsToGo+SwaptionShift))*SUM(INDEX($FK$325:$ID$396,GB$169,1+SwaptionShift):INDEX($FK$325:$ID$396,GB$169,SwaptionMonthsToGo+SwaptionShift))))))</f>
        <v>0.97233007496756796</v>
      </c>
      <c r="GC181" s="479" t="str">
        <f ca="1">IF(OR(GC$169&lt;SwaptionFirstMonthPosition+1,$FJ181&lt;SwaptionFirstMonthPosition+1,GC$169&gt;SwaptionFirstMonthPosition+SwaptionNumOfMonths+1,$FJ181&gt;SwaptionFirstMonthPosition+SwaptionNumOfMonths+1),"",IF($FJ181=GC$169,1,IF($FJ181&lt;GC$169,INDEX($FK$170:$ID$241,GC$169,$FJ181),SUMPRODUCT(INDEX($FK$325:$ID$396,GC$169,1+SwaptionShift):INDEX($FK$325:$ID$396,GC$169,SwaptionMonthsToGo+SwaptionShift),INDEX($FK$245:$ID$316,$FJ181-GC$169,73-GC$169+SwaptionShift):INDEX($FK$245:$ID$316,$FJ181-GC$169,72-GC$169+SwaptionMonthsToGo+SwaptionShift))/SQRT(SUM(INDEX($FK336:$ID336,1+SwaptionShift):INDEX($FK336:$ID336,SwaptionMonthsToGo+SwaptionShift))*SUM(INDEX($FK$325:$ID$396,GC$169,1+SwaptionShift):INDEX($FK$325:$ID$396,GC$169,SwaptionMonthsToGo+SwaptionShift))))))</f>
        <v/>
      </c>
      <c r="GD181" s="479" t="str">
        <f ca="1">IF(OR(GD$169&lt;SwaptionFirstMonthPosition+1,$FJ181&lt;SwaptionFirstMonthPosition+1,GD$169&gt;SwaptionFirstMonthPosition+SwaptionNumOfMonths+1,$FJ181&gt;SwaptionFirstMonthPosition+SwaptionNumOfMonths+1),"",IF($FJ181=GD$169,1,IF($FJ181&lt;GD$169,INDEX($FK$170:$ID$241,GD$169,$FJ181),SUMPRODUCT(INDEX($FK$325:$ID$396,GD$169,1+SwaptionShift):INDEX($FK$325:$ID$396,GD$169,SwaptionMonthsToGo+SwaptionShift),INDEX($FK$245:$ID$316,$FJ181-GD$169,73-GD$169+SwaptionShift):INDEX($FK$245:$ID$316,$FJ181-GD$169,72-GD$169+SwaptionMonthsToGo+SwaptionShift))/SQRT(SUM(INDEX($FK336:$ID336,1+SwaptionShift):INDEX($FK336:$ID336,SwaptionMonthsToGo+SwaptionShift))*SUM(INDEX($FK$325:$ID$396,GD$169,1+SwaptionShift):INDEX($FK$325:$ID$396,GD$169,SwaptionMonthsToGo+SwaptionShift))))))</f>
        <v/>
      </c>
      <c r="GE181" s="479" t="str">
        <f ca="1">IF(OR(GE$169&lt;SwaptionFirstMonthPosition+1,$FJ181&lt;SwaptionFirstMonthPosition+1,GE$169&gt;SwaptionFirstMonthPosition+SwaptionNumOfMonths+1,$FJ181&gt;SwaptionFirstMonthPosition+SwaptionNumOfMonths+1),"",IF($FJ181=GE$169,1,IF($FJ181&lt;GE$169,INDEX($FK$170:$ID$241,GE$169,$FJ181),SUMPRODUCT(INDEX($FK$325:$ID$396,GE$169,1+SwaptionShift):INDEX($FK$325:$ID$396,GE$169,SwaptionMonthsToGo+SwaptionShift),INDEX($FK$245:$ID$316,$FJ181-GE$169,73-GE$169+SwaptionShift):INDEX($FK$245:$ID$316,$FJ181-GE$169,72-GE$169+SwaptionMonthsToGo+SwaptionShift))/SQRT(SUM(INDEX($FK336:$ID336,1+SwaptionShift):INDEX($FK336:$ID336,SwaptionMonthsToGo+SwaptionShift))*SUM(INDEX($FK$325:$ID$396,GE$169,1+SwaptionShift):INDEX($FK$325:$ID$396,GE$169,SwaptionMonthsToGo+SwaptionShift))))))</f>
        <v/>
      </c>
      <c r="GF181" s="479" t="str">
        <f ca="1">IF(OR(GF$169&lt;SwaptionFirstMonthPosition+1,$FJ181&lt;SwaptionFirstMonthPosition+1,GF$169&gt;SwaptionFirstMonthPosition+SwaptionNumOfMonths+1,$FJ181&gt;SwaptionFirstMonthPosition+SwaptionNumOfMonths+1),"",IF($FJ181=GF$169,1,IF($FJ181&lt;GF$169,INDEX($FK$170:$ID$241,GF$169,$FJ181),SUMPRODUCT(INDEX($FK$325:$ID$396,GF$169,1+SwaptionShift):INDEX($FK$325:$ID$396,GF$169,SwaptionMonthsToGo+SwaptionShift),INDEX($FK$245:$ID$316,$FJ181-GF$169,73-GF$169+SwaptionShift):INDEX($FK$245:$ID$316,$FJ181-GF$169,72-GF$169+SwaptionMonthsToGo+SwaptionShift))/SQRT(SUM(INDEX($FK336:$ID336,1+SwaptionShift):INDEX($FK336:$ID336,SwaptionMonthsToGo+SwaptionShift))*SUM(INDEX($FK$325:$ID$396,GF$169,1+SwaptionShift):INDEX($FK$325:$ID$396,GF$169,SwaptionMonthsToGo+SwaptionShift))))))</f>
        <v/>
      </c>
      <c r="GG181" s="479" t="str">
        <f ca="1">IF(OR(GG$169&lt;SwaptionFirstMonthPosition+1,$FJ181&lt;SwaptionFirstMonthPosition+1,GG$169&gt;SwaptionFirstMonthPosition+SwaptionNumOfMonths+1,$FJ181&gt;SwaptionFirstMonthPosition+SwaptionNumOfMonths+1),"",IF($FJ181=GG$169,1,IF($FJ181&lt;GG$169,INDEX($FK$170:$ID$241,GG$169,$FJ181),SUMPRODUCT(INDEX($FK$325:$ID$396,GG$169,1+SwaptionShift):INDEX($FK$325:$ID$396,GG$169,SwaptionMonthsToGo+SwaptionShift),INDEX($FK$245:$ID$316,$FJ181-GG$169,73-GG$169+SwaptionShift):INDEX($FK$245:$ID$316,$FJ181-GG$169,72-GG$169+SwaptionMonthsToGo+SwaptionShift))/SQRT(SUM(INDEX($FK336:$ID336,1+SwaptionShift):INDEX($FK336:$ID336,SwaptionMonthsToGo+SwaptionShift))*SUM(INDEX($FK$325:$ID$396,GG$169,1+SwaptionShift):INDEX($FK$325:$ID$396,GG$169,SwaptionMonthsToGo+SwaptionShift))))))</f>
        <v/>
      </c>
      <c r="GH181" s="479" t="str">
        <f ca="1">IF(OR(GH$169&lt;SwaptionFirstMonthPosition+1,$FJ181&lt;SwaptionFirstMonthPosition+1,GH$169&gt;SwaptionFirstMonthPosition+SwaptionNumOfMonths+1,$FJ181&gt;SwaptionFirstMonthPosition+SwaptionNumOfMonths+1),"",IF($FJ181=GH$169,1,IF($FJ181&lt;GH$169,INDEX($FK$170:$ID$241,GH$169,$FJ181),SUMPRODUCT(INDEX($FK$325:$ID$396,GH$169,1+SwaptionShift):INDEX($FK$325:$ID$396,GH$169,SwaptionMonthsToGo+SwaptionShift),INDEX($FK$245:$ID$316,$FJ181-GH$169,73-GH$169+SwaptionShift):INDEX($FK$245:$ID$316,$FJ181-GH$169,72-GH$169+SwaptionMonthsToGo+SwaptionShift))/SQRT(SUM(INDEX($FK336:$ID336,1+SwaptionShift):INDEX($FK336:$ID336,SwaptionMonthsToGo+SwaptionShift))*SUM(INDEX($FK$325:$ID$396,GH$169,1+SwaptionShift):INDEX($FK$325:$ID$396,GH$169,SwaptionMonthsToGo+SwaptionShift))))))</f>
        <v/>
      </c>
      <c r="GI181" s="479" t="str">
        <f ca="1">IF(OR(GI$169&lt;SwaptionFirstMonthPosition+1,$FJ181&lt;SwaptionFirstMonthPosition+1,GI$169&gt;SwaptionFirstMonthPosition+SwaptionNumOfMonths+1,$FJ181&gt;SwaptionFirstMonthPosition+SwaptionNumOfMonths+1),"",IF($FJ181=GI$169,1,IF($FJ181&lt;GI$169,INDEX($FK$170:$ID$241,GI$169,$FJ181),SUMPRODUCT(INDEX($FK$325:$ID$396,GI$169,1+SwaptionShift):INDEX($FK$325:$ID$396,GI$169,SwaptionMonthsToGo+SwaptionShift),INDEX($FK$245:$ID$316,$FJ181-GI$169,73-GI$169+SwaptionShift):INDEX($FK$245:$ID$316,$FJ181-GI$169,72-GI$169+SwaptionMonthsToGo+SwaptionShift))/SQRT(SUM(INDEX($FK336:$ID336,1+SwaptionShift):INDEX($FK336:$ID336,SwaptionMonthsToGo+SwaptionShift))*SUM(INDEX($FK$325:$ID$396,GI$169,1+SwaptionShift):INDEX($FK$325:$ID$396,GI$169,SwaptionMonthsToGo+SwaptionShift))))))</f>
        <v/>
      </c>
      <c r="GJ181" s="479" t="str">
        <f ca="1">IF(OR(GJ$169&lt;SwaptionFirstMonthPosition+1,$FJ181&lt;SwaptionFirstMonthPosition+1,GJ$169&gt;SwaptionFirstMonthPosition+SwaptionNumOfMonths+1,$FJ181&gt;SwaptionFirstMonthPosition+SwaptionNumOfMonths+1),"",IF($FJ181=GJ$169,1,IF($FJ181&lt;GJ$169,INDEX($FK$170:$ID$241,GJ$169,$FJ181),SUMPRODUCT(INDEX($FK$325:$ID$396,GJ$169,1+SwaptionShift):INDEX($FK$325:$ID$396,GJ$169,SwaptionMonthsToGo+SwaptionShift),INDEX($FK$245:$ID$316,$FJ181-GJ$169,73-GJ$169+SwaptionShift):INDEX($FK$245:$ID$316,$FJ181-GJ$169,72-GJ$169+SwaptionMonthsToGo+SwaptionShift))/SQRT(SUM(INDEX($FK336:$ID336,1+SwaptionShift):INDEX($FK336:$ID336,SwaptionMonthsToGo+SwaptionShift))*SUM(INDEX($FK$325:$ID$396,GJ$169,1+SwaptionShift):INDEX($FK$325:$ID$396,GJ$169,SwaptionMonthsToGo+SwaptionShift))))))</f>
        <v/>
      </c>
      <c r="GK181" s="479" t="str">
        <f ca="1">IF(OR(GK$169&lt;SwaptionFirstMonthPosition+1,$FJ181&lt;SwaptionFirstMonthPosition+1,GK$169&gt;SwaptionFirstMonthPosition+SwaptionNumOfMonths+1,$FJ181&gt;SwaptionFirstMonthPosition+SwaptionNumOfMonths+1),"",IF($FJ181=GK$169,1,IF($FJ181&lt;GK$169,INDEX($FK$170:$ID$241,GK$169,$FJ181),SUMPRODUCT(INDEX($FK$325:$ID$396,GK$169,1+SwaptionShift):INDEX($FK$325:$ID$396,GK$169,SwaptionMonthsToGo+SwaptionShift),INDEX($FK$245:$ID$316,$FJ181-GK$169,73-GK$169+SwaptionShift):INDEX($FK$245:$ID$316,$FJ181-GK$169,72-GK$169+SwaptionMonthsToGo+SwaptionShift))/SQRT(SUM(INDEX($FK336:$ID336,1+SwaptionShift):INDEX($FK336:$ID336,SwaptionMonthsToGo+SwaptionShift))*SUM(INDEX($FK$325:$ID$396,GK$169,1+SwaptionShift):INDEX($FK$325:$ID$396,GK$169,SwaptionMonthsToGo+SwaptionShift))))))</f>
        <v/>
      </c>
      <c r="GL181" s="479" t="str">
        <f ca="1">IF(OR(GL$169&lt;SwaptionFirstMonthPosition+1,$FJ181&lt;SwaptionFirstMonthPosition+1,GL$169&gt;SwaptionFirstMonthPosition+SwaptionNumOfMonths+1,$FJ181&gt;SwaptionFirstMonthPosition+SwaptionNumOfMonths+1),"",IF($FJ181=GL$169,1,IF($FJ181&lt;GL$169,INDEX($FK$170:$ID$241,GL$169,$FJ181),SUMPRODUCT(INDEX($FK$325:$ID$396,GL$169,1+SwaptionShift):INDEX($FK$325:$ID$396,GL$169,SwaptionMonthsToGo+SwaptionShift),INDEX($FK$245:$ID$316,$FJ181-GL$169,73-GL$169+SwaptionShift):INDEX($FK$245:$ID$316,$FJ181-GL$169,72-GL$169+SwaptionMonthsToGo+SwaptionShift))/SQRT(SUM(INDEX($FK336:$ID336,1+SwaptionShift):INDEX($FK336:$ID336,SwaptionMonthsToGo+SwaptionShift))*SUM(INDEX($FK$325:$ID$396,GL$169,1+SwaptionShift):INDEX($FK$325:$ID$396,GL$169,SwaptionMonthsToGo+SwaptionShift))))))</f>
        <v/>
      </c>
      <c r="GM181" s="479" t="str">
        <f ca="1">IF(OR(GM$169&lt;SwaptionFirstMonthPosition+1,$FJ181&lt;SwaptionFirstMonthPosition+1,GM$169&gt;SwaptionFirstMonthPosition+SwaptionNumOfMonths+1,$FJ181&gt;SwaptionFirstMonthPosition+SwaptionNumOfMonths+1),"",IF($FJ181=GM$169,1,IF($FJ181&lt;GM$169,INDEX($FK$170:$ID$241,GM$169,$FJ181),SUMPRODUCT(INDEX($FK$325:$ID$396,GM$169,1+SwaptionShift):INDEX($FK$325:$ID$396,GM$169,SwaptionMonthsToGo+SwaptionShift),INDEX($FK$245:$ID$316,$FJ181-GM$169,73-GM$169+SwaptionShift):INDEX($FK$245:$ID$316,$FJ181-GM$169,72-GM$169+SwaptionMonthsToGo+SwaptionShift))/SQRT(SUM(INDEX($FK336:$ID336,1+SwaptionShift):INDEX($FK336:$ID336,SwaptionMonthsToGo+SwaptionShift))*SUM(INDEX($FK$325:$ID$396,GM$169,1+SwaptionShift):INDEX($FK$325:$ID$396,GM$169,SwaptionMonthsToGo+SwaptionShift))))))</f>
        <v/>
      </c>
      <c r="GN181" s="479" t="str">
        <f ca="1">IF(OR(GN$169&lt;SwaptionFirstMonthPosition+1,$FJ181&lt;SwaptionFirstMonthPosition+1,GN$169&gt;SwaptionFirstMonthPosition+SwaptionNumOfMonths+1,$FJ181&gt;SwaptionFirstMonthPosition+SwaptionNumOfMonths+1),"",IF($FJ181=GN$169,1,IF($FJ181&lt;GN$169,INDEX($FK$170:$ID$241,GN$169,$FJ181),SUMPRODUCT(INDEX($FK$325:$ID$396,GN$169,1+SwaptionShift):INDEX($FK$325:$ID$396,GN$169,SwaptionMonthsToGo+SwaptionShift),INDEX($FK$245:$ID$316,$FJ181-GN$169,73-GN$169+SwaptionShift):INDEX($FK$245:$ID$316,$FJ181-GN$169,72-GN$169+SwaptionMonthsToGo+SwaptionShift))/SQRT(SUM(INDEX($FK336:$ID336,1+SwaptionShift):INDEX($FK336:$ID336,SwaptionMonthsToGo+SwaptionShift))*SUM(INDEX($FK$325:$ID$396,GN$169,1+SwaptionShift):INDEX($FK$325:$ID$396,GN$169,SwaptionMonthsToGo+SwaptionShift))))))</f>
        <v/>
      </c>
      <c r="GO181" s="479" t="str">
        <f ca="1">IF(OR(GO$169&lt;SwaptionFirstMonthPosition+1,$FJ181&lt;SwaptionFirstMonthPosition+1,GO$169&gt;SwaptionFirstMonthPosition+SwaptionNumOfMonths+1,$FJ181&gt;SwaptionFirstMonthPosition+SwaptionNumOfMonths+1),"",IF($FJ181=GO$169,1,IF($FJ181&lt;GO$169,INDEX($FK$170:$ID$241,GO$169,$FJ181),SUMPRODUCT(INDEX($FK$325:$ID$396,GO$169,1+SwaptionShift):INDEX($FK$325:$ID$396,GO$169,SwaptionMonthsToGo+SwaptionShift),INDEX($FK$245:$ID$316,$FJ181-GO$169,73-GO$169+SwaptionShift):INDEX($FK$245:$ID$316,$FJ181-GO$169,72-GO$169+SwaptionMonthsToGo+SwaptionShift))/SQRT(SUM(INDEX($FK336:$ID336,1+SwaptionShift):INDEX($FK336:$ID336,SwaptionMonthsToGo+SwaptionShift))*SUM(INDEX($FK$325:$ID$396,GO$169,1+SwaptionShift):INDEX($FK$325:$ID$396,GO$169,SwaptionMonthsToGo+SwaptionShift))))))</f>
        <v/>
      </c>
      <c r="GP181" s="479" t="str">
        <f ca="1">IF(OR(GP$169&lt;SwaptionFirstMonthPosition+1,$FJ181&lt;SwaptionFirstMonthPosition+1,GP$169&gt;SwaptionFirstMonthPosition+SwaptionNumOfMonths+1,$FJ181&gt;SwaptionFirstMonthPosition+SwaptionNumOfMonths+1),"",IF($FJ181=GP$169,1,IF($FJ181&lt;GP$169,INDEX($FK$170:$ID$241,GP$169,$FJ181),SUMPRODUCT(INDEX($FK$325:$ID$396,GP$169,1+SwaptionShift):INDEX($FK$325:$ID$396,GP$169,SwaptionMonthsToGo+SwaptionShift),INDEX($FK$245:$ID$316,$FJ181-GP$169,73-GP$169+SwaptionShift):INDEX($FK$245:$ID$316,$FJ181-GP$169,72-GP$169+SwaptionMonthsToGo+SwaptionShift))/SQRT(SUM(INDEX($FK336:$ID336,1+SwaptionShift):INDEX($FK336:$ID336,SwaptionMonthsToGo+SwaptionShift))*SUM(INDEX($FK$325:$ID$396,GP$169,1+SwaptionShift):INDEX($FK$325:$ID$396,GP$169,SwaptionMonthsToGo+SwaptionShift))))))</f>
        <v/>
      </c>
      <c r="GQ181" s="479" t="str">
        <f ca="1">IF(OR(GQ$169&lt;SwaptionFirstMonthPosition+1,$FJ181&lt;SwaptionFirstMonthPosition+1,GQ$169&gt;SwaptionFirstMonthPosition+SwaptionNumOfMonths+1,$FJ181&gt;SwaptionFirstMonthPosition+SwaptionNumOfMonths+1),"",IF($FJ181=GQ$169,1,IF($FJ181&lt;GQ$169,INDEX($FK$170:$ID$241,GQ$169,$FJ181),SUMPRODUCT(INDEX($FK$325:$ID$396,GQ$169,1+SwaptionShift):INDEX($FK$325:$ID$396,GQ$169,SwaptionMonthsToGo+SwaptionShift),INDEX($FK$245:$ID$316,$FJ181-GQ$169,73-GQ$169+SwaptionShift):INDEX($FK$245:$ID$316,$FJ181-GQ$169,72-GQ$169+SwaptionMonthsToGo+SwaptionShift))/SQRT(SUM(INDEX($FK336:$ID336,1+SwaptionShift):INDEX($FK336:$ID336,SwaptionMonthsToGo+SwaptionShift))*SUM(INDEX($FK$325:$ID$396,GQ$169,1+SwaptionShift):INDEX($FK$325:$ID$396,GQ$169,SwaptionMonthsToGo+SwaptionShift))))))</f>
        <v/>
      </c>
      <c r="GR181" s="479" t="str">
        <f ca="1">IF(OR(GR$169&lt;SwaptionFirstMonthPosition+1,$FJ181&lt;SwaptionFirstMonthPosition+1,GR$169&gt;SwaptionFirstMonthPosition+SwaptionNumOfMonths+1,$FJ181&gt;SwaptionFirstMonthPosition+SwaptionNumOfMonths+1),"",IF($FJ181=GR$169,1,IF($FJ181&lt;GR$169,INDEX($FK$170:$ID$241,GR$169,$FJ181),SUMPRODUCT(INDEX($FK$325:$ID$396,GR$169,1+SwaptionShift):INDEX($FK$325:$ID$396,GR$169,SwaptionMonthsToGo+SwaptionShift),INDEX($FK$245:$ID$316,$FJ181-GR$169,73-GR$169+SwaptionShift):INDEX($FK$245:$ID$316,$FJ181-GR$169,72-GR$169+SwaptionMonthsToGo+SwaptionShift))/SQRT(SUM(INDEX($FK336:$ID336,1+SwaptionShift):INDEX($FK336:$ID336,SwaptionMonthsToGo+SwaptionShift))*SUM(INDEX($FK$325:$ID$396,GR$169,1+SwaptionShift):INDEX($FK$325:$ID$396,GR$169,SwaptionMonthsToGo+SwaptionShift))))))</f>
        <v/>
      </c>
      <c r="GS181" s="479" t="str">
        <f ca="1">IF(OR(GS$169&lt;SwaptionFirstMonthPosition+1,$FJ181&lt;SwaptionFirstMonthPosition+1,GS$169&gt;SwaptionFirstMonthPosition+SwaptionNumOfMonths+1,$FJ181&gt;SwaptionFirstMonthPosition+SwaptionNumOfMonths+1),"",IF($FJ181=GS$169,1,IF($FJ181&lt;GS$169,INDEX($FK$170:$ID$241,GS$169,$FJ181),SUMPRODUCT(INDEX($FK$325:$ID$396,GS$169,1+SwaptionShift):INDEX($FK$325:$ID$396,GS$169,SwaptionMonthsToGo+SwaptionShift),INDEX($FK$245:$ID$316,$FJ181-GS$169,73-GS$169+SwaptionShift):INDEX($FK$245:$ID$316,$FJ181-GS$169,72-GS$169+SwaptionMonthsToGo+SwaptionShift))/SQRT(SUM(INDEX($FK336:$ID336,1+SwaptionShift):INDEX($FK336:$ID336,SwaptionMonthsToGo+SwaptionShift))*SUM(INDEX($FK$325:$ID$396,GS$169,1+SwaptionShift):INDEX($FK$325:$ID$396,GS$169,SwaptionMonthsToGo+SwaptionShift))))))</f>
        <v/>
      </c>
      <c r="GT181" s="479" t="str">
        <f ca="1">IF(OR(GT$169&lt;SwaptionFirstMonthPosition+1,$FJ181&lt;SwaptionFirstMonthPosition+1,GT$169&gt;SwaptionFirstMonthPosition+SwaptionNumOfMonths+1,$FJ181&gt;SwaptionFirstMonthPosition+SwaptionNumOfMonths+1),"",IF($FJ181=GT$169,1,IF($FJ181&lt;GT$169,INDEX($FK$170:$ID$241,GT$169,$FJ181),SUMPRODUCT(INDEX($FK$325:$ID$396,GT$169,1+SwaptionShift):INDEX($FK$325:$ID$396,GT$169,SwaptionMonthsToGo+SwaptionShift),INDEX($FK$245:$ID$316,$FJ181-GT$169,73-GT$169+SwaptionShift):INDEX($FK$245:$ID$316,$FJ181-GT$169,72-GT$169+SwaptionMonthsToGo+SwaptionShift))/SQRT(SUM(INDEX($FK336:$ID336,1+SwaptionShift):INDEX($FK336:$ID336,SwaptionMonthsToGo+SwaptionShift))*SUM(INDEX($FK$325:$ID$396,GT$169,1+SwaptionShift):INDEX($FK$325:$ID$396,GT$169,SwaptionMonthsToGo+SwaptionShift))))))</f>
        <v/>
      </c>
      <c r="GU181" s="479" t="str">
        <f ca="1">IF(OR(GU$169&lt;SwaptionFirstMonthPosition+1,$FJ181&lt;SwaptionFirstMonthPosition+1,GU$169&gt;SwaptionFirstMonthPosition+SwaptionNumOfMonths+1,$FJ181&gt;SwaptionFirstMonthPosition+SwaptionNumOfMonths+1),"",IF($FJ181=GU$169,1,IF($FJ181&lt;GU$169,INDEX($FK$170:$ID$241,GU$169,$FJ181),SUMPRODUCT(INDEX($FK$325:$ID$396,GU$169,1+SwaptionShift):INDEX($FK$325:$ID$396,GU$169,SwaptionMonthsToGo+SwaptionShift),INDEX($FK$245:$ID$316,$FJ181-GU$169,73-GU$169+SwaptionShift):INDEX($FK$245:$ID$316,$FJ181-GU$169,72-GU$169+SwaptionMonthsToGo+SwaptionShift))/SQRT(SUM(INDEX($FK336:$ID336,1+SwaptionShift):INDEX($FK336:$ID336,SwaptionMonthsToGo+SwaptionShift))*SUM(INDEX($FK$325:$ID$396,GU$169,1+SwaptionShift):INDEX($FK$325:$ID$396,GU$169,SwaptionMonthsToGo+SwaptionShift))))))</f>
        <v/>
      </c>
      <c r="GV181" s="479" t="str">
        <f ca="1">IF(OR(GV$169&lt;SwaptionFirstMonthPosition+1,$FJ181&lt;SwaptionFirstMonthPosition+1,GV$169&gt;SwaptionFirstMonthPosition+SwaptionNumOfMonths+1,$FJ181&gt;SwaptionFirstMonthPosition+SwaptionNumOfMonths+1),"",IF($FJ181=GV$169,1,IF($FJ181&lt;GV$169,INDEX($FK$170:$ID$241,GV$169,$FJ181),SUMPRODUCT(INDEX($FK$325:$ID$396,GV$169,1+SwaptionShift):INDEX($FK$325:$ID$396,GV$169,SwaptionMonthsToGo+SwaptionShift),INDEX($FK$245:$ID$316,$FJ181-GV$169,73-GV$169+SwaptionShift):INDEX($FK$245:$ID$316,$FJ181-GV$169,72-GV$169+SwaptionMonthsToGo+SwaptionShift))/SQRT(SUM(INDEX($FK336:$ID336,1+SwaptionShift):INDEX($FK336:$ID336,SwaptionMonthsToGo+SwaptionShift))*SUM(INDEX($FK$325:$ID$396,GV$169,1+SwaptionShift):INDEX($FK$325:$ID$396,GV$169,SwaptionMonthsToGo+SwaptionShift))))))</f>
        <v/>
      </c>
      <c r="GW181" s="479" t="str">
        <f ca="1">IF(OR(GW$169&lt;SwaptionFirstMonthPosition+1,$FJ181&lt;SwaptionFirstMonthPosition+1,GW$169&gt;SwaptionFirstMonthPosition+SwaptionNumOfMonths+1,$FJ181&gt;SwaptionFirstMonthPosition+SwaptionNumOfMonths+1),"",IF($FJ181=GW$169,1,IF($FJ181&lt;GW$169,INDEX($FK$170:$ID$241,GW$169,$FJ181),SUMPRODUCT(INDEX($FK$325:$ID$396,GW$169,1+SwaptionShift):INDEX($FK$325:$ID$396,GW$169,SwaptionMonthsToGo+SwaptionShift),INDEX($FK$245:$ID$316,$FJ181-GW$169,73-GW$169+SwaptionShift):INDEX($FK$245:$ID$316,$FJ181-GW$169,72-GW$169+SwaptionMonthsToGo+SwaptionShift))/SQRT(SUM(INDEX($FK336:$ID336,1+SwaptionShift):INDEX($FK336:$ID336,SwaptionMonthsToGo+SwaptionShift))*SUM(INDEX($FK$325:$ID$396,GW$169,1+SwaptionShift):INDEX($FK$325:$ID$396,GW$169,SwaptionMonthsToGo+SwaptionShift))))))</f>
        <v/>
      </c>
      <c r="GX181" s="479" t="str">
        <f ca="1">IF(OR(GX$169&lt;SwaptionFirstMonthPosition+1,$FJ181&lt;SwaptionFirstMonthPosition+1,GX$169&gt;SwaptionFirstMonthPosition+SwaptionNumOfMonths+1,$FJ181&gt;SwaptionFirstMonthPosition+SwaptionNumOfMonths+1),"",IF($FJ181=GX$169,1,IF($FJ181&lt;GX$169,INDEX($FK$170:$ID$241,GX$169,$FJ181),SUMPRODUCT(INDEX($FK$325:$ID$396,GX$169,1+SwaptionShift):INDEX($FK$325:$ID$396,GX$169,SwaptionMonthsToGo+SwaptionShift),INDEX($FK$245:$ID$316,$FJ181-GX$169,73-GX$169+SwaptionShift):INDEX($FK$245:$ID$316,$FJ181-GX$169,72-GX$169+SwaptionMonthsToGo+SwaptionShift))/SQRT(SUM(INDEX($FK336:$ID336,1+SwaptionShift):INDEX($FK336:$ID336,SwaptionMonthsToGo+SwaptionShift))*SUM(INDEX($FK$325:$ID$396,GX$169,1+SwaptionShift):INDEX($FK$325:$ID$396,GX$169,SwaptionMonthsToGo+SwaptionShift))))))</f>
        <v/>
      </c>
      <c r="GY181" s="479" t="str">
        <f ca="1">IF(OR(GY$169&lt;SwaptionFirstMonthPosition+1,$FJ181&lt;SwaptionFirstMonthPosition+1,GY$169&gt;SwaptionFirstMonthPosition+SwaptionNumOfMonths+1,$FJ181&gt;SwaptionFirstMonthPosition+SwaptionNumOfMonths+1),"",IF($FJ181=GY$169,1,IF($FJ181&lt;GY$169,INDEX($FK$170:$ID$241,GY$169,$FJ181),SUMPRODUCT(INDEX($FK$325:$ID$396,GY$169,1+SwaptionShift):INDEX($FK$325:$ID$396,GY$169,SwaptionMonthsToGo+SwaptionShift),INDEX($FK$245:$ID$316,$FJ181-GY$169,73-GY$169+SwaptionShift):INDEX($FK$245:$ID$316,$FJ181-GY$169,72-GY$169+SwaptionMonthsToGo+SwaptionShift))/SQRT(SUM(INDEX($FK336:$ID336,1+SwaptionShift):INDEX($FK336:$ID336,SwaptionMonthsToGo+SwaptionShift))*SUM(INDEX($FK$325:$ID$396,GY$169,1+SwaptionShift):INDEX($FK$325:$ID$396,GY$169,SwaptionMonthsToGo+SwaptionShift))))))</f>
        <v/>
      </c>
      <c r="GZ181" s="479" t="str">
        <f ca="1">IF(OR(GZ$169&lt;SwaptionFirstMonthPosition+1,$FJ181&lt;SwaptionFirstMonthPosition+1,GZ$169&gt;SwaptionFirstMonthPosition+SwaptionNumOfMonths+1,$FJ181&gt;SwaptionFirstMonthPosition+SwaptionNumOfMonths+1),"",IF($FJ181=GZ$169,1,IF($FJ181&lt;GZ$169,INDEX($FK$170:$ID$241,GZ$169,$FJ181),SUMPRODUCT(INDEX($FK$325:$ID$396,GZ$169,1+SwaptionShift):INDEX($FK$325:$ID$396,GZ$169,SwaptionMonthsToGo+SwaptionShift),INDEX($FK$245:$ID$316,$FJ181-GZ$169,73-GZ$169+SwaptionShift):INDEX($FK$245:$ID$316,$FJ181-GZ$169,72-GZ$169+SwaptionMonthsToGo+SwaptionShift))/SQRT(SUM(INDEX($FK336:$ID336,1+SwaptionShift):INDEX($FK336:$ID336,SwaptionMonthsToGo+SwaptionShift))*SUM(INDEX($FK$325:$ID$396,GZ$169,1+SwaptionShift):INDEX($FK$325:$ID$396,GZ$169,SwaptionMonthsToGo+SwaptionShift))))))</f>
        <v/>
      </c>
      <c r="HA181" s="479" t="str">
        <f ca="1">IF(OR(HA$169&lt;SwaptionFirstMonthPosition+1,$FJ181&lt;SwaptionFirstMonthPosition+1,HA$169&gt;SwaptionFirstMonthPosition+SwaptionNumOfMonths+1,$FJ181&gt;SwaptionFirstMonthPosition+SwaptionNumOfMonths+1),"",IF($FJ181=HA$169,1,IF($FJ181&lt;HA$169,INDEX($FK$170:$ID$241,HA$169,$FJ181),SUMPRODUCT(INDEX($FK$325:$ID$396,HA$169,1+SwaptionShift):INDEX($FK$325:$ID$396,HA$169,SwaptionMonthsToGo+SwaptionShift),INDEX($FK$245:$ID$316,$FJ181-HA$169,73-HA$169+SwaptionShift):INDEX($FK$245:$ID$316,$FJ181-HA$169,72-HA$169+SwaptionMonthsToGo+SwaptionShift))/SQRT(SUM(INDEX($FK336:$ID336,1+SwaptionShift):INDEX($FK336:$ID336,SwaptionMonthsToGo+SwaptionShift))*SUM(INDEX($FK$325:$ID$396,HA$169,1+SwaptionShift):INDEX($FK$325:$ID$396,HA$169,SwaptionMonthsToGo+SwaptionShift))))))</f>
        <v/>
      </c>
      <c r="HB181" s="479" t="str">
        <f ca="1">IF(OR(HB$169&lt;SwaptionFirstMonthPosition+1,$FJ181&lt;SwaptionFirstMonthPosition+1,HB$169&gt;SwaptionFirstMonthPosition+SwaptionNumOfMonths+1,$FJ181&gt;SwaptionFirstMonthPosition+SwaptionNumOfMonths+1),"",IF($FJ181=HB$169,1,IF($FJ181&lt;HB$169,INDEX($FK$170:$ID$241,HB$169,$FJ181),SUMPRODUCT(INDEX($FK$325:$ID$396,HB$169,1+SwaptionShift):INDEX($FK$325:$ID$396,HB$169,SwaptionMonthsToGo+SwaptionShift),INDEX($FK$245:$ID$316,$FJ181-HB$169,73-HB$169+SwaptionShift):INDEX($FK$245:$ID$316,$FJ181-HB$169,72-HB$169+SwaptionMonthsToGo+SwaptionShift))/SQRT(SUM(INDEX($FK336:$ID336,1+SwaptionShift):INDEX($FK336:$ID336,SwaptionMonthsToGo+SwaptionShift))*SUM(INDEX($FK$325:$ID$396,HB$169,1+SwaptionShift):INDEX($FK$325:$ID$396,HB$169,SwaptionMonthsToGo+SwaptionShift))))))</f>
        <v/>
      </c>
      <c r="HC181" s="479" t="str">
        <f ca="1">IF(OR(HC$169&lt;SwaptionFirstMonthPosition+1,$FJ181&lt;SwaptionFirstMonthPosition+1,HC$169&gt;SwaptionFirstMonthPosition+SwaptionNumOfMonths+1,$FJ181&gt;SwaptionFirstMonthPosition+SwaptionNumOfMonths+1),"",IF($FJ181=HC$169,1,IF($FJ181&lt;HC$169,INDEX($FK$170:$ID$241,HC$169,$FJ181),SUMPRODUCT(INDEX($FK$325:$ID$396,HC$169,1+SwaptionShift):INDEX($FK$325:$ID$396,HC$169,SwaptionMonthsToGo+SwaptionShift),INDEX($FK$245:$ID$316,$FJ181-HC$169,73-HC$169+SwaptionShift):INDEX($FK$245:$ID$316,$FJ181-HC$169,72-HC$169+SwaptionMonthsToGo+SwaptionShift))/SQRT(SUM(INDEX($FK336:$ID336,1+SwaptionShift):INDEX($FK336:$ID336,SwaptionMonthsToGo+SwaptionShift))*SUM(INDEX($FK$325:$ID$396,HC$169,1+SwaptionShift):INDEX($FK$325:$ID$396,HC$169,SwaptionMonthsToGo+SwaptionShift))))))</f>
        <v/>
      </c>
      <c r="HD181" s="479" t="str">
        <f ca="1">IF(OR(HD$169&lt;SwaptionFirstMonthPosition+1,$FJ181&lt;SwaptionFirstMonthPosition+1,HD$169&gt;SwaptionFirstMonthPosition+SwaptionNumOfMonths+1,$FJ181&gt;SwaptionFirstMonthPosition+SwaptionNumOfMonths+1),"",IF($FJ181=HD$169,1,IF($FJ181&lt;HD$169,INDEX($FK$170:$ID$241,HD$169,$FJ181),SUMPRODUCT(INDEX($FK$325:$ID$396,HD$169,1+SwaptionShift):INDEX($FK$325:$ID$396,HD$169,SwaptionMonthsToGo+SwaptionShift),INDEX($FK$245:$ID$316,$FJ181-HD$169,73-HD$169+SwaptionShift):INDEX($FK$245:$ID$316,$FJ181-HD$169,72-HD$169+SwaptionMonthsToGo+SwaptionShift))/SQRT(SUM(INDEX($FK336:$ID336,1+SwaptionShift):INDEX($FK336:$ID336,SwaptionMonthsToGo+SwaptionShift))*SUM(INDEX($FK$325:$ID$396,HD$169,1+SwaptionShift):INDEX($FK$325:$ID$396,HD$169,SwaptionMonthsToGo+SwaptionShift))))))</f>
        <v/>
      </c>
      <c r="HE181" s="479" t="str">
        <f ca="1">IF(OR(HE$169&lt;SwaptionFirstMonthPosition+1,$FJ181&lt;SwaptionFirstMonthPosition+1,HE$169&gt;SwaptionFirstMonthPosition+SwaptionNumOfMonths+1,$FJ181&gt;SwaptionFirstMonthPosition+SwaptionNumOfMonths+1),"",IF($FJ181=HE$169,1,IF($FJ181&lt;HE$169,INDEX($FK$170:$ID$241,HE$169,$FJ181),SUMPRODUCT(INDEX($FK$325:$ID$396,HE$169,1+SwaptionShift):INDEX($FK$325:$ID$396,HE$169,SwaptionMonthsToGo+SwaptionShift),INDEX($FK$245:$ID$316,$FJ181-HE$169,73-HE$169+SwaptionShift):INDEX($FK$245:$ID$316,$FJ181-HE$169,72-HE$169+SwaptionMonthsToGo+SwaptionShift))/SQRT(SUM(INDEX($FK336:$ID336,1+SwaptionShift):INDEX($FK336:$ID336,SwaptionMonthsToGo+SwaptionShift))*SUM(INDEX($FK$325:$ID$396,HE$169,1+SwaptionShift):INDEX($FK$325:$ID$396,HE$169,SwaptionMonthsToGo+SwaptionShift))))))</f>
        <v/>
      </c>
      <c r="HF181" s="479" t="str">
        <f ca="1">IF(OR(HF$169&lt;SwaptionFirstMonthPosition+1,$FJ181&lt;SwaptionFirstMonthPosition+1,HF$169&gt;SwaptionFirstMonthPosition+SwaptionNumOfMonths+1,$FJ181&gt;SwaptionFirstMonthPosition+SwaptionNumOfMonths+1),"",IF($FJ181=HF$169,1,IF($FJ181&lt;HF$169,INDEX($FK$170:$ID$241,HF$169,$FJ181),SUMPRODUCT(INDEX($FK$325:$ID$396,HF$169,1+SwaptionShift):INDEX($FK$325:$ID$396,HF$169,SwaptionMonthsToGo+SwaptionShift),INDEX($FK$245:$ID$316,$FJ181-HF$169,73-HF$169+SwaptionShift):INDEX($FK$245:$ID$316,$FJ181-HF$169,72-HF$169+SwaptionMonthsToGo+SwaptionShift))/SQRT(SUM(INDEX($FK336:$ID336,1+SwaptionShift):INDEX($FK336:$ID336,SwaptionMonthsToGo+SwaptionShift))*SUM(INDEX($FK$325:$ID$396,HF$169,1+SwaptionShift):INDEX($FK$325:$ID$396,HF$169,SwaptionMonthsToGo+SwaptionShift))))))</f>
        <v/>
      </c>
      <c r="HG181" s="479" t="str">
        <f ca="1">IF(OR(HG$169&lt;SwaptionFirstMonthPosition+1,$FJ181&lt;SwaptionFirstMonthPosition+1,HG$169&gt;SwaptionFirstMonthPosition+SwaptionNumOfMonths+1,$FJ181&gt;SwaptionFirstMonthPosition+SwaptionNumOfMonths+1),"",IF($FJ181=HG$169,1,IF($FJ181&lt;HG$169,INDEX($FK$170:$ID$241,HG$169,$FJ181),SUMPRODUCT(INDEX($FK$325:$ID$396,HG$169,1+SwaptionShift):INDEX($FK$325:$ID$396,HG$169,SwaptionMonthsToGo+SwaptionShift),INDEX($FK$245:$ID$316,$FJ181-HG$169,73-HG$169+SwaptionShift):INDEX($FK$245:$ID$316,$FJ181-HG$169,72-HG$169+SwaptionMonthsToGo+SwaptionShift))/SQRT(SUM(INDEX($FK336:$ID336,1+SwaptionShift):INDEX($FK336:$ID336,SwaptionMonthsToGo+SwaptionShift))*SUM(INDEX($FK$325:$ID$396,HG$169,1+SwaptionShift):INDEX($FK$325:$ID$396,HG$169,SwaptionMonthsToGo+SwaptionShift))))))</f>
        <v/>
      </c>
      <c r="HH181" s="479" t="str">
        <f ca="1">IF(OR(HH$169&lt;SwaptionFirstMonthPosition+1,$FJ181&lt;SwaptionFirstMonthPosition+1,HH$169&gt;SwaptionFirstMonthPosition+SwaptionNumOfMonths+1,$FJ181&gt;SwaptionFirstMonthPosition+SwaptionNumOfMonths+1),"",IF($FJ181=HH$169,1,IF($FJ181&lt;HH$169,INDEX($FK$170:$ID$241,HH$169,$FJ181),SUMPRODUCT(INDEX($FK$325:$ID$396,HH$169,1+SwaptionShift):INDEX($FK$325:$ID$396,HH$169,SwaptionMonthsToGo+SwaptionShift),INDEX($FK$245:$ID$316,$FJ181-HH$169,73-HH$169+SwaptionShift):INDEX($FK$245:$ID$316,$FJ181-HH$169,72-HH$169+SwaptionMonthsToGo+SwaptionShift))/SQRT(SUM(INDEX($FK336:$ID336,1+SwaptionShift):INDEX($FK336:$ID336,SwaptionMonthsToGo+SwaptionShift))*SUM(INDEX($FK$325:$ID$396,HH$169,1+SwaptionShift):INDEX($FK$325:$ID$396,HH$169,SwaptionMonthsToGo+SwaptionShift))))))</f>
        <v/>
      </c>
      <c r="HI181" s="479" t="str">
        <f ca="1">IF(OR(HI$169&lt;SwaptionFirstMonthPosition+1,$FJ181&lt;SwaptionFirstMonthPosition+1,HI$169&gt;SwaptionFirstMonthPosition+SwaptionNumOfMonths+1,$FJ181&gt;SwaptionFirstMonthPosition+SwaptionNumOfMonths+1),"",IF($FJ181=HI$169,1,IF($FJ181&lt;HI$169,INDEX($FK$170:$ID$241,HI$169,$FJ181),SUMPRODUCT(INDEX($FK$325:$ID$396,HI$169,1+SwaptionShift):INDEX($FK$325:$ID$396,HI$169,SwaptionMonthsToGo+SwaptionShift),INDEX($FK$245:$ID$316,$FJ181-HI$169,73-HI$169+SwaptionShift):INDEX($FK$245:$ID$316,$FJ181-HI$169,72-HI$169+SwaptionMonthsToGo+SwaptionShift))/SQRT(SUM(INDEX($FK336:$ID336,1+SwaptionShift):INDEX($FK336:$ID336,SwaptionMonthsToGo+SwaptionShift))*SUM(INDEX($FK$325:$ID$396,HI$169,1+SwaptionShift):INDEX($FK$325:$ID$396,HI$169,SwaptionMonthsToGo+SwaptionShift))))))</f>
        <v/>
      </c>
      <c r="HJ181" s="479" t="str">
        <f ca="1">IF(OR(HJ$169&lt;SwaptionFirstMonthPosition+1,$FJ181&lt;SwaptionFirstMonthPosition+1,HJ$169&gt;SwaptionFirstMonthPosition+SwaptionNumOfMonths+1,$FJ181&gt;SwaptionFirstMonthPosition+SwaptionNumOfMonths+1),"",IF($FJ181=HJ$169,1,IF($FJ181&lt;HJ$169,INDEX($FK$170:$ID$241,HJ$169,$FJ181),SUMPRODUCT(INDEX($FK$325:$ID$396,HJ$169,1+SwaptionShift):INDEX($FK$325:$ID$396,HJ$169,SwaptionMonthsToGo+SwaptionShift),INDEX($FK$245:$ID$316,$FJ181-HJ$169,73-HJ$169+SwaptionShift):INDEX($FK$245:$ID$316,$FJ181-HJ$169,72-HJ$169+SwaptionMonthsToGo+SwaptionShift))/SQRT(SUM(INDEX($FK336:$ID336,1+SwaptionShift):INDEX($FK336:$ID336,SwaptionMonthsToGo+SwaptionShift))*SUM(INDEX($FK$325:$ID$396,HJ$169,1+SwaptionShift):INDEX($FK$325:$ID$396,HJ$169,SwaptionMonthsToGo+SwaptionShift))))))</f>
        <v/>
      </c>
      <c r="HK181" s="479" t="str">
        <f ca="1">IF(OR(HK$169&lt;SwaptionFirstMonthPosition+1,$FJ181&lt;SwaptionFirstMonthPosition+1,HK$169&gt;SwaptionFirstMonthPosition+SwaptionNumOfMonths+1,$FJ181&gt;SwaptionFirstMonthPosition+SwaptionNumOfMonths+1),"",IF($FJ181=HK$169,1,IF($FJ181&lt;HK$169,INDEX($FK$170:$ID$241,HK$169,$FJ181),SUMPRODUCT(INDEX($FK$325:$ID$396,HK$169,1+SwaptionShift):INDEX($FK$325:$ID$396,HK$169,SwaptionMonthsToGo+SwaptionShift),INDEX($FK$245:$ID$316,$FJ181-HK$169,73-HK$169+SwaptionShift):INDEX($FK$245:$ID$316,$FJ181-HK$169,72-HK$169+SwaptionMonthsToGo+SwaptionShift))/SQRT(SUM(INDEX($FK336:$ID336,1+SwaptionShift):INDEX($FK336:$ID336,SwaptionMonthsToGo+SwaptionShift))*SUM(INDEX($FK$325:$ID$396,HK$169,1+SwaptionShift):INDEX($FK$325:$ID$396,HK$169,SwaptionMonthsToGo+SwaptionShift))))))</f>
        <v/>
      </c>
      <c r="HL181" s="479" t="str">
        <f ca="1">IF(OR(HL$169&lt;SwaptionFirstMonthPosition+1,$FJ181&lt;SwaptionFirstMonthPosition+1,HL$169&gt;SwaptionFirstMonthPosition+SwaptionNumOfMonths+1,$FJ181&gt;SwaptionFirstMonthPosition+SwaptionNumOfMonths+1),"",IF($FJ181=HL$169,1,IF($FJ181&lt;HL$169,INDEX($FK$170:$ID$241,HL$169,$FJ181),SUMPRODUCT(INDEX($FK$325:$ID$396,HL$169,1+SwaptionShift):INDEX($FK$325:$ID$396,HL$169,SwaptionMonthsToGo+SwaptionShift),INDEX($FK$245:$ID$316,$FJ181-HL$169,73-HL$169+SwaptionShift):INDEX($FK$245:$ID$316,$FJ181-HL$169,72-HL$169+SwaptionMonthsToGo+SwaptionShift))/SQRT(SUM(INDEX($FK336:$ID336,1+SwaptionShift):INDEX($FK336:$ID336,SwaptionMonthsToGo+SwaptionShift))*SUM(INDEX($FK$325:$ID$396,HL$169,1+SwaptionShift):INDEX($FK$325:$ID$396,HL$169,SwaptionMonthsToGo+SwaptionShift))))))</f>
        <v/>
      </c>
      <c r="HM181" s="479" t="str">
        <f ca="1">IF(OR(HM$169&lt;SwaptionFirstMonthPosition+1,$FJ181&lt;SwaptionFirstMonthPosition+1,HM$169&gt;SwaptionFirstMonthPosition+SwaptionNumOfMonths+1,$FJ181&gt;SwaptionFirstMonthPosition+SwaptionNumOfMonths+1),"",IF($FJ181=HM$169,1,IF($FJ181&lt;HM$169,INDEX($FK$170:$ID$241,HM$169,$FJ181),SUMPRODUCT(INDEX($FK$325:$ID$396,HM$169,1+SwaptionShift):INDEX($FK$325:$ID$396,HM$169,SwaptionMonthsToGo+SwaptionShift),INDEX($FK$245:$ID$316,$FJ181-HM$169,73-HM$169+SwaptionShift):INDEX($FK$245:$ID$316,$FJ181-HM$169,72-HM$169+SwaptionMonthsToGo+SwaptionShift))/SQRT(SUM(INDEX($FK336:$ID336,1+SwaptionShift):INDEX($FK336:$ID336,SwaptionMonthsToGo+SwaptionShift))*SUM(INDEX($FK$325:$ID$396,HM$169,1+SwaptionShift):INDEX($FK$325:$ID$396,HM$169,SwaptionMonthsToGo+SwaptionShift))))))</f>
        <v/>
      </c>
      <c r="HN181" s="479" t="str">
        <f ca="1">IF(OR(HN$169&lt;SwaptionFirstMonthPosition+1,$FJ181&lt;SwaptionFirstMonthPosition+1,HN$169&gt;SwaptionFirstMonthPosition+SwaptionNumOfMonths+1,$FJ181&gt;SwaptionFirstMonthPosition+SwaptionNumOfMonths+1),"",IF($FJ181=HN$169,1,IF($FJ181&lt;HN$169,INDEX($FK$170:$ID$241,HN$169,$FJ181),SUMPRODUCT(INDEX($FK$325:$ID$396,HN$169,1+SwaptionShift):INDEX($FK$325:$ID$396,HN$169,SwaptionMonthsToGo+SwaptionShift),INDEX($FK$245:$ID$316,$FJ181-HN$169,73-HN$169+SwaptionShift):INDEX($FK$245:$ID$316,$FJ181-HN$169,72-HN$169+SwaptionMonthsToGo+SwaptionShift))/SQRT(SUM(INDEX($FK336:$ID336,1+SwaptionShift):INDEX($FK336:$ID336,SwaptionMonthsToGo+SwaptionShift))*SUM(INDEX($FK$325:$ID$396,HN$169,1+SwaptionShift):INDEX($FK$325:$ID$396,HN$169,SwaptionMonthsToGo+SwaptionShift))))))</f>
        <v/>
      </c>
      <c r="HO181" s="479" t="str">
        <f ca="1">IF(OR(HO$169&lt;SwaptionFirstMonthPosition+1,$FJ181&lt;SwaptionFirstMonthPosition+1,HO$169&gt;SwaptionFirstMonthPosition+SwaptionNumOfMonths+1,$FJ181&gt;SwaptionFirstMonthPosition+SwaptionNumOfMonths+1),"",IF($FJ181=HO$169,1,IF($FJ181&lt;HO$169,INDEX($FK$170:$ID$241,HO$169,$FJ181),SUMPRODUCT(INDEX($FK$325:$ID$396,HO$169,1+SwaptionShift):INDEX($FK$325:$ID$396,HO$169,SwaptionMonthsToGo+SwaptionShift),INDEX($FK$245:$ID$316,$FJ181-HO$169,73-HO$169+SwaptionShift):INDEX($FK$245:$ID$316,$FJ181-HO$169,72-HO$169+SwaptionMonthsToGo+SwaptionShift))/SQRT(SUM(INDEX($FK336:$ID336,1+SwaptionShift):INDEX($FK336:$ID336,SwaptionMonthsToGo+SwaptionShift))*SUM(INDEX($FK$325:$ID$396,HO$169,1+SwaptionShift):INDEX($FK$325:$ID$396,HO$169,SwaptionMonthsToGo+SwaptionShift))))))</f>
        <v/>
      </c>
      <c r="HP181" s="479" t="str">
        <f ca="1">IF(OR(HP$169&lt;SwaptionFirstMonthPosition+1,$FJ181&lt;SwaptionFirstMonthPosition+1,HP$169&gt;SwaptionFirstMonthPosition+SwaptionNumOfMonths+1,$FJ181&gt;SwaptionFirstMonthPosition+SwaptionNumOfMonths+1),"",IF($FJ181=HP$169,1,IF($FJ181&lt;HP$169,INDEX($FK$170:$ID$241,HP$169,$FJ181),SUMPRODUCT(INDEX($FK$325:$ID$396,HP$169,1+SwaptionShift):INDEX($FK$325:$ID$396,HP$169,SwaptionMonthsToGo+SwaptionShift),INDEX($FK$245:$ID$316,$FJ181-HP$169,73-HP$169+SwaptionShift):INDEX($FK$245:$ID$316,$FJ181-HP$169,72-HP$169+SwaptionMonthsToGo+SwaptionShift))/SQRT(SUM(INDEX($FK336:$ID336,1+SwaptionShift):INDEX($FK336:$ID336,SwaptionMonthsToGo+SwaptionShift))*SUM(INDEX($FK$325:$ID$396,HP$169,1+SwaptionShift):INDEX($FK$325:$ID$396,HP$169,SwaptionMonthsToGo+SwaptionShift))))))</f>
        <v/>
      </c>
      <c r="HQ181" s="479" t="str">
        <f ca="1">IF(OR(HQ$169&lt;SwaptionFirstMonthPosition+1,$FJ181&lt;SwaptionFirstMonthPosition+1,HQ$169&gt;SwaptionFirstMonthPosition+SwaptionNumOfMonths+1,$FJ181&gt;SwaptionFirstMonthPosition+SwaptionNumOfMonths+1),"",IF($FJ181=HQ$169,1,IF($FJ181&lt;HQ$169,INDEX($FK$170:$ID$241,HQ$169,$FJ181),SUMPRODUCT(INDEX($FK$325:$ID$396,HQ$169,1+SwaptionShift):INDEX($FK$325:$ID$396,HQ$169,SwaptionMonthsToGo+SwaptionShift),INDEX($FK$245:$ID$316,$FJ181-HQ$169,73-HQ$169+SwaptionShift):INDEX($FK$245:$ID$316,$FJ181-HQ$169,72-HQ$169+SwaptionMonthsToGo+SwaptionShift))/SQRT(SUM(INDEX($FK336:$ID336,1+SwaptionShift):INDEX($FK336:$ID336,SwaptionMonthsToGo+SwaptionShift))*SUM(INDEX($FK$325:$ID$396,HQ$169,1+SwaptionShift):INDEX($FK$325:$ID$396,HQ$169,SwaptionMonthsToGo+SwaptionShift))))))</f>
        <v/>
      </c>
      <c r="HR181" s="479" t="str">
        <f ca="1">IF(OR(HR$169&lt;SwaptionFirstMonthPosition+1,$FJ181&lt;SwaptionFirstMonthPosition+1,HR$169&gt;SwaptionFirstMonthPosition+SwaptionNumOfMonths+1,$FJ181&gt;SwaptionFirstMonthPosition+SwaptionNumOfMonths+1),"",IF($FJ181=HR$169,1,IF($FJ181&lt;HR$169,INDEX($FK$170:$ID$241,HR$169,$FJ181),SUMPRODUCT(INDEX($FK$325:$ID$396,HR$169,1+SwaptionShift):INDEX($FK$325:$ID$396,HR$169,SwaptionMonthsToGo+SwaptionShift),INDEX($FK$245:$ID$316,$FJ181-HR$169,73-HR$169+SwaptionShift):INDEX($FK$245:$ID$316,$FJ181-HR$169,72-HR$169+SwaptionMonthsToGo+SwaptionShift))/SQRT(SUM(INDEX($FK336:$ID336,1+SwaptionShift):INDEX($FK336:$ID336,SwaptionMonthsToGo+SwaptionShift))*SUM(INDEX($FK$325:$ID$396,HR$169,1+SwaptionShift):INDEX($FK$325:$ID$396,HR$169,SwaptionMonthsToGo+SwaptionShift))))))</f>
        <v/>
      </c>
      <c r="HS181" s="479" t="str">
        <f ca="1">IF(OR(HS$169&lt;SwaptionFirstMonthPosition+1,$FJ181&lt;SwaptionFirstMonthPosition+1,HS$169&gt;SwaptionFirstMonthPosition+SwaptionNumOfMonths+1,$FJ181&gt;SwaptionFirstMonthPosition+SwaptionNumOfMonths+1),"",IF($FJ181=HS$169,1,IF($FJ181&lt;HS$169,INDEX($FK$170:$ID$241,HS$169,$FJ181),SUMPRODUCT(INDEX($FK$325:$ID$396,HS$169,1+SwaptionShift):INDEX($FK$325:$ID$396,HS$169,SwaptionMonthsToGo+SwaptionShift),INDEX($FK$245:$ID$316,$FJ181-HS$169,73-HS$169+SwaptionShift):INDEX($FK$245:$ID$316,$FJ181-HS$169,72-HS$169+SwaptionMonthsToGo+SwaptionShift))/SQRT(SUM(INDEX($FK336:$ID336,1+SwaptionShift):INDEX($FK336:$ID336,SwaptionMonthsToGo+SwaptionShift))*SUM(INDEX($FK$325:$ID$396,HS$169,1+SwaptionShift):INDEX($FK$325:$ID$396,HS$169,SwaptionMonthsToGo+SwaptionShift))))))</f>
        <v/>
      </c>
      <c r="HT181" s="479" t="str">
        <f ca="1">IF(OR(HT$169&lt;SwaptionFirstMonthPosition+1,$FJ181&lt;SwaptionFirstMonthPosition+1,HT$169&gt;SwaptionFirstMonthPosition+SwaptionNumOfMonths+1,$FJ181&gt;SwaptionFirstMonthPosition+SwaptionNumOfMonths+1),"",IF($FJ181=HT$169,1,IF($FJ181&lt;HT$169,INDEX($FK$170:$ID$241,HT$169,$FJ181),SUMPRODUCT(INDEX($FK$325:$ID$396,HT$169,1+SwaptionShift):INDEX($FK$325:$ID$396,HT$169,SwaptionMonthsToGo+SwaptionShift),INDEX($FK$245:$ID$316,$FJ181-HT$169,73-HT$169+SwaptionShift):INDEX($FK$245:$ID$316,$FJ181-HT$169,72-HT$169+SwaptionMonthsToGo+SwaptionShift))/SQRT(SUM(INDEX($FK336:$ID336,1+SwaptionShift):INDEX($FK336:$ID336,SwaptionMonthsToGo+SwaptionShift))*SUM(INDEX($FK$325:$ID$396,HT$169,1+SwaptionShift):INDEX($FK$325:$ID$396,HT$169,SwaptionMonthsToGo+SwaptionShift))))))</f>
        <v/>
      </c>
      <c r="HU181" s="479" t="str">
        <f ca="1">IF(OR(HU$169&lt;SwaptionFirstMonthPosition+1,$FJ181&lt;SwaptionFirstMonthPosition+1,HU$169&gt;SwaptionFirstMonthPosition+SwaptionNumOfMonths+1,$FJ181&gt;SwaptionFirstMonthPosition+SwaptionNumOfMonths+1),"",IF($FJ181=HU$169,1,IF($FJ181&lt;HU$169,INDEX($FK$170:$ID$241,HU$169,$FJ181),SUMPRODUCT(INDEX($FK$325:$ID$396,HU$169,1+SwaptionShift):INDEX($FK$325:$ID$396,HU$169,SwaptionMonthsToGo+SwaptionShift),INDEX($FK$245:$ID$316,$FJ181-HU$169,73-HU$169+SwaptionShift):INDEX($FK$245:$ID$316,$FJ181-HU$169,72-HU$169+SwaptionMonthsToGo+SwaptionShift))/SQRT(SUM(INDEX($FK336:$ID336,1+SwaptionShift):INDEX($FK336:$ID336,SwaptionMonthsToGo+SwaptionShift))*SUM(INDEX($FK$325:$ID$396,HU$169,1+SwaptionShift):INDEX($FK$325:$ID$396,HU$169,SwaptionMonthsToGo+SwaptionShift))))))</f>
        <v/>
      </c>
      <c r="HV181" s="479" t="str">
        <f ca="1">IF(OR(HV$169&lt;SwaptionFirstMonthPosition+1,$FJ181&lt;SwaptionFirstMonthPosition+1,HV$169&gt;SwaptionFirstMonthPosition+SwaptionNumOfMonths+1,$FJ181&gt;SwaptionFirstMonthPosition+SwaptionNumOfMonths+1),"",IF($FJ181=HV$169,1,IF($FJ181&lt;HV$169,INDEX($FK$170:$ID$241,HV$169,$FJ181),SUMPRODUCT(INDEX($FK$325:$ID$396,HV$169,1+SwaptionShift):INDEX($FK$325:$ID$396,HV$169,SwaptionMonthsToGo+SwaptionShift),INDEX($FK$245:$ID$316,$FJ181-HV$169,73-HV$169+SwaptionShift):INDEX($FK$245:$ID$316,$FJ181-HV$169,72-HV$169+SwaptionMonthsToGo+SwaptionShift))/SQRT(SUM(INDEX($FK336:$ID336,1+SwaptionShift):INDEX($FK336:$ID336,SwaptionMonthsToGo+SwaptionShift))*SUM(INDEX($FK$325:$ID$396,HV$169,1+SwaptionShift):INDEX($FK$325:$ID$396,HV$169,SwaptionMonthsToGo+SwaptionShift))))))</f>
        <v/>
      </c>
      <c r="HW181" s="479" t="str">
        <f ca="1">IF(OR(HW$169&lt;SwaptionFirstMonthPosition+1,$FJ181&lt;SwaptionFirstMonthPosition+1,HW$169&gt;SwaptionFirstMonthPosition+SwaptionNumOfMonths+1,$FJ181&gt;SwaptionFirstMonthPosition+SwaptionNumOfMonths+1),"",IF($FJ181=HW$169,1,IF($FJ181&lt;HW$169,INDEX($FK$170:$ID$241,HW$169,$FJ181),SUMPRODUCT(INDEX($FK$325:$ID$396,HW$169,1+SwaptionShift):INDEX($FK$325:$ID$396,HW$169,SwaptionMonthsToGo+SwaptionShift),INDEX($FK$245:$ID$316,$FJ181-HW$169,73-HW$169+SwaptionShift):INDEX($FK$245:$ID$316,$FJ181-HW$169,72-HW$169+SwaptionMonthsToGo+SwaptionShift))/SQRT(SUM(INDEX($FK336:$ID336,1+SwaptionShift):INDEX($FK336:$ID336,SwaptionMonthsToGo+SwaptionShift))*SUM(INDEX($FK$325:$ID$396,HW$169,1+SwaptionShift):INDEX($FK$325:$ID$396,HW$169,SwaptionMonthsToGo+SwaptionShift))))))</f>
        <v/>
      </c>
      <c r="HX181" s="479" t="str">
        <f ca="1">IF(OR(HX$169&lt;SwaptionFirstMonthPosition+1,$FJ181&lt;SwaptionFirstMonthPosition+1,HX$169&gt;SwaptionFirstMonthPosition+SwaptionNumOfMonths+1,$FJ181&gt;SwaptionFirstMonthPosition+SwaptionNumOfMonths+1),"",IF($FJ181=HX$169,1,IF($FJ181&lt;HX$169,INDEX($FK$170:$ID$241,HX$169,$FJ181),SUMPRODUCT(INDEX($FK$325:$ID$396,HX$169,1+SwaptionShift):INDEX($FK$325:$ID$396,HX$169,SwaptionMonthsToGo+SwaptionShift),INDEX($FK$245:$ID$316,$FJ181-HX$169,73-HX$169+SwaptionShift):INDEX($FK$245:$ID$316,$FJ181-HX$169,72-HX$169+SwaptionMonthsToGo+SwaptionShift))/SQRT(SUM(INDEX($FK336:$ID336,1+SwaptionShift):INDEX($FK336:$ID336,SwaptionMonthsToGo+SwaptionShift))*SUM(INDEX($FK$325:$ID$396,HX$169,1+SwaptionShift):INDEX($FK$325:$ID$396,HX$169,SwaptionMonthsToGo+SwaptionShift))))))</f>
        <v/>
      </c>
      <c r="HY181" s="479" t="str">
        <f ca="1">IF(OR(HY$169&lt;SwaptionFirstMonthPosition+1,$FJ181&lt;SwaptionFirstMonthPosition+1,HY$169&gt;SwaptionFirstMonthPosition+SwaptionNumOfMonths+1,$FJ181&gt;SwaptionFirstMonthPosition+SwaptionNumOfMonths+1),"",IF($FJ181=HY$169,1,IF($FJ181&lt;HY$169,INDEX($FK$170:$ID$241,HY$169,$FJ181),SUMPRODUCT(INDEX($FK$325:$ID$396,HY$169,1+SwaptionShift):INDEX($FK$325:$ID$396,HY$169,SwaptionMonthsToGo+SwaptionShift),INDEX($FK$245:$ID$316,$FJ181-HY$169,73-HY$169+SwaptionShift):INDEX($FK$245:$ID$316,$FJ181-HY$169,72-HY$169+SwaptionMonthsToGo+SwaptionShift))/SQRT(SUM(INDEX($FK336:$ID336,1+SwaptionShift):INDEX($FK336:$ID336,SwaptionMonthsToGo+SwaptionShift))*SUM(INDEX($FK$325:$ID$396,HY$169,1+SwaptionShift):INDEX($FK$325:$ID$396,HY$169,SwaptionMonthsToGo+SwaptionShift))))))</f>
        <v/>
      </c>
      <c r="HZ181" s="479" t="str">
        <f ca="1">IF(OR(HZ$169&lt;SwaptionFirstMonthPosition+1,$FJ181&lt;SwaptionFirstMonthPosition+1,HZ$169&gt;SwaptionFirstMonthPosition+SwaptionNumOfMonths+1,$FJ181&gt;SwaptionFirstMonthPosition+SwaptionNumOfMonths+1),"",IF($FJ181=HZ$169,1,IF($FJ181&lt;HZ$169,INDEX($FK$170:$ID$241,HZ$169,$FJ181),SUMPRODUCT(INDEX($FK$325:$ID$396,HZ$169,1+SwaptionShift):INDEX($FK$325:$ID$396,HZ$169,SwaptionMonthsToGo+SwaptionShift),INDEX($FK$245:$ID$316,$FJ181-HZ$169,73-HZ$169+SwaptionShift):INDEX($FK$245:$ID$316,$FJ181-HZ$169,72-HZ$169+SwaptionMonthsToGo+SwaptionShift))/SQRT(SUM(INDEX($FK336:$ID336,1+SwaptionShift):INDEX($FK336:$ID336,SwaptionMonthsToGo+SwaptionShift))*SUM(INDEX($FK$325:$ID$396,HZ$169,1+SwaptionShift):INDEX($FK$325:$ID$396,HZ$169,SwaptionMonthsToGo+SwaptionShift))))))</f>
        <v/>
      </c>
      <c r="IA181" s="479" t="str">
        <f ca="1">IF(OR(IA$169&lt;SwaptionFirstMonthPosition+1,$FJ181&lt;SwaptionFirstMonthPosition+1,IA$169&gt;SwaptionFirstMonthPosition+SwaptionNumOfMonths+1,$FJ181&gt;SwaptionFirstMonthPosition+SwaptionNumOfMonths+1),"",IF($FJ181=IA$169,1,IF($FJ181&lt;IA$169,INDEX($FK$170:$ID$241,IA$169,$FJ181),SUMPRODUCT(INDEX($FK$325:$ID$396,IA$169,1+SwaptionShift):INDEX($FK$325:$ID$396,IA$169,SwaptionMonthsToGo+SwaptionShift),INDEX($FK$245:$ID$316,$FJ181-IA$169,73-IA$169+SwaptionShift):INDEX($FK$245:$ID$316,$FJ181-IA$169,72-IA$169+SwaptionMonthsToGo+SwaptionShift))/SQRT(SUM(INDEX($FK336:$ID336,1+SwaptionShift):INDEX($FK336:$ID336,SwaptionMonthsToGo+SwaptionShift))*SUM(INDEX($FK$325:$ID$396,IA$169,1+SwaptionShift):INDEX($FK$325:$ID$396,IA$169,SwaptionMonthsToGo+SwaptionShift))))))</f>
        <v/>
      </c>
      <c r="IB181" s="479" t="str">
        <f ca="1">IF(OR(IB$169&lt;SwaptionFirstMonthPosition+1,$FJ181&lt;SwaptionFirstMonthPosition+1,IB$169&gt;SwaptionFirstMonthPosition+SwaptionNumOfMonths+1,$FJ181&gt;SwaptionFirstMonthPosition+SwaptionNumOfMonths+1),"",IF($FJ181=IB$169,1,IF($FJ181&lt;IB$169,INDEX($FK$170:$ID$241,IB$169,$FJ181),SUMPRODUCT(INDEX($FK$325:$ID$396,IB$169,1+SwaptionShift):INDEX($FK$325:$ID$396,IB$169,SwaptionMonthsToGo+SwaptionShift),INDEX($FK$245:$ID$316,$FJ181-IB$169,73-IB$169+SwaptionShift):INDEX($FK$245:$ID$316,$FJ181-IB$169,72-IB$169+SwaptionMonthsToGo+SwaptionShift))/SQRT(SUM(INDEX($FK336:$ID336,1+SwaptionShift):INDEX($FK336:$ID336,SwaptionMonthsToGo+SwaptionShift))*SUM(INDEX($FK$325:$ID$396,IB$169,1+SwaptionShift):INDEX($FK$325:$ID$396,IB$169,SwaptionMonthsToGo+SwaptionShift))))))</f>
        <v/>
      </c>
      <c r="IC181" s="479" t="str">
        <f ca="1">IF(OR(IC$169&lt;SwaptionFirstMonthPosition+1,$FJ181&lt;SwaptionFirstMonthPosition+1,IC$169&gt;SwaptionFirstMonthPosition+SwaptionNumOfMonths+1,$FJ181&gt;SwaptionFirstMonthPosition+SwaptionNumOfMonths+1),"",IF($FJ181=IC$169,1,IF($FJ181&lt;IC$169,INDEX($FK$170:$ID$241,IC$169,$FJ181),SUMPRODUCT(INDEX($FK$325:$ID$396,IC$169,1+SwaptionShift):INDEX($FK$325:$ID$396,IC$169,SwaptionMonthsToGo+SwaptionShift),INDEX($FK$245:$ID$316,$FJ181-IC$169,73-IC$169+SwaptionShift):INDEX($FK$245:$ID$316,$FJ181-IC$169,72-IC$169+SwaptionMonthsToGo+SwaptionShift))/SQRT(SUM(INDEX($FK336:$ID336,1+SwaptionShift):INDEX($FK336:$ID336,SwaptionMonthsToGo+SwaptionShift))*SUM(INDEX($FK$325:$ID$396,IC$169,1+SwaptionShift):INDEX($FK$325:$ID$396,IC$169,SwaptionMonthsToGo+SwaptionShift))))))</f>
        <v/>
      </c>
      <c r="ID181" s="678" t="str">
        <f ca="1">IF(OR(ID$169&lt;SwaptionFirstMonthPosition+1,$FJ181&lt;SwaptionFirstMonthPosition+1,ID$169&gt;SwaptionFirstMonthPosition+SwaptionNumOfMonths+1,$FJ181&gt;SwaptionFirstMonthPosition+SwaptionNumOfMonths+1),"",IF($FJ181=ID$169,1,IF($FJ181&lt;ID$169,INDEX($FK$170:$ID$241,ID$169,$FJ181),SUMPRODUCT(INDEX($FK$325:$ID$396,ID$169,1+SwaptionShift):INDEX($FK$325:$ID$396,ID$169,SwaptionMonthsToGo+SwaptionShift),INDEX($FK$245:$ID$316,$FJ181-ID$169,73-ID$169+SwaptionShift):INDEX($FK$245:$ID$316,$FJ181-ID$169,72-ID$169+SwaptionMonthsToGo+SwaptionShift))/SQRT(SUM(INDEX($FK336:$ID336,1+SwaptionShift):INDEX($FK336:$ID336,SwaptionMonthsToGo+SwaptionShift))*SUM(INDEX($FK$325:$ID$396,ID$169,1+SwaptionShift):INDEX($FK$325:$ID$396,ID$169,SwaptionMonthsToGo+SwaptionShift))))))</f>
        <v/>
      </c>
      <c r="IE181" s="250"/>
    </row>
    <row r="182" spans="8:239">
      <c r="H182" s="51">
        <f t="shared" ca="1" si="527"/>
        <v>0</v>
      </c>
      <c r="I182" s="379">
        <f t="shared" si="528"/>
        <v>41699</v>
      </c>
      <c r="J182" s="377"/>
      <c r="K182" s="104" t="s">
        <v>268</v>
      </c>
      <c r="L182" s="392">
        <f t="shared" si="529"/>
        <v>3.225000000000005</v>
      </c>
      <c r="M182" s="171"/>
      <c r="N182" s="382">
        <v>0</v>
      </c>
      <c r="O182" s="171">
        <f t="shared" si="490"/>
        <v>0</v>
      </c>
      <c r="P182" s="377"/>
      <c r="Q182" s="104" t="s">
        <v>268</v>
      </c>
      <c r="R182" s="377">
        <f t="shared" ca="1" si="547"/>
        <v>2.0644426504208981</v>
      </c>
      <c r="S182" s="832">
        <f t="shared" si="564"/>
        <v>0.3600000000000001</v>
      </c>
      <c r="T182" s="831">
        <f t="shared" si="548"/>
        <v>0.99999999999893086</v>
      </c>
      <c r="U182" s="545">
        <f t="shared" si="549"/>
        <v>0.99999999999999978</v>
      </c>
      <c r="V182" s="389">
        <v>0</v>
      </c>
      <c r="W182" s="434">
        <f t="shared" si="578"/>
        <v>0</v>
      </c>
      <c r="X182" s="415">
        <f t="shared" si="579"/>
        <v>3.2750000000000048</v>
      </c>
      <c r="Y182" s="322">
        <f t="shared" si="580"/>
        <v>-1.1684999999999999</v>
      </c>
      <c r="Z182" s="322">
        <f t="shared" ca="1" si="581"/>
        <v>2.1065000000000049</v>
      </c>
      <c r="AA182" s="429">
        <f t="shared" si="495"/>
        <v>1.1684999999999999</v>
      </c>
      <c r="AB182" s="433">
        <f t="shared" ca="1" si="496"/>
        <v>1.1684999999999999</v>
      </c>
      <c r="AC182" s="229">
        <v>41690</v>
      </c>
      <c r="AD182" s="229">
        <v>41686</v>
      </c>
      <c r="AE182" s="229">
        <v>41685</v>
      </c>
      <c r="AF182" s="229">
        <v>41681</v>
      </c>
      <c r="AG182" s="249" t="s">
        <v>499</v>
      </c>
      <c r="AH182" s="247" t="s">
        <v>499</v>
      </c>
      <c r="AI182" s="146">
        <v>21</v>
      </c>
      <c r="AJ182" s="41">
        <v>14</v>
      </c>
      <c r="AK182" s="41">
        <v>7</v>
      </c>
      <c r="AL182" s="293">
        <v>21</v>
      </c>
      <c r="AM182" s="41">
        <v>10</v>
      </c>
      <c r="AN182" s="147">
        <v>11</v>
      </c>
      <c r="AO182" s="374"/>
      <c r="AP182" s="153">
        <f t="shared" ca="1" si="530"/>
        <v>1</v>
      </c>
      <c r="AQ182" s="374"/>
      <c r="AR182" s="153">
        <f t="shared" ca="1" si="550"/>
        <v>1</v>
      </c>
      <c r="AS182" s="272">
        <f t="shared" si="582"/>
        <v>0</v>
      </c>
      <c r="AT182" s="157">
        <f t="shared" si="531"/>
        <v>0</v>
      </c>
      <c r="AU182" s="157">
        <f t="shared" si="498"/>
        <v>0</v>
      </c>
      <c r="AV182" s="271">
        <f t="shared" ca="1" si="558"/>
        <v>9.9999999999999995E-7</v>
      </c>
      <c r="AW182" s="158" t="str">
        <f t="shared" ca="1" si="583"/>
        <v/>
      </c>
      <c r="AX182" s="157">
        <f t="shared" ca="1" si="551"/>
        <v>1.0743408138622389E-4</v>
      </c>
      <c r="AY182" s="157">
        <f t="shared" ca="1" si="552"/>
        <v>2.823242659392832E-5</v>
      </c>
      <c r="AZ182" s="157">
        <f t="shared" ca="1" si="553"/>
        <v>1.2615774071618996E-6</v>
      </c>
      <c r="BA182" s="157">
        <f t="shared" ca="1" si="554"/>
        <v>1.5769717589523745E-7</v>
      </c>
      <c r="BB182" s="157">
        <f t="shared" ca="1" si="555"/>
        <v>1.4118376024588076E-9</v>
      </c>
      <c r="BC182" s="157">
        <f t="shared" ca="1" si="556"/>
        <v>4.973679857066196E-11</v>
      </c>
      <c r="BD182" s="151">
        <f t="shared" ca="1" si="584"/>
        <v>0</v>
      </c>
      <c r="BE182" s="152">
        <f t="shared" ca="1" si="585"/>
        <v>0</v>
      </c>
      <c r="BF182" s="40">
        <f t="shared" si="586"/>
        <v>2014</v>
      </c>
      <c r="BG182" s="144">
        <f t="shared" si="587"/>
        <v>3</v>
      </c>
      <c r="BH182" s="145">
        <f t="shared" ca="1" si="588"/>
        <v>4941</v>
      </c>
      <c r="BI182" s="313">
        <f t="shared" ca="1" si="568"/>
        <v>13.563312799452429</v>
      </c>
      <c r="BJ182" s="42">
        <f t="shared" ca="1" si="505"/>
        <v>13.618069815195073</v>
      </c>
      <c r="BK182" s="42">
        <f t="shared" ca="1" si="506"/>
        <v>13.620807665982205</v>
      </c>
      <c r="BL182" s="42">
        <f t="shared" ca="1" si="569"/>
        <v>13.645448323066393</v>
      </c>
      <c r="BM182" s="150" t="e">
        <f t="shared" ca="1" si="507"/>
        <v>#DIV/0!</v>
      </c>
      <c r="BN182" s="42" t="e">
        <f t="shared" ca="1" si="508"/>
        <v>#DIV/0!</v>
      </c>
      <c r="BO182" s="293">
        <f t="shared" si="570"/>
        <v>21</v>
      </c>
      <c r="BP182" s="41">
        <f t="shared" si="571"/>
        <v>14</v>
      </c>
      <c r="BQ182" s="41">
        <f t="shared" si="572"/>
        <v>7</v>
      </c>
      <c r="BR182" s="305" t="str">
        <f t="shared" ca="1" si="509"/>
        <v/>
      </c>
      <c r="BS182" s="305" t="str">
        <f t="shared" ca="1" si="573"/>
        <v/>
      </c>
      <c r="BT182" s="307" t="str">
        <f t="shared" ca="1" si="574"/>
        <v/>
      </c>
      <c r="BU182" s="161" t="str">
        <f t="shared" ca="1" si="510"/>
        <v/>
      </c>
      <c r="BV182" s="161" t="str">
        <f t="shared" ca="1" si="511"/>
        <v/>
      </c>
      <c r="BW182" s="308" t="str">
        <f t="shared" ca="1" si="512"/>
        <v/>
      </c>
      <c r="BX182" s="309" t="str">
        <f t="shared" ca="1" si="513"/>
        <v/>
      </c>
      <c r="BY182" s="308" t="str">
        <f t="shared" ca="1" si="575"/>
        <v/>
      </c>
      <c r="BZ182" s="309" t="str">
        <f t="shared" ca="1" si="576"/>
        <v/>
      </c>
      <c r="CA182" s="154" t="str">
        <f t="shared" ca="1" si="514"/>
        <v/>
      </c>
      <c r="CB182" s="154" t="str">
        <f t="shared" ca="1" si="515"/>
        <v/>
      </c>
      <c r="CC182" s="154" t="str">
        <f t="shared" ca="1" si="516"/>
        <v/>
      </c>
      <c r="CD182" s="154" t="str">
        <f t="shared" ca="1" si="517"/>
        <v/>
      </c>
      <c r="CE182" s="310">
        <v>1</v>
      </c>
      <c r="CF182" s="162">
        <f ca="1">IF(BD182,_xll.xCrudeAPO(BU182,BV182,CA182,CB182,S183,S184,BI182,BL182,BP182,BQ182,0,Strike1,AO182,CE182,0,BL182,IF(OptControl=4,0,1),0,1),0)</f>
        <v>0</v>
      </c>
      <c r="CG182" s="163">
        <f ca="1">IF(BD182,_xll.xCrudeAPO(BU182,BV182,CA182,CB182,S183,S184,BI182,BL182,BP182,BQ182,0,Strike1,AO182,CE182,0,BL182,IF(OptControl=4,0,1),1,1)+_xll.xCrudeAPO(BU182,BV182,CA182,CB182,S183,S184,BI182,BL182,BP182,BQ182,0,Strike1,AO182,CE182,0,BL182,IF(OptControl=4,0,1),1,2)+IF(OR(VolSkewFlag=2,ABS(BS182)&lt;0.0001),0,IF(BS182&gt;0,-1,1)*CH182*Strike1/BR182^2*BY182/10%),0)</f>
        <v>0</v>
      </c>
      <c r="CH182" s="163">
        <f ca="1">IF(BD182,(_xll.xCrudeAPO(BU182,BV182,CA182,CB182,S183,S184,BI182,BL182,BP182,BQ182,0,Strike1,AO182,CE182,0,BL182,IF(OptControl=4,0,1),3,1)+_xll.xCrudeAPO(BU182,BV182,CA182,CB182,S183,S184,BI182,BL182,BP182,BQ182,0,Strike1,AO182,CE182,0,BL182,IF(OptControl=4,0,1),3,2))/100,0)</f>
        <v>0</v>
      </c>
      <c r="CI182" s="163">
        <f ca="1">IF(BD182,_xll.xCrudeAPO(BU182,BV182,CA182,CB182,S183,S184,BI182-DaysForThetaCalculation/365.25,BL182-DaysForThetaCalculation/365.25,BP182,BQ182,0,Strike1,AO182,CE182,0,BL182,IF(OptControl=4,0,1),0,1)-_xll.xCrudeAPO(BU182,BV182,CA182,CB182,S183,S184,BI182,BL182,BP182,BQ182,0,Strike1,AO182,CE182,0,BL182,IF(OptControl=4,0,1),0,1),0)</f>
        <v>0</v>
      </c>
      <c r="CJ182" s="311">
        <f ca="1">IF(BD182,_xll.xCrudeAPO(BU182,BV182,CC182,CD182,S183,S184,BI182,BL182,BP182,BQ182,0,Strike2,AO182,CE182,0,BL182,IF(OptControl=3,1,0),0,1),0)</f>
        <v>0</v>
      </c>
      <c r="CK182" s="163">
        <f ca="1">IF(BD182,_xll.xCrudeAPO(BU182,BV182,CC182,CD182,S183,S184,BI182,BL182,BP182,BQ182,0,Strike2,AO182,CE182,0,BL182,IF(OptControl=3,1,0),1,1)+_xll.xCrudeAPO(BU182,BV182,CC182,CD182,S183,S184,BI182,BL182,BP182,BQ182,0,Strike2,AO182,CE182,0,BL182,IF(OptControl=3,1,0),1,2)+IF(OR(VolSkewFlag=2,ABS(BT182)&lt;0.0001),0,IF(BT182&gt;0,-1,1)*CL182*Strike2/BR182^2*BZ182/10%),0)</f>
        <v>0</v>
      </c>
      <c r="CL182" s="163">
        <f ca="1">IF(BD182,(_xll.xCrudeAPO(BU182,BV182,CC182,CD182,S183,S184,BI182,BL182,BP182,BQ182,0,Strike2,AO182,CE182,0,BL182,IF(OptControl=3,1,0),3,1)+_xll.xCrudeAPO(BU182,BV182,CC182,CD182,S183,S184,BI182,BL182,BP182,BQ182,0,Strike2,AO182,CE182,0,BL182,IF(OptControl=3,1,0),3,2))/100,0)</f>
        <v>0</v>
      </c>
      <c r="CM182" s="164">
        <f ca="1">IF(BD182,_xll.xCrudeAPO(BU182,BV182,CC182,CD182,S183,S184,BI182-DaysForThetaCalculation/365.25,BL182-DaysForThetaCalculation/365.25,BP182,BQ182,0,Strike2,AO182,CE182,0,BL182,IF(OptControl=3,1,0),0,1)-_xll.xCrudeAPO(BU182,BV182,CC182,CD182,S183,S184,BI182,BL182,BP182,BQ182,0,Strike2,AO182,CE182,0,BL182,IF(OptControl=3,1,0),0,1),0)</f>
        <v>0</v>
      </c>
      <c r="CN182" s="53"/>
      <c r="CO182" s="796" t="str">
        <f t="shared" ca="1" si="532"/>
        <v/>
      </c>
      <c r="CP182" s="800" t="str">
        <f t="shared" ca="1" si="533"/>
        <v/>
      </c>
      <c r="CQ182" s="797" t="str">
        <f t="shared" ca="1" si="534"/>
        <v/>
      </c>
      <c r="CR182" s="797" t="str">
        <f t="shared" ca="1" si="535"/>
        <v/>
      </c>
      <c r="CS182" s="797" t="str">
        <f t="shared" ca="1" si="536"/>
        <v/>
      </c>
      <c r="CT182" s="797" t="str">
        <f t="shared" ca="1" si="537"/>
        <v/>
      </c>
      <c r="CU182" s="798" t="str">
        <f t="shared" ca="1" si="538"/>
        <v/>
      </c>
      <c r="CV182" s="799" t="str">
        <f t="shared" ca="1" si="539"/>
        <v/>
      </c>
      <c r="CW182" s="799" t="str">
        <f t="shared" ca="1" si="540"/>
        <v/>
      </c>
      <c r="CX182" s="163">
        <f ca="1">IF(BD182,_xll.EURO(CP182,Strike1,AO182,AO182,CV182,CO182,IF(OptControl=4,0,1),0),0)</f>
        <v>0</v>
      </c>
      <c r="CY182" s="163">
        <f ca="1">IF(BD182,_xll.EURO(CP182,Strike1,AO182,AO182,CV182,CO182,IF(OptControl=4,0,1),1)+IF(OR(VolSkewFlag=2,ABS(CQ182)&lt;0.0001),0,IF(CQ182&gt;0,-1,1)*CZ182*100*Strike1/CP182^2*CS182/10%),0)</f>
        <v>0</v>
      </c>
      <c r="CZ182" s="163">
        <f ca="1">IF(BD182,_xll.EURO(CP182,Strike1,AO182,AO182,CV182,CO182,IF(OptControl=4,0,1),3)/100,0)</f>
        <v>0</v>
      </c>
      <c r="DA182" s="163">
        <f ca="1">IF(BD182,_xll.EURO(CP182,Strike1,AO182,AO182,CV182,CO182,IF(OptControl=4,0,1),0)-_xll.EURO(CP182,Strike1,AO182,AO182,CV182,CO182-1,IF(OptControl=4,0,1),0),0)</f>
        <v>0</v>
      </c>
      <c r="DB182" s="163">
        <f ca="1">IF(BD182,_xll.EURO(CP182,Strike2,AO182,AO182,CW182,CO182,IF(OptControl=3,1,0),0),0)</f>
        <v>0</v>
      </c>
      <c r="DC182" s="163">
        <f ca="1">IF(BD182,_xll.EURO(CP182,Strike2,AO182,AO182,CW182,CO182,IF(OptControl=3,1,0),1)+IF(OR(VolSkewFlag=2,ABS(CR182)&lt;0.0001),0,IF(CR182&gt;0,-1,1)*DD182*100*Strike2/CP182^2*CT182/10%),0)</f>
        <v>0</v>
      </c>
      <c r="DD182" s="163">
        <f ca="1">IF(BD182,_xll.EURO(CP182,Strike2,AO182,AO182,CW182,CO182,IF(OptControl=3,1,0),3)/100,0)</f>
        <v>0</v>
      </c>
      <c r="DE182" s="164">
        <f ca="1">IF(BD182,_xll.EURO(CP182,Strike2,AO182,AO182,CW182,CO182,IF(OptControl=3,1,0),0)-_xll.EURO(CP182,Strike2,AO182,AO182,CW182,CO182-1,IF(OptControl=3,1,0),0),0)</f>
        <v>0</v>
      </c>
      <c r="DG182" s="667">
        <f t="shared" ca="1" si="541"/>
        <v>41487</v>
      </c>
      <c r="DH182" s="475">
        <v>22.260000000000062</v>
      </c>
      <c r="DI182" s="665">
        <v>22.328181818181882</v>
      </c>
      <c r="DJ182" s="666">
        <f t="shared" ca="1" si="589"/>
        <v>41487</v>
      </c>
      <c r="DK182" s="475">
        <v>20.863894824881694</v>
      </c>
      <c r="DL182" s="665">
        <v>21.061281818181882</v>
      </c>
      <c r="DM182" s="667">
        <f t="shared" ca="1" si="590"/>
        <v>41487</v>
      </c>
      <c r="DN182" s="668">
        <f t="shared" si="591"/>
        <v>20.913894824881694</v>
      </c>
      <c r="DO182" s="667">
        <f t="shared" ca="1" si="542"/>
        <v>41487</v>
      </c>
      <c r="DP182" s="579">
        <f t="shared" si="543"/>
        <v>21.061281818181882</v>
      </c>
      <c r="DQ182" s="821">
        <v>0</v>
      </c>
      <c r="DR182" s="666">
        <f t="shared" ca="1" si="592"/>
        <v>41487</v>
      </c>
      <c r="DS182" s="669">
        <v>0.12739999999999804</v>
      </c>
      <c r="DT182" s="606">
        <v>0.12658181818181624</v>
      </c>
      <c r="DU182" s="666">
        <f t="shared" ca="1" si="593"/>
        <v>41487</v>
      </c>
      <c r="DV182" s="669">
        <v>0.12739999999999804</v>
      </c>
      <c r="DW182" s="606">
        <v>0.12658181818181624</v>
      </c>
      <c r="DX182" s="667">
        <f t="shared" ca="1" si="594"/>
        <v>41487</v>
      </c>
      <c r="DY182" s="606">
        <v>0.35</v>
      </c>
      <c r="DZ182" s="667">
        <f t="shared" ca="1" si="544"/>
        <v>41487</v>
      </c>
      <c r="EA182" s="606">
        <f t="shared" si="545"/>
        <v>0.12658181818181624</v>
      </c>
      <c r="EB182" s="1"/>
      <c r="EC182" s="118" t="str">
        <f t="shared" ca="1" si="595"/>
        <v/>
      </c>
      <c r="ED182" s="119" t="str">
        <f t="shared" ca="1" si="525"/>
        <v/>
      </c>
      <c r="EE182" s="112" t="str">
        <f t="shared" ca="1" si="526"/>
        <v/>
      </c>
      <c r="EF182" s="120">
        <f ca="1">IF(BD182,_xll.xASN(BR182,Strike1,AO182,ED182,0,BO182,0,BI182,BL182,IF(OptControl=4,0,1),0),0)</f>
        <v>0</v>
      </c>
      <c r="EG182" s="111">
        <f ca="1">IF(BD182,_xll.xASN(BR182,Strike2,AO182,EE182,0,BO182,0,BI182,BL182,IF(OptControl=3,1,0),0),0)</f>
        <v>0</v>
      </c>
      <c r="EL182" s="55"/>
      <c r="EM182" s="1"/>
      <c r="EN182" s="106"/>
      <c r="EO182" s="106"/>
      <c r="EP182" s="1"/>
      <c r="EQ182" s="683" t="s">
        <v>395</v>
      </c>
      <c r="ES182" s="455"/>
      <c r="ET182" s="36"/>
      <c r="EU182" s="107"/>
      <c r="EV182" s="475"/>
      <c r="EW182" s="456"/>
      <c r="EX182" s="456"/>
      <c r="EY182" s="250"/>
      <c r="EZ182" s="250"/>
      <c r="FA182" s="250"/>
      <c r="FB182" s="250"/>
      <c r="FC182" s="250"/>
      <c r="FD182" s="250"/>
      <c r="FE182" s="250"/>
      <c r="FF182" s="250"/>
      <c r="FG182" s="250"/>
      <c r="FH182" s="250"/>
      <c r="FI182" s="250"/>
      <c r="FJ182" s="673">
        <v>13</v>
      </c>
      <c r="FK182" s="479" t="str">
        <f ca="1">IF(OR(FK$169&lt;SwaptionFirstMonthPosition+1,$FJ182&lt;SwaptionFirstMonthPosition+1,FK$169&gt;SwaptionFirstMonthPosition+SwaptionNumOfMonths+1,$FJ182&gt;SwaptionFirstMonthPosition+SwaptionNumOfMonths+1),"",IF($FJ182=FK$169,1,IF($FJ182&lt;FK$169,INDEX($FK$170:$ID$241,FK$169,$FJ182),SUMPRODUCT(INDEX($FK$325:$ID$396,FK$169,1+SwaptionShift):INDEX($FK$325:$ID$396,FK$169,SwaptionMonthsToGo+SwaptionShift),INDEX($FK$245:$ID$316,$FJ182-FK$169,73-FK$169+SwaptionShift):INDEX($FK$245:$ID$316,$FJ182-FK$169,72-FK$169+SwaptionMonthsToGo+SwaptionShift))/SQRT(SUM(INDEX($FK337:$ID337,1+SwaptionShift):INDEX($FK337:$ID337,SwaptionMonthsToGo+SwaptionShift))*SUM(INDEX($FK$325:$ID$396,FK$169,1+SwaptionShift):INDEX($FK$325:$ID$396,FK$169,SwaptionMonthsToGo+SwaptionShift))))))</f>
        <v/>
      </c>
      <c r="FL182" s="479" t="str">
        <f ca="1">IF(OR(FL$169&lt;SwaptionFirstMonthPosition+1,$FJ182&lt;SwaptionFirstMonthPosition+1,FL$169&gt;SwaptionFirstMonthPosition+SwaptionNumOfMonths+1,$FJ182&gt;SwaptionFirstMonthPosition+SwaptionNumOfMonths+1),"",IF($FJ182=FL$169,1,IF($FJ182&lt;FL$169,INDEX($FK$170:$ID$241,FL$169,$FJ182),SUMPRODUCT(INDEX($FK$325:$ID$396,FL$169,1+SwaptionShift):INDEX($FK$325:$ID$396,FL$169,SwaptionMonthsToGo+SwaptionShift),INDEX($FK$245:$ID$316,$FJ182-FL$169,73-FL$169+SwaptionShift):INDEX($FK$245:$ID$316,$FJ182-FL$169,72-FL$169+SwaptionMonthsToGo+SwaptionShift))/SQRT(SUM(INDEX($FK337:$ID337,1+SwaptionShift):INDEX($FK337:$ID337,SwaptionMonthsToGo+SwaptionShift))*SUM(INDEX($FK$325:$ID$396,FL$169,1+SwaptionShift):INDEX($FK$325:$ID$396,FL$169,SwaptionMonthsToGo+SwaptionShift))))))</f>
        <v/>
      </c>
      <c r="FM182" s="479" t="str">
        <f ca="1">IF(OR(FM$169&lt;SwaptionFirstMonthPosition+1,$FJ182&lt;SwaptionFirstMonthPosition+1,FM$169&gt;SwaptionFirstMonthPosition+SwaptionNumOfMonths+1,$FJ182&gt;SwaptionFirstMonthPosition+SwaptionNumOfMonths+1),"",IF($FJ182=FM$169,1,IF($FJ182&lt;FM$169,INDEX($FK$170:$ID$241,FM$169,$FJ182),SUMPRODUCT(INDEX($FK$325:$ID$396,FM$169,1+SwaptionShift):INDEX($FK$325:$ID$396,FM$169,SwaptionMonthsToGo+SwaptionShift),INDEX($FK$245:$ID$316,$FJ182-FM$169,73-FM$169+SwaptionShift):INDEX($FK$245:$ID$316,$FJ182-FM$169,72-FM$169+SwaptionMonthsToGo+SwaptionShift))/SQRT(SUM(INDEX($FK337:$ID337,1+SwaptionShift):INDEX($FK337:$ID337,SwaptionMonthsToGo+SwaptionShift))*SUM(INDEX($FK$325:$ID$396,FM$169,1+SwaptionShift):INDEX($FK$325:$ID$396,FM$169,SwaptionMonthsToGo+SwaptionShift))))))</f>
        <v/>
      </c>
      <c r="FN182" s="479" t="str">
        <f ca="1">IF(OR(FN$169&lt;SwaptionFirstMonthPosition+1,$FJ182&lt;SwaptionFirstMonthPosition+1,FN$169&gt;SwaptionFirstMonthPosition+SwaptionNumOfMonths+1,$FJ182&gt;SwaptionFirstMonthPosition+SwaptionNumOfMonths+1),"",IF($FJ182=FN$169,1,IF($FJ182&lt;FN$169,INDEX($FK$170:$ID$241,FN$169,$FJ182),SUMPRODUCT(INDEX($FK$325:$ID$396,FN$169,1+SwaptionShift):INDEX($FK$325:$ID$396,FN$169,SwaptionMonthsToGo+SwaptionShift),INDEX($FK$245:$ID$316,$FJ182-FN$169,73-FN$169+SwaptionShift):INDEX($FK$245:$ID$316,$FJ182-FN$169,72-FN$169+SwaptionMonthsToGo+SwaptionShift))/SQRT(SUM(INDEX($FK337:$ID337,1+SwaptionShift):INDEX($FK337:$ID337,SwaptionMonthsToGo+SwaptionShift))*SUM(INDEX($FK$325:$ID$396,FN$169,1+SwaptionShift):INDEX($FK$325:$ID$396,FN$169,SwaptionMonthsToGo+SwaptionShift))))))</f>
        <v/>
      </c>
      <c r="FO182" s="479" t="str">
        <f ca="1">IF(OR(FO$169&lt;SwaptionFirstMonthPosition+1,$FJ182&lt;SwaptionFirstMonthPosition+1,FO$169&gt;SwaptionFirstMonthPosition+SwaptionNumOfMonths+1,$FJ182&gt;SwaptionFirstMonthPosition+SwaptionNumOfMonths+1),"",IF($FJ182=FO$169,1,IF($FJ182&lt;FO$169,INDEX($FK$170:$ID$241,FO$169,$FJ182),SUMPRODUCT(INDEX($FK$325:$ID$396,FO$169,1+SwaptionShift):INDEX($FK$325:$ID$396,FO$169,SwaptionMonthsToGo+SwaptionShift),INDEX($FK$245:$ID$316,$FJ182-FO$169,73-FO$169+SwaptionShift):INDEX($FK$245:$ID$316,$FJ182-FO$169,72-FO$169+SwaptionMonthsToGo+SwaptionShift))/SQRT(SUM(INDEX($FK337:$ID337,1+SwaptionShift):INDEX($FK337:$ID337,SwaptionMonthsToGo+SwaptionShift))*SUM(INDEX($FK$325:$ID$396,FO$169,1+SwaptionShift):INDEX($FK$325:$ID$396,FO$169,SwaptionMonthsToGo+SwaptionShift))))))</f>
        <v/>
      </c>
      <c r="FP182" s="479">
        <f ca="1">IF(OR(FP$169&lt;SwaptionFirstMonthPosition+1,$FJ182&lt;SwaptionFirstMonthPosition+1,FP$169&gt;SwaptionFirstMonthPosition+SwaptionNumOfMonths+1,$FJ182&gt;SwaptionFirstMonthPosition+SwaptionNumOfMonths+1),"",IF($FJ182=FP$169,1,IF($FJ182&lt;FP$169,INDEX($FK$170:$ID$241,FP$169,$FJ182),SUMPRODUCT(INDEX($FK$325:$ID$396,FP$169,1+SwaptionShift):INDEX($FK$325:$ID$396,FP$169,SwaptionMonthsToGo+SwaptionShift),INDEX($FK$245:$ID$316,$FJ182-FP$169,73-FP$169+SwaptionShift):INDEX($FK$245:$ID$316,$FJ182-FP$169,72-FP$169+SwaptionMonthsToGo+SwaptionShift))/SQRT(SUM(INDEX($FK337:$ID337,1+SwaptionShift):INDEX($FK337:$ID337,SwaptionMonthsToGo+SwaptionShift))*SUM(INDEX($FK$325:$ID$396,FP$169,1+SwaptionShift):INDEX($FK$325:$ID$396,FP$169,SwaptionMonthsToGo+SwaptionShift))))))</f>
        <v>0.90383251659204611</v>
      </c>
      <c r="FQ182" s="479">
        <f ca="1">IF(OR(FQ$169&lt;SwaptionFirstMonthPosition+1,$FJ182&lt;SwaptionFirstMonthPosition+1,FQ$169&gt;SwaptionFirstMonthPosition+SwaptionNumOfMonths+1,$FJ182&gt;SwaptionFirstMonthPosition+SwaptionNumOfMonths+1),"",IF($FJ182=FQ$169,1,IF($FJ182&lt;FQ$169,INDEX($FK$170:$ID$241,FQ$169,$FJ182),SUMPRODUCT(INDEX($FK$325:$ID$396,FQ$169,1+SwaptionShift):INDEX($FK$325:$ID$396,FQ$169,SwaptionMonthsToGo+SwaptionShift),INDEX($FK$245:$ID$316,$FJ182-FQ$169,73-FQ$169+SwaptionShift):INDEX($FK$245:$ID$316,$FJ182-FQ$169,72-FQ$169+SwaptionMonthsToGo+SwaptionShift))/SQRT(SUM(INDEX($FK337:$ID337,1+SwaptionShift):INDEX($FK337:$ID337,SwaptionMonthsToGo+SwaptionShift))*SUM(INDEX($FK$325:$ID$396,FQ$169,1+SwaptionShift):INDEX($FK$325:$ID$396,FQ$169,SwaptionMonthsToGo+SwaptionShift))))))</f>
        <v>0.92739742763696476</v>
      </c>
      <c r="FR182" s="479">
        <f ca="1">IF(OR(FR$169&lt;SwaptionFirstMonthPosition+1,$FJ182&lt;SwaptionFirstMonthPosition+1,FR$169&gt;SwaptionFirstMonthPosition+SwaptionNumOfMonths+1,$FJ182&gt;SwaptionFirstMonthPosition+SwaptionNumOfMonths+1),"",IF($FJ182=FR$169,1,IF($FJ182&lt;FR$169,INDEX($FK$170:$ID$241,FR$169,$FJ182),SUMPRODUCT(INDEX($FK$325:$ID$396,FR$169,1+SwaptionShift):INDEX($FK$325:$ID$396,FR$169,SwaptionMonthsToGo+SwaptionShift),INDEX($FK$245:$ID$316,$FJ182-FR$169,73-FR$169+SwaptionShift):INDEX($FK$245:$ID$316,$FJ182-FR$169,72-FR$169+SwaptionMonthsToGo+SwaptionShift))/SQRT(SUM(INDEX($FK337:$ID337,1+SwaptionShift):INDEX($FK337:$ID337,SwaptionMonthsToGo+SwaptionShift))*SUM(INDEX($FK$325:$ID$396,FR$169,1+SwaptionShift):INDEX($FK$325:$ID$396,FR$169,SwaptionMonthsToGo+SwaptionShift))))))</f>
        <v>0.94640244465039891</v>
      </c>
      <c r="FS182" s="479">
        <f ca="1">IF(OR(FS$169&lt;SwaptionFirstMonthPosition+1,$FJ182&lt;SwaptionFirstMonthPosition+1,FS$169&gt;SwaptionFirstMonthPosition+SwaptionNumOfMonths+1,$FJ182&gt;SwaptionFirstMonthPosition+SwaptionNumOfMonths+1),"",IF($FJ182=FS$169,1,IF($FJ182&lt;FS$169,INDEX($FK$170:$ID$241,FS$169,$FJ182),SUMPRODUCT(INDEX($FK$325:$ID$396,FS$169,1+SwaptionShift):INDEX($FK$325:$ID$396,FS$169,SwaptionMonthsToGo+SwaptionShift),INDEX($FK$245:$ID$316,$FJ182-FS$169,73-FS$169+SwaptionShift):INDEX($FK$245:$ID$316,$FJ182-FS$169,72-FS$169+SwaptionMonthsToGo+SwaptionShift))/SQRT(SUM(INDEX($FK337:$ID337,1+SwaptionShift):INDEX($FK337:$ID337,SwaptionMonthsToGo+SwaptionShift))*SUM(INDEX($FK$325:$ID$396,FS$169,1+SwaptionShift):INDEX($FK$325:$ID$396,FS$169,SwaptionMonthsToGo+SwaptionShift))))))</f>
        <v>0.96180590027515067</v>
      </c>
      <c r="FT182" s="479">
        <f ca="1">IF(OR(FT$169&lt;SwaptionFirstMonthPosition+1,$FJ182&lt;SwaptionFirstMonthPosition+1,FT$169&gt;SwaptionFirstMonthPosition+SwaptionNumOfMonths+1,$FJ182&gt;SwaptionFirstMonthPosition+SwaptionNumOfMonths+1),"",IF($FJ182=FT$169,1,IF($FJ182&lt;FT$169,INDEX($FK$170:$ID$241,FT$169,$FJ182),SUMPRODUCT(INDEX($FK$325:$ID$396,FT$169,1+SwaptionShift):INDEX($FK$325:$ID$396,FT$169,SwaptionMonthsToGo+SwaptionShift),INDEX($FK$245:$ID$316,$FJ182-FT$169,73-FT$169+SwaptionShift):INDEX($FK$245:$ID$316,$FJ182-FT$169,72-FT$169+SwaptionMonthsToGo+SwaptionShift))/SQRT(SUM(INDEX($FK337:$ID337,1+SwaptionShift):INDEX($FK337:$ID337,SwaptionMonthsToGo+SwaptionShift))*SUM(INDEX($FK$325:$ID$396,FT$169,1+SwaptionShift):INDEX($FK$325:$ID$396,FT$169,SwaptionMonthsToGo+SwaptionShift))))))</f>
        <v>0.97435013090006406</v>
      </c>
      <c r="FU182" s="479">
        <f ca="1">IF(OR(FU$169&lt;SwaptionFirstMonthPosition+1,$FJ182&lt;SwaptionFirstMonthPosition+1,FU$169&gt;SwaptionFirstMonthPosition+SwaptionNumOfMonths+1,$FJ182&gt;SwaptionFirstMonthPosition+SwaptionNumOfMonths+1),"",IF($FJ182=FU$169,1,IF($FJ182&lt;FU$169,INDEX($FK$170:$ID$241,FU$169,$FJ182),SUMPRODUCT(INDEX($FK$325:$ID$396,FU$169,1+SwaptionShift):INDEX($FK$325:$ID$396,FU$169,SwaptionMonthsToGo+SwaptionShift),INDEX($FK$245:$ID$316,$FJ182-FU$169,73-FU$169+SwaptionShift):INDEX($FK$245:$ID$316,$FJ182-FU$169,72-FU$169+SwaptionMonthsToGo+SwaptionShift))/SQRT(SUM(INDEX($FK337:$ID337,1+SwaptionShift):INDEX($FK337:$ID337,SwaptionMonthsToGo+SwaptionShift))*SUM(INDEX($FK$325:$ID$396,FU$169,1+SwaptionShift):INDEX($FK$325:$ID$396,FU$169,SwaptionMonthsToGo+SwaptionShift))))))</f>
        <v>0.98461254072414317</v>
      </c>
      <c r="FV182" s="479">
        <f ca="1">IF(OR(FV$169&lt;SwaptionFirstMonthPosition+1,$FJ182&lt;SwaptionFirstMonthPosition+1,FV$169&gt;SwaptionFirstMonthPosition+SwaptionNumOfMonths+1,$FJ182&gt;SwaptionFirstMonthPosition+SwaptionNumOfMonths+1),"",IF($FJ182=FV$169,1,IF($FJ182&lt;FV$169,INDEX($FK$170:$ID$241,FV$169,$FJ182),SUMPRODUCT(INDEX($FK$325:$ID$396,FV$169,1+SwaptionShift):INDEX($FK$325:$ID$396,FV$169,SwaptionMonthsToGo+SwaptionShift),INDEX($FK$245:$ID$316,$FJ182-FV$169,73-FV$169+SwaptionShift):INDEX($FK$245:$ID$316,$FJ182-FV$169,72-FV$169+SwaptionMonthsToGo+SwaptionShift))/SQRT(SUM(INDEX($FK337:$ID337,1+SwaptionShift):INDEX($FK337:$ID337,SwaptionMonthsToGo+SwaptionShift))*SUM(INDEX($FK$325:$ID$396,FV$169,1+SwaptionShift):INDEX($FK$325:$ID$396,FV$169,SwaptionMonthsToGo+SwaptionShift))))))</f>
        <v>0.99304435996301921</v>
      </c>
      <c r="FW182" s="479">
        <f ca="1">IF(OR(FW$169&lt;SwaptionFirstMonthPosition+1,$FJ182&lt;SwaptionFirstMonthPosition+1,FW$169&gt;SwaptionFirstMonthPosition+SwaptionNumOfMonths+1,$FJ182&gt;SwaptionFirstMonthPosition+SwaptionNumOfMonths+1),"",IF($FJ182=FW$169,1,IF($FJ182&lt;FW$169,INDEX($FK$170:$ID$241,FW$169,$FJ182),SUMPRODUCT(INDEX($FK$325:$ID$396,FW$169,1+SwaptionShift):INDEX($FK$325:$ID$396,FW$169,SwaptionMonthsToGo+SwaptionShift),INDEX($FK$245:$ID$316,$FJ182-FW$169,73-FW$169+SwaptionShift):INDEX($FK$245:$ID$316,$FJ182-FW$169,72-FW$169+SwaptionMonthsToGo+SwaptionShift))/SQRT(SUM(INDEX($FK337:$ID337,1+SwaptionShift):INDEX($FK337:$ID337,SwaptionMonthsToGo+SwaptionShift))*SUM(INDEX($FK$325:$ID$396,FW$169,1+SwaptionShift):INDEX($FK$325:$ID$396,FW$169,SwaptionMonthsToGo+SwaptionShift))))))</f>
        <v>1</v>
      </c>
      <c r="FX182" s="479">
        <f ca="1">IF(OR(FX$169&lt;SwaptionFirstMonthPosition+1,$FJ182&lt;SwaptionFirstMonthPosition+1,FX$169&gt;SwaptionFirstMonthPosition+SwaptionNumOfMonths+1,$FJ182&gt;SwaptionFirstMonthPosition+SwaptionNumOfMonths+1),"",IF($FJ182=FX$169,1,IF($FJ182&lt;FX$169,INDEX($FK$170:$ID$241,FX$169,$FJ182),SUMPRODUCT(INDEX($FK$325:$ID$396,FX$169,1+SwaptionShift):INDEX($FK$325:$ID$396,FX$169,SwaptionMonthsToGo+SwaptionShift),INDEX($FK$245:$ID$316,$FJ182-FX$169,73-FX$169+SwaptionShift):INDEX($FK$245:$ID$316,$FJ182-FX$169,72-FX$169+SwaptionMonthsToGo+SwaptionShift))/SQRT(SUM(INDEX($FK337:$ID337,1+SwaptionShift):INDEX($FK337:$ID337,SwaptionMonthsToGo+SwaptionShift))*SUM(INDEX($FK$325:$ID$396,FX$169,1+SwaptionShift):INDEX($FK$325:$ID$396,FX$169,SwaptionMonthsToGo+SwaptionShift))))))</f>
        <v>0.99423870233841027</v>
      </c>
      <c r="FY182" s="479">
        <f ca="1">IF(OR(FY$169&lt;SwaptionFirstMonthPosition+1,$FJ182&lt;SwaptionFirstMonthPosition+1,FY$169&gt;SwaptionFirstMonthPosition+SwaptionNumOfMonths+1,$FJ182&gt;SwaptionFirstMonthPosition+SwaptionNumOfMonths+1),"",IF($FJ182=FY$169,1,IF($FJ182&lt;FY$169,INDEX($FK$170:$ID$241,FY$169,$FJ182),SUMPRODUCT(INDEX($FK$325:$ID$396,FY$169,1+SwaptionShift):INDEX($FK$325:$ID$396,FY$169,SwaptionMonthsToGo+SwaptionShift),INDEX($FK$245:$ID$316,$FJ182-FY$169,73-FY$169+SwaptionShift):INDEX($FK$245:$ID$316,$FJ182-FY$169,72-FY$169+SwaptionMonthsToGo+SwaptionShift))/SQRT(SUM(INDEX($FK337:$ID337,1+SwaptionShift):INDEX($FK337:$ID337,SwaptionMonthsToGo+SwaptionShift))*SUM(INDEX($FK$325:$ID$396,FY$169,1+SwaptionShift):INDEX($FK$325:$ID$396,FY$169,SwaptionMonthsToGo+SwaptionShift))))))</f>
        <v>0.98944682260029881</v>
      </c>
      <c r="FZ182" s="479">
        <f ca="1">IF(OR(FZ$169&lt;SwaptionFirstMonthPosition+1,$FJ182&lt;SwaptionFirstMonthPosition+1,FZ$169&gt;SwaptionFirstMonthPosition+SwaptionNumOfMonths+1,$FJ182&gt;SwaptionFirstMonthPosition+SwaptionNumOfMonths+1),"",IF($FJ182=FZ$169,1,IF($FJ182&lt;FZ$169,INDEX($FK$170:$ID$241,FZ$169,$FJ182),SUMPRODUCT(INDEX($FK$325:$ID$396,FZ$169,1+SwaptionShift):INDEX($FK$325:$ID$396,FZ$169,SwaptionMonthsToGo+SwaptionShift),INDEX($FK$245:$ID$316,$FJ182-FZ$169,73-FZ$169+SwaptionShift):INDEX($FK$245:$ID$316,$FJ182-FZ$169,72-FZ$169+SwaptionMonthsToGo+SwaptionShift))/SQRT(SUM(INDEX($FK337:$ID337,1+SwaptionShift):INDEX($FK337:$ID337,SwaptionMonthsToGo+SwaptionShift))*SUM(INDEX($FK$325:$ID$396,FZ$169,1+SwaptionShift):INDEX($FK$325:$ID$396,FZ$169,SwaptionMonthsToGo+SwaptionShift))))))</f>
        <v>0.98544724076081658</v>
      </c>
      <c r="GA182" s="479">
        <f ca="1">IF(OR(GA$169&lt;SwaptionFirstMonthPosition+1,$FJ182&lt;SwaptionFirstMonthPosition+1,GA$169&gt;SwaptionFirstMonthPosition+SwaptionNumOfMonths+1,$FJ182&gt;SwaptionFirstMonthPosition+SwaptionNumOfMonths+1),"",IF($FJ182=GA$169,1,IF($FJ182&lt;GA$169,INDEX($FK$170:$ID$241,GA$169,$FJ182),SUMPRODUCT(INDEX($FK$325:$ID$396,GA$169,1+SwaptionShift):INDEX($FK$325:$ID$396,GA$169,SwaptionMonthsToGo+SwaptionShift),INDEX($FK$245:$ID$316,$FJ182-GA$169,73-GA$169+SwaptionShift):INDEX($FK$245:$ID$316,$FJ182-GA$169,72-GA$169+SwaptionMonthsToGo+SwaptionShift))/SQRT(SUM(INDEX($FK337:$ID337,1+SwaptionShift):INDEX($FK337:$ID337,SwaptionMonthsToGo+SwaptionShift))*SUM(INDEX($FK$325:$ID$396,GA$169,1+SwaptionShift):INDEX($FK$325:$ID$396,GA$169,SwaptionMonthsToGo+SwaptionShift))))))</f>
        <v>0.98209875213842357</v>
      </c>
      <c r="GB182" s="479">
        <f ca="1">IF(OR(GB$169&lt;SwaptionFirstMonthPosition+1,$FJ182&lt;SwaptionFirstMonthPosition+1,GB$169&gt;SwaptionFirstMonthPosition+SwaptionNumOfMonths+1,$FJ182&gt;SwaptionFirstMonthPosition+SwaptionNumOfMonths+1),"",IF($FJ182=GB$169,1,IF($FJ182&lt;GB$169,INDEX($FK$170:$ID$241,GB$169,$FJ182),SUMPRODUCT(INDEX($FK$325:$ID$396,GB$169,1+SwaptionShift):INDEX($FK$325:$ID$396,GB$169,SwaptionMonthsToGo+SwaptionShift),INDEX($FK$245:$ID$316,$FJ182-GB$169,73-GB$169+SwaptionShift):INDEX($FK$245:$ID$316,$FJ182-GB$169,72-GB$169+SwaptionMonthsToGo+SwaptionShift))/SQRT(SUM(INDEX($FK337:$ID337,1+SwaptionShift):INDEX($FK337:$ID337,SwaptionMonthsToGo+SwaptionShift))*SUM(INDEX($FK$325:$ID$396,GB$169,1+SwaptionShift):INDEX($FK$325:$ID$396,GB$169,SwaptionMonthsToGo+SwaptionShift))))))</f>
        <v>0.97928789586435572</v>
      </c>
      <c r="GC182" s="479" t="str">
        <f ca="1">IF(OR(GC$169&lt;SwaptionFirstMonthPosition+1,$FJ182&lt;SwaptionFirstMonthPosition+1,GC$169&gt;SwaptionFirstMonthPosition+SwaptionNumOfMonths+1,$FJ182&gt;SwaptionFirstMonthPosition+SwaptionNumOfMonths+1),"",IF($FJ182=GC$169,1,IF($FJ182&lt;GC$169,INDEX($FK$170:$ID$241,GC$169,$FJ182),SUMPRODUCT(INDEX($FK$325:$ID$396,GC$169,1+SwaptionShift):INDEX($FK$325:$ID$396,GC$169,SwaptionMonthsToGo+SwaptionShift),INDEX($FK$245:$ID$316,$FJ182-GC$169,73-GC$169+SwaptionShift):INDEX($FK$245:$ID$316,$FJ182-GC$169,72-GC$169+SwaptionMonthsToGo+SwaptionShift))/SQRT(SUM(INDEX($FK337:$ID337,1+SwaptionShift):INDEX($FK337:$ID337,SwaptionMonthsToGo+SwaptionShift))*SUM(INDEX($FK$325:$ID$396,GC$169,1+SwaptionShift):INDEX($FK$325:$ID$396,GC$169,SwaptionMonthsToGo+SwaptionShift))))))</f>
        <v/>
      </c>
      <c r="GD182" s="479" t="str">
        <f ca="1">IF(OR(GD$169&lt;SwaptionFirstMonthPosition+1,$FJ182&lt;SwaptionFirstMonthPosition+1,GD$169&gt;SwaptionFirstMonthPosition+SwaptionNumOfMonths+1,$FJ182&gt;SwaptionFirstMonthPosition+SwaptionNumOfMonths+1),"",IF($FJ182=GD$169,1,IF($FJ182&lt;GD$169,INDEX($FK$170:$ID$241,GD$169,$FJ182),SUMPRODUCT(INDEX($FK$325:$ID$396,GD$169,1+SwaptionShift):INDEX($FK$325:$ID$396,GD$169,SwaptionMonthsToGo+SwaptionShift),INDEX($FK$245:$ID$316,$FJ182-GD$169,73-GD$169+SwaptionShift):INDEX($FK$245:$ID$316,$FJ182-GD$169,72-GD$169+SwaptionMonthsToGo+SwaptionShift))/SQRT(SUM(INDEX($FK337:$ID337,1+SwaptionShift):INDEX($FK337:$ID337,SwaptionMonthsToGo+SwaptionShift))*SUM(INDEX($FK$325:$ID$396,GD$169,1+SwaptionShift):INDEX($FK$325:$ID$396,GD$169,SwaptionMonthsToGo+SwaptionShift))))))</f>
        <v/>
      </c>
      <c r="GE182" s="479" t="str">
        <f ca="1">IF(OR(GE$169&lt;SwaptionFirstMonthPosition+1,$FJ182&lt;SwaptionFirstMonthPosition+1,GE$169&gt;SwaptionFirstMonthPosition+SwaptionNumOfMonths+1,$FJ182&gt;SwaptionFirstMonthPosition+SwaptionNumOfMonths+1),"",IF($FJ182=GE$169,1,IF($FJ182&lt;GE$169,INDEX($FK$170:$ID$241,GE$169,$FJ182),SUMPRODUCT(INDEX($FK$325:$ID$396,GE$169,1+SwaptionShift):INDEX($FK$325:$ID$396,GE$169,SwaptionMonthsToGo+SwaptionShift),INDEX($FK$245:$ID$316,$FJ182-GE$169,73-GE$169+SwaptionShift):INDEX($FK$245:$ID$316,$FJ182-GE$169,72-GE$169+SwaptionMonthsToGo+SwaptionShift))/SQRT(SUM(INDEX($FK337:$ID337,1+SwaptionShift):INDEX($FK337:$ID337,SwaptionMonthsToGo+SwaptionShift))*SUM(INDEX($FK$325:$ID$396,GE$169,1+SwaptionShift):INDEX($FK$325:$ID$396,GE$169,SwaptionMonthsToGo+SwaptionShift))))))</f>
        <v/>
      </c>
      <c r="GF182" s="479" t="str">
        <f ca="1">IF(OR(GF$169&lt;SwaptionFirstMonthPosition+1,$FJ182&lt;SwaptionFirstMonthPosition+1,GF$169&gt;SwaptionFirstMonthPosition+SwaptionNumOfMonths+1,$FJ182&gt;SwaptionFirstMonthPosition+SwaptionNumOfMonths+1),"",IF($FJ182=GF$169,1,IF($FJ182&lt;GF$169,INDEX($FK$170:$ID$241,GF$169,$FJ182),SUMPRODUCT(INDEX($FK$325:$ID$396,GF$169,1+SwaptionShift):INDEX($FK$325:$ID$396,GF$169,SwaptionMonthsToGo+SwaptionShift),INDEX($FK$245:$ID$316,$FJ182-GF$169,73-GF$169+SwaptionShift):INDEX($FK$245:$ID$316,$FJ182-GF$169,72-GF$169+SwaptionMonthsToGo+SwaptionShift))/SQRT(SUM(INDEX($FK337:$ID337,1+SwaptionShift):INDEX($FK337:$ID337,SwaptionMonthsToGo+SwaptionShift))*SUM(INDEX($FK$325:$ID$396,GF$169,1+SwaptionShift):INDEX($FK$325:$ID$396,GF$169,SwaptionMonthsToGo+SwaptionShift))))))</f>
        <v/>
      </c>
      <c r="GG182" s="479" t="str">
        <f ca="1">IF(OR(GG$169&lt;SwaptionFirstMonthPosition+1,$FJ182&lt;SwaptionFirstMonthPosition+1,GG$169&gt;SwaptionFirstMonthPosition+SwaptionNumOfMonths+1,$FJ182&gt;SwaptionFirstMonthPosition+SwaptionNumOfMonths+1),"",IF($FJ182=GG$169,1,IF($FJ182&lt;GG$169,INDEX($FK$170:$ID$241,GG$169,$FJ182),SUMPRODUCT(INDEX($FK$325:$ID$396,GG$169,1+SwaptionShift):INDEX($FK$325:$ID$396,GG$169,SwaptionMonthsToGo+SwaptionShift),INDEX($FK$245:$ID$316,$FJ182-GG$169,73-GG$169+SwaptionShift):INDEX($FK$245:$ID$316,$FJ182-GG$169,72-GG$169+SwaptionMonthsToGo+SwaptionShift))/SQRT(SUM(INDEX($FK337:$ID337,1+SwaptionShift):INDEX($FK337:$ID337,SwaptionMonthsToGo+SwaptionShift))*SUM(INDEX($FK$325:$ID$396,GG$169,1+SwaptionShift):INDEX($FK$325:$ID$396,GG$169,SwaptionMonthsToGo+SwaptionShift))))))</f>
        <v/>
      </c>
      <c r="GH182" s="479" t="str">
        <f ca="1">IF(OR(GH$169&lt;SwaptionFirstMonthPosition+1,$FJ182&lt;SwaptionFirstMonthPosition+1,GH$169&gt;SwaptionFirstMonthPosition+SwaptionNumOfMonths+1,$FJ182&gt;SwaptionFirstMonthPosition+SwaptionNumOfMonths+1),"",IF($FJ182=GH$169,1,IF($FJ182&lt;GH$169,INDEX($FK$170:$ID$241,GH$169,$FJ182),SUMPRODUCT(INDEX($FK$325:$ID$396,GH$169,1+SwaptionShift):INDEX($FK$325:$ID$396,GH$169,SwaptionMonthsToGo+SwaptionShift),INDEX($FK$245:$ID$316,$FJ182-GH$169,73-GH$169+SwaptionShift):INDEX($FK$245:$ID$316,$FJ182-GH$169,72-GH$169+SwaptionMonthsToGo+SwaptionShift))/SQRT(SUM(INDEX($FK337:$ID337,1+SwaptionShift):INDEX($FK337:$ID337,SwaptionMonthsToGo+SwaptionShift))*SUM(INDEX($FK$325:$ID$396,GH$169,1+SwaptionShift):INDEX($FK$325:$ID$396,GH$169,SwaptionMonthsToGo+SwaptionShift))))))</f>
        <v/>
      </c>
      <c r="GI182" s="479" t="str">
        <f ca="1">IF(OR(GI$169&lt;SwaptionFirstMonthPosition+1,$FJ182&lt;SwaptionFirstMonthPosition+1,GI$169&gt;SwaptionFirstMonthPosition+SwaptionNumOfMonths+1,$FJ182&gt;SwaptionFirstMonthPosition+SwaptionNumOfMonths+1),"",IF($FJ182=GI$169,1,IF($FJ182&lt;GI$169,INDEX($FK$170:$ID$241,GI$169,$FJ182),SUMPRODUCT(INDEX($FK$325:$ID$396,GI$169,1+SwaptionShift):INDEX($FK$325:$ID$396,GI$169,SwaptionMonthsToGo+SwaptionShift),INDEX($FK$245:$ID$316,$FJ182-GI$169,73-GI$169+SwaptionShift):INDEX($FK$245:$ID$316,$FJ182-GI$169,72-GI$169+SwaptionMonthsToGo+SwaptionShift))/SQRT(SUM(INDEX($FK337:$ID337,1+SwaptionShift):INDEX($FK337:$ID337,SwaptionMonthsToGo+SwaptionShift))*SUM(INDEX($FK$325:$ID$396,GI$169,1+SwaptionShift):INDEX($FK$325:$ID$396,GI$169,SwaptionMonthsToGo+SwaptionShift))))))</f>
        <v/>
      </c>
      <c r="GJ182" s="479" t="str">
        <f ca="1">IF(OR(GJ$169&lt;SwaptionFirstMonthPosition+1,$FJ182&lt;SwaptionFirstMonthPosition+1,GJ$169&gt;SwaptionFirstMonthPosition+SwaptionNumOfMonths+1,$FJ182&gt;SwaptionFirstMonthPosition+SwaptionNumOfMonths+1),"",IF($FJ182=GJ$169,1,IF($FJ182&lt;GJ$169,INDEX($FK$170:$ID$241,GJ$169,$FJ182),SUMPRODUCT(INDEX($FK$325:$ID$396,GJ$169,1+SwaptionShift):INDEX($FK$325:$ID$396,GJ$169,SwaptionMonthsToGo+SwaptionShift),INDEX($FK$245:$ID$316,$FJ182-GJ$169,73-GJ$169+SwaptionShift):INDEX($FK$245:$ID$316,$FJ182-GJ$169,72-GJ$169+SwaptionMonthsToGo+SwaptionShift))/SQRT(SUM(INDEX($FK337:$ID337,1+SwaptionShift):INDEX($FK337:$ID337,SwaptionMonthsToGo+SwaptionShift))*SUM(INDEX($FK$325:$ID$396,GJ$169,1+SwaptionShift):INDEX($FK$325:$ID$396,GJ$169,SwaptionMonthsToGo+SwaptionShift))))))</f>
        <v/>
      </c>
      <c r="GK182" s="479" t="str">
        <f ca="1">IF(OR(GK$169&lt;SwaptionFirstMonthPosition+1,$FJ182&lt;SwaptionFirstMonthPosition+1,GK$169&gt;SwaptionFirstMonthPosition+SwaptionNumOfMonths+1,$FJ182&gt;SwaptionFirstMonthPosition+SwaptionNumOfMonths+1),"",IF($FJ182=GK$169,1,IF($FJ182&lt;GK$169,INDEX($FK$170:$ID$241,GK$169,$FJ182),SUMPRODUCT(INDEX($FK$325:$ID$396,GK$169,1+SwaptionShift):INDEX($FK$325:$ID$396,GK$169,SwaptionMonthsToGo+SwaptionShift),INDEX($FK$245:$ID$316,$FJ182-GK$169,73-GK$169+SwaptionShift):INDEX($FK$245:$ID$316,$FJ182-GK$169,72-GK$169+SwaptionMonthsToGo+SwaptionShift))/SQRT(SUM(INDEX($FK337:$ID337,1+SwaptionShift):INDEX($FK337:$ID337,SwaptionMonthsToGo+SwaptionShift))*SUM(INDEX($FK$325:$ID$396,GK$169,1+SwaptionShift):INDEX($FK$325:$ID$396,GK$169,SwaptionMonthsToGo+SwaptionShift))))))</f>
        <v/>
      </c>
      <c r="GL182" s="479" t="str">
        <f ca="1">IF(OR(GL$169&lt;SwaptionFirstMonthPosition+1,$FJ182&lt;SwaptionFirstMonthPosition+1,GL$169&gt;SwaptionFirstMonthPosition+SwaptionNumOfMonths+1,$FJ182&gt;SwaptionFirstMonthPosition+SwaptionNumOfMonths+1),"",IF($FJ182=GL$169,1,IF($FJ182&lt;GL$169,INDEX($FK$170:$ID$241,GL$169,$FJ182),SUMPRODUCT(INDEX($FK$325:$ID$396,GL$169,1+SwaptionShift):INDEX($FK$325:$ID$396,GL$169,SwaptionMonthsToGo+SwaptionShift),INDEX($FK$245:$ID$316,$FJ182-GL$169,73-GL$169+SwaptionShift):INDEX($FK$245:$ID$316,$FJ182-GL$169,72-GL$169+SwaptionMonthsToGo+SwaptionShift))/SQRT(SUM(INDEX($FK337:$ID337,1+SwaptionShift):INDEX($FK337:$ID337,SwaptionMonthsToGo+SwaptionShift))*SUM(INDEX($FK$325:$ID$396,GL$169,1+SwaptionShift):INDEX($FK$325:$ID$396,GL$169,SwaptionMonthsToGo+SwaptionShift))))))</f>
        <v/>
      </c>
      <c r="GM182" s="479" t="str">
        <f ca="1">IF(OR(GM$169&lt;SwaptionFirstMonthPosition+1,$FJ182&lt;SwaptionFirstMonthPosition+1,GM$169&gt;SwaptionFirstMonthPosition+SwaptionNumOfMonths+1,$FJ182&gt;SwaptionFirstMonthPosition+SwaptionNumOfMonths+1),"",IF($FJ182=GM$169,1,IF($FJ182&lt;GM$169,INDEX($FK$170:$ID$241,GM$169,$FJ182),SUMPRODUCT(INDEX($FK$325:$ID$396,GM$169,1+SwaptionShift):INDEX($FK$325:$ID$396,GM$169,SwaptionMonthsToGo+SwaptionShift),INDEX($FK$245:$ID$316,$FJ182-GM$169,73-GM$169+SwaptionShift):INDEX($FK$245:$ID$316,$FJ182-GM$169,72-GM$169+SwaptionMonthsToGo+SwaptionShift))/SQRT(SUM(INDEX($FK337:$ID337,1+SwaptionShift):INDEX($FK337:$ID337,SwaptionMonthsToGo+SwaptionShift))*SUM(INDEX($FK$325:$ID$396,GM$169,1+SwaptionShift):INDEX($FK$325:$ID$396,GM$169,SwaptionMonthsToGo+SwaptionShift))))))</f>
        <v/>
      </c>
      <c r="GN182" s="479" t="str">
        <f ca="1">IF(OR(GN$169&lt;SwaptionFirstMonthPosition+1,$FJ182&lt;SwaptionFirstMonthPosition+1,GN$169&gt;SwaptionFirstMonthPosition+SwaptionNumOfMonths+1,$FJ182&gt;SwaptionFirstMonthPosition+SwaptionNumOfMonths+1),"",IF($FJ182=GN$169,1,IF($FJ182&lt;GN$169,INDEX($FK$170:$ID$241,GN$169,$FJ182),SUMPRODUCT(INDEX($FK$325:$ID$396,GN$169,1+SwaptionShift):INDEX($FK$325:$ID$396,GN$169,SwaptionMonthsToGo+SwaptionShift),INDEX($FK$245:$ID$316,$FJ182-GN$169,73-GN$169+SwaptionShift):INDEX($FK$245:$ID$316,$FJ182-GN$169,72-GN$169+SwaptionMonthsToGo+SwaptionShift))/SQRT(SUM(INDEX($FK337:$ID337,1+SwaptionShift):INDEX($FK337:$ID337,SwaptionMonthsToGo+SwaptionShift))*SUM(INDEX($FK$325:$ID$396,GN$169,1+SwaptionShift):INDEX($FK$325:$ID$396,GN$169,SwaptionMonthsToGo+SwaptionShift))))))</f>
        <v/>
      </c>
      <c r="GO182" s="479" t="str">
        <f ca="1">IF(OR(GO$169&lt;SwaptionFirstMonthPosition+1,$FJ182&lt;SwaptionFirstMonthPosition+1,GO$169&gt;SwaptionFirstMonthPosition+SwaptionNumOfMonths+1,$FJ182&gt;SwaptionFirstMonthPosition+SwaptionNumOfMonths+1),"",IF($FJ182=GO$169,1,IF($FJ182&lt;GO$169,INDEX($FK$170:$ID$241,GO$169,$FJ182),SUMPRODUCT(INDEX($FK$325:$ID$396,GO$169,1+SwaptionShift):INDEX($FK$325:$ID$396,GO$169,SwaptionMonthsToGo+SwaptionShift),INDEX($FK$245:$ID$316,$FJ182-GO$169,73-GO$169+SwaptionShift):INDEX($FK$245:$ID$316,$FJ182-GO$169,72-GO$169+SwaptionMonthsToGo+SwaptionShift))/SQRT(SUM(INDEX($FK337:$ID337,1+SwaptionShift):INDEX($FK337:$ID337,SwaptionMonthsToGo+SwaptionShift))*SUM(INDEX($FK$325:$ID$396,GO$169,1+SwaptionShift):INDEX($FK$325:$ID$396,GO$169,SwaptionMonthsToGo+SwaptionShift))))))</f>
        <v/>
      </c>
      <c r="GP182" s="479" t="str">
        <f ca="1">IF(OR(GP$169&lt;SwaptionFirstMonthPosition+1,$FJ182&lt;SwaptionFirstMonthPosition+1,GP$169&gt;SwaptionFirstMonthPosition+SwaptionNumOfMonths+1,$FJ182&gt;SwaptionFirstMonthPosition+SwaptionNumOfMonths+1),"",IF($FJ182=GP$169,1,IF($FJ182&lt;GP$169,INDEX($FK$170:$ID$241,GP$169,$FJ182),SUMPRODUCT(INDEX($FK$325:$ID$396,GP$169,1+SwaptionShift):INDEX($FK$325:$ID$396,GP$169,SwaptionMonthsToGo+SwaptionShift),INDEX($FK$245:$ID$316,$FJ182-GP$169,73-GP$169+SwaptionShift):INDEX($FK$245:$ID$316,$FJ182-GP$169,72-GP$169+SwaptionMonthsToGo+SwaptionShift))/SQRT(SUM(INDEX($FK337:$ID337,1+SwaptionShift):INDEX($FK337:$ID337,SwaptionMonthsToGo+SwaptionShift))*SUM(INDEX($FK$325:$ID$396,GP$169,1+SwaptionShift):INDEX($FK$325:$ID$396,GP$169,SwaptionMonthsToGo+SwaptionShift))))))</f>
        <v/>
      </c>
      <c r="GQ182" s="479" t="str">
        <f ca="1">IF(OR(GQ$169&lt;SwaptionFirstMonthPosition+1,$FJ182&lt;SwaptionFirstMonthPosition+1,GQ$169&gt;SwaptionFirstMonthPosition+SwaptionNumOfMonths+1,$FJ182&gt;SwaptionFirstMonthPosition+SwaptionNumOfMonths+1),"",IF($FJ182=GQ$169,1,IF($FJ182&lt;GQ$169,INDEX($FK$170:$ID$241,GQ$169,$FJ182),SUMPRODUCT(INDEX($FK$325:$ID$396,GQ$169,1+SwaptionShift):INDEX($FK$325:$ID$396,GQ$169,SwaptionMonthsToGo+SwaptionShift),INDEX($FK$245:$ID$316,$FJ182-GQ$169,73-GQ$169+SwaptionShift):INDEX($FK$245:$ID$316,$FJ182-GQ$169,72-GQ$169+SwaptionMonthsToGo+SwaptionShift))/SQRT(SUM(INDEX($FK337:$ID337,1+SwaptionShift):INDEX($FK337:$ID337,SwaptionMonthsToGo+SwaptionShift))*SUM(INDEX($FK$325:$ID$396,GQ$169,1+SwaptionShift):INDEX($FK$325:$ID$396,GQ$169,SwaptionMonthsToGo+SwaptionShift))))))</f>
        <v/>
      </c>
      <c r="GR182" s="479" t="str">
        <f ca="1">IF(OR(GR$169&lt;SwaptionFirstMonthPosition+1,$FJ182&lt;SwaptionFirstMonthPosition+1,GR$169&gt;SwaptionFirstMonthPosition+SwaptionNumOfMonths+1,$FJ182&gt;SwaptionFirstMonthPosition+SwaptionNumOfMonths+1),"",IF($FJ182=GR$169,1,IF($FJ182&lt;GR$169,INDEX($FK$170:$ID$241,GR$169,$FJ182),SUMPRODUCT(INDEX($FK$325:$ID$396,GR$169,1+SwaptionShift):INDEX($FK$325:$ID$396,GR$169,SwaptionMonthsToGo+SwaptionShift),INDEX($FK$245:$ID$316,$FJ182-GR$169,73-GR$169+SwaptionShift):INDEX($FK$245:$ID$316,$FJ182-GR$169,72-GR$169+SwaptionMonthsToGo+SwaptionShift))/SQRT(SUM(INDEX($FK337:$ID337,1+SwaptionShift):INDEX($FK337:$ID337,SwaptionMonthsToGo+SwaptionShift))*SUM(INDEX($FK$325:$ID$396,GR$169,1+SwaptionShift):INDEX($FK$325:$ID$396,GR$169,SwaptionMonthsToGo+SwaptionShift))))))</f>
        <v/>
      </c>
      <c r="GS182" s="479" t="str">
        <f ca="1">IF(OR(GS$169&lt;SwaptionFirstMonthPosition+1,$FJ182&lt;SwaptionFirstMonthPosition+1,GS$169&gt;SwaptionFirstMonthPosition+SwaptionNumOfMonths+1,$FJ182&gt;SwaptionFirstMonthPosition+SwaptionNumOfMonths+1),"",IF($FJ182=GS$169,1,IF($FJ182&lt;GS$169,INDEX($FK$170:$ID$241,GS$169,$FJ182),SUMPRODUCT(INDEX($FK$325:$ID$396,GS$169,1+SwaptionShift):INDEX($FK$325:$ID$396,GS$169,SwaptionMonthsToGo+SwaptionShift),INDEX($FK$245:$ID$316,$FJ182-GS$169,73-GS$169+SwaptionShift):INDEX($FK$245:$ID$316,$FJ182-GS$169,72-GS$169+SwaptionMonthsToGo+SwaptionShift))/SQRT(SUM(INDEX($FK337:$ID337,1+SwaptionShift):INDEX($FK337:$ID337,SwaptionMonthsToGo+SwaptionShift))*SUM(INDEX($FK$325:$ID$396,GS$169,1+SwaptionShift):INDEX($FK$325:$ID$396,GS$169,SwaptionMonthsToGo+SwaptionShift))))))</f>
        <v/>
      </c>
      <c r="GT182" s="479" t="str">
        <f ca="1">IF(OR(GT$169&lt;SwaptionFirstMonthPosition+1,$FJ182&lt;SwaptionFirstMonthPosition+1,GT$169&gt;SwaptionFirstMonthPosition+SwaptionNumOfMonths+1,$FJ182&gt;SwaptionFirstMonthPosition+SwaptionNumOfMonths+1),"",IF($FJ182=GT$169,1,IF($FJ182&lt;GT$169,INDEX($FK$170:$ID$241,GT$169,$FJ182),SUMPRODUCT(INDEX($FK$325:$ID$396,GT$169,1+SwaptionShift):INDEX($FK$325:$ID$396,GT$169,SwaptionMonthsToGo+SwaptionShift),INDEX($FK$245:$ID$316,$FJ182-GT$169,73-GT$169+SwaptionShift):INDEX($FK$245:$ID$316,$FJ182-GT$169,72-GT$169+SwaptionMonthsToGo+SwaptionShift))/SQRT(SUM(INDEX($FK337:$ID337,1+SwaptionShift):INDEX($FK337:$ID337,SwaptionMonthsToGo+SwaptionShift))*SUM(INDEX($FK$325:$ID$396,GT$169,1+SwaptionShift):INDEX($FK$325:$ID$396,GT$169,SwaptionMonthsToGo+SwaptionShift))))))</f>
        <v/>
      </c>
      <c r="GU182" s="479" t="str">
        <f ca="1">IF(OR(GU$169&lt;SwaptionFirstMonthPosition+1,$FJ182&lt;SwaptionFirstMonthPosition+1,GU$169&gt;SwaptionFirstMonthPosition+SwaptionNumOfMonths+1,$FJ182&gt;SwaptionFirstMonthPosition+SwaptionNumOfMonths+1),"",IF($FJ182=GU$169,1,IF($FJ182&lt;GU$169,INDEX($FK$170:$ID$241,GU$169,$FJ182),SUMPRODUCT(INDEX($FK$325:$ID$396,GU$169,1+SwaptionShift):INDEX($FK$325:$ID$396,GU$169,SwaptionMonthsToGo+SwaptionShift),INDEX($FK$245:$ID$316,$FJ182-GU$169,73-GU$169+SwaptionShift):INDEX($FK$245:$ID$316,$FJ182-GU$169,72-GU$169+SwaptionMonthsToGo+SwaptionShift))/SQRT(SUM(INDEX($FK337:$ID337,1+SwaptionShift):INDEX($FK337:$ID337,SwaptionMonthsToGo+SwaptionShift))*SUM(INDEX($FK$325:$ID$396,GU$169,1+SwaptionShift):INDEX($FK$325:$ID$396,GU$169,SwaptionMonthsToGo+SwaptionShift))))))</f>
        <v/>
      </c>
      <c r="GV182" s="479" t="str">
        <f ca="1">IF(OR(GV$169&lt;SwaptionFirstMonthPosition+1,$FJ182&lt;SwaptionFirstMonthPosition+1,GV$169&gt;SwaptionFirstMonthPosition+SwaptionNumOfMonths+1,$FJ182&gt;SwaptionFirstMonthPosition+SwaptionNumOfMonths+1),"",IF($FJ182=GV$169,1,IF($FJ182&lt;GV$169,INDEX($FK$170:$ID$241,GV$169,$FJ182),SUMPRODUCT(INDEX($FK$325:$ID$396,GV$169,1+SwaptionShift):INDEX($FK$325:$ID$396,GV$169,SwaptionMonthsToGo+SwaptionShift),INDEX($FK$245:$ID$316,$FJ182-GV$169,73-GV$169+SwaptionShift):INDEX($FK$245:$ID$316,$FJ182-GV$169,72-GV$169+SwaptionMonthsToGo+SwaptionShift))/SQRT(SUM(INDEX($FK337:$ID337,1+SwaptionShift):INDEX($FK337:$ID337,SwaptionMonthsToGo+SwaptionShift))*SUM(INDEX($FK$325:$ID$396,GV$169,1+SwaptionShift):INDEX($FK$325:$ID$396,GV$169,SwaptionMonthsToGo+SwaptionShift))))))</f>
        <v/>
      </c>
      <c r="GW182" s="479" t="str">
        <f ca="1">IF(OR(GW$169&lt;SwaptionFirstMonthPosition+1,$FJ182&lt;SwaptionFirstMonthPosition+1,GW$169&gt;SwaptionFirstMonthPosition+SwaptionNumOfMonths+1,$FJ182&gt;SwaptionFirstMonthPosition+SwaptionNumOfMonths+1),"",IF($FJ182=GW$169,1,IF($FJ182&lt;GW$169,INDEX($FK$170:$ID$241,GW$169,$FJ182),SUMPRODUCT(INDEX($FK$325:$ID$396,GW$169,1+SwaptionShift):INDEX($FK$325:$ID$396,GW$169,SwaptionMonthsToGo+SwaptionShift),INDEX($FK$245:$ID$316,$FJ182-GW$169,73-GW$169+SwaptionShift):INDEX($FK$245:$ID$316,$FJ182-GW$169,72-GW$169+SwaptionMonthsToGo+SwaptionShift))/SQRT(SUM(INDEX($FK337:$ID337,1+SwaptionShift):INDEX($FK337:$ID337,SwaptionMonthsToGo+SwaptionShift))*SUM(INDEX($FK$325:$ID$396,GW$169,1+SwaptionShift):INDEX($FK$325:$ID$396,GW$169,SwaptionMonthsToGo+SwaptionShift))))))</f>
        <v/>
      </c>
      <c r="GX182" s="479" t="str">
        <f ca="1">IF(OR(GX$169&lt;SwaptionFirstMonthPosition+1,$FJ182&lt;SwaptionFirstMonthPosition+1,GX$169&gt;SwaptionFirstMonthPosition+SwaptionNumOfMonths+1,$FJ182&gt;SwaptionFirstMonthPosition+SwaptionNumOfMonths+1),"",IF($FJ182=GX$169,1,IF($FJ182&lt;GX$169,INDEX($FK$170:$ID$241,GX$169,$FJ182),SUMPRODUCT(INDEX($FK$325:$ID$396,GX$169,1+SwaptionShift):INDEX($FK$325:$ID$396,GX$169,SwaptionMonthsToGo+SwaptionShift),INDEX($FK$245:$ID$316,$FJ182-GX$169,73-GX$169+SwaptionShift):INDEX($FK$245:$ID$316,$FJ182-GX$169,72-GX$169+SwaptionMonthsToGo+SwaptionShift))/SQRT(SUM(INDEX($FK337:$ID337,1+SwaptionShift):INDEX($FK337:$ID337,SwaptionMonthsToGo+SwaptionShift))*SUM(INDEX($FK$325:$ID$396,GX$169,1+SwaptionShift):INDEX($FK$325:$ID$396,GX$169,SwaptionMonthsToGo+SwaptionShift))))))</f>
        <v/>
      </c>
      <c r="GY182" s="479" t="str">
        <f ca="1">IF(OR(GY$169&lt;SwaptionFirstMonthPosition+1,$FJ182&lt;SwaptionFirstMonthPosition+1,GY$169&gt;SwaptionFirstMonthPosition+SwaptionNumOfMonths+1,$FJ182&gt;SwaptionFirstMonthPosition+SwaptionNumOfMonths+1),"",IF($FJ182=GY$169,1,IF($FJ182&lt;GY$169,INDEX($FK$170:$ID$241,GY$169,$FJ182),SUMPRODUCT(INDEX($FK$325:$ID$396,GY$169,1+SwaptionShift):INDEX($FK$325:$ID$396,GY$169,SwaptionMonthsToGo+SwaptionShift),INDEX($FK$245:$ID$316,$FJ182-GY$169,73-GY$169+SwaptionShift):INDEX($FK$245:$ID$316,$FJ182-GY$169,72-GY$169+SwaptionMonthsToGo+SwaptionShift))/SQRT(SUM(INDEX($FK337:$ID337,1+SwaptionShift):INDEX($FK337:$ID337,SwaptionMonthsToGo+SwaptionShift))*SUM(INDEX($FK$325:$ID$396,GY$169,1+SwaptionShift):INDEX($FK$325:$ID$396,GY$169,SwaptionMonthsToGo+SwaptionShift))))))</f>
        <v/>
      </c>
      <c r="GZ182" s="479" t="str">
        <f ca="1">IF(OR(GZ$169&lt;SwaptionFirstMonthPosition+1,$FJ182&lt;SwaptionFirstMonthPosition+1,GZ$169&gt;SwaptionFirstMonthPosition+SwaptionNumOfMonths+1,$FJ182&gt;SwaptionFirstMonthPosition+SwaptionNumOfMonths+1),"",IF($FJ182=GZ$169,1,IF($FJ182&lt;GZ$169,INDEX($FK$170:$ID$241,GZ$169,$FJ182),SUMPRODUCT(INDEX($FK$325:$ID$396,GZ$169,1+SwaptionShift):INDEX($FK$325:$ID$396,GZ$169,SwaptionMonthsToGo+SwaptionShift),INDEX($FK$245:$ID$316,$FJ182-GZ$169,73-GZ$169+SwaptionShift):INDEX($FK$245:$ID$316,$FJ182-GZ$169,72-GZ$169+SwaptionMonthsToGo+SwaptionShift))/SQRT(SUM(INDEX($FK337:$ID337,1+SwaptionShift):INDEX($FK337:$ID337,SwaptionMonthsToGo+SwaptionShift))*SUM(INDEX($FK$325:$ID$396,GZ$169,1+SwaptionShift):INDEX($FK$325:$ID$396,GZ$169,SwaptionMonthsToGo+SwaptionShift))))))</f>
        <v/>
      </c>
      <c r="HA182" s="479" t="str">
        <f ca="1">IF(OR(HA$169&lt;SwaptionFirstMonthPosition+1,$FJ182&lt;SwaptionFirstMonthPosition+1,HA$169&gt;SwaptionFirstMonthPosition+SwaptionNumOfMonths+1,$FJ182&gt;SwaptionFirstMonthPosition+SwaptionNumOfMonths+1),"",IF($FJ182=HA$169,1,IF($FJ182&lt;HA$169,INDEX($FK$170:$ID$241,HA$169,$FJ182),SUMPRODUCT(INDEX($FK$325:$ID$396,HA$169,1+SwaptionShift):INDEX($FK$325:$ID$396,HA$169,SwaptionMonthsToGo+SwaptionShift),INDEX($FK$245:$ID$316,$FJ182-HA$169,73-HA$169+SwaptionShift):INDEX($FK$245:$ID$316,$FJ182-HA$169,72-HA$169+SwaptionMonthsToGo+SwaptionShift))/SQRT(SUM(INDEX($FK337:$ID337,1+SwaptionShift):INDEX($FK337:$ID337,SwaptionMonthsToGo+SwaptionShift))*SUM(INDEX($FK$325:$ID$396,HA$169,1+SwaptionShift):INDEX($FK$325:$ID$396,HA$169,SwaptionMonthsToGo+SwaptionShift))))))</f>
        <v/>
      </c>
      <c r="HB182" s="479" t="str">
        <f ca="1">IF(OR(HB$169&lt;SwaptionFirstMonthPosition+1,$FJ182&lt;SwaptionFirstMonthPosition+1,HB$169&gt;SwaptionFirstMonthPosition+SwaptionNumOfMonths+1,$FJ182&gt;SwaptionFirstMonthPosition+SwaptionNumOfMonths+1),"",IF($FJ182=HB$169,1,IF($FJ182&lt;HB$169,INDEX($FK$170:$ID$241,HB$169,$FJ182),SUMPRODUCT(INDEX($FK$325:$ID$396,HB$169,1+SwaptionShift):INDEX($FK$325:$ID$396,HB$169,SwaptionMonthsToGo+SwaptionShift),INDEX($FK$245:$ID$316,$FJ182-HB$169,73-HB$169+SwaptionShift):INDEX($FK$245:$ID$316,$FJ182-HB$169,72-HB$169+SwaptionMonthsToGo+SwaptionShift))/SQRT(SUM(INDEX($FK337:$ID337,1+SwaptionShift):INDEX($FK337:$ID337,SwaptionMonthsToGo+SwaptionShift))*SUM(INDEX($FK$325:$ID$396,HB$169,1+SwaptionShift):INDEX($FK$325:$ID$396,HB$169,SwaptionMonthsToGo+SwaptionShift))))))</f>
        <v/>
      </c>
      <c r="HC182" s="479" t="str">
        <f ca="1">IF(OR(HC$169&lt;SwaptionFirstMonthPosition+1,$FJ182&lt;SwaptionFirstMonthPosition+1,HC$169&gt;SwaptionFirstMonthPosition+SwaptionNumOfMonths+1,$FJ182&gt;SwaptionFirstMonthPosition+SwaptionNumOfMonths+1),"",IF($FJ182=HC$169,1,IF($FJ182&lt;HC$169,INDEX($FK$170:$ID$241,HC$169,$FJ182),SUMPRODUCT(INDEX($FK$325:$ID$396,HC$169,1+SwaptionShift):INDEX($FK$325:$ID$396,HC$169,SwaptionMonthsToGo+SwaptionShift),INDEX($FK$245:$ID$316,$FJ182-HC$169,73-HC$169+SwaptionShift):INDEX($FK$245:$ID$316,$FJ182-HC$169,72-HC$169+SwaptionMonthsToGo+SwaptionShift))/SQRT(SUM(INDEX($FK337:$ID337,1+SwaptionShift):INDEX($FK337:$ID337,SwaptionMonthsToGo+SwaptionShift))*SUM(INDEX($FK$325:$ID$396,HC$169,1+SwaptionShift):INDEX($FK$325:$ID$396,HC$169,SwaptionMonthsToGo+SwaptionShift))))))</f>
        <v/>
      </c>
      <c r="HD182" s="479" t="str">
        <f ca="1">IF(OR(HD$169&lt;SwaptionFirstMonthPosition+1,$FJ182&lt;SwaptionFirstMonthPosition+1,HD$169&gt;SwaptionFirstMonthPosition+SwaptionNumOfMonths+1,$FJ182&gt;SwaptionFirstMonthPosition+SwaptionNumOfMonths+1),"",IF($FJ182=HD$169,1,IF($FJ182&lt;HD$169,INDEX($FK$170:$ID$241,HD$169,$FJ182),SUMPRODUCT(INDEX($FK$325:$ID$396,HD$169,1+SwaptionShift):INDEX($FK$325:$ID$396,HD$169,SwaptionMonthsToGo+SwaptionShift),INDEX($FK$245:$ID$316,$FJ182-HD$169,73-HD$169+SwaptionShift):INDEX($FK$245:$ID$316,$FJ182-HD$169,72-HD$169+SwaptionMonthsToGo+SwaptionShift))/SQRT(SUM(INDEX($FK337:$ID337,1+SwaptionShift):INDEX($FK337:$ID337,SwaptionMonthsToGo+SwaptionShift))*SUM(INDEX($FK$325:$ID$396,HD$169,1+SwaptionShift):INDEX($FK$325:$ID$396,HD$169,SwaptionMonthsToGo+SwaptionShift))))))</f>
        <v/>
      </c>
      <c r="HE182" s="479" t="str">
        <f ca="1">IF(OR(HE$169&lt;SwaptionFirstMonthPosition+1,$FJ182&lt;SwaptionFirstMonthPosition+1,HE$169&gt;SwaptionFirstMonthPosition+SwaptionNumOfMonths+1,$FJ182&gt;SwaptionFirstMonthPosition+SwaptionNumOfMonths+1),"",IF($FJ182=HE$169,1,IF($FJ182&lt;HE$169,INDEX($FK$170:$ID$241,HE$169,$FJ182),SUMPRODUCT(INDEX($FK$325:$ID$396,HE$169,1+SwaptionShift):INDEX($FK$325:$ID$396,HE$169,SwaptionMonthsToGo+SwaptionShift),INDEX($FK$245:$ID$316,$FJ182-HE$169,73-HE$169+SwaptionShift):INDEX($FK$245:$ID$316,$FJ182-HE$169,72-HE$169+SwaptionMonthsToGo+SwaptionShift))/SQRT(SUM(INDEX($FK337:$ID337,1+SwaptionShift):INDEX($FK337:$ID337,SwaptionMonthsToGo+SwaptionShift))*SUM(INDEX($FK$325:$ID$396,HE$169,1+SwaptionShift):INDEX($FK$325:$ID$396,HE$169,SwaptionMonthsToGo+SwaptionShift))))))</f>
        <v/>
      </c>
      <c r="HF182" s="479" t="str">
        <f ca="1">IF(OR(HF$169&lt;SwaptionFirstMonthPosition+1,$FJ182&lt;SwaptionFirstMonthPosition+1,HF$169&gt;SwaptionFirstMonthPosition+SwaptionNumOfMonths+1,$FJ182&gt;SwaptionFirstMonthPosition+SwaptionNumOfMonths+1),"",IF($FJ182=HF$169,1,IF($FJ182&lt;HF$169,INDEX($FK$170:$ID$241,HF$169,$FJ182),SUMPRODUCT(INDEX($FK$325:$ID$396,HF$169,1+SwaptionShift):INDEX($FK$325:$ID$396,HF$169,SwaptionMonthsToGo+SwaptionShift),INDEX($FK$245:$ID$316,$FJ182-HF$169,73-HF$169+SwaptionShift):INDEX($FK$245:$ID$316,$FJ182-HF$169,72-HF$169+SwaptionMonthsToGo+SwaptionShift))/SQRT(SUM(INDEX($FK337:$ID337,1+SwaptionShift):INDEX($FK337:$ID337,SwaptionMonthsToGo+SwaptionShift))*SUM(INDEX($FK$325:$ID$396,HF$169,1+SwaptionShift):INDEX($FK$325:$ID$396,HF$169,SwaptionMonthsToGo+SwaptionShift))))))</f>
        <v/>
      </c>
      <c r="HG182" s="479" t="str">
        <f ca="1">IF(OR(HG$169&lt;SwaptionFirstMonthPosition+1,$FJ182&lt;SwaptionFirstMonthPosition+1,HG$169&gt;SwaptionFirstMonthPosition+SwaptionNumOfMonths+1,$FJ182&gt;SwaptionFirstMonthPosition+SwaptionNumOfMonths+1),"",IF($FJ182=HG$169,1,IF($FJ182&lt;HG$169,INDEX($FK$170:$ID$241,HG$169,$FJ182),SUMPRODUCT(INDEX($FK$325:$ID$396,HG$169,1+SwaptionShift):INDEX($FK$325:$ID$396,HG$169,SwaptionMonthsToGo+SwaptionShift),INDEX($FK$245:$ID$316,$FJ182-HG$169,73-HG$169+SwaptionShift):INDEX($FK$245:$ID$316,$FJ182-HG$169,72-HG$169+SwaptionMonthsToGo+SwaptionShift))/SQRT(SUM(INDEX($FK337:$ID337,1+SwaptionShift):INDEX($FK337:$ID337,SwaptionMonthsToGo+SwaptionShift))*SUM(INDEX($FK$325:$ID$396,HG$169,1+SwaptionShift):INDEX($FK$325:$ID$396,HG$169,SwaptionMonthsToGo+SwaptionShift))))))</f>
        <v/>
      </c>
      <c r="HH182" s="479" t="str">
        <f ca="1">IF(OR(HH$169&lt;SwaptionFirstMonthPosition+1,$FJ182&lt;SwaptionFirstMonthPosition+1,HH$169&gt;SwaptionFirstMonthPosition+SwaptionNumOfMonths+1,$FJ182&gt;SwaptionFirstMonthPosition+SwaptionNumOfMonths+1),"",IF($FJ182=HH$169,1,IF($FJ182&lt;HH$169,INDEX($FK$170:$ID$241,HH$169,$FJ182),SUMPRODUCT(INDEX($FK$325:$ID$396,HH$169,1+SwaptionShift):INDEX($FK$325:$ID$396,HH$169,SwaptionMonthsToGo+SwaptionShift),INDEX($FK$245:$ID$316,$FJ182-HH$169,73-HH$169+SwaptionShift):INDEX($FK$245:$ID$316,$FJ182-HH$169,72-HH$169+SwaptionMonthsToGo+SwaptionShift))/SQRT(SUM(INDEX($FK337:$ID337,1+SwaptionShift):INDEX($FK337:$ID337,SwaptionMonthsToGo+SwaptionShift))*SUM(INDEX($FK$325:$ID$396,HH$169,1+SwaptionShift):INDEX($FK$325:$ID$396,HH$169,SwaptionMonthsToGo+SwaptionShift))))))</f>
        <v/>
      </c>
      <c r="HI182" s="479" t="str">
        <f ca="1">IF(OR(HI$169&lt;SwaptionFirstMonthPosition+1,$FJ182&lt;SwaptionFirstMonthPosition+1,HI$169&gt;SwaptionFirstMonthPosition+SwaptionNumOfMonths+1,$FJ182&gt;SwaptionFirstMonthPosition+SwaptionNumOfMonths+1),"",IF($FJ182=HI$169,1,IF($FJ182&lt;HI$169,INDEX($FK$170:$ID$241,HI$169,$FJ182),SUMPRODUCT(INDEX($FK$325:$ID$396,HI$169,1+SwaptionShift):INDEX($FK$325:$ID$396,HI$169,SwaptionMonthsToGo+SwaptionShift),INDEX($FK$245:$ID$316,$FJ182-HI$169,73-HI$169+SwaptionShift):INDEX($FK$245:$ID$316,$FJ182-HI$169,72-HI$169+SwaptionMonthsToGo+SwaptionShift))/SQRT(SUM(INDEX($FK337:$ID337,1+SwaptionShift):INDEX($FK337:$ID337,SwaptionMonthsToGo+SwaptionShift))*SUM(INDEX($FK$325:$ID$396,HI$169,1+SwaptionShift):INDEX($FK$325:$ID$396,HI$169,SwaptionMonthsToGo+SwaptionShift))))))</f>
        <v/>
      </c>
      <c r="HJ182" s="479" t="str">
        <f ca="1">IF(OR(HJ$169&lt;SwaptionFirstMonthPosition+1,$FJ182&lt;SwaptionFirstMonthPosition+1,HJ$169&gt;SwaptionFirstMonthPosition+SwaptionNumOfMonths+1,$FJ182&gt;SwaptionFirstMonthPosition+SwaptionNumOfMonths+1),"",IF($FJ182=HJ$169,1,IF($FJ182&lt;HJ$169,INDEX($FK$170:$ID$241,HJ$169,$FJ182),SUMPRODUCT(INDEX($FK$325:$ID$396,HJ$169,1+SwaptionShift):INDEX($FK$325:$ID$396,HJ$169,SwaptionMonthsToGo+SwaptionShift),INDEX($FK$245:$ID$316,$FJ182-HJ$169,73-HJ$169+SwaptionShift):INDEX($FK$245:$ID$316,$FJ182-HJ$169,72-HJ$169+SwaptionMonthsToGo+SwaptionShift))/SQRT(SUM(INDEX($FK337:$ID337,1+SwaptionShift):INDEX($FK337:$ID337,SwaptionMonthsToGo+SwaptionShift))*SUM(INDEX($FK$325:$ID$396,HJ$169,1+SwaptionShift):INDEX($FK$325:$ID$396,HJ$169,SwaptionMonthsToGo+SwaptionShift))))))</f>
        <v/>
      </c>
      <c r="HK182" s="479" t="str">
        <f ca="1">IF(OR(HK$169&lt;SwaptionFirstMonthPosition+1,$FJ182&lt;SwaptionFirstMonthPosition+1,HK$169&gt;SwaptionFirstMonthPosition+SwaptionNumOfMonths+1,$FJ182&gt;SwaptionFirstMonthPosition+SwaptionNumOfMonths+1),"",IF($FJ182=HK$169,1,IF($FJ182&lt;HK$169,INDEX($FK$170:$ID$241,HK$169,$FJ182),SUMPRODUCT(INDEX($FK$325:$ID$396,HK$169,1+SwaptionShift):INDEX($FK$325:$ID$396,HK$169,SwaptionMonthsToGo+SwaptionShift),INDEX($FK$245:$ID$316,$FJ182-HK$169,73-HK$169+SwaptionShift):INDEX($FK$245:$ID$316,$FJ182-HK$169,72-HK$169+SwaptionMonthsToGo+SwaptionShift))/SQRT(SUM(INDEX($FK337:$ID337,1+SwaptionShift):INDEX($FK337:$ID337,SwaptionMonthsToGo+SwaptionShift))*SUM(INDEX($FK$325:$ID$396,HK$169,1+SwaptionShift):INDEX($FK$325:$ID$396,HK$169,SwaptionMonthsToGo+SwaptionShift))))))</f>
        <v/>
      </c>
      <c r="HL182" s="479" t="str">
        <f ca="1">IF(OR(HL$169&lt;SwaptionFirstMonthPosition+1,$FJ182&lt;SwaptionFirstMonthPosition+1,HL$169&gt;SwaptionFirstMonthPosition+SwaptionNumOfMonths+1,$FJ182&gt;SwaptionFirstMonthPosition+SwaptionNumOfMonths+1),"",IF($FJ182=HL$169,1,IF($FJ182&lt;HL$169,INDEX($FK$170:$ID$241,HL$169,$FJ182),SUMPRODUCT(INDEX($FK$325:$ID$396,HL$169,1+SwaptionShift):INDEX($FK$325:$ID$396,HL$169,SwaptionMonthsToGo+SwaptionShift),INDEX($FK$245:$ID$316,$FJ182-HL$169,73-HL$169+SwaptionShift):INDEX($FK$245:$ID$316,$FJ182-HL$169,72-HL$169+SwaptionMonthsToGo+SwaptionShift))/SQRT(SUM(INDEX($FK337:$ID337,1+SwaptionShift):INDEX($FK337:$ID337,SwaptionMonthsToGo+SwaptionShift))*SUM(INDEX($FK$325:$ID$396,HL$169,1+SwaptionShift):INDEX($FK$325:$ID$396,HL$169,SwaptionMonthsToGo+SwaptionShift))))))</f>
        <v/>
      </c>
      <c r="HM182" s="479" t="str">
        <f ca="1">IF(OR(HM$169&lt;SwaptionFirstMonthPosition+1,$FJ182&lt;SwaptionFirstMonthPosition+1,HM$169&gt;SwaptionFirstMonthPosition+SwaptionNumOfMonths+1,$FJ182&gt;SwaptionFirstMonthPosition+SwaptionNumOfMonths+1),"",IF($FJ182=HM$169,1,IF($FJ182&lt;HM$169,INDEX($FK$170:$ID$241,HM$169,$FJ182),SUMPRODUCT(INDEX($FK$325:$ID$396,HM$169,1+SwaptionShift):INDEX($FK$325:$ID$396,HM$169,SwaptionMonthsToGo+SwaptionShift),INDEX($FK$245:$ID$316,$FJ182-HM$169,73-HM$169+SwaptionShift):INDEX($FK$245:$ID$316,$FJ182-HM$169,72-HM$169+SwaptionMonthsToGo+SwaptionShift))/SQRT(SUM(INDEX($FK337:$ID337,1+SwaptionShift):INDEX($FK337:$ID337,SwaptionMonthsToGo+SwaptionShift))*SUM(INDEX($FK$325:$ID$396,HM$169,1+SwaptionShift):INDEX($FK$325:$ID$396,HM$169,SwaptionMonthsToGo+SwaptionShift))))))</f>
        <v/>
      </c>
      <c r="HN182" s="479" t="str">
        <f ca="1">IF(OR(HN$169&lt;SwaptionFirstMonthPosition+1,$FJ182&lt;SwaptionFirstMonthPosition+1,HN$169&gt;SwaptionFirstMonthPosition+SwaptionNumOfMonths+1,$FJ182&gt;SwaptionFirstMonthPosition+SwaptionNumOfMonths+1),"",IF($FJ182=HN$169,1,IF($FJ182&lt;HN$169,INDEX($FK$170:$ID$241,HN$169,$FJ182),SUMPRODUCT(INDEX($FK$325:$ID$396,HN$169,1+SwaptionShift):INDEX($FK$325:$ID$396,HN$169,SwaptionMonthsToGo+SwaptionShift),INDEX($FK$245:$ID$316,$FJ182-HN$169,73-HN$169+SwaptionShift):INDEX($FK$245:$ID$316,$FJ182-HN$169,72-HN$169+SwaptionMonthsToGo+SwaptionShift))/SQRT(SUM(INDEX($FK337:$ID337,1+SwaptionShift):INDEX($FK337:$ID337,SwaptionMonthsToGo+SwaptionShift))*SUM(INDEX($FK$325:$ID$396,HN$169,1+SwaptionShift):INDEX($FK$325:$ID$396,HN$169,SwaptionMonthsToGo+SwaptionShift))))))</f>
        <v/>
      </c>
      <c r="HO182" s="479" t="str">
        <f ca="1">IF(OR(HO$169&lt;SwaptionFirstMonthPosition+1,$FJ182&lt;SwaptionFirstMonthPosition+1,HO$169&gt;SwaptionFirstMonthPosition+SwaptionNumOfMonths+1,$FJ182&gt;SwaptionFirstMonthPosition+SwaptionNumOfMonths+1),"",IF($FJ182=HO$169,1,IF($FJ182&lt;HO$169,INDEX($FK$170:$ID$241,HO$169,$FJ182),SUMPRODUCT(INDEX($FK$325:$ID$396,HO$169,1+SwaptionShift):INDEX($FK$325:$ID$396,HO$169,SwaptionMonthsToGo+SwaptionShift),INDEX($FK$245:$ID$316,$FJ182-HO$169,73-HO$169+SwaptionShift):INDEX($FK$245:$ID$316,$FJ182-HO$169,72-HO$169+SwaptionMonthsToGo+SwaptionShift))/SQRT(SUM(INDEX($FK337:$ID337,1+SwaptionShift):INDEX($FK337:$ID337,SwaptionMonthsToGo+SwaptionShift))*SUM(INDEX($FK$325:$ID$396,HO$169,1+SwaptionShift):INDEX($FK$325:$ID$396,HO$169,SwaptionMonthsToGo+SwaptionShift))))))</f>
        <v/>
      </c>
      <c r="HP182" s="479" t="str">
        <f ca="1">IF(OR(HP$169&lt;SwaptionFirstMonthPosition+1,$FJ182&lt;SwaptionFirstMonthPosition+1,HP$169&gt;SwaptionFirstMonthPosition+SwaptionNumOfMonths+1,$FJ182&gt;SwaptionFirstMonthPosition+SwaptionNumOfMonths+1),"",IF($FJ182=HP$169,1,IF($FJ182&lt;HP$169,INDEX($FK$170:$ID$241,HP$169,$FJ182),SUMPRODUCT(INDEX($FK$325:$ID$396,HP$169,1+SwaptionShift):INDEX($FK$325:$ID$396,HP$169,SwaptionMonthsToGo+SwaptionShift),INDEX($FK$245:$ID$316,$FJ182-HP$169,73-HP$169+SwaptionShift):INDEX($FK$245:$ID$316,$FJ182-HP$169,72-HP$169+SwaptionMonthsToGo+SwaptionShift))/SQRT(SUM(INDEX($FK337:$ID337,1+SwaptionShift):INDEX($FK337:$ID337,SwaptionMonthsToGo+SwaptionShift))*SUM(INDEX($FK$325:$ID$396,HP$169,1+SwaptionShift):INDEX($FK$325:$ID$396,HP$169,SwaptionMonthsToGo+SwaptionShift))))))</f>
        <v/>
      </c>
      <c r="HQ182" s="479" t="str">
        <f ca="1">IF(OR(HQ$169&lt;SwaptionFirstMonthPosition+1,$FJ182&lt;SwaptionFirstMonthPosition+1,HQ$169&gt;SwaptionFirstMonthPosition+SwaptionNumOfMonths+1,$FJ182&gt;SwaptionFirstMonthPosition+SwaptionNumOfMonths+1),"",IF($FJ182=HQ$169,1,IF($FJ182&lt;HQ$169,INDEX($FK$170:$ID$241,HQ$169,$FJ182),SUMPRODUCT(INDEX($FK$325:$ID$396,HQ$169,1+SwaptionShift):INDEX($FK$325:$ID$396,HQ$169,SwaptionMonthsToGo+SwaptionShift),INDEX($FK$245:$ID$316,$FJ182-HQ$169,73-HQ$169+SwaptionShift):INDEX($FK$245:$ID$316,$FJ182-HQ$169,72-HQ$169+SwaptionMonthsToGo+SwaptionShift))/SQRT(SUM(INDEX($FK337:$ID337,1+SwaptionShift):INDEX($FK337:$ID337,SwaptionMonthsToGo+SwaptionShift))*SUM(INDEX($FK$325:$ID$396,HQ$169,1+SwaptionShift):INDEX($FK$325:$ID$396,HQ$169,SwaptionMonthsToGo+SwaptionShift))))))</f>
        <v/>
      </c>
      <c r="HR182" s="479" t="str">
        <f ca="1">IF(OR(HR$169&lt;SwaptionFirstMonthPosition+1,$FJ182&lt;SwaptionFirstMonthPosition+1,HR$169&gt;SwaptionFirstMonthPosition+SwaptionNumOfMonths+1,$FJ182&gt;SwaptionFirstMonthPosition+SwaptionNumOfMonths+1),"",IF($FJ182=HR$169,1,IF($FJ182&lt;HR$169,INDEX($FK$170:$ID$241,HR$169,$FJ182),SUMPRODUCT(INDEX($FK$325:$ID$396,HR$169,1+SwaptionShift):INDEX($FK$325:$ID$396,HR$169,SwaptionMonthsToGo+SwaptionShift),INDEX($FK$245:$ID$316,$FJ182-HR$169,73-HR$169+SwaptionShift):INDEX($FK$245:$ID$316,$FJ182-HR$169,72-HR$169+SwaptionMonthsToGo+SwaptionShift))/SQRT(SUM(INDEX($FK337:$ID337,1+SwaptionShift):INDEX($FK337:$ID337,SwaptionMonthsToGo+SwaptionShift))*SUM(INDEX($FK$325:$ID$396,HR$169,1+SwaptionShift):INDEX($FK$325:$ID$396,HR$169,SwaptionMonthsToGo+SwaptionShift))))))</f>
        <v/>
      </c>
      <c r="HS182" s="479" t="str">
        <f ca="1">IF(OR(HS$169&lt;SwaptionFirstMonthPosition+1,$FJ182&lt;SwaptionFirstMonthPosition+1,HS$169&gt;SwaptionFirstMonthPosition+SwaptionNumOfMonths+1,$FJ182&gt;SwaptionFirstMonthPosition+SwaptionNumOfMonths+1),"",IF($FJ182=HS$169,1,IF($FJ182&lt;HS$169,INDEX($FK$170:$ID$241,HS$169,$FJ182),SUMPRODUCT(INDEX($FK$325:$ID$396,HS$169,1+SwaptionShift):INDEX($FK$325:$ID$396,HS$169,SwaptionMonthsToGo+SwaptionShift),INDEX($FK$245:$ID$316,$FJ182-HS$169,73-HS$169+SwaptionShift):INDEX($FK$245:$ID$316,$FJ182-HS$169,72-HS$169+SwaptionMonthsToGo+SwaptionShift))/SQRT(SUM(INDEX($FK337:$ID337,1+SwaptionShift):INDEX($FK337:$ID337,SwaptionMonthsToGo+SwaptionShift))*SUM(INDEX($FK$325:$ID$396,HS$169,1+SwaptionShift):INDEX($FK$325:$ID$396,HS$169,SwaptionMonthsToGo+SwaptionShift))))))</f>
        <v/>
      </c>
      <c r="HT182" s="479" t="str">
        <f ca="1">IF(OR(HT$169&lt;SwaptionFirstMonthPosition+1,$FJ182&lt;SwaptionFirstMonthPosition+1,HT$169&gt;SwaptionFirstMonthPosition+SwaptionNumOfMonths+1,$FJ182&gt;SwaptionFirstMonthPosition+SwaptionNumOfMonths+1),"",IF($FJ182=HT$169,1,IF($FJ182&lt;HT$169,INDEX($FK$170:$ID$241,HT$169,$FJ182),SUMPRODUCT(INDEX($FK$325:$ID$396,HT$169,1+SwaptionShift):INDEX($FK$325:$ID$396,HT$169,SwaptionMonthsToGo+SwaptionShift),INDEX($FK$245:$ID$316,$FJ182-HT$169,73-HT$169+SwaptionShift):INDEX($FK$245:$ID$316,$FJ182-HT$169,72-HT$169+SwaptionMonthsToGo+SwaptionShift))/SQRT(SUM(INDEX($FK337:$ID337,1+SwaptionShift):INDEX($FK337:$ID337,SwaptionMonthsToGo+SwaptionShift))*SUM(INDEX($FK$325:$ID$396,HT$169,1+SwaptionShift):INDEX($FK$325:$ID$396,HT$169,SwaptionMonthsToGo+SwaptionShift))))))</f>
        <v/>
      </c>
      <c r="HU182" s="479" t="str">
        <f ca="1">IF(OR(HU$169&lt;SwaptionFirstMonthPosition+1,$FJ182&lt;SwaptionFirstMonthPosition+1,HU$169&gt;SwaptionFirstMonthPosition+SwaptionNumOfMonths+1,$FJ182&gt;SwaptionFirstMonthPosition+SwaptionNumOfMonths+1),"",IF($FJ182=HU$169,1,IF($FJ182&lt;HU$169,INDEX($FK$170:$ID$241,HU$169,$FJ182),SUMPRODUCT(INDEX($FK$325:$ID$396,HU$169,1+SwaptionShift):INDEX($FK$325:$ID$396,HU$169,SwaptionMonthsToGo+SwaptionShift),INDEX($FK$245:$ID$316,$FJ182-HU$169,73-HU$169+SwaptionShift):INDEX($FK$245:$ID$316,$FJ182-HU$169,72-HU$169+SwaptionMonthsToGo+SwaptionShift))/SQRT(SUM(INDEX($FK337:$ID337,1+SwaptionShift):INDEX($FK337:$ID337,SwaptionMonthsToGo+SwaptionShift))*SUM(INDEX($FK$325:$ID$396,HU$169,1+SwaptionShift):INDEX($FK$325:$ID$396,HU$169,SwaptionMonthsToGo+SwaptionShift))))))</f>
        <v/>
      </c>
      <c r="HV182" s="479" t="str">
        <f ca="1">IF(OR(HV$169&lt;SwaptionFirstMonthPosition+1,$FJ182&lt;SwaptionFirstMonthPosition+1,HV$169&gt;SwaptionFirstMonthPosition+SwaptionNumOfMonths+1,$FJ182&gt;SwaptionFirstMonthPosition+SwaptionNumOfMonths+1),"",IF($FJ182=HV$169,1,IF($FJ182&lt;HV$169,INDEX($FK$170:$ID$241,HV$169,$FJ182),SUMPRODUCT(INDEX($FK$325:$ID$396,HV$169,1+SwaptionShift):INDEX($FK$325:$ID$396,HV$169,SwaptionMonthsToGo+SwaptionShift),INDEX($FK$245:$ID$316,$FJ182-HV$169,73-HV$169+SwaptionShift):INDEX($FK$245:$ID$316,$FJ182-HV$169,72-HV$169+SwaptionMonthsToGo+SwaptionShift))/SQRT(SUM(INDEX($FK337:$ID337,1+SwaptionShift):INDEX($FK337:$ID337,SwaptionMonthsToGo+SwaptionShift))*SUM(INDEX($FK$325:$ID$396,HV$169,1+SwaptionShift):INDEX($FK$325:$ID$396,HV$169,SwaptionMonthsToGo+SwaptionShift))))))</f>
        <v/>
      </c>
      <c r="HW182" s="479" t="str">
        <f ca="1">IF(OR(HW$169&lt;SwaptionFirstMonthPosition+1,$FJ182&lt;SwaptionFirstMonthPosition+1,HW$169&gt;SwaptionFirstMonthPosition+SwaptionNumOfMonths+1,$FJ182&gt;SwaptionFirstMonthPosition+SwaptionNumOfMonths+1),"",IF($FJ182=HW$169,1,IF($FJ182&lt;HW$169,INDEX($FK$170:$ID$241,HW$169,$FJ182),SUMPRODUCT(INDEX($FK$325:$ID$396,HW$169,1+SwaptionShift):INDEX($FK$325:$ID$396,HW$169,SwaptionMonthsToGo+SwaptionShift),INDEX($FK$245:$ID$316,$FJ182-HW$169,73-HW$169+SwaptionShift):INDEX($FK$245:$ID$316,$FJ182-HW$169,72-HW$169+SwaptionMonthsToGo+SwaptionShift))/SQRT(SUM(INDEX($FK337:$ID337,1+SwaptionShift):INDEX($FK337:$ID337,SwaptionMonthsToGo+SwaptionShift))*SUM(INDEX($FK$325:$ID$396,HW$169,1+SwaptionShift):INDEX($FK$325:$ID$396,HW$169,SwaptionMonthsToGo+SwaptionShift))))))</f>
        <v/>
      </c>
      <c r="HX182" s="479" t="str">
        <f ca="1">IF(OR(HX$169&lt;SwaptionFirstMonthPosition+1,$FJ182&lt;SwaptionFirstMonthPosition+1,HX$169&gt;SwaptionFirstMonthPosition+SwaptionNumOfMonths+1,$FJ182&gt;SwaptionFirstMonthPosition+SwaptionNumOfMonths+1),"",IF($FJ182=HX$169,1,IF($FJ182&lt;HX$169,INDEX($FK$170:$ID$241,HX$169,$FJ182),SUMPRODUCT(INDEX($FK$325:$ID$396,HX$169,1+SwaptionShift):INDEX($FK$325:$ID$396,HX$169,SwaptionMonthsToGo+SwaptionShift),INDEX($FK$245:$ID$316,$FJ182-HX$169,73-HX$169+SwaptionShift):INDEX($FK$245:$ID$316,$FJ182-HX$169,72-HX$169+SwaptionMonthsToGo+SwaptionShift))/SQRT(SUM(INDEX($FK337:$ID337,1+SwaptionShift):INDEX($FK337:$ID337,SwaptionMonthsToGo+SwaptionShift))*SUM(INDEX($FK$325:$ID$396,HX$169,1+SwaptionShift):INDEX($FK$325:$ID$396,HX$169,SwaptionMonthsToGo+SwaptionShift))))))</f>
        <v/>
      </c>
      <c r="HY182" s="479" t="str">
        <f ca="1">IF(OR(HY$169&lt;SwaptionFirstMonthPosition+1,$FJ182&lt;SwaptionFirstMonthPosition+1,HY$169&gt;SwaptionFirstMonthPosition+SwaptionNumOfMonths+1,$FJ182&gt;SwaptionFirstMonthPosition+SwaptionNumOfMonths+1),"",IF($FJ182=HY$169,1,IF($FJ182&lt;HY$169,INDEX($FK$170:$ID$241,HY$169,$FJ182),SUMPRODUCT(INDEX($FK$325:$ID$396,HY$169,1+SwaptionShift):INDEX($FK$325:$ID$396,HY$169,SwaptionMonthsToGo+SwaptionShift),INDEX($FK$245:$ID$316,$FJ182-HY$169,73-HY$169+SwaptionShift):INDEX($FK$245:$ID$316,$FJ182-HY$169,72-HY$169+SwaptionMonthsToGo+SwaptionShift))/SQRT(SUM(INDEX($FK337:$ID337,1+SwaptionShift):INDEX($FK337:$ID337,SwaptionMonthsToGo+SwaptionShift))*SUM(INDEX($FK$325:$ID$396,HY$169,1+SwaptionShift):INDEX($FK$325:$ID$396,HY$169,SwaptionMonthsToGo+SwaptionShift))))))</f>
        <v/>
      </c>
      <c r="HZ182" s="479" t="str">
        <f ca="1">IF(OR(HZ$169&lt;SwaptionFirstMonthPosition+1,$FJ182&lt;SwaptionFirstMonthPosition+1,HZ$169&gt;SwaptionFirstMonthPosition+SwaptionNumOfMonths+1,$FJ182&gt;SwaptionFirstMonthPosition+SwaptionNumOfMonths+1),"",IF($FJ182=HZ$169,1,IF($FJ182&lt;HZ$169,INDEX($FK$170:$ID$241,HZ$169,$FJ182),SUMPRODUCT(INDEX($FK$325:$ID$396,HZ$169,1+SwaptionShift):INDEX($FK$325:$ID$396,HZ$169,SwaptionMonthsToGo+SwaptionShift),INDEX($FK$245:$ID$316,$FJ182-HZ$169,73-HZ$169+SwaptionShift):INDEX($FK$245:$ID$316,$FJ182-HZ$169,72-HZ$169+SwaptionMonthsToGo+SwaptionShift))/SQRT(SUM(INDEX($FK337:$ID337,1+SwaptionShift):INDEX($FK337:$ID337,SwaptionMonthsToGo+SwaptionShift))*SUM(INDEX($FK$325:$ID$396,HZ$169,1+SwaptionShift):INDEX($FK$325:$ID$396,HZ$169,SwaptionMonthsToGo+SwaptionShift))))))</f>
        <v/>
      </c>
      <c r="IA182" s="479" t="str">
        <f ca="1">IF(OR(IA$169&lt;SwaptionFirstMonthPosition+1,$FJ182&lt;SwaptionFirstMonthPosition+1,IA$169&gt;SwaptionFirstMonthPosition+SwaptionNumOfMonths+1,$FJ182&gt;SwaptionFirstMonthPosition+SwaptionNumOfMonths+1),"",IF($FJ182=IA$169,1,IF($FJ182&lt;IA$169,INDEX($FK$170:$ID$241,IA$169,$FJ182),SUMPRODUCT(INDEX($FK$325:$ID$396,IA$169,1+SwaptionShift):INDEX($FK$325:$ID$396,IA$169,SwaptionMonthsToGo+SwaptionShift),INDEX($FK$245:$ID$316,$FJ182-IA$169,73-IA$169+SwaptionShift):INDEX($FK$245:$ID$316,$FJ182-IA$169,72-IA$169+SwaptionMonthsToGo+SwaptionShift))/SQRT(SUM(INDEX($FK337:$ID337,1+SwaptionShift):INDEX($FK337:$ID337,SwaptionMonthsToGo+SwaptionShift))*SUM(INDEX($FK$325:$ID$396,IA$169,1+SwaptionShift):INDEX($FK$325:$ID$396,IA$169,SwaptionMonthsToGo+SwaptionShift))))))</f>
        <v/>
      </c>
      <c r="IB182" s="479" t="str">
        <f ca="1">IF(OR(IB$169&lt;SwaptionFirstMonthPosition+1,$FJ182&lt;SwaptionFirstMonthPosition+1,IB$169&gt;SwaptionFirstMonthPosition+SwaptionNumOfMonths+1,$FJ182&gt;SwaptionFirstMonthPosition+SwaptionNumOfMonths+1),"",IF($FJ182=IB$169,1,IF($FJ182&lt;IB$169,INDEX($FK$170:$ID$241,IB$169,$FJ182),SUMPRODUCT(INDEX($FK$325:$ID$396,IB$169,1+SwaptionShift):INDEX($FK$325:$ID$396,IB$169,SwaptionMonthsToGo+SwaptionShift),INDEX($FK$245:$ID$316,$FJ182-IB$169,73-IB$169+SwaptionShift):INDEX($FK$245:$ID$316,$FJ182-IB$169,72-IB$169+SwaptionMonthsToGo+SwaptionShift))/SQRT(SUM(INDEX($FK337:$ID337,1+SwaptionShift):INDEX($FK337:$ID337,SwaptionMonthsToGo+SwaptionShift))*SUM(INDEX($FK$325:$ID$396,IB$169,1+SwaptionShift):INDEX($FK$325:$ID$396,IB$169,SwaptionMonthsToGo+SwaptionShift))))))</f>
        <v/>
      </c>
      <c r="IC182" s="479" t="str">
        <f ca="1">IF(OR(IC$169&lt;SwaptionFirstMonthPosition+1,$FJ182&lt;SwaptionFirstMonthPosition+1,IC$169&gt;SwaptionFirstMonthPosition+SwaptionNumOfMonths+1,$FJ182&gt;SwaptionFirstMonthPosition+SwaptionNumOfMonths+1),"",IF($FJ182=IC$169,1,IF($FJ182&lt;IC$169,INDEX($FK$170:$ID$241,IC$169,$FJ182),SUMPRODUCT(INDEX($FK$325:$ID$396,IC$169,1+SwaptionShift):INDEX($FK$325:$ID$396,IC$169,SwaptionMonthsToGo+SwaptionShift),INDEX($FK$245:$ID$316,$FJ182-IC$169,73-IC$169+SwaptionShift):INDEX($FK$245:$ID$316,$FJ182-IC$169,72-IC$169+SwaptionMonthsToGo+SwaptionShift))/SQRT(SUM(INDEX($FK337:$ID337,1+SwaptionShift):INDEX($FK337:$ID337,SwaptionMonthsToGo+SwaptionShift))*SUM(INDEX($FK$325:$ID$396,IC$169,1+SwaptionShift):INDEX($FK$325:$ID$396,IC$169,SwaptionMonthsToGo+SwaptionShift))))))</f>
        <v/>
      </c>
      <c r="ID182" s="678" t="str">
        <f ca="1">IF(OR(ID$169&lt;SwaptionFirstMonthPosition+1,$FJ182&lt;SwaptionFirstMonthPosition+1,ID$169&gt;SwaptionFirstMonthPosition+SwaptionNumOfMonths+1,$FJ182&gt;SwaptionFirstMonthPosition+SwaptionNumOfMonths+1),"",IF($FJ182=ID$169,1,IF($FJ182&lt;ID$169,INDEX($FK$170:$ID$241,ID$169,$FJ182),SUMPRODUCT(INDEX($FK$325:$ID$396,ID$169,1+SwaptionShift):INDEX($FK$325:$ID$396,ID$169,SwaptionMonthsToGo+SwaptionShift),INDEX($FK$245:$ID$316,$FJ182-ID$169,73-ID$169+SwaptionShift):INDEX($FK$245:$ID$316,$FJ182-ID$169,72-ID$169+SwaptionMonthsToGo+SwaptionShift))/SQRT(SUM(INDEX($FK337:$ID337,1+SwaptionShift):INDEX($FK337:$ID337,SwaptionMonthsToGo+SwaptionShift))*SUM(INDEX($FK$325:$ID$396,ID$169,1+SwaptionShift):INDEX($FK$325:$ID$396,ID$169,SwaptionMonthsToGo+SwaptionShift))))))</f>
        <v/>
      </c>
      <c r="IE182" s="250"/>
    </row>
    <row r="183" spans="8:239">
      <c r="H183" s="51">
        <f t="shared" ca="1" si="527"/>
        <v>0</v>
      </c>
      <c r="I183" s="379">
        <f t="shared" si="528"/>
        <v>41730</v>
      </c>
      <c r="J183" s="377"/>
      <c r="K183" s="104" t="s">
        <v>268</v>
      </c>
      <c r="L183" s="392">
        <f t="shared" si="529"/>
        <v>3.2625000000000051</v>
      </c>
      <c r="M183" s="171"/>
      <c r="N183" s="382">
        <v>0</v>
      </c>
      <c r="O183" s="171">
        <f t="shared" si="490"/>
        <v>0</v>
      </c>
      <c r="P183" s="377"/>
      <c r="Q183" s="104" t="s">
        <v>268</v>
      </c>
      <c r="R183" s="377">
        <f t="shared" ca="1" si="547"/>
        <v>2.0710573495791129</v>
      </c>
      <c r="S183" s="832">
        <f t="shared" si="564"/>
        <v>0.3600000000000001</v>
      </c>
      <c r="T183" s="831">
        <f t="shared" si="548"/>
        <v>0.99999999999908584</v>
      </c>
      <c r="U183" s="545">
        <f t="shared" si="549"/>
        <v>0.99999999999999978</v>
      </c>
      <c r="V183" s="389">
        <v>0</v>
      </c>
      <c r="W183" s="434">
        <f t="shared" si="578"/>
        <v>0</v>
      </c>
      <c r="X183" s="415">
        <f t="shared" si="579"/>
        <v>3.3136363636363693</v>
      </c>
      <c r="Y183" s="322">
        <f t="shared" si="580"/>
        <v>-1.2915000000000001</v>
      </c>
      <c r="Z183" s="322">
        <f t="shared" ca="1" si="581"/>
        <v>2.0221363636363692</v>
      </c>
      <c r="AA183" s="429">
        <f t="shared" si="495"/>
        <v>1.2915000000000001</v>
      </c>
      <c r="AB183" s="433">
        <f t="shared" ca="1" si="496"/>
        <v>1.2915000000000001</v>
      </c>
      <c r="AC183" s="229">
        <v>41718</v>
      </c>
      <c r="AD183" s="229">
        <v>41714</v>
      </c>
      <c r="AE183" s="229">
        <v>41713</v>
      </c>
      <c r="AF183" s="229">
        <v>41709</v>
      </c>
      <c r="AG183" s="249" t="s">
        <v>499</v>
      </c>
      <c r="AH183" s="247" t="s">
        <v>499</v>
      </c>
      <c r="AI183" s="146">
        <v>22</v>
      </c>
      <c r="AJ183" s="41">
        <v>14</v>
      </c>
      <c r="AK183" s="41">
        <v>8</v>
      </c>
      <c r="AL183" s="293">
        <v>22</v>
      </c>
      <c r="AM183" s="41">
        <v>10</v>
      </c>
      <c r="AN183" s="147">
        <v>12</v>
      </c>
      <c r="AO183" s="374"/>
      <c r="AP183" s="153">
        <f t="shared" ca="1" si="530"/>
        <v>1</v>
      </c>
      <c r="AQ183" s="374"/>
      <c r="AR183" s="153">
        <f t="shared" ca="1" si="550"/>
        <v>1</v>
      </c>
      <c r="AS183" s="272">
        <f t="shared" si="582"/>
        <v>0</v>
      </c>
      <c r="AT183" s="157">
        <f t="shared" si="531"/>
        <v>0</v>
      </c>
      <c r="AU183" s="157">
        <f t="shared" si="498"/>
        <v>0</v>
      </c>
      <c r="AV183" s="271">
        <f t="shared" ca="1" si="558"/>
        <v>9.9999999999999995E-7</v>
      </c>
      <c r="AW183" s="158" t="str">
        <f t="shared" ca="1" si="583"/>
        <v/>
      </c>
      <c r="AX183" s="157">
        <f t="shared" ca="1" si="551"/>
        <v>1.0386465985130564E-4</v>
      </c>
      <c r="AY183" s="157">
        <f t="shared" ca="1" si="552"/>
        <v>2.7112970019736194E-5</v>
      </c>
      <c r="AZ183" s="157">
        <f t="shared" ca="1" si="553"/>
        <v>1.190770508079691E-6</v>
      </c>
      <c r="BA183" s="157">
        <f t="shared" ca="1" si="554"/>
        <v>1.4884631350996138E-7</v>
      </c>
      <c r="BB183" s="157">
        <f t="shared" ca="1" si="555"/>
        <v>1.2883226435693405E-9</v>
      </c>
      <c r="BC183" s="157">
        <f t="shared" ca="1" si="556"/>
        <v>4.4310450091006968E-11</v>
      </c>
      <c r="BD183" s="151">
        <f t="shared" ca="1" si="584"/>
        <v>0</v>
      </c>
      <c r="BE183" s="152">
        <f t="shared" ca="1" si="585"/>
        <v>0</v>
      </c>
      <c r="BF183" s="40">
        <f t="shared" si="586"/>
        <v>2014</v>
      </c>
      <c r="BG183" s="144">
        <f t="shared" si="587"/>
        <v>4</v>
      </c>
      <c r="BH183" s="145">
        <f t="shared" ca="1" si="588"/>
        <v>4969</v>
      </c>
      <c r="BI183" s="313">
        <f t="shared" ca="1" si="568"/>
        <v>13.648186173853524</v>
      </c>
      <c r="BJ183" s="42">
        <f t="shared" ca="1" si="505"/>
        <v>13.698711965652416</v>
      </c>
      <c r="BK183" s="42">
        <f t="shared" ca="1" si="506"/>
        <v>13.701449816439549</v>
      </c>
      <c r="BL183" s="42">
        <f t="shared" ca="1" si="569"/>
        <v>13.727583846680355</v>
      </c>
      <c r="BM183" s="150" t="e">
        <f t="shared" ca="1" si="507"/>
        <v>#DIV/0!</v>
      </c>
      <c r="BN183" s="42" t="e">
        <f t="shared" ca="1" si="508"/>
        <v>#DIV/0!</v>
      </c>
      <c r="BO183" s="293">
        <f t="shared" si="570"/>
        <v>22</v>
      </c>
      <c r="BP183" s="41">
        <f t="shared" si="571"/>
        <v>14</v>
      </c>
      <c r="BQ183" s="41">
        <f t="shared" si="572"/>
        <v>8</v>
      </c>
      <c r="BR183" s="305" t="str">
        <f t="shared" ca="1" si="509"/>
        <v/>
      </c>
      <c r="BS183" s="305" t="str">
        <f t="shared" ca="1" si="573"/>
        <v/>
      </c>
      <c r="BT183" s="307" t="str">
        <f t="shared" ca="1" si="574"/>
        <v/>
      </c>
      <c r="BU183" s="161" t="str">
        <f t="shared" ca="1" si="510"/>
        <v/>
      </c>
      <c r="BV183" s="161" t="str">
        <f t="shared" ca="1" si="511"/>
        <v/>
      </c>
      <c r="BW183" s="308" t="str">
        <f t="shared" ca="1" si="512"/>
        <v/>
      </c>
      <c r="BX183" s="309" t="str">
        <f t="shared" ca="1" si="513"/>
        <v/>
      </c>
      <c r="BY183" s="308" t="str">
        <f t="shared" ca="1" si="575"/>
        <v/>
      </c>
      <c r="BZ183" s="309" t="str">
        <f t="shared" ca="1" si="576"/>
        <v/>
      </c>
      <c r="CA183" s="154" t="str">
        <f t="shared" ca="1" si="514"/>
        <v/>
      </c>
      <c r="CB183" s="154" t="str">
        <f t="shared" ca="1" si="515"/>
        <v/>
      </c>
      <c r="CC183" s="154" t="str">
        <f t="shared" ca="1" si="516"/>
        <v/>
      </c>
      <c r="CD183" s="154" t="str">
        <f t="shared" ca="1" si="517"/>
        <v/>
      </c>
      <c r="CE183" s="310">
        <v>1</v>
      </c>
      <c r="CF183" s="162">
        <f ca="1">IF(BD183,_xll.xCrudeAPO(BU183,BV183,CA183,CB183,S184,S185,BI183,BL183,BP183,BQ183,0,Strike1,AO183,CE183,0,BL183,IF(OptControl=4,0,1),0,1),0)</f>
        <v>0</v>
      </c>
      <c r="CG183" s="163">
        <f ca="1">IF(BD183,_xll.xCrudeAPO(BU183,BV183,CA183,CB183,S184,S185,BI183,BL183,BP183,BQ183,0,Strike1,AO183,CE183,0,BL183,IF(OptControl=4,0,1),1,1)+_xll.xCrudeAPO(BU183,BV183,CA183,CB183,S184,S185,BI183,BL183,BP183,BQ183,0,Strike1,AO183,CE183,0,BL183,IF(OptControl=4,0,1),1,2)+IF(OR(VolSkewFlag=2,ABS(BS183)&lt;0.0001),0,IF(BS183&gt;0,-1,1)*CH183*Strike1/BR183^2*BY183/10%),0)</f>
        <v>0</v>
      </c>
      <c r="CH183" s="163">
        <f ca="1">IF(BD183,(_xll.xCrudeAPO(BU183,BV183,CA183,CB183,S184,S185,BI183,BL183,BP183,BQ183,0,Strike1,AO183,CE183,0,BL183,IF(OptControl=4,0,1),3,1)+_xll.xCrudeAPO(BU183,BV183,CA183,CB183,S184,S185,BI183,BL183,BP183,BQ183,0,Strike1,AO183,CE183,0,BL183,IF(OptControl=4,0,1),3,2))/100,0)</f>
        <v>0</v>
      </c>
      <c r="CI183" s="163">
        <f ca="1">IF(BD183,_xll.xCrudeAPO(BU183,BV183,CA183,CB183,S184,S185,BI183-DaysForThetaCalculation/365.25,BL183-DaysForThetaCalculation/365.25,BP183,BQ183,0,Strike1,AO183,CE183,0,BL183,IF(OptControl=4,0,1),0,1)-_xll.xCrudeAPO(BU183,BV183,CA183,CB183,S184,S185,BI183,BL183,BP183,BQ183,0,Strike1,AO183,CE183,0,BL183,IF(OptControl=4,0,1),0,1),0)</f>
        <v>0</v>
      </c>
      <c r="CJ183" s="311">
        <f ca="1">IF(BD183,_xll.xCrudeAPO(BU183,BV183,CC183,CD183,S184,S185,BI183,BL183,BP183,BQ183,0,Strike2,AO183,CE183,0,BL183,IF(OptControl=3,1,0),0,1),0)</f>
        <v>0</v>
      </c>
      <c r="CK183" s="163">
        <f ca="1">IF(BD183,_xll.xCrudeAPO(BU183,BV183,CC183,CD183,S184,S185,BI183,BL183,BP183,BQ183,0,Strike2,AO183,CE183,0,BL183,IF(OptControl=3,1,0),1,1)+_xll.xCrudeAPO(BU183,BV183,CC183,CD183,S184,S185,BI183,BL183,BP183,BQ183,0,Strike2,AO183,CE183,0,BL183,IF(OptControl=3,1,0),1,2)+IF(OR(VolSkewFlag=2,ABS(BT183)&lt;0.0001),0,IF(BT183&gt;0,-1,1)*CL183*Strike2/BR183^2*BZ183/10%),0)</f>
        <v>0</v>
      </c>
      <c r="CL183" s="163">
        <f ca="1">IF(BD183,(_xll.xCrudeAPO(BU183,BV183,CC183,CD183,S184,S185,BI183,BL183,BP183,BQ183,0,Strike2,AO183,CE183,0,BL183,IF(OptControl=3,1,0),3,1)+_xll.xCrudeAPO(BU183,BV183,CC183,CD183,S184,S185,BI183,BL183,BP183,BQ183,0,Strike2,AO183,CE183,0,BL183,IF(OptControl=3,1,0),3,2))/100,0)</f>
        <v>0</v>
      </c>
      <c r="CM183" s="164">
        <f ca="1">IF(BD183,_xll.xCrudeAPO(BU183,BV183,CC183,CD183,S184,S185,BI183-DaysForThetaCalculation/365.25,BL183-DaysForThetaCalculation/365.25,BP183,BQ183,0,Strike2,AO183,CE183,0,BL183,IF(OptControl=3,1,0),0,1)-_xll.xCrudeAPO(BU183,BV183,CC183,CD183,S184,S185,BI183,BL183,BP183,BQ183,0,Strike2,AO183,CE183,0,BL183,IF(OptControl=3,1,0),0,1),0)</f>
        <v>0</v>
      </c>
      <c r="CN183" s="53"/>
      <c r="CO183" s="796" t="str">
        <f t="shared" ca="1" si="532"/>
        <v/>
      </c>
      <c r="CP183" s="800" t="str">
        <f t="shared" ca="1" si="533"/>
        <v/>
      </c>
      <c r="CQ183" s="797" t="str">
        <f t="shared" ca="1" si="534"/>
        <v/>
      </c>
      <c r="CR183" s="797" t="str">
        <f t="shared" ca="1" si="535"/>
        <v/>
      </c>
      <c r="CS183" s="797" t="str">
        <f t="shared" ca="1" si="536"/>
        <v/>
      </c>
      <c r="CT183" s="797" t="str">
        <f t="shared" ca="1" si="537"/>
        <v/>
      </c>
      <c r="CU183" s="798" t="str">
        <f t="shared" ca="1" si="538"/>
        <v/>
      </c>
      <c r="CV183" s="799" t="str">
        <f t="shared" ca="1" si="539"/>
        <v/>
      </c>
      <c r="CW183" s="799" t="str">
        <f t="shared" ca="1" si="540"/>
        <v/>
      </c>
      <c r="CX183" s="163">
        <f ca="1">IF(BD183,_xll.EURO(CP183,Strike1,AO183,AO183,CV183,CO183,IF(OptControl=4,0,1),0),0)</f>
        <v>0</v>
      </c>
      <c r="CY183" s="163">
        <f ca="1">IF(BD183,_xll.EURO(CP183,Strike1,AO183,AO183,CV183,CO183,IF(OptControl=4,0,1),1)+IF(OR(VolSkewFlag=2,ABS(CQ183)&lt;0.0001),0,IF(CQ183&gt;0,-1,1)*CZ183*100*Strike1/CP183^2*CS183/10%),0)</f>
        <v>0</v>
      </c>
      <c r="CZ183" s="163">
        <f ca="1">IF(BD183,_xll.EURO(CP183,Strike1,AO183,AO183,CV183,CO183,IF(OptControl=4,0,1),3)/100,0)</f>
        <v>0</v>
      </c>
      <c r="DA183" s="163">
        <f ca="1">IF(BD183,_xll.EURO(CP183,Strike1,AO183,AO183,CV183,CO183,IF(OptControl=4,0,1),0)-_xll.EURO(CP183,Strike1,AO183,AO183,CV183,CO183-1,IF(OptControl=4,0,1),0),0)</f>
        <v>0</v>
      </c>
      <c r="DB183" s="163">
        <f ca="1">IF(BD183,_xll.EURO(CP183,Strike2,AO183,AO183,CW183,CO183,IF(OptControl=3,1,0),0),0)</f>
        <v>0</v>
      </c>
      <c r="DC183" s="163">
        <f ca="1">IF(BD183,_xll.EURO(CP183,Strike2,AO183,AO183,CW183,CO183,IF(OptControl=3,1,0),1)+IF(OR(VolSkewFlag=2,ABS(CR183)&lt;0.0001),0,IF(CR183&gt;0,-1,1)*DD183*100*Strike2/CP183^2*CT183/10%),0)</f>
        <v>0</v>
      </c>
      <c r="DD183" s="163">
        <f ca="1">IF(BD183,_xll.EURO(CP183,Strike2,AO183,AO183,CW183,CO183,IF(OptControl=3,1,0),3)/100,0)</f>
        <v>0</v>
      </c>
      <c r="DE183" s="164">
        <f ca="1">IF(BD183,_xll.EURO(CP183,Strike2,AO183,AO183,CW183,CO183,IF(OptControl=3,1,0),0)-_xll.EURO(CP183,Strike2,AO183,AO183,CW183,CO183-1,IF(OptControl=3,1,0),0),0)</f>
        <v>0</v>
      </c>
      <c r="DG183" s="667">
        <f t="shared" ca="1" si="541"/>
        <v>41518</v>
      </c>
      <c r="DH183" s="475">
        <v>22.310000000000063</v>
      </c>
      <c r="DI183" s="665">
        <v>22.374285714285776</v>
      </c>
      <c r="DJ183" s="666">
        <f t="shared" ca="1" si="589"/>
        <v>41518</v>
      </c>
      <c r="DK183" s="475">
        <v>21.124656428412795</v>
      </c>
      <c r="DL183" s="665">
        <v>21.107385714285776</v>
      </c>
      <c r="DM183" s="667">
        <f t="shared" ca="1" si="590"/>
        <v>41518</v>
      </c>
      <c r="DN183" s="668">
        <f t="shared" si="591"/>
        <v>21.174656428412796</v>
      </c>
      <c r="DO183" s="667">
        <f t="shared" ca="1" si="542"/>
        <v>41518</v>
      </c>
      <c r="DP183" s="579">
        <f t="shared" si="543"/>
        <v>21.107385714285776</v>
      </c>
      <c r="DQ183" s="821">
        <v>0</v>
      </c>
      <c r="DR183" s="666">
        <f t="shared" ca="1" si="592"/>
        <v>41518</v>
      </c>
      <c r="DS183" s="669">
        <v>0.12679999999999805</v>
      </c>
      <c r="DT183" s="606">
        <v>0.12602857142856949</v>
      </c>
      <c r="DU183" s="666">
        <f t="shared" ca="1" si="593"/>
        <v>41518</v>
      </c>
      <c r="DV183" s="669">
        <v>0.12679999999999805</v>
      </c>
      <c r="DW183" s="606">
        <v>0.12602857142856949</v>
      </c>
      <c r="DX183" s="667">
        <f t="shared" ca="1" si="594"/>
        <v>41518</v>
      </c>
      <c r="DY183" s="606">
        <v>0.35</v>
      </c>
      <c r="DZ183" s="667">
        <f t="shared" ca="1" si="544"/>
        <v>41518</v>
      </c>
      <c r="EA183" s="606">
        <f t="shared" si="545"/>
        <v>0.12602857142856949</v>
      </c>
      <c r="EB183" s="1"/>
      <c r="EC183" s="118" t="str">
        <f t="shared" ca="1" si="595"/>
        <v/>
      </c>
      <c r="ED183" s="119" t="str">
        <f t="shared" ca="1" si="525"/>
        <v/>
      </c>
      <c r="EE183" s="112" t="str">
        <f t="shared" ca="1" si="526"/>
        <v/>
      </c>
      <c r="EF183" s="120">
        <f ca="1">IF(BD183,_xll.xASN(BR183,Strike1,AO183,ED183,0,BO183,0,BI183,BL183,IF(OptControl=4,0,1),0),0)</f>
        <v>0</v>
      </c>
      <c r="EG183" s="111">
        <f ca="1">IF(BD183,_xll.xASN(BR183,Strike2,AO183,EE183,0,BO183,0,BI183,BL183,IF(OptControl=3,1,0),0),0)</f>
        <v>0</v>
      </c>
      <c r="EL183" s="55"/>
      <c r="EM183" s="1"/>
      <c r="EN183" s="106"/>
      <c r="EO183" s="106"/>
      <c r="EP183" s="1"/>
      <c r="EQ183" s="683" t="s">
        <v>396</v>
      </c>
      <c r="ES183" s="455"/>
      <c r="ET183" s="36"/>
      <c r="EU183" s="107"/>
      <c r="EV183" s="475"/>
      <c r="EW183" s="456"/>
      <c r="EX183" s="456"/>
      <c r="EY183" s="250"/>
      <c r="EZ183" s="250"/>
      <c r="FA183" s="250"/>
      <c r="FB183" s="250"/>
      <c r="FC183" s="250"/>
      <c r="FD183" s="250"/>
      <c r="FE183" s="250"/>
      <c r="FF183" s="250"/>
      <c r="FG183" s="250"/>
      <c r="FH183" s="250"/>
      <c r="FI183" s="250"/>
      <c r="FJ183" s="673">
        <v>14</v>
      </c>
      <c r="FK183" s="479" t="str">
        <f ca="1">IF(OR(FK$169&lt;SwaptionFirstMonthPosition+1,$FJ183&lt;SwaptionFirstMonthPosition+1,FK$169&gt;SwaptionFirstMonthPosition+SwaptionNumOfMonths+1,$FJ183&gt;SwaptionFirstMonthPosition+SwaptionNumOfMonths+1),"",IF($FJ183=FK$169,1,IF($FJ183&lt;FK$169,INDEX($FK$170:$ID$241,FK$169,$FJ183),SUMPRODUCT(INDEX($FK$325:$ID$396,FK$169,1+SwaptionShift):INDEX($FK$325:$ID$396,FK$169,SwaptionMonthsToGo+SwaptionShift),INDEX($FK$245:$ID$316,$FJ183-FK$169,73-FK$169+SwaptionShift):INDEX($FK$245:$ID$316,$FJ183-FK$169,72-FK$169+SwaptionMonthsToGo+SwaptionShift))/SQRT(SUM(INDEX($FK338:$ID338,1+SwaptionShift):INDEX($FK338:$ID338,SwaptionMonthsToGo+SwaptionShift))*SUM(INDEX($FK$325:$ID$396,FK$169,1+SwaptionShift):INDEX($FK$325:$ID$396,FK$169,SwaptionMonthsToGo+SwaptionShift))))))</f>
        <v/>
      </c>
      <c r="FL183" s="479" t="str">
        <f ca="1">IF(OR(FL$169&lt;SwaptionFirstMonthPosition+1,$FJ183&lt;SwaptionFirstMonthPosition+1,FL$169&gt;SwaptionFirstMonthPosition+SwaptionNumOfMonths+1,$FJ183&gt;SwaptionFirstMonthPosition+SwaptionNumOfMonths+1),"",IF($FJ183=FL$169,1,IF($FJ183&lt;FL$169,INDEX($FK$170:$ID$241,FL$169,$FJ183),SUMPRODUCT(INDEX($FK$325:$ID$396,FL$169,1+SwaptionShift):INDEX($FK$325:$ID$396,FL$169,SwaptionMonthsToGo+SwaptionShift),INDEX($FK$245:$ID$316,$FJ183-FL$169,73-FL$169+SwaptionShift):INDEX($FK$245:$ID$316,$FJ183-FL$169,72-FL$169+SwaptionMonthsToGo+SwaptionShift))/SQRT(SUM(INDEX($FK338:$ID338,1+SwaptionShift):INDEX($FK338:$ID338,SwaptionMonthsToGo+SwaptionShift))*SUM(INDEX($FK$325:$ID$396,FL$169,1+SwaptionShift):INDEX($FK$325:$ID$396,FL$169,SwaptionMonthsToGo+SwaptionShift))))))</f>
        <v/>
      </c>
      <c r="FM183" s="479" t="str">
        <f ca="1">IF(OR(FM$169&lt;SwaptionFirstMonthPosition+1,$FJ183&lt;SwaptionFirstMonthPosition+1,FM$169&gt;SwaptionFirstMonthPosition+SwaptionNumOfMonths+1,$FJ183&gt;SwaptionFirstMonthPosition+SwaptionNumOfMonths+1),"",IF($FJ183=FM$169,1,IF($FJ183&lt;FM$169,INDEX($FK$170:$ID$241,FM$169,$FJ183),SUMPRODUCT(INDEX($FK$325:$ID$396,FM$169,1+SwaptionShift):INDEX($FK$325:$ID$396,FM$169,SwaptionMonthsToGo+SwaptionShift),INDEX($FK$245:$ID$316,$FJ183-FM$169,73-FM$169+SwaptionShift):INDEX($FK$245:$ID$316,$FJ183-FM$169,72-FM$169+SwaptionMonthsToGo+SwaptionShift))/SQRT(SUM(INDEX($FK338:$ID338,1+SwaptionShift):INDEX($FK338:$ID338,SwaptionMonthsToGo+SwaptionShift))*SUM(INDEX($FK$325:$ID$396,FM$169,1+SwaptionShift):INDEX($FK$325:$ID$396,FM$169,SwaptionMonthsToGo+SwaptionShift))))))</f>
        <v/>
      </c>
      <c r="FN183" s="479" t="str">
        <f ca="1">IF(OR(FN$169&lt;SwaptionFirstMonthPosition+1,$FJ183&lt;SwaptionFirstMonthPosition+1,FN$169&gt;SwaptionFirstMonthPosition+SwaptionNumOfMonths+1,$FJ183&gt;SwaptionFirstMonthPosition+SwaptionNumOfMonths+1),"",IF($FJ183=FN$169,1,IF($FJ183&lt;FN$169,INDEX($FK$170:$ID$241,FN$169,$FJ183),SUMPRODUCT(INDEX($FK$325:$ID$396,FN$169,1+SwaptionShift):INDEX($FK$325:$ID$396,FN$169,SwaptionMonthsToGo+SwaptionShift),INDEX($FK$245:$ID$316,$FJ183-FN$169,73-FN$169+SwaptionShift):INDEX($FK$245:$ID$316,$FJ183-FN$169,72-FN$169+SwaptionMonthsToGo+SwaptionShift))/SQRT(SUM(INDEX($FK338:$ID338,1+SwaptionShift):INDEX($FK338:$ID338,SwaptionMonthsToGo+SwaptionShift))*SUM(INDEX($FK$325:$ID$396,FN$169,1+SwaptionShift):INDEX($FK$325:$ID$396,FN$169,SwaptionMonthsToGo+SwaptionShift))))))</f>
        <v/>
      </c>
      <c r="FO183" s="479" t="str">
        <f ca="1">IF(OR(FO$169&lt;SwaptionFirstMonthPosition+1,$FJ183&lt;SwaptionFirstMonthPosition+1,FO$169&gt;SwaptionFirstMonthPosition+SwaptionNumOfMonths+1,$FJ183&gt;SwaptionFirstMonthPosition+SwaptionNumOfMonths+1),"",IF($FJ183=FO$169,1,IF($FJ183&lt;FO$169,INDEX($FK$170:$ID$241,FO$169,$FJ183),SUMPRODUCT(INDEX($FK$325:$ID$396,FO$169,1+SwaptionShift):INDEX($FK$325:$ID$396,FO$169,SwaptionMonthsToGo+SwaptionShift),INDEX($FK$245:$ID$316,$FJ183-FO$169,73-FO$169+SwaptionShift):INDEX($FK$245:$ID$316,$FJ183-FO$169,72-FO$169+SwaptionMonthsToGo+SwaptionShift))/SQRT(SUM(INDEX($FK338:$ID338,1+SwaptionShift):INDEX($FK338:$ID338,SwaptionMonthsToGo+SwaptionShift))*SUM(INDEX($FK$325:$ID$396,FO$169,1+SwaptionShift):INDEX($FK$325:$ID$396,FO$169,SwaptionMonthsToGo+SwaptionShift))))))</f>
        <v/>
      </c>
      <c r="FP183" s="479">
        <f ca="1">IF(OR(FP$169&lt;SwaptionFirstMonthPosition+1,$FJ183&lt;SwaptionFirstMonthPosition+1,FP$169&gt;SwaptionFirstMonthPosition+SwaptionNumOfMonths+1,$FJ183&gt;SwaptionFirstMonthPosition+SwaptionNumOfMonths+1),"",IF($FJ183=FP$169,1,IF($FJ183&lt;FP$169,INDEX($FK$170:$ID$241,FP$169,$FJ183),SUMPRODUCT(INDEX($FK$325:$ID$396,FP$169,1+SwaptionShift):INDEX($FK$325:$ID$396,FP$169,SwaptionMonthsToGo+SwaptionShift),INDEX($FK$245:$ID$316,$FJ183-FP$169,73-FP$169+SwaptionShift):INDEX($FK$245:$ID$316,$FJ183-FP$169,72-FP$169+SwaptionMonthsToGo+SwaptionShift))/SQRT(SUM(INDEX($FK338:$ID338,1+SwaptionShift):INDEX($FK338:$ID338,SwaptionMonthsToGo+SwaptionShift))*SUM(INDEX($FK$325:$ID$396,FP$169,1+SwaptionShift):INDEX($FK$325:$ID$396,FP$169,SwaptionMonthsToGo+SwaptionShift))))))</f>
        <v>0.89818570458108082</v>
      </c>
      <c r="FQ183" s="479">
        <f ca="1">IF(OR(FQ$169&lt;SwaptionFirstMonthPosition+1,$FJ183&lt;SwaptionFirstMonthPosition+1,FQ$169&gt;SwaptionFirstMonthPosition+SwaptionNumOfMonths+1,$FJ183&gt;SwaptionFirstMonthPosition+SwaptionNumOfMonths+1),"",IF($FJ183=FQ$169,1,IF($FJ183&lt;FQ$169,INDEX($FK$170:$ID$241,FQ$169,$FJ183),SUMPRODUCT(INDEX($FK$325:$ID$396,FQ$169,1+SwaptionShift):INDEX($FK$325:$ID$396,FQ$169,SwaptionMonthsToGo+SwaptionShift),INDEX($FK$245:$ID$316,$FJ183-FQ$169,73-FQ$169+SwaptionShift):INDEX($FK$245:$ID$316,$FJ183-FQ$169,72-FQ$169+SwaptionMonthsToGo+SwaptionShift))/SQRT(SUM(INDEX($FK338:$ID338,1+SwaptionShift):INDEX($FK338:$ID338,SwaptionMonthsToGo+SwaptionShift))*SUM(INDEX($FK$325:$ID$396,FQ$169,1+SwaptionShift):INDEX($FK$325:$ID$396,FQ$169,SwaptionMonthsToGo+SwaptionShift))))))</f>
        <v>0.92170266082958963</v>
      </c>
      <c r="FR183" s="479">
        <f ca="1">IF(OR(FR$169&lt;SwaptionFirstMonthPosition+1,$FJ183&lt;SwaptionFirstMonthPosition+1,FR$169&gt;SwaptionFirstMonthPosition+SwaptionNumOfMonths+1,$FJ183&gt;SwaptionFirstMonthPosition+SwaptionNumOfMonths+1),"",IF($FJ183=FR$169,1,IF($FJ183&lt;FR$169,INDEX($FK$170:$ID$241,FR$169,$FJ183),SUMPRODUCT(INDEX($FK$325:$ID$396,FR$169,1+SwaptionShift):INDEX($FK$325:$ID$396,FR$169,SwaptionMonthsToGo+SwaptionShift),INDEX($FK$245:$ID$316,$FJ183-FR$169,73-FR$169+SwaptionShift):INDEX($FK$245:$ID$316,$FJ183-FR$169,72-FR$169+SwaptionMonthsToGo+SwaptionShift))/SQRT(SUM(INDEX($FK338:$ID338,1+SwaptionShift):INDEX($FK338:$ID338,SwaptionMonthsToGo+SwaptionShift))*SUM(INDEX($FK$325:$ID$396,FR$169,1+SwaptionShift):INDEX($FK$325:$ID$396,FR$169,SwaptionMonthsToGo+SwaptionShift))))))</f>
        <v>0.94067702889260041</v>
      </c>
      <c r="FS183" s="479">
        <f ca="1">IF(OR(FS$169&lt;SwaptionFirstMonthPosition+1,$FJ183&lt;SwaptionFirstMonthPosition+1,FS$169&gt;SwaptionFirstMonthPosition+SwaptionNumOfMonths+1,$FJ183&gt;SwaptionFirstMonthPosition+SwaptionNumOfMonths+1),"",IF($FJ183=FS$169,1,IF($FJ183&lt;FS$169,INDEX($FK$170:$ID$241,FS$169,$FJ183),SUMPRODUCT(INDEX($FK$325:$ID$396,FS$169,1+SwaptionShift):INDEX($FK$325:$ID$396,FS$169,SwaptionMonthsToGo+SwaptionShift),INDEX($FK$245:$ID$316,$FJ183-FS$169,73-FS$169+SwaptionShift):INDEX($FK$245:$ID$316,$FJ183-FS$169,72-FS$169+SwaptionMonthsToGo+SwaptionShift))/SQRT(SUM(INDEX($FK338:$ID338,1+SwaptionShift):INDEX($FK338:$ID338,SwaptionMonthsToGo+SwaptionShift))*SUM(INDEX($FK$325:$ID$396,FS$169,1+SwaptionShift):INDEX($FK$325:$ID$396,FS$169,SwaptionMonthsToGo+SwaptionShift))))))</f>
        <v>0.9560617039224959</v>
      </c>
      <c r="FT183" s="479">
        <f ca="1">IF(OR(FT$169&lt;SwaptionFirstMonthPosition+1,$FJ183&lt;SwaptionFirstMonthPosition+1,FT$169&gt;SwaptionFirstMonthPosition+SwaptionNumOfMonths+1,$FJ183&gt;SwaptionFirstMonthPosition+SwaptionNumOfMonths+1),"",IF($FJ183=FT$169,1,IF($FJ183&lt;FT$169,INDEX($FK$170:$ID$241,FT$169,$FJ183),SUMPRODUCT(INDEX($FK$325:$ID$396,FT$169,1+SwaptionShift):INDEX($FK$325:$ID$396,FT$169,SwaptionMonthsToGo+SwaptionShift),INDEX($FK$245:$ID$316,$FJ183-FT$169,73-FT$169+SwaptionShift):INDEX($FK$245:$ID$316,$FJ183-FT$169,72-FT$169+SwaptionMonthsToGo+SwaptionShift))/SQRT(SUM(INDEX($FK338:$ID338,1+SwaptionShift):INDEX($FK338:$ID338,SwaptionMonthsToGo+SwaptionShift))*SUM(INDEX($FK$325:$ID$396,FT$169,1+SwaptionShift):INDEX($FK$325:$ID$396,FT$169,SwaptionMonthsToGo+SwaptionShift))))))</f>
        <v>0.96859522718181112</v>
      </c>
      <c r="FU183" s="479">
        <f ca="1">IF(OR(FU$169&lt;SwaptionFirstMonthPosition+1,$FJ183&lt;SwaptionFirstMonthPosition+1,FU$169&gt;SwaptionFirstMonthPosition+SwaptionNumOfMonths+1,$FJ183&gt;SwaptionFirstMonthPosition+SwaptionNumOfMonths+1),"",IF($FJ183=FU$169,1,IF($FJ183&lt;FU$169,INDEX($FK$170:$ID$241,FU$169,$FJ183),SUMPRODUCT(INDEX($FK$325:$ID$396,FU$169,1+SwaptionShift):INDEX($FK$325:$ID$396,FU$169,SwaptionMonthsToGo+SwaptionShift),INDEX($FK$245:$ID$316,$FJ183-FU$169,73-FU$169+SwaptionShift):INDEX($FK$245:$ID$316,$FJ183-FU$169,72-FU$169+SwaptionMonthsToGo+SwaptionShift))/SQRT(SUM(INDEX($FK338:$ID338,1+SwaptionShift):INDEX($FK338:$ID338,SwaptionMonthsToGo+SwaptionShift))*SUM(INDEX($FK$325:$ID$396,FU$169,1+SwaptionShift):INDEX($FK$325:$ID$396,FU$169,SwaptionMonthsToGo+SwaptionShift))))))</f>
        <v>0.97885235407388138</v>
      </c>
      <c r="FV183" s="479">
        <f ca="1">IF(OR(FV$169&lt;SwaptionFirstMonthPosition+1,$FJ183&lt;SwaptionFirstMonthPosition+1,FV$169&gt;SwaptionFirstMonthPosition+SwaptionNumOfMonths+1,$FJ183&gt;SwaptionFirstMonthPosition+SwaptionNumOfMonths+1),"",IF($FJ183=FV$169,1,IF($FJ183&lt;FV$169,INDEX($FK$170:$ID$241,FV$169,$FJ183),SUMPRODUCT(INDEX($FK$325:$ID$396,FV$169,1+SwaptionShift):INDEX($FK$325:$ID$396,FV$169,SwaptionMonthsToGo+SwaptionShift),INDEX($FK$245:$ID$316,$FJ183-FV$169,73-FV$169+SwaptionShift):INDEX($FK$245:$ID$316,$FJ183-FV$169,72-FV$169+SwaptionMonthsToGo+SwaptionShift))/SQRT(SUM(INDEX($FK338:$ID338,1+SwaptionShift):INDEX($FK338:$ID338,SwaptionMonthsToGo+SwaptionShift))*SUM(INDEX($FK$325:$ID$396,FV$169,1+SwaptionShift):INDEX($FK$325:$ID$396,FV$169,SwaptionMonthsToGo+SwaptionShift))))))</f>
        <v>0.98728246915317663</v>
      </c>
      <c r="FW183" s="479">
        <f ca="1">IF(OR(FW$169&lt;SwaptionFirstMonthPosition+1,$FJ183&lt;SwaptionFirstMonthPosition+1,FW$169&gt;SwaptionFirstMonthPosition+SwaptionNumOfMonths+1,$FJ183&gt;SwaptionFirstMonthPosition+SwaptionNumOfMonths+1),"",IF($FJ183=FW$169,1,IF($FJ183&lt;FW$169,INDEX($FK$170:$ID$241,FW$169,$FJ183),SUMPRODUCT(INDEX($FK$325:$ID$396,FW$169,1+SwaptionShift):INDEX($FK$325:$ID$396,FW$169,SwaptionMonthsToGo+SwaptionShift),INDEX($FK$245:$ID$316,$FJ183-FW$169,73-FW$169+SwaptionShift):INDEX($FK$245:$ID$316,$FJ183-FW$169,72-FW$169+SwaptionMonthsToGo+SwaptionShift))/SQRT(SUM(INDEX($FK338:$ID338,1+SwaptionShift):INDEX($FK338:$ID338,SwaptionMonthsToGo+SwaptionShift))*SUM(INDEX($FK$325:$ID$396,FW$169,1+SwaptionShift):INDEX($FK$325:$ID$396,FW$169,SwaptionMonthsToGo+SwaptionShift))))))</f>
        <v>0.99423870233841027</v>
      </c>
      <c r="FX183" s="479">
        <f ca="1">IF(OR(FX$169&lt;SwaptionFirstMonthPosition+1,$FJ183&lt;SwaptionFirstMonthPosition+1,FX$169&gt;SwaptionFirstMonthPosition+SwaptionNumOfMonths+1,$FJ183&gt;SwaptionFirstMonthPosition+SwaptionNumOfMonths+1),"",IF($FJ183=FX$169,1,IF($FJ183&lt;FX$169,INDEX($FK$170:$ID$241,FX$169,$FJ183),SUMPRODUCT(INDEX($FK$325:$ID$396,FX$169,1+SwaptionShift):INDEX($FK$325:$ID$396,FX$169,SwaptionMonthsToGo+SwaptionShift),INDEX($FK$245:$ID$316,$FJ183-FX$169,73-FX$169+SwaptionShift):INDEX($FK$245:$ID$316,$FJ183-FX$169,72-FX$169+SwaptionMonthsToGo+SwaptionShift))/SQRT(SUM(INDEX($FK338:$ID338,1+SwaptionShift):INDEX($FK338:$ID338,SwaptionMonthsToGo+SwaptionShift))*SUM(INDEX($FK$325:$ID$396,FX$169,1+SwaptionShift):INDEX($FK$325:$ID$396,FX$169,SwaptionMonthsToGo+SwaptionShift))))))</f>
        <v>1</v>
      </c>
      <c r="FY183" s="479">
        <f ca="1">IF(OR(FY$169&lt;SwaptionFirstMonthPosition+1,$FJ183&lt;SwaptionFirstMonthPosition+1,FY$169&gt;SwaptionFirstMonthPosition+SwaptionNumOfMonths+1,$FJ183&gt;SwaptionFirstMonthPosition+SwaptionNumOfMonths+1),"",IF($FJ183=FY$169,1,IF($FJ183&lt;FY$169,INDEX($FK$170:$ID$241,FY$169,$FJ183),SUMPRODUCT(INDEX($FK$325:$ID$396,FY$169,1+SwaptionShift):INDEX($FK$325:$ID$396,FY$169,SwaptionMonthsToGo+SwaptionShift),INDEX($FK$245:$ID$316,$FJ183-FY$169,73-FY$169+SwaptionShift):INDEX($FK$245:$ID$316,$FJ183-FY$169,72-FY$169+SwaptionMonthsToGo+SwaptionShift))/SQRT(SUM(INDEX($FK338:$ID338,1+SwaptionShift):INDEX($FK338:$ID338,SwaptionMonthsToGo+SwaptionShift))*SUM(INDEX($FK$325:$ID$396,FY$169,1+SwaptionShift):INDEX($FK$325:$ID$396,FY$169,SwaptionMonthsToGo+SwaptionShift))))))</f>
        <v>0.99520978142261163</v>
      </c>
      <c r="FZ183" s="479">
        <f ca="1">IF(OR(FZ$169&lt;SwaptionFirstMonthPosition+1,$FJ183&lt;SwaptionFirstMonthPosition+1,FZ$169&gt;SwaptionFirstMonthPosition+SwaptionNumOfMonths+1,$FJ183&gt;SwaptionFirstMonthPosition+SwaptionNumOfMonths+1),"",IF($FJ183=FZ$169,1,IF($FJ183&lt;FZ$169,INDEX($FK$170:$ID$241,FZ$169,$FJ183),SUMPRODUCT(INDEX($FK$325:$ID$396,FZ$169,1+SwaptionShift):INDEX($FK$325:$ID$396,FZ$169,SwaptionMonthsToGo+SwaptionShift),INDEX($FK$245:$ID$316,$FJ183-FZ$169,73-FZ$169+SwaptionShift):INDEX($FK$245:$ID$316,$FJ183-FZ$169,72-FZ$169+SwaptionMonthsToGo+SwaptionShift))/SQRT(SUM(INDEX($FK338:$ID338,1+SwaptionShift):INDEX($FK338:$ID338,SwaptionMonthsToGo+SwaptionShift))*SUM(INDEX($FK$325:$ID$396,FZ$169,1+SwaptionShift):INDEX($FK$325:$ID$396,FZ$169,SwaptionMonthsToGo+SwaptionShift))))))</f>
        <v>0.99121159497166034</v>
      </c>
      <c r="GA183" s="479">
        <f ca="1">IF(OR(GA$169&lt;SwaptionFirstMonthPosition+1,$FJ183&lt;SwaptionFirstMonthPosition+1,GA$169&gt;SwaptionFirstMonthPosition+SwaptionNumOfMonths+1,$FJ183&gt;SwaptionFirstMonthPosition+SwaptionNumOfMonths+1),"",IF($FJ183=GA$169,1,IF($FJ183&lt;GA$169,INDEX($FK$170:$ID$241,GA$169,$FJ183),SUMPRODUCT(INDEX($FK$325:$ID$396,GA$169,1+SwaptionShift):INDEX($FK$325:$ID$396,GA$169,SwaptionMonthsToGo+SwaptionShift),INDEX($FK$245:$ID$316,$FJ183-GA$169,73-GA$169+SwaptionShift):INDEX($FK$245:$ID$316,$FJ183-GA$169,72-GA$169+SwaptionMonthsToGo+SwaptionShift))/SQRT(SUM(INDEX($FK338:$ID338,1+SwaptionShift):INDEX($FK338:$ID338,SwaptionMonthsToGo+SwaptionShift))*SUM(INDEX($FK$325:$ID$396,GA$169,1+SwaptionShift):INDEX($FK$325:$ID$396,GA$169,SwaptionMonthsToGo+SwaptionShift))))))</f>
        <v>0.98786429087589922</v>
      </c>
      <c r="GB183" s="479">
        <f ca="1">IF(OR(GB$169&lt;SwaptionFirstMonthPosition+1,$FJ183&lt;SwaptionFirstMonthPosition+1,GB$169&gt;SwaptionFirstMonthPosition+SwaptionNumOfMonths+1,$FJ183&gt;SwaptionFirstMonthPosition+SwaptionNumOfMonths+1),"",IF($FJ183=GB$169,1,IF($FJ183&lt;GB$169,INDEX($FK$170:$ID$241,GB$169,$FJ183),SUMPRODUCT(INDEX($FK$325:$ID$396,GB$169,1+SwaptionShift):INDEX($FK$325:$ID$396,GB$169,SwaptionMonthsToGo+SwaptionShift),INDEX($FK$245:$ID$316,$FJ183-GB$169,73-GB$169+SwaptionShift):INDEX($FK$245:$ID$316,$FJ183-GB$169,72-GB$169+SwaptionMonthsToGo+SwaptionShift))/SQRT(SUM(INDEX($FK338:$ID338,1+SwaptionShift):INDEX($FK338:$ID338,SwaptionMonthsToGo+SwaptionShift))*SUM(INDEX($FK$325:$ID$396,GB$169,1+SwaptionShift):INDEX($FK$325:$ID$396,GB$169,SwaptionMonthsToGo+SwaptionShift))))))</f>
        <v>0.98505444767428196</v>
      </c>
      <c r="GC183" s="479" t="str">
        <f ca="1">IF(OR(GC$169&lt;SwaptionFirstMonthPosition+1,$FJ183&lt;SwaptionFirstMonthPosition+1,GC$169&gt;SwaptionFirstMonthPosition+SwaptionNumOfMonths+1,$FJ183&gt;SwaptionFirstMonthPosition+SwaptionNumOfMonths+1),"",IF($FJ183=GC$169,1,IF($FJ183&lt;GC$169,INDEX($FK$170:$ID$241,GC$169,$FJ183),SUMPRODUCT(INDEX($FK$325:$ID$396,GC$169,1+SwaptionShift):INDEX($FK$325:$ID$396,GC$169,SwaptionMonthsToGo+SwaptionShift),INDEX($FK$245:$ID$316,$FJ183-GC$169,73-GC$169+SwaptionShift):INDEX($FK$245:$ID$316,$FJ183-GC$169,72-GC$169+SwaptionMonthsToGo+SwaptionShift))/SQRT(SUM(INDEX($FK338:$ID338,1+SwaptionShift):INDEX($FK338:$ID338,SwaptionMonthsToGo+SwaptionShift))*SUM(INDEX($FK$325:$ID$396,GC$169,1+SwaptionShift):INDEX($FK$325:$ID$396,GC$169,SwaptionMonthsToGo+SwaptionShift))))))</f>
        <v/>
      </c>
      <c r="GD183" s="479" t="str">
        <f ca="1">IF(OR(GD$169&lt;SwaptionFirstMonthPosition+1,$FJ183&lt;SwaptionFirstMonthPosition+1,GD$169&gt;SwaptionFirstMonthPosition+SwaptionNumOfMonths+1,$FJ183&gt;SwaptionFirstMonthPosition+SwaptionNumOfMonths+1),"",IF($FJ183=GD$169,1,IF($FJ183&lt;GD$169,INDEX($FK$170:$ID$241,GD$169,$FJ183),SUMPRODUCT(INDEX($FK$325:$ID$396,GD$169,1+SwaptionShift):INDEX($FK$325:$ID$396,GD$169,SwaptionMonthsToGo+SwaptionShift),INDEX($FK$245:$ID$316,$FJ183-GD$169,73-GD$169+SwaptionShift):INDEX($FK$245:$ID$316,$FJ183-GD$169,72-GD$169+SwaptionMonthsToGo+SwaptionShift))/SQRT(SUM(INDEX($FK338:$ID338,1+SwaptionShift):INDEX($FK338:$ID338,SwaptionMonthsToGo+SwaptionShift))*SUM(INDEX($FK$325:$ID$396,GD$169,1+SwaptionShift):INDEX($FK$325:$ID$396,GD$169,SwaptionMonthsToGo+SwaptionShift))))))</f>
        <v/>
      </c>
      <c r="GE183" s="479" t="str">
        <f ca="1">IF(OR(GE$169&lt;SwaptionFirstMonthPosition+1,$FJ183&lt;SwaptionFirstMonthPosition+1,GE$169&gt;SwaptionFirstMonthPosition+SwaptionNumOfMonths+1,$FJ183&gt;SwaptionFirstMonthPosition+SwaptionNumOfMonths+1),"",IF($FJ183=GE$169,1,IF($FJ183&lt;GE$169,INDEX($FK$170:$ID$241,GE$169,$FJ183),SUMPRODUCT(INDEX($FK$325:$ID$396,GE$169,1+SwaptionShift):INDEX($FK$325:$ID$396,GE$169,SwaptionMonthsToGo+SwaptionShift),INDEX($FK$245:$ID$316,$FJ183-GE$169,73-GE$169+SwaptionShift):INDEX($FK$245:$ID$316,$FJ183-GE$169,72-GE$169+SwaptionMonthsToGo+SwaptionShift))/SQRT(SUM(INDEX($FK338:$ID338,1+SwaptionShift):INDEX($FK338:$ID338,SwaptionMonthsToGo+SwaptionShift))*SUM(INDEX($FK$325:$ID$396,GE$169,1+SwaptionShift):INDEX($FK$325:$ID$396,GE$169,SwaptionMonthsToGo+SwaptionShift))))))</f>
        <v/>
      </c>
      <c r="GF183" s="479" t="str">
        <f ca="1">IF(OR(GF$169&lt;SwaptionFirstMonthPosition+1,$FJ183&lt;SwaptionFirstMonthPosition+1,GF$169&gt;SwaptionFirstMonthPosition+SwaptionNumOfMonths+1,$FJ183&gt;SwaptionFirstMonthPosition+SwaptionNumOfMonths+1),"",IF($FJ183=GF$169,1,IF($FJ183&lt;GF$169,INDEX($FK$170:$ID$241,GF$169,$FJ183),SUMPRODUCT(INDEX($FK$325:$ID$396,GF$169,1+SwaptionShift):INDEX($FK$325:$ID$396,GF$169,SwaptionMonthsToGo+SwaptionShift),INDEX($FK$245:$ID$316,$FJ183-GF$169,73-GF$169+SwaptionShift):INDEX($FK$245:$ID$316,$FJ183-GF$169,72-GF$169+SwaptionMonthsToGo+SwaptionShift))/SQRT(SUM(INDEX($FK338:$ID338,1+SwaptionShift):INDEX($FK338:$ID338,SwaptionMonthsToGo+SwaptionShift))*SUM(INDEX($FK$325:$ID$396,GF$169,1+SwaptionShift):INDEX($FK$325:$ID$396,GF$169,SwaptionMonthsToGo+SwaptionShift))))))</f>
        <v/>
      </c>
      <c r="GG183" s="479" t="str">
        <f ca="1">IF(OR(GG$169&lt;SwaptionFirstMonthPosition+1,$FJ183&lt;SwaptionFirstMonthPosition+1,GG$169&gt;SwaptionFirstMonthPosition+SwaptionNumOfMonths+1,$FJ183&gt;SwaptionFirstMonthPosition+SwaptionNumOfMonths+1),"",IF($FJ183=GG$169,1,IF($FJ183&lt;GG$169,INDEX($FK$170:$ID$241,GG$169,$FJ183),SUMPRODUCT(INDEX($FK$325:$ID$396,GG$169,1+SwaptionShift):INDEX($FK$325:$ID$396,GG$169,SwaptionMonthsToGo+SwaptionShift),INDEX($FK$245:$ID$316,$FJ183-GG$169,73-GG$169+SwaptionShift):INDEX($FK$245:$ID$316,$FJ183-GG$169,72-GG$169+SwaptionMonthsToGo+SwaptionShift))/SQRT(SUM(INDEX($FK338:$ID338,1+SwaptionShift):INDEX($FK338:$ID338,SwaptionMonthsToGo+SwaptionShift))*SUM(INDEX($FK$325:$ID$396,GG$169,1+SwaptionShift):INDEX($FK$325:$ID$396,GG$169,SwaptionMonthsToGo+SwaptionShift))))))</f>
        <v/>
      </c>
      <c r="GH183" s="479" t="str">
        <f ca="1">IF(OR(GH$169&lt;SwaptionFirstMonthPosition+1,$FJ183&lt;SwaptionFirstMonthPosition+1,GH$169&gt;SwaptionFirstMonthPosition+SwaptionNumOfMonths+1,$FJ183&gt;SwaptionFirstMonthPosition+SwaptionNumOfMonths+1),"",IF($FJ183=GH$169,1,IF($FJ183&lt;GH$169,INDEX($FK$170:$ID$241,GH$169,$FJ183),SUMPRODUCT(INDEX($FK$325:$ID$396,GH$169,1+SwaptionShift):INDEX($FK$325:$ID$396,GH$169,SwaptionMonthsToGo+SwaptionShift),INDEX($FK$245:$ID$316,$FJ183-GH$169,73-GH$169+SwaptionShift):INDEX($FK$245:$ID$316,$FJ183-GH$169,72-GH$169+SwaptionMonthsToGo+SwaptionShift))/SQRT(SUM(INDEX($FK338:$ID338,1+SwaptionShift):INDEX($FK338:$ID338,SwaptionMonthsToGo+SwaptionShift))*SUM(INDEX($FK$325:$ID$396,GH$169,1+SwaptionShift):INDEX($FK$325:$ID$396,GH$169,SwaptionMonthsToGo+SwaptionShift))))))</f>
        <v/>
      </c>
      <c r="GI183" s="479" t="str">
        <f ca="1">IF(OR(GI$169&lt;SwaptionFirstMonthPosition+1,$FJ183&lt;SwaptionFirstMonthPosition+1,GI$169&gt;SwaptionFirstMonthPosition+SwaptionNumOfMonths+1,$FJ183&gt;SwaptionFirstMonthPosition+SwaptionNumOfMonths+1),"",IF($FJ183=GI$169,1,IF($FJ183&lt;GI$169,INDEX($FK$170:$ID$241,GI$169,$FJ183),SUMPRODUCT(INDEX($FK$325:$ID$396,GI$169,1+SwaptionShift):INDEX($FK$325:$ID$396,GI$169,SwaptionMonthsToGo+SwaptionShift),INDEX($FK$245:$ID$316,$FJ183-GI$169,73-GI$169+SwaptionShift):INDEX($FK$245:$ID$316,$FJ183-GI$169,72-GI$169+SwaptionMonthsToGo+SwaptionShift))/SQRT(SUM(INDEX($FK338:$ID338,1+SwaptionShift):INDEX($FK338:$ID338,SwaptionMonthsToGo+SwaptionShift))*SUM(INDEX($FK$325:$ID$396,GI$169,1+SwaptionShift):INDEX($FK$325:$ID$396,GI$169,SwaptionMonthsToGo+SwaptionShift))))))</f>
        <v/>
      </c>
      <c r="GJ183" s="479" t="str">
        <f ca="1">IF(OR(GJ$169&lt;SwaptionFirstMonthPosition+1,$FJ183&lt;SwaptionFirstMonthPosition+1,GJ$169&gt;SwaptionFirstMonthPosition+SwaptionNumOfMonths+1,$FJ183&gt;SwaptionFirstMonthPosition+SwaptionNumOfMonths+1),"",IF($FJ183=GJ$169,1,IF($FJ183&lt;GJ$169,INDEX($FK$170:$ID$241,GJ$169,$FJ183),SUMPRODUCT(INDEX($FK$325:$ID$396,GJ$169,1+SwaptionShift):INDEX($FK$325:$ID$396,GJ$169,SwaptionMonthsToGo+SwaptionShift),INDEX($FK$245:$ID$316,$FJ183-GJ$169,73-GJ$169+SwaptionShift):INDEX($FK$245:$ID$316,$FJ183-GJ$169,72-GJ$169+SwaptionMonthsToGo+SwaptionShift))/SQRT(SUM(INDEX($FK338:$ID338,1+SwaptionShift):INDEX($FK338:$ID338,SwaptionMonthsToGo+SwaptionShift))*SUM(INDEX($FK$325:$ID$396,GJ$169,1+SwaptionShift):INDEX($FK$325:$ID$396,GJ$169,SwaptionMonthsToGo+SwaptionShift))))))</f>
        <v/>
      </c>
      <c r="GK183" s="479" t="str">
        <f ca="1">IF(OR(GK$169&lt;SwaptionFirstMonthPosition+1,$FJ183&lt;SwaptionFirstMonthPosition+1,GK$169&gt;SwaptionFirstMonthPosition+SwaptionNumOfMonths+1,$FJ183&gt;SwaptionFirstMonthPosition+SwaptionNumOfMonths+1),"",IF($FJ183=GK$169,1,IF($FJ183&lt;GK$169,INDEX($FK$170:$ID$241,GK$169,$FJ183),SUMPRODUCT(INDEX($FK$325:$ID$396,GK$169,1+SwaptionShift):INDEX($FK$325:$ID$396,GK$169,SwaptionMonthsToGo+SwaptionShift),INDEX($FK$245:$ID$316,$FJ183-GK$169,73-GK$169+SwaptionShift):INDEX($FK$245:$ID$316,$FJ183-GK$169,72-GK$169+SwaptionMonthsToGo+SwaptionShift))/SQRT(SUM(INDEX($FK338:$ID338,1+SwaptionShift):INDEX($FK338:$ID338,SwaptionMonthsToGo+SwaptionShift))*SUM(INDEX($FK$325:$ID$396,GK$169,1+SwaptionShift):INDEX($FK$325:$ID$396,GK$169,SwaptionMonthsToGo+SwaptionShift))))))</f>
        <v/>
      </c>
      <c r="GL183" s="479" t="str">
        <f ca="1">IF(OR(GL$169&lt;SwaptionFirstMonthPosition+1,$FJ183&lt;SwaptionFirstMonthPosition+1,GL$169&gt;SwaptionFirstMonthPosition+SwaptionNumOfMonths+1,$FJ183&gt;SwaptionFirstMonthPosition+SwaptionNumOfMonths+1),"",IF($FJ183=GL$169,1,IF($FJ183&lt;GL$169,INDEX($FK$170:$ID$241,GL$169,$FJ183),SUMPRODUCT(INDEX($FK$325:$ID$396,GL$169,1+SwaptionShift):INDEX($FK$325:$ID$396,GL$169,SwaptionMonthsToGo+SwaptionShift),INDEX($FK$245:$ID$316,$FJ183-GL$169,73-GL$169+SwaptionShift):INDEX($FK$245:$ID$316,$FJ183-GL$169,72-GL$169+SwaptionMonthsToGo+SwaptionShift))/SQRT(SUM(INDEX($FK338:$ID338,1+SwaptionShift):INDEX($FK338:$ID338,SwaptionMonthsToGo+SwaptionShift))*SUM(INDEX($FK$325:$ID$396,GL$169,1+SwaptionShift):INDEX($FK$325:$ID$396,GL$169,SwaptionMonthsToGo+SwaptionShift))))))</f>
        <v/>
      </c>
      <c r="GM183" s="479" t="str">
        <f ca="1">IF(OR(GM$169&lt;SwaptionFirstMonthPosition+1,$FJ183&lt;SwaptionFirstMonthPosition+1,GM$169&gt;SwaptionFirstMonthPosition+SwaptionNumOfMonths+1,$FJ183&gt;SwaptionFirstMonthPosition+SwaptionNumOfMonths+1),"",IF($FJ183=GM$169,1,IF($FJ183&lt;GM$169,INDEX($FK$170:$ID$241,GM$169,$FJ183),SUMPRODUCT(INDEX($FK$325:$ID$396,GM$169,1+SwaptionShift):INDEX($FK$325:$ID$396,GM$169,SwaptionMonthsToGo+SwaptionShift),INDEX($FK$245:$ID$316,$FJ183-GM$169,73-GM$169+SwaptionShift):INDEX($FK$245:$ID$316,$FJ183-GM$169,72-GM$169+SwaptionMonthsToGo+SwaptionShift))/SQRT(SUM(INDEX($FK338:$ID338,1+SwaptionShift):INDEX($FK338:$ID338,SwaptionMonthsToGo+SwaptionShift))*SUM(INDEX($FK$325:$ID$396,GM$169,1+SwaptionShift):INDEX($FK$325:$ID$396,GM$169,SwaptionMonthsToGo+SwaptionShift))))))</f>
        <v/>
      </c>
      <c r="GN183" s="479" t="str">
        <f ca="1">IF(OR(GN$169&lt;SwaptionFirstMonthPosition+1,$FJ183&lt;SwaptionFirstMonthPosition+1,GN$169&gt;SwaptionFirstMonthPosition+SwaptionNumOfMonths+1,$FJ183&gt;SwaptionFirstMonthPosition+SwaptionNumOfMonths+1),"",IF($FJ183=GN$169,1,IF($FJ183&lt;GN$169,INDEX($FK$170:$ID$241,GN$169,$FJ183),SUMPRODUCT(INDEX($FK$325:$ID$396,GN$169,1+SwaptionShift):INDEX($FK$325:$ID$396,GN$169,SwaptionMonthsToGo+SwaptionShift),INDEX($FK$245:$ID$316,$FJ183-GN$169,73-GN$169+SwaptionShift):INDEX($FK$245:$ID$316,$FJ183-GN$169,72-GN$169+SwaptionMonthsToGo+SwaptionShift))/SQRT(SUM(INDEX($FK338:$ID338,1+SwaptionShift):INDEX($FK338:$ID338,SwaptionMonthsToGo+SwaptionShift))*SUM(INDEX($FK$325:$ID$396,GN$169,1+SwaptionShift):INDEX($FK$325:$ID$396,GN$169,SwaptionMonthsToGo+SwaptionShift))))))</f>
        <v/>
      </c>
      <c r="GO183" s="479" t="str">
        <f ca="1">IF(OR(GO$169&lt;SwaptionFirstMonthPosition+1,$FJ183&lt;SwaptionFirstMonthPosition+1,GO$169&gt;SwaptionFirstMonthPosition+SwaptionNumOfMonths+1,$FJ183&gt;SwaptionFirstMonthPosition+SwaptionNumOfMonths+1),"",IF($FJ183=GO$169,1,IF($FJ183&lt;GO$169,INDEX($FK$170:$ID$241,GO$169,$FJ183),SUMPRODUCT(INDEX($FK$325:$ID$396,GO$169,1+SwaptionShift):INDEX($FK$325:$ID$396,GO$169,SwaptionMonthsToGo+SwaptionShift),INDEX($FK$245:$ID$316,$FJ183-GO$169,73-GO$169+SwaptionShift):INDEX($FK$245:$ID$316,$FJ183-GO$169,72-GO$169+SwaptionMonthsToGo+SwaptionShift))/SQRT(SUM(INDEX($FK338:$ID338,1+SwaptionShift):INDEX($FK338:$ID338,SwaptionMonthsToGo+SwaptionShift))*SUM(INDEX($FK$325:$ID$396,GO$169,1+SwaptionShift):INDEX($FK$325:$ID$396,GO$169,SwaptionMonthsToGo+SwaptionShift))))))</f>
        <v/>
      </c>
      <c r="GP183" s="479" t="str">
        <f ca="1">IF(OR(GP$169&lt;SwaptionFirstMonthPosition+1,$FJ183&lt;SwaptionFirstMonthPosition+1,GP$169&gt;SwaptionFirstMonthPosition+SwaptionNumOfMonths+1,$FJ183&gt;SwaptionFirstMonthPosition+SwaptionNumOfMonths+1),"",IF($FJ183=GP$169,1,IF($FJ183&lt;GP$169,INDEX($FK$170:$ID$241,GP$169,$FJ183),SUMPRODUCT(INDEX($FK$325:$ID$396,GP$169,1+SwaptionShift):INDEX($FK$325:$ID$396,GP$169,SwaptionMonthsToGo+SwaptionShift),INDEX($FK$245:$ID$316,$FJ183-GP$169,73-GP$169+SwaptionShift):INDEX($FK$245:$ID$316,$FJ183-GP$169,72-GP$169+SwaptionMonthsToGo+SwaptionShift))/SQRT(SUM(INDEX($FK338:$ID338,1+SwaptionShift):INDEX($FK338:$ID338,SwaptionMonthsToGo+SwaptionShift))*SUM(INDEX($FK$325:$ID$396,GP$169,1+SwaptionShift):INDEX($FK$325:$ID$396,GP$169,SwaptionMonthsToGo+SwaptionShift))))))</f>
        <v/>
      </c>
      <c r="GQ183" s="479" t="str">
        <f ca="1">IF(OR(GQ$169&lt;SwaptionFirstMonthPosition+1,$FJ183&lt;SwaptionFirstMonthPosition+1,GQ$169&gt;SwaptionFirstMonthPosition+SwaptionNumOfMonths+1,$FJ183&gt;SwaptionFirstMonthPosition+SwaptionNumOfMonths+1),"",IF($FJ183=GQ$169,1,IF($FJ183&lt;GQ$169,INDEX($FK$170:$ID$241,GQ$169,$FJ183),SUMPRODUCT(INDEX($FK$325:$ID$396,GQ$169,1+SwaptionShift):INDEX($FK$325:$ID$396,GQ$169,SwaptionMonthsToGo+SwaptionShift),INDEX($FK$245:$ID$316,$FJ183-GQ$169,73-GQ$169+SwaptionShift):INDEX($FK$245:$ID$316,$FJ183-GQ$169,72-GQ$169+SwaptionMonthsToGo+SwaptionShift))/SQRT(SUM(INDEX($FK338:$ID338,1+SwaptionShift):INDEX($FK338:$ID338,SwaptionMonthsToGo+SwaptionShift))*SUM(INDEX($FK$325:$ID$396,GQ$169,1+SwaptionShift):INDEX($FK$325:$ID$396,GQ$169,SwaptionMonthsToGo+SwaptionShift))))))</f>
        <v/>
      </c>
      <c r="GR183" s="479" t="str">
        <f ca="1">IF(OR(GR$169&lt;SwaptionFirstMonthPosition+1,$FJ183&lt;SwaptionFirstMonthPosition+1,GR$169&gt;SwaptionFirstMonthPosition+SwaptionNumOfMonths+1,$FJ183&gt;SwaptionFirstMonthPosition+SwaptionNumOfMonths+1),"",IF($FJ183=GR$169,1,IF($FJ183&lt;GR$169,INDEX($FK$170:$ID$241,GR$169,$FJ183),SUMPRODUCT(INDEX($FK$325:$ID$396,GR$169,1+SwaptionShift):INDEX($FK$325:$ID$396,GR$169,SwaptionMonthsToGo+SwaptionShift),INDEX($FK$245:$ID$316,$FJ183-GR$169,73-GR$169+SwaptionShift):INDEX($FK$245:$ID$316,$FJ183-GR$169,72-GR$169+SwaptionMonthsToGo+SwaptionShift))/SQRT(SUM(INDEX($FK338:$ID338,1+SwaptionShift):INDEX($FK338:$ID338,SwaptionMonthsToGo+SwaptionShift))*SUM(INDEX($FK$325:$ID$396,GR$169,1+SwaptionShift):INDEX($FK$325:$ID$396,GR$169,SwaptionMonthsToGo+SwaptionShift))))))</f>
        <v/>
      </c>
      <c r="GS183" s="479" t="str">
        <f ca="1">IF(OR(GS$169&lt;SwaptionFirstMonthPosition+1,$FJ183&lt;SwaptionFirstMonthPosition+1,GS$169&gt;SwaptionFirstMonthPosition+SwaptionNumOfMonths+1,$FJ183&gt;SwaptionFirstMonthPosition+SwaptionNumOfMonths+1),"",IF($FJ183=GS$169,1,IF($FJ183&lt;GS$169,INDEX($FK$170:$ID$241,GS$169,$FJ183),SUMPRODUCT(INDEX($FK$325:$ID$396,GS$169,1+SwaptionShift):INDEX($FK$325:$ID$396,GS$169,SwaptionMonthsToGo+SwaptionShift),INDEX($FK$245:$ID$316,$FJ183-GS$169,73-GS$169+SwaptionShift):INDEX($FK$245:$ID$316,$FJ183-GS$169,72-GS$169+SwaptionMonthsToGo+SwaptionShift))/SQRT(SUM(INDEX($FK338:$ID338,1+SwaptionShift):INDEX($FK338:$ID338,SwaptionMonthsToGo+SwaptionShift))*SUM(INDEX($FK$325:$ID$396,GS$169,1+SwaptionShift):INDEX($FK$325:$ID$396,GS$169,SwaptionMonthsToGo+SwaptionShift))))))</f>
        <v/>
      </c>
      <c r="GT183" s="479" t="str">
        <f ca="1">IF(OR(GT$169&lt;SwaptionFirstMonthPosition+1,$FJ183&lt;SwaptionFirstMonthPosition+1,GT$169&gt;SwaptionFirstMonthPosition+SwaptionNumOfMonths+1,$FJ183&gt;SwaptionFirstMonthPosition+SwaptionNumOfMonths+1),"",IF($FJ183=GT$169,1,IF($FJ183&lt;GT$169,INDEX($FK$170:$ID$241,GT$169,$FJ183),SUMPRODUCT(INDEX($FK$325:$ID$396,GT$169,1+SwaptionShift):INDEX($FK$325:$ID$396,GT$169,SwaptionMonthsToGo+SwaptionShift),INDEX($FK$245:$ID$316,$FJ183-GT$169,73-GT$169+SwaptionShift):INDEX($FK$245:$ID$316,$FJ183-GT$169,72-GT$169+SwaptionMonthsToGo+SwaptionShift))/SQRT(SUM(INDEX($FK338:$ID338,1+SwaptionShift):INDEX($FK338:$ID338,SwaptionMonthsToGo+SwaptionShift))*SUM(INDEX($FK$325:$ID$396,GT$169,1+SwaptionShift):INDEX($FK$325:$ID$396,GT$169,SwaptionMonthsToGo+SwaptionShift))))))</f>
        <v/>
      </c>
      <c r="GU183" s="479" t="str">
        <f ca="1">IF(OR(GU$169&lt;SwaptionFirstMonthPosition+1,$FJ183&lt;SwaptionFirstMonthPosition+1,GU$169&gt;SwaptionFirstMonthPosition+SwaptionNumOfMonths+1,$FJ183&gt;SwaptionFirstMonthPosition+SwaptionNumOfMonths+1),"",IF($FJ183=GU$169,1,IF($FJ183&lt;GU$169,INDEX($FK$170:$ID$241,GU$169,$FJ183),SUMPRODUCT(INDEX($FK$325:$ID$396,GU$169,1+SwaptionShift):INDEX($FK$325:$ID$396,GU$169,SwaptionMonthsToGo+SwaptionShift),INDEX($FK$245:$ID$316,$FJ183-GU$169,73-GU$169+SwaptionShift):INDEX($FK$245:$ID$316,$FJ183-GU$169,72-GU$169+SwaptionMonthsToGo+SwaptionShift))/SQRT(SUM(INDEX($FK338:$ID338,1+SwaptionShift):INDEX($FK338:$ID338,SwaptionMonthsToGo+SwaptionShift))*SUM(INDEX($FK$325:$ID$396,GU$169,1+SwaptionShift):INDEX($FK$325:$ID$396,GU$169,SwaptionMonthsToGo+SwaptionShift))))))</f>
        <v/>
      </c>
      <c r="GV183" s="479" t="str">
        <f ca="1">IF(OR(GV$169&lt;SwaptionFirstMonthPosition+1,$FJ183&lt;SwaptionFirstMonthPosition+1,GV$169&gt;SwaptionFirstMonthPosition+SwaptionNumOfMonths+1,$FJ183&gt;SwaptionFirstMonthPosition+SwaptionNumOfMonths+1),"",IF($FJ183=GV$169,1,IF($FJ183&lt;GV$169,INDEX($FK$170:$ID$241,GV$169,$FJ183),SUMPRODUCT(INDEX($FK$325:$ID$396,GV$169,1+SwaptionShift):INDEX($FK$325:$ID$396,GV$169,SwaptionMonthsToGo+SwaptionShift),INDEX($FK$245:$ID$316,$FJ183-GV$169,73-GV$169+SwaptionShift):INDEX($FK$245:$ID$316,$FJ183-GV$169,72-GV$169+SwaptionMonthsToGo+SwaptionShift))/SQRT(SUM(INDEX($FK338:$ID338,1+SwaptionShift):INDEX($FK338:$ID338,SwaptionMonthsToGo+SwaptionShift))*SUM(INDEX($FK$325:$ID$396,GV$169,1+SwaptionShift):INDEX($FK$325:$ID$396,GV$169,SwaptionMonthsToGo+SwaptionShift))))))</f>
        <v/>
      </c>
      <c r="GW183" s="479" t="str">
        <f ca="1">IF(OR(GW$169&lt;SwaptionFirstMonthPosition+1,$FJ183&lt;SwaptionFirstMonthPosition+1,GW$169&gt;SwaptionFirstMonthPosition+SwaptionNumOfMonths+1,$FJ183&gt;SwaptionFirstMonthPosition+SwaptionNumOfMonths+1),"",IF($FJ183=GW$169,1,IF($FJ183&lt;GW$169,INDEX($FK$170:$ID$241,GW$169,$FJ183),SUMPRODUCT(INDEX($FK$325:$ID$396,GW$169,1+SwaptionShift):INDEX($FK$325:$ID$396,GW$169,SwaptionMonthsToGo+SwaptionShift),INDEX($FK$245:$ID$316,$FJ183-GW$169,73-GW$169+SwaptionShift):INDEX($FK$245:$ID$316,$FJ183-GW$169,72-GW$169+SwaptionMonthsToGo+SwaptionShift))/SQRT(SUM(INDEX($FK338:$ID338,1+SwaptionShift):INDEX($FK338:$ID338,SwaptionMonthsToGo+SwaptionShift))*SUM(INDEX($FK$325:$ID$396,GW$169,1+SwaptionShift):INDEX($FK$325:$ID$396,GW$169,SwaptionMonthsToGo+SwaptionShift))))))</f>
        <v/>
      </c>
      <c r="GX183" s="479" t="str">
        <f ca="1">IF(OR(GX$169&lt;SwaptionFirstMonthPosition+1,$FJ183&lt;SwaptionFirstMonthPosition+1,GX$169&gt;SwaptionFirstMonthPosition+SwaptionNumOfMonths+1,$FJ183&gt;SwaptionFirstMonthPosition+SwaptionNumOfMonths+1),"",IF($FJ183=GX$169,1,IF($FJ183&lt;GX$169,INDEX($FK$170:$ID$241,GX$169,$FJ183),SUMPRODUCT(INDEX($FK$325:$ID$396,GX$169,1+SwaptionShift):INDEX($FK$325:$ID$396,GX$169,SwaptionMonthsToGo+SwaptionShift),INDEX($FK$245:$ID$316,$FJ183-GX$169,73-GX$169+SwaptionShift):INDEX($FK$245:$ID$316,$FJ183-GX$169,72-GX$169+SwaptionMonthsToGo+SwaptionShift))/SQRT(SUM(INDEX($FK338:$ID338,1+SwaptionShift):INDEX($FK338:$ID338,SwaptionMonthsToGo+SwaptionShift))*SUM(INDEX($FK$325:$ID$396,GX$169,1+SwaptionShift):INDEX($FK$325:$ID$396,GX$169,SwaptionMonthsToGo+SwaptionShift))))))</f>
        <v/>
      </c>
      <c r="GY183" s="479" t="str">
        <f ca="1">IF(OR(GY$169&lt;SwaptionFirstMonthPosition+1,$FJ183&lt;SwaptionFirstMonthPosition+1,GY$169&gt;SwaptionFirstMonthPosition+SwaptionNumOfMonths+1,$FJ183&gt;SwaptionFirstMonthPosition+SwaptionNumOfMonths+1),"",IF($FJ183=GY$169,1,IF($FJ183&lt;GY$169,INDEX($FK$170:$ID$241,GY$169,$FJ183),SUMPRODUCT(INDEX($FK$325:$ID$396,GY$169,1+SwaptionShift):INDEX($FK$325:$ID$396,GY$169,SwaptionMonthsToGo+SwaptionShift),INDEX($FK$245:$ID$316,$FJ183-GY$169,73-GY$169+SwaptionShift):INDEX($FK$245:$ID$316,$FJ183-GY$169,72-GY$169+SwaptionMonthsToGo+SwaptionShift))/SQRT(SUM(INDEX($FK338:$ID338,1+SwaptionShift):INDEX($FK338:$ID338,SwaptionMonthsToGo+SwaptionShift))*SUM(INDEX($FK$325:$ID$396,GY$169,1+SwaptionShift):INDEX($FK$325:$ID$396,GY$169,SwaptionMonthsToGo+SwaptionShift))))))</f>
        <v/>
      </c>
      <c r="GZ183" s="479" t="str">
        <f ca="1">IF(OR(GZ$169&lt;SwaptionFirstMonthPosition+1,$FJ183&lt;SwaptionFirstMonthPosition+1,GZ$169&gt;SwaptionFirstMonthPosition+SwaptionNumOfMonths+1,$FJ183&gt;SwaptionFirstMonthPosition+SwaptionNumOfMonths+1),"",IF($FJ183=GZ$169,1,IF($FJ183&lt;GZ$169,INDEX($FK$170:$ID$241,GZ$169,$FJ183),SUMPRODUCT(INDEX($FK$325:$ID$396,GZ$169,1+SwaptionShift):INDEX($FK$325:$ID$396,GZ$169,SwaptionMonthsToGo+SwaptionShift),INDEX($FK$245:$ID$316,$FJ183-GZ$169,73-GZ$169+SwaptionShift):INDEX($FK$245:$ID$316,$FJ183-GZ$169,72-GZ$169+SwaptionMonthsToGo+SwaptionShift))/SQRT(SUM(INDEX($FK338:$ID338,1+SwaptionShift):INDEX($FK338:$ID338,SwaptionMonthsToGo+SwaptionShift))*SUM(INDEX($FK$325:$ID$396,GZ$169,1+SwaptionShift):INDEX($FK$325:$ID$396,GZ$169,SwaptionMonthsToGo+SwaptionShift))))))</f>
        <v/>
      </c>
      <c r="HA183" s="479" t="str">
        <f ca="1">IF(OR(HA$169&lt;SwaptionFirstMonthPosition+1,$FJ183&lt;SwaptionFirstMonthPosition+1,HA$169&gt;SwaptionFirstMonthPosition+SwaptionNumOfMonths+1,$FJ183&gt;SwaptionFirstMonthPosition+SwaptionNumOfMonths+1),"",IF($FJ183=HA$169,1,IF($FJ183&lt;HA$169,INDEX($FK$170:$ID$241,HA$169,$FJ183),SUMPRODUCT(INDEX($FK$325:$ID$396,HA$169,1+SwaptionShift):INDEX($FK$325:$ID$396,HA$169,SwaptionMonthsToGo+SwaptionShift),INDEX($FK$245:$ID$316,$FJ183-HA$169,73-HA$169+SwaptionShift):INDEX($FK$245:$ID$316,$FJ183-HA$169,72-HA$169+SwaptionMonthsToGo+SwaptionShift))/SQRT(SUM(INDEX($FK338:$ID338,1+SwaptionShift):INDEX($FK338:$ID338,SwaptionMonthsToGo+SwaptionShift))*SUM(INDEX($FK$325:$ID$396,HA$169,1+SwaptionShift):INDEX($FK$325:$ID$396,HA$169,SwaptionMonthsToGo+SwaptionShift))))))</f>
        <v/>
      </c>
      <c r="HB183" s="479" t="str">
        <f ca="1">IF(OR(HB$169&lt;SwaptionFirstMonthPosition+1,$FJ183&lt;SwaptionFirstMonthPosition+1,HB$169&gt;SwaptionFirstMonthPosition+SwaptionNumOfMonths+1,$FJ183&gt;SwaptionFirstMonthPosition+SwaptionNumOfMonths+1),"",IF($FJ183=HB$169,1,IF($FJ183&lt;HB$169,INDEX($FK$170:$ID$241,HB$169,$FJ183),SUMPRODUCT(INDEX($FK$325:$ID$396,HB$169,1+SwaptionShift):INDEX($FK$325:$ID$396,HB$169,SwaptionMonthsToGo+SwaptionShift),INDEX($FK$245:$ID$316,$FJ183-HB$169,73-HB$169+SwaptionShift):INDEX($FK$245:$ID$316,$FJ183-HB$169,72-HB$169+SwaptionMonthsToGo+SwaptionShift))/SQRT(SUM(INDEX($FK338:$ID338,1+SwaptionShift):INDEX($FK338:$ID338,SwaptionMonthsToGo+SwaptionShift))*SUM(INDEX($FK$325:$ID$396,HB$169,1+SwaptionShift):INDEX($FK$325:$ID$396,HB$169,SwaptionMonthsToGo+SwaptionShift))))))</f>
        <v/>
      </c>
      <c r="HC183" s="479" t="str">
        <f ca="1">IF(OR(HC$169&lt;SwaptionFirstMonthPosition+1,$FJ183&lt;SwaptionFirstMonthPosition+1,HC$169&gt;SwaptionFirstMonthPosition+SwaptionNumOfMonths+1,$FJ183&gt;SwaptionFirstMonthPosition+SwaptionNumOfMonths+1),"",IF($FJ183=HC$169,1,IF($FJ183&lt;HC$169,INDEX($FK$170:$ID$241,HC$169,$FJ183),SUMPRODUCT(INDEX($FK$325:$ID$396,HC$169,1+SwaptionShift):INDEX($FK$325:$ID$396,HC$169,SwaptionMonthsToGo+SwaptionShift),INDEX($FK$245:$ID$316,$FJ183-HC$169,73-HC$169+SwaptionShift):INDEX($FK$245:$ID$316,$FJ183-HC$169,72-HC$169+SwaptionMonthsToGo+SwaptionShift))/SQRT(SUM(INDEX($FK338:$ID338,1+SwaptionShift):INDEX($FK338:$ID338,SwaptionMonthsToGo+SwaptionShift))*SUM(INDEX($FK$325:$ID$396,HC$169,1+SwaptionShift):INDEX($FK$325:$ID$396,HC$169,SwaptionMonthsToGo+SwaptionShift))))))</f>
        <v/>
      </c>
      <c r="HD183" s="479" t="str">
        <f ca="1">IF(OR(HD$169&lt;SwaptionFirstMonthPosition+1,$FJ183&lt;SwaptionFirstMonthPosition+1,HD$169&gt;SwaptionFirstMonthPosition+SwaptionNumOfMonths+1,$FJ183&gt;SwaptionFirstMonthPosition+SwaptionNumOfMonths+1),"",IF($FJ183=HD$169,1,IF($FJ183&lt;HD$169,INDEX($FK$170:$ID$241,HD$169,$FJ183),SUMPRODUCT(INDEX($FK$325:$ID$396,HD$169,1+SwaptionShift):INDEX($FK$325:$ID$396,HD$169,SwaptionMonthsToGo+SwaptionShift),INDEX($FK$245:$ID$316,$FJ183-HD$169,73-HD$169+SwaptionShift):INDEX($FK$245:$ID$316,$FJ183-HD$169,72-HD$169+SwaptionMonthsToGo+SwaptionShift))/SQRT(SUM(INDEX($FK338:$ID338,1+SwaptionShift):INDEX($FK338:$ID338,SwaptionMonthsToGo+SwaptionShift))*SUM(INDEX($FK$325:$ID$396,HD$169,1+SwaptionShift):INDEX($FK$325:$ID$396,HD$169,SwaptionMonthsToGo+SwaptionShift))))))</f>
        <v/>
      </c>
      <c r="HE183" s="479" t="str">
        <f ca="1">IF(OR(HE$169&lt;SwaptionFirstMonthPosition+1,$FJ183&lt;SwaptionFirstMonthPosition+1,HE$169&gt;SwaptionFirstMonthPosition+SwaptionNumOfMonths+1,$FJ183&gt;SwaptionFirstMonthPosition+SwaptionNumOfMonths+1),"",IF($FJ183=HE$169,1,IF($FJ183&lt;HE$169,INDEX($FK$170:$ID$241,HE$169,$FJ183),SUMPRODUCT(INDEX($FK$325:$ID$396,HE$169,1+SwaptionShift):INDEX($FK$325:$ID$396,HE$169,SwaptionMonthsToGo+SwaptionShift),INDEX($FK$245:$ID$316,$FJ183-HE$169,73-HE$169+SwaptionShift):INDEX($FK$245:$ID$316,$FJ183-HE$169,72-HE$169+SwaptionMonthsToGo+SwaptionShift))/SQRT(SUM(INDEX($FK338:$ID338,1+SwaptionShift):INDEX($FK338:$ID338,SwaptionMonthsToGo+SwaptionShift))*SUM(INDEX($FK$325:$ID$396,HE$169,1+SwaptionShift):INDEX($FK$325:$ID$396,HE$169,SwaptionMonthsToGo+SwaptionShift))))))</f>
        <v/>
      </c>
      <c r="HF183" s="479" t="str">
        <f ca="1">IF(OR(HF$169&lt;SwaptionFirstMonthPosition+1,$FJ183&lt;SwaptionFirstMonthPosition+1,HF$169&gt;SwaptionFirstMonthPosition+SwaptionNumOfMonths+1,$FJ183&gt;SwaptionFirstMonthPosition+SwaptionNumOfMonths+1),"",IF($FJ183=HF$169,1,IF($FJ183&lt;HF$169,INDEX($FK$170:$ID$241,HF$169,$FJ183),SUMPRODUCT(INDEX($FK$325:$ID$396,HF$169,1+SwaptionShift):INDEX($FK$325:$ID$396,HF$169,SwaptionMonthsToGo+SwaptionShift),INDEX($FK$245:$ID$316,$FJ183-HF$169,73-HF$169+SwaptionShift):INDEX($FK$245:$ID$316,$FJ183-HF$169,72-HF$169+SwaptionMonthsToGo+SwaptionShift))/SQRT(SUM(INDEX($FK338:$ID338,1+SwaptionShift):INDEX($FK338:$ID338,SwaptionMonthsToGo+SwaptionShift))*SUM(INDEX($FK$325:$ID$396,HF$169,1+SwaptionShift):INDEX($FK$325:$ID$396,HF$169,SwaptionMonthsToGo+SwaptionShift))))))</f>
        <v/>
      </c>
      <c r="HG183" s="479" t="str">
        <f ca="1">IF(OR(HG$169&lt;SwaptionFirstMonthPosition+1,$FJ183&lt;SwaptionFirstMonthPosition+1,HG$169&gt;SwaptionFirstMonthPosition+SwaptionNumOfMonths+1,$FJ183&gt;SwaptionFirstMonthPosition+SwaptionNumOfMonths+1),"",IF($FJ183=HG$169,1,IF($FJ183&lt;HG$169,INDEX($FK$170:$ID$241,HG$169,$FJ183),SUMPRODUCT(INDEX($FK$325:$ID$396,HG$169,1+SwaptionShift):INDEX($FK$325:$ID$396,HG$169,SwaptionMonthsToGo+SwaptionShift),INDEX($FK$245:$ID$316,$FJ183-HG$169,73-HG$169+SwaptionShift):INDEX($FK$245:$ID$316,$FJ183-HG$169,72-HG$169+SwaptionMonthsToGo+SwaptionShift))/SQRT(SUM(INDEX($FK338:$ID338,1+SwaptionShift):INDEX($FK338:$ID338,SwaptionMonthsToGo+SwaptionShift))*SUM(INDEX($FK$325:$ID$396,HG$169,1+SwaptionShift):INDEX($FK$325:$ID$396,HG$169,SwaptionMonthsToGo+SwaptionShift))))))</f>
        <v/>
      </c>
      <c r="HH183" s="479" t="str">
        <f ca="1">IF(OR(HH$169&lt;SwaptionFirstMonthPosition+1,$FJ183&lt;SwaptionFirstMonthPosition+1,HH$169&gt;SwaptionFirstMonthPosition+SwaptionNumOfMonths+1,$FJ183&gt;SwaptionFirstMonthPosition+SwaptionNumOfMonths+1),"",IF($FJ183=HH$169,1,IF($FJ183&lt;HH$169,INDEX($FK$170:$ID$241,HH$169,$FJ183),SUMPRODUCT(INDEX($FK$325:$ID$396,HH$169,1+SwaptionShift):INDEX($FK$325:$ID$396,HH$169,SwaptionMonthsToGo+SwaptionShift),INDEX($FK$245:$ID$316,$FJ183-HH$169,73-HH$169+SwaptionShift):INDEX($FK$245:$ID$316,$FJ183-HH$169,72-HH$169+SwaptionMonthsToGo+SwaptionShift))/SQRT(SUM(INDEX($FK338:$ID338,1+SwaptionShift):INDEX($FK338:$ID338,SwaptionMonthsToGo+SwaptionShift))*SUM(INDEX($FK$325:$ID$396,HH$169,1+SwaptionShift):INDEX($FK$325:$ID$396,HH$169,SwaptionMonthsToGo+SwaptionShift))))))</f>
        <v/>
      </c>
      <c r="HI183" s="479" t="str">
        <f ca="1">IF(OR(HI$169&lt;SwaptionFirstMonthPosition+1,$FJ183&lt;SwaptionFirstMonthPosition+1,HI$169&gt;SwaptionFirstMonthPosition+SwaptionNumOfMonths+1,$FJ183&gt;SwaptionFirstMonthPosition+SwaptionNumOfMonths+1),"",IF($FJ183=HI$169,1,IF($FJ183&lt;HI$169,INDEX($FK$170:$ID$241,HI$169,$FJ183),SUMPRODUCT(INDEX($FK$325:$ID$396,HI$169,1+SwaptionShift):INDEX($FK$325:$ID$396,HI$169,SwaptionMonthsToGo+SwaptionShift),INDEX($FK$245:$ID$316,$FJ183-HI$169,73-HI$169+SwaptionShift):INDEX($FK$245:$ID$316,$FJ183-HI$169,72-HI$169+SwaptionMonthsToGo+SwaptionShift))/SQRT(SUM(INDEX($FK338:$ID338,1+SwaptionShift):INDEX($FK338:$ID338,SwaptionMonthsToGo+SwaptionShift))*SUM(INDEX($FK$325:$ID$396,HI$169,1+SwaptionShift):INDEX($FK$325:$ID$396,HI$169,SwaptionMonthsToGo+SwaptionShift))))))</f>
        <v/>
      </c>
      <c r="HJ183" s="479" t="str">
        <f ca="1">IF(OR(HJ$169&lt;SwaptionFirstMonthPosition+1,$FJ183&lt;SwaptionFirstMonthPosition+1,HJ$169&gt;SwaptionFirstMonthPosition+SwaptionNumOfMonths+1,$FJ183&gt;SwaptionFirstMonthPosition+SwaptionNumOfMonths+1),"",IF($FJ183=HJ$169,1,IF($FJ183&lt;HJ$169,INDEX($FK$170:$ID$241,HJ$169,$FJ183),SUMPRODUCT(INDEX($FK$325:$ID$396,HJ$169,1+SwaptionShift):INDEX($FK$325:$ID$396,HJ$169,SwaptionMonthsToGo+SwaptionShift),INDEX($FK$245:$ID$316,$FJ183-HJ$169,73-HJ$169+SwaptionShift):INDEX($FK$245:$ID$316,$FJ183-HJ$169,72-HJ$169+SwaptionMonthsToGo+SwaptionShift))/SQRT(SUM(INDEX($FK338:$ID338,1+SwaptionShift):INDEX($FK338:$ID338,SwaptionMonthsToGo+SwaptionShift))*SUM(INDEX($FK$325:$ID$396,HJ$169,1+SwaptionShift):INDEX($FK$325:$ID$396,HJ$169,SwaptionMonthsToGo+SwaptionShift))))))</f>
        <v/>
      </c>
      <c r="HK183" s="479" t="str">
        <f ca="1">IF(OR(HK$169&lt;SwaptionFirstMonthPosition+1,$FJ183&lt;SwaptionFirstMonthPosition+1,HK$169&gt;SwaptionFirstMonthPosition+SwaptionNumOfMonths+1,$FJ183&gt;SwaptionFirstMonthPosition+SwaptionNumOfMonths+1),"",IF($FJ183=HK$169,1,IF($FJ183&lt;HK$169,INDEX($FK$170:$ID$241,HK$169,$FJ183),SUMPRODUCT(INDEX($FK$325:$ID$396,HK$169,1+SwaptionShift):INDEX($FK$325:$ID$396,HK$169,SwaptionMonthsToGo+SwaptionShift),INDEX($FK$245:$ID$316,$FJ183-HK$169,73-HK$169+SwaptionShift):INDEX($FK$245:$ID$316,$FJ183-HK$169,72-HK$169+SwaptionMonthsToGo+SwaptionShift))/SQRT(SUM(INDEX($FK338:$ID338,1+SwaptionShift):INDEX($FK338:$ID338,SwaptionMonthsToGo+SwaptionShift))*SUM(INDEX($FK$325:$ID$396,HK$169,1+SwaptionShift):INDEX($FK$325:$ID$396,HK$169,SwaptionMonthsToGo+SwaptionShift))))))</f>
        <v/>
      </c>
      <c r="HL183" s="479" t="str">
        <f ca="1">IF(OR(HL$169&lt;SwaptionFirstMonthPosition+1,$FJ183&lt;SwaptionFirstMonthPosition+1,HL$169&gt;SwaptionFirstMonthPosition+SwaptionNumOfMonths+1,$FJ183&gt;SwaptionFirstMonthPosition+SwaptionNumOfMonths+1),"",IF($FJ183=HL$169,1,IF($FJ183&lt;HL$169,INDEX($FK$170:$ID$241,HL$169,$FJ183),SUMPRODUCT(INDEX($FK$325:$ID$396,HL$169,1+SwaptionShift):INDEX($FK$325:$ID$396,HL$169,SwaptionMonthsToGo+SwaptionShift),INDEX($FK$245:$ID$316,$FJ183-HL$169,73-HL$169+SwaptionShift):INDEX($FK$245:$ID$316,$FJ183-HL$169,72-HL$169+SwaptionMonthsToGo+SwaptionShift))/SQRT(SUM(INDEX($FK338:$ID338,1+SwaptionShift):INDEX($FK338:$ID338,SwaptionMonthsToGo+SwaptionShift))*SUM(INDEX($FK$325:$ID$396,HL$169,1+SwaptionShift):INDEX($FK$325:$ID$396,HL$169,SwaptionMonthsToGo+SwaptionShift))))))</f>
        <v/>
      </c>
      <c r="HM183" s="479" t="str">
        <f ca="1">IF(OR(HM$169&lt;SwaptionFirstMonthPosition+1,$FJ183&lt;SwaptionFirstMonthPosition+1,HM$169&gt;SwaptionFirstMonthPosition+SwaptionNumOfMonths+1,$FJ183&gt;SwaptionFirstMonthPosition+SwaptionNumOfMonths+1),"",IF($FJ183=HM$169,1,IF($FJ183&lt;HM$169,INDEX($FK$170:$ID$241,HM$169,$FJ183),SUMPRODUCT(INDEX($FK$325:$ID$396,HM$169,1+SwaptionShift):INDEX($FK$325:$ID$396,HM$169,SwaptionMonthsToGo+SwaptionShift),INDEX($FK$245:$ID$316,$FJ183-HM$169,73-HM$169+SwaptionShift):INDEX($FK$245:$ID$316,$FJ183-HM$169,72-HM$169+SwaptionMonthsToGo+SwaptionShift))/SQRT(SUM(INDEX($FK338:$ID338,1+SwaptionShift):INDEX($FK338:$ID338,SwaptionMonthsToGo+SwaptionShift))*SUM(INDEX($FK$325:$ID$396,HM$169,1+SwaptionShift):INDEX($FK$325:$ID$396,HM$169,SwaptionMonthsToGo+SwaptionShift))))))</f>
        <v/>
      </c>
      <c r="HN183" s="479" t="str">
        <f ca="1">IF(OR(HN$169&lt;SwaptionFirstMonthPosition+1,$FJ183&lt;SwaptionFirstMonthPosition+1,HN$169&gt;SwaptionFirstMonthPosition+SwaptionNumOfMonths+1,$FJ183&gt;SwaptionFirstMonthPosition+SwaptionNumOfMonths+1),"",IF($FJ183=HN$169,1,IF($FJ183&lt;HN$169,INDEX($FK$170:$ID$241,HN$169,$FJ183),SUMPRODUCT(INDEX($FK$325:$ID$396,HN$169,1+SwaptionShift):INDEX($FK$325:$ID$396,HN$169,SwaptionMonthsToGo+SwaptionShift),INDEX($FK$245:$ID$316,$FJ183-HN$169,73-HN$169+SwaptionShift):INDEX($FK$245:$ID$316,$FJ183-HN$169,72-HN$169+SwaptionMonthsToGo+SwaptionShift))/SQRT(SUM(INDEX($FK338:$ID338,1+SwaptionShift):INDEX($FK338:$ID338,SwaptionMonthsToGo+SwaptionShift))*SUM(INDEX($FK$325:$ID$396,HN$169,1+SwaptionShift):INDEX($FK$325:$ID$396,HN$169,SwaptionMonthsToGo+SwaptionShift))))))</f>
        <v/>
      </c>
      <c r="HO183" s="479" t="str">
        <f ca="1">IF(OR(HO$169&lt;SwaptionFirstMonthPosition+1,$FJ183&lt;SwaptionFirstMonthPosition+1,HO$169&gt;SwaptionFirstMonthPosition+SwaptionNumOfMonths+1,$FJ183&gt;SwaptionFirstMonthPosition+SwaptionNumOfMonths+1),"",IF($FJ183=HO$169,1,IF($FJ183&lt;HO$169,INDEX($FK$170:$ID$241,HO$169,$FJ183),SUMPRODUCT(INDEX($FK$325:$ID$396,HO$169,1+SwaptionShift):INDEX($FK$325:$ID$396,HO$169,SwaptionMonthsToGo+SwaptionShift),INDEX($FK$245:$ID$316,$FJ183-HO$169,73-HO$169+SwaptionShift):INDEX($FK$245:$ID$316,$FJ183-HO$169,72-HO$169+SwaptionMonthsToGo+SwaptionShift))/SQRT(SUM(INDEX($FK338:$ID338,1+SwaptionShift):INDEX($FK338:$ID338,SwaptionMonthsToGo+SwaptionShift))*SUM(INDEX($FK$325:$ID$396,HO$169,1+SwaptionShift):INDEX($FK$325:$ID$396,HO$169,SwaptionMonthsToGo+SwaptionShift))))))</f>
        <v/>
      </c>
      <c r="HP183" s="479" t="str">
        <f ca="1">IF(OR(HP$169&lt;SwaptionFirstMonthPosition+1,$FJ183&lt;SwaptionFirstMonthPosition+1,HP$169&gt;SwaptionFirstMonthPosition+SwaptionNumOfMonths+1,$FJ183&gt;SwaptionFirstMonthPosition+SwaptionNumOfMonths+1),"",IF($FJ183=HP$169,1,IF($FJ183&lt;HP$169,INDEX($FK$170:$ID$241,HP$169,$FJ183),SUMPRODUCT(INDEX($FK$325:$ID$396,HP$169,1+SwaptionShift):INDEX($FK$325:$ID$396,HP$169,SwaptionMonthsToGo+SwaptionShift),INDEX($FK$245:$ID$316,$FJ183-HP$169,73-HP$169+SwaptionShift):INDEX($FK$245:$ID$316,$FJ183-HP$169,72-HP$169+SwaptionMonthsToGo+SwaptionShift))/SQRT(SUM(INDEX($FK338:$ID338,1+SwaptionShift):INDEX($FK338:$ID338,SwaptionMonthsToGo+SwaptionShift))*SUM(INDEX($FK$325:$ID$396,HP$169,1+SwaptionShift):INDEX($FK$325:$ID$396,HP$169,SwaptionMonthsToGo+SwaptionShift))))))</f>
        <v/>
      </c>
      <c r="HQ183" s="479" t="str">
        <f ca="1">IF(OR(HQ$169&lt;SwaptionFirstMonthPosition+1,$FJ183&lt;SwaptionFirstMonthPosition+1,HQ$169&gt;SwaptionFirstMonthPosition+SwaptionNumOfMonths+1,$FJ183&gt;SwaptionFirstMonthPosition+SwaptionNumOfMonths+1),"",IF($FJ183=HQ$169,1,IF($FJ183&lt;HQ$169,INDEX($FK$170:$ID$241,HQ$169,$FJ183),SUMPRODUCT(INDEX($FK$325:$ID$396,HQ$169,1+SwaptionShift):INDEX($FK$325:$ID$396,HQ$169,SwaptionMonthsToGo+SwaptionShift),INDEX($FK$245:$ID$316,$FJ183-HQ$169,73-HQ$169+SwaptionShift):INDEX($FK$245:$ID$316,$FJ183-HQ$169,72-HQ$169+SwaptionMonthsToGo+SwaptionShift))/SQRT(SUM(INDEX($FK338:$ID338,1+SwaptionShift):INDEX($FK338:$ID338,SwaptionMonthsToGo+SwaptionShift))*SUM(INDEX($FK$325:$ID$396,HQ$169,1+SwaptionShift):INDEX($FK$325:$ID$396,HQ$169,SwaptionMonthsToGo+SwaptionShift))))))</f>
        <v/>
      </c>
      <c r="HR183" s="479" t="str">
        <f ca="1">IF(OR(HR$169&lt;SwaptionFirstMonthPosition+1,$FJ183&lt;SwaptionFirstMonthPosition+1,HR$169&gt;SwaptionFirstMonthPosition+SwaptionNumOfMonths+1,$FJ183&gt;SwaptionFirstMonthPosition+SwaptionNumOfMonths+1),"",IF($FJ183=HR$169,1,IF($FJ183&lt;HR$169,INDEX($FK$170:$ID$241,HR$169,$FJ183),SUMPRODUCT(INDEX($FK$325:$ID$396,HR$169,1+SwaptionShift):INDEX($FK$325:$ID$396,HR$169,SwaptionMonthsToGo+SwaptionShift),INDEX($FK$245:$ID$316,$FJ183-HR$169,73-HR$169+SwaptionShift):INDEX($FK$245:$ID$316,$FJ183-HR$169,72-HR$169+SwaptionMonthsToGo+SwaptionShift))/SQRT(SUM(INDEX($FK338:$ID338,1+SwaptionShift):INDEX($FK338:$ID338,SwaptionMonthsToGo+SwaptionShift))*SUM(INDEX($FK$325:$ID$396,HR$169,1+SwaptionShift):INDEX($FK$325:$ID$396,HR$169,SwaptionMonthsToGo+SwaptionShift))))))</f>
        <v/>
      </c>
      <c r="HS183" s="479" t="str">
        <f ca="1">IF(OR(HS$169&lt;SwaptionFirstMonthPosition+1,$FJ183&lt;SwaptionFirstMonthPosition+1,HS$169&gt;SwaptionFirstMonthPosition+SwaptionNumOfMonths+1,$FJ183&gt;SwaptionFirstMonthPosition+SwaptionNumOfMonths+1),"",IF($FJ183=HS$169,1,IF($FJ183&lt;HS$169,INDEX($FK$170:$ID$241,HS$169,$FJ183),SUMPRODUCT(INDEX($FK$325:$ID$396,HS$169,1+SwaptionShift):INDEX($FK$325:$ID$396,HS$169,SwaptionMonthsToGo+SwaptionShift),INDEX($FK$245:$ID$316,$FJ183-HS$169,73-HS$169+SwaptionShift):INDEX($FK$245:$ID$316,$FJ183-HS$169,72-HS$169+SwaptionMonthsToGo+SwaptionShift))/SQRT(SUM(INDEX($FK338:$ID338,1+SwaptionShift):INDEX($FK338:$ID338,SwaptionMonthsToGo+SwaptionShift))*SUM(INDEX($FK$325:$ID$396,HS$169,1+SwaptionShift):INDEX($FK$325:$ID$396,HS$169,SwaptionMonthsToGo+SwaptionShift))))))</f>
        <v/>
      </c>
      <c r="HT183" s="479" t="str">
        <f ca="1">IF(OR(HT$169&lt;SwaptionFirstMonthPosition+1,$FJ183&lt;SwaptionFirstMonthPosition+1,HT$169&gt;SwaptionFirstMonthPosition+SwaptionNumOfMonths+1,$FJ183&gt;SwaptionFirstMonthPosition+SwaptionNumOfMonths+1),"",IF($FJ183=HT$169,1,IF($FJ183&lt;HT$169,INDEX($FK$170:$ID$241,HT$169,$FJ183),SUMPRODUCT(INDEX($FK$325:$ID$396,HT$169,1+SwaptionShift):INDEX($FK$325:$ID$396,HT$169,SwaptionMonthsToGo+SwaptionShift),INDEX($FK$245:$ID$316,$FJ183-HT$169,73-HT$169+SwaptionShift):INDEX($FK$245:$ID$316,$FJ183-HT$169,72-HT$169+SwaptionMonthsToGo+SwaptionShift))/SQRT(SUM(INDEX($FK338:$ID338,1+SwaptionShift):INDEX($FK338:$ID338,SwaptionMonthsToGo+SwaptionShift))*SUM(INDEX($FK$325:$ID$396,HT$169,1+SwaptionShift):INDEX($FK$325:$ID$396,HT$169,SwaptionMonthsToGo+SwaptionShift))))))</f>
        <v/>
      </c>
      <c r="HU183" s="479" t="str">
        <f ca="1">IF(OR(HU$169&lt;SwaptionFirstMonthPosition+1,$FJ183&lt;SwaptionFirstMonthPosition+1,HU$169&gt;SwaptionFirstMonthPosition+SwaptionNumOfMonths+1,$FJ183&gt;SwaptionFirstMonthPosition+SwaptionNumOfMonths+1),"",IF($FJ183=HU$169,1,IF($FJ183&lt;HU$169,INDEX($FK$170:$ID$241,HU$169,$FJ183),SUMPRODUCT(INDEX($FK$325:$ID$396,HU$169,1+SwaptionShift):INDEX($FK$325:$ID$396,HU$169,SwaptionMonthsToGo+SwaptionShift),INDEX($FK$245:$ID$316,$FJ183-HU$169,73-HU$169+SwaptionShift):INDEX($FK$245:$ID$316,$FJ183-HU$169,72-HU$169+SwaptionMonthsToGo+SwaptionShift))/SQRT(SUM(INDEX($FK338:$ID338,1+SwaptionShift):INDEX($FK338:$ID338,SwaptionMonthsToGo+SwaptionShift))*SUM(INDEX($FK$325:$ID$396,HU$169,1+SwaptionShift):INDEX($FK$325:$ID$396,HU$169,SwaptionMonthsToGo+SwaptionShift))))))</f>
        <v/>
      </c>
      <c r="HV183" s="479" t="str">
        <f ca="1">IF(OR(HV$169&lt;SwaptionFirstMonthPosition+1,$FJ183&lt;SwaptionFirstMonthPosition+1,HV$169&gt;SwaptionFirstMonthPosition+SwaptionNumOfMonths+1,$FJ183&gt;SwaptionFirstMonthPosition+SwaptionNumOfMonths+1),"",IF($FJ183=HV$169,1,IF($FJ183&lt;HV$169,INDEX($FK$170:$ID$241,HV$169,$FJ183),SUMPRODUCT(INDEX($FK$325:$ID$396,HV$169,1+SwaptionShift):INDEX($FK$325:$ID$396,HV$169,SwaptionMonthsToGo+SwaptionShift),INDEX($FK$245:$ID$316,$FJ183-HV$169,73-HV$169+SwaptionShift):INDEX($FK$245:$ID$316,$FJ183-HV$169,72-HV$169+SwaptionMonthsToGo+SwaptionShift))/SQRT(SUM(INDEX($FK338:$ID338,1+SwaptionShift):INDEX($FK338:$ID338,SwaptionMonthsToGo+SwaptionShift))*SUM(INDEX($FK$325:$ID$396,HV$169,1+SwaptionShift):INDEX($FK$325:$ID$396,HV$169,SwaptionMonthsToGo+SwaptionShift))))))</f>
        <v/>
      </c>
      <c r="HW183" s="479" t="str">
        <f ca="1">IF(OR(HW$169&lt;SwaptionFirstMonthPosition+1,$FJ183&lt;SwaptionFirstMonthPosition+1,HW$169&gt;SwaptionFirstMonthPosition+SwaptionNumOfMonths+1,$FJ183&gt;SwaptionFirstMonthPosition+SwaptionNumOfMonths+1),"",IF($FJ183=HW$169,1,IF($FJ183&lt;HW$169,INDEX($FK$170:$ID$241,HW$169,$FJ183),SUMPRODUCT(INDEX($FK$325:$ID$396,HW$169,1+SwaptionShift):INDEX($FK$325:$ID$396,HW$169,SwaptionMonthsToGo+SwaptionShift),INDEX($FK$245:$ID$316,$FJ183-HW$169,73-HW$169+SwaptionShift):INDEX($FK$245:$ID$316,$FJ183-HW$169,72-HW$169+SwaptionMonthsToGo+SwaptionShift))/SQRT(SUM(INDEX($FK338:$ID338,1+SwaptionShift):INDEX($FK338:$ID338,SwaptionMonthsToGo+SwaptionShift))*SUM(INDEX($FK$325:$ID$396,HW$169,1+SwaptionShift):INDEX($FK$325:$ID$396,HW$169,SwaptionMonthsToGo+SwaptionShift))))))</f>
        <v/>
      </c>
      <c r="HX183" s="479" t="str">
        <f ca="1">IF(OR(HX$169&lt;SwaptionFirstMonthPosition+1,$FJ183&lt;SwaptionFirstMonthPosition+1,HX$169&gt;SwaptionFirstMonthPosition+SwaptionNumOfMonths+1,$FJ183&gt;SwaptionFirstMonthPosition+SwaptionNumOfMonths+1),"",IF($FJ183=HX$169,1,IF($FJ183&lt;HX$169,INDEX($FK$170:$ID$241,HX$169,$FJ183),SUMPRODUCT(INDEX($FK$325:$ID$396,HX$169,1+SwaptionShift):INDEX($FK$325:$ID$396,HX$169,SwaptionMonthsToGo+SwaptionShift),INDEX($FK$245:$ID$316,$FJ183-HX$169,73-HX$169+SwaptionShift):INDEX($FK$245:$ID$316,$FJ183-HX$169,72-HX$169+SwaptionMonthsToGo+SwaptionShift))/SQRT(SUM(INDEX($FK338:$ID338,1+SwaptionShift):INDEX($FK338:$ID338,SwaptionMonthsToGo+SwaptionShift))*SUM(INDEX($FK$325:$ID$396,HX$169,1+SwaptionShift):INDEX($FK$325:$ID$396,HX$169,SwaptionMonthsToGo+SwaptionShift))))))</f>
        <v/>
      </c>
      <c r="HY183" s="479" t="str">
        <f ca="1">IF(OR(HY$169&lt;SwaptionFirstMonthPosition+1,$FJ183&lt;SwaptionFirstMonthPosition+1,HY$169&gt;SwaptionFirstMonthPosition+SwaptionNumOfMonths+1,$FJ183&gt;SwaptionFirstMonthPosition+SwaptionNumOfMonths+1),"",IF($FJ183=HY$169,1,IF($FJ183&lt;HY$169,INDEX($FK$170:$ID$241,HY$169,$FJ183),SUMPRODUCT(INDEX($FK$325:$ID$396,HY$169,1+SwaptionShift):INDEX($FK$325:$ID$396,HY$169,SwaptionMonthsToGo+SwaptionShift),INDEX($FK$245:$ID$316,$FJ183-HY$169,73-HY$169+SwaptionShift):INDEX($FK$245:$ID$316,$FJ183-HY$169,72-HY$169+SwaptionMonthsToGo+SwaptionShift))/SQRT(SUM(INDEX($FK338:$ID338,1+SwaptionShift):INDEX($FK338:$ID338,SwaptionMonthsToGo+SwaptionShift))*SUM(INDEX($FK$325:$ID$396,HY$169,1+SwaptionShift):INDEX($FK$325:$ID$396,HY$169,SwaptionMonthsToGo+SwaptionShift))))))</f>
        <v/>
      </c>
      <c r="HZ183" s="479" t="str">
        <f ca="1">IF(OR(HZ$169&lt;SwaptionFirstMonthPosition+1,$FJ183&lt;SwaptionFirstMonthPosition+1,HZ$169&gt;SwaptionFirstMonthPosition+SwaptionNumOfMonths+1,$FJ183&gt;SwaptionFirstMonthPosition+SwaptionNumOfMonths+1),"",IF($FJ183=HZ$169,1,IF($FJ183&lt;HZ$169,INDEX($FK$170:$ID$241,HZ$169,$FJ183),SUMPRODUCT(INDEX($FK$325:$ID$396,HZ$169,1+SwaptionShift):INDEX($FK$325:$ID$396,HZ$169,SwaptionMonthsToGo+SwaptionShift),INDEX($FK$245:$ID$316,$FJ183-HZ$169,73-HZ$169+SwaptionShift):INDEX($FK$245:$ID$316,$FJ183-HZ$169,72-HZ$169+SwaptionMonthsToGo+SwaptionShift))/SQRT(SUM(INDEX($FK338:$ID338,1+SwaptionShift):INDEX($FK338:$ID338,SwaptionMonthsToGo+SwaptionShift))*SUM(INDEX($FK$325:$ID$396,HZ$169,1+SwaptionShift):INDEX($FK$325:$ID$396,HZ$169,SwaptionMonthsToGo+SwaptionShift))))))</f>
        <v/>
      </c>
      <c r="IA183" s="479" t="str">
        <f ca="1">IF(OR(IA$169&lt;SwaptionFirstMonthPosition+1,$FJ183&lt;SwaptionFirstMonthPosition+1,IA$169&gt;SwaptionFirstMonthPosition+SwaptionNumOfMonths+1,$FJ183&gt;SwaptionFirstMonthPosition+SwaptionNumOfMonths+1),"",IF($FJ183=IA$169,1,IF($FJ183&lt;IA$169,INDEX($FK$170:$ID$241,IA$169,$FJ183),SUMPRODUCT(INDEX($FK$325:$ID$396,IA$169,1+SwaptionShift):INDEX($FK$325:$ID$396,IA$169,SwaptionMonthsToGo+SwaptionShift),INDEX($FK$245:$ID$316,$FJ183-IA$169,73-IA$169+SwaptionShift):INDEX($FK$245:$ID$316,$FJ183-IA$169,72-IA$169+SwaptionMonthsToGo+SwaptionShift))/SQRT(SUM(INDEX($FK338:$ID338,1+SwaptionShift):INDEX($FK338:$ID338,SwaptionMonthsToGo+SwaptionShift))*SUM(INDEX($FK$325:$ID$396,IA$169,1+SwaptionShift):INDEX($FK$325:$ID$396,IA$169,SwaptionMonthsToGo+SwaptionShift))))))</f>
        <v/>
      </c>
      <c r="IB183" s="479" t="str">
        <f ca="1">IF(OR(IB$169&lt;SwaptionFirstMonthPosition+1,$FJ183&lt;SwaptionFirstMonthPosition+1,IB$169&gt;SwaptionFirstMonthPosition+SwaptionNumOfMonths+1,$FJ183&gt;SwaptionFirstMonthPosition+SwaptionNumOfMonths+1),"",IF($FJ183=IB$169,1,IF($FJ183&lt;IB$169,INDEX($FK$170:$ID$241,IB$169,$FJ183),SUMPRODUCT(INDEX($FK$325:$ID$396,IB$169,1+SwaptionShift):INDEX($FK$325:$ID$396,IB$169,SwaptionMonthsToGo+SwaptionShift),INDEX($FK$245:$ID$316,$FJ183-IB$169,73-IB$169+SwaptionShift):INDEX($FK$245:$ID$316,$FJ183-IB$169,72-IB$169+SwaptionMonthsToGo+SwaptionShift))/SQRT(SUM(INDEX($FK338:$ID338,1+SwaptionShift):INDEX($FK338:$ID338,SwaptionMonthsToGo+SwaptionShift))*SUM(INDEX($FK$325:$ID$396,IB$169,1+SwaptionShift):INDEX($FK$325:$ID$396,IB$169,SwaptionMonthsToGo+SwaptionShift))))))</f>
        <v/>
      </c>
      <c r="IC183" s="479" t="str">
        <f ca="1">IF(OR(IC$169&lt;SwaptionFirstMonthPosition+1,$FJ183&lt;SwaptionFirstMonthPosition+1,IC$169&gt;SwaptionFirstMonthPosition+SwaptionNumOfMonths+1,$FJ183&gt;SwaptionFirstMonthPosition+SwaptionNumOfMonths+1),"",IF($FJ183=IC$169,1,IF($FJ183&lt;IC$169,INDEX($FK$170:$ID$241,IC$169,$FJ183),SUMPRODUCT(INDEX($FK$325:$ID$396,IC$169,1+SwaptionShift):INDEX($FK$325:$ID$396,IC$169,SwaptionMonthsToGo+SwaptionShift),INDEX($FK$245:$ID$316,$FJ183-IC$169,73-IC$169+SwaptionShift):INDEX($FK$245:$ID$316,$FJ183-IC$169,72-IC$169+SwaptionMonthsToGo+SwaptionShift))/SQRT(SUM(INDEX($FK338:$ID338,1+SwaptionShift):INDEX($FK338:$ID338,SwaptionMonthsToGo+SwaptionShift))*SUM(INDEX($FK$325:$ID$396,IC$169,1+SwaptionShift):INDEX($FK$325:$ID$396,IC$169,SwaptionMonthsToGo+SwaptionShift))))))</f>
        <v/>
      </c>
      <c r="ID183" s="678" t="str">
        <f ca="1">IF(OR(ID$169&lt;SwaptionFirstMonthPosition+1,$FJ183&lt;SwaptionFirstMonthPosition+1,ID$169&gt;SwaptionFirstMonthPosition+SwaptionNumOfMonths+1,$FJ183&gt;SwaptionFirstMonthPosition+SwaptionNumOfMonths+1),"",IF($FJ183=ID$169,1,IF($FJ183&lt;ID$169,INDEX($FK$170:$ID$241,ID$169,$FJ183),SUMPRODUCT(INDEX($FK$325:$ID$396,ID$169,1+SwaptionShift):INDEX($FK$325:$ID$396,ID$169,SwaptionMonthsToGo+SwaptionShift),INDEX($FK$245:$ID$316,$FJ183-ID$169,73-ID$169+SwaptionShift):INDEX($FK$245:$ID$316,$FJ183-ID$169,72-ID$169+SwaptionMonthsToGo+SwaptionShift))/SQRT(SUM(INDEX($FK338:$ID338,1+SwaptionShift):INDEX($FK338:$ID338,SwaptionMonthsToGo+SwaptionShift))*SUM(INDEX($FK$325:$ID$396,ID$169,1+SwaptionShift):INDEX($FK$325:$ID$396,ID$169,SwaptionMonthsToGo+SwaptionShift))))))</f>
        <v/>
      </c>
      <c r="IE183" s="250"/>
    </row>
    <row r="184" spans="8:239">
      <c r="H184" s="51">
        <f t="shared" ca="1" si="527"/>
        <v>0</v>
      </c>
      <c r="I184" s="379">
        <f t="shared" si="528"/>
        <v>41760</v>
      </c>
      <c r="J184" s="377"/>
      <c r="K184" s="104" t="s">
        <v>268</v>
      </c>
      <c r="L184" s="392">
        <f t="shared" si="529"/>
        <v>3.3000000000000052</v>
      </c>
      <c r="M184" s="171"/>
      <c r="N184" s="382">
        <v>0</v>
      </c>
      <c r="O184" s="171">
        <f t="shared" si="490"/>
        <v>0</v>
      </c>
      <c r="P184" s="377"/>
      <c r="Q184" s="104" t="s">
        <v>268</v>
      </c>
      <c r="R184" s="377">
        <f t="shared" ca="1" si="547"/>
        <v>2.1387205912917251</v>
      </c>
      <c r="S184" s="832">
        <f t="shared" si="564"/>
        <v>0.3600000000000001</v>
      </c>
      <c r="T184" s="831">
        <f t="shared" si="548"/>
        <v>0.9999999999992184</v>
      </c>
      <c r="U184" s="545">
        <f t="shared" si="549"/>
        <v>0.99999999999999978</v>
      </c>
      <c r="V184" s="389">
        <v>0</v>
      </c>
      <c r="W184" s="434">
        <f t="shared" si="578"/>
        <v>0</v>
      </c>
      <c r="X184" s="415">
        <f t="shared" si="579"/>
        <v>3.3511363636363685</v>
      </c>
      <c r="Y184" s="322">
        <f t="shared" si="580"/>
        <v>-1.2915000000000001</v>
      </c>
      <c r="Z184" s="322">
        <f t="shared" ca="1" si="581"/>
        <v>2.0596363636363684</v>
      </c>
      <c r="AA184" s="429">
        <f t="shared" si="495"/>
        <v>1.2915000000000001</v>
      </c>
      <c r="AB184" s="433">
        <f t="shared" ca="1" si="496"/>
        <v>1.2915000000000001</v>
      </c>
      <c r="AC184" s="229">
        <v>41749</v>
      </c>
      <c r="AD184" s="229">
        <v>41745</v>
      </c>
      <c r="AE184" s="229">
        <v>41744</v>
      </c>
      <c r="AF184" s="229">
        <v>41740</v>
      </c>
      <c r="AG184" s="249" t="s">
        <v>499</v>
      </c>
      <c r="AH184" s="247" t="s">
        <v>499</v>
      </c>
      <c r="AI184" s="146">
        <v>22</v>
      </c>
      <c r="AJ184" s="41">
        <v>14</v>
      </c>
      <c r="AK184" s="41">
        <v>8</v>
      </c>
      <c r="AL184" s="293">
        <v>22</v>
      </c>
      <c r="AM184" s="41">
        <v>10</v>
      </c>
      <c r="AN184" s="147">
        <v>12</v>
      </c>
      <c r="AO184" s="374"/>
      <c r="AP184" s="153">
        <f t="shared" ca="1" si="530"/>
        <v>1</v>
      </c>
      <c r="AQ184" s="374"/>
      <c r="AR184" s="153">
        <f t="shared" ca="1" si="550"/>
        <v>1</v>
      </c>
      <c r="AS184" s="272">
        <f t="shared" si="582"/>
        <v>0</v>
      </c>
      <c r="AT184" s="157">
        <f t="shared" si="531"/>
        <v>0</v>
      </c>
      <c r="AU184" s="157">
        <f t="shared" si="498"/>
        <v>0</v>
      </c>
      <c r="AV184" s="271">
        <f t="shared" ca="1" si="558"/>
        <v>9.9999999999999995E-7</v>
      </c>
      <c r="AW184" s="158" t="str">
        <f t="shared" ca="1" si="583"/>
        <v/>
      </c>
      <c r="AX184" s="157">
        <f t="shared" ca="1" si="551"/>
        <v>1.0041382982784766E-4</v>
      </c>
      <c r="AY184" s="157">
        <f t="shared" ca="1" si="552"/>
        <v>2.6037901518858722E-5</v>
      </c>
      <c r="AZ184" s="157">
        <f t="shared" ca="1" si="553"/>
        <v>1.1239376948753494E-6</v>
      </c>
      <c r="BA184" s="157">
        <f t="shared" ca="1" si="554"/>
        <v>1.4049221185941867E-7</v>
      </c>
      <c r="BB184" s="157">
        <f t="shared" ca="1" si="555"/>
        <v>1.1756134211490661E-9</v>
      </c>
      <c r="BC184" s="157">
        <f t="shared" ca="1" si="556"/>
        <v>3.9476123186299556E-11</v>
      </c>
      <c r="BD184" s="151">
        <f t="shared" ca="1" si="584"/>
        <v>0</v>
      </c>
      <c r="BE184" s="152">
        <f t="shared" ca="1" si="585"/>
        <v>0</v>
      </c>
      <c r="BF184" s="40">
        <f t="shared" si="586"/>
        <v>2014</v>
      </c>
      <c r="BG184" s="144">
        <f t="shared" si="587"/>
        <v>5</v>
      </c>
      <c r="BH184" s="145">
        <f t="shared" ca="1" si="588"/>
        <v>5000</v>
      </c>
      <c r="BI184" s="313">
        <f t="shared" ca="1" si="568"/>
        <v>13.730321697467488</v>
      </c>
      <c r="BJ184" s="42">
        <f t="shared" ca="1" si="505"/>
        <v>13.782589757949101</v>
      </c>
      <c r="BK184" s="42">
        <f t="shared" ca="1" si="506"/>
        <v>13.785327608736234</v>
      </c>
      <c r="BL184" s="42">
        <f t="shared" ca="1" si="569"/>
        <v>13.81245722108145</v>
      </c>
      <c r="BM184" s="150" t="e">
        <f t="shared" ca="1" si="507"/>
        <v>#DIV/0!</v>
      </c>
      <c r="BN184" s="42" t="e">
        <f t="shared" ca="1" si="508"/>
        <v>#DIV/0!</v>
      </c>
      <c r="BO184" s="293">
        <f t="shared" si="570"/>
        <v>22</v>
      </c>
      <c r="BP184" s="41">
        <f t="shared" si="571"/>
        <v>14</v>
      </c>
      <c r="BQ184" s="41">
        <f t="shared" si="572"/>
        <v>8</v>
      </c>
      <c r="BR184" s="305" t="str">
        <f t="shared" ca="1" si="509"/>
        <v/>
      </c>
      <c r="BS184" s="305" t="str">
        <f t="shared" ca="1" si="573"/>
        <v/>
      </c>
      <c r="BT184" s="307" t="str">
        <f t="shared" ca="1" si="574"/>
        <v/>
      </c>
      <c r="BU184" s="161" t="str">
        <f t="shared" ca="1" si="510"/>
        <v/>
      </c>
      <c r="BV184" s="161" t="str">
        <f t="shared" ca="1" si="511"/>
        <v/>
      </c>
      <c r="BW184" s="308" t="str">
        <f t="shared" ca="1" si="512"/>
        <v/>
      </c>
      <c r="BX184" s="309" t="str">
        <f t="shared" ca="1" si="513"/>
        <v/>
      </c>
      <c r="BY184" s="308" t="str">
        <f t="shared" ca="1" si="575"/>
        <v/>
      </c>
      <c r="BZ184" s="309" t="str">
        <f t="shared" ca="1" si="576"/>
        <v/>
      </c>
      <c r="CA184" s="154" t="str">
        <f t="shared" ca="1" si="514"/>
        <v/>
      </c>
      <c r="CB184" s="154" t="str">
        <f t="shared" ca="1" si="515"/>
        <v/>
      </c>
      <c r="CC184" s="154" t="str">
        <f t="shared" ca="1" si="516"/>
        <v/>
      </c>
      <c r="CD184" s="154" t="str">
        <f t="shared" ca="1" si="517"/>
        <v/>
      </c>
      <c r="CE184" s="310">
        <v>1</v>
      </c>
      <c r="CF184" s="162">
        <f ca="1">IF(BD184,_xll.xCrudeAPO(BU184,BV184,CA184,CB184,S185,S186,BI184,BL184,BP184,BQ184,0,Strike1,AO184,CE184,0,BL184,IF(OptControl=4,0,1),0,1),0)</f>
        <v>0</v>
      </c>
      <c r="CG184" s="163">
        <f ca="1">IF(BD184,_xll.xCrudeAPO(BU184,BV184,CA184,CB184,S185,S186,BI184,BL184,BP184,BQ184,0,Strike1,AO184,CE184,0,BL184,IF(OptControl=4,0,1),1,1)+_xll.xCrudeAPO(BU184,BV184,CA184,CB184,S185,S186,BI184,BL184,BP184,BQ184,0,Strike1,AO184,CE184,0,BL184,IF(OptControl=4,0,1),1,2)+IF(OR(VolSkewFlag=2,ABS(BS184)&lt;0.0001),0,IF(BS184&gt;0,-1,1)*CH184*Strike1/BR184^2*BY184/10%),0)</f>
        <v>0</v>
      </c>
      <c r="CH184" s="163">
        <f ca="1">IF(BD184,(_xll.xCrudeAPO(BU184,BV184,CA184,CB184,S185,S186,BI184,BL184,BP184,BQ184,0,Strike1,AO184,CE184,0,BL184,IF(OptControl=4,0,1),3,1)+_xll.xCrudeAPO(BU184,BV184,CA184,CB184,S185,S186,BI184,BL184,BP184,BQ184,0,Strike1,AO184,CE184,0,BL184,IF(OptControl=4,0,1),3,2))/100,0)</f>
        <v>0</v>
      </c>
      <c r="CI184" s="163">
        <f ca="1">IF(BD184,_xll.xCrudeAPO(BU184,BV184,CA184,CB184,S185,S186,BI184-DaysForThetaCalculation/365.25,BL184-DaysForThetaCalculation/365.25,BP184,BQ184,0,Strike1,AO184,CE184,0,BL184,IF(OptControl=4,0,1),0,1)-_xll.xCrudeAPO(BU184,BV184,CA184,CB184,S185,S186,BI184,BL184,BP184,BQ184,0,Strike1,AO184,CE184,0,BL184,IF(OptControl=4,0,1),0,1),0)</f>
        <v>0</v>
      </c>
      <c r="CJ184" s="311">
        <f ca="1">IF(BD184,_xll.xCrudeAPO(BU184,BV184,CC184,CD184,S185,S186,BI184,BL184,BP184,BQ184,0,Strike2,AO184,CE184,0,BL184,IF(OptControl=3,1,0),0,1),0)</f>
        <v>0</v>
      </c>
      <c r="CK184" s="163">
        <f ca="1">IF(BD184,_xll.xCrudeAPO(BU184,BV184,CC184,CD184,S185,S186,BI184,BL184,BP184,BQ184,0,Strike2,AO184,CE184,0,BL184,IF(OptControl=3,1,0),1,1)+_xll.xCrudeAPO(BU184,BV184,CC184,CD184,S185,S186,BI184,BL184,BP184,BQ184,0,Strike2,AO184,CE184,0,BL184,IF(OptControl=3,1,0),1,2)+IF(OR(VolSkewFlag=2,ABS(BT184)&lt;0.0001),0,IF(BT184&gt;0,-1,1)*CL184*Strike2/BR184^2*BZ184/10%),0)</f>
        <v>0</v>
      </c>
      <c r="CL184" s="163">
        <f ca="1">IF(BD184,(_xll.xCrudeAPO(BU184,BV184,CC184,CD184,S185,S186,BI184,BL184,BP184,BQ184,0,Strike2,AO184,CE184,0,BL184,IF(OptControl=3,1,0),3,1)+_xll.xCrudeAPO(BU184,BV184,CC184,CD184,S185,S186,BI184,BL184,BP184,BQ184,0,Strike2,AO184,CE184,0,BL184,IF(OptControl=3,1,0),3,2))/100,0)</f>
        <v>0</v>
      </c>
      <c r="CM184" s="164">
        <f ca="1">IF(BD184,_xll.xCrudeAPO(BU184,BV184,CC184,CD184,S185,S186,BI184-DaysForThetaCalculation/365.25,BL184-DaysForThetaCalculation/365.25,BP184,BQ184,0,Strike2,AO184,CE184,0,BL184,IF(OptControl=3,1,0),0,1)-_xll.xCrudeAPO(BU184,BV184,CC184,CD184,S185,S186,BI184,BL184,BP184,BQ184,0,Strike2,AO184,CE184,0,BL184,IF(OptControl=3,1,0),0,1),0)</f>
        <v>0</v>
      </c>
      <c r="CN184" s="53"/>
      <c r="CO184" s="796" t="str">
        <f t="shared" ca="1" si="532"/>
        <v/>
      </c>
      <c r="CP184" s="800" t="str">
        <f t="shared" ca="1" si="533"/>
        <v/>
      </c>
      <c r="CQ184" s="797" t="str">
        <f t="shared" ca="1" si="534"/>
        <v/>
      </c>
      <c r="CR184" s="797" t="str">
        <f t="shared" ca="1" si="535"/>
        <v/>
      </c>
      <c r="CS184" s="797" t="str">
        <f t="shared" ca="1" si="536"/>
        <v/>
      </c>
      <c r="CT184" s="797" t="str">
        <f t="shared" ca="1" si="537"/>
        <v/>
      </c>
      <c r="CU184" s="798" t="str">
        <f t="shared" ca="1" si="538"/>
        <v/>
      </c>
      <c r="CV184" s="799" t="str">
        <f t="shared" ca="1" si="539"/>
        <v/>
      </c>
      <c r="CW184" s="799" t="str">
        <f t="shared" ca="1" si="540"/>
        <v/>
      </c>
      <c r="CX184" s="163">
        <f ca="1">IF(BD184,_xll.EURO(CP184,Strike1,AO184,AO184,CV184,CO184,IF(OptControl=4,0,1),0),0)</f>
        <v>0</v>
      </c>
      <c r="CY184" s="163">
        <f ca="1">IF(BD184,_xll.EURO(CP184,Strike1,AO184,AO184,CV184,CO184,IF(OptControl=4,0,1),1)+IF(OR(VolSkewFlag=2,ABS(CQ184)&lt;0.0001),0,IF(CQ184&gt;0,-1,1)*CZ184*100*Strike1/CP184^2*CS184/10%),0)</f>
        <v>0</v>
      </c>
      <c r="CZ184" s="163">
        <f ca="1">IF(BD184,_xll.EURO(CP184,Strike1,AO184,AO184,CV184,CO184,IF(OptControl=4,0,1),3)/100,0)</f>
        <v>0</v>
      </c>
      <c r="DA184" s="163">
        <f ca="1">IF(BD184,_xll.EURO(CP184,Strike1,AO184,AO184,CV184,CO184,IF(OptControl=4,0,1),0)-_xll.EURO(CP184,Strike1,AO184,AO184,CV184,CO184-1,IF(OptControl=4,0,1),0),0)</f>
        <v>0</v>
      </c>
      <c r="DB184" s="163">
        <f ca="1">IF(BD184,_xll.EURO(CP184,Strike2,AO184,AO184,CW184,CO184,IF(OptControl=3,1,0),0),0)</f>
        <v>0</v>
      </c>
      <c r="DC184" s="163">
        <f ca="1">IF(BD184,_xll.EURO(CP184,Strike2,AO184,AO184,CW184,CO184,IF(OptControl=3,1,0),1)+IF(OR(VolSkewFlag=2,ABS(CR184)&lt;0.0001),0,IF(CR184&gt;0,-1,1)*DD184*100*Strike2/CP184^2*CT184/10%),0)</f>
        <v>0</v>
      </c>
      <c r="DD184" s="163">
        <f ca="1">IF(BD184,_xll.EURO(CP184,Strike2,AO184,AO184,CW184,CO184,IF(OptControl=3,1,0),3)/100,0)</f>
        <v>0</v>
      </c>
      <c r="DE184" s="164">
        <f ca="1">IF(BD184,_xll.EURO(CP184,Strike2,AO184,AO184,CW184,CO184,IF(OptControl=3,1,0),0)-_xll.EURO(CP184,Strike2,AO184,AO184,CW184,CO184-1,IF(OptControl=3,1,0),0),0)</f>
        <v>0</v>
      </c>
      <c r="DG184" s="667">
        <f t="shared" ca="1" si="541"/>
        <v>41548</v>
      </c>
      <c r="DH184" s="475">
        <v>22.360000000000063</v>
      </c>
      <c r="DI184" s="665">
        <v>22.429565217391367</v>
      </c>
      <c r="DJ184" s="666">
        <f t="shared" ca="1" si="589"/>
        <v>41548</v>
      </c>
      <c r="DK184" s="475">
        <v>21.008469642989454</v>
      </c>
      <c r="DL184" s="665">
        <v>21.236465217391366</v>
      </c>
      <c r="DM184" s="667">
        <f t="shared" ca="1" si="590"/>
        <v>41548</v>
      </c>
      <c r="DN184" s="668">
        <f t="shared" si="591"/>
        <v>21.058469642989454</v>
      </c>
      <c r="DO184" s="667">
        <f t="shared" ca="1" si="542"/>
        <v>41548</v>
      </c>
      <c r="DP184" s="579">
        <f t="shared" si="543"/>
        <v>21.236465217391366</v>
      </c>
      <c r="DQ184" s="821">
        <v>0</v>
      </c>
      <c r="DR184" s="666">
        <f t="shared" ca="1" si="592"/>
        <v>41548</v>
      </c>
      <c r="DS184" s="669">
        <v>0.12619999999999806</v>
      </c>
      <c r="DT184" s="606">
        <v>0.12536521739130238</v>
      </c>
      <c r="DU184" s="666">
        <f t="shared" ca="1" si="593"/>
        <v>41548</v>
      </c>
      <c r="DV184" s="669">
        <v>0.12619999999999806</v>
      </c>
      <c r="DW184" s="606">
        <v>0.12536521739130238</v>
      </c>
      <c r="DX184" s="667">
        <f t="shared" ca="1" si="594"/>
        <v>41548</v>
      </c>
      <c r="DY184" s="606">
        <v>0.35</v>
      </c>
      <c r="DZ184" s="667">
        <f t="shared" ca="1" si="544"/>
        <v>41548</v>
      </c>
      <c r="EA184" s="606">
        <f t="shared" si="545"/>
        <v>0.12536521739130238</v>
      </c>
      <c r="EB184" s="1"/>
      <c r="EC184" s="118" t="str">
        <f t="shared" ca="1" si="595"/>
        <v/>
      </c>
      <c r="ED184" s="119" t="str">
        <f t="shared" ca="1" si="525"/>
        <v/>
      </c>
      <c r="EE184" s="112" t="str">
        <f t="shared" ca="1" si="526"/>
        <v/>
      </c>
      <c r="EF184" s="120">
        <f ca="1">IF(BD184,_xll.xASN(BR184,Strike1,AO184,ED184,0,BO184,0,BI184,BL184,IF(OptControl=4,0,1),0),0)</f>
        <v>0</v>
      </c>
      <c r="EG184" s="111">
        <f ca="1">IF(BD184,_xll.xASN(BR184,Strike2,AO184,EE184,0,BO184,0,BI184,BL184,IF(OptControl=3,1,0),0),0)</f>
        <v>0</v>
      </c>
      <c r="EL184" s="55"/>
      <c r="EM184" s="1"/>
      <c r="EN184" s="106"/>
      <c r="EO184" s="106"/>
      <c r="EP184" s="1"/>
      <c r="EQ184" s="683" t="s">
        <v>397</v>
      </c>
      <c r="ES184" s="455"/>
      <c r="ET184" s="36"/>
      <c r="EU184" s="107"/>
      <c r="EV184" s="475"/>
      <c r="EW184" s="456"/>
      <c r="EX184" s="456"/>
      <c r="EY184" s="250"/>
      <c r="EZ184" s="250"/>
      <c r="FA184" s="250"/>
      <c r="FB184" s="250"/>
      <c r="FC184" s="250"/>
      <c r="FD184" s="250"/>
      <c r="FE184" s="250"/>
      <c r="FF184" s="250"/>
      <c r="FG184" s="250"/>
      <c r="FH184" s="250"/>
      <c r="FI184" s="250"/>
      <c r="FJ184" s="673">
        <v>15</v>
      </c>
      <c r="FK184" s="479" t="str">
        <f ca="1">IF(OR(FK$169&lt;SwaptionFirstMonthPosition+1,$FJ184&lt;SwaptionFirstMonthPosition+1,FK$169&gt;SwaptionFirstMonthPosition+SwaptionNumOfMonths+1,$FJ184&gt;SwaptionFirstMonthPosition+SwaptionNumOfMonths+1),"",IF($FJ184=FK$169,1,IF($FJ184&lt;FK$169,INDEX($FK$170:$ID$241,FK$169,$FJ184),SUMPRODUCT(INDEX($FK$325:$ID$396,FK$169,1+SwaptionShift):INDEX($FK$325:$ID$396,FK$169,SwaptionMonthsToGo+SwaptionShift),INDEX($FK$245:$ID$316,$FJ184-FK$169,73-FK$169+SwaptionShift):INDEX($FK$245:$ID$316,$FJ184-FK$169,72-FK$169+SwaptionMonthsToGo+SwaptionShift))/SQRT(SUM(INDEX($FK339:$ID339,1+SwaptionShift):INDEX($FK339:$ID339,SwaptionMonthsToGo+SwaptionShift))*SUM(INDEX($FK$325:$ID$396,FK$169,1+SwaptionShift):INDEX($FK$325:$ID$396,FK$169,SwaptionMonthsToGo+SwaptionShift))))))</f>
        <v/>
      </c>
      <c r="FL184" s="479" t="str">
        <f ca="1">IF(OR(FL$169&lt;SwaptionFirstMonthPosition+1,$FJ184&lt;SwaptionFirstMonthPosition+1,FL$169&gt;SwaptionFirstMonthPosition+SwaptionNumOfMonths+1,$FJ184&gt;SwaptionFirstMonthPosition+SwaptionNumOfMonths+1),"",IF($FJ184=FL$169,1,IF($FJ184&lt;FL$169,INDEX($FK$170:$ID$241,FL$169,$FJ184),SUMPRODUCT(INDEX($FK$325:$ID$396,FL$169,1+SwaptionShift):INDEX($FK$325:$ID$396,FL$169,SwaptionMonthsToGo+SwaptionShift),INDEX($FK$245:$ID$316,$FJ184-FL$169,73-FL$169+SwaptionShift):INDEX($FK$245:$ID$316,$FJ184-FL$169,72-FL$169+SwaptionMonthsToGo+SwaptionShift))/SQRT(SUM(INDEX($FK339:$ID339,1+SwaptionShift):INDEX($FK339:$ID339,SwaptionMonthsToGo+SwaptionShift))*SUM(INDEX($FK$325:$ID$396,FL$169,1+SwaptionShift):INDEX($FK$325:$ID$396,FL$169,SwaptionMonthsToGo+SwaptionShift))))))</f>
        <v/>
      </c>
      <c r="FM184" s="479" t="str">
        <f ca="1">IF(OR(FM$169&lt;SwaptionFirstMonthPosition+1,$FJ184&lt;SwaptionFirstMonthPosition+1,FM$169&gt;SwaptionFirstMonthPosition+SwaptionNumOfMonths+1,$FJ184&gt;SwaptionFirstMonthPosition+SwaptionNumOfMonths+1),"",IF($FJ184=FM$169,1,IF($FJ184&lt;FM$169,INDEX($FK$170:$ID$241,FM$169,$FJ184),SUMPRODUCT(INDEX($FK$325:$ID$396,FM$169,1+SwaptionShift):INDEX($FK$325:$ID$396,FM$169,SwaptionMonthsToGo+SwaptionShift),INDEX($FK$245:$ID$316,$FJ184-FM$169,73-FM$169+SwaptionShift):INDEX($FK$245:$ID$316,$FJ184-FM$169,72-FM$169+SwaptionMonthsToGo+SwaptionShift))/SQRT(SUM(INDEX($FK339:$ID339,1+SwaptionShift):INDEX($FK339:$ID339,SwaptionMonthsToGo+SwaptionShift))*SUM(INDEX($FK$325:$ID$396,FM$169,1+SwaptionShift):INDEX($FK$325:$ID$396,FM$169,SwaptionMonthsToGo+SwaptionShift))))))</f>
        <v/>
      </c>
      <c r="FN184" s="479" t="str">
        <f ca="1">IF(OR(FN$169&lt;SwaptionFirstMonthPosition+1,$FJ184&lt;SwaptionFirstMonthPosition+1,FN$169&gt;SwaptionFirstMonthPosition+SwaptionNumOfMonths+1,$FJ184&gt;SwaptionFirstMonthPosition+SwaptionNumOfMonths+1),"",IF($FJ184=FN$169,1,IF($FJ184&lt;FN$169,INDEX($FK$170:$ID$241,FN$169,$FJ184),SUMPRODUCT(INDEX($FK$325:$ID$396,FN$169,1+SwaptionShift):INDEX($FK$325:$ID$396,FN$169,SwaptionMonthsToGo+SwaptionShift),INDEX($FK$245:$ID$316,$FJ184-FN$169,73-FN$169+SwaptionShift):INDEX($FK$245:$ID$316,$FJ184-FN$169,72-FN$169+SwaptionMonthsToGo+SwaptionShift))/SQRT(SUM(INDEX($FK339:$ID339,1+SwaptionShift):INDEX($FK339:$ID339,SwaptionMonthsToGo+SwaptionShift))*SUM(INDEX($FK$325:$ID$396,FN$169,1+SwaptionShift):INDEX($FK$325:$ID$396,FN$169,SwaptionMonthsToGo+SwaptionShift))))))</f>
        <v/>
      </c>
      <c r="FO184" s="479" t="str">
        <f ca="1">IF(OR(FO$169&lt;SwaptionFirstMonthPosition+1,$FJ184&lt;SwaptionFirstMonthPosition+1,FO$169&gt;SwaptionFirstMonthPosition+SwaptionNumOfMonths+1,$FJ184&gt;SwaptionFirstMonthPosition+SwaptionNumOfMonths+1),"",IF($FJ184=FO$169,1,IF($FJ184&lt;FO$169,INDEX($FK$170:$ID$241,FO$169,$FJ184),SUMPRODUCT(INDEX($FK$325:$ID$396,FO$169,1+SwaptionShift):INDEX($FK$325:$ID$396,FO$169,SwaptionMonthsToGo+SwaptionShift),INDEX($FK$245:$ID$316,$FJ184-FO$169,73-FO$169+SwaptionShift):INDEX($FK$245:$ID$316,$FJ184-FO$169,72-FO$169+SwaptionMonthsToGo+SwaptionShift))/SQRT(SUM(INDEX($FK339:$ID339,1+SwaptionShift):INDEX($FK339:$ID339,SwaptionMonthsToGo+SwaptionShift))*SUM(INDEX($FK$325:$ID$396,FO$169,1+SwaptionShift):INDEX($FK$325:$ID$396,FO$169,SwaptionMonthsToGo+SwaptionShift))))))</f>
        <v/>
      </c>
      <c r="FP184" s="479">
        <f ca="1">IF(OR(FP$169&lt;SwaptionFirstMonthPosition+1,$FJ184&lt;SwaptionFirstMonthPosition+1,FP$169&gt;SwaptionFirstMonthPosition+SwaptionNumOfMonths+1,$FJ184&gt;SwaptionFirstMonthPosition+SwaptionNumOfMonths+1),"",IF($FJ184=FP$169,1,IF($FJ184&lt;FP$169,INDEX($FK$170:$ID$241,FP$169,$FJ184),SUMPRODUCT(INDEX($FK$325:$ID$396,FP$169,1+SwaptionShift):INDEX($FK$325:$ID$396,FP$169,SwaptionMonthsToGo+SwaptionShift),INDEX($FK$245:$ID$316,$FJ184-FP$169,73-FP$169+SwaptionShift):INDEX($FK$245:$ID$316,$FJ184-FP$169,72-FP$169+SwaptionMonthsToGo+SwaptionShift))/SQRT(SUM(INDEX($FK339:$ID339,1+SwaptionShift):INDEX($FK339:$ID339,SwaptionMonthsToGo+SwaptionShift))*SUM(INDEX($FK$325:$ID$396,FP$169,1+SwaptionShift):INDEX($FK$325:$ID$396,FP$169,SwaptionMonthsToGo+SwaptionShift))))))</f>
        <v>0.89348923078936893</v>
      </c>
      <c r="FQ184" s="479">
        <f ca="1">IF(OR(FQ$169&lt;SwaptionFirstMonthPosition+1,$FJ184&lt;SwaptionFirstMonthPosition+1,FQ$169&gt;SwaptionFirstMonthPosition+SwaptionNumOfMonths+1,$FJ184&gt;SwaptionFirstMonthPosition+SwaptionNumOfMonths+1),"",IF($FJ184=FQ$169,1,IF($FJ184&lt;FQ$169,INDEX($FK$170:$ID$241,FQ$169,$FJ184),SUMPRODUCT(INDEX($FK$325:$ID$396,FQ$169,1+SwaptionShift):INDEX($FK$325:$ID$396,FQ$169,SwaptionMonthsToGo+SwaptionShift),INDEX($FK$245:$ID$316,$FJ184-FQ$169,73-FQ$169+SwaptionShift):INDEX($FK$245:$ID$316,$FJ184-FQ$169,72-FQ$169+SwaptionMonthsToGo+SwaptionShift))/SQRT(SUM(INDEX($FK339:$ID339,1+SwaptionShift):INDEX($FK339:$ID339,SwaptionMonthsToGo+SwaptionShift))*SUM(INDEX($FK$325:$ID$396,FQ$169,1+SwaptionShift):INDEX($FK$325:$ID$396,FQ$169,SwaptionMonthsToGo+SwaptionShift))))))</f>
        <v>0.91696624904527169</v>
      </c>
      <c r="FR184" s="479">
        <f ca="1">IF(OR(FR$169&lt;SwaptionFirstMonthPosition+1,$FJ184&lt;SwaptionFirstMonthPosition+1,FR$169&gt;SwaptionFirstMonthPosition+SwaptionNumOfMonths+1,$FJ184&gt;SwaptionFirstMonthPosition+SwaptionNumOfMonths+1),"",IF($FJ184=FR$169,1,IF($FJ184&lt;FR$169,INDEX($FK$170:$ID$241,FR$169,$FJ184),SUMPRODUCT(INDEX($FK$325:$ID$396,FR$169,1+SwaptionShift):INDEX($FK$325:$ID$396,FR$169,SwaptionMonthsToGo+SwaptionShift),INDEX($FK$245:$ID$316,$FJ184-FR$169,73-FR$169+SwaptionShift):INDEX($FK$245:$ID$316,$FJ184-FR$169,72-FR$169+SwaptionMonthsToGo+SwaptionShift))/SQRT(SUM(INDEX($FK339:$ID339,1+SwaptionShift):INDEX($FK339:$ID339,SwaptionMonthsToGo+SwaptionShift))*SUM(INDEX($FK$325:$ID$396,FR$169,1+SwaptionShift):INDEX($FK$325:$ID$396,FR$169,SwaptionMonthsToGo+SwaptionShift))))))</f>
        <v>0.93591508554515923</v>
      </c>
      <c r="FS184" s="479">
        <f ca="1">IF(OR(FS$169&lt;SwaptionFirstMonthPosition+1,$FJ184&lt;SwaptionFirstMonthPosition+1,FS$169&gt;SwaptionFirstMonthPosition+SwaptionNumOfMonths+1,$FJ184&gt;SwaptionFirstMonthPosition+SwaptionNumOfMonths+1),"",IF($FJ184=FS$169,1,IF($FJ184&lt;FS$169,INDEX($FK$170:$ID$241,FS$169,$FJ184),SUMPRODUCT(INDEX($FK$325:$ID$396,FS$169,1+SwaptionShift):INDEX($FK$325:$ID$396,FS$169,SwaptionMonthsToGo+SwaptionShift),INDEX($FK$245:$ID$316,$FJ184-FS$169,73-FS$169+SwaptionShift):INDEX($FK$245:$ID$316,$FJ184-FS$169,72-FS$169+SwaptionMonthsToGo+SwaptionShift))/SQRT(SUM(INDEX($FK339:$ID339,1+SwaptionShift):INDEX($FK339:$ID339,SwaptionMonthsToGo+SwaptionShift))*SUM(INDEX($FK$325:$ID$396,FS$169,1+SwaptionShift):INDEX($FK$325:$ID$396,FS$169,SwaptionMonthsToGo+SwaptionShift))))))</f>
        <v>0.95128411004753477</v>
      </c>
      <c r="FT184" s="479">
        <f ca="1">IF(OR(FT$169&lt;SwaptionFirstMonthPosition+1,$FJ184&lt;SwaptionFirstMonthPosition+1,FT$169&gt;SwaptionFirstMonthPosition+SwaptionNumOfMonths+1,$FJ184&gt;SwaptionFirstMonthPosition+SwaptionNumOfMonths+1),"",IF($FJ184=FT$169,1,IF($FJ184&lt;FT$169,INDEX($FK$170:$ID$241,FT$169,$FJ184),SUMPRODUCT(INDEX($FK$325:$ID$396,FT$169,1+SwaptionShift):INDEX($FK$325:$ID$396,FT$169,SwaptionMonthsToGo+SwaptionShift),INDEX($FK$245:$ID$316,$FJ184-FT$169,73-FT$169+SwaptionShift):INDEX($FK$245:$ID$316,$FJ184-FT$169,72-FT$169+SwaptionMonthsToGo+SwaptionShift))/SQRT(SUM(INDEX($FK339:$ID339,1+SwaptionShift):INDEX($FK339:$ID339,SwaptionMonthsToGo+SwaptionShift))*SUM(INDEX($FK$325:$ID$396,FT$169,1+SwaptionShift):INDEX($FK$325:$ID$396,FT$169,SwaptionMonthsToGo+SwaptionShift))))))</f>
        <v>0.96380870497790505</v>
      </c>
      <c r="FU184" s="479">
        <f ca="1">IF(OR(FU$169&lt;SwaptionFirstMonthPosition+1,$FJ184&lt;SwaptionFirstMonthPosition+1,FU$169&gt;SwaptionFirstMonthPosition+SwaptionNumOfMonths+1,$FJ184&gt;SwaptionFirstMonthPosition+SwaptionNumOfMonths+1),"",IF($FJ184=FU$169,1,IF($FJ184&lt;FU$169,INDEX($FK$170:$ID$241,FU$169,$FJ184),SUMPRODUCT(INDEX($FK$325:$ID$396,FU$169,1+SwaptionShift):INDEX($FK$325:$ID$396,FU$169,SwaptionMonthsToGo+SwaptionShift),INDEX($FK$245:$ID$316,$FJ184-FU$169,73-FU$169+SwaptionShift):INDEX($FK$245:$ID$316,$FJ184-FU$169,72-FU$169+SwaptionMonthsToGo+SwaptionShift))/SQRT(SUM(INDEX($FK339:$ID339,1+SwaptionShift):INDEX($FK339:$ID339,SwaptionMonthsToGo+SwaptionShift))*SUM(INDEX($FK$325:$ID$396,FU$169,1+SwaptionShift):INDEX($FK$325:$ID$396,FU$169,SwaptionMonthsToGo+SwaptionShift))))))</f>
        <v>0.97406142084226621</v>
      </c>
      <c r="FV184" s="479">
        <f ca="1">IF(OR(FV$169&lt;SwaptionFirstMonthPosition+1,$FJ184&lt;SwaptionFirstMonthPosition+1,FV$169&gt;SwaptionFirstMonthPosition+SwaptionNumOfMonths+1,$FJ184&gt;SwaptionFirstMonthPosition+SwaptionNumOfMonths+1),"",IF($FJ184=FV$169,1,IF($FJ184&lt;FV$169,INDEX($FK$170:$ID$241,FV$169,$FJ184),SUMPRODUCT(INDEX($FK$325:$ID$396,FV$169,1+SwaptionShift):INDEX($FK$325:$ID$396,FV$169,SwaptionMonthsToGo+SwaptionShift),INDEX($FK$245:$ID$316,$FJ184-FV$169,73-FV$169+SwaptionShift):INDEX($FK$245:$ID$316,$FJ184-FV$169,72-FV$169+SwaptionMonthsToGo+SwaptionShift))/SQRT(SUM(INDEX($FK339:$ID339,1+SwaptionShift):INDEX($FK339:$ID339,SwaptionMonthsToGo+SwaptionShift))*SUM(INDEX($FK$325:$ID$396,FV$169,1+SwaptionShift):INDEX($FK$325:$ID$396,FV$169,SwaptionMonthsToGo+SwaptionShift))))))</f>
        <v>0.98249010570788697</v>
      </c>
      <c r="FW184" s="479">
        <f ca="1">IF(OR(FW$169&lt;SwaptionFirstMonthPosition+1,$FJ184&lt;SwaptionFirstMonthPosition+1,FW$169&gt;SwaptionFirstMonthPosition+SwaptionNumOfMonths+1,$FJ184&gt;SwaptionFirstMonthPosition+SwaptionNumOfMonths+1),"",IF($FJ184=FW$169,1,IF($FJ184&lt;FW$169,INDEX($FK$170:$ID$241,FW$169,$FJ184),SUMPRODUCT(INDEX($FK$325:$ID$396,FW$169,1+SwaptionShift):INDEX($FK$325:$ID$396,FW$169,SwaptionMonthsToGo+SwaptionShift),INDEX($FK$245:$ID$316,$FJ184-FW$169,73-FW$169+SwaptionShift):INDEX($FK$245:$ID$316,$FJ184-FW$169,72-FW$169+SwaptionMonthsToGo+SwaptionShift))/SQRT(SUM(INDEX($FK339:$ID339,1+SwaptionShift):INDEX($FK339:$ID339,SwaptionMonthsToGo+SwaptionShift))*SUM(INDEX($FK$325:$ID$396,FW$169,1+SwaptionShift):INDEX($FK$325:$ID$396,FW$169,SwaptionMonthsToGo+SwaptionShift))))))</f>
        <v>0.98944682260029881</v>
      </c>
      <c r="FX184" s="479">
        <f ca="1">IF(OR(FX$169&lt;SwaptionFirstMonthPosition+1,$FJ184&lt;SwaptionFirstMonthPosition+1,FX$169&gt;SwaptionFirstMonthPosition+SwaptionNumOfMonths+1,$FJ184&gt;SwaptionFirstMonthPosition+SwaptionNumOfMonths+1),"",IF($FJ184=FX$169,1,IF($FJ184&lt;FX$169,INDEX($FK$170:$ID$241,FX$169,$FJ184),SUMPRODUCT(INDEX($FK$325:$ID$396,FX$169,1+SwaptionShift):INDEX($FK$325:$ID$396,FX$169,SwaptionMonthsToGo+SwaptionShift),INDEX($FK$245:$ID$316,$FJ184-FX$169,73-FX$169+SwaptionShift):INDEX($FK$245:$ID$316,$FJ184-FX$169,72-FX$169+SwaptionMonthsToGo+SwaptionShift))/SQRT(SUM(INDEX($FK339:$ID339,1+SwaptionShift):INDEX($FK339:$ID339,SwaptionMonthsToGo+SwaptionShift))*SUM(INDEX($FK$325:$ID$396,FX$169,1+SwaptionShift):INDEX($FK$325:$ID$396,FX$169,SwaptionMonthsToGo+SwaptionShift))))))</f>
        <v>0.99520978142261163</v>
      </c>
      <c r="FY184" s="479">
        <f ca="1">IF(OR(FY$169&lt;SwaptionFirstMonthPosition+1,$FJ184&lt;SwaptionFirstMonthPosition+1,FY$169&gt;SwaptionFirstMonthPosition+SwaptionNumOfMonths+1,$FJ184&gt;SwaptionFirstMonthPosition+SwaptionNumOfMonths+1),"",IF($FJ184=FY$169,1,IF($FJ184&lt;FY$169,INDEX($FK$170:$ID$241,FY$169,$FJ184),SUMPRODUCT(INDEX($FK$325:$ID$396,FY$169,1+SwaptionShift):INDEX($FK$325:$ID$396,FY$169,SwaptionMonthsToGo+SwaptionShift),INDEX($FK$245:$ID$316,$FJ184-FY$169,73-FY$169+SwaptionShift):INDEX($FK$245:$ID$316,$FJ184-FY$169,72-FY$169+SwaptionMonthsToGo+SwaptionShift))/SQRT(SUM(INDEX($FK339:$ID339,1+SwaptionShift):INDEX($FK339:$ID339,SwaptionMonthsToGo+SwaptionShift))*SUM(INDEX($FK$325:$ID$396,FY$169,1+SwaptionShift):INDEX($FK$325:$ID$396,FY$169,SwaptionMonthsToGo+SwaptionShift))))))</f>
        <v>1</v>
      </c>
      <c r="FZ184" s="479">
        <f ca="1">IF(OR(FZ$169&lt;SwaptionFirstMonthPosition+1,$FJ184&lt;SwaptionFirstMonthPosition+1,FZ$169&gt;SwaptionFirstMonthPosition+SwaptionNumOfMonths+1,$FJ184&gt;SwaptionFirstMonthPosition+SwaptionNumOfMonths+1),"",IF($FJ184=FZ$169,1,IF($FJ184&lt;FZ$169,INDEX($FK$170:$ID$241,FZ$169,$FJ184),SUMPRODUCT(INDEX($FK$325:$ID$396,FZ$169,1+SwaptionShift):INDEX($FK$325:$ID$396,FZ$169,SwaptionMonthsToGo+SwaptionShift),INDEX($FK$245:$ID$316,$FJ184-FZ$169,73-FZ$169+SwaptionShift):INDEX($FK$245:$ID$316,$FJ184-FZ$169,72-FZ$169+SwaptionMonthsToGo+SwaptionShift))/SQRT(SUM(INDEX($FK339:$ID339,1+SwaptionShift):INDEX($FK339:$ID339,SwaptionMonthsToGo+SwaptionShift))*SUM(INDEX($FK$325:$ID$396,FZ$169,1+SwaptionShift):INDEX($FK$325:$ID$396,FZ$169,SwaptionMonthsToGo+SwaptionShift))))))</f>
        <v>0.99600377048077493</v>
      </c>
      <c r="GA184" s="479">
        <f ca="1">IF(OR(GA$169&lt;SwaptionFirstMonthPosition+1,$FJ184&lt;SwaptionFirstMonthPosition+1,GA$169&gt;SwaptionFirstMonthPosition+SwaptionNumOfMonths+1,$FJ184&gt;SwaptionFirstMonthPosition+SwaptionNumOfMonths+1),"",IF($FJ184=GA$169,1,IF($FJ184&lt;GA$169,INDEX($FK$170:$ID$241,GA$169,$FJ184),SUMPRODUCT(INDEX($FK$325:$ID$396,GA$169,1+SwaptionShift):INDEX($FK$325:$ID$396,GA$169,SwaptionMonthsToGo+SwaptionShift),INDEX($FK$245:$ID$316,$FJ184-GA$169,73-GA$169+SwaptionShift):INDEX($FK$245:$ID$316,$FJ184-GA$169,72-GA$169+SwaptionMonthsToGo+SwaptionShift))/SQRT(SUM(INDEX($FK339:$ID339,1+SwaptionShift):INDEX($FK339:$ID339,SwaptionMonthsToGo+SwaptionShift))*SUM(INDEX($FK$325:$ID$396,GA$169,1+SwaptionShift):INDEX($FK$325:$ID$396,GA$169,SwaptionMonthsToGo+SwaptionShift))))))</f>
        <v>0.99265811921343916</v>
      </c>
      <c r="GB184" s="479">
        <f ca="1">IF(OR(GB$169&lt;SwaptionFirstMonthPosition+1,$FJ184&lt;SwaptionFirstMonthPosition+1,GB$169&gt;SwaptionFirstMonthPosition+SwaptionNumOfMonths+1,$FJ184&gt;SwaptionFirstMonthPosition+SwaptionNumOfMonths+1),"",IF($FJ184=GB$169,1,IF($FJ184&lt;GB$169,INDEX($FK$170:$ID$241,GB$169,$FJ184),SUMPRODUCT(INDEX($FK$325:$ID$396,GB$169,1+SwaptionShift):INDEX($FK$325:$ID$396,GB$169,SwaptionMonthsToGo+SwaptionShift),INDEX($FK$245:$ID$316,$FJ184-GB$169,73-GB$169+SwaptionShift):INDEX($FK$245:$ID$316,$FJ184-GB$169,72-GB$169+SwaptionMonthsToGo+SwaptionShift))/SQRT(SUM(INDEX($FK339:$ID339,1+SwaptionShift):INDEX($FK339:$ID339,SwaptionMonthsToGo+SwaptionShift))*SUM(INDEX($FK$325:$ID$396,GB$169,1+SwaptionShift):INDEX($FK$325:$ID$396,GB$169,SwaptionMonthsToGo+SwaptionShift))))))</f>
        <v>0.98984967992268791</v>
      </c>
      <c r="GC184" s="479" t="str">
        <f ca="1">IF(OR(GC$169&lt;SwaptionFirstMonthPosition+1,$FJ184&lt;SwaptionFirstMonthPosition+1,GC$169&gt;SwaptionFirstMonthPosition+SwaptionNumOfMonths+1,$FJ184&gt;SwaptionFirstMonthPosition+SwaptionNumOfMonths+1),"",IF($FJ184=GC$169,1,IF($FJ184&lt;GC$169,INDEX($FK$170:$ID$241,GC$169,$FJ184),SUMPRODUCT(INDEX($FK$325:$ID$396,GC$169,1+SwaptionShift):INDEX($FK$325:$ID$396,GC$169,SwaptionMonthsToGo+SwaptionShift),INDEX($FK$245:$ID$316,$FJ184-GC$169,73-GC$169+SwaptionShift):INDEX($FK$245:$ID$316,$FJ184-GC$169,72-GC$169+SwaptionMonthsToGo+SwaptionShift))/SQRT(SUM(INDEX($FK339:$ID339,1+SwaptionShift):INDEX($FK339:$ID339,SwaptionMonthsToGo+SwaptionShift))*SUM(INDEX($FK$325:$ID$396,GC$169,1+SwaptionShift):INDEX($FK$325:$ID$396,GC$169,SwaptionMonthsToGo+SwaptionShift))))))</f>
        <v/>
      </c>
      <c r="GD184" s="479" t="str">
        <f ca="1">IF(OR(GD$169&lt;SwaptionFirstMonthPosition+1,$FJ184&lt;SwaptionFirstMonthPosition+1,GD$169&gt;SwaptionFirstMonthPosition+SwaptionNumOfMonths+1,$FJ184&gt;SwaptionFirstMonthPosition+SwaptionNumOfMonths+1),"",IF($FJ184=GD$169,1,IF($FJ184&lt;GD$169,INDEX($FK$170:$ID$241,GD$169,$FJ184),SUMPRODUCT(INDEX($FK$325:$ID$396,GD$169,1+SwaptionShift):INDEX($FK$325:$ID$396,GD$169,SwaptionMonthsToGo+SwaptionShift),INDEX($FK$245:$ID$316,$FJ184-GD$169,73-GD$169+SwaptionShift):INDEX($FK$245:$ID$316,$FJ184-GD$169,72-GD$169+SwaptionMonthsToGo+SwaptionShift))/SQRT(SUM(INDEX($FK339:$ID339,1+SwaptionShift):INDEX($FK339:$ID339,SwaptionMonthsToGo+SwaptionShift))*SUM(INDEX($FK$325:$ID$396,GD$169,1+SwaptionShift):INDEX($FK$325:$ID$396,GD$169,SwaptionMonthsToGo+SwaptionShift))))))</f>
        <v/>
      </c>
      <c r="GE184" s="479" t="str">
        <f ca="1">IF(OR(GE$169&lt;SwaptionFirstMonthPosition+1,$FJ184&lt;SwaptionFirstMonthPosition+1,GE$169&gt;SwaptionFirstMonthPosition+SwaptionNumOfMonths+1,$FJ184&gt;SwaptionFirstMonthPosition+SwaptionNumOfMonths+1),"",IF($FJ184=GE$169,1,IF($FJ184&lt;GE$169,INDEX($FK$170:$ID$241,GE$169,$FJ184),SUMPRODUCT(INDEX($FK$325:$ID$396,GE$169,1+SwaptionShift):INDEX($FK$325:$ID$396,GE$169,SwaptionMonthsToGo+SwaptionShift),INDEX($FK$245:$ID$316,$FJ184-GE$169,73-GE$169+SwaptionShift):INDEX($FK$245:$ID$316,$FJ184-GE$169,72-GE$169+SwaptionMonthsToGo+SwaptionShift))/SQRT(SUM(INDEX($FK339:$ID339,1+SwaptionShift):INDEX($FK339:$ID339,SwaptionMonthsToGo+SwaptionShift))*SUM(INDEX($FK$325:$ID$396,GE$169,1+SwaptionShift):INDEX($FK$325:$ID$396,GE$169,SwaptionMonthsToGo+SwaptionShift))))))</f>
        <v/>
      </c>
      <c r="GF184" s="479" t="str">
        <f ca="1">IF(OR(GF$169&lt;SwaptionFirstMonthPosition+1,$FJ184&lt;SwaptionFirstMonthPosition+1,GF$169&gt;SwaptionFirstMonthPosition+SwaptionNumOfMonths+1,$FJ184&gt;SwaptionFirstMonthPosition+SwaptionNumOfMonths+1),"",IF($FJ184=GF$169,1,IF($FJ184&lt;GF$169,INDEX($FK$170:$ID$241,GF$169,$FJ184),SUMPRODUCT(INDEX($FK$325:$ID$396,GF$169,1+SwaptionShift):INDEX($FK$325:$ID$396,GF$169,SwaptionMonthsToGo+SwaptionShift),INDEX($FK$245:$ID$316,$FJ184-GF$169,73-GF$169+SwaptionShift):INDEX($FK$245:$ID$316,$FJ184-GF$169,72-GF$169+SwaptionMonthsToGo+SwaptionShift))/SQRT(SUM(INDEX($FK339:$ID339,1+SwaptionShift):INDEX($FK339:$ID339,SwaptionMonthsToGo+SwaptionShift))*SUM(INDEX($FK$325:$ID$396,GF$169,1+SwaptionShift):INDEX($FK$325:$ID$396,GF$169,SwaptionMonthsToGo+SwaptionShift))))))</f>
        <v/>
      </c>
      <c r="GG184" s="479" t="str">
        <f ca="1">IF(OR(GG$169&lt;SwaptionFirstMonthPosition+1,$FJ184&lt;SwaptionFirstMonthPosition+1,GG$169&gt;SwaptionFirstMonthPosition+SwaptionNumOfMonths+1,$FJ184&gt;SwaptionFirstMonthPosition+SwaptionNumOfMonths+1),"",IF($FJ184=GG$169,1,IF($FJ184&lt;GG$169,INDEX($FK$170:$ID$241,GG$169,$FJ184),SUMPRODUCT(INDEX($FK$325:$ID$396,GG$169,1+SwaptionShift):INDEX($FK$325:$ID$396,GG$169,SwaptionMonthsToGo+SwaptionShift),INDEX($FK$245:$ID$316,$FJ184-GG$169,73-GG$169+SwaptionShift):INDEX($FK$245:$ID$316,$FJ184-GG$169,72-GG$169+SwaptionMonthsToGo+SwaptionShift))/SQRT(SUM(INDEX($FK339:$ID339,1+SwaptionShift):INDEX($FK339:$ID339,SwaptionMonthsToGo+SwaptionShift))*SUM(INDEX($FK$325:$ID$396,GG$169,1+SwaptionShift):INDEX($FK$325:$ID$396,GG$169,SwaptionMonthsToGo+SwaptionShift))))))</f>
        <v/>
      </c>
      <c r="GH184" s="479" t="str">
        <f ca="1">IF(OR(GH$169&lt;SwaptionFirstMonthPosition+1,$FJ184&lt;SwaptionFirstMonthPosition+1,GH$169&gt;SwaptionFirstMonthPosition+SwaptionNumOfMonths+1,$FJ184&gt;SwaptionFirstMonthPosition+SwaptionNumOfMonths+1),"",IF($FJ184=GH$169,1,IF($FJ184&lt;GH$169,INDEX($FK$170:$ID$241,GH$169,$FJ184),SUMPRODUCT(INDEX($FK$325:$ID$396,GH$169,1+SwaptionShift):INDEX($FK$325:$ID$396,GH$169,SwaptionMonthsToGo+SwaptionShift),INDEX($FK$245:$ID$316,$FJ184-GH$169,73-GH$169+SwaptionShift):INDEX($FK$245:$ID$316,$FJ184-GH$169,72-GH$169+SwaptionMonthsToGo+SwaptionShift))/SQRT(SUM(INDEX($FK339:$ID339,1+SwaptionShift):INDEX($FK339:$ID339,SwaptionMonthsToGo+SwaptionShift))*SUM(INDEX($FK$325:$ID$396,GH$169,1+SwaptionShift):INDEX($FK$325:$ID$396,GH$169,SwaptionMonthsToGo+SwaptionShift))))))</f>
        <v/>
      </c>
      <c r="GI184" s="479" t="str">
        <f ca="1">IF(OR(GI$169&lt;SwaptionFirstMonthPosition+1,$FJ184&lt;SwaptionFirstMonthPosition+1,GI$169&gt;SwaptionFirstMonthPosition+SwaptionNumOfMonths+1,$FJ184&gt;SwaptionFirstMonthPosition+SwaptionNumOfMonths+1),"",IF($FJ184=GI$169,1,IF($FJ184&lt;GI$169,INDEX($FK$170:$ID$241,GI$169,$FJ184),SUMPRODUCT(INDEX($FK$325:$ID$396,GI$169,1+SwaptionShift):INDEX($FK$325:$ID$396,GI$169,SwaptionMonthsToGo+SwaptionShift),INDEX($FK$245:$ID$316,$FJ184-GI$169,73-GI$169+SwaptionShift):INDEX($FK$245:$ID$316,$FJ184-GI$169,72-GI$169+SwaptionMonthsToGo+SwaptionShift))/SQRT(SUM(INDEX($FK339:$ID339,1+SwaptionShift):INDEX($FK339:$ID339,SwaptionMonthsToGo+SwaptionShift))*SUM(INDEX($FK$325:$ID$396,GI$169,1+SwaptionShift):INDEX($FK$325:$ID$396,GI$169,SwaptionMonthsToGo+SwaptionShift))))))</f>
        <v/>
      </c>
      <c r="GJ184" s="479" t="str">
        <f ca="1">IF(OR(GJ$169&lt;SwaptionFirstMonthPosition+1,$FJ184&lt;SwaptionFirstMonthPosition+1,GJ$169&gt;SwaptionFirstMonthPosition+SwaptionNumOfMonths+1,$FJ184&gt;SwaptionFirstMonthPosition+SwaptionNumOfMonths+1),"",IF($FJ184=GJ$169,1,IF($FJ184&lt;GJ$169,INDEX($FK$170:$ID$241,GJ$169,$FJ184),SUMPRODUCT(INDEX($FK$325:$ID$396,GJ$169,1+SwaptionShift):INDEX($FK$325:$ID$396,GJ$169,SwaptionMonthsToGo+SwaptionShift),INDEX($FK$245:$ID$316,$FJ184-GJ$169,73-GJ$169+SwaptionShift):INDEX($FK$245:$ID$316,$FJ184-GJ$169,72-GJ$169+SwaptionMonthsToGo+SwaptionShift))/SQRT(SUM(INDEX($FK339:$ID339,1+SwaptionShift):INDEX($FK339:$ID339,SwaptionMonthsToGo+SwaptionShift))*SUM(INDEX($FK$325:$ID$396,GJ$169,1+SwaptionShift):INDEX($FK$325:$ID$396,GJ$169,SwaptionMonthsToGo+SwaptionShift))))))</f>
        <v/>
      </c>
      <c r="GK184" s="479" t="str">
        <f ca="1">IF(OR(GK$169&lt;SwaptionFirstMonthPosition+1,$FJ184&lt;SwaptionFirstMonthPosition+1,GK$169&gt;SwaptionFirstMonthPosition+SwaptionNumOfMonths+1,$FJ184&gt;SwaptionFirstMonthPosition+SwaptionNumOfMonths+1),"",IF($FJ184=GK$169,1,IF($FJ184&lt;GK$169,INDEX($FK$170:$ID$241,GK$169,$FJ184),SUMPRODUCT(INDEX($FK$325:$ID$396,GK$169,1+SwaptionShift):INDEX($FK$325:$ID$396,GK$169,SwaptionMonthsToGo+SwaptionShift),INDEX($FK$245:$ID$316,$FJ184-GK$169,73-GK$169+SwaptionShift):INDEX($FK$245:$ID$316,$FJ184-GK$169,72-GK$169+SwaptionMonthsToGo+SwaptionShift))/SQRT(SUM(INDEX($FK339:$ID339,1+SwaptionShift):INDEX($FK339:$ID339,SwaptionMonthsToGo+SwaptionShift))*SUM(INDEX($FK$325:$ID$396,GK$169,1+SwaptionShift):INDEX($FK$325:$ID$396,GK$169,SwaptionMonthsToGo+SwaptionShift))))))</f>
        <v/>
      </c>
      <c r="GL184" s="479" t="str">
        <f ca="1">IF(OR(GL$169&lt;SwaptionFirstMonthPosition+1,$FJ184&lt;SwaptionFirstMonthPosition+1,GL$169&gt;SwaptionFirstMonthPosition+SwaptionNumOfMonths+1,$FJ184&gt;SwaptionFirstMonthPosition+SwaptionNumOfMonths+1),"",IF($FJ184=GL$169,1,IF($FJ184&lt;GL$169,INDEX($FK$170:$ID$241,GL$169,$FJ184),SUMPRODUCT(INDEX($FK$325:$ID$396,GL$169,1+SwaptionShift):INDEX($FK$325:$ID$396,GL$169,SwaptionMonthsToGo+SwaptionShift),INDEX($FK$245:$ID$316,$FJ184-GL$169,73-GL$169+SwaptionShift):INDEX($FK$245:$ID$316,$FJ184-GL$169,72-GL$169+SwaptionMonthsToGo+SwaptionShift))/SQRT(SUM(INDEX($FK339:$ID339,1+SwaptionShift):INDEX($FK339:$ID339,SwaptionMonthsToGo+SwaptionShift))*SUM(INDEX($FK$325:$ID$396,GL$169,1+SwaptionShift):INDEX($FK$325:$ID$396,GL$169,SwaptionMonthsToGo+SwaptionShift))))))</f>
        <v/>
      </c>
      <c r="GM184" s="479" t="str">
        <f ca="1">IF(OR(GM$169&lt;SwaptionFirstMonthPosition+1,$FJ184&lt;SwaptionFirstMonthPosition+1,GM$169&gt;SwaptionFirstMonthPosition+SwaptionNumOfMonths+1,$FJ184&gt;SwaptionFirstMonthPosition+SwaptionNumOfMonths+1),"",IF($FJ184=GM$169,1,IF($FJ184&lt;GM$169,INDEX($FK$170:$ID$241,GM$169,$FJ184),SUMPRODUCT(INDEX($FK$325:$ID$396,GM$169,1+SwaptionShift):INDEX($FK$325:$ID$396,GM$169,SwaptionMonthsToGo+SwaptionShift),INDEX($FK$245:$ID$316,$FJ184-GM$169,73-GM$169+SwaptionShift):INDEX($FK$245:$ID$316,$FJ184-GM$169,72-GM$169+SwaptionMonthsToGo+SwaptionShift))/SQRT(SUM(INDEX($FK339:$ID339,1+SwaptionShift):INDEX($FK339:$ID339,SwaptionMonthsToGo+SwaptionShift))*SUM(INDEX($FK$325:$ID$396,GM$169,1+SwaptionShift):INDEX($FK$325:$ID$396,GM$169,SwaptionMonthsToGo+SwaptionShift))))))</f>
        <v/>
      </c>
      <c r="GN184" s="479" t="str">
        <f ca="1">IF(OR(GN$169&lt;SwaptionFirstMonthPosition+1,$FJ184&lt;SwaptionFirstMonthPosition+1,GN$169&gt;SwaptionFirstMonthPosition+SwaptionNumOfMonths+1,$FJ184&gt;SwaptionFirstMonthPosition+SwaptionNumOfMonths+1),"",IF($FJ184=GN$169,1,IF($FJ184&lt;GN$169,INDEX($FK$170:$ID$241,GN$169,$FJ184),SUMPRODUCT(INDEX($FK$325:$ID$396,GN$169,1+SwaptionShift):INDEX($FK$325:$ID$396,GN$169,SwaptionMonthsToGo+SwaptionShift),INDEX($FK$245:$ID$316,$FJ184-GN$169,73-GN$169+SwaptionShift):INDEX($FK$245:$ID$316,$FJ184-GN$169,72-GN$169+SwaptionMonthsToGo+SwaptionShift))/SQRT(SUM(INDEX($FK339:$ID339,1+SwaptionShift):INDEX($FK339:$ID339,SwaptionMonthsToGo+SwaptionShift))*SUM(INDEX($FK$325:$ID$396,GN$169,1+SwaptionShift):INDEX($FK$325:$ID$396,GN$169,SwaptionMonthsToGo+SwaptionShift))))))</f>
        <v/>
      </c>
      <c r="GO184" s="479" t="str">
        <f ca="1">IF(OR(GO$169&lt;SwaptionFirstMonthPosition+1,$FJ184&lt;SwaptionFirstMonthPosition+1,GO$169&gt;SwaptionFirstMonthPosition+SwaptionNumOfMonths+1,$FJ184&gt;SwaptionFirstMonthPosition+SwaptionNumOfMonths+1),"",IF($FJ184=GO$169,1,IF($FJ184&lt;GO$169,INDEX($FK$170:$ID$241,GO$169,$FJ184),SUMPRODUCT(INDEX($FK$325:$ID$396,GO$169,1+SwaptionShift):INDEX($FK$325:$ID$396,GO$169,SwaptionMonthsToGo+SwaptionShift),INDEX($FK$245:$ID$316,$FJ184-GO$169,73-GO$169+SwaptionShift):INDEX($FK$245:$ID$316,$FJ184-GO$169,72-GO$169+SwaptionMonthsToGo+SwaptionShift))/SQRT(SUM(INDEX($FK339:$ID339,1+SwaptionShift):INDEX($FK339:$ID339,SwaptionMonthsToGo+SwaptionShift))*SUM(INDEX($FK$325:$ID$396,GO$169,1+SwaptionShift):INDEX($FK$325:$ID$396,GO$169,SwaptionMonthsToGo+SwaptionShift))))))</f>
        <v/>
      </c>
      <c r="GP184" s="479" t="str">
        <f ca="1">IF(OR(GP$169&lt;SwaptionFirstMonthPosition+1,$FJ184&lt;SwaptionFirstMonthPosition+1,GP$169&gt;SwaptionFirstMonthPosition+SwaptionNumOfMonths+1,$FJ184&gt;SwaptionFirstMonthPosition+SwaptionNumOfMonths+1),"",IF($FJ184=GP$169,1,IF($FJ184&lt;GP$169,INDEX($FK$170:$ID$241,GP$169,$FJ184),SUMPRODUCT(INDEX($FK$325:$ID$396,GP$169,1+SwaptionShift):INDEX($FK$325:$ID$396,GP$169,SwaptionMonthsToGo+SwaptionShift),INDEX($FK$245:$ID$316,$FJ184-GP$169,73-GP$169+SwaptionShift):INDEX($FK$245:$ID$316,$FJ184-GP$169,72-GP$169+SwaptionMonthsToGo+SwaptionShift))/SQRT(SUM(INDEX($FK339:$ID339,1+SwaptionShift):INDEX($FK339:$ID339,SwaptionMonthsToGo+SwaptionShift))*SUM(INDEX($FK$325:$ID$396,GP$169,1+SwaptionShift):INDEX($FK$325:$ID$396,GP$169,SwaptionMonthsToGo+SwaptionShift))))))</f>
        <v/>
      </c>
      <c r="GQ184" s="479" t="str">
        <f ca="1">IF(OR(GQ$169&lt;SwaptionFirstMonthPosition+1,$FJ184&lt;SwaptionFirstMonthPosition+1,GQ$169&gt;SwaptionFirstMonthPosition+SwaptionNumOfMonths+1,$FJ184&gt;SwaptionFirstMonthPosition+SwaptionNumOfMonths+1),"",IF($FJ184=GQ$169,1,IF($FJ184&lt;GQ$169,INDEX($FK$170:$ID$241,GQ$169,$FJ184),SUMPRODUCT(INDEX($FK$325:$ID$396,GQ$169,1+SwaptionShift):INDEX($FK$325:$ID$396,GQ$169,SwaptionMonthsToGo+SwaptionShift),INDEX($FK$245:$ID$316,$FJ184-GQ$169,73-GQ$169+SwaptionShift):INDEX($FK$245:$ID$316,$FJ184-GQ$169,72-GQ$169+SwaptionMonthsToGo+SwaptionShift))/SQRT(SUM(INDEX($FK339:$ID339,1+SwaptionShift):INDEX($FK339:$ID339,SwaptionMonthsToGo+SwaptionShift))*SUM(INDEX($FK$325:$ID$396,GQ$169,1+SwaptionShift):INDEX($FK$325:$ID$396,GQ$169,SwaptionMonthsToGo+SwaptionShift))))))</f>
        <v/>
      </c>
      <c r="GR184" s="479" t="str">
        <f ca="1">IF(OR(GR$169&lt;SwaptionFirstMonthPosition+1,$FJ184&lt;SwaptionFirstMonthPosition+1,GR$169&gt;SwaptionFirstMonthPosition+SwaptionNumOfMonths+1,$FJ184&gt;SwaptionFirstMonthPosition+SwaptionNumOfMonths+1),"",IF($FJ184=GR$169,1,IF($FJ184&lt;GR$169,INDEX($FK$170:$ID$241,GR$169,$FJ184),SUMPRODUCT(INDEX($FK$325:$ID$396,GR$169,1+SwaptionShift):INDEX($FK$325:$ID$396,GR$169,SwaptionMonthsToGo+SwaptionShift),INDEX($FK$245:$ID$316,$FJ184-GR$169,73-GR$169+SwaptionShift):INDEX($FK$245:$ID$316,$FJ184-GR$169,72-GR$169+SwaptionMonthsToGo+SwaptionShift))/SQRT(SUM(INDEX($FK339:$ID339,1+SwaptionShift):INDEX($FK339:$ID339,SwaptionMonthsToGo+SwaptionShift))*SUM(INDEX($FK$325:$ID$396,GR$169,1+SwaptionShift):INDEX($FK$325:$ID$396,GR$169,SwaptionMonthsToGo+SwaptionShift))))))</f>
        <v/>
      </c>
      <c r="GS184" s="479" t="str">
        <f ca="1">IF(OR(GS$169&lt;SwaptionFirstMonthPosition+1,$FJ184&lt;SwaptionFirstMonthPosition+1,GS$169&gt;SwaptionFirstMonthPosition+SwaptionNumOfMonths+1,$FJ184&gt;SwaptionFirstMonthPosition+SwaptionNumOfMonths+1),"",IF($FJ184=GS$169,1,IF($FJ184&lt;GS$169,INDEX($FK$170:$ID$241,GS$169,$FJ184),SUMPRODUCT(INDEX($FK$325:$ID$396,GS$169,1+SwaptionShift):INDEX($FK$325:$ID$396,GS$169,SwaptionMonthsToGo+SwaptionShift),INDEX($FK$245:$ID$316,$FJ184-GS$169,73-GS$169+SwaptionShift):INDEX($FK$245:$ID$316,$FJ184-GS$169,72-GS$169+SwaptionMonthsToGo+SwaptionShift))/SQRT(SUM(INDEX($FK339:$ID339,1+SwaptionShift):INDEX($FK339:$ID339,SwaptionMonthsToGo+SwaptionShift))*SUM(INDEX($FK$325:$ID$396,GS$169,1+SwaptionShift):INDEX($FK$325:$ID$396,GS$169,SwaptionMonthsToGo+SwaptionShift))))))</f>
        <v/>
      </c>
      <c r="GT184" s="479" t="str">
        <f ca="1">IF(OR(GT$169&lt;SwaptionFirstMonthPosition+1,$FJ184&lt;SwaptionFirstMonthPosition+1,GT$169&gt;SwaptionFirstMonthPosition+SwaptionNumOfMonths+1,$FJ184&gt;SwaptionFirstMonthPosition+SwaptionNumOfMonths+1),"",IF($FJ184=GT$169,1,IF($FJ184&lt;GT$169,INDEX($FK$170:$ID$241,GT$169,$FJ184),SUMPRODUCT(INDEX($FK$325:$ID$396,GT$169,1+SwaptionShift):INDEX($FK$325:$ID$396,GT$169,SwaptionMonthsToGo+SwaptionShift),INDEX($FK$245:$ID$316,$FJ184-GT$169,73-GT$169+SwaptionShift):INDEX($FK$245:$ID$316,$FJ184-GT$169,72-GT$169+SwaptionMonthsToGo+SwaptionShift))/SQRT(SUM(INDEX($FK339:$ID339,1+SwaptionShift):INDEX($FK339:$ID339,SwaptionMonthsToGo+SwaptionShift))*SUM(INDEX($FK$325:$ID$396,GT$169,1+SwaptionShift):INDEX($FK$325:$ID$396,GT$169,SwaptionMonthsToGo+SwaptionShift))))))</f>
        <v/>
      </c>
      <c r="GU184" s="479" t="str">
        <f ca="1">IF(OR(GU$169&lt;SwaptionFirstMonthPosition+1,$FJ184&lt;SwaptionFirstMonthPosition+1,GU$169&gt;SwaptionFirstMonthPosition+SwaptionNumOfMonths+1,$FJ184&gt;SwaptionFirstMonthPosition+SwaptionNumOfMonths+1),"",IF($FJ184=GU$169,1,IF($FJ184&lt;GU$169,INDEX($FK$170:$ID$241,GU$169,$FJ184),SUMPRODUCT(INDEX($FK$325:$ID$396,GU$169,1+SwaptionShift):INDEX($FK$325:$ID$396,GU$169,SwaptionMonthsToGo+SwaptionShift),INDEX($FK$245:$ID$316,$FJ184-GU$169,73-GU$169+SwaptionShift):INDEX($FK$245:$ID$316,$FJ184-GU$169,72-GU$169+SwaptionMonthsToGo+SwaptionShift))/SQRT(SUM(INDEX($FK339:$ID339,1+SwaptionShift):INDEX($FK339:$ID339,SwaptionMonthsToGo+SwaptionShift))*SUM(INDEX($FK$325:$ID$396,GU$169,1+SwaptionShift):INDEX($FK$325:$ID$396,GU$169,SwaptionMonthsToGo+SwaptionShift))))))</f>
        <v/>
      </c>
      <c r="GV184" s="479" t="str">
        <f ca="1">IF(OR(GV$169&lt;SwaptionFirstMonthPosition+1,$FJ184&lt;SwaptionFirstMonthPosition+1,GV$169&gt;SwaptionFirstMonthPosition+SwaptionNumOfMonths+1,$FJ184&gt;SwaptionFirstMonthPosition+SwaptionNumOfMonths+1),"",IF($FJ184=GV$169,1,IF($FJ184&lt;GV$169,INDEX($FK$170:$ID$241,GV$169,$FJ184),SUMPRODUCT(INDEX($FK$325:$ID$396,GV$169,1+SwaptionShift):INDEX($FK$325:$ID$396,GV$169,SwaptionMonthsToGo+SwaptionShift),INDEX($FK$245:$ID$316,$FJ184-GV$169,73-GV$169+SwaptionShift):INDEX($FK$245:$ID$316,$FJ184-GV$169,72-GV$169+SwaptionMonthsToGo+SwaptionShift))/SQRT(SUM(INDEX($FK339:$ID339,1+SwaptionShift):INDEX($FK339:$ID339,SwaptionMonthsToGo+SwaptionShift))*SUM(INDEX($FK$325:$ID$396,GV$169,1+SwaptionShift):INDEX($FK$325:$ID$396,GV$169,SwaptionMonthsToGo+SwaptionShift))))))</f>
        <v/>
      </c>
      <c r="GW184" s="479" t="str">
        <f ca="1">IF(OR(GW$169&lt;SwaptionFirstMonthPosition+1,$FJ184&lt;SwaptionFirstMonthPosition+1,GW$169&gt;SwaptionFirstMonthPosition+SwaptionNumOfMonths+1,$FJ184&gt;SwaptionFirstMonthPosition+SwaptionNumOfMonths+1),"",IF($FJ184=GW$169,1,IF($FJ184&lt;GW$169,INDEX($FK$170:$ID$241,GW$169,$FJ184),SUMPRODUCT(INDEX($FK$325:$ID$396,GW$169,1+SwaptionShift):INDEX($FK$325:$ID$396,GW$169,SwaptionMonthsToGo+SwaptionShift),INDEX($FK$245:$ID$316,$FJ184-GW$169,73-GW$169+SwaptionShift):INDEX($FK$245:$ID$316,$FJ184-GW$169,72-GW$169+SwaptionMonthsToGo+SwaptionShift))/SQRT(SUM(INDEX($FK339:$ID339,1+SwaptionShift):INDEX($FK339:$ID339,SwaptionMonthsToGo+SwaptionShift))*SUM(INDEX($FK$325:$ID$396,GW$169,1+SwaptionShift):INDEX($FK$325:$ID$396,GW$169,SwaptionMonthsToGo+SwaptionShift))))))</f>
        <v/>
      </c>
      <c r="GX184" s="479" t="str">
        <f ca="1">IF(OR(GX$169&lt;SwaptionFirstMonthPosition+1,$FJ184&lt;SwaptionFirstMonthPosition+1,GX$169&gt;SwaptionFirstMonthPosition+SwaptionNumOfMonths+1,$FJ184&gt;SwaptionFirstMonthPosition+SwaptionNumOfMonths+1),"",IF($FJ184=GX$169,1,IF($FJ184&lt;GX$169,INDEX($FK$170:$ID$241,GX$169,$FJ184),SUMPRODUCT(INDEX($FK$325:$ID$396,GX$169,1+SwaptionShift):INDEX($FK$325:$ID$396,GX$169,SwaptionMonthsToGo+SwaptionShift),INDEX($FK$245:$ID$316,$FJ184-GX$169,73-GX$169+SwaptionShift):INDEX($FK$245:$ID$316,$FJ184-GX$169,72-GX$169+SwaptionMonthsToGo+SwaptionShift))/SQRT(SUM(INDEX($FK339:$ID339,1+SwaptionShift):INDEX($FK339:$ID339,SwaptionMonthsToGo+SwaptionShift))*SUM(INDEX($FK$325:$ID$396,GX$169,1+SwaptionShift):INDEX($FK$325:$ID$396,GX$169,SwaptionMonthsToGo+SwaptionShift))))))</f>
        <v/>
      </c>
      <c r="GY184" s="479" t="str">
        <f ca="1">IF(OR(GY$169&lt;SwaptionFirstMonthPosition+1,$FJ184&lt;SwaptionFirstMonthPosition+1,GY$169&gt;SwaptionFirstMonthPosition+SwaptionNumOfMonths+1,$FJ184&gt;SwaptionFirstMonthPosition+SwaptionNumOfMonths+1),"",IF($FJ184=GY$169,1,IF($FJ184&lt;GY$169,INDEX($FK$170:$ID$241,GY$169,$FJ184),SUMPRODUCT(INDEX($FK$325:$ID$396,GY$169,1+SwaptionShift):INDEX($FK$325:$ID$396,GY$169,SwaptionMonthsToGo+SwaptionShift),INDEX($FK$245:$ID$316,$FJ184-GY$169,73-GY$169+SwaptionShift):INDEX($FK$245:$ID$316,$FJ184-GY$169,72-GY$169+SwaptionMonthsToGo+SwaptionShift))/SQRT(SUM(INDEX($FK339:$ID339,1+SwaptionShift):INDEX($FK339:$ID339,SwaptionMonthsToGo+SwaptionShift))*SUM(INDEX($FK$325:$ID$396,GY$169,1+SwaptionShift):INDEX($FK$325:$ID$396,GY$169,SwaptionMonthsToGo+SwaptionShift))))))</f>
        <v/>
      </c>
      <c r="GZ184" s="479" t="str">
        <f ca="1">IF(OR(GZ$169&lt;SwaptionFirstMonthPosition+1,$FJ184&lt;SwaptionFirstMonthPosition+1,GZ$169&gt;SwaptionFirstMonthPosition+SwaptionNumOfMonths+1,$FJ184&gt;SwaptionFirstMonthPosition+SwaptionNumOfMonths+1),"",IF($FJ184=GZ$169,1,IF($FJ184&lt;GZ$169,INDEX($FK$170:$ID$241,GZ$169,$FJ184),SUMPRODUCT(INDEX($FK$325:$ID$396,GZ$169,1+SwaptionShift):INDEX($FK$325:$ID$396,GZ$169,SwaptionMonthsToGo+SwaptionShift),INDEX($FK$245:$ID$316,$FJ184-GZ$169,73-GZ$169+SwaptionShift):INDEX($FK$245:$ID$316,$FJ184-GZ$169,72-GZ$169+SwaptionMonthsToGo+SwaptionShift))/SQRT(SUM(INDEX($FK339:$ID339,1+SwaptionShift):INDEX($FK339:$ID339,SwaptionMonthsToGo+SwaptionShift))*SUM(INDEX($FK$325:$ID$396,GZ$169,1+SwaptionShift):INDEX($FK$325:$ID$396,GZ$169,SwaptionMonthsToGo+SwaptionShift))))))</f>
        <v/>
      </c>
      <c r="HA184" s="479" t="str">
        <f ca="1">IF(OR(HA$169&lt;SwaptionFirstMonthPosition+1,$FJ184&lt;SwaptionFirstMonthPosition+1,HA$169&gt;SwaptionFirstMonthPosition+SwaptionNumOfMonths+1,$FJ184&gt;SwaptionFirstMonthPosition+SwaptionNumOfMonths+1),"",IF($FJ184=HA$169,1,IF($FJ184&lt;HA$169,INDEX($FK$170:$ID$241,HA$169,$FJ184),SUMPRODUCT(INDEX($FK$325:$ID$396,HA$169,1+SwaptionShift):INDEX($FK$325:$ID$396,HA$169,SwaptionMonthsToGo+SwaptionShift),INDEX($FK$245:$ID$316,$FJ184-HA$169,73-HA$169+SwaptionShift):INDEX($FK$245:$ID$316,$FJ184-HA$169,72-HA$169+SwaptionMonthsToGo+SwaptionShift))/SQRT(SUM(INDEX($FK339:$ID339,1+SwaptionShift):INDEX($FK339:$ID339,SwaptionMonthsToGo+SwaptionShift))*SUM(INDEX($FK$325:$ID$396,HA$169,1+SwaptionShift):INDEX($FK$325:$ID$396,HA$169,SwaptionMonthsToGo+SwaptionShift))))))</f>
        <v/>
      </c>
      <c r="HB184" s="479" t="str">
        <f ca="1">IF(OR(HB$169&lt;SwaptionFirstMonthPosition+1,$FJ184&lt;SwaptionFirstMonthPosition+1,HB$169&gt;SwaptionFirstMonthPosition+SwaptionNumOfMonths+1,$FJ184&gt;SwaptionFirstMonthPosition+SwaptionNumOfMonths+1),"",IF($FJ184=HB$169,1,IF($FJ184&lt;HB$169,INDEX($FK$170:$ID$241,HB$169,$FJ184),SUMPRODUCT(INDEX($FK$325:$ID$396,HB$169,1+SwaptionShift):INDEX($FK$325:$ID$396,HB$169,SwaptionMonthsToGo+SwaptionShift),INDEX($FK$245:$ID$316,$FJ184-HB$169,73-HB$169+SwaptionShift):INDEX($FK$245:$ID$316,$FJ184-HB$169,72-HB$169+SwaptionMonthsToGo+SwaptionShift))/SQRT(SUM(INDEX($FK339:$ID339,1+SwaptionShift):INDEX($FK339:$ID339,SwaptionMonthsToGo+SwaptionShift))*SUM(INDEX($FK$325:$ID$396,HB$169,1+SwaptionShift):INDEX($FK$325:$ID$396,HB$169,SwaptionMonthsToGo+SwaptionShift))))))</f>
        <v/>
      </c>
      <c r="HC184" s="479" t="str">
        <f ca="1">IF(OR(HC$169&lt;SwaptionFirstMonthPosition+1,$FJ184&lt;SwaptionFirstMonthPosition+1,HC$169&gt;SwaptionFirstMonthPosition+SwaptionNumOfMonths+1,$FJ184&gt;SwaptionFirstMonthPosition+SwaptionNumOfMonths+1),"",IF($FJ184=HC$169,1,IF($FJ184&lt;HC$169,INDEX($FK$170:$ID$241,HC$169,$FJ184),SUMPRODUCT(INDEX($FK$325:$ID$396,HC$169,1+SwaptionShift):INDEX($FK$325:$ID$396,HC$169,SwaptionMonthsToGo+SwaptionShift),INDEX($FK$245:$ID$316,$FJ184-HC$169,73-HC$169+SwaptionShift):INDEX($FK$245:$ID$316,$FJ184-HC$169,72-HC$169+SwaptionMonthsToGo+SwaptionShift))/SQRT(SUM(INDEX($FK339:$ID339,1+SwaptionShift):INDEX($FK339:$ID339,SwaptionMonthsToGo+SwaptionShift))*SUM(INDEX($FK$325:$ID$396,HC$169,1+SwaptionShift):INDEX($FK$325:$ID$396,HC$169,SwaptionMonthsToGo+SwaptionShift))))))</f>
        <v/>
      </c>
      <c r="HD184" s="479" t="str">
        <f ca="1">IF(OR(HD$169&lt;SwaptionFirstMonthPosition+1,$FJ184&lt;SwaptionFirstMonthPosition+1,HD$169&gt;SwaptionFirstMonthPosition+SwaptionNumOfMonths+1,$FJ184&gt;SwaptionFirstMonthPosition+SwaptionNumOfMonths+1),"",IF($FJ184=HD$169,1,IF($FJ184&lt;HD$169,INDEX($FK$170:$ID$241,HD$169,$FJ184),SUMPRODUCT(INDEX($FK$325:$ID$396,HD$169,1+SwaptionShift):INDEX($FK$325:$ID$396,HD$169,SwaptionMonthsToGo+SwaptionShift),INDEX($FK$245:$ID$316,$FJ184-HD$169,73-HD$169+SwaptionShift):INDEX($FK$245:$ID$316,$FJ184-HD$169,72-HD$169+SwaptionMonthsToGo+SwaptionShift))/SQRT(SUM(INDEX($FK339:$ID339,1+SwaptionShift):INDEX($FK339:$ID339,SwaptionMonthsToGo+SwaptionShift))*SUM(INDEX($FK$325:$ID$396,HD$169,1+SwaptionShift):INDEX($FK$325:$ID$396,HD$169,SwaptionMonthsToGo+SwaptionShift))))))</f>
        <v/>
      </c>
      <c r="HE184" s="479" t="str">
        <f ca="1">IF(OR(HE$169&lt;SwaptionFirstMonthPosition+1,$FJ184&lt;SwaptionFirstMonthPosition+1,HE$169&gt;SwaptionFirstMonthPosition+SwaptionNumOfMonths+1,$FJ184&gt;SwaptionFirstMonthPosition+SwaptionNumOfMonths+1),"",IF($FJ184=HE$169,1,IF($FJ184&lt;HE$169,INDEX($FK$170:$ID$241,HE$169,$FJ184),SUMPRODUCT(INDEX($FK$325:$ID$396,HE$169,1+SwaptionShift):INDEX($FK$325:$ID$396,HE$169,SwaptionMonthsToGo+SwaptionShift),INDEX($FK$245:$ID$316,$FJ184-HE$169,73-HE$169+SwaptionShift):INDEX($FK$245:$ID$316,$FJ184-HE$169,72-HE$169+SwaptionMonthsToGo+SwaptionShift))/SQRT(SUM(INDEX($FK339:$ID339,1+SwaptionShift):INDEX($FK339:$ID339,SwaptionMonthsToGo+SwaptionShift))*SUM(INDEX($FK$325:$ID$396,HE$169,1+SwaptionShift):INDEX($FK$325:$ID$396,HE$169,SwaptionMonthsToGo+SwaptionShift))))))</f>
        <v/>
      </c>
      <c r="HF184" s="479" t="str">
        <f ca="1">IF(OR(HF$169&lt;SwaptionFirstMonthPosition+1,$FJ184&lt;SwaptionFirstMonthPosition+1,HF$169&gt;SwaptionFirstMonthPosition+SwaptionNumOfMonths+1,$FJ184&gt;SwaptionFirstMonthPosition+SwaptionNumOfMonths+1),"",IF($FJ184=HF$169,1,IF($FJ184&lt;HF$169,INDEX($FK$170:$ID$241,HF$169,$FJ184),SUMPRODUCT(INDEX($FK$325:$ID$396,HF$169,1+SwaptionShift):INDEX($FK$325:$ID$396,HF$169,SwaptionMonthsToGo+SwaptionShift),INDEX($FK$245:$ID$316,$FJ184-HF$169,73-HF$169+SwaptionShift):INDEX($FK$245:$ID$316,$FJ184-HF$169,72-HF$169+SwaptionMonthsToGo+SwaptionShift))/SQRT(SUM(INDEX($FK339:$ID339,1+SwaptionShift):INDEX($FK339:$ID339,SwaptionMonthsToGo+SwaptionShift))*SUM(INDEX($FK$325:$ID$396,HF$169,1+SwaptionShift):INDEX($FK$325:$ID$396,HF$169,SwaptionMonthsToGo+SwaptionShift))))))</f>
        <v/>
      </c>
      <c r="HG184" s="479" t="str">
        <f ca="1">IF(OR(HG$169&lt;SwaptionFirstMonthPosition+1,$FJ184&lt;SwaptionFirstMonthPosition+1,HG$169&gt;SwaptionFirstMonthPosition+SwaptionNumOfMonths+1,$FJ184&gt;SwaptionFirstMonthPosition+SwaptionNumOfMonths+1),"",IF($FJ184=HG$169,1,IF($FJ184&lt;HG$169,INDEX($FK$170:$ID$241,HG$169,$FJ184),SUMPRODUCT(INDEX($FK$325:$ID$396,HG$169,1+SwaptionShift):INDEX($FK$325:$ID$396,HG$169,SwaptionMonthsToGo+SwaptionShift),INDEX($FK$245:$ID$316,$FJ184-HG$169,73-HG$169+SwaptionShift):INDEX($FK$245:$ID$316,$FJ184-HG$169,72-HG$169+SwaptionMonthsToGo+SwaptionShift))/SQRT(SUM(INDEX($FK339:$ID339,1+SwaptionShift):INDEX($FK339:$ID339,SwaptionMonthsToGo+SwaptionShift))*SUM(INDEX($FK$325:$ID$396,HG$169,1+SwaptionShift):INDEX($FK$325:$ID$396,HG$169,SwaptionMonthsToGo+SwaptionShift))))))</f>
        <v/>
      </c>
      <c r="HH184" s="479" t="str">
        <f ca="1">IF(OR(HH$169&lt;SwaptionFirstMonthPosition+1,$FJ184&lt;SwaptionFirstMonthPosition+1,HH$169&gt;SwaptionFirstMonthPosition+SwaptionNumOfMonths+1,$FJ184&gt;SwaptionFirstMonthPosition+SwaptionNumOfMonths+1),"",IF($FJ184=HH$169,1,IF($FJ184&lt;HH$169,INDEX($FK$170:$ID$241,HH$169,$FJ184),SUMPRODUCT(INDEX($FK$325:$ID$396,HH$169,1+SwaptionShift):INDEX($FK$325:$ID$396,HH$169,SwaptionMonthsToGo+SwaptionShift),INDEX($FK$245:$ID$316,$FJ184-HH$169,73-HH$169+SwaptionShift):INDEX($FK$245:$ID$316,$FJ184-HH$169,72-HH$169+SwaptionMonthsToGo+SwaptionShift))/SQRT(SUM(INDEX($FK339:$ID339,1+SwaptionShift):INDEX($FK339:$ID339,SwaptionMonthsToGo+SwaptionShift))*SUM(INDEX($FK$325:$ID$396,HH$169,1+SwaptionShift):INDEX($FK$325:$ID$396,HH$169,SwaptionMonthsToGo+SwaptionShift))))))</f>
        <v/>
      </c>
      <c r="HI184" s="479" t="str">
        <f ca="1">IF(OR(HI$169&lt;SwaptionFirstMonthPosition+1,$FJ184&lt;SwaptionFirstMonthPosition+1,HI$169&gt;SwaptionFirstMonthPosition+SwaptionNumOfMonths+1,$FJ184&gt;SwaptionFirstMonthPosition+SwaptionNumOfMonths+1),"",IF($FJ184=HI$169,1,IF($FJ184&lt;HI$169,INDEX($FK$170:$ID$241,HI$169,$FJ184),SUMPRODUCT(INDEX($FK$325:$ID$396,HI$169,1+SwaptionShift):INDEX($FK$325:$ID$396,HI$169,SwaptionMonthsToGo+SwaptionShift),INDEX($FK$245:$ID$316,$FJ184-HI$169,73-HI$169+SwaptionShift):INDEX($FK$245:$ID$316,$FJ184-HI$169,72-HI$169+SwaptionMonthsToGo+SwaptionShift))/SQRT(SUM(INDEX($FK339:$ID339,1+SwaptionShift):INDEX($FK339:$ID339,SwaptionMonthsToGo+SwaptionShift))*SUM(INDEX($FK$325:$ID$396,HI$169,1+SwaptionShift):INDEX($FK$325:$ID$396,HI$169,SwaptionMonthsToGo+SwaptionShift))))))</f>
        <v/>
      </c>
      <c r="HJ184" s="479" t="str">
        <f ca="1">IF(OR(HJ$169&lt;SwaptionFirstMonthPosition+1,$FJ184&lt;SwaptionFirstMonthPosition+1,HJ$169&gt;SwaptionFirstMonthPosition+SwaptionNumOfMonths+1,$FJ184&gt;SwaptionFirstMonthPosition+SwaptionNumOfMonths+1),"",IF($FJ184=HJ$169,1,IF($FJ184&lt;HJ$169,INDEX($FK$170:$ID$241,HJ$169,$FJ184),SUMPRODUCT(INDEX($FK$325:$ID$396,HJ$169,1+SwaptionShift):INDEX($FK$325:$ID$396,HJ$169,SwaptionMonthsToGo+SwaptionShift),INDEX($FK$245:$ID$316,$FJ184-HJ$169,73-HJ$169+SwaptionShift):INDEX($FK$245:$ID$316,$FJ184-HJ$169,72-HJ$169+SwaptionMonthsToGo+SwaptionShift))/SQRT(SUM(INDEX($FK339:$ID339,1+SwaptionShift):INDEX($FK339:$ID339,SwaptionMonthsToGo+SwaptionShift))*SUM(INDEX($FK$325:$ID$396,HJ$169,1+SwaptionShift):INDEX($FK$325:$ID$396,HJ$169,SwaptionMonthsToGo+SwaptionShift))))))</f>
        <v/>
      </c>
      <c r="HK184" s="479" t="str">
        <f ca="1">IF(OR(HK$169&lt;SwaptionFirstMonthPosition+1,$FJ184&lt;SwaptionFirstMonthPosition+1,HK$169&gt;SwaptionFirstMonthPosition+SwaptionNumOfMonths+1,$FJ184&gt;SwaptionFirstMonthPosition+SwaptionNumOfMonths+1),"",IF($FJ184=HK$169,1,IF($FJ184&lt;HK$169,INDEX($FK$170:$ID$241,HK$169,$FJ184),SUMPRODUCT(INDEX($FK$325:$ID$396,HK$169,1+SwaptionShift):INDEX($FK$325:$ID$396,HK$169,SwaptionMonthsToGo+SwaptionShift),INDEX($FK$245:$ID$316,$FJ184-HK$169,73-HK$169+SwaptionShift):INDEX($FK$245:$ID$316,$FJ184-HK$169,72-HK$169+SwaptionMonthsToGo+SwaptionShift))/SQRT(SUM(INDEX($FK339:$ID339,1+SwaptionShift):INDEX($FK339:$ID339,SwaptionMonthsToGo+SwaptionShift))*SUM(INDEX($FK$325:$ID$396,HK$169,1+SwaptionShift):INDEX($FK$325:$ID$396,HK$169,SwaptionMonthsToGo+SwaptionShift))))))</f>
        <v/>
      </c>
      <c r="HL184" s="479" t="str">
        <f ca="1">IF(OR(HL$169&lt;SwaptionFirstMonthPosition+1,$FJ184&lt;SwaptionFirstMonthPosition+1,HL$169&gt;SwaptionFirstMonthPosition+SwaptionNumOfMonths+1,$FJ184&gt;SwaptionFirstMonthPosition+SwaptionNumOfMonths+1),"",IF($FJ184=HL$169,1,IF($FJ184&lt;HL$169,INDEX($FK$170:$ID$241,HL$169,$FJ184),SUMPRODUCT(INDEX($FK$325:$ID$396,HL$169,1+SwaptionShift):INDEX($FK$325:$ID$396,HL$169,SwaptionMonthsToGo+SwaptionShift),INDEX($FK$245:$ID$316,$FJ184-HL$169,73-HL$169+SwaptionShift):INDEX($FK$245:$ID$316,$FJ184-HL$169,72-HL$169+SwaptionMonthsToGo+SwaptionShift))/SQRT(SUM(INDEX($FK339:$ID339,1+SwaptionShift):INDEX($FK339:$ID339,SwaptionMonthsToGo+SwaptionShift))*SUM(INDEX($FK$325:$ID$396,HL$169,1+SwaptionShift):INDEX($FK$325:$ID$396,HL$169,SwaptionMonthsToGo+SwaptionShift))))))</f>
        <v/>
      </c>
      <c r="HM184" s="479" t="str">
        <f ca="1">IF(OR(HM$169&lt;SwaptionFirstMonthPosition+1,$FJ184&lt;SwaptionFirstMonthPosition+1,HM$169&gt;SwaptionFirstMonthPosition+SwaptionNumOfMonths+1,$FJ184&gt;SwaptionFirstMonthPosition+SwaptionNumOfMonths+1),"",IF($FJ184=HM$169,1,IF($FJ184&lt;HM$169,INDEX($FK$170:$ID$241,HM$169,$FJ184),SUMPRODUCT(INDEX($FK$325:$ID$396,HM$169,1+SwaptionShift):INDEX($FK$325:$ID$396,HM$169,SwaptionMonthsToGo+SwaptionShift),INDEX($FK$245:$ID$316,$FJ184-HM$169,73-HM$169+SwaptionShift):INDEX($FK$245:$ID$316,$FJ184-HM$169,72-HM$169+SwaptionMonthsToGo+SwaptionShift))/SQRT(SUM(INDEX($FK339:$ID339,1+SwaptionShift):INDEX($FK339:$ID339,SwaptionMonthsToGo+SwaptionShift))*SUM(INDEX($FK$325:$ID$396,HM$169,1+SwaptionShift):INDEX($FK$325:$ID$396,HM$169,SwaptionMonthsToGo+SwaptionShift))))))</f>
        <v/>
      </c>
      <c r="HN184" s="479" t="str">
        <f ca="1">IF(OR(HN$169&lt;SwaptionFirstMonthPosition+1,$FJ184&lt;SwaptionFirstMonthPosition+1,HN$169&gt;SwaptionFirstMonthPosition+SwaptionNumOfMonths+1,$FJ184&gt;SwaptionFirstMonthPosition+SwaptionNumOfMonths+1),"",IF($FJ184=HN$169,1,IF($FJ184&lt;HN$169,INDEX($FK$170:$ID$241,HN$169,$FJ184),SUMPRODUCT(INDEX($FK$325:$ID$396,HN$169,1+SwaptionShift):INDEX($FK$325:$ID$396,HN$169,SwaptionMonthsToGo+SwaptionShift),INDEX($FK$245:$ID$316,$FJ184-HN$169,73-HN$169+SwaptionShift):INDEX($FK$245:$ID$316,$FJ184-HN$169,72-HN$169+SwaptionMonthsToGo+SwaptionShift))/SQRT(SUM(INDEX($FK339:$ID339,1+SwaptionShift):INDEX($FK339:$ID339,SwaptionMonthsToGo+SwaptionShift))*SUM(INDEX($FK$325:$ID$396,HN$169,1+SwaptionShift):INDEX($FK$325:$ID$396,HN$169,SwaptionMonthsToGo+SwaptionShift))))))</f>
        <v/>
      </c>
      <c r="HO184" s="479" t="str">
        <f ca="1">IF(OR(HO$169&lt;SwaptionFirstMonthPosition+1,$FJ184&lt;SwaptionFirstMonthPosition+1,HO$169&gt;SwaptionFirstMonthPosition+SwaptionNumOfMonths+1,$FJ184&gt;SwaptionFirstMonthPosition+SwaptionNumOfMonths+1),"",IF($FJ184=HO$169,1,IF($FJ184&lt;HO$169,INDEX($FK$170:$ID$241,HO$169,$FJ184),SUMPRODUCT(INDEX($FK$325:$ID$396,HO$169,1+SwaptionShift):INDEX($FK$325:$ID$396,HO$169,SwaptionMonthsToGo+SwaptionShift),INDEX($FK$245:$ID$316,$FJ184-HO$169,73-HO$169+SwaptionShift):INDEX($FK$245:$ID$316,$FJ184-HO$169,72-HO$169+SwaptionMonthsToGo+SwaptionShift))/SQRT(SUM(INDEX($FK339:$ID339,1+SwaptionShift):INDEX($FK339:$ID339,SwaptionMonthsToGo+SwaptionShift))*SUM(INDEX($FK$325:$ID$396,HO$169,1+SwaptionShift):INDEX($FK$325:$ID$396,HO$169,SwaptionMonthsToGo+SwaptionShift))))))</f>
        <v/>
      </c>
      <c r="HP184" s="479" t="str">
        <f ca="1">IF(OR(HP$169&lt;SwaptionFirstMonthPosition+1,$FJ184&lt;SwaptionFirstMonthPosition+1,HP$169&gt;SwaptionFirstMonthPosition+SwaptionNumOfMonths+1,$FJ184&gt;SwaptionFirstMonthPosition+SwaptionNumOfMonths+1),"",IF($FJ184=HP$169,1,IF($FJ184&lt;HP$169,INDEX($FK$170:$ID$241,HP$169,$FJ184),SUMPRODUCT(INDEX($FK$325:$ID$396,HP$169,1+SwaptionShift):INDEX($FK$325:$ID$396,HP$169,SwaptionMonthsToGo+SwaptionShift),INDEX($FK$245:$ID$316,$FJ184-HP$169,73-HP$169+SwaptionShift):INDEX($FK$245:$ID$316,$FJ184-HP$169,72-HP$169+SwaptionMonthsToGo+SwaptionShift))/SQRT(SUM(INDEX($FK339:$ID339,1+SwaptionShift):INDEX($FK339:$ID339,SwaptionMonthsToGo+SwaptionShift))*SUM(INDEX($FK$325:$ID$396,HP$169,1+SwaptionShift):INDEX($FK$325:$ID$396,HP$169,SwaptionMonthsToGo+SwaptionShift))))))</f>
        <v/>
      </c>
      <c r="HQ184" s="479" t="str">
        <f ca="1">IF(OR(HQ$169&lt;SwaptionFirstMonthPosition+1,$FJ184&lt;SwaptionFirstMonthPosition+1,HQ$169&gt;SwaptionFirstMonthPosition+SwaptionNumOfMonths+1,$FJ184&gt;SwaptionFirstMonthPosition+SwaptionNumOfMonths+1),"",IF($FJ184=HQ$169,1,IF($FJ184&lt;HQ$169,INDEX($FK$170:$ID$241,HQ$169,$FJ184),SUMPRODUCT(INDEX($FK$325:$ID$396,HQ$169,1+SwaptionShift):INDEX($FK$325:$ID$396,HQ$169,SwaptionMonthsToGo+SwaptionShift),INDEX($FK$245:$ID$316,$FJ184-HQ$169,73-HQ$169+SwaptionShift):INDEX($FK$245:$ID$316,$FJ184-HQ$169,72-HQ$169+SwaptionMonthsToGo+SwaptionShift))/SQRT(SUM(INDEX($FK339:$ID339,1+SwaptionShift):INDEX($FK339:$ID339,SwaptionMonthsToGo+SwaptionShift))*SUM(INDEX($FK$325:$ID$396,HQ$169,1+SwaptionShift):INDEX($FK$325:$ID$396,HQ$169,SwaptionMonthsToGo+SwaptionShift))))))</f>
        <v/>
      </c>
      <c r="HR184" s="479" t="str">
        <f ca="1">IF(OR(HR$169&lt;SwaptionFirstMonthPosition+1,$FJ184&lt;SwaptionFirstMonthPosition+1,HR$169&gt;SwaptionFirstMonthPosition+SwaptionNumOfMonths+1,$FJ184&gt;SwaptionFirstMonthPosition+SwaptionNumOfMonths+1),"",IF($FJ184=HR$169,1,IF($FJ184&lt;HR$169,INDEX($FK$170:$ID$241,HR$169,$FJ184),SUMPRODUCT(INDEX($FK$325:$ID$396,HR$169,1+SwaptionShift):INDEX($FK$325:$ID$396,HR$169,SwaptionMonthsToGo+SwaptionShift),INDEX($FK$245:$ID$316,$FJ184-HR$169,73-HR$169+SwaptionShift):INDEX($FK$245:$ID$316,$FJ184-HR$169,72-HR$169+SwaptionMonthsToGo+SwaptionShift))/SQRT(SUM(INDEX($FK339:$ID339,1+SwaptionShift):INDEX($FK339:$ID339,SwaptionMonthsToGo+SwaptionShift))*SUM(INDEX($FK$325:$ID$396,HR$169,1+SwaptionShift):INDEX($FK$325:$ID$396,HR$169,SwaptionMonthsToGo+SwaptionShift))))))</f>
        <v/>
      </c>
      <c r="HS184" s="479" t="str">
        <f ca="1">IF(OR(HS$169&lt;SwaptionFirstMonthPosition+1,$FJ184&lt;SwaptionFirstMonthPosition+1,HS$169&gt;SwaptionFirstMonthPosition+SwaptionNumOfMonths+1,$FJ184&gt;SwaptionFirstMonthPosition+SwaptionNumOfMonths+1),"",IF($FJ184=HS$169,1,IF($FJ184&lt;HS$169,INDEX($FK$170:$ID$241,HS$169,$FJ184),SUMPRODUCT(INDEX($FK$325:$ID$396,HS$169,1+SwaptionShift):INDEX($FK$325:$ID$396,HS$169,SwaptionMonthsToGo+SwaptionShift),INDEX($FK$245:$ID$316,$FJ184-HS$169,73-HS$169+SwaptionShift):INDEX($FK$245:$ID$316,$FJ184-HS$169,72-HS$169+SwaptionMonthsToGo+SwaptionShift))/SQRT(SUM(INDEX($FK339:$ID339,1+SwaptionShift):INDEX($FK339:$ID339,SwaptionMonthsToGo+SwaptionShift))*SUM(INDEX($FK$325:$ID$396,HS$169,1+SwaptionShift):INDEX($FK$325:$ID$396,HS$169,SwaptionMonthsToGo+SwaptionShift))))))</f>
        <v/>
      </c>
      <c r="HT184" s="479" t="str">
        <f ca="1">IF(OR(HT$169&lt;SwaptionFirstMonthPosition+1,$FJ184&lt;SwaptionFirstMonthPosition+1,HT$169&gt;SwaptionFirstMonthPosition+SwaptionNumOfMonths+1,$FJ184&gt;SwaptionFirstMonthPosition+SwaptionNumOfMonths+1),"",IF($FJ184=HT$169,1,IF($FJ184&lt;HT$169,INDEX($FK$170:$ID$241,HT$169,$FJ184),SUMPRODUCT(INDEX($FK$325:$ID$396,HT$169,1+SwaptionShift):INDEX($FK$325:$ID$396,HT$169,SwaptionMonthsToGo+SwaptionShift),INDEX($FK$245:$ID$316,$FJ184-HT$169,73-HT$169+SwaptionShift):INDEX($FK$245:$ID$316,$FJ184-HT$169,72-HT$169+SwaptionMonthsToGo+SwaptionShift))/SQRT(SUM(INDEX($FK339:$ID339,1+SwaptionShift):INDEX($FK339:$ID339,SwaptionMonthsToGo+SwaptionShift))*SUM(INDEX($FK$325:$ID$396,HT$169,1+SwaptionShift):INDEX($FK$325:$ID$396,HT$169,SwaptionMonthsToGo+SwaptionShift))))))</f>
        <v/>
      </c>
      <c r="HU184" s="479" t="str">
        <f ca="1">IF(OR(HU$169&lt;SwaptionFirstMonthPosition+1,$FJ184&lt;SwaptionFirstMonthPosition+1,HU$169&gt;SwaptionFirstMonthPosition+SwaptionNumOfMonths+1,$FJ184&gt;SwaptionFirstMonthPosition+SwaptionNumOfMonths+1),"",IF($FJ184=HU$169,1,IF($FJ184&lt;HU$169,INDEX($FK$170:$ID$241,HU$169,$FJ184),SUMPRODUCT(INDEX($FK$325:$ID$396,HU$169,1+SwaptionShift):INDEX($FK$325:$ID$396,HU$169,SwaptionMonthsToGo+SwaptionShift),INDEX($FK$245:$ID$316,$FJ184-HU$169,73-HU$169+SwaptionShift):INDEX($FK$245:$ID$316,$FJ184-HU$169,72-HU$169+SwaptionMonthsToGo+SwaptionShift))/SQRT(SUM(INDEX($FK339:$ID339,1+SwaptionShift):INDEX($FK339:$ID339,SwaptionMonthsToGo+SwaptionShift))*SUM(INDEX($FK$325:$ID$396,HU$169,1+SwaptionShift):INDEX($FK$325:$ID$396,HU$169,SwaptionMonthsToGo+SwaptionShift))))))</f>
        <v/>
      </c>
      <c r="HV184" s="479" t="str">
        <f ca="1">IF(OR(HV$169&lt;SwaptionFirstMonthPosition+1,$FJ184&lt;SwaptionFirstMonthPosition+1,HV$169&gt;SwaptionFirstMonthPosition+SwaptionNumOfMonths+1,$FJ184&gt;SwaptionFirstMonthPosition+SwaptionNumOfMonths+1),"",IF($FJ184=HV$169,1,IF($FJ184&lt;HV$169,INDEX($FK$170:$ID$241,HV$169,$FJ184),SUMPRODUCT(INDEX($FK$325:$ID$396,HV$169,1+SwaptionShift):INDEX($FK$325:$ID$396,HV$169,SwaptionMonthsToGo+SwaptionShift),INDEX($FK$245:$ID$316,$FJ184-HV$169,73-HV$169+SwaptionShift):INDEX($FK$245:$ID$316,$FJ184-HV$169,72-HV$169+SwaptionMonthsToGo+SwaptionShift))/SQRT(SUM(INDEX($FK339:$ID339,1+SwaptionShift):INDEX($FK339:$ID339,SwaptionMonthsToGo+SwaptionShift))*SUM(INDEX($FK$325:$ID$396,HV$169,1+SwaptionShift):INDEX($FK$325:$ID$396,HV$169,SwaptionMonthsToGo+SwaptionShift))))))</f>
        <v/>
      </c>
      <c r="HW184" s="479" t="str">
        <f ca="1">IF(OR(HW$169&lt;SwaptionFirstMonthPosition+1,$FJ184&lt;SwaptionFirstMonthPosition+1,HW$169&gt;SwaptionFirstMonthPosition+SwaptionNumOfMonths+1,$FJ184&gt;SwaptionFirstMonthPosition+SwaptionNumOfMonths+1),"",IF($FJ184=HW$169,1,IF($FJ184&lt;HW$169,INDEX($FK$170:$ID$241,HW$169,$FJ184),SUMPRODUCT(INDEX($FK$325:$ID$396,HW$169,1+SwaptionShift):INDEX($FK$325:$ID$396,HW$169,SwaptionMonthsToGo+SwaptionShift),INDEX($FK$245:$ID$316,$FJ184-HW$169,73-HW$169+SwaptionShift):INDEX($FK$245:$ID$316,$FJ184-HW$169,72-HW$169+SwaptionMonthsToGo+SwaptionShift))/SQRT(SUM(INDEX($FK339:$ID339,1+SwaptionShift):INDEX($FK339:$ID339,SwaptionMonthsToGo+SwaptionShift))*SUM(INDEX($FK$325:$ID$396,HW$169,1+SwaptionShift):INDEX($FK$325:$ID$396,HW$169,SwaptionMonthsToGo+SwaptionShift))))))</f>
        <v/>
      </c>
      <c r="HX184" s="479" t="str">
        <f ca="1">IF(OR(HX$169&lt;SwaptionFirstMonthPosition+1,$FJ184&lt;SwaptionFirstMonthPosition+1,HX$169&gt;SwaptionFirstMonthPosition+SwaptionNumOfMonths+1,$FJ184&gt;SwaptionFirstMonthPosition+SwaptionNumOfMonths+1),"",IF($FJ184=HX$169,1,IF($FJ184&lt;HX$169,INDEX($FK$170:$ID$241,HX$169,$FJ184),SUMPRODUCT(INDEX($FK$325:$ID$396,HX$169,1+SwaptionShift):INDEX($FK$325:$ID$396,HX$169,SwaptionMonthsToGo+SwaptionShift),INDEX($FK$245:$ID$316,$FJ184-HX$169,73-HX$169+SwaptionShift):INDEX($FK$245:$ID$316,$FJ184-HX$169,72-HX$169+SwaptionMonthsToGo+SwaptionShift))/SQRT(SUM(INDEX($FK339:$ID339,1+SwaptionShift):INDEX($FK339:$ID339,SwaptionMonthsToGo+SwaptionShift))*SUM(INDEX($FK$325:$ID$396,HX$169,1+SwaptionShift):INDEX($FK$325:$ID$396,HX$169,SwaptionMonthsToGo+SwaptionShift))))))</f>
        <v/>
      </c>
      <c r="HY184" s="479" t="str">
        <f ca="1">IF(OR(HY$169&lt;SwaptionFirstMonthPosition+1,$FJ184&lt;SwaptionFirstMonthPosition+1,HY$169&gt;SwaptionFirstMonthPosition+SwaptionNumOfMonths+1,$FJ184&gt;SwaptionFirstMonthPosition+SwaptionNumOfMonths+1),"",IF($FJ184=HY$169,1,IF($FJ184&lt;HY$169,INDEX($FK$170:$ID$241,HY$169,$FJ184),SUMPRODUCT(INDEX($FK$325:$ID$396,HY$169,1+SwaptionShift):INDEX($FK$325:$ID$396,HY$169,SwaptionMonthsToGo+SwaptionShift),INDEX($FK$245:$ID$316,$FJ184-HY$169,73-HY$169+SwaptionShift):INDEX($FK$245:$ID$316,$FJ184-HY$169,72-HY$169+SwaptionMonthsToGo+SwaptionShift))/SQRT(SUM(INDEX($FK339:$ID339,1+SwaptionShift):INDEX($FK339:$ID339,SwaptionMonthsToGo+SwaptionShift))*SUM(INDEX($FK$325:$ID$396,HY$169,1+SwaptionShift):INDEX($FK$325:$ID$396,HY$169,SwaptionMonthsToGo+SwaptionShift))))))</f>
        <v/>
      </c>
      <c r="HZ184" s="479" t="str">
        <f ca="1">IF(OR(HZ$169&lt;SwaptionFirstMonthPosition+1,$FJ184&lt;SwaptionFirstMonthPosition+1,HZ$169&gt;SwaptionFirstMonthPosition+SwaptionNumOfMonths+1,$FJ184&gt;SwaptionFirstMonthPosition+SwaptionNumOfMonths+1),"",IF($FJ184=HZ$169,1,IF($FJ184&lt;HZ$169,INDEX($FK$170:$ID$241,HZ$169,$FJ184),SUMPRODUCT(INDEX($FK$325:$ID$396,HZ$169,1+SwaptionShift):INDEX($FK$325:$ID$396,HZ$169,SwaptionMonthsToGo+SwaptionShift),INDEX($FK$245:$ID$316,$FJ184-HZ$169,73-HZ$169+SwaptionShift):INDEX($FK$245:$ID$316,$FJ184-HZ$169,72-HZ$169+SwaptionMonthsToGo+SwaptionShift))/SQRT(SUM(INDEX($FK339:$ID339,1+SwaptionShift):INDEX($FK339:$ID339,SwaptionMonthsToGo+SwaptionShift))*SUM(INDEX($FK$325:$ID$396,HZ$169,1+SwaptionShift):INDEX($FK$325:$ID$396,HZ$169,SwaptionMonthsToGo+SwaptionShift))))))</f>
        <v/>
      </c>
      <c r="IA184" s="479" t="str">
        <f ca="1">IF(OR(IA$169&lt;SwaptionFirstMonthPosition+1,$FJ184&lt;SwaptionFirstMonthPosition+1,IA$169&gt;SwaptionFirstMonthPosition+SwaptionNumOfMonths+1,$FJ184&gt;SwaptionFirstMonthPosition+SwaptionNumOfMonths+1),"",IF($FJ184=IA$169,1,IF($FJ184&lt;IA$169,INDEX($FK$170:$ID$241,IA$169,$FJ184),SUMPRODUCT(INDEX($FK$325:$ID$396,IA$169,1+SwaptionShift):INDEX($FK$325:$ID$396,IA$169,SwaptionMonthsToGo+SwaptionShift),INDEX($FK$245:$ID$316,$FJ184-IA$169,73-IA$169+SwaptionShift):INDEX($FK$245:$ID$316,$FJ184-IA$169,72-IA$169+SwaptionMonthsToGo+SwaptionShift))/SQRT(SUM(INDEX($FK339:$ID339,1+SwaptionShift):INDEX($FK339:$ID339,SwaptionMonthsToGo+SwaptionShift))*SUM(INDEX($FK$325:$ID$396,IA$169,1+SwaptionShift):INDEX($FK$325:$ID$396,IA$169,SwaptionMonthsToGo+SwaptionShift))))))</f>
        <v/>
      </c>
      <c r="IB184" s="479" t="str">
        <f ca="1">IF(OR(IB$169&lt;SwaptionFirstMonthPosition+1,$FJ184&lt;SwaptionFirstMonthPosition+1,IB$169&gt;SwaptionFirstMonthPosition+SwaptionNumOfMonths+1,$FJ184&gt;SwaptionFirstMonthPosition+SwaptionNumOfMonths+1),"",IF($FJ184=IB$169,1,IF($FJ184&lt;IB$169,INDEX($FK$170:$ID$241,IB$169,$FJ184),SUMPRODUCT(INDEX($FK$325:$ID$396,IB$169,1+SwaptionShift):INDEX($FK$325:$ID$396,IB$169,SwaptionMonthsToGo+SwaptionShift),INDEX($FK$245:$ID$316,$FJ184-IB$169,73-IB$169+SwaptionShift):INDEX($FK$245:$ID$316,$FJ184-IB$169,72-IB$169+SwaptionMonthsToGo+SwaptionShift))/SQRT(SUM(INDEX($FK339:$ID339,1+SwaptionShift):INDEX($FK339:$ID339,SwaptionMonthsToGo+SwaptionShift))*SUM(INDEX($FK$325:$ID$396,IB$169,1+SwaptionShift):INDEX($FK$325:$ID$396,IB$169,SwaptionMonthsToGo+SwaptionShift))))))</f>
        <v/>
      </c>
      <c r="IC184" s="479" t="str">
        <f ca="1">IF(OR(IC$169&lt;SwaptionFirstMonthPosition+1,$FJ184&lt;SwaptionFirstMonthPosition+1,IC$169&gt;SwaptionFirstMonthPosition+SwaptionNumOfMonths+1,$FJ184&gt;SwaptionFirstMonthPosition+SwaptionNumOfMonths+1),"",IF($FJ184=IC$169,1,IF($FJ184&lt;IC$169,INDEX($FK$170:$ID$241,IC$169,$FJ184),SUMPRODUCT(INDEX($FK$325:$ID$396,IC$169,1+SwaptionShift):INDEX($FK$325:$ID$396,IC$169,SwaptionMonthsToGo+SwaptionShift),INDEX($FK$245:$ID$316,$FJ184-IC$169,73-IC$169+SwaptionShift):INDEX($FK$245:$ID$316,$FJ184-IC$169,72-IC$169+SwaptionMonthsToGo+SwaptionShift))/SQRT(SUM(INDEX($FK339:$ID339,1+SwaptionShift):INDEX($FK339:$ID339,SwaptionMonthsToGo+SwaptionShift))*SUM(INDEX($FK$325:$ID$396,IC$169,1+SwaptionShift):INDEX($FK$325:$ID$396,IC$169,SwaptionMonthsToGo+SwaptionShift))))))</f>
        <v/>
      </c>
      <c r="ID184" s="678" t="str">
        <f ca="1">IF(OR(ID$169&lt;SwaptionFirstMonthPosition+1,$FJ184&lt;SwaptionFirstMonthPosition+1,ID$169&gt;SwaptionFirstMonthPosition+SwaptionNumOfMonths+1,$FJ184&gt;SwaptionFirstMonthPosition+SwaptionNumOfMonths+1),"",IF($FJ184=ID$169,1,IF($FJ184&lt;ID$169,INDEX($FK$170:$ID$241,ID$169,$FJ184),SUMPRODUCT(INDEX($FK$325:$ID$396,ID$169,1+SwaptionShift):INDEX($FK$325:$ID$396,ID$169,SwaptionMonthsToGo+SwaptionShift),INDEX($FK$245:$ID$316,$FJ184-ID$169,73-ID$169+SwaptionShift):INDEX($FK$245:$ID$316,$FJ184-ID$169,72-ID$169+SwaptionMonthsToGo+SwaptionShift))/SQRT(SUM(INDEX($FK339:$ID339,1+SwaptionShift):INDEX($FK339:$ID339,SwaptionMonthsToGo+SwaptionShift))*SUM(INDEX($FK$325:$ID$396,ID$169,1+SwaptionShift):INDEX($FK$325:$ID$396,ID$169,SwaptionMonthsToGo+SwaptionShift))))))</f>
        <v/>
      </c>
      <c r="IE184" s="250"/>
    </row>
    <row r="185" spans="8:239">
      <c r="H185" s="51">
        <f t="shared" ca="1" si="527"/>
        <v>0</v>
      </c>
      <c r="I185" s="379">
        <f t="shared" si="528"/>
        <v>41791</v>
      </c>
      <c r="J185" s="377"/>
      <c r="K185" s="104" t="s">
        <v>268</v>
      </c>
      <c r="L185" s="392">
        <f t="shared" si="529"/>
        <v>3.3375000000000052</v>
      </c>
      <c r="M185" s="171"/>
      <c r="N185" s="382">
        <v>0</v>
      </c>
      <c r="O185" s="171">
        <f t="shared" si="490"/>
        <v>0</v>
      </c>
      <c r="P185" s="377"/>
      <c r="Q185" s="104" t="s">
        <v>268</v>
      </c>
      <c r="R185" s="377">
        <f t="shared" ca="1" si="547"/>
        <v>1.9249828405902392</v>
      </c>
      <c r="S185" s="832">
        <f t="shared" si="564"/>
        <v>0.3600000000000001</v>
      </c>
      <c r="T185" s="831">
        <f t="shared" si="548"/>
        <v>0.99999999999933165</v>
      </c>
      <c r="U185" s="545">
        <f t="shared" si="549"/>
        <v>0.99999999999999978</v>
      </c>
      <c r="V185" s="389">
        <v>0</v>
      </c>
      <c r="W185" s="434">
        <f t="shared" si="578"/>
        <v>0</v>
      </c>
      <c r="X185" s="415">
        <f t="shared" si="579"/>
        <v>3.385714285714291</v>
      </c>
      <c r="Y185" s="322">
        <f t="shared" si="580"/>
        <v>-1.2915000000000001</v>
      </c>
      <c r="Z185" s="322">
        <f t="shared" ca="1" si="581"/>
        <v>2.0942142857142909</v>
      </c>
      <c r="AA185" s="429">
        <f t="shared" si="495"/>
        <v>1.2915000000000001</v>
      </c>
      <c r="AB185" s="433">
        <f t="shared" ca="1" si="496"/>
        <v>1.2915000000000001</v>
      </c>
      <c r="AC185" s="229">
        <v>41779</v>
      </c>
      <c r="AD185" s="229">
        <v>41775</v>
      </c>
      <c r="AE185" s="229">
        <v>41774</v>
      </c>
      <c r="AF185" s="229">
        <v>41770</v>
      </c>
      <c r="AG185" s="249" t="s">
        <v>499</v>
      </c>
      <c r="AH185" s="247" t="s">
        <v>499</v>
      </c>
      <c r="AI185" s="146">
        <v>21</v>
      </c>
      <c r="AJ185" s="41">
        <v>15</v>
      </c>
      <c r="AK185" s="41">
        <v>6</v>
      </c>
      <c r="AL185" s="293">
        <v>21</v>
      </c>
      <c r="AM185" s="41">
        <v>10</v>
      </c>
      <c r="AN185" s="147">
        <v>11</v>
      </c>
      <c r="AO185" s="374"/>
      <c r="AP185" s="153">
        <f t="shared" ca="1" si="530"/>
        <v>1</v>
      </c>
      <c r="AQ185" s="374"/>
      <c r="AR185" s="153">
        <f t="shared" ca="1" si="550"/>
        <v>1</v>
      </c>
      <c r="AS185" s="272">
        <f t="shared" si="582"/>
        <v>0</v>
      </c>
      <c r="AT185" s="157">
        <f t="shared" si="531"/>
        <v>0</v>
      </c>
      <c r="AU185" s="157">
        <f t="shared" si="498"/>
        <v>0</v>
      </c>
      <c r="AV185" s="271">
        <f t="shared" ca="1" si="558"/>
        <v>9.9999999999999995E-7</v>
      </c>
      <c r="AW185" s="158" t="str">
        <f t="shared" ca="1" si="583"/>
        <v/>
      </c>
      <c r="AX185" s="157">
        <f t="shared" ca="1" si="551"/>
        <v>9.7077651196574914E-5</v>
      </c>
      <c r="AY185" s="157">
        <f t="shared" ca="1" si="552"/>
        <v>2.5005461039947771E-5</v>
      </c>
      <c r="AZ185" s="157">
        <f t="shared" ca="1" si="553"/>
        <v>1.0608559192475174E-6</v>
      </c>
      <c r="BA185" s="157">
        <f t="shared" ca="1" si="554"/>
        <v>1.3260698990593967E-7</v>
      </c>
      <c r="BB185" s="157">
        <f t="shared" ca="1" si="555"/>
        <v>1.0727645926929838E-9</v>
      </c>
      <c r="BC185" s="157">
        <f t="shared" ca="1" si="556"/>
        <v>3.5169227543824374E-11</v>
      </c>
      <c r="BD185" s="151">
        <f t="shared" ca="1" si="584"/>
        <v>0</v>
      </c>
      <c r="BE185" s="152">
        <f t="shared" ca="1" si="585"/>
        <v>0</v>
      </c>
      <c r="BF185" s="40">
        <f t="shared" si="586"/>
        <v>2014</v>
      </c>
      <c r="BG185" s="144">
        <f t="shared" si="587"/>
        <v>6</v>
      </c>
      <c r="BH185" s="145">
        <f t="shared" ca="1" si="588"/>
        <v>5030</v>
      </c>
      <c r="BI185" s="313">
        <f t="shared" ca="1" si="568"/>
        <v>13.815195071868583</v>
      </c>
      <c r="BJ185" s="42">
        <f t="shared" ca="1" si="505"/>
        <v>13.87190769531632</v>
      </c>
      <c r="BK185" s="42">
        <f t="shared" ca="1" si="506"/>
        <v>13.874645546103453</v>
      </c>
      <c r="BL185" s="42">
        <f t="shared" ca="1" si="569"/>
        <v>13.894592744695414</v>
      </c>
      <c r="BM185" s="150" t="e">
        <f t="shared" ca="1" si="507"/>
        <v>#DIV/0!</v>
      </c>
      <c r="BN185" s="42" t="e">
        <f t="shared" ca="1" si="508"/>
        <v>#DIV/0!</v>
      </c>
      <c r="BO185" s="293">
        <f t="shared" si="570"/>
        <v>21</v>
      </c>
      <c r="BP185" s="41">
        <f t="shared" si="571"/>
        <v>15</v>
      </c>
      <c r="BQ185" s="41">
        <f t="shared" si="572"/>
        <v>6</v>
      </c>
      <c r="BR185" s="305" t="str">
        <f t="shared" ca="1" si="509"/>
        <v/>
      </c>
      <c r="BS185" s="305" t="str">
        <f t="shared" ca="1" si="573"/>
        <v/>
      </c>
      <c r="BT185" s="307" t="str">
        <f t="shared" ca="1" si="574"/>
        <v/>
      </c>
      <c r="BU185" s="161" t="str">
        <f t="shared" ca="1" si="510"/>
        <v/>
      </c>
      <c r="BV185" s="161" t="str">
        <f t="shared" ca="1" si="511"/>
        <v/>
      </c>
      <c r="BW185" s="308" t="str">
        <f t="shared" ca="1" si="512"/>
        <v/>
      </c>
      <c r="BX185" s="309" t="str">
        <f t="shared" ca="1" si="513"/>
        <v/>
      </c>
      <c r="BY185" s="308" t="str">
        <f t="shared" ca="1" si="575"/>
        <v/>
      </c>
      <c r="BZ185" s="309" t="str">
        <f t="shared" ca="1" si="576"/>
        <v/>
      </c>
      <c r="CA185" s="154" t="str">
        <f t="shared" ca="1" si="514"/>
        <v/>
      </c>
      <c r="CB185" s="154" t="str">
        <f t="shared" ca="1" si="515"/>
        <v/>
      </c>
      <c r="CC185" s="154" t="str">
        <f t="shared" ca="1" si="516"/>
        <v/>
      </c>
      <c r="CD185" s="154" t="str">
        <f t="shared" ca="1" si="517"/>
        <v/>
      </c>
      <c r="CE185" s="310">
        <v>1</v>
      </c>
      <c r="CF185" s="162">
        <f ca="1">IF(BD185,_xll.xCrudeAPO(BU185,BV185,CA185,CB185,S186,S187,BI185,BL185,BP185,BQ185,0,Strike1,AO185,CE185,0,BL185,IF(OptControl=4,0,1),0,1),0)</f>
        <v>0</v>
      </c>
      <c r="CG185" s="163">
        <f ca="1">IF(BD185,_xll.xCrudeAPO(BU185,BV185,CA185,CB185,S186,S187,BI185,BL185,BP185,BQ185,0,Strike1,AO185,CE185,0,BL185,IF(OptControl=4,0,1),1,1)+_xll.xCrudeAPO(BU185,BV185,CA185,CB185,S186,S187,BI185,BL185,BP185,BQ185,0,Strike1,AO185,CE185,0,BL185,IF(OptControl=4,0,1),1,2)+IF(OR(VolSkewFlag=2,ABS(BS185)&lt;0.0001),0,IF(BS185&gt;0,-1,1)*CH185*Strike1/BR185^2*BY185/10%),0)</f>
        <v>0</v>
      </c>
      <c r="CH185" s="163">
        <f ca="1">IF(BD185,(_xll.xCrudeAPO(BU185,BV185,CA185,CB185,S186,S187,BI185,BL185,BP185,BQ185,0,Strike1,AO185,CE185,0,BL185,IF(OptControl=4,0,1),3,1)+_xll.xCrudeAPO(BU185,BV185,CA185,CB185,S186,S187,BI185,BL185,BP185,BQ185,0,Strike1,AO185,CE185,0,BL185,IF(OptControl=4,0,1),3,2))/100,0)</f>
        <v>0</v>
      </c>
      <c r="CI185" s="163">
        <f ca="1">IF(BD185,_xll.xCrudeAPO(BU185,BV185,CA185,CB185,S186,S187,BI185-DaysForThetaCalculation/365.25,BL185-DaysForThetaCalculation/365.25,BP185,BQ185,0,Strike1,AO185,CE185,0,BL185,IF(OptControl=4,0,1),0,1)-_xll.xCrudeAPO(BU185,BV185,CA185,CB185,S186,S187,BI185,BL185,BP185,BQ185,0,Strike1,AO185,CE185,0,BL185,IF(OptControl=4,0,1),0,1),0)</f>
        <v>0</v>
      </c>
      <c r="CJ185" s="311">
        <f ca="1">IF(BD185,_xll.xCrudeAPO(BU185,BV185,CC185,CD185,S186,S187,BI185,BL185,BP185,BQ185,0,Strike2,AO185,CE185,0,BL185,IF(OptControl=3,1,0),0,1),0)</f>
        <v>0</v>
      </c>
      <c r="CK185" s="163">
        <f ca="1">IF(BD185,_xll.xCrudeAPO(BU185,BV185,CC185,CD185,S186,S187,BI185,BL185,BP185,BQ185,0,Strike2,AO185,CE185,0,BL185,IF(OptControl=3,1,0),1,1)+_xll.xCrudeAPO(BU185,BV185,CC185,CD185,S186,S187,BI185,BL185,BP185,BQ185,0,Strike2,AO185,CE185,0,BL185,IF(OptControl=3,1,0),1,2)+IF(OR(VolSkewFlag=2,ABS(BT185)&lt;0.0001),0,IF(BT185&gt;0,-1,1)*CL185*Strike2/BR185^2*BZ185/10%),0)</f>
        <v>0</v>
      </c>
      <c r="CL185" s="163">
        <f ca="1">IF(BD185,(_xll.xCrudeAPO(BU185,BV185,CC185,CD185,S186,S187,BI185,BL185,BP185,BQ185,0,Strike2,AO185,CE185,0,BL185,IF(OptControl=3,1,0),3,1)+_xll.xCrudeAPO(BU185,BV185,CC185,CD185,S186,S187,BI185,BL185,BP185,BQ185,0,Strike2,AO185,CE185,0,BL185,IF(OptControl=3,1,0),3,2))/100,0)</f>
        <v>0</v>
      </c>
      <c r="CM185" s="164">
        <f ca="1">IF(BD185,_xll.xCrudeAPO(BU185,BV185,CC185,CD185,S186,S187,BI185-DaysForThetaCalculation/365.25,BL185-DaysForThetaCalculation/365.25,BP185,BQ185,0,Strike2,AO185,CE185,0,BL185,IF(OptControl=3,1,0),0,1)-_xll.xCrudeAPO(BU185,BV185,CC185,CD185,S186,S187,BI185,BL185,BP185,BQ185,0,Strike2,AO185,CE185,0,BL185,IF(OptControl=3,1,0),0,1),0)</f>
        <v>0</v>
      </c>
      <c r="CN185" s="53"/>
      <c r="CO185" s="796" t="str">
        <f t="shared" ca="1" si="532"/>
        <v/>
      </c>
      <c r="CP185" s="800" t="str">
        <f t="shared" ca="1" si="533"/>
        <v/>
      </c>
      <c r="CQ185" s="797" t="str">
        <f t="shared" ca="1" si="534"/>
        <v/>
      </c>
      <c r="CR185" s="797" t="str">
        <f t="shared" ca="1" si="535"/>
        <v/>
      </c>
      <c r="CS185" s="797" t="str">
        <f t="shared" ca="1" si="536"/>
        <v/>
      </c>
      <c r="CT185" s="797" t="str">
        <f t="shared" ca="1" si="537"/>
        <v/>
      </c>
      <c r="CU185" s="798" t="str">
        <f t="shared" ca="1" si="538"/>
        <v/>
      </c>
      <c r="CV185" s="799" t="str">
        <f t="shared" ca="1" si="539"/>
        <v/>
      </c>
      <c r="CW185" s="799" t="str">
        <f t="shared" ca="1" si="540"/>
        <v/>
      </c>
      <c r="CX185" s="163">
        <f ca="1">IF(BD185,_xll.EURO(CP185,Strike1,AO185,AO185,CV185,CO185,IF(OptControl=4,0,1),0),0)</f>
        <v>0</v>
      </c>
      <c r="CY185" s="163">
        <f ca="1">IF(BD185,_xll.EURO(CP185,Strike1,AO185,AO185,CV185,CO185,IF(OptControl=4,0,1),1)+IF(OR(VolSkewFlag=2,ABS(CQ185)&lt;0.0001),0,IF(CQ185&gt;0,-1,1)*CZ185*100*Strike1/CP185^2*CS185/10%),0)</f>
        <v>0</v>
      </c>
      <c r="CZ185" s="163">
        <f ca="1">IF(BD185,_xll.EURO(CP185,Strike1,AO185,AO185,CV185,CO185,IF(OptControl=4,0,1),3)/100,0)</f>
        <v>0</v>
      </c>
      <c r="DA185" s="163">
        <f ca="1">IF(BD185,_xll.EURO(CP185,Strike1,AO185,AO185,CV185,CO185,IF(OptControl=4,0,1),0)-_xll.EURO(CP185,Strike1,AO185,AO185,CV185,CO185-1,IF(OptControl=4,0,1),0),0)</f>
        <v>0</v>
      </c>
      <c r="DB185" s="163">
        <f ca="1">IF(BD185,_xll.EURO(CP185,Strike2,AO185,AO185,CW185,CO185,IF(OptControl=3,1,0),0),0)</f>
        <v>0</v>
      </c>
      <c r="DC185" s="163">
        <f ca="1">IF(BD185,_xll.EURO(CP185,Strike2,AO185,AO185,CW185,CO185,IF(OptControl=3,1,0),1)+IF(OR(VolSkewFlag=2,ABS(CR185)&lt;0.0001),0,IF(CR185&gt;0,-1,1)*DD185*100*Strike2/CP185^2*CT185/10%),0)</f>
        <v>0</v>
      </c>
      <c r="DD185" s="163">
        <f ca="1">IF(BD185,_xll.EURO(CP185,Strike2,AO185,AO185,CW185,CO185,IF(OptControl=3,1,0),3)/100,0)</f>
        <v>0</v>
      </c>
      <c r="DE185" s="164">
        <f ca="1">IF(BD185,_xll.EURO(CP185,Strike2,AO185,AO185,CW185,CO185,IF(OptControl=3,1,0),0)-_xll.EURO(CP185,Strike2,AO185,AO185,CW185,CO185-1,IF(OptControl=3,1,0),0),0)</f>
        <v>0</v>
      </c>
      <c r="DG185" s="667">
        <f t="shared" ca="1" si="541"/>
        <v>41579</v>
      </c>
      <c r="DH185" s="475">
        <v>22.410000000000064</v>
      </c>
      <c r="DI185" s="665">
        <v>22.476666666666731</v>
      </c>
      <c r="DJ185" s="666">
        <f t="shared" ca="1" si="589"/>
        <v>41579</v>
      </c>
      <c r="DK185" s="475">
        <v>21.19730941546425</v>
      </c>
      <c r="DL185" s="665">
        <v>21.283566666666729</v>
      </c>
      <c r="DM185" s="667">
        <f t="shared" ca="1" si="590"/>
        <v>41579</v>
      </c>
      <c r="DN185" s="668">
        <f t="shared" si="591"/>
        <v>21.247309415464251</v>
      </c>
      <c r="DO185" s="667">
        <f t="shared" ca="1" si="542"/>
        <v>41579</v>
      </c>
      <c r="DP185" s="579">
        <f t="shared" si="543"/>
        <v>21.283566666666729</v>
      </c>
      <c r="DQ185" s="821">
        <v>0</v>
      </c>
      <c r="DR185" s="666">
        <f t="shared" ca="1" si="592"/>
        <v>41579</v>
      </c>
      <c r="DS185" s="669">
        <v>0.12559999999999805</v>
      </c>
      <c r="DT185" s="606">
        <v>0.12479999999999804</v>
      </c>
      <c r="DU185" s="666">
        <f t="shared" ca="1" si="593"/>
        <v>41579</v>
      </c>
      <c r="DV185" s="669">
        <v>0.12559999999999805</v>
      </c>
      <c r="DW185" s="606">
        <v>0.12479999999999804</v>
      </c>
      <c r="DX185" s="667">
        <f t="shared" ca="1" si="594"/>
        <v>41579</v>
      </c>
      <c r="DY185" s="606">
        <v>0.35</v>
      </c>
      <c r="DZ185" s="667">
        <f t="shared" ca="1" si="544"/>
        <v>41579</v>
      </c>
      <c r="EA185" s="606">
        <f t="shared" si="545"/>
        <v>0.12479999999999804</v>
      </c>
      <c r="EB185" s="1"/>
      <c r="EC185" s="118" t="str">
        <f t="shared" ca="1" si="595"/>
        <v/>
      </c>
      <c r="ED185" s="119" t="str">
        <f t="shared" ca="1" si="525"/>
        <v/>
      </c>
      <c r="EE185" s="112" t="str">
        <f t="shared" ca="1" si="526"/>
        <v/>
      </c>
      <c r="EF185" s="120">
        <f ca="1">IF(BD185,_xll.xASN(BR185,Strike1,AO185,ED185,0,BO185,0,BI185,BL185,IF(OptControl=4,0,1),0),0)</f>
        <v>0</v>
      </c>
      <c r="EG185" s="111">
        <f ca="1">IF(BD185,_xll.xASN(BR185,Strike2,AO185,EE185,0,BO185,0,BI185,BL185,IF(OptControl=3,1,0),0),0)</f>
        <v>0</v>
      </c>
      <c r="EL185" s="55"/>
      <c r="EM185" s="1"/>
      <c r="EN185" s="106"/>
      <c r="EO185" s="106"/>
      <c r="EP185" s="1"/>
      <c r="EQ185" s="683" t="s">
        <v>398</v>
      </c>
      <c r="ES185" s="455"/>
      <c r="ET185" s="36"/>
      <c r="EU185" s="107"/>
      <c r="EV185" s="475"/>
      <c r="EW185" s="456"/>
      <c r="EX185" s="456"/>
      <c r="EY185" s="250"/>
      <c r="EZ185" s="250"/>
      <c r="FA185" s="250"/>
      <c r="FB185" s="250"/>
      <c r="FC185" s="250"/>
      <c r="FD185" s="250"/>
      <c r="FE185" s="250"/>
      <c r="FF185" s="250"/>
      <c r="FG185" s="250"/>
      <c r="FH185" s="250"/>
      <c r="FI185" s="250"/>
      <c r="FJ185" s="673">
        <v>16</v>
      </c>
      <c r="FK185" s="479" t="str">
        <f ca="1">IF(OR(FK$169&lt;SwaptionFirstMonthPosition+1,$FJ185&lt;SwaptionFirstMonthPosition+1,FK$169&gt;SwaptionFirstMonthPosition+SwaptionNumOfMonths+1,$FJ185&gt;SwaptionFirstMonthPosition+SwaptionNumOfMonths+1),"",IF($FJ185=FK$169,1,IF($FJ185&lt;FK$169,INDEX($FK$170:$ID$241,FK$169,$FJ185),SUMPRODUCT(INDEX($FK$325:$ID$396,FK$169,1+SwaptionShift):INDEX($FK$325:$ID$396,FK$169,SwaptionMonthsToGo+SwaptionShift),INDEX($FK$245:$ID$316,$FJ185-FK$169,73-FK$169+SwaptionShift):INDEX($FK$245:$ID$316,$FJ185-FK$169,72-FK$169+SwaptionMonthsToGo+SwaptionShift))/SQRT(SUM(INDEX($FK340:$ID340,1+SwaptionShift):INDEX($FK340:$ID340,SwaptionMonthsToGo+SwaptionShift))*SUM(INDEX($FK$325:$ID$396,FK$169,1+SwaptionShift):INDEX($FK$325:$ID$396,FK$169,SwaptionMonthsToGo+SwaptionShift))))))</f>
        <v/>
      </c>
      <c r="FL185" s="479" t="str">
        <f ca="1">IF(OR(FL$169&lt;SwaptionFirstMonthPosition+1,$FJ185&lt;SwaptionFirstMonthPosition+1,FL$169&gt;SwaptionFirstMonthPosition+SwaptionNumOfMonths+1,$FJ185&gt;SwaptionFirstMonthPosition+SwaptionNumOfMonths+1),"",IF($FJ185=FL$169,1,IF($FJ185&lt;FL$169,INDEX($FK$170:$ID$241,FL$169,$FJ185),SUMPRODUCT(INDEX($FK$325:$ID$396,FL$169,1+SwaptionShift):INDEX($FK$325:$ID$396,FL$169,SwaptionMonthsToGo+SwaptionShift),INDEX($FK$245:$ID$316,$FJ185-FL$169,73-FL$169+SwaptionShift):INDEX($FK$245:$ID$316,$FJ185-FL$169,72-FL$169+SwaptionMonthsToGo+SwaptionShift))/SQRT(SUM(INDEX($FK340:$ID340,1+SwaptionShift):INDEX($FK340:$ID340,SwaptionMonthsToGo+SwaptionShift))*SUM(INDEX($FK$325:$ID$396,FL$169,1+SwaptionShift):INDEX($FK$325:$ID$396,FL$169,SwaptionMonthsToGo+SwaptionShift))))))</f>
        <v/>
      </c>
      <c r="FM185" s="479" t="str">
        <f ca="1">IF(OR(FM$169&lt;SwaptionFirstMonthPosition+1,$FJ185&lt;SwaptionFirstMonthPosition+1,FM$169&gt;SwaptionFirstMonthPosition+SwaptionNumOfMonths+1,$FJ185&gt;SwaptionFirstMonthPosition+SwaptionNumOfMonths+1),"",IF($FJ185=FM$169,1,IF($FJ185&lt;FM$169,INDEX($FK$170:$ID$241,FM$169,$FJ185),SUMPRODUCT(INDEX($FK$325:$ID$396,FM$169,1+SwaptionShift):INDEX($FK$325:$ID$396,FM$169,SwaptionMonthsToGo+SwaptionShift),INDEX($FK$245:$ID$316,$FJ185-FM$169,73-FM$169+SwaptionShift):INDEX($FK$245:$ID$316,$FJ185-FM$169,72-FM$169+SwaptionMonthsToGo+SwaptionShift))/SQRT(SUM(INDEX($FK340:$ID340,1+SwaptionShift):INDEX($FK340:$ID340,SwaptionMonthsToGo+SwaptionShift))*SUM(INDEX($FK$325:$ID$396,FM$169,1+SwaptionShift):INDEX($FK$325:$ID$396,FM$169,SwaptionMonthsToGo+SwaptionShift))))))</f>
        <v/>
      </c>
      <c r="FN185" s="479" t="str">
        <f ca="1">IF(OR(FN$169&lt;SwaptionFirstMonthPosition+1,$FJ185&lt;SwaptionFirstMonthPosition+1,FN$169&gt;SwaptionFirstMonthPosition+SwaptionNumOfMonths+1,$FJ185&gt;SwaptionFirstMonthPosition+SwaptionNumOfMonths+1),"",IF($FJ185=FN$169,1,IF($FJ185&lt;FN$169,INDEX($FK$170:$ID$241,FN$169,$FJ185),SUMPRODUCT(INDEX($FK$325:$ID$396,FN$169,1+SwaptionShift):INDEX($FK$325:$ID$396,FN$169,SwaptionMonthsToGo+SwaptionShift),INDEX($FK$245:$ID$316,$FJ185-FN$169,73-FN$169+SwaptionShift):INDEX($FK$245:$ID$316,$FJ185-FN$169,72-FN$169+SwaptionMonthsToGo+SwaptionShift))/SQRT(SUM(INDEX($FK340:$ID340,1+SwaptionShift):INDEX($FK340:$ID340,SwaptionMonthsToGo+SwaptionShift))*SUM(INDEX($FK$325:$ID$396,FN$169,1+SwaptionShift):INDEX($FK$325:$ID$396,FN$169,SwaptionMonthsToGo+SwaptionShift))))))</f>
        <v/>
      </c>
      <c r="FO185" s="479" t="str">
        <f ca="1">IF(OR(FO$169&lt;SwaptionFirstMonthPosition+1,$FJ185&lt;SwaptionFirstMonthPosition+1,FO$169&gt;SwaptionFirstMonthPosition+SwaptionNumOfMonths+1,$FJ185&gt;SwaptionFirstMonthPosition+SwaptionNumOfMonths+1),"",IF($FJ185=FO$169,1,IF($FJ185&lt;FO$169,INDEX($FK$170:$ID$241,FO$169,$FJ185),SUMPRODUCT(INDEX($FK$325:$ID$396,FO$169,1+SwaptionShift):INDEX($FK$325:$ID$396,FO$169,SwaptionMonthsToGo+SwaptionShift),INDEX($FK$245:$ID$316,$FJ185-FO$169,73-FO$169+SwaptionShift):INDEX($FK$245:$ID$316,$FJ185-FO$169,72-FO$169+SwaptionMonthsToGo+SwaptionShift))/SQRT(SUM(INDEX($FK340:$ID340,1+SwaptionShift):INDEX($FK340:$ID340,SwaptionMonthsToGo+SwaptionShift))*SUM(INDEX($FK$325:$ID$396,FO$169,1+SwaptionShift):INDEX($FK$325:$ID$396,FO$169,SwaptionMonthsToGo+SwaptionShift))))))</f>
        <v/>
      </c>
      <c r="FP185" s="479">
        <f ca="1">IF(OR(FP$169&lt;SwaptionFirstMonthPosition+1,$FJ185&lt;SwaptionFirstMonthPosition+1,FP$169&gt;SwaptionFirstMonthPosition+SwaptionNumOfMonths+1,$FJ185&gt;SwaptionFirstMonthPosition+SwaptionNumOfMonths+1),"",IF($FJ185=FP$169,1,IF($FJ185&lt;FP$169,INDEX($FK$170:$ID$241,FP$169,$FJ185),SUMPRODUCT(INDEX($FK$325:$ID$396,FP$169,1+SwaptionShift):INDEX($FK$325:$ID$396,FP$169,SwaptionMonthsToGo+SwaptionShift),INDEX($FK$245:$ID$316,$FJ185-FP$169,73-FP$169+SwaptionShift):INDEX($FK$245:$ID$316,$FJ185-FP$169,72-FP$169+SwaptionMonthsToGo+SwaptionShift))/SQRT(SUM(INDEX($FK340:$ID340,1+SwaptionShift):INDEX($FK340:$ID340,SwaptionMonthsToGo+SwaptionShift))*SUM(INDEX($FK$325:$ID$396,FP$169,1+SwaptionShift):INDEX($FK$325:$ID$396,FP$169,SwaptionMonthsToGo+SwaptionShift))))))</f>
        <v>0.88956923555550382</v>
      </c>
      <c r="FQ185" s="479">
        <f ca="1">IF(OR(FQ$169&lt;SwaptionFirstMonthPosition+1,$FJ185&lt;SwaptionFirstMonthPosition+1,FQ$169&gt;SwaptionFirstMonthPosition+SwaptionNumOfMonths+1,$FJ185&gt;SwaptionFirstMonthPosition+SwaptionNumOfMonths+1),"",IF($FJ185=FQ$169,1,IF($FJ185&lt;FQ$169,INDEX($FK$170:$ID$241,FQ$169,$FJ185),SUMPRODUCT(INDEX($FK$325:$ID$396,FQ$169,1+SwaptionShift):INDEX($FK$325:$ID$396,FQ$169,SwaptionMonthsToGo+SwaptionShift),INDEX($FK$245:$ID$316,$FJ185-FQ$169,73-FQ$169+SwaptionShift):INDEX($FK$245:$ID$316,$FJ185-FQ$169,72-FQ$169+SwaptionMonthsToGo+SwaptionShift))/SQRT(SUM(INDEX($FK340:$ID340,1+SwaptionShift):INDEX($FK340:$ID340,SwaptionMonthsToGo+SwaptionShift))*SUM(INDEX($FK$325:$ID$396,FQ$169,1+SwaptionShift):INDEX($FK$325:$ID$396,FQ$169,SwaptionMonthsToGo+SwaptionShift))))))</f>
        <v>0.91301291719091293</v>
      </c>
      <c r="FR185" s="479">
        <f ca="1">IF(OR(FR$169&lt;SwaptionFirstMonthPosition+1,$FJ185&lt;SwaptionFirstMonthPosition+1,FR$169&gt;SwaptionFirstMonthPosition+SwaptionNumOfMonths+1,$FJ185&gt;SwaptionFirstMonthPosition+SwaptionNumOfMonths+1),"",IF($FJ185=FR$169,1,IF($FJ185&lt;FR$169,INDEX($FK$170:$ID$241,FR$169,$FJ185),SUMPRODUCT(INDEX($FK$325:$ID$396,FR$169,1+SwaptionShift):INDEX($FK$325:$ID$396,FR$169,SwaptionMonthsToGo+SwaptionShift),INDEX($FK$245:$ID$316,$FJ185-FR$169,73-FR$169+SwaptionShift):INDEX($FK$245:$ID$316,$FJ185-FR$169,72-FR$169+SwaptionMonthsToGo+SwaptionShift))/SQRT(SUM(INDEX($FK340:$ID340,1+SwaptionShift):INDEX($FK340:$ID340,SwaptionMonthsToGo+SwaptionShift))*SUM(INDEX($FK$325:$ID$396,FR$169,1+SwaptionShift):INDEX($FK$325:$ID$396,FR$169,SwaptionMonthsToGo+SwaptionShift))))))</f>
        <v>0.93194044683145028</v>
      </c>
      <c r="FS185" s="479">
        <f ca="1">IF(OR(FS$169&lt;SwaptionFirstMonthPosition+1,$FJ185&lt;SwaptionFirstMonthPosition+1,FS$169&gt;SwaptionFirstMonthPosition+SwaptionNumOfMonths+1,$FJ185&gt;SwaptionFirstMonthPosition+SwaptionNumOfMonths+1),"",IF($FJ185=FS$169,1,IF($FJ185&lt;FS$169,INDEX($FK$170:$ID$241,FS$169,$FJ185),SUMPRODUCT(INDEX($FK$325:$ID$396,FS$169,1+SwaptionShift):INDEX($FK$325:$ID$396,FS$169,SwaptionMonthsToGo+SwaptionShift),INDEX($FK$245:$ID$316,$FJ185-FS$169,73-FS$169+SwaptionShift):INDEX($FK$245:$ID$316,$FJ185-FS$169,72-FS$169+SwaptionMonthsToGo+SwaptionShift))/SQRT(SUM(INDEX($FK340:$ID340,1+SwaptionShift):INDEX($FK340:$ID340,SwaptionMonthsToGo+SwaptionShift))*SUM(INDEX($FK$325:$ID$396,FS$169,1+SwaptionShift):INDEX($FK$325:$ID$396,FS$169,SwaptionMonthsToGo+SwaptionShift))))))</f>
        <v>0.94729641509909501</v>
      </c>
      <c r="FT185" s="479">
        <f ca="1">IF(OR(FT$169&lt;SwaptionFirstMonthPosition+1,$FJ185&lt;SwaptionFirstMonthPosition+1,FT$169&gt;SwaptionFirstMonthPosition+SwaptionNumOfMonths+1,$FJ185&gt;SwaptionFirstMonthPosition+SwaptionNumOfMonths+1),"",IF($FJ185=FT$169,1,IF($FJ185&lt;FT$169,INDEX($FK$170:$ID$241,FT$169,$FJ185),SUMPRODUCT(INDEX($FK$325:$ID$396,FT$169,1+SwaptionShift):INDEX($FK$325:$ID$396,FT$169,SwaptionMonthsToGo+SwaptionShift),INDEX($FK$245:$ID$316,$FJ185-FT$169,73-FT$169+SwaptionShift):INDEX($FK$245:$ID$316,$FJ185-FT$169,72-FT$169+SwaptionMonthsToGo+SwaptionShift))/SQRT(SUM(INDEX($FK340:$ID340,1+SwaptionShift):INDEX($FK340:$ID340,SwaptionMonthsToGo+SwaptionShift))*SUM(INDEX($FK$325:$ID$396,FT$169,1+SwaptionShift):INDEX($FK$325:$ID$396,FT$169,SwaptionMonthsToGo+SwaptionShift))))))</f>
        <v>0.95981356643483318</v>
      </c>
      <c r="FU185" s="479">
        <f ca="1">IF(OR(FU$169&lt;SwaptionFirstMonthPosition+1,$FJ185&lt;SwaptionFirstMonthPosition+1,FU$169&gt;SwaptionFirstMonthPosition+SwaptionNumOfMonths+1,$FJ185&gt;SwaptionFirstMonthPosition+SwaptionNumOfMonths+1),"",IF($FJ185=FU$169,1,IF($FJ185&lt;FU$169,INDEX($FK$170:$ID$241,FU$169,$FJ185),SUMPRODUCT(INDEX($FK$325:$ID$396,FU$169,1+SwaptionShift):INDEX($FK$325:$ID$396,FU$169,SwaptionMonthsToGo+SwaptionShift),INDEX($FK$245:$ID$316,$FJ185-FU$169,73-FU$169+SwaptionShift):INDEX($FK$245:$ID$316,$FJ185-FU$169,72-FU$169+SwaptionMonthsToGo+SwaptionShift))/SQRT(SUM(INDEX($FK340:$ID340,1+SwaptionShift):INDEX($FK340:$ID340,SwaptionMonthsToGo+SwaptionShift))*SUM(INDEX($FK$325:$ID$396,FU$169,1+SwaptionShift):INDEX($FK$325:$ID$396,FU$169,SwaptionMonthsToGo+SwaptionShift))))))</f>
        <v>0.97006261000321548</v>
      </c>
      <c r="FV185" s="479">
        <f ca="1">IF(OR(FV$169&lt;SwaptionFirstMonthPosition+1,$FJ185&lt;SwaptionFirstMonthPosition+1,FV$169&gt;SwaptionFirstMonthPosition+SwaptionNumOfMonths+1,$FJ185&gt;SwaptionFirstMonthPosition+SwaptionNumOfMonths+1),"",IF($FJ185=FV$169,1,IF($FJ185&lt;FV$169,INDEX($FK$170:$ID$241,FV$169,$FJ185),SUMPRODUCT(INDEX($FK$325:$ID$396,FV$169,1+SwaptionShift):INDEX($FK$325:$ID$396,FV$169,SwaptionMonthsToGo+SwaptionShift),INDEX($FK$245:$ID$316,$FJ185-FV$169,73-FV$169+SwaptionShift):INDEX($FK$245:$ID$316,$FJ185-FV$169,72-FV$169+SwaptionMonthsToGo+SwaptionShift))/SQRT(SUM(INDEX($FK340:$ID340,1+SwaptionShift):INDEX($FK340:$ID340,SwaptionMonthsToGo+SwaptionShift))*SUM(INDEX($FK$325:$ID$396,FV$169,1+SwaptionShift):INDEX($FK$325:$ID$396,FV$169,SwaptionMonthsToGo+SwaptionShift))))))</f>
        <v>0.97849011074835324</v>
      </c>
      <c r="FW185" s="479">
        <f ca="1">IF(OR(FW$169&lt;SwaptionFirstMonthPosition+1,$FJ185&lt;SwaptionFirstMonthPosition+1,FW$169&gt;SwaptionFirstMonthPosition+SwaptionNumOfMonths+1,$FJ185&gt;SwaptionFirstMonthPosition+SwaptionNumOfMonths+1),"",IF($FJ185=FW$169,1,IF($FJ185&lt;FW$169,INDEX($FK$170:$ID$241,FW$169,$FJ185),SUMPRODUCT(INDEX($FK$325:$ID$396,FW$169,1+SwaptionShift):INDEX($FK$325:$ID$396,FW$169,SwaptionMonthsToGo+SwaptionShift),INDEX($FK$245:$ID$316,$FJ185-FW$169,73-FW$169+SwaptionShift):INDEX($FK$245:$ID$316,$FJ185-FW$169,72-FW$169+SwaptionMonthsToGo+SwaptionShift))/SQRT(SUM(INDEX($FK340:$ID340,1+SwaptionShift):INDEX($FK340:$ID340,SwaptionMonthsToGo+SwaptionShift))*SUM(INDEX($FK$325:$ID$396,FW$169,1+SwaptionShift):INDEX($FK$325:$ID$396,FW$169,SwaptionMonthsToGo+SwaptionShift))))))</f>
        <v>0.98544724076081658</v>
      </c>
      <c r="FX185" s="479">
        <f ca="1">IF(OR(FX$169&lt;SwaptionFirstMonthPosition+1,$FJ185&lt;SwaptionFirstMonthPosition+1,FX$169&gt;SwaptionFirstMonthPosition+SwaptionNumOfMonths+1,$FJ185&gt;SwaptionFirstMonthPosition+SwaptionNumOfMonths+1),"",IF($FJ185=FX$169,1,IF($FJ185&lt;FX$169,INDEX($FK$170:$ID$241,FX$169,$FJ185),SUMPRODUCT(INDEX($FK$325:$ID$396,FX$169,1+SwaptionShift):INDEX($FK$325:$ID$396,FX$169,SwaptionMonthsToGo+SwaptionShift),INDEX($FK$245:$ID$316,$FJ185-FX$169,73-FX$169+SwaptionShift):INDEX($FK$245:$ID$316,$FJ185-FX$169,72-FX$169+SwaptionMonthsToGo+SwaptionShift))/SQRT(SUM(INDEX($FK340:$ID340,1+SwaptionShift):INDEX($FK340:$ID340,SwaptionMonthsToGo+SwaptionShift))*SUM(INDEX($FK$325:$ID$396,FX$169,1+SwaptionShift):INDEX($FK$325:$ID$396,FX$169,SwaptionMonthsToGo+SwaptionShift))))))</f>
        <v>0.99121159497166034</v>
      </c>
      <c r="FY185" s="479">
        <f ca="1">IF(OR(FY$169&lt;SwaptionFirstMonthPosition+1,$FJ185&lt;SwaptionFirstMonthPosition+1,FY$169&gt;SwaptionFirstMonthPosition+SwaptionNumOfMonths+1,$FJ185&gt;SwaptionFirstMonthPosition+SwaptionNumOfMonths+1),"",IF($FJ185=FY$169,1,IF($FJ185&lt;FY$169,INDEX($FK$170:$ID$241,FY$169,$FJ185),SUMPRODUCT(INDEX($FK$325:$ID$396,FY$169,1+SwaptionShift):INDEX($FK$325:$ID$396,FY$169,SwaptionMonthsToGo+SwaptionShift),INDEX($FK$245:$ID$316,$FJ185-FY$169,73-FY$169+SwaptionShift):INDEX($FK$245:$ID$316,$FJ185-FY$169,72-FY$169+SwaptionMonthsToGo+SwaptionShift))/SQRT(SUM(INDEX($FK340:$ID340,1+SwaptionShift):INDEX($FK340:$ID340,SwaptionMonthsToGo+SwaptionShift))*SUM(INDEX($FK$325:$ID$396,FY$169,1+SwaptionShift):INDEX($FK$325:$ID$396,FY$169,SwaptionMonthsToGo+SwaptionShift))))))</f>
        <v>0.99600377048077493</v>
      </c>
      <c r="FZ185" s="479">
        <f ca="1">IF(OR(FZ$169&lt;SwaptionFirstMonthPosition+1,$FJ185&lt;SwaptionFirstMonthPosition+1,FZ$169&gt;SwaptionFirstMonthPosition+SwaptionNumOfMonths+1,$FJ185&gt;SwaptionFirstMonthPosition+SwaptionNumOfMonths+1),"",IF($FJ185=FZ$169,1,IF($FJ185&lt;FZ$169,INDEX($FK$170:$ID$241,FZ$169,$FJ185),SUMPRODUCT(INDEX($FK$325:$ID$396,FZ$169,1+SwaptionShift):INDEX($FK$325:$ID$396,FZ$169,SwaptionMonthsToGo+SwaptionShift),INDEX($FK$245:$ID$316,$FJ185-FZ$169,73-FZ$169+SwaptionShift):INDEX($FK$245:$ID$316,$FJ185-FZ$169,72-FZ$169+SwaptionMonthsToGo+SwaptionShift))/SQRT(SUM(INDEX($FK340:$ID340,1+SwaptionShift):INDEX($FK340:$ID340,SwaptionMonthsToGo+SwaptionShift))*SUM(INDEX($FK$325:$ID$396,FZ$169,1+SwaptionShift):INDEX($FK$325:$ID$396,FZ$169,SwaptionMonthsToGo+SwaptionShift))))))</f>
        <v>1</v>
      </c>
      <c r="GA185" s="479">
        <f ca="1">IF(OR(GA$169&lt;SwaptionFirstMonthPosition+1,$FJ185&lt;SwaptionFirstMonthPosition+1,GA$169&gt;SwaptionFirstMonthPosition+SwaptionNumOfMonths+1,$FJ185&gt;SwaptionFirstMonthPosition+SwaptionNumOfMonths+1),"",IF($FJ185=GA$169,1,IF($FJ185&lt;GA$169,INDEX($FK$170:$ID$241,GA$169,$FJ185),SUMPRODUCT(INDEX($FK$325:$ID$396,GA$169,1+SwaptionShift):INDEX($FK$325:$ID$396,GA$169,SwaptionMonthsToGo+SwaptionShift),INDEX($FK$245:$ID$316,$FJ185-GA$169,73-GA$169+SwaptionShift):INDEX($FK$245:$ID$316,$FJ185-GA$169,72-GA$169+SwaptionMonthsToGo+SwaptionShift))/SQRT(SUM(INDEX($FK340:$ID340,1+SwaptionShift):INDEX($FK340:$ID340,SwaptionMonthsToGo+SwaptionShift))*SUM(INDEX($FK$325:$ID$396,GA$169,1+SwaptionShift):INDEX($FK$325:$ID$396,GA$169,SwaptionMonthsToGo+SwaptionShift))))))</f>
        <v>0.99665623210647059</v>
      </c>
      <c r="GB185" s="479">
        <f ca="1">IF(OR(GB$169&lt;SwaptionFirstMonthPosition+1,$FJ185&lt;SwaptionFirstMonthPosition+1,GB$169&gt;SwaptionFirstMonthPosition+SwaptionNumOfMonths+1,$FJ185&gt;SwaptionFirstMonthPosition+SwaptionNumOfMonths+1),"",IF($FJ185=GB$169,1,IF($FJ185&lt;GB$169,INDEX($FK$170:$ID$241,GB$169,$FJ185),SUMPRODUCT(INDEX($FK$325:$ID$396,GB$169,1+SwaptionShift):INDEX($FK$325:$ID$396,GB$169,SwaptionMonthsToGo+SwaptionShift),INDEX($FK$245:$ID$316,$FJ185-GB$169,73-GB$169+SwaptionShift):INDEX($FK$245:$ID$316,$FJ185-GB$169,72-GB$169+SwaptionMonthsToGo+SwaptionShift))/SQRT(SUM(INDEX($FK340:$ID340,1+SwaptionShift):INDEX($FK340:$ID340,SwaptionMonthsToGo+SwaptionShift))*SUM(INDEX($FK$325:$ID$396,GB$169,1+SwaptionShift):INDEX($FK$325:$ID$396,GB$169,SwaptionMonthsToGo+SwaptionShift))))))</f>
        <v>0.99384938819251756</v>
      </c>
      <c r="GC185" s="479" t="str">
        <f ca="1">IF(OR(GC$169&lt;SwaptionFirstMonthPosition+1,$FJ185&lt;SwaptionFirstMonthPosition+1,GC$169&gt;SwaptionFirstMonthPosition+SwaptionNumOfMonths+1,$FJ185&gt;SwaptionFirstMonthPosition+SwaptionNumOfMonths+1),"",IF($FJ185=GC$169,1,IF($FJ185&lt;GC$169,INDEX($FK$170:$ID$241,GC$169,$FJ185),SUMPRODUCT(INDEX($FK$325:$ID$396,GC$169,1+SwaptionShift):INDEX($FK$325:$ID$396,GC$169,SwaptionMonthsToGo+SwaptionShift),INDEX($FK$245:$ID$316,$FJ185-GC$169,73-GC$169+SwaptionShift):INDEX($FK$245:$ID$316,$FJ185-GC$169,72-GC$169+SwaptionMonthsToGo+SwaptionShift))/SQRT(SUM(INDEX($FK340:$ID340,1+SwaptionShift):INDEX($FK340:$ID340,SwaptionMonthsToGo+SwaptionShift))*SUM(INDEX($FK$325:$ID$396,GC$169,1+SwaptionShift):INDEX($FK$325:$ID$396,GC$169,SwaptionMonthsToGo+SwaptionShift))))))</f>
        <v/>
      </c>
      <c r="GD185" s="479" t="str">
        <f ca="1">IF(OR(GD$169&lt;SwaptionFirstMonthPosition+1,$FJ185&lt;SwaptionFirstMonthPosition+1,GD$169&gt;SwaptionFirstMonthPosition+SwaptionNumOfMonths+1,$FJ185&gt;SwaptionFirstMonthPosition+SwaptionNumOfMonths+1),"",IF($FJ185=GD$169,1,IF($FJ185&lt;GD$169,INDEX($FK$170:$ID$241,GD$169,$FJ185),SUMPRODUCT(INDEX($FK$325:$ID$396,GD$169,1+SwaptionShift):INDEX($FK$325:$ID$396,GD$169,SwaptionMonthsToGo+SwaptionShift),INDEX($FK$245:$ID$316,$FJ185-GD$169,73-GD$169+SwaptionShift):INDEX($FK$245:$ID$316,$FJ185-GD$169,72-GD$169+SwaptionMonthsToGo+SwaptionShift))/SQRT(SUM(INDEX($FK340:$ID340,1+SwaptionShift):INDEX($FK340:$ID340,SwaptionMonthsToGo+SwaptionShift))*SUM(INDEX($FK$325:$ID$396,GD$169,1+SwaptionShift):INDEX($FK$325:$ID$396,GD$169,SwaptionMonthsToGo+SwaptionShift))))))</f>
        <v/>
      </c>
      <c r="GE185" s="479" t="str">
        <f ca="1">IF(OR(GE$169&lt;SwaptionFirstMonthPosition+1,$FJ185&lt;SwaptionFirstMonthPosition+1,GE$169&gt;SwaptionFirstMonthPosition+SwaptionNumOfMonths+1,$FJ185&gt;SwaptionFirstMonthPosition+SwaptionNumOfMonths+1),"",IF($FJ185=GE$169,1,IF($FJ185&lt;GE$169,INDEX($FK$170:$ID$241,GE$169,$FJ185),SUMPRODUCT(INDEX($FK$325:$ID$396,GE$169,1+SwaptionShift):INDEX($FK$325:$ID$396,GE$169,SwaptionMonthsToGo+SwaptionShift),INDEX($FK$245:$ID$316,$FJ185-GE$169,73-GE$169+SwaptionShift):INDEX($FK$245:$ID$316,$FJ185-GE$169,72-GE$169+SwaptionMonthsToGo+SwaptionShift))/SQRT(SUM(INDEX($FK340:$ID340,1+SwaptionShift):INDEX($FK340:$ID340,SwaptionMonthsToGo+SwaptionShift))*SUM(INDEX($FK$325:$ID$396,GE$169,1+SwaptionShift):INDEX($FK$325:$ID$396,GE$169,SwaptionMonthsToGo+SwaptionShift))))))</f>
        <v/>
      </c>
      <c r="GF185" s="479" t="str">
        <f ca="1">IF(OR(GF$169&lt;SwaptionFirstMonthPosition+1,$FJ185&lt;SwaptionFirstMonthPosition+1,GF$169&gt;SwaptionFirstMonthPosition+SwaptionNumOfMonths+1,$FJ185&gt;SwaptionFirstMonthPosition+SwaptionNumOfMonths+1),"",IF($FJ185=GF$169,1,IF($FJ185&lt;GF$169,INDEX($FK$170:$ID$241,GF$169,$FJ185),SUMPRODUCT(INDEX($FK$325:$ID$396,GF$169,1+SwaptionShift):INDEX($FK$325:$ID$396,GF$169,SwaptionMonthsToGo+SwaptionShift),INDEX($FK$245:$ID$316,$FJ185-GF$169,73-GF$169+SwaptionShift):INDEX($FK$245:$ID$316,$FJ185-GF$169,72-GF$169+SwaptionMonthsToGo+SwaptionShift))/SQRT(SUM(INDEX($FK340:$ID340,1+SwaptionShift):INDEX($FK340:$ID340,SwaptionMonthsToGo+SwaptionShift))*SUM(INDEX($FK$325:$ID$396,GF$169,1+SwaptionShift):INDEX($FK$325:$ID$396,GF$169,SwaptionMonthsToGo+SwaptionShift))))))</f>
        <v/>
      </c>
      <c r="GG185" s="479" t="str">
        <f ca="1">IF(OR(GG$169&lt;SwaptionFirstMonthPosition+1,$FJ185&lt;SwaptionFirstMonthPosition+1,GG$169&gt;SwaptionFirstMonthPosition+SwaptionNumOfMonths+1,$FJ185&gt;SwaptionFirstMonthPosition+SwaptionNumOfMonths+1),"",IF($FJ185=GG$169,1,IF($FJ185&lt;GG$169,INDEX($FK$170:$ID$241,GG$169,$FJ185),SUMPRODUCT(INDEX($FK$325:$ID$396,GG$169,1+SwaptionShift):INDEX($FK$325:$ID$396,GG$169,SwaptionMonthsToGo+SwaptionShift),INDEX($FK$245:$ID$316,$FJ185-GG$169,73-GG$169+SwaptionShift):INDEX($FK$245:$ID$316,$FJ185-GG$169,72-GG$169+SwaptionMonthsToGo+SwaptionShift))/SQRT(SUM(INDEX($FK340:$ID340,1+SwaptionShift):INDEX($FK340:$ID340,SwaptionMonthsToGo+SwaptionShift))*SUM(INDEX($FK$325:$ID$396,GG$169,1+SwaptionShift):INDEX($FK$325:$ID$396,GG$169,SwaptionMonthsToGo+SwaptionShift))))))</f>
        <v/>
      </c>
      <c r="GH185" s="479" t="str">
        <f ca="1">IF(OR(GH$169&lt;SwaptionFirstMonthPosition+1,$FJ185&lt;SwaptionFirstMonthPosition+1,GH$169&gt;SwaptionFirstMonthPosition+SwaptionNumOfMonths+1,$FJ185&gt;SwaptionFirstMonthPosition+SwaptionNumOfMonths+1),"",IF($FJ185=GH$169,1,IF($FJ185&lt;GH$169,INDEX($FK$170:$ID$241,GH$169,$FJ185),SUMPRODUCT(INDEX($FK$325:$ID$396,GH$169,1+SwaptionShift):INDEX($FK$325:$ID$396,GH$169,SwaptionMonthsToGo+SwaptionShift),INDEX($FK$245:$ID$316,$FJ185-GH$169,73-GH$169+SwaptionShift):INDEX($FK$245:$ID$316,$FJ185-GH$169,72-GH$169+SwaptionMonthsToGo+SwaptionShift))/SQRT(SUM(INDEX($FK340:$ID340,1+SwaptionShift):INDEX($FK340:$ID340,SwaptionMonthsToGo+SwaptionShift))*SUM(INDEX($FK$325:$ID$396,GH$169,1+SwaptionShift):INDEX($FK$325:$ID$396,GH$169,SwaptionMonthsToGo+SwaptionShift))))))</f>
        <v/>
      </c>
      <c r="GI185" s="479" t="str">
        <f ca="1">IF(OR(GI$169&lt;SwaptionFirstMonthPosition+1,$FJ185&lt;SwaptionFirstMonthPosition+1,GI$169&gt;SwaptionFirstMonthPosition+SwaptionNumOfMonths+1,$FJ185&gt;SwaptionFirstMonthPosition+SwaptionNumOfMonths+1),"",IF($FJ185=GI$169,1,IF($FJ185&lt;GI$169,INDEX($FK$170:$ID$241,GI$169,$FJ185),SUMPRODUCT(INDEX($FK$325:$ID$396,GI$169,1+SwaptionShift):INDEX($FK$325:$ID$396,GI$169,SwaptionMonthsToGo+SwaptionShift),INDEX($FK$245:$ID$316,$FJ185-GI$169,73-GI$169+SwaptionShift):INDEX($FK$245:$ID$316,$FJ185-GI$169,72-GI$169+SwaptionMonthsToGo+SwaptionShift))/SQRT(SUM(INDEX($FK340:$ID340,1+SwaptionShift):INDEX($FK340:$ID340,SwaptionMonthsToGo+SwaptionShift))*SUM(INDEX($FK$325:$ID$396,GI$169,1+SwaptionShift):INDEX($FK$325:$ID$396,GI$169,SwaptionMonthsToGo+SwaptionShift))))))</f>
        <v/>
      </c>
      <c r="GJ185" s="479" t="str">
        <f ca="1">IF(OR(GJ$169&lt;SwaptionFirstMonthPosition+1,$FJ185&lt;SwaptionFirstMonthPosition+1,GJ$169&gt;SwaptionFirstMonthPosition+SwaptionNumOfMonths+1,$FJ185&gt;SwaptionFirstMonthPosition+SwaptionNumOfMonths+1),"",IF($FJ185=GJ$169,1,IF($FJ185&lt;GJ$169,INDEX($FK$170:$ID$241,GJ$169,$FJ185),SUMPRODUCT(INDEX($FK$325:$ID$396,GJ$169,1+SwaptionShift):INDEX($FK$325:$ID$396,GJ$169,SwaptionMonthsToGo+SwaptionShift),INDEX($FK$245:$ID$316,$FJ185-GJ$169,73-GJ$169+SwaptionShift):INDEX($FK$245:$ID$316,$FJ185-GJ$169,72-GJ$169+SwaptionMonthsToGo+SwaptionShift))/SQRT(SUM(INDEX($FK340:$ID340,1+SwaptionShift):INDEX($FK340:$ID340,SwaptionMonthsToGo+SwaptionShift))*SUM(INDEX($FK$325:$ID$396,GJ$169,1+SwaptionShift):INDEX($FK$325:$ID$396,GJ$169,SwaptionMonthsToGo+SwaptionShift))))))</f>
        <v/>
      </c>
      <c r="GK185" s="479" t="str">
        <f ca="1">IF(OR(GK$169&lt;SwaptionFirstMonthPosition+1,$FJ185&lt;SwaptionFirstMonthPosition+1,GK$169&gt;SwaptionFirstMonthPosition+SwaptionNumOfMonths+1,$FJ185&gt;SwaptionFirstMonthPosition+SwaptionNumOfMonths+1),"",IF($FJ185=GK$169,1,IF($FJ185&lt;GK$169,INDEX($FK$170:$ID$241,GK$169,$FJ185),SUMPRODUCT(INDEX($FK$325:$ID$396,GK$169,1+SwaptionShift):INDEX($FK$325:$ID$396,GK$169,SwaptionMonthsToGo+SwaptionShift),INDEX($FK$245:$ID$316,$FJ185-GK$169,73-GK$169+SwaptionShift):INDEX($FK$245:$ID$316,$FJ185-GK$169,72-GK$169+SwaptionMonthsToGo+SwaptionShift))/SQRT(SUM(INDEX($FK340:$ID340,1+SwaptionShift):INDEX($FK340:$ID340,SwaptionMonthsToGo+SwaptionShift))*SUM(INDEX($FK$325:$ID$396,GK$169,1+SwaptionShift):INDEX($FK$325:$ID$396,GK$169,SwaptionMonthsToGo+SwaptionShift))))))</f>
        <v/>
      </c>
      <c r="GL185" s="479" t="str">
        <f ca="1">IF(OR(GL$169&lt;SwaptionFirstMonthPosition+1,$FJ185&lt;SwaptionFirstMonthPosition+1,GL$169&gt;SwaptionFirstMonthPosition+SwaptionNumOfMonths+1,$FJ185&gt;SwaptionFirstMonthPosition+SwaptionNumOfMonths+1),"",IF($FJ185=GL$169,1,IF($FJ185&lt;GL$169,INDEX($FK$170:$ID$241,GL$169,$FJ185),SUMPRODUCT(INDEX($FK$325:$ID$396,GL$169,1+SwaptionShift):INDEX($FK$325:$ID$396,GL$169,SwaptionMonthsToGo+SwaptionShift),INDEX($FK$245:$ID$316,$FJ185-GL$169,73-GL$169+SwaptionShift):INDEX($FK$245:$ID$316,$FJ185-GL$169,72-GL$169+SwaptionMonthsToGo+SwaptionShift))/SQRT(SUM(INDEX($FK340:$ID340,1+SwaptionShift):INDEX($FK340:$ID340,SwaptionMonthsToGo+SwaptionShift))*SUM(INDEX($FK$325:$ID$396,GL$169,1+SwaptionShift):INDEX($FK$325:$ID$396,GL$169,SwaptionMonthsToGo+SwaptionShift))))))</f>
        <v/>
      </c>
      <c r="GM185" s="479" t="str">
        <f ca="1">IF(OR(GM$169&lt;SwaptionFirstMonthPosition+1,$FJ185&lt;SwaptionFirstMonthPosition+1,GM$169&gt;SwaptionFirstMonthPosition+SwaptionNumOfMonths+1,$FJ185&gt;SwaptionFirstMonthPosition+SwaptionNumOfMonths+1),"",IF($FJ185=GM$169,1,IF($FJ185&lt;GM$169,INDEX($FK$170:$ID$241,GM$169,$FJ185),SUMPRODUCT(INDEX($FK$325:$ID$396,GM$169,1+SwaptionShift):INDEX($FK$325:$ID$396,GM$169,SwaptionMonthsToGo+SwaptionShift),INDEX($FK$245:$ID$316,$FJ185-GM$169,73-GM$169+SwaptionShift):INDEX($FK$245:$ID$316,$FJ185-GM$169,72-GM$169+SwaptionMonthsToGo+SwaptionShift))/SQRT(SUM(INDEX($FK340:$ID340,1+SwaptionShift):INDEX($FK340:$ID340,SwaptionMonthsToGo+SwaptionShift))*SUM(INDEX($FK$325:$ID$396,GM$169,1+SwaptionShift):INDEX($FK$325:$ID$396,GM$169,SwaptionMonthsToGo+SwaptionShift))))))</f>
        <v/>
      </c>
      <c r="GN185" s="479" t="str">
        <f ca="1">IF(OR(GN$169&lt;SwaptionFirstMonthPosition+1,$FJ185&lt;SwaptionFirstMonthPosition+1,GN$169&gt;SwaptionFirstMonthPosition+SwaptionNumOfMonths+1,$FJ185&gt;SwaptionFirstMonthPosition+SwaptionNumOfMonths+1),"",IF($FJ185=GN$169,1,IF($FJ185&lt;GN$169,INDEX($FK$170:$ID$241,GN$169,$FJ185),SUMPRODUCT(INDEX($FK$325:$ID$396,GN$169,1+SwaptionShift):INDEX($FK$325:$ID$396,GN$169,SwaptionMonthsToGo+SwaptionShift),INDEX($FK$245:$ID$316,$FJ185-GN$169,73-GN$169+SwaptionShift):INDEX($FK$245:$ID$316,$FJ185-GN$169,72-GN$169+SwaptionMonthsToGo+SwaptionShift))/SQRT(SUM(INDEX($FK340:$ID340,1+SwaptionShift):INDEX($FK340:$ID340,SwaptionMonthsToGo+SwaptionShift))*SUM(INDEX($FK$325:$ID$396,GN$169,1+SwaptionShift):INDEX($FK$325:$ID$396,GN$169,SwaptionMonthsToGo+SwaptionShift))))))</f>
        <v/>
      </c>
      <c r="GO185" s="479" t="str">
        <f ca="1">IF(OR(GO$169&lt;SwaptionFirstMonthPosition+1,$FJ185&lt;SwaptionFirstMonthPosition+1,GO$169&gt;SwaptionFirstMonthPosition+SwaptionNumOfMonths+1,$FJ185&gt;SwaptionFirstMonthPosition+SwaptionNumOfMonths+1),"",IF($FJ185=GO$169,1,IF($FJ185&lt;GO$169,INDEX($FK$170:$ID$241,GO$169,$FJ185),SUMPRODUCT(INDEX($FK$325:$ID$396,GO$169,1+SwaptionShift):INDEX($FK$325:$ID$396,GO$169,SwaptionMonthsToGo+SwaptionShift),INDEX($FK$245:$ID$316,$FJ185-GO$169,73-GO$169+SwaptionShift):INDEX($FK$245:$ID$316,$FJ185-GO$169,72-GO$169+SwaptionMonthsToGo+SwaptionShift))/SQRT(SUM(INDEX($FK340:$ID340,1+SwaptionShift):INDEX($FK340:$ID340,SwaptionMonthsToGo+SwaptionShift))*SUM(INDEX($FK$325:$ID$396,GO$169,1+SwaptionShift):INDEX($FK$325:$ID$396,GO$169,SwaptionMonthsToGo+SwaptionShift))))))</f>
        <v/>
      </c>
      <c r="GP185" s="479" t="str">
        <f ca="1">IF(OR(GP$169&lt;SwaptionFirstMonthPosition+1,$FJ185&lt;SwaptionFirstMonthPosition+1,GP$169&gt;SwaptionFirstMonthPosition+SwaptionNumOfMonths+1,$FJ185&gt;SwaptionFirstMonthPosition+SwaptionNumOfMonths+1),"",IF($FJ185=GP$169,1,IF($FJ185&lt;GP$169,INDEX($FK$170:$ID$241,GP$169,$FJ185),SUMPRODUCT(INDEX($FK$325:$ID$396,GP$169,1+SwaptionShift):INDEX($FK$325:$ID$396,GP$169,SwaptionMonthsToGo+SwaptionShift),INDEX($FK$245:$ID$316,$FJ185-GP$169,73-GP$169+SwaptionShift):INDEX($FK$245:$ID$316,$FJ185-GP$169,72-GP$169+SwaptionMonthsToGo+SwaptionShift))/SQRT(SUM(INDEX($FK340:$ID340,1+SwaptionShift):INDEX($FK340:$ID340,SwaptionMonthsToGo+SwaptionShift))*SUM(INDEX($FK$325:$ID$396,GP$169,1+SwaptionShift):INDEX($FK$325:$ID$396,GP$169,SwaptionMonthsToGo+SwaptionShift))))))</f>
        <v/>
      </c>
      <c r="GQ185" s="479" t="str">
        <f ca="1">IF(OR(GQ$169&lt;SwaptionFirstMonthPosition+1,$FJ185&lt;SwaptionFirstMonthPosition+1,GQ$169&gt;SwaptionFirstMonthPosition+SwaptionNumOfMonths+1,$FJ185&gt;SwaptionFirstMonthPosition+SwaptionNumOfMonths+1),"",IF($FJ185=GQ$169,1,IF($FJ185&lt;GQ$169,INDEX($FK$170:$ID$241,GQ$169,$FJ185),SUMPRODUCT(INDEX($FK$325:$ID$396,GQ$169,1+SwaptionShift):INDEX($FK$325:$ID$396,GQ$169,SwaptionMonthsToGo+SwaptionShift),INDEX($FK$245:$ID$316,$FJ185-GQ$169,73-GQ$169+SwaptionShift):INDEX($FK$245:$ID$316,$FJ185-GQ$169,72-GQ$169+SwaptionMonthsToGo+SwaptionShift))/SQRT(SUM(INDEX($FK340:$ID340,1+SwaptionShift):INDEX($FK340:$ID340,SwaptionMonthsToGo+SwaptionShift))*SUM(INDEX($FK$325:$ID$396,GQ$169,1+SwaptionShift):INDEX($FK$325:$ID$396,GQ$169,SwaptionMonthsToGo+SwaptionShift))))))</f>
        <v/>
      </c>
      <c r="GR185" s="479" t="str">
        <f ca="1">IF(OR(GR$169&lt;SwaptionFirstMonthPosition+1,$FJ185&lt;SwaptionFirstMonthPosition+1,GR$169&gt;SwaptionFirstMonthPosition+SwaptionNumOfMonths+1,$FJ185&gt;SwaptionFirstMonthPosition+SwaptionNumOfMonths+1),"",IF($FJ185=GR$169,1,IF($FJ185&lt;GR$169,INDEX($FK$170:$ID$241,GR$169,$FJ185),SUMPRODUCT(INDEX($FK$325:$ID$396,GR$169,1+SwaptionShift):INDEX($FK$325:$ID$396,GR$169,SwaptionMonthsToGo+SwaptionShift),INDEX($FK$245:$ID$316,$FJ185-GR$169,73-GR$169+SwaptionShift):INDEX($FK$245:$ID$316,$FJ185-GR$169,72-GR$169+SwaptionMonthsToGo+SwaptionShift))/SQRT(SUM(INDEX($FK340:$ID340,1+SwaptionShift):INDEX($FK340:$ID340,SwaptionMonthsToGo+SwaptionShift))*SUM(INDEX($FK$325:$ID$396,GR$169,1+SwaptionShift):INDEX($FK$325:$ID$396,GR$169,SwaptionMonthsToGo+SwaptionShift))))))</f>
        <v/>
      </c>
      <c r="GS185" s="479" t="str">
        <f ca="1">IF(OR(GS$169&lt;SwaptionFirstMonthPosition+1,$FJ185&lt;SwaptionFirstMonthPosition+1,GS$169&gt;SwaptionFirstMonthPosition+SwaptionNumOfMonths+1,$FJ185&gt;SwaptionFirstMonthPosition+SwaptionNumOfMonths+1),"",IF($FJ185=GS$169,1,IF($FJ185&lt;GS$169,INDEX($FK$170:$ID$241,GS$169,$FJ185),SUMPRODUCT(INDEX($FK$325:$ID$396,GS$169,1+SwaptionShift):INDEX($FK$325:$ID$396,GS$169,SwaptionMonthsToGo+SwaptionShift),INDEX($FK$245:$ID$316,$FJ185-GS$169,73-GS$169+SwaptionShift):INDEX($FK$245:$ID$316,$FJ185-GS$169,72-GS$169+SwaptionMonthsToGo+SwaptionShift))/SQRT(SUM(INDEX($FK340:$ID340,1+SwaptionShift):INDEX($FK340:$ID340,SwaptionMonthsToGo+SwaptionShift))*SUM(INDEX($FK$325:$ID$396,GS$169,1+SwaptionShift):INDEX($FK$325:$ID$396,GS$169,SwaptionMonthsToGo+SwaptionShift))))))</f>
        <v/>
      </c>
      <c r="GT185" s="479" t="str">
        <f ca="1">IF(OR(GT$169&lt;SwaptionFirstMonthPosition+1,$FJ185&lt;SwaptionFirstMonthPosition+1,GT$169&gt;SwaptionFirstMonthPosition+SwaptionNumOfMonths+1,$FJ185&gt;SwaptionFirstMonthPosition+SwaptionNumOfMonths+1),"",IF($FJ185=GT$169,1,IF($FJ185&lt;GT$169,INDEX($FK$170:$ID$241,GT$169,$FJ185),SUMPRODUCT(INDEX($FK$325:$ID$396,GT$169,1+SwaptionShift):INDEX($FK$325:$ID$396,GT$169,SwaptionMonthsToGo+SwaptionShift),INDEX($FK$245:$ID$316,$FJ185-GT$169,73-GT$169+SwaptionShift):INDEX($FK$245:$ID$316,$FJ185-GT$169,72-GT$169+SwaptionMonthsToGo+SwaptionShift))/SQRT(SUM(INDEX($FK340:$ID340,1+SwaptionShift):INDEX($FK340:$ID340,SwaptionMonthsToGo+SwaptionShift))*SUM(INDEX($FK$325:$ID$396,GT$169,1+SwaptionShift):INDEX($FK$325:$ID$396,GT$169,SwaptionMonthsToGo+SwaptionShift))))))</f>
        <v/>
      </c>
      <c r="GU185" s="479" t="str">
        <f ca="1">IF(OR(GU$169&lt;SwaptionFirstMonthPosition+1,$FJ185&lt;SwaptionFirstMonthPosition+1,GU$169&gt;SwaptionFirstMonthPosition+SwaptionNumOfMonths+1,$FJ185&gt;SwaptionFirstMonthPosition+SwaptionNumOfMonths+1),"",IF($FJ185=GU$169,1,IF($FJ185&lt;GU$169,INDEX($FK$170:$ID$241,GU$169,$FJ185),SUMPRODUCT(INDEX($FK$325:$ID$396,GU$169,1+SwaptionShift):INDEX($FK$325:$ID$396,GU$169,SwaptionMonthsToGo+SwaptionShift),INDEX($FK$245:$ID$316,$FJ185-GU$169,73-GU$169+SwaptionShift):INDEX($FK$245:$ID$316,$FJ185-GU$169,72-GU$169+SwaptionMonthsToGo+SwaptionShift))/SQRT(SUM(INDEX($FK340:$ID340,1+SwaptionShift):INDEX($FK340:$ID340,SwaptionMonthsToGo+SwaptionShift))*SUM(INDEX($FK$325:$ID$396,GU$169,1+SwaptionShift):INDEX($FK$325:$ID$396,GU$169,SwaptionMonthsToGo+SwaptionShift))))))</f>
        <v/>
      </c>
      <c r="GV185" s="479" t="str">
        <f ca="1">IF(OR(GV$169&lt;SwaptionFirstMonthPosition+1,$FJ185&lt;SwaptionFirstMonthPosition+1,GV$169&gt;SwaptionFirstMonthPosition+SwaptionNumOfMonths+1,$FJ185&gt;SwaptionFirstMonthPosition+SwaptionNumOfMonths+1),"",IF($FJ185=GV$169,1,IF($FJ185&lt;GV$169,INDEX($FK$170:$ID$241,GV$169,$FJ185),SUMPRODUCT(INDEX($FK$325:$ID$396,GV$169,1+SwaptionShift):INDEX($FK$325:$ID$396,GV$169,SwaptionMonthsToGo+SwaptionShift),INDEX($FK$245:$ID$316,$FJ185-GV$169,73-GV$169+SwaptionShift):INDEX($FK$245:$ID$316,$FJ185-GV$169,72-GV$169+SwaptionMonthsToGo+SwaptionShift))/SQRT(SUM(INDEX($FK340:$ID340,1+SwaptionShift):INDEX($FK340:$ID340,SwaptionMonthsToGo+SwaptionShift))*SUM(INDEX($FK$325:$ID$396,GV$169,1+SwaptionShift):INDEX($FK$325:$ID$396,GV$169,SwaptionMonthsToGo+SwaptionShift))))))</f>
        <v/>
      </c>
      <c r="GW185" s="479" t="str">
        <f ca="1">IF(OR(GW$169&lt;SwaptionFirstMonthPosition+1,$FJ185&lt;SwaptionFirstMonthPosition+1,GW$169&gt;SwaptionFirstMonthPosition+SwaptionNumOfMonths+1,$FJ185&gt;SwaptionFirstMonthPosition+SwaptionNumOfMonths+1),"",IF($FJ185=GW$169,1,IF($FJ185&lt;GW$169,INDEX($FK$170:$ID$241,GW$169,$FJ185),SUMPRODUCT(INDEX($FK$325:$ID$396,GW$169,1+SwaptionShift):INDEX($FK$325:$ID$396,GW$169,SwaptionMonthsToGo+SwaptionShift),INDEX($FK$245:$ID$316,$FJ185-GW$169,73-GW$169+SwaptionShift):INDEX($FK$245:$ID$316,$FJ185-GW$169,72-GW$169+SwaptionMonthsToGo+SwaptionShift))/SQRT(SUM(INDEX($FK340:$ID340,1+SwaptionShift):INDEX($FK340:$ID340,SwaptionMonthsToGo+SwaptionShift))*SUM(INDEX($FK$325:$ID$396,GW$169,1+SwaptionShift):INDEX($FK$325:$ID$396,GW$169,SwaptionMonthsToGo+SwaptionShift))))))</f>
        <v/>
      </c>
      <c r="GX185" s="479" t="str">
        <f ca="1">IF(OR(GX$169&lt;SwaptionFirstMonthPosition+1,$FJ185&lt;SwaptionFirstMonthPosition+1,GX$169&gt;SwaptionFirstMonthPosition+SwaptionNumOfMonths+1,$FJ185&gt;SwaptionFirstMonthPosition+SwaptionNumOfMonths+1),"",IF($FJ185=GX$169,1,IF($FJ185&lt;GX$169,INDEX($FK$170:$ID$241,GX$169,$FJ185),SUMPRODUCT(INDEX($FK$325:$ID$396,GX$169,1+SwaptionShift):INDEX($FK$325:$ID$396,GX$169,SwaptionMonthsToGo+SwaptionShift),INDEX($FK$245:$ID$316,$FJ185-GX$169,73-GX$169+SwaptionShift):INDEX($FK$245:$ID$316,$FJ185-GX$169,72-GX$169+SwaptionMonthsToGo+SwaptionShift))/SQRT(SUM(INDEX($FK340:$ID340,1+SwaptionShift):INDEX($FK340:$ID340,SwaptionMonthsToGo+SwaptionShift))*SUM(INDEX($FK$325:$ID$396,GX$169,1+SwaptionShift):INDEX($FK$325:$ID$396,GX$169,SwaptionMonthsToGo+SwaptionShift))))))</f>
        <v/>
      </c>
      <c r="GY185" s="479" t="str">
        <f ca="1">IF(OR(GY$169&lt;SwaptionFirstMonthPosition+1,$FJ185&lt;SwaptionFirstMonthPosition+1,GY$169&gt;SwaptionFirstMonthPosition+SwaptionNumOfMonths+1,$FJ185&gt;SwaptionFirstMonthPosition+SwaptionNumOfMonths+1),"",IF($FJ185=GY$169,1,IF($FJ185&lt;GY$169,INDEX($FK$170:$ID$241,GY$169,$FJ185),SUMPRODUCT(INDEX($FK$325:$ID$396,GY$169,1+SwaptionShift):INDEX($FK$325:$ID$396,GY$169,SwaptionMonthsToGo+SwaptionShift),INDEX($FK$245:$ID$316,$FJ185-GY$169,73-GY$169+SwaptionShift):INDEX($FK$245:$ID$316,$FJ185-GY$169,72-GY$169+SwaptionMonthsToGo+SwaptionShift))/SQRT(SUM(INDEX($FK340:$ID340,1+SwaptionShift):INDEX($FK340:$ID340,SwaptionMonthsToGo+SwaptionShift))*SUM(INDEX($FK$325:$ID$396,GY$169,1+SwaptionShift):INDEX($FK$325:$ID$396,GY$169,SwaptionMonthsToGo+SwaptionShift))))))</f>
        <v/>
      </c>
      <c r="GZ185" s="479" t="str">
        <f ca="1">IF(OR(GZ$169&lt;SwaptionFirstMonthPosition+1,$FJ185&lt;SwaptionFirstMonthPosition+1,GZ$169&gt;SwaptionFirstMonthPosition+SwaptionNumOfMonths+1,$FJ185&gt;SwaptionFirstMonthPosition+SwaptionNumOfMonths+1),"",IF($FJ185=GZ$169,1,IF($FJ185&lt;GZ$169,INDEX($FK$170:$ID$241,GZ$169,$FJ185),SUMPRODUCT(INDEX($FK$325:$ID$396,GZ$169,1+SwaptionShift):INDEX($FK$325:$ID$396,GZ$169,SwaptionMonthsToGo+SwaptionShift),INDEX($FK$245:$ID$316,$FJ185-GZ$169,73-GZ$169+SwaptionShift):INDEX($FK$245:$ID$316,$FJ185-GZ$169,72-GZ$169+SwaptionMonthsToGo+SwaptionShift))/SQRT(SUM(INDEX($FK340:$ID340,1+SwaptionShift):INDEX($FK340:$ID340,SwaptionMonthsToGo+SwaptionShift))*SUM(INDEX($FK$325:$ID$396,GZ$169,1+SwaptionShift):INDEX($FK$325:$ID$396,GZ$169,SwaptionMonthsToGo+SwaptionShift))))))</f>
        <v/>
      </c>
      <c r="HA185" s="479" t="str">
        <f ca="1">IF(OR(HA$169&lt;SwaptionFirstMonthPosition+1,$FJ185&lt;SwaptionFirstMonthPosition+1,HA$169&gt;SwaptionFirstMonthPosition+SwaptionNumOfMonths+1,$FJ185&gt;SwaptionFirstMonthPosition+SwaptionNumOfMonths+1),"",IF($FJ185=HA$169,1,IF($FJ185&lt;HA$169,INDEX($FK$170:$ID$241,HA$169,$FJ185),SUMPRODUCT(INDEX($FK$325:$ID$396,HA$169,1+SwaptionShift):INDEX($FK$325:$ID$396,HA$169,SwaptionMonthsToGo+SwaptionShift),INDEX($FK$245:$ID$316,$FJ185-HA$169,73-HA$169+SwaptionShift):INDEX($FK$245:$ID$316,$FJ185-HA$169,72-HA$169+SwaptionMonthsToGo+SwaptionShift))/SQRT(SUM(INDEX($FK340:$ID340,1+SwaptionShift):INDEX($FK340:$ID340,SwaptionMonthsToGo+SwaptionShift))*SUM(INDEX($FK$325:$ID$396,HA$169,1+SwaptionShift):INDEX($FK$325:$ID$396,HA$169,SwaptionMonthsToGo+SwaptionShift))))))</f>
        <v/>
      </c>
      <c r="HB185" s="479" t="str">
        <f ca="1">IF(OR(HB$169&lt;SwaptionFirstMonthPosition+1,$FJ185&lt;SwaptionFirstMonthPosition+1,HB$169&gt;SwaptionFirstMonthPosition+SwaptionNumOfMonths+1,$FJ185&gt;SwaptionFirstMonthPosition+SwaptionNumOfMonths+1),"",IF($FJ185=HB$169,1,IF($FJ185&lt;HB$169,INDEX($FK$170:$ID$241,HB$169,$FJ185),SUMPRODUCT(INDEX($FK$325:$ID$396,HB$169,1+SwaptionShift):INDEX($FK$325:$ID$396,HB$169,SwaptionMonthsToGo+SwaptionShift),INDEX($FK$245:$ID$316,$FJ185-HB$169,73-HB$169+SwaptionShift):INDEX($FK$245:$ID$316,$FJ185-HB$169,72-HB$169+SwaptionMonthsToGo+SwaptionShift))/SQRT(SUM(INDEX($FK340:$ID340,1+SwaptionShift):INDEX($FK340:$ID340,SwaptionMonthsToGo+SwaptionShift))*SUM(INDEX($FK$325:$ID$396,HB$169,1+SwaptionShift):INDEX($FK$325:$ID$396,HB$169,SwaptionMonthsToGo+SwaptionShift))))))</f>
        <v/>
      </c>
      <c r="HC185" s="479" t="str">
        <f ca="1">IF(OR(HC$169&lt;SwaptionFirstMonthPosition+1,$FJ185&lt;SwaptionFirstMonthPosition+1,HC$169&gt;SwaptionFirstMonthPosition+SwaptionNumOfMonths+1,$FJ185&gt;SwaptionFirstMonthPosition+SwaptionNumOfMonths+1),"",IF($FJ185=HC$169,1,IF($FJ185&lt;HC$169,INDEX($FK$170:$ID$241,HC$169,$FJ185),SUMPRODUCT(INDEX($FK$325:$ID$396,HC$169,1+SwaptionShift):INDEX($FK$325:$ID$396,HC$169,SwaptionMonthsToGo+SwaptionShift),INDEX($FK$245:$ID$316,$FJ185-HC$169,73-HC$169+SwaptionShift):INDEX($FK$245:$ID$316,$FJ185-HC$169,72-HC$169+SwaptionMonthsToGo+SwaptionShift))/SQRT(SUM(INDEX($FK340:$ID340,1+SwaptionShift):INDEX($FK340:$ID340,SwaptionMonthsToGo+SwaptionShift))*SUM(INDEX($FK$325:$ID$396,HC$169,1+SwaptionShift):INDEX($FK$325:$ID$396,HC$169,SwaptionMonthsToGo+SwaptionShift))))))</f>
        <v/>
      </c>
      <c r="HD185" s="479" t="str">
        <f ca="1">IF(OR(HD$169&lt;SwaptionFirstMonthPosition+1,$FJ185&lt;SwaptionFirstMonthPosition+1,HD$169&gt;SwaptionFirstMonthPosition+SwaptionNumOfMonths+1,$FJ185&gt;SwaptionFirstMonthPosition+SwaptionNumOfMonths+1),"",IF($FJ185=HD$169,1,IF($FJ185&lt;HD$169,INDEX($FK$170:$ID$241,HD$169,$FJ185),SUMPRODUCT(INDEX($FK$325:$ID$396,HD$169,1+SwaptionShift):INDEX($FK$325:$ID$396,HD$169,SwaptionMonthsToGo+SwaptionShift),INDEX($FK$245:$ID$316,$FJ185-HD$169,73-HD$169+SwaptionShift):INDEX($FK$245:$ID$316,$FJ185-HD$169,72-HD$169+SwaptionMonthsToGo+SwaptionShift))/SQRT(SUM(INDEX($FK340:$ID340,1+SwaptionShift):INDEX($FK340:$ID340,SwaptionMonthsToGo+SwaptionShift))*SUM(INDEX($FK$325:$ID$396,HD$169,1+SwaptionShift):INDEX($FK$325:$ID$396,HD$169,SwaptionMonthsToGo+SwaptionShift))))))</f>
        <v/>
      </c>
      <c r="HE185" s="479" t="str">
        <f ca="1">IF(OR(HE$169&lt;SwaptionFirstMonthPosition+1,$FJ185&lt;SwaptionFirstMonthPosition+1,HE$169&gt;SwaptionFirstMonthPosition+SwaptionNumOfMonths+1,$FJ185&gt;SwaptionFirstMonthPosition+SwaptionNumOfMonths+1),"",IF($FJ185=HE$169,1,IF($FJ185&lt;HE$169,INDEX($FK$170:$ID$241,HE$169,$FJ185),SUMPRODUCT(INDEX($FK$325:$ID$396,HE$169,1+SwaptionShift):INDEX($FK$325:$ID$396,HE$169,SwaptionMonthsToGo+SwaptionShift),INDEX($FK$245:$ID$316,$FJ185-HE$169,73-HE$169+SwaptionShift):INDEX($FK$245:$ID$316,$FJ185-HE$169,72-HE$169+SwaptionMonthsToGo+SwaptionShift))/SQRT(SUM(INDEX($FK340:$ID340,1+SwaptionShift):INDEX($FK340:$ID340,SwaptionMonthsToGo+SwaptionShift))*SUM(INDEX($FK$325:$ID$396,HE$169,1+SwaptionShift):INDEX($FK$325:$ID$396,HE$169,SwaptionMonthsToGo+SwaptionShift))))))</f>
        <v/>
      </c>
      <c r="HF185" s="479" t="str">
        <f ca="1">IF(OR(HF$169&lt;SwaptionFirstMonthPosition+1,$FJ185&lt;SwaptionFirstMonthPosition+1,HF$169&gt;SwaptionFirstMonthPosition+SwaptionNumOfMonths+1,$FJ185&gt;SwaptionFirstMonthPosition+SwaptionNumOfMonths+1),"",IF($FJ185=HF$169,1,IF($FJ185&lt;HF$169,INDEX($FK$170:$ID$241,HF$169,$FJ185),SUMPRODUCT(INDEX($FK$325:$ID$396,HF$169,1+SwaptionShift):INDEX($FK$325:$ID$396,HF$169,SwaptionMonthsToGo+SwaptionShift),INDEX($FK$245:$ID$316,$FJ185-HF$169,73-HF$169+SwaptionShift):INDEX($FK$245:$ID$316,$FJ185-HF$169,72-HF$169+SwaptionMonthsToGo+SwaptionShift))/SQRT(SUM(INDEX($FK340:$ID340,1+SwaptionShift):INDEX($FK340:$ID340,SwaptionMonthsToGo+SwaptionShift))*SUM(INDEX($FK$325:$ID$396,HF$169,1+SwaptionShift):INDEX($FK$325:$ID$396,HF$169,SwaptionMonthsToGo+SwaptionShift))))))</f>
        <v/>
      </c>
      <c r="HG185" s="479" t="str">
        <f ca="1">IF(OR(HG$169&lt;SwaptionFirstMonthPosition+1,$FJ185&lt;SwaptionFirstMonthPosition+1,HG$169&gt;SwaptionFirstMonthPosition+SwaptionNumOfMonths+1,$FJ185&gt;SwaptionFirstMonthPosition+SwaptionNumOfMonths+1),"",IF($FJ185=HG$169,1,IF($FJ185&lt;HG$169,INDEX($FK$170:$ID$241,HG$169,$FJ185),SUMPRODUCT(INDEX($FK$325:$ID$396,HG$169,1+SwaptionShift):INDEX($FK$325:$ID$396,HG$169,SwaptionMonthsToGo+SwaptionShift),INDEX($FK$245:$ID$316,$FJ185-HG$169,73-HG$169+SwaptionShift):INDEX($FK$245:$ID$316,$FJ185-HG$169,72-HG$169+SwaptionMonthsToGo+SwaptionShift))/SQRT(SUM(INDEX($FK340:$ID340,1+SwaptionShift):INDEX($FK340:$ID340,SwaptionMonthsToGo+SwaptionShift))*SUM(INDEX($FK$325:$ID$396,HG$169,1+SwaptionShift):INDEX($FK$325:$ID$396,HG$169,SwaptionMonthsToGo+SwaptionShift))))))</f>
        <v/>
      </c>
      <c r="HH185" s="479" t="str">
        <f ca="1">IF(OR(HH$169&lt;SwaptionFirstMonthPosition+1,$FJ185&lt;SwaptionFirstMonthPosition+1,HH$169&gt;SwaptionFirstMonthPosition+SwaptionNumOfMonths+1,$FJ185&gt;SwaptionFirstMonthPosition+SwaptionNumOfMonths+1),"",IF($FJ185=HH$169,1,IF($FJ185&lt;HH$169,INDEX($FK$170:$ID$241,HH$169,$FJ185),SUMPRODUCT(INDEX($FK$325:$ID$396,HH$169,1+SwaptionShift):INDEX($FK$325:$ID$396,HH$169,SwaptionMonthsToGo+SwaptionShift),INDEX($FK$245:$ID$316,$FJ185-HH$169,73-HH$169+SwaptionShift):INDEX($FK$245:$ID$316,$FJ185-HH$169,72-HH$169+SwaptionMonthsToGo+SwaptionShift))/SQRT(SUM(INDEX($FK340:$ID340,1+SwaptionShift):INDEX($FK340:$ID340,SwaptionMonthsToGo+SwaptionShift))*SUM(INDEX($FK$325:$ID$396,HH$169,1+SwaptionShift):INDEX($FK$325:$ID$396,HH$169,SwaptionMonthsToGo+SwaptionShift))))))</f>
        <v/>
      </c>
      <c r="HI185" s="479" t="str">
        <f ca="1">IF(OR(HI$169&lt;SwaptionFirstMonthPosition+1,$FJ185&lt;SwaptionFirstMonthPosition+1,HI$169&gt;SwaptionFirstMonthPosition+SwaptionNumOfMonths+1,$FJ185&gt;SwaptionFirstMonthPosition+SwaptionNumOfMonths+1),"",IF($FJ185=HI$169,1,IF($FJ185&lt;HI$169,INDEX($FK$170:$ID$241,HI$169,$FJ185),SUMPRODUCT(INDEX($FK$325:$ID$396,HI$169,1+SwaptionShift):INDEX($FK$325:$ID$396,HI$169,SwaptionMonthsToGo+SwaptionShift),INDEX($FK$245:$ID$316,$FJ185-HI$169,73-HI$169+SwaptionShift):INDEX($FK$245:$ID$316,$FJ185-HI$169,72-HI$169+SwaptionMonthsToGo+SwaptionShift))/SQRT(SUM(INDEX($FK340:$ID340,1+SwaptionShift):INDEX($FK340:$ID340,SwaptionMonthsToGo+SwaptionShift))*SUM(INDEX($FK$325:$ID$396,HI$169,1+SwaptionShift):INDEX($FK$325:$ID$396,HI$169,SwaptionMonthsToGo+SwaptionShift))))))</f>
        <v/>
      </c>
      <c r="HJ185" s="479" t="str">
        <f ca="1">IF(OR(HJ$169&lt;SwaptionFirstMonthPosition+1,$FJ185&lt;SwaptionFirstMonthPosition+1,HJ$169&gt;SwaptionFirstMonthPosition+SwaptionNumOfMonths+1,$FJ185&gt;SwaptionFirstMonthPosition+SwaptionNumOfMonths+1),"",IF($FJ185=HJ$169,1,IF($FJ185&lt;HJ$169,INDEX($FK$170:$ID$241,HJ$169,$FJ185),SUMPRODUCT(INDEX($FK$325:$ID$396,HJ$169,1+SwaptionShift):INDEX($FK$325:$ID$396,HJ$169,SwaptionMonthsToGo+SwaptionShift),INDEX($FK$245:$ID$316,$FJ185-HJ$169,73-HJ$169+SwaptionShift):INDEX($FK$245:$ID$316,$FJ185-HJ$169,72-HJ$169+SwaptionMonthsToGo+SwaptionShift))/SQRT(SUM(INDEX($FK340:$ID340,1+SwaptionShift):INDEX($FK340:$ID340,SwaptionMonthsToGo+SwaptionShift))*SUM(INDEX($FK$325:$ID$396,HJ$169,1+SwaptionShift):INDEX($FK$325:$ID$396,HJ$169,SwaptionMonthsToGo+SwaptionShift))))))</f>
        <v/>
      </c>
      <c r="HK185" s="479" t="str">
        <f ca="1">IF(OR(HK$169&lt;SwaptionFirstMonthPosition+1,$FJ185&lt;SwaptionFirstMonthPosition+1,HK$169&gt;SwaptionFirstMonthPosition+SwaptionNumOfMonths+1,$FJ185&gt;SwaptionFirstMonthPosition+SwaptionNumOfMonths+1),"",IF($FJ185=HK$169,1,IF($FJ185&lt;HK$169,INDEX($FK$170:$ID$241,HK$169,$FJ185),SUMPRODUCT(INDEX($FK$325:$ID$396,HK$169,1+SwaptionShift):INDEX($FK$325:$ID$396,HK$169,SwaptionMonthsToGo+SwaptionShift),INDEX($FK$245:$ID$316,$FJ185-HK$169,73-HK$169+SwaptionShift):INDEX($FK$245:$ID$316,$FJ185-HK$169,72-HK$169+SwaptionMonthsToGo+SwaptionShift))/SQRT(SUM(INDEX($FK340:$ID340,1+SwaptionShift):INDEX($FK340:$ID340,SwaptionMonthsToGo+SwaptionShift))*SUM(INDEX($FK$325:$ID$396,HK$169,1+SwaptionShift):INDEX($FK$325:$ID$396,HK$169,SwaptionMonthsToGo+SwaptionShift))))))</f>
        <v/>
      </c>
      <c r="HL185" s="479" t="str">
        <f ca="1">IF(OR(HL$169&lt;SwaptionFirstMonthPosition+1,$FJ185&lt;SwaptionFirstMonthPosition+1,HL$169&gt;SwaptionFirstMonthPosition+SwaptionNumOfMonths+1,$FJ185&gt;SwaptionFirstMonthPosition+SwaptionNumOfMonths+1),"",IF($FJ185=HL$169,1,IF($FJ185&lt;HL$169,INDEX($FK$170:$ID$241,HL$169,$FJ185),SUMPRODUCT(INDEX($FK$325:$ID$396,HL$169,1+SwaptionShift):INDEX($FK$325:$ID$396,HL$169,SwaptionMonthsToGo+SwaptionShift),INDEX($FK$245:$ID$316,$FJ185-HL$169,73-HL$169+SwaptionShift):INDEX($FK$245:$ID$316,$FJ185-HL$169,72-HL$169+SwaptionMonthsToGo+SwaptionShift))/SQRT(SUM(INDEX($FK340:$ID340,1+SwaptionShift):INDEX($FK340:$ID340,SwaptionMonthsToGo+SwaptionShift))*SUM(INDEX($FK$325:$ID$396,HL$169,1+SwaptionShift):INDEX($FK$325:$ID$396,HL$169,SwaptionMonthsToGo+SwaptionShift))))))</f>
        <v/>
      </c>
      <c r="HM185" s="479" t="str">
        <f ca="1">IF(OR(HM$169&lt;SwaptionFirstMonthPosition+1,$FJ185&lt;SwaptionFirstMonthPosition+1,HM$169&gt;SwaptionFirstMonthPosition+SwaptionNumOfMonths+1,$FJ185&gt;SwaptionFirstMonthPosition+SwaptionNumOfMonths+1),"",IF($FJ185=HM$169,1,IF($FJ185&lt;HM$169,INDEX($FK$170:$ID$241,HM$169,$FJ185),SUMPRODUCT(INDEX($FK$325:$ID$396,HM$169,1+SwaptionShift):INDEX($FK$325:$ID$396,HM$169,SwaptionMonthsToGo+SwaptionShift),INDEX($FK$245:$ID$316,$FJ185-HM$169,73-HM$169+SwaptionShift):INDEX($FK$245:$ID$316,$FJ185-HM$169,72-HM$169+SwaptionMonthsToGo+SwaptionShift))/SQRT(SUM(INDEX($FK340:$ID340,1+SwaptionShift):INDEX($FK340:$ID340,SwaptionMonthsToGo+SwaptionShift))*SUM(INDEX($FK$325:$ID$396,HM$169,1+SwaptionShift):INDEX($FK$325:$ID$396,HM$169,SwaptionMonthsToGo+SwaptionShift))))))</f>
        <v/>
      </c>
      <c r="HN185" s="479" t="str">
        <f ca="1">IF(OR(HN$169&lt;SwaptionFirstMonthPosition+1,$FJ185&lt;SwaptionFirstMonthPosition+1,HN$169&gt;SwaptionFirstMonthPosition+SwaptionNumOfMonths+1,$FJ185&gt;SwaptionFirstMonthPosition+SwaptionNumOfMonths+1),"",IF($FJ185=HN$169,1,IF($FJ185&lt;HN$169,INDEX($FK$170:$ID$241,HN$169,$FJ185),SUMPRODUCT(INDEX($FK$325:$ID$396,HN$169,1+SwaptionShift):INDEX($FK$325:$ID$396,HN$169,SwaptionMonthsToGo+SwaptionShift),INDEX($FK$245:$ID$316,$FJ185-HN$169,73-HN$169+SwaptionShift):INDEX($FK$245:$ID$316,$FJ185-HN$169,72-HN$169+SwaptionMonthsToGo+SwaptionShift))/SQRT(SUM(INDEX($FK340:$ID340,1+SwaptionShift):INDEX($FK340:$ID340,SwaptionMonthsToGo+SwaptionShift))*SUM(INDEX($FK$325:$ID$396,HN$169,1+SwaptionShift):INDEX($FK$325:$ID$396,HN$169,SwaptionMonthsToGo+SwaptionShift))))))</f>
        <v/>
      </c>
      <c r="HO185" s="479" t="str">
        <f ca="1">IF(OR(HO$169&lt;SwaptionFirstMonthPosition+1,$FJ185&lt;SwaptionFirstMonthPosition+1,HO$169&gt;SwaptionFirstMonthPosition+SwaptionNumOfMonths+1,$FJ185&gt;SwaptionFirstMonthPosition+SwaptionNumOfMonths+1),"",IF($FJ185=HO$169,1,IF($FJ185&lt;HO$169,INDEX($FK$170:$ID$241,HO$169,$FJ185),SUMPRODUCT(INDEX($FK$325:$ID$396,HO$169,1+SwaptionShift):INDEX($FK$325:$ID$396,HO$169,SwaptionMonthsToGo+SwaptionShift),INDEX($FK$245:$ID$316,$FJ185-HO$169,73-HO$169+SwaptionShift):INDEX($FK$245:$ID$316,$FJ185-HO$169,72-HO$169+SwaptionMonthsToGo+SwaptionShift))/SQRT(SUM(INDEX($FK340:$ID340,1+SwaptionShift):INDEX($FK340:$ID340,SwaptionMonthsToGo+SwaptionShift))*SUM(INDEX($FK$325:$ID$396,HO$169,1+SwaptionShift):INDEX($FK$325:$ID$396,HO$169,SwaptionMonthsToGo+SwaptionShift))))))</f>
        <v/>
      </c>
      <c r="HP185" s="479" t="str">
        <f ca="1">IF(OR(HP$169&lt;SwaptionFirstMonthPosition+1,$FJ185&lt;SwaptionFirstMonthPosition+1,HP$169&gt;SwaptionFirstMonthPosition+SwaptionNumOfMonths+1,$FJ185&gt;SwaptionFirstMonthPosition+SwaptionNumOfMonths+1),"",IF($FJ185=HP$169,1,IF($FJ185&lt;HP$169,INDEX($FK$170:$ID$241,HP$169,$FJ185),SUMPRODUCT(INDEX($FK$325:$ID$396,HP$169,1+SwaptionShift):INDEX($FK$325:$ID$396,HP$169,SwaptionMonthsToGo+SwaptionShift),INDEX($FK$245:$ID$316,$FJ185-HP$169,73-HP$169+SwaptionShift):INDEX($FK$245:$ID$316,$FJ185-HP$169,72-HP$169+SwaptionMonthsToGo+SwaptionShift))/SQRT(SUM(INDEX($FK340:$ID340,1+SwaptionShift):INDEX($FK340:$ID340,SwaptionMonthsToGo+SwaptionShift))*SUM(INDEX($FK$325:$ID$396,HP$169,1+SwaptionShift):INDEX($FK$325:$ID$396,HP$169,SwaptionMonthsToGo+SwaptionShift))))))</f>
        <v/>
      </c>
      <c r="HQ185" s="479" t="str">
        <f ca="1">IF(OR(HQ$169&lt;SwaptionFirstMonthPosition+1,$FJ185&lt;SwaptionFirstMonthPosition+1,HQ$169&gt;SwaptionFirstMonthPosition+SwaptionNumOfMonths+1,$FJ185&gt;SwaptionFirstMonthPosition+SwaptionNumOfMonths+1),"",IF($FJ185=HQ$169,1,IF($FJ185&lt;HQ$169,INDEX($FK$170:$ID$241,HQ$169,$FJ185),SUMPRODUCT(INDEX($FK$325:$ID$396,HQ$169,1+SwaptionShift):INDEX($FK$325:$ID$396,HQ$169,SwaptionMonthsToGo+SwaptionShift),INDEX($FK$245:$ID$316,$FJ185-HQ$169,73-HQ$169+SwaptionShift):INDEX($FK$245:$ID$316,$FJ185-HQ$169,72-HQ$169+SwaptionMonthsToGo+SwaptionShift))/SQRT(SUM(INDEX($FK340:$ID340,1+SwaptionShift):INDEX($FK340:$ID340,SwaptionMonthsToGo+SwaptionShift))*SUM(INDEX($FK$325:$ID$396,HQ$169,1+SwaptionShift):INDEX($FK$325:$ID$396,HQ$169,SwaptionMonthsToGo+SwaptionShift))))))</f>
        <v/>
      </c>
      <c r="HR185" s="479" t="str">
        <f ca="1">IF(OR(HR$169&lt;SwaptionFirstMonthPosition+1,$FJ185&lt;SwaptionFirstMonthPosition+1,HR$169&gt;SwaptionFirstMonthPosition+SwaptionNumOfMonths+1,$FJ185&gt;SwaptionFirstMonthPosition+SwaptionNumOfMonths+1),"",IF($FJ185=HR$169,1,IF($FJ185&lt;HR$169,INDEX($FK$170:$ID$241,HR$169,$FJ185),SUMPRODUCT(INDEX($FK$325:$ID$396,HR$169,1+SwaptionShift):INDEX($FK$325:$ID$396,HR$169,SwaptionMonthsToGo+SwaptionShift),INDEX($FK$245:$ID$316,$FJ185-HR$169,73-HR$169+SwaptionShift):INDEX($FK$245:$ID$316,$FJ185-HR$169,72-HR$169+SwaptionMonthsToGo+SwaptionShift))/SQRT(SUM(INDEX($FK340:$ID340,1+SwaptionShift):INDEX($FK340:$ID340,SwaptionMonthsToGo+SwaptionShift))*SUM(INDEX($FK$325:$ID$396,HR$169,1+SwaptionShift):INDEX($FK$325:$ID$396,HR$169,SwaptionMonthsToGo+SwaptionShift))))))</f>
        <v/>
      </c>
      <c r="HS185" s="479" t="str">
        <f ca="1">IF(OR(HS$169&lt;SwaptionFirstMonthPosition+1,$FJ185&lt;SwaptionFirstMonthPosition+1,HS$169&gt;SwaptionFirstMonthPosition+SwaptionNumOfMonths+1,$FJ185&gt;SwaptionFirstMonthPosition+SwaptionNumOfMonths+1),"",IF($FJ185=HS$169,1,IF($FJ185&lt;HS$169,INDEX($FK$170:$ID$241,HS$169,$FJ185),SUMPRODUCT(INDEX($FK$325:$ID$396,HS$169,1+SwaptionShift):INDEX($FK$325:$ID$396,HS$169,SwaptionMonthsToGo+SwaptionShift),INDEX($FK$245:$ID$316,$FJ185-HS$169,73-HS$169+SwaptionShift):INDEX($FK$245:$ID$316,$FJ185-HS$169,72-HS$169+SwaptionMonthsToGo+SwaptionShift))/SQRT(SUM(INDEX($FK340:$ID340,1+SwaptionShift):INDEX($FK340:$ID340,SwaptionMonthsToGo+SwaptionShift))*SUM(INDEX($FK$325:$ID$396,HS$169,1+SwaptionShift):INDEX($FK$325:$ID$396,HS$169,SwaptionMonthsToGo+SwaptionShift))))))</f>
        <v/>
      </c>
      <c r="HT185" s="479" t="str">
        <f ca="1">IF(OR(HT$169&lt;SwaptionFirstMonthPosition+1,$FJ185&lt;SwaptionFirstMonthPosition+1,HT$169&gt;SwaptionFirstMonthPosition+SwaptionNumOfMonths+1,$FJ185&gt;SwaptionFirstMonthPosition+SwaptionNumOfMonths+1),"",IF($FJ185=HT$169,1,IF($FJ185&lt;HT$169,INDEX($FK$170:$ID$241,HT$169,$FJ185),SUMPRODUCT(INDEX($FK$325:$ID$396,HT$169,1+SwaptionShift):INDEX($FK$325:$ID$396,HT$169,SwaptionMonthsToGo+SwaptionShift),INDEX($FK$245:$ID$316,$FJ185-HT$169,73-HT$169+SwaptionShift):INDEX($FK$245:$ID$316,$FJ185-HT$169,72-HT$169+SwaptionMonthsToGo+SwaptionShift))/SQRT(SUM(INDEX($FK340:$ID340,1+SwaptionShift):INDEX($FK340:$ID340,SwaptionMonthsToGo+SwaptionShift))*SUM(INDEX($FK$325:$ID$396,HT$169,1+SwaptionShift):INDEX($FK$325:$ID$396,HT$169,SwaptionMonthsToGo+SwaptionShift))))))</f>
        <v/>
      </c>
      <c r="HU185" s="479" t="str">
        <f ca="1">IF(OR(HU$169&lt;SwaptionFirstMonthPosition+1,$FJ185&lt;SwaptionFirstMonthPosition+1,HU$169&gt;SwaptionFirstMonthPosition+SwaptionNumOfMonths+1,$FJ185&gt;SwaptionFirstMonthPosition+SwaptionNumOfMonths+1),"",IF($FJ185=HU$169,1,IF($FJ185&lt;HU$169,INDEX($FK$170:$ID$241,HU$169,$FJ185),SUMPRODUCT(INDEX($FK$325:$ID$396,HU$169,1+SwaptionShift):INDEX($FK$325:$ID$396,HU$169,SwaptionMonthsToGo+SwaptionShift),INDEX($FK$245:$ID$316,$FJ185-HU$169,73-HU$169+SwaptionShift):INDEX($FK$245:$ID$316,$FJ185-HU$169,72-HU$169+SwaptionMonthsToGo+SwaptionShift))/SQRT(SUM(INDEX($FK340:$ID340,1+SwaptionShift):INDEX($FK340:$ID340,SwaptionMonthsToGo+SwaptionShift))*SUM(INDEX($FK$325:$ID$396,HU$169,1+SwaptionShift):INDEX($FK$325:$ID$396,HU$169,SwaptionMonthsToGo+SwaptionShift))))))</f>
        <v/>
      </c>
      <c r="HV185" s="479" t="str">
        <f ca="1">IF(OR(HV$169&lt;SwaptionFirstMonthPosition+1,$FJ185&lt;SwaptionFirstMonthPosition+1,HV$169&gt;SwaptionFirstMonthPosition+SwaptionNumOfMonths+1,$FJ185&gt;SwaptionFirstMonthPosition+SwaptionNumOfMonths+1),"",IF($FJ185=HV$169,1,IF($FJ185&lt;HV$169,INDEX($FK$170:$ID$241,HV$169,$FJ185),SUMPRODUCT(INDEX($FK$325:$ID$396,HV$169,1+SwaptionShift):INDEX($FK$325:$ID$396,HV$169,SwaptionMonthsToGo+SwaptionShift),INDEX($FK$245:$ID$316,$FJ185-HV$169,73-HV$169+SwaptionShift):INDEX($FK$245:$ID$316,$FJ185-HV$169,72-HV$169+SwaptionMonthsToGo+SwaptionShift))/SQRT(SUM(INDEX($FK340:$ID340,1+SwaptionShift):INDEX($FK340:$ID340,SwaptionMonthsToGo+SwaptionShift))*SUM(INDEX($FK$325:$ID$396,HV$169,1+SwaptionShift):INDEX($FK$325:$ID$396,HV$169,SwaptionMonthsToGo+SwaptionShift))))))</f>
        <v/>
      </c>
      <c r="HW185" s="479" t="str">
        <f ca="1">IF(OR(HW$169&lt;SwaptionFirstMonthPosition+1,$FJ185&lt;SwaptionFirstMonthPosition+1,HW$169&gt;SwaptionFirstMonthPosition+SwaptionNumOfMonths+1,$FJ185&gt;SwaptionFirstMonthPosition+SwaptionNumOfMonths+1),"",IF($FJ185=HW$169,1,IF($FJ185&lt;HW$169,INDEX($FK$170:$ID$241,HW$169,$FJ185),SUMPRODUCT(INDEX($FK$325:$ID$396,HW$169,1+SwaptionShift):INDEX($FK$325:$ID$396,HW$169,SwaptionMonthsToGo+SwaptionShift),INDEX($FK$245:$ID$316,$FJ185-HW$169,73-HW$169+SwaptionShift):INDEX($FK$245:$ID$316,$FJ185-HW$169,72-HW$169+SwaptionMonthsToGo+SwaptionShift))/SQRT(SUM(INDEX($FK340:$ID340,1+SwaptionShift):INDEX($FK340:$ID340,SwaptionMonthsToGo+SwaptionShift))*SUM(INDEX($FK$325:$ID$396,HW$169,1+SwaptionShift):INDEX($FK$325:$ID$396,HW$169,SwaptionMonthsToGo+SwaptionShift))))))</f>
        <v/>
      </c>
      <c r="HX185" s="479" t="str">
        <f ca="1">IF(OR(HX$169&lt;SwaptionFirstMonthPosition+1,$FJ185&lt;SwaptionFirstMonthPosition+1,HX$169&gt;SwaptionFirstMonthPosition+SwaptionNumOfMonths+1,$FJ185&gt;SwaptionFirstMonthPosition+SwaptionNumOfMonths+1),"",IF($FJ185=HX$169,1,IF($FJ185&lt;HX$169,INDEX($FK$170:$ID$241,HX$169,$FJ185),SUMPRODUCT(INDEX($FK$325:$ID$396,HX$169,1+SwaptionShift):INDEX($FK$325:$ID$396,HX$169,SwaptionMonthsToGo+SwaptionShift),INDEX($FK$245:$ID$316,$FJ185-HX$169,73-HX$169+SwaptionShift):INDEX($FK$245:$ID$316,$FJ185-HX$169,72-HX$169+SwaptionMonthsToGo+SwaptionShift))/SQRT(SUM(INDEX($FK340:$ID340,1+SwaptionShift):INDEX($FK340:$ID340,SwaptionMonthsToGo+SwaptionShift))*SUM(INDEX($FK$325:$ID$396,HX$169,1+SwaptionShift):INDEX($FK$325:$ID$396,HX$169,SwaptionMonthsToGo+SwaptionShift))))))</f>
        <v/>
      </c>
      <c r="HY185" s="479" t="str">
        <f ca="1">IF(OR(HY$169&lt;SwaptionFirstMonthPosition+1,$FJ185&lt;SwaptionFirstMonthPosition+1,HY$169&gt;SwaptionFirstMonthPosition+SwaptionNumOfMonths+1,$FJ185&gt;SwaptionFirstMonthPosition+SwaptionNumOfMonths+1),"",IF($FJ185=HY$169,1,IF($FJ185&lt;HY$169,INDEX($FK$170:$ID$241,HY$169,$FJ185),SUMPRODUCT(INDEX($FK$325:$ID$396,HY$169,1+SwaptionShift):INDEX($FK$325:$ID$396,HY$169,SwaptionMonthsToGo+SwaptionShift),INDEX($FK$245:$ID$316,$FJ185-HY$169,73-HY$169+SwaptionShift):INDEX($FK$245:$ID$316,$FJ185-HY$169,72-HY$169+SwaptionMonthsToGo+SwaptionShift))/SQRT(SUM(INDEX($FK340:$ID340,1+SwaptionShift):INDEX($FK340:$ID340,SwaptionMonthsToGo+SwaptionShift))*SUM(INDEX($FK$325:$ID$396,HY$169,1+SwaptionShift):INDEX($FK$325:$ID$396,HY$169,SwaptionMonthsToGo+SwaptionShift))))))</f>
        <v/>
      </c>
      <c r="HZ185" s="479" t="str">
        <f ca="1">IF(OR(HZ$169&lt;SwaptionFirstMonthPosition+1,$FJ185&lt;SwaptionFirstMonthPosition+1,HZ$169&gt;SwaptionFirstMonthPosition+SwaptionNumOfMonths+1,$FJ185&gt;SwaptionFirstMonthPosition+SwaptionNumOfMonths+1),"",IF($FJ185=HZ$169,1,IF($FJ185&lt;HZ$169,INDEX($FK$170:$ID$241,HZ$169,$FJ185),SUMPRODUCT(INDEX($FK$325:$ID$396,HZ$169,1+SwaptionShift):INDEX($FK$325:$ID$396,HZ$169,SwaptionMonthsToGo+SwaptionShift),INDEX($FK$245:$ID$316,$FJ185-HZ$169,73-HZ$169+SwaptionShift):INDEX($FK$245:$ID$316,$FJ185-HZ$169,72-HZ$169+SwaptionMonthsToGo+SwaptionShift))/SQRT(SUM(INDEX($FK340:$ID340,1+SwaptionShift):INDEX($FK340:$ID340,SwaptionMonthsToGo+SwaptionShift))*SUM(INDEX($FK$325:$ID$396,HZ$169,1+SwaptionShift):INDEX($FK$325:$ID$396,HZ$169,SwaptionMonthsToGo+SwaptionShift))))))</f>
        <v/>
      </c>
      <c r="IA185" s="479" t="str">
        <f ca="1">IF(OR(IA$169&lt;SwaptionFirstMonthPosition+1,$FJ185&lt;SwaptionFirstMonthPosition+1,IA$169&gt;SwaptionFirstMonthPosition+SwaptionNumOfMonths+1,$FJ185&gt;SwaptionFirstMonthPosition+SwaptionNumOfMonths+1),"",IF($FJ185=IA$169,1,IF($FJ185&lt;IA$169,INDEX($FK$170:$ID$241,IA$169,$FJ185),SUMPRODUCT(INDEX($FK$325:$ID$396,IA$169,1+SwaptionShift):INDEX($FK$325:$ID$396,IA$169,SwaptionMonthsToGo+SwaptionShift),INDEX($FK$245:$ID$316,$FJ185-IA$169,73-IA$169+SwaptionShift):INDEX($FK$245:$ID$316,$FJ185-IA$169,72-IA$169+SwaptionMonthsToGo+SwaptionShift))/SQRT(SUM(INDEX($FK340:$ID340,1+SwaptionShift):INDEX($FK340:$ID340,SwaptionMonthsToGo+SwaptionShift))*SUM(INDEX($FK$325:$ID$396,IA$169,1+SwaptionShift):INDEX($FK$325:$ID$396,IA$169,SwaptionMonthsToGo+SwaptionShift))))))</f>
        <v/>
      </c>
      <c r="IB185" s="479" t="str">
        <f ca="1">IF(OR(IB$169&lt;SwaptionFirstMonthPosition+1,$FJ185&lt;SwaptionFirstMonthPosition+1,IB$169&gt;SwaptionFirstMonthPosition+SwaptionNumOfMonths+1,$FJ185&gt;SwaptionFirstMonthPosition+SwaptionNumOfMonths+1),"",IF($FJ185=IB$169,1,IF($FJ185&lt;IB$169,INDEX($FK$170:$ID$241,IB$169,$FJ185),SUMPRODUCT(INDEX($FK$325:$ID$396,IB$169,1+SwaptionShift):INDEX($FK$325:$ID$396,IB$169,SwaptionMonthsToGo+SwaptionShift),INDEX($FK$245:$ID$316,$FJ185-IB$169,73-IB$169+SwaptionShift):INDEX($FK$245:$ID$316,$FJ185-IB$169,72-IB$169+SwaptionMonthsToGo+SwaptionShift))/SQRT(SUM(INDEX($FK340:$ID340,1+SwaptionShift):INDEX($FK340:$ID340,SwaptionMonthsToGo+SwaptionShift))*SUM(INDEX($FK$325:$ID$396,IB$169,1+SwaptionShift):INDEX($FK$325:$ID$396,IB$169,SwaptionMonthsToGo+SwaptionShift))))))</f>
        <v/>
      </c>
      <c r="IC185" s="479" t="str">
        <f ca="1">IF(OR(IC$169&lt;SwaptionFirstMonthPosition+1,$FJ185&lt;SwaptionFirstMonthPosition+1,IC$169&gt;SwaptionFirstMonthPosition+SwaptionNumOfMonths+1,$FJ185&gt;SwaptionFirstMonthPosition+SwaptionNumOfMonths+1),"",IF($FJ185=IC$169,1,IF($FJ185&lt;IC$169,INDEX($FK$170:$ID$241,IC$169,$FJ185),SUMPRODUCT(INDEX($FK$325:$ID$396,IC$169,1+SwaptionShift):INDEX($FK$325:$ID$396,IC$169,SwaptionMonthsToGo+SwaptionShift),INDEX($FK$245:$ID$316,$FJ185-IC$169,73-IC$169+SwaptionShift):INDEX($FK$245:$ID$316,$FJ185-IC$169,72-IC$169+SwaptionMonthsToGo+SwaptionShift))/SQRT(SUM(INDEX($FK340:$ID340,1+SwaptionShift):INDEX($FK340:$ID340,SwaptionMonthsToGo+SwaptionShift))*SUM(INDEX($FK$325:$ID$396,IC$169,1+SwaptionShift):INDEX($FK$325:$ID$396,IC$169,SwaptionMonthsToGo+SwaptionShift))))))</f>
        <v/>
      </c>
      <c r="ID185" s="678" t="str">
        <f ca="1">IF(OR(ID$169&lt;SwaptionFirstMonthPosition+1,$FJ185&lt;SwaptionFirstMonthPosition+1,ID$169&gt;SwaptionFirstMonthPosition+SwaptionNumOfMonths+1,$FJ185&gt;SwaptionFirstMonthPosition+SwaptionNumOfMonths+1),"",IF($FJ185=ID$169,1,IF($FJ185&lt;ID$169,INDEX($FK$170:$ID$241,ID$169,$FJ185),SUMPRODUCT(INDEX($FK$325:$ID$396,ID$169,1+SwaptionShift):INDEX($FK$325:$ID$396,ID$169,SwaptionMonthsToGo+SwaptionShift),INDEX($FK$245:$ID$316,$FJ185-ID$169,73-ID$169+SwaptionShift):INDEX($FK$245:$ID$316,$FJ185-ID$169,72-ID$169+SwaptionMonthsToGo+SwaptionShift))/SQRT(SUM(INDEX($FK340:$ID340,1+SwaptionShift):INDEX($FK340:$ID340,SwaptionMonthsToGo+SwaptionShift))*SUM(INDEX($FK$325:$ID$396,ID$169,1+SwaptionShift):INDEX($FK$325:$ID$396,ID$169,SwaptionMonthsToGo+SwaptionShift))))))</f>
        <v/>
      </c>
      <c r="IE185" s="250"/>
    </row>
    <row r="186" spans="8:239">
      <c r="H186" s="51">
        <f t="shared" ca="1" si="527"/>
        <v>0</v>
      </c>
      <c r="I186" s="379">
        <f t="shared" si="528"/>
        <v>41821</v>
      </c>
      <c r="J186" s="377"/>
      <c r="K186" s="104" t="s">
        <v>268</v>
      </c>
      <c r="L186" s="392">
        <f t="shared" si="529"/>
        <v>3.3750000000000053</v>
      </c>
      <c r="M186" s="171"/>
      <c r="N186" s="382">
        <v>0</v>
      </c>
      <c r="O186" s="171">
        <f t="shared" si="490"/>
        <v>0</v>
      </c>
      <c r="P186" s="377"/>
      <c r="Q186" s="104" t="s">
        <v>268</v>
      </c>
      <c r="R186" s="377">
        <f t="shared" ca="1" si="547"/>
        <v>2.1718476328414762</v>
      </c>
      <c r="S186" s="832">
        <f t="shared" si="564"/>
        <v>0.3600000000000001</v>
      </c>
      <c r="T186" s="831">
        <f t="shared" si="548"/>
        <v>0.99999999999942857</v>
      </c>
      <c r="U186" s="545">
        <f t="shared" si="549"/>
        <v>0.99999999999999978</v>
      </c>
      <c r="V186" s="389">
        <v>0</v>
      </c>
      <c r="W186" s="434">
        <f t="shared" si="578"/>
        <v>0</v>
      </c>
      <c r="X186" s="415">
        <f t="shared" si="579"/>
        <v>3.4278409090909148</v>
      </c>
      <c r="Y186" s="322">
        <f t="shared" si="580"/>
        <v>-1.2668999999999999</v>
      </c>
      <c r="Z186" s="322">
        <f t="shared" ca="1" si="581"/>
        <v>2.1609409090909146</v>
      </c>
      <c r="AA186" s="429">
        <f t="shared" si="495"/>
        <v>1.2668999999999999</v>
      </c>
      <c r="AB186" s="433">
        <f t="shared" ca="1" si="496"/>
        <v>1.2668999999999999</v>
      </c>
      <c r="AC186" s="229">
        <v>41810</v>
      </c>
      <c r="AD186" s="229">
        <v>41806</v>
      </c>
      <c r="AE186" s="229">
        <v>41805</v>
      </c>
      <c r="AF186" s="229">
        <v>41801</v>
      </c>
      <c r="AG186" s="249" t="s">
        <v>499</v>
      </c>
      <c r="AH186" s="247" t="s">
        <v>499</v>
      </c>
      <c r="AI186" s="146">
        <v>22</v>
      </c>
      <c r="AJ186" s="41">
        <v>13</v>
      </c>
      <c r="AK186" s="41">
        <v>9</v>
      </c>
      <c r="AL186" s="293">
        <v>23</v>
      </c>
      <c r="AM186" s="41">
        <v>10</v>
      </c>
      <c r="AN186" s="147">
        <v>13</v>
      </c>
      <c r="AO186" s="374"/>
      <c r="AP186" s="153">
        <f t="shared" ca="1" si="530"/>
        <v>1</v>
      </c>
      <c r="AQ186" s="374"/>
      <c r="AR186" s="153">
        <f t="shared" ca="1" si="550"/>
        <v>1</v>
      </c>
      <c r="AS186" s="272">
        <f t="shared" si="582"/>
        <v>0</v>
      </c>
      <c r="AT186" s="157">
        <f t="shared" si="531"/>
        <v>0</v>
      </c>
      <c r="AU186" s="157">
        <f t="shared" si="498"/>
        <v>0</v>
      </c>
      <c r="AV186" s="271">
        <f t="shared" ca="1" si="558"/>
        <v>9.9999999999999995E-7</v>
      </c>
      <c r="AW186" s="158" t="str">
        <f t="shared" ca="1" si="583"/>
        <v/>
      </c>
      <c r="AX186" s="157">
        <f t="shared" ca="1" si="551"/>
        <v>9.3852314745894639E-5</v>
      </c>
      <c r="AY186" s="157">
        <f t="shared" ca="1" si="552"/>
        <v>2.4013958320238416E-5</v>
      </c>
      <c r="AZ186" s="157">
        <f t="shared" ca="1" si="553"/>
        <v>1.0013146516340566E-6</v>
      </c>
      <c r="BA186" s="157">
        <f t="shared" ca="1" si="554"/>
        <v>1.2516433145425708E-7</v>
      </c>
      <c r="BB186" s="157">
        <f t="shared" ca="1" si="555"/>
        <v>9.7891351921697785E-10</v>
      </c>
      <c r="BC186" s="157">
        <f t="shared" ca="1" si="556"/>
        <v>3.1332219736779024E-11</v>
      </c>
      <c r="BD186" s="151">
        <f t="shared" ca="1" si="584"/>
        <v>0</v>
      </c>
      <c r="BE186" s="152">
        <f t="shared" ca="1" si="585"/>
        <v>0</v>
      </c>
      <c r="BF186" s="40">
        <f t="shared" si="586"/>
        <v>2014</v>
      </c>
      <c r="BG186" s="144">
        <f t="shared" si="587"/>
        <v>7</v>
      </c>
      <c r="BH186" s="145">
        <f t="shared" ca="1" si="588"/>
        <v>5061</v>
      </c>
      <c r="BI186" s="313">
        <f t="shared" ca="1" si="568"/>
        <v>13.897330595482547</v>
      </c>
      <c r="BJ186" s="42">
        <f t="shared" ca="1" si="505"/>
        <v>13.945865223072616</v>
      </c>
      <c r="BK186" s="42">
        <f t="shared" ca="1" si="506"/>
        <v>13.948603073859749</v>
      </c>
      <c r="BL186" s="42">
        <f t="shared" ca="1" si="569"/>
        <v>13.979466119096509</v>
      </c>
      <c r="BM186" s="150" t="e">
        <f t="shared" ca="1" si="507"/>
        <v>#DIV/0!</v>
      </c>
      <c r="BN186" s="42" t="e">
        <f t="shared" ca="1" si="508"/>
        <v>#DIV/0!</v>
      </c>
      <c r="BO186" s="293">
        <f t="shared" si="570"/>
        <v>22</v>
      </c>
      <c r="BP186" s="41">
        <f t="shared" si="571"/>
        <v>13</v>
      </c>
      <c r="BQ186" s="41">
        <f t="shared" si="572"/>
        <v>9</v>
      </c>
      <c r="BR186" s="305" t="str">
        <f t="shared" ca="1" si="509"/>
        <v/>
      </c>
      <c r="BS186" s="305" t="str">
        <f t="shared" ca="1" si="573"/>
        <v/>
      </c>
      <c r="BT186" s="307" t="str">
        <f t="shared" ca="1" si="574"/>
        <v/>
      </c>
      <c r="BU186" s="161" t="str">
        <f t="shared" ca="1" si="510"/>
        <v/>
      </c>
      <c r="BV186" s="161" t="str">
        <f t="shared" ca="1" si="511"/>
        <v/>
      </c>
      <c r="BW186" s="308" t="str">
        <f t="shared" ca="1" si="512"/>
        <v/>
      </c>
      <c r="BX186" s="309" t="str">
        <f t="shared" ca="1" si="513"/>
        <v/>
      </c>
      <c r="BY186" s="308" t="str">
        <f t="shared" ca="1" si="575"/>
        <v/>
      </c>
      <c r="BZ186" s="309" t="str">
        <f t="shared" ca="1" si="576"/>
        <v/>
      </c>
      <c r="CA186" s="154" t="str">
        <f t="shared" ca="1" si="514"/>
        <v/>
      </c>
      <c r="CB186" s="154" t="str">
        <f t="shared" ca="1" si="515"/>
        <v/>
      </c>
      <c r="CC186" s="154" t="str">
        <f t="shared" ca="1" si="516"/>
        <v/>
      </c>
      <c r="CD186" s="154" t="str">
        <f t="shared" ca="1" si="517"/>
        <v/>
      </c>
      <c r="CE186" s="310">
        <v>1</v>
      </c>
      <c r="CF186" s="162">
        <f ca="1">IF(BD186,_xll.xCrudeAPO(BU186,BV186,CA186,CB186,S187,S188,BI186,BL186,BP186,BQ186,0,Strike1,AO186,CE186,0,BL186,IF(OptControl=4,0,1),0,1),0)</f>
        <v>0</v>
      </c>
      <c r="CG186" s="163">
        <f ca="1">IF(BD186,_xll.xCrudeAPO(BU186,BV186,CA186,CB186,S187,S188,BI186,BL186,BP186,BQ186,0,Strike1,AO186,CE186,0,BL186,IF(OptControl=4,0,1),1,1)+_xll.xCrudeAPO(BU186,BV186,CA186,CB186,S187,S188,BI186,BL186,BP186,BQ186,0,Strike1,AO186,CE186,0,BL186,IF(OptControl=4,0,1),1,2)+IF(OR(VolSkewFlag=2,ABS(BS186)&lt;0.0001),0,IF(BS186&gt;0,-1,1)*CH186*Strike1/BR186^2*BY186/10%),0)</f>
        <v>0</v>
      </c>
      <c r="CH186" s="163">
        <f ca="1">IF(BD186,(_xll.xCrudeAPO(BU186,BV186,CA186,CB186,S187,S188,BI186,BL186,BP186,BQ186,0,Strike1,AO186,CE186,0,BL186,IF(OptControl=4,0,1),3,1)+_xll.xCrudeAPO(BU186,BV186,CA186,CB186,S187,S188,BI186,BL186,BP186,BQ186,0,Strike1,AO186,CE186,0,BL186,IF(OptControl=4,0,1),3,2))/100,0)</f>
        <v>0</v>
      </c>
      <c r="CI186" s="163">
        <f ca="1">IF(BD186,_xll.xCrudeAPO(BU186,BV186,CA186,CB186,S187,S188,BI186-DaysForThetaCalculation/365.25,BL186-DaysForThetaCalculation/365.25,BP186,BQ186,0,Strike1,AO186,CE186,0,BL186,IF(OptControl=4,0,1),0,1)-_xll.xCrudeAPO(BU186,BV186,CA186,CB186,S187,S188,BI186,BL186,BP186,BQ186,0,Strike1,AO186,CE186,0,BL186,IF(OptControl=4,0,1),0,1),0)</f>
        <v>0</v>
      </c>
      <c r="CJ186" s="311">
        <f ca="1">IF(BD186,_xll.xCrudeAPO(BU186,BV186,CC186,CD186,S187,S188,BI186,BL186,BP186,BQ186,0,Strike2,AO186,CE186,0,BL186,IF(OptControl=3,1,0),0,1),0)</f>
        <v>0</v>
      </c>
      <c r="CK186" s="163">
        <f ca="1">IF(BD186,_xll.xCrudeAPO(BU186,BV186,CC186,CD186,S187,S188,BI186,BL186,BP186,BQ186,0,Strike2,AO186,CE186,0,BL186,IF(OptControl=3,1,0),1,1)+_xll.xCrudeAPO(BU186,BV186,CC186,CD186,S187,S188,BI186,BL186,BP186,BQ186,0,Strike2,AO186,CE186,0,BL186,IF(OptControl=3,1,0),1,2)+IF(OR(VolSkewFlag=2,ABS(BT186)&lt;0.0001),0,IF(BT186&gt;0,-1,1)*CL186*Strike2/BR186^2*BZ186/10%),0)</f>
        <v>0</v>
      </c>
      <c r="CL186" s="163">
        <f ca="1">IF(BD186,(_xll.xCrudeAPO(BU186,BV186,CC186,CD186,S187,S188,BI186,BL186,BP186,BQ186,0,Strike2,AO186,CE186,0,BL186,IF(OptControl=3,1,0),3,1)+_xll.xCrudeAPO(BU186,BV186,CC186,CD186,S187,S188,BI186,BL186,BP186,BQ186,0,Strike2,AO186,CE186,0,BL186,IF(OptControl=3,1,0),3,2))/100,0)</f>
        <v>0</v>
      </c>
      <c r="CM186" s="164">
        <f ca="1">IF(BD186,_xll.xCrudeAPO(BU186,BV186,CC186,CD186,S187,S188,BI186-DaysForThetaCalculation/365.25,BL186-DaysForThetaCalculation/365.25,BP186,BQ186,0,Strike2,AO186,CE186,0,BL186,IF(OptControl=3,1,0),0,1)-_xll.xCrudeAPO(BU186,BV186,CC186,CD186,S187,S188,BI186,BL186,BP186,BQ186,0,Strike2,AO186,CE186,0,BL186,IF(OptControl=3,1,0),0,1),0)</f>
        <v>0</v>
      </c>
      <c r="CN186" s="53"/>
      <c r="CO186" s="796" t="str">
        <f t="shared" ca="1" si="532"/>
        <v/>
      </c>
      <c r="CP186" s="800" t="str">
        <f t="shared" ca="1" si="533"/>
        <v/>
      </c>
      <c r="CQ186" s="797" t="str">
        <f t="shared" ca="1" si="534"/>
        <v/>
      </c>
      <c r="CR186" s="797" t="str">
        <f t="shared" ca="1" si="535"/>
        <v/>
      </c>
      <c r="CS186" s="797" t="str">
        <f t="shared" ca="1" si="536"/>
        <v/>
      </c>
      <c r="CT186" s="797" t="str">
        <f t="shared" ca="1" si="537"/>
        <v/>
      </c>
      <c r="CU186" s="798" t="str">
        <f t="shared" ca="1" si="538"/>
        <v/>
      </c>
      <c r="CV186" s="799" t="str">
        <f t="shared" ca="1" si="539"/>
        <v/>
      </c>
      <c r="CW186" s="799" t="str">
        <f t="shared" ca="1" si="540"/>
        <v/>
      </c>
      <c r="CX186" s="163">
        <f ca="1">IF(BD186,_xll.EURO(CP186,Strike1,AO186,AO186,CV186,CO186,IF(OptControl=4,0,1),0),0)</f>
        <v>0</v>
      </c>
      <c r="CY186" s="163">
        <f ca="1">IF(BD186,_xll.EURO(CP186,Strike1,AO186,AO186,CV186,CO186,IF(OptControl=4,0,1),1)+IF(OR(VolSkewFlag=2,ABS(CQ186)&lt;0.0001),0,IF(CQ186&gt;0,-1,1)*CZ186*100*Strike1/CP186^2*CS186/10%),0)</f>
        <v>0</v>
      </c>
      <c r="CZ186" s="163">
        <f ca="1">IF(BD186,_xll.EURO(CP186,Strike1,AO186,AO186,CV186,CO186,IF(OptControl=4,0,1),3)/100,0)</f>
        <v>0</v>
      </c>
      <c r="DA186" s="163">
        <f ca="1">IF(BD186,_xll.EURO(CP186,Strike1,AO186,AO186,CV186,CO186,IF(OptControl=4,0,1),0)-_xll.EURO(CP186,Strike1,AO186,AO186,CV186,CO186-1,IF(OptControl=4,0,1),0),0)</f>
        <v>0</v>
      </c>
      <c r="DB186" s="163">
        <f ca="1">IF(BD186,_xll.EURO(CP186,Strike2,AO186,AO186,CW186,CO186,IF(OptControl=3,1,0),0),0)</f>
        <v>0</v>
      </c>
      <c r="DC186" s="163">
        <f ca="1">IF(BD186,_xll.EURO(CP186,Strike2,AO186,AO186,CW186,CO186,IF(OptControl=3,1,0),1)+IF(OR(VolSkewFlag=2,ABS(CR186)&lt;0.0001),0,IF(CR186&gt;0,-1,1)*DD186*100*Strike2/CP186^2*CT186/10%),0)</f>
        <v>0</v>
      </c>
      <c r="DD186" s="163">
        <f ca="1">IF(BD186,_xll.EURO(CP186,Strike2,AO186,AO186,CW186,CO186,IF(OptControl=3,1,0),3)/100,0)</f>
        <v>0</v>
      </c>
      <c r="DE186" s="164">
        <f ca="1">IF(BD186,_xll.EURO(CP186,Strike2,AO186,AO186,CW186,CO186,IF(OptControl=3,1,0),0)-_xll.EURO(CP186,Strike2,AO186,AO186,CW186,CO186-1,IF(OptControl=3,1,0),0),0)</f>
        <v>0</v>
      </c>
      <c r="DG186" s="667">
        <f t="shared" ca="1" si="541"/>
        <v>41609</v>
      </c>
      <c r="DH186" s="475">
        <v>22.460000000000065</v>
      </c>
      <c r="DI186" s="665">
        <v>22.524285714285782</v>
      </c>
      <c r="DJ186" s="666">
        <f t="shared" ca="1" si="589"/>
        <v>41609</v>
      </c>
      <c r="DK186" s="475">
        <v>21.266585065027609</v>
      </c>
      <c r="DL186" s="665">
        <v>21.33118571428578</v>
      </c>
      <c r="DM186" s="667">
        <f t="shared" ca="1" si="590"/>
        <v>41609</v>
      </c>
      <c r="DN186" s="668">
        <f t="shared" si="591"/>
        <v>21.31658506502761</v>
      </c>
      <c r="DO186" s="667">
        <f t="shared" ca="1" si="542"/>
        <v>41609</v>
      </c>
      <c r="DP186" s="579">
        <f t="shared" si="543"/>
        <v>21.33118571428578</v>
      </c>
      <c r="DQ186" s="821">
        <v>0</v>
      </c>
      <c r="DR186" s="666">
        <f t="shared" ca="1" si="592"/>
        <v>41609</v>
      </c>
      <c r="DS186" s="669">
        <v>0.12499999999999803</v>
      </c>
      <c r="DT186" s="606">
        <v>0.12422857142856947</v>
      </c>
      <c r="DU186" s="666">
        <f t="shared" ca="1" si="593"/>
        <v>41609</v>
      </c>
      <c r="DV186" s="669">
        <v>0.12499999999999803</v>
      </c>
      <c r="DW186" s="606">
        <v>0.12422857142856947</v>
      </c>
      <c r="DX186" s="667">
        <f t="shared" ca="1" si="594"/>
        <v>41609</v>
      </c>
      <c r="DY186" s="606">
        <v>0.35</v>
      </c>
      <c r="DZ186" s="667">
        <f t="shared" ca="1" si="544"/>
        <v>41609</v>
      </c>
      <c r="EA186" s="606">
        <f t="shared" si="545"/>
        <v>0.12422857142856947</v>
      </c>
      <c r="EB186" s="1"/>
      <c r="EC186" s="118" t="str">
        <f t="shared" ca="1" si="595"/>
        <v/>
      </c>
      <c r="ED186" s="119" t="str">
        <f t="shared" ca="1" si="525"/>
        <v/>
      </c>
      <c r="EE186" s="112" t="str">
        <f t="shared" ca="1" si="526"/>
        <v/>
      </c>
      <c r="EF186" s="120">
        <f ca="1">IF(BD186,_xll.xASN(BR186,Strike1,AO186,ED186,0,BO186,0,BI186,BL186,IF(OptControl=4,0,1),0),0)</f>
        <v>0</v>
      </c>
      <c r="EG186" s="111">
        <f ca="1">IF(BD186,_xll.xASN(BR186,Strike2,AO186,EE186,0,BO186,0,BI186,BL186,IF(OptControl=3,1,0),0),0)</f>
        <v>0</v>
      </c>
      <c r="EL186" s="55"/>
      <c r="EM186" s="1"/>
      <c r="EN186" s="106"/>
      <c r="EO186" s="106"/>
      <c r="EP186" s="1"/>
      <c r="EQ186" s="683" t="s">
        <v>399</v>
      </c>
      <c r="ES186" s="455"/>
      <c r="ET186" s="36"/>
      <c r="EU186" s="107"/>
      <c r="EV186" s="475"/>
      <c r="EW186" s="456"/>
      <c r="EX186" s="456"/>
      <c r="EY186" s="250"/>
      <c r="EZ186" s="250"/>
      <c r="FA186" s="250"/>
      <c r="FB186" s="250"/>
      <c r="FC186" s="250"/>
      <c r="FD186" s="250"/>
      <c r="FE186" s="250"/>
      <c r="FF186" s="250"/>
      <c r="FG186" s="250"/>
      <c r="FH186" s="250"/>
      <c r="FI186" s="250"/>
      <c r="FJ186" s="673">
        <v>17</v>
      </c>
      <c r="FK186" s="479" t="str">
        <f ca="1">IF(OR(FK$169&lt;SwaptionFirstMonthPosition+1,$FJ186&lt;SwaptionFirstMonthPosition+1,FK$169&gt;SwaptionFirstMonthPosition+SwaptionNumOfMonths+1,$FJ186&gt;SwaptionFirstMonthPosition+SwaptionNumOfMonths+1),"",IF($FJ186=FK$169,1,IF($FJ186&lt;FK$169,INDEX($FK$170:$ID$241,FK$169,$FJ186),SUMPRODUCT(INDEX($FK$325:$ID$396,FK$169,1+SwaptionShift):INDEX($FK$325:$ID$396,FK$169,SwaptionMonthsToGo+SwaptionShift),INDEX($FK$245:$ID$316,$FJ186-FK$169,73-FK$169+SwaptionShift):INDEX($FK$245:$ID$316,$FJ186-FK$169,72-FK$169+SwaptionMonthsToGo+SwaptionShift))/SQRT(SUM(INDEX($FK341:$ID341,1+SwaptionShift):INDEX($FK341:$ID341,SwaptionMonthsToGo+SwaptionShift))*SUM(INDEX($FK$325:$ID$396,FK$169,1+SwaptionShift):INDEX($FK$325:$ID$396,FK$169,SwaptionMonthsToGo+SwaptionShift))))))</f>
        <v/>
      </c>
      <c r="FL186" s="479" t="str">
        <f ca="1">IF(OR(FL$169&lt;SwaptionFirstMonthPosition+1,$FJ186&lt;SwaptionFirstMonthPosition+1,FL$169&gt;SwaptionFirstMonthPosition+SwaptionNumOfMonths+1,$FJ186&gt;SwaptionFirstMonthPosition+SwaptionNumOfMonths+1),"",IF($FJ186=FL$169,1,IF($FJ186&lt;FL$169,INDEX($FK$170:$ID$241,FL$169,$FJ186),SUMPRODUCT(INDEX($FK$325:$ID$396,FL$169,1+SwaptionShift):INDEX($FK$325:$ID$396,FL$169,SwaptionMonthsToGo+SwaptionShift),INDEX($FK$245:$ID$316,$FJ186-FL$169,73-FL$169+SwaptionShift):INDEX($FK$245:$ID$316,$FJ186-FL$169,72-FL$169+SwaptionMonthsToGo+SwaptionShift))/SQRT(SUM(INDEX($FK341:$ID341,1+SwaptionShift):INDEX($FK341:$ID341,SwaptionMonthsToGo+SwaptionShift))*SUM(INDEX($FK$325:$ID$396,FL$169,1+SwaptionShift):INDEX($FK$325:$ID$396,FL$169,SwaptionMonthsToGo+SwaptionShift))))))</f>
        <v/>
      </c>
      <c r="FM186" s="479" t="str">
        <f ca="1">IF(OR(FM$169&lt;SwaptionFirstMonthPosition+1,$FJ186&lt;SwaptionFirstMonthPosition+1,FM$169&gt;SwaptionFirstMonthPosition+SwaptionNumOfMonths+1,$FJ186&gt;SwaptionFirstMonthPosition+SwaptionNumOfMonths+1),"",IF($FJ186=FM$169,1,IF($FJ186&lt;FM$169,INDEX($FK$170:$ID$241,FM$169,$FJ186),SUMPRODUCT(INDEX($FK$325:$ID$396,FM$169,1+SwaptionShift):INDEX($FK$325:$ID$396,FM$169,SwaptionMonthsToGo+SwaptionShift),INDEX($FK$245:$ID$316,$FJ186-FM$169,73-FM$169+SwaptionShift):INDEX($FK$245:$ID$316,$FJ186-FM$169,72-FM$169+SwaptionMonthsToGo+SwaptionShift))/SQRT(SUM(INDEX($FK341:$ID341,1+SwaptionShift):INDEX($FK341:$ID341,SwaptionMonthsToGo+SwaptionShift))*SUM(INDEX($FK$325:$ID$396,FM$169,1+SwaptionShift):INDEX($FK$325:$ID$396,FM$169,SwaptionMonthsToGo+SwaptionShift))))))</f>
        <v/>
      </c>
      <c r="FN186" s="479" t="str">
        <f ca="1">IF(OR(FN$169&lt;SwaptionFirstMonthPosition+1,$FJ186&lt;SwaptionFirstMonthPosition+1,FN$169&gt;SwaptionFirstMonthPosition+SwaptionNumOfMonths+1,$FJ186&gt;SwaptionFirstMonthPosition+SwaptionNumOfMonths+1),"",IF($FJ186=FN$169,1,IF($FJ186&lt;FN$169,INDEX($FK$170:$ID$241,FN$169,$FJ186),SUMPRODUCT(INDEX($FK$325:$ID$396,FN$169,1+SwaptionShift):INDEX($FK$325:$ID$396,FN$169,SwaptionMonthsToGo+SwaptionShift),INDEX($FK$245:$ID$316,$FJ186-FN$169,73-FN$169+SwaptionShift):INDEX($FK$245:$ID$316,$FJ186-FN$169,72-FN$169+SwaptionMonthsToGo+SwaptionShift))/SQRT(SUM(INDEX($FK341:$ID341,1+SwaptionShift):INDEX($FK341:$ID341,SwaptionMonthsToGo+SwaptionShift))*SUM(INDEX($FK$325:$ID$396,FN$169,1+SwaptionShift):INDEX($FK$325:$ID$396,FN$169,SwaptionMonthsToGo+SwaptionShift))))))</f>
        <v/>
      </c>
      <c r="FO186" s="479" t="str">
        <f ca="1">IF(OR(FO$169&lt;SwaptionFirstMonthPosition+1,$FJ186&lt;SwaptionFirstMonthPosition+1,FO$169&gt;SwaptionFirstMonthPosition+SwaptionNumOfMonths+1,$FJ186&gt;SwaptionFirstMonthPosition+SwaptionNumOfMonths+1),"",IF($FJ186=FO$169,1,IF($FJ186&lt;FO$169,INDEX($FK$170:$ID$241,FO$169,$FJ186),SUMPRODUCT(INDEX($FK$325:$ID$396,FO$169,1+SwaptionShift):INDEX($FK$325:$ID$396,FO$169,SwaptionMonthsToGo+SwaptionShift),INDEX($FK$245:$ID$316,$FJ186-FO$169,73-FO$169+SwaptionShift):INDEX($FK$245:$ID$316,$FJ186-FO$169,72-FO$169+SwaptionMonthsToGo+SwaptionShift))/SQRT(SUM(INDEX($FK341:$ID341,1+SwaptionShift):INDEX($FK341:$ID341,SwaptionMonthsToGo+SwaptionShift))*SUM(INDEX($FK$325:$ID$396,FO$169,1+SwaptionShift):INDEX($FK$325:$ID$396,FO$169,SwaptionMonthsToGo+SwaptionShift))))))</f>
        <v/>
      </c>
      <c r="FP186" s="479">
        <f ca="1">IF(OR(FP$169&lt;SwaptionFirstMonthPosition+1,$FJ186&lt;SwaptionFirstMonthPosition+1,FP$169&gt;SwaptionFirstMonthPosition+SwaptionNumOfMonths+1,$FJ186&gt;SwaptionFirstMonthPosition+SwaptionNumOfMonths+1),"",IF($FJ186=FP$169,1,IF($FJ186&lt;FP$169,INDEX($FK$170:$ID$241,FP$169,$FJ186),SUMPRODUCT(INDEX($FK$325:$ID$396,FP$169,1+SwaptionShift):INDEX($FK$325:$ID$396,FP$169,SwaptionMonthsToGo+SwaptionShift),INDEX($FK$245:$ID$316,$FJ186-FP$169,73-FP$169+SwaptionShift):INDEX($FK$245:$ID$316,$FJ186-FP$169,72-FP$169+SwaptionMonthsToGo+SwaptionShift))/SQRT(SUM(INDEX($FK341:$ID341,1+SwaptionShift):INDEX($FK341:$ID341,SwaptionMonthsToGo+SwaptionShift))*SUM(INDEX($FK$325:$ID$396,FP$169,1+SwaptionShift):INDEX($FK$325:$ID$396,FP$169,SwaptionMonthsToGo+SwaptionShift))))))</f>
        <v>0.88628722137629079</v>
      </c>
      <c r="FQ186" s="479">
        <f ca="1">IF(OR(FQ$169&lt;SwaptionFirstMonthPosition+1,$FJ186&lt;SwaptionFirstMonthPosition+1,FQ$169&gt;SwaptionFirstMonthPosition+SwaptionNumOfMonths+1,$FJ186&gt;SwaptionFirstMonthPosition+SwaptionNumOfMonths+1),"",IF($FJ186=FQ$169,1,IF($FJ186&lt;FQ$169,INDEX($FK$170:$ID$241,FQ$169,$FJ186),SUMPRODUCT(INDEX($FK$325:$ID$396,FQ$169,1+SwaptionShift):INDEX($FK$325:$ID$396,FQ$169,SwaptionMonthsToGo+SwaptionShift),INDEX($FK$245:$ID$316,$FJ186-FQ$169,73-FQ$169+SwaptionShift):INDEX($FK$245:$ID$316,$FJ186-FQ$169,72-FQ$169+SwaptionMonthsToGo+SwaptionShift))/SQRT(SUM(INDEX($FK341:$ID341,1+SwaptionShift):INDEX($FK341:$ID341,SwaptionMonthsToGo+SwaptionShift))*SUM(INDEX($FK$325:$ID$396,FQ$169,1+SwaptionShift):INDEX($FK$325:$ID$396,FQ$169,SwaptionMonthsToGo+SwaptionShift))))))</f>
        <v>0.9097030166371024</v>
      </c>
      <c r="FR186" s="479">
        <f ca="1">IF(OR(FR$169&lt;SwaptionFirstMonthPosition+1,$FJ186&lt;SwaptionFirstMonthPosition+1,FR$169&gt;SwaptionFirstMonthPosition+SwaptionNumOfMonths+1,$FJ186&gt;SwaptionFirstMonthPosition+SwaptionNumOfMonths+1),"",IF($FJ186=FR$169,1,IF($FJ186&lt;FR$169,INDEX($FK$170:$ID$241,FR$169,$FJ186),SUMPRODUCT(INDEX($FK$325:$ID$396,FR$169,1+SwaptionShift):INDEX($FK$325:$ID$396,FR$169,SwaptionMonthsToGo+SwaptionShift),INDEX($FK$245:$ID$316,$FJ186-FR$169,73-FR$169+SwaptionShift):INDEX($FK$245:$ID$316,$FJ186-FR$169,72-FR$169+SwaptionMonthsToGo+SwaptionShift))/SQRT(SUM(INDEX($FK341:$ID341,1+SwaptionShift):INDEX($FK341:$ID341,SwaptionMonthsToGo+SwaptionShift))*SUM(INDEX($FK$325:$ID$396,FR$169,1+SwaptionShift):INDEX($FK$325:$ID$396,FR$169,SwaptionMonthsToGo+SwaptionShift))))))</f>
        <v>0.92861273259576338</v>
      </c>
      <c r="FS186" s="479">
        <f ca="1">IF(OR(FS$169&lt;SwaptionFirstMonthPosition+1,$FJ186&lt;SwaptionFirstMonthPosition+1,FS$169&gt;SwaptionFirstMonthPosition+SwaptionNumOfMonths+1,$FJ186&gt;SwaptionFirstMonthPosition+SwaptionNumOfMonths+1),"",IF($FJ186=FS$169,1,IF($FJ186&lt;FS$169,INDEX($FK$170:$ID$241,FS$169,$FJ186),SUMPRODUCT(INDEX($FK$325:$ID$396,FS$169,1+SwaptionShift):INDEX($FK$325:$ID$396,FS$169,SwaptionMonthsToGo+SwaptionShift),INDEX($FK$245:$ID$316,$FJ186-FS$169,73-FS$169+SwaptionShift):INDEX($FK$245:$ID$316,$FJ186-FS$169,72-FS$169+SwaptionMonthsToGo+SwaptionShift))/SQRT(SUM(INDEX($FK341:$ID341,1+SwaptionShift):INDEX($FK341:$ID341,SwaptionMonthsToGo+SwaptionShift))*SUM(INDEX($FK$325:$ID$396,FS$169,1+SwaptionShift):INDEX($FK$325:$ID$396,FS$169,SwaptionMonthsToGo+SwaptionShift))))))</f>
        <v>0.94395779455548812</v>
      </c>
      <c r="FT186" s="479">
        <f ca="1">IF(OR(FT$169&lt;SwaptionFirstMonthPosition+1,$FJ186&lt;SwaptionFirstMonthPosition+1,FT$169&gt;SwaptionFirstMonthPosition+SwaptionNumOfMonths+1,$FJ186&gt;SwaptionFirstMonthPosition+SwaptionNumOfMonths+1),"",IF($FJ186=FT$169,1,IF($FJ186&lt;FT$169,INDEX($FK$170:$ID$241,FT$169,$FJ186),SUMPRODUCT(INDEX($FK$325:$ID$396,FT$169,1+SwaptionShift):INDEX($FK$325:$ID$396,FT$169,SwaptionMonthsToGo+SwaptionShift),INDEX($FK$245:$ID$316,$FJ186-FT$169,73-FT$169+SwaptionShift):INDEX($FK$245:$ID$316,$FJ186-FT$169,72-FT$169+SwaptionMonthsToGo+SwaptionShift))/SQRT(SUM(INDEX($FK341:$ID341,1+SwaptionShift):INDEX($FK341:$ID341,SwaptionMonthsToGo+SwaptionShift))*SUM(INDEX($FK$325:$ID$396,FT$169,1+SwaptionShift):INDEX($FK$325:$ID$396,FT$169,SwaptionMonthsToGo+SwaptionShift))))))</f>
        <v>0.95646873752278838</v>
      </c>
      <c r="FU186" s="479">
        <f ca="1">IF(OR(FU$169&lt;SwaptionFirstMonthPosition+1,$FJ186&lt;SwaptionFirstMonthPosition+1,FU$169&gt;SwaptionFirstMonthPosition+SwaptionNumOfMonths+1,$FJ186&gt;SwaptionFirstMonthPosition+SwaptionNumOfMonths+1),"",IF($FJ186=FU$169,1,IF($FJ186&lt;FU$169,INDEX($FK$170:$ID$241,FU$169,$FJ186),SUMPRODUCT(INDEX($FK$325:$ID$396,FU$169,1+SwaptionShift):INDEX($FK$325:$ID$396,FU$169,SwaptionMonthsToGo+SwaptionShift),INDEX($FK$245:$ID$316,$FJ186-FU$169,73-FU$169+SwaptionShift):INDEX($FK$245:$ID$316,$FJ186-FU$169,72-FU$169+SwaptionMonthsToGo+SwaptionShift))/SQRT(SUM(INDEX($FK341:$ID341,1+SwaptionShift):INDEX($FK341:$ID341,SwaptionMonthsToGo+SwaptionShift))*SUM(INDEX($FK$325:$ID$396,FU$169,1+SwaptionShift):INDEX($FK$325:$ID$396,FU$169,SwaptionMonthsToGo+SwaptionShift))))))</f>
        <v>0.96671472854699625</v>
      </c>
      <c r="FV186" s="479">
        <f ca="1">IF(OR(FV$169&lt;SwaptionFirstMonthPosition+1,$FJ186&lt;SwaptionFirstMonthPosition+1,FV$169&gt;SwaptionFirstMonthPosition+SwaptionNumOfMonths+1,$FJ186&gt;SwaptionFirstMonthPosition+SwaptionNumOfMonths+1),"",IF($FJ186=FV$169,1,IF($FJ186&lt;FV$169,INDEX($FK$170:$ID$241,FV$169,$FJ186),SUMPRODUCT(INDEX($FK$325:$ID$396,FV$169,1+SwaptionShift):INDEX($FK$325:$ID$396,FV$169,SwaptionMonthsToGo+SwaptionShift),INDEX($FK$245:$ID$316,$FJ186-FV$169,73-FV$169+SwaptionShift):INDEX($FK$245:$ID$316,$FJ186-FV$169,72-FV$169+SwaptionMonthsToGo+SwaptionShift))/SQRT(SUM(INDEX($FK341:$ID341,1+SwaptionShift):INDEX($FK341:$ID341,SwaptionMonthsToGo+SwaptionShift))*SUM(INDEX($FK$325:$ID$396,FV$169,1+SwaptionShift):INDEX($FK$325:$ID$396,FV$169,SwaptionMonthsToGo+SwaptionShift))))))</f>
        <v>0.97514125805576135</v>
      </c>
      <c r="FW186" s="479">
        <f ca="1">IF(OR(FW$169&lt;SwaptionFirstMonthPosition+1,$FJ186&lt;SwaptionFirstMonthPosition+1,FW$169&gt;SwaptionFirstMonthPosition+SwaptionNumOfMonths+1,$FJ186&gt;SwaptionFirstMonthPosition+SwaptionNumOfMonths+1),"",IF($FJ186=FW$169,1,IF($FJ186&lt;FW$169,INDEX($FK$170:$ID$241,FW$169,$FJ186),SUMPRODUCT(INDEX($FK$325:$ID$396,FW$169,1+SwaptionShift):INDEX($FK$325:$ID$396,FW$169,SwaptionMonthsToGo+SwaptionShift),INDEX($FK$245:$ID$316,$FJ186-FW$169,73-FW$169+SwaptionShift):INDEX($FK$245:$ID$316,$FJ186-FW$169,72-FW$169+SwaptionMonthsToGo+SwaptionShift))/SQRT(SUM(INDEX($FK341:$ID341,1+SwaptionShift):INDEX($FK341:$ID341,SwaptionMonthsToGo+SwaptionShift))*SUM(INDEX($FK$325:$ID$396,FW$169,1+SwaptionShift):INDEX($FK$325:$ID$396,FW$169,SwaptionMonthsToGo+SwaptionShift))))))</f>
        <v>0.98209875213842357</v>
      </c>
      <c r="FX186" s="479">
        <f ca="1">IF(OR(FX$169&lt;SwaptionFirstMonthPosition+1,$FJ186&lt;SwaptionFirstMonthPosition+1,FX$169&gt;SwaptionFirstMonthPosition+SwaptionNumOfMonths+1,$FJ186&gt;SwaptionFirstMonthPosition+SwaptionNumOfMonths+1),"",IF($FJ186=FX$169,1,IF($FJ186&lt;FX$169,INDEX($FK$170:$ID$241,FX$169,$FJ186),SUMPRODUCT(INDEX($FK$325:$ID$396,FX$169,1+SwaptionShift):INDEX($FK$325:$ID$396,FX$169,SwaptionMonthsToGo+SwaptionShift),INDEX($FK$245:$ID$316,$FJ186-FX$169,73-FX$169+SwaptionShift):INDEX($FK$245:$ID$316,$FJ186-FX$169,72-FX$169+SwaptionMonthsToGo+SwaptionShift))/SQRT(SUM(INDEX($FK341:$ID341,1+SwaptionShift):INDEX($FK341:$ID341,SwaptionMonthsToGo+SwaptionShift))*SUM(INDEX($FK$325:$ID$396,FX$169,1+SwaptionShift):INDEX($FK$325:$ID$396,FX$169,SwaptionMonthsToGo+SwaptionShift))))))</f>
        <v>0.98786429087589922</v>
      </c>
      <c r="FY186" s="479">
        <f ca="1">IF(OR(FY$169&lt;SwaptionFirstMonthPosition+1,$FJ186&lt;SwaptionFirstMonthPosition+1,FY$169&gt;SwaptionFirstMonthPosition+SwaptionNumOfMonths+1,$FJ186&gt;SwaptionFirstMonthPosition+SwaptionNumOfMonths+1),"",IF($FJ186=FY$169,1,IF($FJ186&lt;FY$169,INDEX($FK$170:$ID$241,FY$169,$FJ186),SUMPRODUCT(INDEX($FK$325:$ID$396,FY$169,1+SwaptionShift):INDEX($FK$325:$ID$396,FY$169,SwaptionMonthsToGo+SwaptionShift),INDEX($FK$245:$ID$316,$FJ186-FY$169,73-FY$169+SwaptionShift):INDEX($FK$245:$ID$316,$FJ186-FY$169,72-FY$169+SwaptionMonthsToGo+SwaptionShift))/SQRT(SUM(INDEX($FK341:$ID341,1+SwaptionShift):INDEX($FK341:$ID341,SwaptionMonthsToGo+SwaptionShift))*SUM(INDEX($FK$325:$ID$396,FY$169,1+SwaptionShift):INDEX($FK$325:$ID$396,FY$169,SwaptionMonthsToGo+SwaptionShift))))))</f>
        <v>0.99265811921343916</v>
      </c>
      <c r="FZ186" s="479">
        <f ca="1">IF(OR(FZ$169&lt;SwaptionFirstMonthPosition+1,$FJ186&lt;SwaptionFirstMonthPosition+1,FZ$169&gt;SwaptionFirstMonthPosition+SwaptionNumOfMonths+1,$FJ186&gt;SwaptionFirstMonthPosition+SwaptionNumOfMonths+1),"",IF($FJ186=FZ$169,1,IF($FJ186&lt;FZ$169,INDEX($FK$170:$ID$241,FZ$169,$FJ186),SUMPRODUCT(INDEX($FK$325:$ID$396,FZ$169,1+SwaptionShift):INDEX($FK$325:$ID$396,FZ$169,SwaptionMonthsToGo+SwaptionShift),INDEX($FK$245:$ID$316,$FJ186-FZ$169,73-FZ$169+SwaptionShift):INDEX($FK$245:$ID$316,$FJ186-FZ$169,72-FZ$169+SwaptionMonthsToGo+SwaptionShift))/SQRT(SUM(INDEX($FK341:$ID341,1+SwaptionShift):INDEX($FK341:$ID341,SwaptionMonthsToGo+SwaptionShift))*SUM(INDEX($FK$325:$ID$396,FZ$169,1+SwaptionShift):INDEX($FK$325:$ID$396,FZ$169,SwaptionMonthsToGo+SwaptionShift))))))</f>
        <v>0.99665623210647059</v>
      </c>
      <c r="GA186" s="479">
        <f ca="1">IF(OR(GA$169&lt;SwaptionFirstMonthPosition+1,$FJ186&lt;SwaptionFirstMonthPosition+1,GA$169&gt;SwaptionFirstMonthPosition+SwaptionNumOfMonths+1,$FJ186&gt;SwaptionFirstMonthPosition+SwaptionNumOfMonths+1),"",IF($FJ186=GA$169,1,IF($FJ186&lt;GA$169,INDEX($FK$170:$ID$241,GA$169,$FJ186),SUMPRODUCT(INDEX($FK$325:$ID$396,GA$169,1+SwaptionShift):INDEX($FK$325:$ID$396,GA$169,SwaptionMonthsToGo+SwaptionShift),INDEX($FK$245:$ID$316,$FJ186-GA$169,73-GA$169+SwaptionShift):INDEX($FK$245:$ID$316,$FJ186-GA$169,72-GA$169+SwaptionMonthsToGo+SwaptionShift))/SQRT(SUM(INDEX($FK341:$ID341,1+SwaptionShift):INDEX($FK341:$ID341,SwaptionMonthsToGo+SwaptionShift))*SUM(INDEX($FK$325:$ID$396,GA$169,1+SwaptionShift):INDEX($FK$325:$ID$396,GA$169,SwaptionMonthsToGo+SwaptionShift))))))</f>
        <v>1</v>
      </c>
      <c r="GB186" s="479">
        <f ca="1">IF(OR(GB$169&lt;SwaptionFirstMonthPosition+1,$FJ186&lt;SwaptionFirstMonthPosition+1,GB$169&gt;SwaptionFirstMonthPosition+SwaptionNumOfMonths+1,$FJ186&gt;SwaptionFirstMonthPosition+SwaptionNumOfMonths+1),"",IF($FJ186=GB$169,1,IF($FJ186&lt;GB$169,INDEX($FK$170:$ID$241,GB$169,$FJ186),SUMPRODUCT(INDEX($FK$325:$ID$396,GB$169,1+SwaptionShift):INDEX($FK$325:$ID$396,GB$169,SwaptionMonthsToGo+SwaptionShift),INDEX($FK$245:$ID$316,$FJ186-GB$169,73-GB$169+SwaptionShift):INDEX($FK$245:$ID$316,$FJ186-GB$169,72-GB$169+SwaptionMonthsToGo+SwaptionShift))/SQRT(SUM(INDEX($FK341:$ID341,1+SwaptionShift):INDEX($FK341:$ID341,SwaptionMonthsToGo+SwaptionShift))*SUM(INDEX($FK$325:$ID$396,GB$169,1+SwaptionShift):INDEX($FK$325:$ID$396,GB$169,SwaptionMonthsToGo+SwaptionShift))))))</f>
        <v>0.99719481091166229</v>
      </c>
      <c r="GC186" s="479" t="str">
        <f ca="1">IF(OR(GC$169&lt;SwaptionFirstMonthPosition+1,$FJ186&lt;SwaptionFirstMonthPosition+1,GC$169&gt;SwaptionFirstMonthPosition+SwaptionNumOfMonths+1,$FJ186&gt;SwaptionFirstMonthPosition+SwaptionNumOfMonths+1),"",IF($FJ186=GC$169,1,IF($FJ186&lt;GC$169,INDEX($FK$170:$ID$241,GC$169,$FJ186),SUMPRODUCT(INDEX($FK$325:$ID$396,GC$169,1+SwaptionShift):INDEX($FK$325:$ID$396,GC$169,SwaptionMonthsToGo+SwaptionShift),INDEX($FK$245:$ID$316,$FJ186-GC$169,73-GC$169+SwaptionShift):INDEX($FK$245:$ID$316,$FJ186-GC$169,72-GC$169+SwaptionMonthsToGo+SwaptionShift))/SQRT(SUM(INDEX($FK341:$ID341,1+SwaptionShift):INDEX($FK341:$ID341,SwaptionMonthsToGo+SwaptionShift))*SUM(INDEX($FK$325:$ID$396,GC$169,1+SwaptionShift):INDEX($FK$325:$ID$396,GC$169,SwaptionMonthsToGo+SwaptionShift))))))</f>
        <v/>
      </c>
      <c r="GD186" s="479" t="str">
        <f ca="1">IF(OR(GD$169&lt;SwaptionFirstMonthPosition+1,$FJ186&lt;SwaptionFirstMonthPosition+1,GD$169&gt;SwaptionFirstMonthPosition+SwaptionNumOfMonths+1,$FJ186&gt;SwaptionFirstMonthPosition+SwaptionNumOfMonths+1),"",IF($FJ186=GD$169,1,IF($FJ186&lt;GD$169,INDEX($FK$170:$ID$241,GD$169,$FJ186),SUMPRODUCT(INDEX($FK$325:$ID$396,GD$169,1+SwaptionShift):INDEX($FK$325:$ID$396,GD$169,SwaptionMonthsToGo+SwaptionShift),INDEX($FK$245:$ID$316,$FJ186-GD$169,73-GD$169+SwaptionShift):INDEX($FK$245:$ID$316,$FJ186-GD$169,72-GD$169+SwaptionMonthsToGo+SwaptionShift))/SQRT(SUM(INDEX($FK341:$ID341,1+SwaptionShift):INDEX($FK341:$ID341,SwaptionMonthsToGo+SwaptionShift))*SUM(INDEX($FK$325:$ID$396,GD$169,1+SwaptionShift):INDEX($FK$325:$ID$396,GD$169,SwaptionMonthsToGo+SwaptionShift))))))</f>
        <v/>
      </c>
      <c r="GE186" s="479" t="str">
        <f ca="1">IF(OR(GE$169&lt;SwaptionFirstMonthPosition+1,$FJ186&lt;SwaptionFirstMonthPosition+1,GE$169&gt;SwaptionFirstMonthPosition+SwaptionNumOfMonths+1,$FJ186&gt;SwaptionFirstMonthPosition+SwaptionNumOfMonths+1),"",IF($FJ186=GE$169,1,IF($FJ186&lt;GE$169,INDEX($FK$170:$ID$241,GE$169,$FJ186),SUMPRODUCT(INDEX($FK$325:$ID$396,GE$169,1+SwaptionShift):INDEX($FK$325:$ID$396,GE$169,SwaptionMonthsToGo+SwaptionShift),INDEX($FK$245:$ID$316,$FJ186-GE$169,73-GE$169+SwaptionShift):INDEX($FK$245:$ID$316,$FJ186-GE$169,72-GE$169+SwaptionMonthsToGo+SwaptionShift))/SQRT(SUM(INDEX($FK341:$ID341,1+SwaptionShift):INDEX($FK341:$ID341,SwaptionMonthsToGo+SwaptionShift))*SUM(INDEX($FK$325:$ID$396,GE$169,1+SwaptionShift):INDEX($FK$325:$ID$396,GE$169,SwaptionMonthsToGo+SwaptionShift))))))</f>
        <v/>
      </c>
      <c r="GF186" s="479" t="str">
        <f ca="1">IF(OR(GF$169&lt;SwaptionFirstMonthPosition+1,$FJ186&lt;SwaptionFirstMonthPosition+1,GF$169&gt;SwaptionFirstMonthPosition+SwaptionNumOfMonths+1,$FJ186&gt;SwaptionFirstMonthPosition+SwaptionNumOfMonths+1),"",IF($FJ186=GF$169,1,IF($FJ186&lt;GF$169,INDEX($FK$170:$ID$241,GF$169,$FJ186),SUMPRODUCT(INDEX($FK$325:$ID$396,GF$169,1+SwaptionShift):INDEX($FK$325:$ID$396,GF$169,SwaptionMonthsToGo+SwaptionShift),INDEX($FK$245:$ID$316,$FJ186-GF$169,73-GF$169+SwaptionShift):INDEX($FK$245:$ID$316,$FJ186-GF$169,72-GF$169+SwaptionMonthsToGo+SwaptionShift))/SQRT(SUM(INDEX($FK341:$ID341,1+SwaptionShift):INDEX($FK341:$ID341,SwaptionMonthsToGo+SwaptionShift))*SUM(INDEX($FK$325:$ID$396,GF$169,1+SwaptionShift):INDEX($FK$325:$ID$396,GF$169,SwaptionMonthsToGo+SwaptionShift))))))</f>
        <v/>
      </c>
      <c r="GG186" s="479" t="str">
        <f ca="1">IF(OR(GG$169&lt;SwaptionFirstMonthPosition+1,$FJ186&lt;SwaptionFirstMonthPosition+1,GG$169&gt;SwaptionFirstMonthPosition+SwaptionNumOfMonths+1,$FJ186&gt;SwaptionFirstMonthPosition+SwaptionNumOfMonths+1),"",IF($FJ186=GG$169,1,IF($FJ186&lt;GG$169,INDEX($FK$170:$ID$241,GG$169,$FJ186),SUMPRODUCT(INDEX($FK$325:$ID$396,GG$169,1+SwaptionShift):INDEX($FK$325:$ID$396,GG$169,SwaptionMonthsToGo+SwaptionShift),INDEX($FK$245:$ID$316,$FJ186-GG$169,73-GG$169+SwaptionShift):INDEX($FK$245:$ID$316,$FJ186-GG$169,72-GG$169+SwaptionMonthsToGo+SwaptionShift))/SQRT(SUM(INDEX($FK341:$ID341,1+SwaptionShift):INDEX($FK341:$ID341,SwaptionMonthsToGo+SwaptionShift))*SUM(INDEX($FK$325:$ID$396,GG$169,1+SwaptionShift):INDEX($FK$325:$ID$396,GG$169,SwaptionMonthsToGo+SwaptionShift))))))</f>
        <v/>
      </c>
      <c r="GH186" s="479" t="str">
        <f ca="1">IF(OR(GH$169&lt;SwaptionFirstMonthPosition+1,$FJ186&lt;SwaptionFirstMonthPosition+1,GH$169&gt;SwaptionFirstMonthPosition+SwaptionNumOfMonths+1,$FJ186&gt;SwaptionFirstMonthPosition+SwaptionNumOfMonths+1),"",IF($FJ186=GH$169,1,IF($FJ186&lt;GH$169,INDEX($FK$170:$ID$241,GH$169,$FJ186),SUMPRODUCT(INDEX($FK$325:$ID$396,GH$169,1+SwaptionShift):INDEX($FK$325:$ID$396,GH$169,SwaptionMonthsToGo+SwaptionShift),INDEX($FK$245:$ID$316,$FJ186-GH$169,73-GH$169+SwaptionShift):INDEX($FK$245:$ID$316,$FJ186-GH$169,72-GH$169+SwaptionMonthsToGo+SwaptionShift))/SQRT(SUM(INDEX($FK341:$ID341,1+SwaptionShift):INDEX($FK341:$ID341,SwaptionMonthsToGo+SwaptionShift))*SUM(INDEX($FK$325:$ID$396,GH$169,1+SwaptionShift):INDEX($FK$325:$ID$396,GH$169,SwaptionMonthsToGo+SwaptionShift))))))</f>
        <v/>
      </c>
      <c r="GI186" s="479" t="str">
        <f ca="1">IF(OR(GI$169&lt;SwaptionFirstMonthPosition+1,$FJ186&lt;SwaptionFirstMonthPosition+1,GI$169&gt;SwaptionFirstMonthPosition+SwaptionNumOfMonths+1,$FJ186&gt;SwaptionFirstMonthPosition+SwaptionNumOfMonths+1),"",IF($FJ186=GI$169,1,IF($FJ186&lt;GI$169,INDEX($FK$170:$ID$241,GI$169,$FJ186),SUMPRODUCT(INDEX($FK$325:$ID$396,GI$169,1+SwaptionShift):INDEX($FK$325:$ID$396,GI$169,SwaptionMonthsToGo+SwaptionShift),INDEX($FK$245:$ID$316,$FJ186-GI$169,73-GI$169+SwaptionShift):INDEX($FK$245:$ID$316,$FJ186-GI$169,72-GI$169+SwaptionMonthsToGo+SwaptionShift))/SQRT(SUM(INDEX($FK341:$ID341,1+SwaptionShift):INDEX($FK341:$ID341,SwaptionMonthsToGo+SwaptionShift))*SUM(INDEX($FK$325:$ID$396,GI$169,1+SwaptionShift):INDEX($FK$325:$ID$396,GI$169,SwaptionMonthsToGo+SwaptionShift))))))</f>
        <v/>
      </c>
      <c r="GJ186" s="479" t="str">
        <f ca="1">IF(OR(GJ$169&lt;SwaptionFirstMonthPosition+1,$FJ186&lt;SwaptionFirstMonthPosition+1,GJ$169&gt;SwaptionFirstMonthPosition+SwaptionNumOfMonths+1,$FJ186&gt;SwaptionFirstMonthPosition+SwaptionNumOfMonths+1),"",IF($FJ186=GJ$169,1,IF($FJ186&lt;GJ$169,INDEX($FK$170:$ID$241,GJ$169,$FJ186),SUMPRODUCT(INDEX($FK$325:$ID$396,GJ$169,1+SwaptionShift):INDEX($FK$325:$ID$396,GJ$169,SwaptionMonthsToGo+SwaptionShift),INDEX($FK$245:$ID$316,$FJ186-GJ$169,73-GJ$169+SwaptionShift):INDEX($FK$245:$ID$316,$FJ186-GJ$169,72-GJ$169+SwaptionMonthsToGo+SwaptionShift))/SQRT(SUM(INDEX($FK341:$ID341,1+SwaptionShift):INDEX($FK341:$ID341,SwaptionMonthsToGo+SwaptionShift))*SUM(INDEX($FK$325:$ID$396,GJ$169,1+SwaptionShift):INDEX($FK$325:$ID$396,GJ$169,SwaptionMonthsToGo+SwaptionShift))))))</f>
        <v/>
      </c>
      <c r="GK186" s="479" t="str">
        <f ca="1">IF(OR(GK$169&lt;SwaptionFirstMonthPosition+1,$FJ186&lt;SwaptionFirstMonthPosition+1,GK$169&gt;SwaptionFirstMonthPosition+SwaptionNumOfMonths+1,$FJ186&gt;SwaptionFirstMonthPosition+SwaptionNumOfMonths+1),"",IF($FJ186=GK$169,1,IF($FJ186&lt;GK$169,INDEX($FK$170:$ID$241,GK$169,$FJ186),SUMPRODUCT(INDEX($FK$325:$ID$396,GK$169,1+SwaptionShift):INDEX($FK$325:$ID$396,GK$169,SwaptionMonthsToGo+SwaptionShift),INDEX($FK$245:$ID$316,$FJ186-GK$169,73-GK$169+SwaptionShift):INDEX($FK$245:$ID$316,$FJ186-GK$169,72-GK$169+SwaptionMonthsToGo+SwaptionShift))/SQRT(SUM(INDEX($FK341:$ID341,1+SwaptionShift):INDEX($FK341:$ID341,SwaptionMonthsToGo+SwaptionShift))*SUM(INDEX($FK$325:$ID$396,GK$169,1+SwaptionShift):INDEX($FK$325:$ID$396,GK$169,SwaptionMonthsToGo+SwaptionShift))))))</f>
        <v/>
      </c>
      <c r="GL186" s="479" t="str">
        <f ca="1">IF(OR(GL$169&lt;SwaptionFirstMonthPosition+1,$FJ186&lt;SwaptionFirstMonthPosition+1,GL$169&gt;SwaptionFirstMonthPosition+SwaptionNumOfMonths+1,$FJ186&gt;SwaptionFirstMonthPosition+SwaptionNumOfMonths+1),"",IF($FJ186=GL$169,1,IF($FJ186&lt;GL$169,INDEX($FK$170:$ID$241,GL$169,$FJ186),SUMPRODUCT(INDEX($FK$325:$ID$396,GL$169,1+SwaptionShift):INDEX($FK$325:$ID$396,GL$169,SwaptionMonthsToGo+SwaptionShift),INDEX($FK$245:$ID$316,$FJ186-GL$169,73-GL$169+SwaptionShift):INDEX($FK$245:$ID$316,$FJ186-GL$169,72-GL$169+SwaptionMonthsToGo+SwaptionShift))/SQRT(SUM(INDEX($FK341:$ID341,1+SwaptionShift):INDEX($FK341:$ID341,SwaptionMonthsToGo+SwaptionShift))*SUM(INDEX($FK$325:$ID$396,GL$169,1+SwaptionShift):INDEX($FK$325:$ID$396,GL$169,SwaptionMonthsToGo+SwaptionShift))))))</f>
        <v/>
      </c>
      <c r="GM186" s="479" t="str">
        <f ca="1">IF(OR(GM$169&lt;SwaptionFirstMonthPosition+1,$FJ186&lt;SwaptionFirstMonthPosition+1,GM$169&gt;SwaptionFirstMonthPosition+SwaptionNumOfMonths+1,$FJ186&gt;SwaptionFirstMonthPosition+SwaptionNumOfMonths+1),"",IF($FJ186=GM$169,1,IF($FJ186&lt;GM$169,INDEX($FK$170:$ID$241,GM$169,$FJ186),SUMPRODUCT(INDEX($FK$325:$ID$396,GM$169,1+SwaptionShift):INDEX($FK$325:$ID$396,GM$169,SwaptionMonthsToGo+SwaptionShift),INDEX($FK$245:$ID$316,$FJ186-GM$169,73-GM$169+SwaptionShift):INDEX($FK$245:$ID$316,$FJ186-GM$169,72-GM$169+SwaptionMonthsToGo+SwaptionShift))/SQRT(SUM(INDEX($FK341:$ID341,1+SwaptionShift):INDEX($FK341:$ID341,SwaptionMonthsToGo+SwaptionShift))*SUM(INDEX($FK$325:$ID$396,GM$169,1+SwaptionShift):INDEX($FK$325:$ID$396,GM$169,SwaptionMonthsToGo+SwaptionShift))))))</f>
        <v/>
      </c>
      <c r="GN186" s="479" t="str">
        <f ca="1">IF(OR(GN$169&lt;SwaptionFirstMonthPosition+1,$FJ186&lt;SwaptionFirstMonthPosition+1,GN$169&gt;SwaptionFirstMonthPosition+SwaptionNumOfMonths+1,$FJ186&gt;SwaptionFirstMonthPosition+SwaptionNumOfMonths+1),"",IF($FJ186=GN$169,1,IF($FJ186&lt;GN$169,INDEX($FK$170:$ID$241,GN$169,$FJ186),SUMPRODUCT(INDEX($FK$325:$ID$396,GN$169,1+SwaptionShift):INDEX($FK$325:$ID$396,GN$169,SwaptionMonthsToGo+SwaptionShift),INDEX($FK$245:$ID$316,$FJ186-GN$169,73-GN$169+SwaptionShift):INDEX($FK$245:$ID$316,$FJ186-GN$169,72-GN$169+SwaptionMonthsToGo+SwaptionShift))/SQRT(SUM(INDEX($FK341:$ID341,1+SwaptionShift):INDEX($FK341:$ID341,SwaptionMonthsToGo+SwaptionShift))*SUM(INDEX($FK$325:$ID$396,GN$169,1+SwaptionShift):INDEX($FK$325:$ID$396,GN$169,SwaptionMonthsToGo+SwaptionShift))))))</f>
        <v/>
      </c>
      <c r="GO186" s="479" t="str">
        <f ca="1">IF(OR(GO$169&lt;SwaptionFirstMonthPosition+1,$FJ186&lt;SwaptionFirstMonthPosition+1,GO$169&gt;SwaptionFirstMonthPosition+SwaptionNumOfMonths+1,$FJ186&gt;SwaptionFirstMonthPosition+SwaptionNumOfMonths+1),"",IF($FJ186=GO$169,1,IF($FJ186&lt;GO$169,INDEX($FK$170:$ID$241,GO$169,$FJ186),SUMPRODUCT(INDEX($FK$325:$ID$396,GO$169,1+SwaptionShift):INDEX($FK$325:$ID$396,GO$169,SwaptionMonthsToGo+SwaptionShift),INDEX($FK$245:$ID$316,$FJ186-GO$169,73-GO$169+SwaptionShift):INDEX($FK$245:$ID$316,$FJ186-GO$169,72-GO$169+SwaptionMonthsToGo+SwaptionShift))/SQRT(SUM(INDEX($FK341:$ID341,1+SwaptionShift):INDEX($FK341:$ID341,SwaptionMonthsToGo+SwaptionShift))*SUM(INDEX($FK$325:$ID$396,GO$169,1+SwaptionShift):INDEX($FK$325:$ID$396,GO$169,SwaptionMonthsToGo+SwaptionShift))))))</f>
        <v/>
      </c>
      <c r="GP186" s="479" t="str">
        <f ca="1">IF(OR(GP$169&lt;SwaptionFirstMonthPosition+1,$FJ186&lt;SwaptionFirstMonthPosition+1,GP$169&gt;SwaptionFirstMonthPosition+SwaptionNumOfMonths+1,$FJ186&gt;SwaptionFirstMonthPosition+SwaptionNumOfMonths+1),"",IF($FJ186=GP$169,1,IF($FJ186&lt;GP$169,INDEX($FK$170:$ID$241,GP$169,$FJ186),SUMPRODUCT(INDEX($FK$325:$ID$396,GP$169,1+SwaptionShift):INDEX($FK$325:$ID$396,GP$169,SwaptionMonthsToGo+SwaptionShift),INDEX($FK$245:$ID$316,$FJ186-GP$169,73-GP$169+SwaptionShift):INDEX($FK$245:$ID$316,$FJ186-GP$169,72-GP$169+SwaptionMonthsToGo+SwaptionShift))/SQRT(SUM(INDEX($FK341:$ID341,1+SwaptionShift):INDEX($FK341:$ID341,SwaptionMonthsToGo+SwaptionShift))*SUM(INDEX($FK$325:$ID$396,GP$169,1+SwaptionShift):INDEX($FK$325:$ID$396,GP$169,SwaptionMonthsToGo+SwaptionShift))))))</f>
        <v/>
      </c>
      <c r="GQ186" s="479" t="str">
        <f ca="1">IF(OR(GQ$169&lt;SwaptionFirstMonthPosition+1,$FJ186&lt;SwaptionFirstMonthPosition+1,GQ$169&gt;SwaptionFirstMonthPosition+SwaptionNumOfMonths+1,$FJ186&gt;SwaptionFirstMonthPosition+SwaptionNumOfMonths+1),"",IF($FJ186=GQ$169,1,IF($FJ186&lt;GQ$169,INDEX($FK$170:$ID$241,GQ$169,$FJ186),SUMPRODUCT(INDEX($FK$325:$ID$396,GQ$169,1+SwaptionShift):INDEX($FK$325:$ID$396,GQ$169,SwaptionMonthsToGo+SwaptionShift),INDEX($FK$245:$ID$316,$FJ186-GQ$169,73-GQ$169+SwaptionShift):INDEX($FK$245:$ID$316,$FJ186-GQ$169,72-GQ$169+SwaptionMonthsToGo+SwaptionShift))/SQRT(SUM(INDEX($FK341:$ID341,1+SwaptionShift):INDEX($FK341:$ID341,SwaptionMonthsToGo+SwaptionShift))*SUM(INDEX($FK$325:$ID$396,GQ$169,1+SwaptionShift):INDEX($FK$325:$ID$396,GQ$169,SwaptionMonthsToGo+SwaptionShift))))))</f>
        <v/>
      </c>
      <c r="GR186" s="479" t="str">
        <f ca="1">IF(OR(GR$169&lt;SwaptionFirstMonthPosition+1,$FJ186&lt;SwaptionFirstMonthPosition+1,GR$169&gt;SwaptionFirstMonthPosition+SwaptionNumOfMonths+1,$FJ186&gt;SwaptionFirstMonthPosition+SwaptionNumOfMonths+1),"",IF($FJ186=GR$169,1,IF($FJ186&lt;GR$169,INDEX($FK$170:$ID$241,GR$169,$FJ186),SUMPRODUCT(INDEX($FK$325:$ID$396,GR$169,1+SwaptionShift):INDEX($FK$325:$ID$396,GR$169,SwaptionMonthsToGo+SwaptionShift),INDEX($FK$245:$ID$316,$FJ186-GR$169,73-GR$169+SwaptionShift):INDEX($FK$245:$ID$316,$FJ186-GR$169,72-GR$169+SwaptionMonthsToGo+SwaptionShift))/SQRT(SUM(INDEX($FK341:$ID341,1+SwaptionShift):INDEX($FK341:$ID341,SwaptionMonthsToGo+SwaptionShift))*SUM(INDEX($FK$325:$ID$396,GR$169,1+SwaptionShift):INDEX($FK$325:$ID$396,GR$169,SwaptionMonthsToGo+SwaptionShift))))))</f>
        <v/>
      </c>
      <c r="GS186" s="479" t="str">
        <f ca="1">IF(OR(GS$169&lt;SwaptionFirstMonthPosition+1,$FJ186&lt;SwaptionFirstMonthPosition+1,GS$169&gt;SwaptionFirstMonthPosition+SwaptionNumOfMonths+1,$FJ186&gt;SwaptionFirstMonthPosition+SwaptionNumOfMonths+1),"",IF($FJ186=GS$169,1,IF($FJ186&lt;GS$169,INDEX($FK$170:$ID$241,GS$169,$FJ186),SUMPRODUCT(INDEX($FK$325:$ID$396,GS$169,1+SwaptionShift):INDEX($FK$325:$ID$396,GS$169,SwaptionMonthsToGo+SwaptionShift),INDEX($FK$245:$ID$316,$FJ186-GS$169,73-GS$169+SwaptionShift):INDEX($FK$245:$ID$316,$FJ186-GS$169,72-GS$169+SwaptionMonthsToGo+SwaptionShift))/SQRT(SUM(INDEX($FK341:$ID341,1+SwaptionShift):INDEX($FK341:$ID341,SwaptionMonthsToGo+SwaptionShift))*SUM(INDEX($FK$325:$ID$396,GS$169,1+SwaptionShift):INDEX($FK$325:$ID$396,GS$169,SwaptionMonthsToGo+SwaptionShift))))))</f>
        <v/>
      </c>
      <c r="GT186" s="479" t="str">
        <f ca="1">IF(OR(GT$169&lt;SwaptionFirstMonthPosition+1,$FJ186&lt;SwaptionFirstMonthPosition+1,GT$169&gt;SwaptionFirstMonthPosition+SwaptionNumOfMonths+1,$FJ186&gt;SwaptionFirstMonthPosition+SwaptionNumOfMonths+1),"",IF($FJ186=GT$169,1,IF($FJ186&lt;GT$169,INDEX($FK$170:$ID$241,GT$169,$FJ186),SUMPRODUCT(INDEX($FK$325:$ID$396,GT$169,1+SwaptionShift):INDEX($FK$325:$ID$396,GT$169,SwaptionMonthsToGo+SwaptionShift),INDEX($FK$245:$ID$316,$FJ186-GT$169,73-GT$169+SwaptionShift):INDEX($FK$245:$ID$316,$FJ186-GT$169,72-GT$169+SwaptionMonthsToGo+SwaptionShift))/SQRT(SUM(INDEX($FK341:$ID341,1+SwaptionShift):INDEX($FK341:$ID341,SwaptionMonthsToGo+SwaptionShift))*SUM(INDEX($FK$325:$ID$396,GT$169,1+SwaptionShift):INDEX($FK$325:$ID$396,GT$169,SwaptionMonthsToGo+SwaptionShift))))))</f>
        <v/>
      </c>
      <c r="GU186" s="479" t="str">
        <f ca="1">IF(OR(GU$169&lt;SwaptionFirstMonthPosition+1,$FJ186&lt;SwaptionFirstMonthPosition+1,GU$169&gt;SwaptionFirstMonthPosition+SwaptionNumOfMonths+1,$FJ186&gt;SwaptionFirstMonthPosition+SwaptionNumOfMonths+1),"",IF($FJ186=GU$169,1,IF($FJ186&lt;GU$169,INDEX($FK$170:$ID$241,GU$169,$FJ186),SUMPRODUCT(INDEX($FK$325:$ID$396,GU$169,1+SwaptionShift):INDEX($FK$325:$ID$396,GU$169,SwaptionMonthsToGo+SwaptionShift),INDEX($FK$245:$ID$316,$FJ186-GU$169,73-GU$169+SwaptionShift):INDEX($FK$245:$ID$316,$FJ186-GU$169,72-GU$169+SwaptionMonthsToGo+SwaptionShift))/SQRT(SUM(INDEX($FK341:$ID341,1+SwaptionShift):INDEX($FK341:$ID341,SwaptionMonthsToGo+SwaptionShift))*SUM(INDEX($FK$325:$ID$396,GU$169,1+SwaptionShift):INDEX($FK$325:$ID$396,GU$169,SwaptionMonthsToGo+SwaptionShift))))))</f>
        <v/>
      </c>
      <c r="GV186" s="479" t="str">
        <f ca="1">IF(OR(GV$169&lt;SwaptionFirstMonthPosition+1,$FJ186&lt;SwaptionFirstMonthPosition+1,GV$169&gt;SwaptionFirstMonthPosition+SwaptionNumOfMonths+1,$FJ186&gt;SwaptionFirstMonthPosition+SwaptionNumOfMonths+1),"",IF($FJ186=GV$169,1,IF($FJ186&lt;GV$169,INDEX($FK$170:$ID$241,GV$169,$FJ186),SUMPRODUCT(INDEX($FK$325:$ID$396,GV$169,1+SwaptionShift):INDEX($FK$325:$ID$396,GV$169,SwaptionMonthsToGo+SwaptionShift),INDEX($FK$245:$ID$316,$FJ186-GV$169,73-GV$169+SwaptionShift):INDEX($FK$245:$ID$316,$FJ186-GV$169,72-GV$169+SwaptionMonthsToGo+SwaptionShift))/SQRT(SUM(INDEX($FK341:$ID341,1+SwaptionShift):INDEX($FK341:$ID341,SwaptionMonthsToGo+SwaptionShift))*SUM(INDEX($FK$325:$ID$396,GV$169,1+SwaptionShift):INDEX($FK$325:$ID$396,GV$169,SwaptionMonthsToGo+SwaptionShift))))))</f>
        <v/>
      </c>
      <c r="GW186" s="479" t="str">
        <f ca="1">IF(OR(GW$169&lt;SwaptionFirstMonthPosition+1,$FJ186&lt;SwaptionFirstMonthPosition+1,GW$169&gt;SwaptionFirstMonthPosition+SwaptionNumOfMonths+1,$FJ186&gt;SwaptionFirstMonthPosition+SwaptionNumOfMonths+1),"",IF($FJ186=GW$169,1,IF($FJ186&lt;GW$169,INDEX($FK$170:$ID$241,GW$169,$FJ186),SUMPRODUCT(INDEX($FK$325:$ID$396,GW$169,1+SwaptionShift):INDEX($FK$325:$ID$396,GW$169,SwaptionMonthsToGo+SwaptionShift),INDEX($FK$245:$ID$316,$FJ186-GW$169,73-GW$169+SwaptionShift):INDEX($FK$245:$ID$316,$FJ186-GW$169,72-GW$169+SwaptionMonthsToGo+SwaptionShift))/SQRT(SUM(INDEX($FK341:$ID341,1+SwaptionShift):INDEX($FK341:$ID341,SwaptionMonthsToGo+SwaptionShift))*SUM(INDEX($FK$325:$ID$396,GW$169,1+SwaptionShift):INDEX($FK$325:$ID$396,GW$169,SwaptionMonthsToGo+SwaptionShift))))))</f>
        <v/>
      </c>
      <c r="GX186" s="479" t="str">
        <f ca="1">IF(OR(GX$169&lt;SwaptionFirstMonthPosition+1,$FJ186&lt;SwaptionFirstMonthPosition+1,GX$169&gt;SwaptionFirstMonthPosition+SwaptionNumOfMonths+1,$FJ186&gt;SwaptionFirstMonthPosition+SwaptionNumOfMonths+1),"",IF($FJ186=GX$169,1,IF($FJ186&lt;GX$169,INDEX($FK$170:$ID$241,GX$169,$FJ186),SUMPRODUCT(INDEX($FK$325:$ID$396,GX$169,1+SwaptionShift):INDEX($FK$325:$ID$396,GX$169,SwaptionMonthsToGo+SwaptionShift),INDEX($FK$245:$ID$316,$FJ186-GX$169,73-GX$169+SwaptionShift):INDEX($FK$245:$ID$316,$FJ186-GX$169,72-GX$169+SwaptionMonthsToGo+SwaptionShift))/SQRT(SUM(INDEX($FK341:$ID341,1+SwaptionShift):INDEX($FK341:$ID341,SwaptionMonthsToGo+SwaptionShift))*SUM(INDEX($FK$325:$ID$396,GX$169,1+SwaptionShift):INDEX($FK$325:$ID$396,GX$169,SwaptionMonthsToGo+SwaptionShift))))))</f>
        <v/>
      </c>
      <c r="GY186" s="479" t="str">
        <f ca="1">IF(OR(GY$169&lt;SwaptionFirstMonthPosition+1,$FJ186&lt;SwaptionFirstMonthPosition+1,GY$169&gt;SwaptionFirstMonthPosition+SwaptionNumOfMonths+1,$FJ186&gt;SwaptionFirstMonthPosition+SwaptionNumOfMonths+1),"",IF($FJ186=GY$169,1,IF($FJ186&lt;GY$169,INDEX($FK$170:$ID$241,GY$169,$FJ186),SUMPRODUCT(INDEX($FK$325:$ID$396,GY$169,1+SwaptionShift):INDEX($FK$325:$ID$396,GY$169,SwaptionMonthsToGo+SwaptionShift),INDEX($FK$245:$ID$316,$FJ186-GY$169,73-GY$169+SwaptionShift):INDEX($FK$245:$ID$316,$FJ186-GY$169,72-GY$169+SwaptionMonthsToGo+SwaptionShift))/SQRT(SUM(INDEX($FK341:$ID341,1+SwaptionShift):INDEX($FK341:$ID341,SwaptionMonthsToGo+SwaptionShift))*SUM(INDEX($FK$325:$ID$396,GY$169,1+SwaptionShift):INDEX($FK$325:$ID$396,GY$169,SwaptionMonthsToGo+SwaptionShift))))))</f>
        <v/>
      </c>
      <c r="GZ186" s="479" t="str">
        <f ca="1">IF(OR(GZ$169&lt;SwaptionFirstMonthPosition+1,$FJ186&lt;SwaptionFirstMonthPosition+1,GZ$169&gt;SwaptionFirstMonthPosition+SwaptionNumOfMonths+1,$FJ186&gt;SwaptionFirstMonthPosition+SwaptionNumOfMonths+1),"",IF($FJ186=GZ$169,1,IF($FJ186&lt;GZ$169,INDEX($FK$170:$ID$241,GZ$169,$FJ186),SUMPRODUCT(INDEX($FK$325:$ID$396,GZ$169,1+SwaptionShift):INDEX($FK$325:$ID$396,GZ$169,SwaptionMonthsToGo+SwaptionShift),INDEX($FK$245:$ID$316,$FJ186-GZ$169,73-GZ$169+SwaptionShift):INDEX($FK$245:$ID$316,$FJ186-GZ$169,72-GZ$169+SwaptionMonthsToGo+SwaptionShift))/SQRT(SUM(INDEX($FK341:$ID341,1+SwaptionShift):INDEX($FK341:$ID341,SwaptionMonthsToGo+SwaptionShift))*SUM(INDEX($FK$325:$ID$396,GZ$169,1+SwaptionShift):INDEX($FK$325:$ID$396,GZ$169,SwaptionMonthsToGo+SwaptionShift))))))</f>
        <v/>
      </c>
      <c r="HA186" s="479" t="str">
        <f ca="1">IF(OR(HA$169&lt;SwaptionFirstMonthPosition+1,$FJ186&lt;SwaptionFirstMonthPosition+1,HA$169&gt;SwaptionFirstMonthPosition+SwaptionNumOfMonths+1,$FJ186&gt;SwaptionFirstMonthPosition+SwaptionNumOfMonths+1),"",IF($FJ186=HA$169,1,IF($FJ186&lt;HA$169,INDEX($FK$170:$ID$241,HA$169,$FJ186),SUMPRODUCT(INDEX($FK$325:$ID$396,HA$169,1+SwaptionShift):INDEX($FK$325:$ID$396,HA$169,SwaptionMonthsToGo+SwaptionShift),INDEX($FK$245:$ID$316,$FJ186-HA$169,73-HA$169+SwaptionShift):INDEX($FK$245:$ID$316,$FJ186-HA$169,72-HA$169+SwaptionMonthsToGo+SwaptionShift))/SQRT(SUM(INDEX($FK341:$ID341,1+SwaptionShift):INDEX($FK341:$ID341,SwaptionMonthsToGo+SwaptionShift))*SUM(INDEX($FK$325:$ID$396,HA$169,1+SwaptionShift):INDEX($FK$325:$ID$396,HA$169,SwaptionMonthsToGo+SwaptionShift))))))</f>
        <v/>
      </c>
      <c r="HB186" s="479" t="str">
        <f ca="1">IF(OR(HB$169&lt;SwaptionFirstMonthPosition+1,$FJ186&lt;SwaptionFirstMonthPosition+1,HB$169&gt;SwaptionFirstMonthPosition+SwaptionNumOfMonths+1,$FJ186&gt;SwaptionFirstMonthPosition+SwaptionNumOfMonths+1),"",IF($FJ186=HB$169,1,IF($FJ186&lt;HB$169,INDEX($FK$170:$ID$241,HB$169,$FJ186),SUMPRODUCT(INDEX($FK$325:$ID$396,HB$169,1+SwaptionShift):INDEX($FK$325:$ID$396,HB$169,SwaptionMonthsToGo+SwaptionShift),INDEX($FK$245:$ID$316,$FJ186-HB$169,73-HB$169+SwaptionShift):INDEX($FK$245:$ID$316,$FJ186-HB$169,72-HB$169+SwaptionMonthsToGo+SwaptionShift))/SQRT(SUM(INDEX($FK341:$ID341,1+SwaptionShift):INDEX($FK341:$ID341,SwaptionMonthsToGo+SwaptionShift))*SUM(INDEX($FK$325:$ID$396,HB$169,1+SwaptionShift):INDEX($FK$325:$ID$396,HB$169,SwaptionMonthsToGo+SwaptionShift))))))</f>
        <v/>
      </c>
      <c r="HC186" s="479" t="str">
        <f ca="1">IF(OR(HC$169&lt;SwaptionFirstMonthPosition+1,$FJ186&lt;SwaptionFirstMonthPosition+1,HC$169&gt;SwaptionFirstMonthPosition+SwaptionNumOfMonths+1,$FJ186&gt;SwaptionFirstMonthPosition+SwaptionNumOfMonths+1),"",IF($FJ186=HC$169,1,IF($FJ186&lt;HC$169,INDEX($FK$170:$ID$241,HC$169,$FJ186),SUMPRODUCT(INDEX($FK$325:$ID$396,HC$169,1+SwaptionShift):INDEX($FK$325:$ID$396,HC$169,SwaptionMonthsToGo+SwaptionShift),INDEX($FK$245:$ID$316,$FJ186-HC$169,73-HC$169+SwaptionShift):INDEX($FK$245:$ID$316,$FJ186-HC$169,72-HC$169+SwaptionMonthsToGo+SwaptionShift))/SQRT(SUM(INDEX($FK341:$ID341,1+SwaptionShift):INDEX($FK341:$ID341,SwaptionMonthsToGo+SwaptionShift))*SUM(INDEX($FK$325:$ID$396,HC$169,1+SwaptionShift):INDEX($FK$325:$ID$396,HC$169,SwaptionMonthsToGo+SwaptionShift))))))</f>
        <v/>
      </c>
      <c r="HD186" s="479" t="str">
        <f ca="1">IF(OR(HD$169&lt;SwaptionFirstMonthPosition+1,$FJ186&lt;SwaptionFirstMonthPosition+1,HD$169&gt;SwaptionFirstMonthPosition+SwaptionNumOfMonths+1,$FJ186&gt;SwaptionFirstMonthPosition+SwaptionNumOfMonths+1),"",IF($FJ186=HD$169,1,IF($FJ186&lt;HD$169,INDEX($FK$170:$ID$241,HD$169,$FJ186),SUMPRODUCT(INDEX($FK$325:$ID$396,HD$169,1+SwaptionShift):INDEX($FK$325:$ID$396,HD$169,SwaptionMonthsToGo+SwaptionShift),INDEX($FK$245:$ID$316,$FJ186-HD$169,73-HD$169+SwaptionShift):INDEX($FK$245:$ID$316,$FJ186-HD$169,72-HD$169+SwaptionMonthsToGo+SwaptionShift))/SQRT(SUM(INDEX($FK341:$ID341,1+SwaptionShift):INDEX($FK341:$ID341,SwaptionMonthsToGo+SwaptionShift))*SUM(INDEX($FK$325:$ID$396,HD$169,1+SwaptionShift):INDEX($FK$325:$ID$396,HD$169,SwaptionMonthsToGo+SwaptionShift))))))</f>
        <v/>
      </c>
      <c r="HE186" s="479" t="str">
        <f ca="1">IF(OR(HE$169&lt;SwaptionFirstMonthPosition+1,$FJ186&lt;SwaptionFirstMonthPosition+1,HE$169&gt;SwaptionFirstMonthPosition+SwaptionNumOfMonths+1,$FJ186&gt;SwaptionFirstMonthPosition+SwaptionNumOfMonths+1),"",IF($FJ186=HE$169,1,IF($FJ186&lt;HE$169,INDEX($FK$170:$ID$241,HE$169,$FJ186),SUMPRODUCT(INDEX($FK$325:$ID$396,HE$169,1+SwaptionShift):INDEX($FK$325:$ID$396,HE$169,SwaptionMonthsToGo+SwaptionShift),INDEX($FK$245:$ID$316,$FJ186-HE$169,73-HE$169+SwaptionShift):INDEX($FK$245:$ID$316,$FJ186-HE$169,72-HE$169+SwaptionMonthsToGo+SwaptionShift))/SQRT(SUM(INDEX($FK341:$ID341,1+SwaptionShift):INDEX($FK341:$ID341,SwaptionMonthsToGo+SwaptionShift))*SUM(INDEX($FK$325:$ID$396,HE$169,1+SwaptionShift):INDEX($FK$325:$ID$396,HE$169,SwaptionMonthsToGo+SwaptionShift))))))</f>
        <v/>
      </c>
      <c r="HF186" s="479" t="str">
        <f ca="1">IF(OR(HF$169&lt;SwaptionFirstMonthPosition+1,$FJ186&lt;SwaptionFirstMonthPosition+1,HF$169&gt;SwaptionFirstMonthPosition+SwaptionNumOfMonths+1,$FJ186&gt;SwaptionFirstMonthPosition+SwaptionNumOfMonths+1),"",IF($FJ186=HF$169,1,IF($FJ186&lt;HF$169,INDEX($FK$170:$ID$241,HF$169,$FJ186),SUMPRODUCT(INDEX($FK$325:$ID$396,HF$169,1+SwaptionShift):INDEX($FK$325:$ID$396,HF$169,SwaptionMonthsToGo+SwaptionShift),INDEX($FK$245:$ID$316,$FJ186-HF$169,73-HF$169+SwaptionShift):INDEX($FK$245:$ID$316,$FJ186-HF$169,72-HF$169+SwaptionMonthsToGo+SwaptionShift))/SQRT(SUM(INDEX($FK341:$ID341,1+SwaptionShift):INDEX($FK341:$ID341,SwaptionMonthsToGo+SwaptionShift))*SUM(INDEX($FK$325:$ID$396,HF$169,1+SwaptionShift):INDEX($FK$325:$ID$396,HF$169,SwaptionMonthsToGo+SwaptionShift))))))</f>
        <v/>
      </c>
      <c r="HG186" s="479" t="str">
        <f ca="1">IF(OR(HG$169&lt;SwaptionFirstMonthPosition+1,$FJ186&lt;SwaptionFirstMonthPosition+1,HG$169&gt;SwaptionFirstMonthPosition+SwaptionNumOfMonths+1,$FJ186&gt;SwaptionFirstMonthPosition+SwaptionNumOfMonths+1),"",IF($FJ186=HG$169,1,IF($FJ186&lt;HG$169,INDEX($FK$170:$ID$241,HG$169,$FJ186),SUMPRODUCT(INDEX($FK$325:$ID$396,HG$169,1+SwaptionShift):INDEX($FK$325:$ID$396,HG$169,SwaptionMonthsToGo+SwaptionShift),INDEX($FK$245:$ID$316,$FJ186-HG$169,73-HG$169+SwaptionShift):INDEX($FK$245:$ID$316,$FJ186-HG$169,72-HG$169+SwaptionMonthsToGo+SwaptionShift))/SQRT(SUM(INDEX($FK341:$ID341,1+SwaptionShift):INDEX($FK341:$ID341,SwaptionMonthsToGo+SwaptionShift))*SUM(INDEX($FK$325:$ID$396,HG$169,1+SwaptionShift):INDEX($FK$325:$ID$396,HG$169,SwaptionMonthsToGo+SwaptionShift))))))</f>
        <v/>
      </c>
      <c r="HH186" s="479" t="str">
        <f ca="1">IF(OR(HH$169&lt;SwaptionFirstMonthPosition+1,$FJ186&lt;SwaptionFirstMonthPosition+1,HH$169&gt;SwaptionFirstMonthPosition+SwaptionNumOfMonths+1,$FJ186&gt;SwaptionFirstMonthPosition+SwaptionNumOfMonths+1),"",IF($FJ186=HH$169,1,IF($FJ186&lt;HH$169,INDEX($FK$170:$ID$241,HH$169,$FJ186),SUMPRODUCT(INDEX($FK$325:$ID$396,HH$169,1+SwaptionShift):INDEX($FK$325:$ID$396,HH$169,SwaptionMonthsToGo+SwaptionShift),INDEX($FK$245:$ID$316,$FJ186-HH$169,73-HH$169+SwaptionShift):INDEX($FK$245:$ID$316,$FJ186-HH$169,72-HH$169+SwaptionMonthsToGo+SwaptionShift))/SQRT(SUM(INDEX($FK341:$ID341,1+SwaptionShift):INDEX($FK341:$ID341,SwaptionMonthsToGo+SwaptionShift))*SUM(INDEX($FK$325:$ID$396,HH$169,1+SwaptionShift):INDEX($FK$325:$ID$396,HH$169,SwaptionMonthsToGo+SwaptionShift))))))</f>
        <v/>
      </c>
      <c r="HI186" s="479" t="str">
        <f ca="1">IF(OR(HI$169&lt;SwaptionFirstMonthPosition+1,$FJ186&lt;SwaptionFirstMonthPosition+1,HI$169&gt;SwaptionFirstMonthPosition+SwaptionNumOfMonths+1,$FJ186&gt;SwaptionFirstMonthPosition+SwaptionNumOfMonths+1),"",IF($FJ186=HI$169,1,IF($FJ186&lt;HI$169,INDEX($FK$170:$ID$241,HI$169,$FJ186),SUMPRODUCT(INDEX($FK$325:$ID$396,HI$169,1+SwaptionShift):INDEX($FK$325:$ID$396,HI$169,SwaptionMonthsToGo+SwaptionShift),INDEX($FK$245:$ID$316,$FJ186-HI$169,73-HI$169+SwaptionShift):INDEX($FK$245:$ID$316,$FJ186-HI$169,72-HI$169+SwaptionMonthsToGo+SwaptionShift))/SQRT(SUM(INDEX($FK341:$ID341,1+SwaptionShift):INDEX($FK341:$ID341,SwaptionMonthsToGo+SwaptionShift))*SUM(INDEX($FK$325:$ID$396,HI$169,1+SwaptionShift):INDEX($FK$325:$ID$396,HI$169,SwaptionMonthsToGo+SwaptionShift))))))</f>
        <v/>
      </c>
      <c r="HJ186" s="479" t="str">
        <f ca="1">IF(OR(HJ$169&lt;SwaptionFirstMonthPosition+1,$FJ186&lt;SwaptionFirstMonthPosition+1,HJ$169&gt;SwaptionFirstMonthPosition+SwaptionNumOfMonths+1,$FJ186&gt;SwaptionFirstMonthPosition+SwaptionNumOfMonths+1),"",IF($FJ186=HJ$169,1,IF($FJ186&lt;HJ$169,INDEX($FK$170:$ID$241,HJ$169,$FJ186),SUMPRODUCT(INDEX($FK$325:$ID$396,HJ$169,1+SwaptionShift):INDEX($FK$325:$ID$396,HJ$169,SwaptionMonthsToGo+SwaptionShift),INDEX($FK$245:$ID$316,$FJ186-HJ$169,73-HJ$169+SwaptionShift):INDEX($FK$245:$ID$316,$FJ186-HJ$169,72-HJ$169+SwaptionMonthsToGo+SwaptionShift))/SQRT(SUM(INDEX($FK341:$ID341,1+SwaptionShift):INDEX($FK341:$ID341,SwaptionMonthsToGo+SwaptionShift))*SUM(INDEX($FK$325:$ID$396,HJ$169,1+SwaptionShift):INDEX($FK$325:$ID$396,HJ$169,SwaptionMonthsToGo+SwaptionShift))))))</f>
        <v/>
      </c>
      <c r="HK186" s="479" t="str">
        <f ca="1">IF(OR(HK$169&lt;SwaptionFirstMonthPosition+1,$FJ186&lt;SwaptionFirstMonthPosition+1,HK$169&gt;SwaptionFirstMonthPosition+SwaptionNumOfMonths+1,$FJ186&gt;SwaptionFirstMonthPosition+SwaptionNumOfMonths+1),"",IF($FJ186=HK$169,1,IF($FJ186&lt;HK$169,INDEX($FK$170:$ID$241,HK$169,$FJ186),SUMPRODUCT(INDEX($FK$325:$ID$396,HK$169,1+SwaptionShift):INDEX($FK$325:$ID$396,HK$169,SwaptionMonthsToGo+SwaptionShift),INDEX($FK$245:$ID$316,$FJ186-HK$169,73-HK$169+SwaptionShift):INDEX($FK$245:$ID$316,$FJ186-HK$169,72-HK$169+SwaptionMonthsToGo+SwaptionShift))/SQRT(SUM(INDEX($FK341:$ID341,1+SwaptionShift):INDEX($FK341:$ID341,SwaptionMonthsToGo+SwaptionShift))*SUM(INDEX($FK$325:$ID$396,HK$169,1+SwaptionShift):INDEX($FK$325:$ID$396,HK$169,SwaptionMonthsToGo+SwaptionShift))))))</f>
        <v/>
      </c>
      <c r="HL186" s="479" t="str">
        <f ca="1">IF(OR(HL$169&lt;SwaptionFirstMonthPosition+1,$FJ186&lt;SwaptionFirstMonthPosition+1,HL$169&gt;SwaptionFirstMonthPosition+SwaptionNumOfMonths+1,$FJ186&gt;SwaptionFirstMonthPosition+SwaptionNumOfMonths+1),"",IF($FJ186=HL$169,1,IF($FJ186&lt;HL$169,INDEX($FK$170:$ID$241,HL$169,$FJ186),SUMPRODUCT(INDEX($FK$325:$ID$396,HL$169,1+SwaptionShift):INDEX($FK$325:$ID$396,HL$169,SwaptionMonthsToGo+SwaptionShift),INDEX($FK$245:$ID$316,$FJ186-HL$169,73-HL$169+SwaptionShift):INDEX($FK$245:$ID$316,$FJ186-HL$169,72-HL$169+SwaptionMonthsToGo+SwaptionShift))/SQRT(SUM(INDEX($FK341:$ID341,1+SwaptionShift):INDEX($FK341:$ID341,SwaptionMonthsToGo+SwaptionShift))*SUM(INDEX($FK$325:$ID$396,HL$169,1+SwaptionShift):INDEX($FK$325:$ID$396,HL$169,SwaptionMonthsToGo+SwaptionShift))))))</f>
        <v/>
      </c>
      <c r="HM186" s="479" t="str">
        <f ca="1">IF(OR(HM$169&lt;SwaptionFirstMonthPosition+1,$FJ186&lt;SwaptionFirstMonthPosition+1,HM$169&gt;SwaptionFirstMonthPosition+SwaptionNumOfMonths+1,$FJ186&gt;SwaptionFirstMonthPosition+SwaptionNumOfMonths+1),"",IF($FJ186=HM$169,1,IF($FJ186&lt;HM$169,INDEX($FK$170:$ID$241,HM$169,$FJ186),SUMPRODUCT(INDEX($FK$325:$ID$396,HM$169,1+SwaptionShift):INDEX($FK$325:$ID$396,HM$169,SwaptionMonthsToGo+SwaptionShift),INDEX($FK$245:$ID$316,$FJ186-HM$169,73-HM$169+SwaptionShift):INDEX($FK$245:$ID$316,$FJ186-HM$169,72-HM$169+SwaptionMonthsToGo+SwaptionShift))/SQRT(SUM(INDEX($FK341:$ID341,1+SwaptionShift):INDEX($FK341:$ID341,SwaptionMonthsToGo+SwaptionShift))*SUM(INDEX($FK$325:$ID$396,HM$169,1+SwaptionShift):INDEX($FK$325:$ID$396,HM$169,SwaptionMonthsToGo+SwaptionShift))))))</f>
        <v/>
      </c>
      <c r="HN186" s="479" t="str">
        <f ca="1">IF(OR(HN$169&lt;SwaptionFirstMonthPosition+1,$FJ186&lt;SwaptionFirstMonthPosition+1,HN$169&gt;SwaptionFirstMonthPosition+SwaptionNumOfMonths+1,$FJ186&gt;SwaptionFirstMonthPosition+SwaptionNumOfMonths+1),"",IF($FJ186=HN$169,1,IF($FJ186&lt;HN$169,INDEX($FK$170:$ID$241,HN$169,$FJ186),SUMPRODUCT(INDEX($FK$325:$ID$396,HN$169,1+SwaptionShift):INDEX($FK$325:$ID$396,HN$169,SwaptionMonthsToGo+SwaptionShift),INDEX($FK$245:$ID$316,$FJ186-HN$169,73-HN$169+SwaptionShift):INDEX($FK$245:$ID$316,$FJ186-HN$169,72-HN$169+SwaptionMonthsToGo+SwaptionShift))/SQRT(SUM(INDEX($FK341:$ID341,1+SwaptionShift):INDEX($FK341:$ID341,SwaptionMonthsToGo+SwaptionShift))*SUM(INDEX($FK$325:$ID$396,HN$169,1+SwaptionShift):INDEX($FK$325:$ID$396,HN$169,SwaptionMonthsToGo+SwaptionShift))))))</f>
        <v/>
      </c>
      <c r="HO186" s="479" t="str">
        <f ca="1">IF(OR(HO$169&lt;SwaptionFirstMonthPosition+1,$FJ186&lt;SwaptionFirstMonthPosition+1,HO$169&gt;SwaptionFirstMonthPosition+SwaptionNumOfMonths+1,$FJ186&gt;SwaptionFirstMonthPosition+SwaptionNumOfMonths+1),"",IF($FJ186=HO$169,1,IF($FJ186&lt;HO$169,INDEX($FK$170:$ID$241,HO$169,$FJ186),SUMPRODUCT(INDEX($FK$325:$ID$396,HO$169,1+SwaptionShift):INDEX($FK$325:$ID$396,HO$169,SwaptionMonthsToGo+SwaptionShift),INDEX($FK$245:$ID$316,$FJ186-HO$169,73-HO$169+SwaptionShift):INDEX($FK$245:$ID$316,$FJ186-HO$169,72-HO$169+SwaptionMonthsToGo+SwaptionShift))/SQRT(SUM(INDEX($FK341:$ID341,1+SwaptionShift):INDEX($FK341:$ID341,SwaptionMonthsToGo+SwaptionShift))*SUM(INDEX($FK$325:$ID$396,HO$169,1+SwaptionShift):INDEX($FK$325:$ID$396,HO$169,SwaptionMonthsToGo+SwaptionShift))))))</f>
        <v/>
      </c>
      <c r="HP186" s="479" t="str">
        <f ca="1">IF(OR(HP$169&lt;SwaptionFirstMonthPosition+1,$FJ186&lt;SwaptionFirstMonthPosition+1,HP$169&gt;SwaptionFirstMonthPosition+SwaptionNumOfMonths+1,$FJ186&gt;SwaptionFirstMonthPosition+SwaptionNumOfMonths+1),"",IF($FJ186=HP$169,1,IF($FJ186&lt;HP$169,INDEX($FK$170:$ID$241,HP$169,$FJ186),SUMPRODUCT(INDEX($FK$325:$ID$396,HP$169,1+SwaptionShift):INDEX($FK$325:$ID$396,HP$169,SwaptionMonthsToGo+SwaptionShift),INDEX($FK$245:$ID$316,$FJ186-HP$169,73-HP$169+SwaptionShift):INDEX($FK$245:$ID$316,$FJ186-HP$169,72-HP$169+SwaptionMonthsToGo+SwaptionShift))/SQRT(SUM(INDEX($FK341:$ID341,1+SwaptionShift):INDEX($FK341:$ID341,SwaptionMonthsToGo+SwaptionShift))*SUM(INDEX($FK$325:$ID$396,HP$169,1+SwaptionShift):INDEX($FK$325:$ID$396,HP$169,SwaptionMonthsToGo+SwaptionShift))))))</f>
        <v/>
      </c>
      <c r="HQ186" s="479" t="str">
        <f ca="1">IF(OR(HQ$169&lt;SwaptionFirstMonthPosition+1,$FJ186&lt;SwaptionFirstMonthPosition+1,HQ$169&gt;SwaptionFirstMonthPosition+SwaptionNumOfMonths+1,$FJ186&gt;SwaptionFirstMonthPosition+SwaptionNumOfMonths+1),"",IF($FJ186=HQ$169,1,IF($FJ186&lt;HQ$169,INDEX($FK$170:$ID$241,HQ$169,$FJ186),SUMPRODUCT(INDEX($FK$325:$ID$396,HQ$169,1+SwaptionShift):INDEX($FK$325:$ID$396,HQ$169,SwaptionMonthsToGo+SwaptionShift),INDEX($FK$245:$ID$316,$FJ186-HQ$169,73-HQ$169+SwaptionShift):INDEX($FK$245:$ID$316,$FJ186-HQ$169,72-HQ$169+SwaptionMonthsToGo+SwaptionShift))/SQRT(SUM(INDEX($FK341:$ID341,1+SwaptionShift):INDEX($FK341:$ID341,SwaptionMonthsToGo+SwaptionShift))*SUM(INDEX($FK$325:$ID$396,HQ$169,1+SwaptionShift):INDEX($FK$325:$ID$396,HQ$169,SwaptionMonthsToGo+SwaptionShift))))))</f>
        <v/>
      </c>
      <c r="HR186" s="479" t="str">
        <f ca="1">IF(OR(HR$169&lt;SwaptionFirstMonthPosition+1,$FJ186&lt;SwaptionFirstMonthPosition+1,HR$169&gt;SwaptionFirstMonthPosition+SwaptionNumOfMonths+1,$FJ186&gt;SwaptionFirstMonthPosition+SwaptionNumOfMonths+1),"",IF($FJ186=HR$169,1,IF($FJ186&lt;HR$169,INDEX($FK$170:$ID$241,HR$169,$FJ186),SUMPRODUCT(INDEX($FK$325:$ID$396,HR$169,1+SwaptionShift):INDEX($FK$325:$ID$396,HR$169,SwaptionMonthsToGo+SwaptionShift),INDEX($FK$245:$ID$316,$FJ186-HR$169,73-HR$169+SwaptionShift):INDEX($FK$245:$ID$316,$FJ186-HR$169,72-HR$169+SwaptionMonthsToGo+SwaptionShift))/SQRT(SUM(INDEX($FK341:$ID341,1+SwaptionShift):INDEX($FK341:$ID341,SwaptionMonthsToGo+SwaptionShift))*SUM(INDEX($FK$325:$ID$396,HR$169,1+SwaptionShift):INDEX($FK$325:$ID$396,HR$169,SwaptionMonthsToGo+SwaptionShift))))))</f>
        <v/>
      </c>
      <c r="HS186" s="479" t="str">
        <f ca="1">IF(OR(HS$169&lt;SwaptionFirstMonthPosition+1,$FJ186&lt;SwaptionFirstMonthPosition+1,HS$169&gt;SwaptionFirstMonthPosition+SwaptionNumOfMonths+1,$FJ186&gt;SwaptionFirstMonthPosition+SwaptionNumOfMonths+1),"",IF($FJ186=HS$169,1,IF($FJ186&lt;HS$169,INDEX($FK$170:$ID$241,HS$169,$FJ186),SUMPRODUCT(INDEX($FK$325:$ID$396,HS$169,1+SwaptionShift):INDEX($FK$325:$ID$396,HS$169,SwaptionMonthsToGo+SwaptionShift),INDEX($FK$245:$ID$316,$FJ186-HS$169,73-HS$169+SwaptionShift):INDEX($FK$245:$ID$316,$FJ186-HS$169,72-HS$169+SwaptionMonthsToGo+SwaptionShift))/SQRT(SUM(INDEX($FK341:$ID341,1+SwaptionShift):INDEX($FK341:$ID341,SwaptionMonthsToGo+SwaptionShift))*SUM(INDEX($FK$325:$ID$396,HS$169,1+SwaptionShift):INDEX($FK$325:$ID$396,HS$169,SwaptionMonthsToGo+SwaptionShift))))))</f>
        <v/>
      </c>
      <c r="HT186" s="479" t="str">
        <f ca="1">IF(OR(HT$169&lt;SwaptionFirstMonthPosition+1,$FJ186&lt;SwaptionFirstMonthPosition+1,HT$169&gt;SwaptionFirstMonthPosition+SwaptionNumOfMonths+1,$FJ186&gt;SwaptionFirstMonthPosition+SwaptionNumOfMonths+1),"",IF($FJ186=HT$169,1,IF($FJ186&lt;HT$169,INDEX($FK$170:$ID$241,HT$169,$FJ186),SUMPRODUCT(INDEX($FK$325:$ID$396,HT$169,1+SwaptionShift):INDEX($FK$325:$ID$396,HT$169,SwaptionMonthsToGo+SwaptionShift),INDEX($FK$245:$ID$316,$FJ186-HT$169,73-HT$169+SwaptionShift):INDEX($FK$245:$ID$316,$FJ186-HT$169,72-HT$169+SwaptionMonthsToGo+SwaptionShift))/SQRT(SUM(INDEX($FK341:$ID341,1+SwaptionShift):INDEX($FK341:$ID341,SwaptionMonthsToGo+SwaptionShift))*SUM(INDEX($FK$325:$ID$396,HT$169,1+SwaptionShift):INDEX($FK$325:$ID$396,HT$169,SwaptionMonthsToGo+SwaptionShift))))))</f>
        <v/>
      </c>
      <c r="HU186" s="479" t="str">
        <f ca="1">IF(OR(HU$169&lt;SwaptionFirstMonthPosition+1,$FJ186&lt;SwaptionFirstMonthPosition+1,HU$169&gt;SwaptionFirstMonthPosition+SwaptionNumOfMonths+1,$FJ186&gt;SwaptionFirstMonthPosition+SwaptionNumOfMonths+1),"",IF($FJ186=HU$169,1,IF($FJ186&lt;HU$169,INDEX($FK$170:$ID$241,HU$169,$FJ186),SUMPRODUCT(INDEX($FK$325:$ID$396,HU$169,1+SwaptionShift):INDEX($FK$325:$ID$396,HU$169,SwaptionMonthsToGo+SwaptionShift),INDEX($FK$245:$ID$316,$FJ186-HU$169,73-HU$169+SwaptionShift):INDEX($FK$245:$ID$316,$FJ186-HU$169,72-HU$169+SwaptionMonthsToGo+SwaptionShift))/SQRT(SUM(INDEX($FK341:$ID341,1+SwaptionShift):INDEX($FK341:$ID341,SwaptionMonthsToGo+SwaptionShift))*SUM(INDEX($FK$325:$ID$396,HU$169,1+SwaptionShift):INDEX($FK$325:$ID$396,HU$169,SwaptionMonthsToGo+SwaptionShift))))))</f>
        <v/>
      </c>
      <c r="HV186" s="479" t="str">
        <f ca="1">IF(OR(HV$169&lt;SwaptionFirstMonthPosition+1,$FJ186&lt;SwaptionFirstMonthPosition+1,HV$169&gt;SwaptionFirstMonthPosition+SwaptionNumOfMonths+1,$FJ186&gt;SwaptionFirstMonthPosition+SwaptionNumOfMonths+1),"",IF($FJ186=HV$169,1,IF($FJ186&lt;HV$169,INDEX($FK$170:$ID$241,HV$169,$FJ186),SUMPRODUCT(INDEX($FK$325:$ID$396,HV$169,1+SwaptionShift):INDEX($FK$325:$ID$396,HV$169,SwaptionMonthsToGo+SwaptionShift),INDEX($FK$245:$ID$316,$FJ186-HV$169,73-HV$169+SwaptionShift):INDEX($FK$245:$ID$316,$FJ186-HV$169,72-HV$169+SwaptionMonthsToGo+SwaptionShift))/SQRT(SUM(INDEX($FK341:$ID341,1+SwaptionShift):INDEX($FK341:$ID341,SwaptionMonthsToGo+SwaptionShift))*SUM(INDEX($FK$325:$ID$396,HV$169,1+SwaptionShift):INDEX($FK$325:$ID$396,HV$169,SwaptionMonthsToGo+SwaptionShift))))))</f>
        <v/>
      </c>
      <c r="HW186" s="479" t="str">
        <f ca="1">IF(OR(HW$169&lt;SwaptionFirstMonthPosition+1,$FJ186&lt;SwaptionFirstMonthPosition+1,HW$169&gt;SwaptionFirstMonthPosition+SwaptionNumOfMonths+1,$FJ186&gt;SwaptionFirstMonthPosition+SwaptionNumOfMonths+1),"",IF($FJ186=HW$169,1,IF($FJ186&lt;HW$169,INDEX($FK$170:$ID$241,HW$169,$FJ186),SUMPRODUCT(INDEX($FK$325:$ID$396,HW$169,1+SwaptionShift):INDEX($FK$325:$ID$396,HW$169,SwaptionMonthsToGo+SwaptionShift),INDEX($FK$245:$ID$316,$FJ186-HW$169,73-HW$169+SwaptionShift):INDEX($FK$245:$ID$316,$FJ186-HW$169,72-HW$169+SwaptionMonthsToGo+SwaptionShift))/SQRT(SUM(INDEX($FK341:$ID341,1+SwaptionShift):INDEX($FK341:$ID341,SwaptionMonthsToGo+SwaptionShift))*SUM(INDEX($FK$325:$ID$396,HW$169,1+SwaptionShift):INDEX($FK$325:$ID$396,HW$169,SwaptionMonthsToGo+SwaptionShift))))))</f>
        <v/>
      </c>
      <c r="HX186" s="479" t="str">
        <f ca="1">IF(OR(HX$169&lt;SwaptionFirstMonthPosition+1,$FJ186&lt;SwaptionFirstMonthPosition+1,HX$169&gt;SwaptionFirstMonthPosition+SwaptionNumOfMonths+1,$FJ186&gt;SwaptionFirstMonthPosition+SwaptionNumOfMonths+1),"",IF($FJ186=HX$169,1,IF($FJ186&lt;HX$169,INDEX($FK$170:$ID$241,HX$169,$FJ186),SUMPRODUCT(INDEX($FK$325:$ID$396,HX$169,1+SwaptionShift):INDEX($FK$325:$ID$396,HX$169,SwaptionMonthsToGo+SwaptionShift),INDEX($FK$245:$ID$316,$FJ186-HX$169,73-HX$169+SwaptionShift):INDEX($FK$245:$ID$316,$FJ186-HX$169,72-HX$169+SwaptionMonthsToGo+SwaptionShift))/SQRT(SUM(INDEX($FK341:$ID341,1+SwaptionShift):INDEX($FK341:$ID341,SwaptionMonthsToGo+SwaptionShift))*SUM(INDEX($FK$325:$ID$396,HX$169,1+SwaptionShift):INDEX($FK$325:$ID$396,HX$169,SwaptionMonthsToGo+SwaptionShift))))))</f>
        <v/>
      </c>
      <c r="HY186" s="479" t="str">
        <f ca="1">IF(OR(HY$169&lt;SwaptionFirstMonthPosition+1,$FJ186&lt;SwaptionFirstMonthPosition+1,HY$169&gt;SwaptionFirstMonthPosition+SwaptionNumOfMonths+1,$FJ186&gt;SwaptionFirstMonthPosition+SwaptionNumOfMonths+1),"",IF($FJ186=HY$169,1,IF($FJ186&lt;HY$169,INDEX($FK$170:$ID$241,HY$169,$FJ186),SUMPRODUCT(INDEX($FK$325:$ID$396,HY$169,1+SwaptionShift):INDEX($FK$325:$ID$396,HY$169,SwaptionMonthsToGo+SwaptionShift),INDEX($FK$245:$ID$316,$FJ186-HY$169,73-HY$169+SwaptionShift):INDEX($FK$245:$ID$316,$FJ186-HY$169,72-HY$169+SwaptionMonthsToGo+SwaptionShift))/SQRT(SUM(INDEX($FK341:$ID341,1+SwaptionShift):INDEX($FK341:$ID341,SwaptionMonthsToGo+SwaptionShift))*SUM(INDEX($FK$325:$ID$396,HY$169,1+SwaptionShift):INDEX($FK$325:$ID$396,HY$169,SwaptionMonthsToGo+SwaptionShift))))))</f>
        <v/>
      </c>
      <c r="HZ186" s="479" t="str">
        <f ca="1">IF(OR(HZ$169&lt;SwaptionFirstMonthPosition+1,$FJ186&lt;SwaptionFirstMonthPosition+1,HZ$169&gt;SwaptionFirstMonthPosition+SwaptionNumOfMonths+1,$FJ186&gt;SwaptionFirstMonthPosition+SwaptionNumOfMonths+1),"",IF($FJ186=HZ$169,1,IF($FJ186&lt;HZ$169,INDEX($FK$170:$ID$241,HZ$169,$FJ186),SUMPRODUCT(INDEX($FK$325:$ID$396,HZ$169,1+SwaptionShift):INDEX($FK$325:$ID$396,HZ$169,SwaptionMonthsToGo+SwaptionShift),INDEX($FK$245:$ID$316,$FJ186-HZ$169,73-HZ$169+SwaptionShift):INDEX($FK$245:$ID$316,$FJ186-HZ$169,72-HZ$169+SwaptionMonthsToGo+SwaptionShift))/SQRT(SUM(INDEX($FK341:$ID341,1+SwaptionShift):INDEX($FK341:$ID341,SwaptionMonthsToGo+SwaptionShift))*SUM(INDEX($FK$325:$ID$396,HZ$169,1+SwaptionShift):INDEX($FK$325:$ID$396,HZ$169,SwaptionMonthsToGo+SwaptionShift))))))</f>
        <v/>
      </c>
      <c r="IA186" s="479" t="str">
        <f ca="1">IF(OR(IA$169&lt;SwaptionFirstMonthPosition+1,$FJ186&lt;SwaptionFirstMonthPosition+1,IA$169&gt;SwaptionFirstMonthPosition+SwaptionNumOfMonths+1,$FJ186&gt;SwaptionFirstMonthPosition+SwaptionNumOfMonths+1),"",IF($FJ186=IA$169,1,IF($FJ186&lt;IA$169,INDEX($FK$170:$ID$241,IA$169,$FJ186),SUMPRODUCT(INDEX($FK$325:$ID$396,IA$169,1+SwaptionShift):INDEX($FK$325:$ID$396,IA$169,SwaptionMonthsToGo+SwaptionShift),INDEX($FK$245:$ID$316,$FJ186-IA$169,73-IA$169+SwaptionShift):INDEX($FK$245:$ID$316,$FJ186-IA$169,72-IA$169+SwaptionMonthsToGo+SwaptionShift))/SQRT(SUM(INDEX($FK341:$ID341,1+SwaptionShift):INDEX($FK341:$ID341,SwaptionMonthsToGo+SwaptionShift))*SUM(INDEX($FK$325:$ID$396,IA$169,1+SwaptionShift):INDEX($FK$325:$ID$396,IA$169,SwaptionMonthsToGo+SwaptionShift))))))</f>
        <v/>
      </c>
      <c r="IB186" s="479" t="str">
        <f ca="1">IF(OR(IB$169&lt;SwaptionFirstMonthPosition+1,$FJ186&lt;SwaptionFirstMonthPosition+1,IB$169&gt;SwaptionFirstMonthPosition+SwaptionNumOfMonths+1,$FJ186&gt;SwaptionFirstMonthPosition+SwaptionNumOfMonths+1),"",IF($FJ186=IB$169,1,IF($FJ186&lt;IB$169,INDEX($FK$170:$ID$241,IB$169,$FJ186),SUMPRODUCT(INDEX($FK$325:$ID$396,IB$169,1+SwaptionShift):INDEX($FK$325:$ID$396,IB$169,SwaptionMonthsToGo+SwaptionShift),INDEX($FK$245:$ID$316,$FJ186-IB$169,73-IB$169+SwaptionShift):INDEX($FK$245:$ID$316,$FJ186-IB$169,72-IB$169+SwaptionMonthsToGo+SwaptionShift))/SQRT(SUM(INDEX($FK341:$ID341,1+SwaptionShift):INDEX($FK341:$ID341,SwaptionMonthsToGo+SwaptionShift))*SUM(INDEX($FK$325:$ID$396,IB$169,1+SwaptionShift):INDEX($FK$325:$ID$396,IB$169,SwaptionMonthsToGo+SwaptionShift))))))</f>
        <v/>
      </c>
      <c r="IC186" s="479" t="str">
        <f ca="1">IF(OR(IC$169&lt;SwaptionFirstMonthPosition+1,$FJ186&lt;SwaptionFirstMonthPosition+1,IC$169&gt;SwaptionFirstMonthPosition+SwaptionNumOfMonths+1,$FJ186&gt;SwaptionFirstMonthPosition+SwaptionNumOfMonths+1),"",IF($FJ186=IC$169,1,IF($FJ186&lt;IC$169,INDEX($FK$170:$ID$241,IC$169,$FJ186),SUMPRODUCT(INDEX($FK$325:$ID$396,IC$169,1+SwaptionShift):INDEX($FK$325:$ID$396,IC$169,SwaptionMonthsToGo+SwaptionShift),INDEX($FK$245:$ID$316,$FJ186-IC$169,73-IC$169+SwaptionShift):INDEX($FK$245:$ID$316,$FJ186-IC$169,72-IC$169+SwaptionMonthsToGo+SwaptionShift))/SQRT(SUM(INDEX($FK341:$ID341,1+SwaptionShift):INDEX($FK341:$ID341,SwaptionMonthsToGo+SwaptionShift))*SUM(INDEX($FK$325:$ID$396,IC$169,1+SwaptionShift):INDEX($FK$325:$ID$396,IC$169,SwaptionMonthsToGo+SwaptionShift))))))</f>
        <v/>
      </c>
      <c r="ID186" s="678" t="str">
        <f ca="1">IF(OR(ID$169&lt;SwaptionFirstMonthPosition+1,$FJ186&lt;SwaptionFirstMonthPosition+1,ID$169&gt;SwaptionFirstMonthPosition+SwaptionNumOfMonths+1,$FJ186&gt;SwaptionFirstMonthPosition+SwaptionNumOfMonths+1),"",IF($FJ186=ID$169,1,IF($FJ186&lt;ID$169,INDEX($FK$170:$ID$241,ID$169,$FJ186),SUMPRODUCT(INDEX($FK$325:$ID$396,ID$169,1+SwaptionShift):INDEX($FK$325:$ID$396,ID$169,SwaptionMonthsToGo+SwaptionShift),INDEX($FK$245:$ID$316,$FJ186-ID$169,73-ID$169+SwaptionShift):INDEX($FK$245:$ID$316,$FJ186-ID$169,72-ID$169+SwaptionMonthsToGo+SwaptionShift))/SQRT(SUM(INDEX($FK341:$ID341,1+SwaptionShift):INDEX($FK341:$ID341,SwaptionMonthsToGo+SwaptionShift))*SUM(INDEX($FK$325:$ID$396,ID$169,1+SwaptionShift):INDEX($FK$325:$ID$396,ID$169,SwaptionMonthsToGo+SwaptionShift))))))</f>
        <v/>
      </c>
      <c r="IE186" s="250"/>
    </row>
    <row r="187" spans="8:239">
      <c r="H187" s="51">
        <f t="shared" ca="1" si="527"/>
        <v>0</v>
      </c>
      <c r="I187" s="379">
        <f t="shared" si="528"/>
        <v>41852</v>
      </c>
      <c r="J187" s="377"/>
      <c r="K187" s="104" t="s">
        <v>268</v>
      </c>
      <c r="L187" s="392">
        <f t="shared" si="529"/>
        <v>3.4125000000000054</v>
      </c>
      <c r="M187" s="171"/>
      <c r="N187" s="382">
        <v>0</v>
      </c>
      <c r="O187" s="171">
        <f t="shared" si="490"/>
        <v>0</v>
      </c>
      <c r="P187" s="377"/>
      <c r="Q187" s="104" t="s">
        <v>268</v>
      </c>
      <c r="R187" s="377">
        <f t="shared" ca="1" si="547"/>
        <v>2.0236385155986678</v>
      </c>
      <c r="S187" s="832">
        <f t="shared" si="564"/>
        <v>0.3600000000000001</v>
      </c>
      <c r="T187" s="831">
        <f t="shared" si="548"/>
        <v>0.99999999999951139</v>
      </c>
      <c r="U187" s="545">
        <f t="shared" si="549"/>
        <v>0.99999999999999978</v>
      </c>
      <c r="V187" s="389">
        <v>0</v>
      </c>
      <c r="W187" s="434">
        <f t="shared" si="578"/>
        <v>0</v>
      </c>
      <c r="X187" s="415">
        <f t="shared" si="579"/>
        <v>3.4625000000000057</v>
      </c>
      <c r="Y187" s="322">
        <f t="shared" si="580"/>
        <v>-1.2668999999999999</v>
      </c>
      <c r="Z187" s="322">
        <f t="shared" ca="1" si="581"/>
        <v>2.195600000000006</v>
      </c>
      <c r="AA187" s="429">
        <f t="shared" si="495"/>
        <v>1.2668999999999999</v>
      </c>
      <c r="AB187" s="433">
        <f t="shared" ca="1" si="496"/>
        <v>1.2668999999999999</v>
      </c>
      <c r="AC187" s="229">
        <v>41840</v>
      </c>
      <c r="AD187" s="229">
        <v>41836</v>
      </c>
      <c r="AE187" s="229">
        <v>41835</v>
      </c>
      <c r="AF187" s="229">
        <v>41831</v>
      </c>
      <c r="AG187" s="249" t="s">
        <v>499</v>
      </c>
      <c r="AH187" s="247" t="s">
        <v>499</v>
      </c>
      <c r="AI187" s="146">
        <v>21</v>
      </c>
      <c r="AJ187" s="41">
        <v>14</v>
      </c>
      <c r="AK187" s="41">
        <v>7</v>
      </c>
      <c r="AL187" s="293">
        <v>21</v>
      </c>
      <c r="AM187" s="41">
        <v>10</v>
      </c>
      <c r="AN187" s="147">
        <v>11</v>
      </c>
      <c r="AO187" s="374"/>
      <c r="AP187" s="153">
        <f t="shared" ca="1" si="530"/>
        <v>1</v>
      </c>
      <c r="AQ187" s="374"/>
      <c r="AR187" s="153">
        <f t="shared" ca="1" si="550"/>
        <v>1</v>
      </c>
      <c r="AS187" s="272">
        <f t="shared" si="582"/>
        <v>0</v>
      </c>
      <c r="AT187" s="157">
        <f t="shared" si="531"/>
        <v>0</v>
      </c>
      <c r="AU187" s="157">
        <f t="shared" si="498"/>
        <v>0</v>
      </c>
      <c r="AV187" s="271">
        <f t="shared" ca="1" si="558"/>
        <v>9.9999999999999995E-7</v>
      </c>
      <c r="AW187" s="158" t="str">
        <f t="shared" ca="1" si="583"/>
        <v/>
      </c>
      <c r="AX187" s="157">
        <f t="shared" ca="1" si="551"/>
        <v>9.0734137822580987E-5</v>
      </c>
      <c r="AY187" s="157">
        <f t="shared" ca="1" si="552"/>
        <v>2.3061770118330616E-5</v>
      </c>
      <c r="AZ187" s="157">
        <f t="shared" ca="1" si="553"/>
        <v>9.4511517858920455E-7</v>
      </c>
      <c r="BA187" s="157">
        <f t="shared" ca="1" si="554"/>
        <v>1.1813939732365057E-7</v>
      </c>
      <c r="BB187" s="157">
        <f t="shared" ca="1" si="555"/>
        <v>8.9327302992001134E-10</v>
      </c>
      <c r="BC187" s="157">
        <f t="shared" ca="1" si="556"/>
        <v>2.7913834399987848E-11</v>
      </c>
      <c r="BD187" s="151">
        <f t="shared" ca="1" si="584"/>
        <v>0</v>
      </c>
      <c r="BE187" s="152">
        <f t="shared" ca="1" si="585"/>
        <v>0</v>
      </c>
      <c r="BF187" s="40">
        <f t="shared" si="586"/>
        <v>2014</v>
      </c>
      <c r="BG187" s="144">
        <f t="shared" si="587"/>
        <v>8</v>
      </c>
      <c r="BH187" s="145">
        <f t="shared" ca="1" si="588"/>
        <v>5091</v>
      </c>
      <c r="BI187" s="313">
        <f t="shared" ca="1" si="568"/>
        <v>13.982203969883642</v>
      </c>
      <c r="BJ187" s="42">
        <f t="shared" ca="1" si="505"/>
        <v>14.036960985626283</v>
      </c>
      <c r="BK187" s="42">
        <f t="shared" ca="1" si="506"/>
        <v>14.039698836413416</v>
      </c>
      <c r="BL187" s="42">
        <f t="shared" ca="1" si="569"/>
        <v>14.064339493497604</v>
      </c>
      <c r="BM187" s="150" t="e">
        <f t="shared" ca="1" si="507"/>
        <v>#DIV/0!</v>
      </c>
      <c r="BN187" s="42" t="e">
        <f t="shared" ca="1" si="508"/>
        <v>#DIV/0!</v>
      </c>
      <c r="BO187" s="293">
        <f t="shared" si="570"/>
        <v>21</v>
      </c>
      <c r="BP187" s="41">
        <f t="shared" si="571"/>
        <v>14</v>
      </c>
      <c r="BQ187" s="41">
        <f t="shared" si="572"/>
        <v>7</v>
      </c>
      <c r="BR187" s="305" t="str">
        <f t="shared" ca="1" si="509"/>
        <v/>
      </c>
      <c r="BS187" s="305" t="str">
        <f t="shared" ca="1" si="573"/>
        <v/>
      </c>
      <c r="BT187" s="307" t="str">
        <f t="shared" ca="1" si="574"/>
        <v/>
      </c>
      <c r="BU187" s="161" t="str">
        <f t="shared" ca="1" si="510"/>
        <v/>
      </c>
      <c r="BV187" s="161" t="str">
        <f t="shared" ca="1" si="511"/>
        <v/>
      </c>
      <c r="BW187" s="308" t="str">
        <f t="shared" ca="1" si="512"/>
        <v/>
      </c>
      <c r="BX187" s="309" t="str">
        <f t="shared" ca="1" si="513"/>
        <v/>
      </c>
      <c r="BY187" s="308" t="str">
        <f t="shared" ca="1" si="575"/>
        <v/>
      </c>
      <c r="BZ187" s="309" t="str">
        <f t="shared" ca="1" si="576"/>
        <v/>
      </c>
      <c r="CA187" s="154" t="str">
        <f t="shared" ca="1" si="514"/>
        <v/>
      </c>
      <c r="CB187" s="154" t="str">
        <f t="shared" ca="1" si="515"/>
        <v/>
      </c>
      <c r="CC187" s="154" t="str">
        <f t="shared" ca="1" si="516"/>
        <v/>
      </c>
      <c r="CD187" s="154" t="str">
        <f t="shared" ca="1" si="517"/>
        <v/>
      </c>
      <c r="CE187" s="310">
        <v>1</v>
      </c>
      <c r="CF187" s="162">
        <f ca="1">IF(BD187,_xll.xCrudeAPO(BU187,BV187,CA187,CB187,S188,S189,BI187,BL187,BP187,BQ187,0,Strike1,AO187,CE187,0,BL187,IF(OptControl=4,0,1),0,1),0)</f>
        <v>0</v>
      </c>
      <c r="CG187" s="163">
        <f ca="1">IF(BD187,_xll.xCrudeAPO(BU187,BV187,CA187,CB187,S188,S189,BI187,BL187,BP187,BQ187,0,Strike1,AO187,CE187,0,BL187,IF(OptControl=4,0,1),1,1)+_xll.xCrudeAPO(BU187,BV187,CA187,CB187,S188,S189,BI187,BL187,BP187,BQ187,0,Strike1,AO187,CE187,0,BL187,IF(OptControl=4,0,1),1,2)+IF(OR(VolSkewFlag=2,ABS(BS187)&lt;0.0001),0,IF(BS187&gt;0,-1,1)*CH187*Strike1/BR187^2*BY187/10%),0)</f>
        <v>0</v>
      </c>
      <c r="CH187" s="163">
        <f ca="1">IF(BD187,(_xll.xCrudeAPO(BU187,BV187,CA187,CB187,S188,S189,BI187,BL187,BP187,BQ187,0,Strike1,AO187,CE187,0,BL187,IF(OptControl=4,0,1),3,1)+_xll.xCrudeAPO(BU187,BV187,CA187,CB187,S188,S189,BI187,BL187,BP187,BQ187,0,Strike1,AO187,CE187,0,BL187,IF(OptControl=4,0,1),3,2))/100,0)</f>
        <v>0</v>
      </c>
      <c r="CI187" s="163">
        <f ca="1">IF(BD187,_xll.xCrudeAPO(BU187,BV187,CA187,CB187,S188,S189,BI187-DaysForThetaCalculation/365.25,BL187-DaysForThetaCalculation/365.25,BP187,BQ187,0,Strike1,AO187,CE187,0,BL187,IF(OptControl=4,0,1),0,1)-_xll.xCrudeAPO(BU187,BV187,CA187,CB187,S188,S189,BI187,BL187,BP187,BQ187,0,Strike1,AO187,CE187,0,BL187,IF(OptControl=4,0,1),0,1),0)</f>
        <v>0</v>
      </c>
      <c r="CJ187" s="311">
        <f ca="1">IF(BD187,_xll.xCrudeAPO(BU187,BV187,CC187,CD187,S188,S189,BI187,BL187,BP187,BQ187,0,Strike2,AO187,CE187,0,BL187,IF(OptControl=3,1,0),0,1),0)</f>
        <v>0</v>
      </c>
      <c r="CK187" s="163">
        <f ca="1">IF(BD187,_xll.xCrudeAPO(BU187,BV187,CC187,CD187,S188,S189,BI187,BL187,BP187,BQ187,0,Strike2,AO187,CE187,0,BL187,IF(OptControl=3,1,0),1,1)+_xll.xCrudeAPO(BU187,BV187,CC187,CD187,S188,S189,BI187,BL187,BP187,BQ187,0,Strike2,AO187,CE187,0,BL187,IF(OptControl=3,1,0),1,2)+IF(OR(VolSkewFlag=2,ABS(BT187)&lt;0.0001),0,IF(BT187&gt;0,-1,1)*CL187*Strike2/BR187^2*BZ187/10%),0)</f>
        <v>0</v>
      </c>
      <c r="CL187" s="163">
        <f ca="1">IF(BD187,(_xll.xCrudeAPO(BU187,BV187,CC187,CD187,S188,S189,BI187,BL187,BP187,BQ187,0,Strike2,AO187,CE187,0,BL187,IF(OptControl=3,1,0),3,1)+_xll.xCrudeAPO(BU187,BV187,CC187,CD187,S188,S189,BI187,BL187,BP187,BQ187,0,Strike2,AO187,CE187,0,BL187,IF(OptControl=3,1,0),3,2))/100,0)</f>
        <v>0</v>
      </c>
      <c r="CM187" s="164">
        <f ca="1">IF(BD187,_xll.xCrudeAPO(BU187,BV187,CC187,CD187,S188,S189,BI187-DaysForThetaCalculation/365.25,BL187-DaysForThetaCalculation/365.25,BP187,BQ187,0,Strike2,AO187,CE187,0,BL187,IF(OptControl=3,1,0),0,1)-_xll.xCrudeAPO(BU187,BV187,CC187,CD187,S188,S189,BI187,BL187,BP187,BQ187,0,Strike2,AO187,CE187,0,BL187,IF(OptControl=3,1,0),0,1),0)</f>
        <v>0</v>
      </c>
      <c r="CN187" s="53"/>
      <c r="CO187" s="796" t="str">
        <f t="shared" ca="1" si="532"/>
        <v/>
      </c>
      <c r="CP187" s="800" t="str">
        <f t="shared" ca="1" si="533"/>
        <v/>
      </c>
      <c r="CQ187" s="797" t="str">
        <f t="shared" ca="1" si="534"/>
        <v/>
      </c>
      <c r="CR187" s="797" t="str">
        <f t="shared" ca="1" si="535"/>
        <v/>
      </c>
      <c r="CS187" s="797" t="str">
        <f t="shared" ca="1" si="536"/>
        <v/>
      </c>
      <c r="CT187" s="797" t="str">
        <f t="shared" ca="1" si="537"/>
        <v/>
      </c>
      <c r="CU187" s="798" t="str">
        <f t="shared" ca="1" si="538"/>
        <v/>
      </c>
      <c r="CV187" s="799" t="str">
        <f t="shared" ca="1" si="539"/>
        <v/>
      </c>
      <c r="CW187" s="799" t="str">
        <f t="shared" ca="1" si="540"/>
        <v/>
      </c>
      <c r="CX187" s="163">
        <f ca="1">IF(BD187,_xll.EURO(CP187,Strike1,AO187,AO187,CV187,CO187,IF(OptControl=4,0,1),0),0)</f>
        <v>0</v>
      </c>
      <c r="CY187" s="163">
        <f ca="1">IF(BD187,_xll.EURO(CP187,Strike1,AO187,AO187,CV187,CO187,IF(OptControl=4,0,1),1)+IF(OR(VolSkewFlag=2,ABS(CQ187)&lt;0.0001),0,IF(CQ187&gt;0,-1,1)*CZ187*100*Strike1/CP187^2*CS187/10%),0)</f>
        <v>0</v>
      </c>
      <c r="CZ187" s="163">
        <f ca="1">IF(BD187,_xll.EURO(CP187,Strike1,AO187,AO187,CV187,CO187,IF(OptControl=4,0,1),3)/100,0)</f>
        <v>0</v>
      </c>
      <c r="DA187" s="163">
        <f ca="1">IF(BD187,_xll.EURO(CP187,Strike1,AO187,AO187,CV187,CO187,IF(OptControl=4,0,1),0)-_xll.EURO(CP187,Strike1,AO187,AO187,CV187,CO187-1,IF(OptControl=4,0,1),0),0)</f>
        <v>0</v>
      </c>
      <c r="DB187" s="163">
        <f ca="1">IF(BD187,_xll.EURO(CP187,Strike2,AO187,AO187,CW187,CO187,IF(OptControl=3,1,0),0),0)</f>
        <v>0</v>
      </c>
      <c r="DC187" s="163">
        <f ca="1">IF(BD187,_xll.EURO(CP187,Strike2,AO187,AO187,CW187,CO187,IF(OptControl=3,1,0),1)+IF(OR(VolSkewFlag=2,ABS(CR187)&lt;0.0001),0,IF(CR187&gt;0,-1,1)*DD187*100*Strike2/CP187^2*CT187/10%),0)</f>
        <v>0</v>
      </c>
      <c r="DD187" s="163">
        <f ca="1">IF(BD187,_xll.EURO(CP187,Strike2,AO187,AO187,CW187,CO187,IF(OptControl=3,1,0),3)/100,0)</f>
        <v>0</v>
      </c>
      <c r="DE187" s="164">
        <f ca="1">IF(BD187,_xll.EURO(CP187,Strike2,AO187,AO187,CW187,CO187,IF(OptControl=3,1,0),0)-_xll.EURO(CP187,Strike2,AO187,AO187,CW187,CO187-1,IF(OptControl=3,1,0),0),0)</f>
        <v>0</v>
      </c>
      <c r="DG187" s="667">
        <f t="shared" ca="1" si="541"/>
        <v>41640</v>
      </c>
      <c r="DH187" s="475">
        <v>22.510000000000066</v>
      </c>
      <c r="DI187" s="665">
        <v>22.580454545454611</v>
      </c>
      <c r="DJ187" s="666">
        <f t="shared" ca="1" si="589"/>
        <v>41640</v>
      </c>
      <c r="DK187" s="475">
        <v>21.299004486338657</v>
      </c>
      <c r="DL187" s="665">
        <v>21.411954545454613</v>
      </c>
      <c r="DM187" s="667">
        <f t="shared" ca="1" si="590"/>
        <v>41640</v>
      </c>
      <c r="DN187" s="668">
        <f t="shared" si="591"/>
        <v>21.349004486338657</v>
      </c>
      <c r="DO187" s="667">
        <f t="shared" ca="1" si="542"/>
        <v>41640</v>
      </c>
      <c r="DP187" s="579">
        <f t="shared" si="543"/>
        <v>21.411954545454613</v>
      </c>
      <c r="DQ187" s="821">
        <v>0</v>
      </c>
      <c r="DR187" s="666">
        <f t="shared" ca="1" si="592"/>
        <v>41640</v>
      </c>
      <c r="DS187" s="669">
        <v>0.12439999999999803</v>
      </c>
      <c r="DT187" s="606">
        <v>0.12355454545454347</v>
      </c>
      <c r="DU187" s="666">
        <f t="shared" ca="1" si="593"/>
        <v>41640</v>
      </c>
      <c r="DV187" s="669">
        <v>0.12439999999999803</v>
      </c>
      <c r="DW187" s="606">
        <v>0.12355454545454347</v>
      </c>
      <c r="DX187" s="667">
        <f t="shared" ca="1" si="594"/>
        <v>41640</v>
      </c>
      <c r="DY187" s="606">
        <v>0.35</v>
      </c>
      <c r="DZ187" s="667">
        <f t="shared" ca="1" si="544"/>
        <v>41640</v>
      </c>
      <c r="EA187" s="606">
        <f t="shared" si="545"/>
        <v>0.12355454545454347</v>
      </c>
      <c r="EB187" s="1"/>
      <c r="EC187" s="118" t="str">
        <f t="shared" ca="1" si="595"/>
        <v/>
      </c>
      <c r="ED187" s="119" t="str">
        <f t="shared" ca="1" si="525"/>
        <v/>
      </c>
      <c r="EE187" s="112" t="str">
        <f t="shared" ca="1" si="526"/>
        <v/>
      </c>
      <c r="EF187" s="120">
        <f ca="1">IF(BD187,_xll.xASN(BR187,Strike1,AO187,ED187,0,BO187,0,BI187,BL187,IF(OptControl=4,0,1),0),0)</f>
        <v>0</v>
      </c>
      <c r="EG187" s="111">
        <f ca="1">IF(BD187,_xll.xASN(BR187,Strike2,AO187,EE187,0,BO187,0,BI187,BL187,IF(OptControl=3,1,0),0),0)</f>
        <v>0</v>
      </c>
      <c r="EL187" s="55"/>
      <c r="EM187" s="1"/>
      <c r="EN187" s="106"/>
      <c r="EO187" s="106"/>
      <c r="EP187" s="1"/>
      <c r="EQ187" s="683" t="s">
        <v>400</v>
      </c>
      <c r="ES187" s="455"/>
      <c r="ET187" s="36"/>
      <c r="EU187" s="107"/>
      <c r="EV187" s="475"/>
      <c r="EW187" s="456"/>
      <c r="EX187" s="456"/>
      <c r="EY187" s="250"/>
      <c r="EZ187" s="250"/>
      <c r="FA187" s="250"/>
      <c r="FB187" s="250"/>
      <c r="FC187" s="250"/>
      <c r="FD187" s="250"/>
      <c r="FE187" s="250"/>
      <c r="FF187" s="250"/>
      <c r="FG187" s="250"/>
      <c r="FH187" s="250"/>
      <c r="FI187" s="250"/>
      <c r="FJ187" s="673">
        <v>18</v>
      </c>
      <c r="FK187" s="479" t="str">
        <f ca="1">IF(OR(FK$169&lt;SwaptionFirstMonthPosition+1,$FJ187&lt;SwaptionFirstMonthPosition+1,FK$169&gt;SwaptionFirstMonthPosition+SwaptionNumOfMonths+1,$FJ187&gt;SwaptionFirstMonthPosition+SwaptionNumOfMonths+1),"",IF($FJ187=FK$169,1,IF($FJ187&lt;FK$169,INDEX($FK$170:$ID$241,FK$169,$FJ187),SUMPRODUCT(INDEX($FK$325:$ID$396,FK$169,1+SwaptionShift):INDEX($FK$325:$ID$396,FK$169,SwaptionMonthsToGo+SwaptionShift),INDEX($FK$245:$ID$316,$FJ187-FK$169,73-FK$169+SwaptionShift):INDEX($FK$245:$ID$316,$FJ187-FK$169,72-FK$169+SwaptionMonthsToGo+SwaptionShift))/SQRT(SUM(INDEX($FK342:$ID342,1+SwaptionShift):INDEX($FK342:$ID342,SwaptionMonthsToGo+SwaptionShift))*SUM(INDEX($FK$325:$ID$396,FK$169,1+SwaptionShift):INDEX($FK$325:$ID$396,FK$169,SwaptionMonthsToGo+SwaptionShift))))))</f>
        <v/>
      </c>
      <c r="FL187" s="479" t="str">
        <f ca="1">IF(OR(FL$169&lt;SwaptionFirstMonthPosition+1,$FJ187&lt;SwaptionFirstMonthPosition+1,FL$169&gt;SwaptionFirstMonthPosition+SwaptionNumOfMonths+1,$FJ187&gt;SwaptionFirstMonthPosition+SwaptionNumOfMonths+1),"",IF($FJ187=FL$169,1,IF($FJ187&lt;FL$169,INDEX($FK$170:$ID$241,FL$169,$FJ187),SUMPRODUCT(INDEX($FK$325:$ID$396,FL$169,1+SwaptionShift):INDEX($FK$325:$ID$396,FL$169,SwaptionMonthsToGo+SwaptionShift),INDEX($FK$245:$ID$316,$FJ187-FL$169,73-FL$169+SwaptionShift):INDEX($FK$245:$ID$316,$FJ187-FL$169,72-FL$169+SwaptionMonthsToGo+SwaptionShift))/SQRT(SUM(INDEX($FK342:$ID342,1+SwaptionShift):INDEX($FK342:$ID342,SwaptionMonthsToGo+SwaptionShift))*SUM(INDEX($FK$325:$ID$396,FL$169,1+SwaptionShift):INDEX($FK$325:$ID$396,FL$169,SwaptionMonthsToGo+SwaptionShift))))))</f>
        <v/>
      </c>
      <c r="FM187" s="479" t="str">
        <f ca="1">IF(OR(FM$169&lt;SwaptionFirstMonthPosition+1,$FJ187&lt;SwaptionFirstMonthPosition+1,FM$169&gt;SwaptionFirstMonthPosition+SwaptionNumOfMonths+1,$FJ187&gt;SwaptionFirstMonthPosition+SwaptionNumOfMonths+1),"",IF($FJ187=FM$169,1,IF($FJ187&lt;FM$169,INDEX($FK$170:$ID$241,FM$169,$FJ187),SUMPRODUCT(INDEX($FK$325:$ID$396,FM$169,1+SwaptionShift):INDEX($FK$325:$ID$396,FM$169,SwaptionMonthsToGo+SwaptionShift),INDEX($FK$245:$ID$316,$FJ187-FM$169,73-FM$169+SwaptionShift):INDEX($FK$245:$ID$316,$FJ187-FM$169,72-FM$169+SwaptionMonthsToGo+SwaptionShift))/SQRT(SUM(INDEX($FK342:$ID342,1+SwaptionShift):INDEX($FK342:$ID342,SwaptionMonthsToGo+SwaptionShift))*SUM(INDEX($FK$325:$ID$396,FM$169,1+SwaptionShift):INDEX($FK$325:$ID$396,FM$169,SwaptionMonthsToGo+SwaptionShift))))))</f>
        <v/>
      </c>
      <c r="FN187" s="479" t="str">
        <f ca="1">IF(OR(FN$169&lt;SwaptionFirstMonthPosition+1,$FJ187&lt;SwaptionFirstMonthPosition+1,FN$169&gt;SwaptionFirstMonthPosition+SwaptionNumOfMonths+1,$FJ187&gt;SwaptionFirstMonthPosition+SwaptionNumOfMonths+1),"",IF($FJ187=FN$169,1,IF($FJ187&lt;FN$169,INDEX($FK$170:$ID$241,FN$169,$FJ187),SUMPRODUCT(INDEX($FK$325:$ID$396,FN$169,1+SwaptionShift):INDEX($FK$325:$ID$396,FN$169,SwaptionMonthsToGo+SwaptionShift),INDEX($FK$245:$ID$316,$FJ187-FN$169,73-FN$169+SwaptionShift):INDEX($FK$245:$ID$316,$FJ187-FN$169,72-FN$169+SwaptionMonthsToGo+SwaptionShift))/SQRT(SUM(INDEX($FK342:$ID342,1+SwaptionShift):INDEX($FK342:$ID342,SwaptionMonthsToGo+SwaptionShift))*SUM(INDEX($FK$325:$ID$396,FN$169,1+SwaptionShift):INDEX($FK$325:$ID$396,FN$169,SwaptionMonthsToGo+SwaptionShift))))))</f>
        <v/>
      </c>
      <c r="FO187" s="479" t="str">
        <f ca="1">IF(OR(FO$169&lt;SwaptionFirstMonthPosition+1,$FJ187&lt;SwaptionFirstMonthPosition+1,FO$169&gt;SwaptionFirstMonthPosition+SwaptionNumOfMonths+1,$FJ187&gt;SwaptionFirstMonthPosition+SwaptionNumOfMonths+1),"",IF($FJ187=FO$169,1,IF($FJ187&lt;FO$169,INDEX($FK$170:$ID$241,FO$169,$FJ187),SUMPRODUCT(INDEX($FK$325:$ID$396,FO$169,1+SwaptionShift):INDEX($FK$325:$ID$396,FO$169,SwaptionMonthsToGo+SwaptionShift),INDEX($FK$245:$ID$316,$FJ187-FO$169,73-FO$169+SwaptionShift):INDEX($FK$245:$ID$316,$FJ187-FO$169,72-FO$169+SwaptionMonthsToGo+SwaptionShift))/SQRT(SUM(INDEX($FK342:$ID342,1+SwaptionShift):INDEX($FK342:$ID342,SwaptionMonthsToGo+SwaptionShift))*SUM(INDEX($FK$325:$ID$396,FO$169,1+SwaptionShift):INDEX($FK$325:$ID$396,FO$169,SwaptionMonthsToGo+SwaptionShift))))))</f>
        <v/>
      </c>
      <c r="FP187" s="479">
        <f ca="1">IF(OR(FP$169&lt;SwaptionFirstMonthPosition+1,$FJ187&lt;SwaptionFirstMonthPosition+1,FP$169&gt;SwaptionFirstMonthPosition+SwaptionNumOfMonths+1,$FJ187&gt;SwaptionFirstMonthPosition+SwaptionNumOfMonths+1),"",IF($FJ187=FP$169,1,IF($FJ187&lt;FP$169,INDEX($FK$170:$ID$241,FP$169,$FJ187),SUMPRODUCT(INDEX($FK$325:$ID$396,FP$169,1+SwaptionShift):INDEX($FK$325:$ID$396,FP$169,SwaptionMonthsToGo+SwaptionShift),INDEX($FK$245:$ID$316,$FJ187-FP$169,73-FP$169+SwaptionShift):INDEX($FK$245:$ID$316,$FJ187-FP$169,72-FP$169+SwaptionMonthsToGo+SwaptionShift))/SQRT(SUM(INDEX($FK342:$ID342,1+SwaptionShift):INDEX($FK342:$ID342,SwaptionMonthsToGo+SwaptionShift))*SUM(INDEX($FK$325:$ID$396,FP$169,1+SwaptionShift):INDEX($FK$325:$ID$396,FP$169,SwaptionMonthsToGo+SwaptionShift))))))</f>
        <v>0.88353196635440301</v>
      </c>
      <c r="FQ187" s="479">
        <f ca="1">IF(OR(FQ$169&lt;SwaptionFirstMonthPosition+1,$FJ187&lt;SwaptionFirstMonthPosition+1,FQ$169&gt;SwaptionFirstMonthPosition+SwaptionNumOfMonths+1,$FJ187&gt;SwaptionFirstMonthPosition+SwaptionNumOfMonths+1),"",IF($FJ187=FQ$169,1,IF($FJ187&lt;FQ$169,INDEX($FK$170:$ID$241,FQ$169,$FJ187),SUMPRODUCT(INDEX($FK$325:$ID$396,FQ$169,1+SwaptionShift):INDEX($FK$325:$ID$396,FQ$169,SwaptionMonthsToGo+SwaptionShift),INDEX($FK$245:$ID$316,$FJ187-FQ$169,73-FQ$169+SwaptionShift):INDEX($FK$245:$ID$316,$FJ187-FQ$169,72-FQ$169+SwaptionMonthsToGo+SwaptionShift))/SQRT(SUM(INDEX($FK342:$ID342,1+SwaptionShift):INDEX($FK342:$ID342,SwaptionMonthsToGo+SwaptionShift))*SUM(INDEX($FK$325:$ID$396,FQ$169,1+SwaptionShift):INDEX($FK$325:$ID$396,FQ$169,SwaptionMonthsToGo+SwaptionShift))))))</f>
        <v>0.90692438701005074</v>
      </c>
      <c r="FR187" s="479">
        <f ca="1">IF(OR(FR$169&lt;SwaptionFirstMonthPosition+1,$FJ187&lt;SwaptionFirstMonthPosition+1,FR$169&gt;SwaptionFirstMonthPosition+SwaptionNumOfMonths+1,$FJ187&gt;SwaptionFirstMonthPosition+SwaptionNumOfMonths+1),"",IF($FJ187=FR$169,1,IF($FJ187&lt;FR$169,INDEX($FK$170:$ID$241,FR$169,$FJ187),SUMPRODUCT(INDEX($FK$325:$ID$396,FR$169,1+SwaptionShift):INDEX($FK$325:$ID$396,FR$169,SwaptionMonthsToGo+SwaptionShift),INDEX($FK$245:$ID$316,$FJ187-FR$169,73-FR$169+SwaptionShift):INDEX($FK$245:$ID$316,$FJ187-FR$169,72-FR$169+SwaptionMonthsToGo+SwaptionShift))/SQRT(SUM(INDEX($FK342:$ID342,1+SwaptionShift):INDEX($FK342:$ID342,SwaptionMonthsToGo+SwaptionShift))*SUM(INDEX($FK$325:$ID$396,FR$169,1+SwaptionShift):INDEX($FK$325:$ID$396,FR$169,SwaptionMonthsToGo+SwaptionShift))))))</f>
        <v>0.92581918289687992</v>
      </c>
      <c r="FS187" s="479">
        <f ca="1">IF(OR(FS$169&lt;SwaptionFirstMonthPosition+1,$FJ187&lt;SwaptionFirstMonthPosition+1,FS$169&gt;SwaptionFirstMonthPosition+SwaptionNumOfMonths+1,$FJ187&gt;SwaptionFirstMonthPosition+SwaptionNumOfMonths+1),"",IF($FJ187=FS$169,1,IF($FJ187&lt;FS$169,INDEX($FK$170:$ID$241,FS$169,$FJ187),SUMPRODUCT(INDEX($FK$325:$ID$396,FS$169,1+SwaptionShift):INDEX($FK$325:$ID$396,FS$169,SwaptionMonthsToGo+SwaptionShift),INDEX($FK$245:$ID$316,$FJ187-FS$169,73-FS$169+SwaptionShift):INDEX($FK$245:$ID$316,$FJ187-FS$169,72-FS$169+SwaptionMonthsToGo+SwaptionShift))/SQRT(SUM(INDEX($FK342:$ID342,1+SwaptionShift):INDEX($FK342:$ID342,SwaptionMonthsToGo+SwaptionShift))*SUM(INDEX($FK$325:$ID$396,FS$169,1+SwaptionShift):INDEX($FK$325:$ID$396,FS$169,SwaptionMonthsToGo+SwaptionShift))))))</f>
        <v>0.94115512124242839</v>
      </c>
      <c r="FT187" s="479">
        <f ca="1">IF(OR(FT$169&lt;SwaptionFirstMonthPosition+1,$FJ187&lt;SwaptionFirstMonthPosition+1,FT$169&gt;SwaptionFirstMonthPosition+SwaptionNumOfMonths+1,$FJ187&gt;SwaptionFirstMonthPosition+SwaptionNumOfMonths+1),"",IF($FJ187=FT$169,1,IF($FJ187&lt;FT$169,INDEX($FK$170:$ID$241,FT$169,$FJ187),SUMPRODUCT(INDEX($FK$325:$ID$396,FT$169,1+SwaptionShift):INDEX($FK$325:$ID$396,FT$169,SwaptionMonthsToGo+SwaptionShift),INDEX($FK$245:$ID$316,$FJ187-FT$169,73-FT$169+SwaptionShift):INDEX($FK$245:$ID$316,$FJ187-FT$169,72-FT$169+SwaptionMonthsToGo+SwaptionShift))/SQRT(SUM(INDEX($FK342:$ID342,1+SwaptionShift):INDEX($FK342:$ID342,SwaptionMonthsToGo+SwaptionShift))*SUM(INDEX($FK$325:$ID$396,FT$169,1+SwaptionShift):INDEX($FK$325:$ID$396,FT$169,SwaptionMonthsToGo+SwaptionShift))))))</f>
        <v>0.95366088182414177</v>
      </c>
      <c r="FU187" s="479">
        <f ca="1">IF(OR(FU$169&lt;SwaptionFirstMonthPosition+1,$FJ187&lt;SwaptionFirstMonthPosition+1,FU$169&gt;SwaptionFirstMonthPosition+SwaptionNumOfMonths+1,$FJ187&gt;SwaptionFirstMonthPosition+SwaptionNumOfMonths+1),"",IF($FJ187=FU$169,1,IF($FJ187&lt;FU$169,INDEX($FK$170:$ID$241,FU$169,$FJ187),SUMPRODUCT(INDEX($FK$325:$ID$396,FU$169,1+SwaptionShift):INDEX($FK$325:$ID$396,FU$169,SwaptionMonthsToGo+SwaptionShift),INDEX($FK$245:$ID$316,$FJ187-FU$169,73-FU$169+SwaptionShift):INDEX($FK$245:$ID$316,$FJ187-FU$169,72-FU$169+SwaptionMonthsToGo+SwaptionShift))/SQRT(SUM(INDEX($FK342:$ID342,1+SwaptionShift):INDEX($FK342:$ID342,SwaptionMonthsToGo+SwaptionShift))*SUM(INDEX($FK$325:$ID$396,FU$169,1+SwaptionShift):INDEX($FK$325:$ID$396,FU$169,SwaptionMonthsToGo+SwaptionShift))))))</f>
        <v>0.96390433693582533</v>
      </c>
      <c r="FV187" s="479">
        <f ca="1">IF(OR(FV$169&lt;SwaptionFirstMonthPosition+1,$FJ187&lt;SwaptionFirstMonthPosition+1,FV$169&gt;SwaptionFirstMonthPosition+SwaptionNumOfMonths+1,$FJ187&gt;SwaptionFirstMonthPosition+SwaptionNumOfMonths+1),"",IF($FJ187=FV$169,1,IF($FJ187&lt;FV$169,INDEX($FK$170:$ID$241,FV$169,$FJ187),SUMPRODUCT(INDEX($FK$325:$ID$396,FV$169,1+SwaptionShift):INDEX($FK$325:$ID$396,FV$169,SwaptionMonthsToGo+SwaptionShift),INDEX($FK$245:$ID$316,$FJ187-FV$169,73-FV$169+SwaptionShift):INDEX($FK$245:$ID$316,$FJ187-FV$169,72-FV$169+SwaptionMonthsToGo+SwaptionShift))/SQRT(SUM(INDEX($FK342:$ID342,1+SwaptionShift):INDEX($FK342:$ID342,SwaptionMonthsToGo+SwaptionShift))*SUM(INDEX($FK$325:$ID$396,FV$169,1+SwaptionShift):INDEX($FK$325:$ID$396,FV$169,SwaptionMonthsToGo+SwaptionShift))))))</f>
        <v>0.97233007496756796</v>
      </c>
      <c r="FW187" s="479">
        <f ca="1">IF(OR(FW$169&lt;SwaptionFirstMonthPosition+1,$FJ187&lt;SwaptionFirstMonthPosition+1,FW$169&gt;SwaptionFirstMonthPosition+SwaptionNumOfMonths+1,$FJ187&gt;SwaptionFirstMonthPosition+SwaptionNumOfMonths+1),"",IF($FJ187=FW$169,1,IF($FJ187&lt;FW$169,INDEX($FK$170:$ID$241,FW$169,$FJ187),SUMPRODUCT(INDEX($FK$325:$ID$396,FW$169,1+SwaptionShift):INDEX($FK$325:$ID$396,FW$169,SwaptionMonthsToGo+SwaptionShift),INDEX($FK$245:$ID$316,$FJ187-FW$169,73-FW$169+SwaptionShift):INDEX($FK$245:$ID$316,$FJ187-FW$169,72-FW$169+SwaptionMonthsToGo+SwaptionShift))/SQRT(SUM(INDEX($FK342:$ID342,1+SwaptionShift):INDEX($FK342:$ID342,SwaptionMonthsToGo+SwaptionShift))*SUM(INDEX($FK$325:$ID$396,FW$169,1+SwaptionShift):INDEX($FK$325:$ID$396,FW$169,SwaptionMonthsToGo+SwaptionShift))))))</f>
        <v>0.97928789586435572</v>
      </c>
      <c r="FX187" s="479">
        <f ca="1">IF(OR(FX$169&lt;SwaptionFirstMonthPosition+1,$FJ187&lt;SwaptionFirstMonthPosition+1,FX$169&gt;SwaptionFirstMonthPosition+SwaptionNumOfMonths+1,$FJ187&gt;SwaptionFirstMonthPosition+SwaptionNumOfMonths+1),"",IF($FJ187=FX$169,1,IF($FJ187&lt;FX$169,INDEX($FK$170:$ID$241,FX$169,$FJ187),SUMPRODUCT(INDEX($FK$325:$ID$396,FX$169,1+SwaptionShift):INDEX($FK$325:$ID$396,FX$169,SwaptionMonthsToGo+SwaptionShift),INDEX($FK$245:$ID$316,$FJ187-FX$169,73-FX$169+SwaptionShift):INDEX($FK$245:$ID$316,$FJ187-FX$169,72-FX$169+SwaptionMonthsToGo+SwaptionShift))/SQRT(SUM(INDEX($FK342:$ID342,1+SwaptionShift):INDEX($FK342:$ID342,SwaptionMonthsToGo+SwaptionShift))*SUM(INDEX($FK$325:$ID$396,FX$169,1+SwaptionShift):INDEX($FK$325:$ID$396,FX$169,SwaptionMonthsToGo+SwaptionShift))))))</f>
        <v>0.98505444767428196</v>
      </c>
      <c r="FY187" s="479">
        <f ca="1">IF(OR(FY$169&lt;SwaptionFirstMonthPosition+1,$FJ187&lt;SwaptionFirstMonthPosition+1,FY$169&gt;SwaptionFirstMonthPosition+SwaptionNumOfMonths+1,$FJ187&gt;SwaptionFirstMonthPosition+SwaptionNumOfMonths+1),"",IF($FJ187=FY$169,1,IF($FJ187&lt;FY$169,INDEX($FK$170:$ID$241,FY$169,$FJ187),SUMPRODUCT(INDEX($FK$325:$ID$396,FY$169,1+SwaptionShift):INDEX($FK$325:$ID$396,FY$169,SwaptionMonthsToGo+SwaptionShift),INDEX($FK$245:$ID$316,$FJ187-FY$169,73-FY$169+SwaptionShift):INDEX($FK$245:$ID$316,$FJ187-FY$169,72-FY$169+SwaptionMonthsToGo+SwaptionShift))/SQRT(SUM(INDEX($FK342:$ID342,1+SwaptionShift):INDEX($FK342:$ID342,SwaptionMonthsToGo+SwaptionShift))*SUM(INDEX($FK$325:$ID$396,FY$169,1+SwaptionShift):INDEX($FK$325:$ID$396,FY$169,SwaptionMonthsToGo+SwaptionShift))))))</f>
        <v>0.98984967992268791</v>
      </c>
      <c r="FZ187" s="479">
        <f ca="1">IF(OR(FZ$169&lt;SwaptionFirstMonthPosition+1,$FJ187&lt;SwaptionFirstMonthPosition+1,FZ$169&gt;SwaptionFirstMonthPosition+SwaptionNumOfMonths+1,$FJ187&gt;SwaptionFirstMonthPosition+SwaptionNumOfMonths+1),"",IF($FJ187=FZ$169,1,IF($FJ187&lt;FZ$169,INDEX($FK$170:$ID$241,FZ$169,$FJ187),SUMPRODUCT(INDEX($FK$325:$ID$396,FZ$169,1+SwaptionShift):INDEX($FK$325:$ID$396,FZ$169,SwaptionMonthsToGo+SwaptionShift),INDEX($FK$245:$ID$316,$FJ187-FZ$169,73-FZ$169+SwaptionShift):INDEX($FK$245:$ID$316,$FJ187-FZ$169,72-FZ$169+SwaptionMonthsToGo+SwaptionShift))/SQRT(SUM(INDEX($FK342:$ID342,1+SwaptionShift):INDEX($FK342:$ID342,SwaptionMonthsToGo+SwaptionShift))*SUM(INDEX($FK$325:$ID$396,FZ$169,1+SwaptionShift):INDEX($FK$325:$ID$396,FZ$169,SwaptionMonthsToGo+SwaptionShift))))))</f>
        <v>0.99384938819251756</v>
      </c>
      <c r="GA187" s="479">
        <f ca="1">IF(OR(GA$169&lt;SwaptionFirstMonthPosition+1,$FJ187&lt;SwaptionFirstMonthPosition+1,GA$169&gt;SwaptionFirstMonthPosition+SwaptionNumOfMonths+1,$FJ187&gt;SwaptionFirstMonthPosition+SwaptionNumOfMonths+1),"",IF($FJ187=GA$169,1,IF($FJ187&lt;GA$169,INDEX($FK$170:$ID$241,GA$169,$FJ187),SUMPRODUCT(INDEX($FK$325:$ID$396,GA$169,1+SwaptionShift):INDEX($FK$325:$ID$396,GA$169,SwaptionMonthsToGo+SwaptionShift),INDEX($FK$245:$ID$316,$FJ187-GA$169,73-GA$169+SwaptionShift):INDEX($FK$245:$ID$316,$FJ187-GA$169,72-GA$169+SwaptionMonthsToGo+SwaptionShift))/SQRT(SUM(INDEX($FK342:$ID342,1+SwaptionShift):INDEX($FK342:$ID342,SwaptionMonthsToGo+SwaptionShift))*SUM(INDEX($FK$325:$ID$396,GA$169,1+SwaptionShift):INDEX($FK$325:$ID$396,GA$169,SwaptionMonthsToGo+SwaptionShift))))))</f>
        <v>0.99719481091166229</v>
      </c>
      <c r="GB187" s="479">
        <f ca="1">IF(OR(GB$169&lt;SwaptionFirstMonthPosition+1,$FJ187&lt;SwaptionFirstMonthPosition+1,GB$169&gt;SwaptionFirstMonthPosition+SwaptionNumOfMonths+1,$FJ187&gt;SwaptionFirstMonthPosition+SwaptionNumOfMonths+1),"",IF($FJ187=GB$169,1,IF($FJ187&lt;GB$169,INDEX($FK$170:$ID$241,GB$169,$FJ187),SUMPRODUCT(INDEX($FK$325:$ID$396,GB$169,1+SwaptionShift):INDEX($FK$325:$ID$396,GB$169,SwaptionMonthsToGo+SwaptionShift),INDEX($FK$245:$ID$316,$FJ187-GB$169,73-GB$169+SwaptionShift):INDEX($FK$245:$ID$316,$FJ187-GB$169,72-GB$169+SwaptionMonthsToGo+SwaptionShift))/SQRT(SUM(INDEX($FK342:$ID342,1+SwaptionShift):INDEX($FK342:$ID342,SwaptionMonthsToGo+SwaptionShift))*SUM(INDEX($FK$325:$ID$396,GB$169,1+SwaptionShift):INDEX($FK$325:$ID$396,GB$169,SwaptionMonthsToGo+SwaptionShift))))))</f>
        <v>1</v>
      </c>
      <c r="GC187" s="479" t="str">
        <f ca="1">IF(OR(GC$169&lt;SwaptionFirstMonthPosition+1,$FJ187&lt;SwaptionFirstMonthPosition+1,GC$169&gt;SwaptionFirstMonthPosition+SwaptionNumOfMonths+1,$FJ187&gt;SwaptionFirstMonthPosition+SwaptionNumOfMonths+1),"",IF($FJ187=GC$169,1,IF($FJ187&lt;GC$169,INDEX($FK$170:$ID$241,GC$169,$FJ187),SUMPRODUCT(INDEX($FK$325:$ID$396,GC$169,1+SwaptionShift):INDEX($FK$325:$ID$396,GC$169,SwaptionMonthsToGo+SwaptionShift),INDEX($FK$245:$ID$316,$FJ187-GC$169,73-GC$169+SwaptionShift):INDEX($FK$245:$ID$316,$FJ187-GC$169,72-GC$169+SwaptionMonthsToGo+SwaptionShift))/SQRT(SUM(INDEX($FK342:$ID342,1+SwaptionShift):INDEX($FK342:$ID342,SwaptionMonthsToGo+SwaptionShift))*SUM(INDEX($FK$325:$ID$396,GC$169,1+SwaptionShift):INDEX($FK$325:$ID$396,GC$169,SwaptionMonthsToGo+SwaptionShift))))))</f>
        <v/>
      </c>
      <c r="GD187" s="479" t="str">
        <f ca="1">IF(OR(GD$169&lt;SwaptionFirstMonthPosition+1,$FJ187&lt;SwaptionFirstMonthPosition+1,GD$169&gt;SwaptionFirstMonthPosition+SwaptionNumOfMonths+1,$FJ187&gt;SwaptionFirstMonthPosition+SwaptionNumOfMonths+1),"",IF($FJ187=GD$169,1,IF($FJ187&lt;GD$169,INDEX($FK$170:$ID$241,GD$169,$FJ187),SUMPRODUCT(INDEX($FK$325:$ID$396,GD$169,1+SwaptionShift):INDEX($FK$325:$ID$396,GD$169,SwaptionMonthsToGo+SwaptionShift),INDEX($FK$245:$ID$316,$FJ187-GD$169,73-GD$169+SwaptionShift):INDEX($FK$245:$ID$316,$FJ187-GD$169,72-GD$169+SwaptionMonthsToGo+SwaptionShift))/SQRT(SUM(INDEX($FK342:$ID342,1+SwaptionShift):INDEX($FK342:$ID342,SwaptionMonthsToGo+SwaptionShift))*SUM(INDEX($FK$325:$ID$396,GD$169,1+SwaptionShift):INDEX($FK$325:$ID$396,GD$169,SwaptionMonthsToGo+SwaptionShift))))))</f>
        <v/>
      </c>
      <c r="GE187" s="479" t="str">
        <f ca="1">IF(OR(GE$169&lt;SwaptionFirstMonthPosition+1,$FJ187&lt;SwaptionFirstMonthPosition+1,GE$169&gt;SwaptionFirstMonthPosition+SwaptionNumOfMonths+1,$FJ187&gt;SwaptionFirstMonthPosition+SwaptionNumOfMonths+1),"",IF($FJ187=GE$169,1,IF($FJ187&lt;GE$169,INDEX($FK$170:$ID$241,GE$169,$FJ187),SUMPRODUCT(INDEX($FK$325:$ID$396,GE$169,1+SwaptionShift):INDEX($FK$325:$ID$396,GE$169,SwaptionMonthsToGo+SwaptionShift),INDEX($FK$245:$ID$316,$FJ187-GE$169,73-GE$169+SwaptionShift):INDEX($FK$245:$ID$316,$FJ187-GE$169,72-GE$169+SwaptionMonthsToGo+SwaptionShift))/SQRT(SUM(INDEX($FK342:$ID342,1+SwaptionShift):INDEX($FK342:$ID342,SwaptionMonthsToGo+SwaptionShift))*SUM(INDEX($FK$325:$ID$396,GE$169,1+SwaptionShift):INDEX($FK$325:$ID$396,GE$169,SwaptionMonthsToGo+SwaptionShift))))))</f>
        <v/>
      </c>
      <c r="GF187" s="479" t="str">
        <f ca="1">IF(OR(GF$169&lt;SwaptionFirstMonthPosition+1,$FJ187&lt;SwaptionFirstMonthPosition+1,GF$169&gt;SwaptionFirstMonthPosition+SwaptionNumOfMonths+1,$FJ187&gt;SwaptionFirstMonthPosition+SwaptionNumOfMonths+1),"",IF($FJ187=GF$169,1,IF($FJ187&lt;GF$169,INDEX($FK$170:$ID$241,GF$169,$FJ187),SUMPRODUCT(INDEX($FK$325:$ID$396,GF$169,1+SwaptionShift):INDEX($FK$325:$ID$396,GF$169,SwaptionMonthsToGo+SwaptionShift),INDEX($FK$245:$ID$316,$FJ187-GF$169,73-GF$169+SwaptionShift):INDEX($FK$245:$ID$316,$FJ187-GF$169,72-GF$169+SwaptionMonthsToGo+SwaptionShift))/SQRT(SUM(INDEX($FK342:$ID342,1+SwaptionShift):INDEX($FK342:$ID342,SwaptionMonthsToGo+SwaptionShift))*SUM(INDEX($FK$325:$ID$396,GF$169,1+SwaptionShift):INDEX($FK$325:$ID$396,GF$169,SwaptionMonthsToGo+SwaptionShift))))))</f>
        <v/>
      </c>
      <c r="GG187" s="479" t="str">
        <f ca="1">IF(OR(GG$169&lt;SwaptionFirstMonthPosition+1,$FJ187&lt;SwaptionFirstMonthPosition+1,GG$169&gt;SwaptionFirstMonthPosition+SwaptionNumOfMonths+1,$FJ187&gt;SwaptionFirstMonthPosition+SwaptionNumOfMonths+1),"",IF($FJ187=GG$169,1,IF($FJ187&lt;GG$169,INDEX($FK$170:$ID$241,GG$169,$FJ187),SUMPRODUCT(INDEX($FK$325:$ID$396,GG$169,1+SwaptionShift):INDEX($FK$325:$ID$396,GG$169,SwaptionMonthsToGo+SwaptionShift),INDEX($FK$245:$ID$316,$FJ187-GG$169,73-GG$169+SwaptionShift):INDEX($FK$245:$ID$316,$FJ187-GG$169,72-GG$169+SwaptionMonthsToGo+SwaptionShift))/SQRT(SUM(INDEX($FK342:$ID342,1+SwaptionShift):INDEX($FK342:$ID342,SwaptionMonthsToGo+SwaptionShift))*SUM(INDEX($FK$325:$ID$396,GG$169,1+SwaptionShift):INDEX($FK$325:$ID$396,GG$169,SwaptionMonthsToGo+SwaptionShift))))))</f>
        <v/>
      </c>
      <c r="GH187" s="479" t="str">
        <f ca="1">IF(OR(GH$169&lt;SwaptionFirstMonthPosition+1,$FJ187&lt;SwaptionFirstMonthPosition+1,GH$169&gt;SwaptionFirstMonthPosition+SwaptionNumOfMonths+1,$FJ187&gt;SwaptionFirstMonthPosition+SwaptionNumOfMonths+1),"",IF($FJ187=GH$169,1,IF($FJ187&lt;GH$169,INDEX($FK$170:$ID$241,GH$169,$FJ187),SUMPRODUCT(INDEX($FK$325:$ID$396,GH$169,1+SwaptionShift):INDEX($FK$325:$ID$396,GH$169,SwaptionMonthsToGo+SwaptionShift),INDEX($FK$245:$ID$316,$FJ187-GH$169,73-GH$169+SwaptionShift):INDEX($FK$245:$ID$316,$FJ187-GH$169,72-GH$169+SwaptionMonthsToGo+SwaptionShift))/SQRT(SUM(INDEX($FK342:$ID342,1+SwaptionShift):INDEX($FK342:$ID342,SwaptionMonthsToGo+SwaptionShift))*SUM(INDEX($FK$325:$ID$396,GH$169,1+SwaptionShift):INDEX($FK$325:$ID$396,GH$169,SwaptionMonthsToGo+SwaptionShift))))))</f>
        <v/>
      </c>
      <c r="GI187" s="479" t="str">
        <f ca="1">IF(OR(GI$169&lt;SwaptionFirstMonthPosition+1,$FJ187&lt;SwaptionFirstMonthPosition+1,GI$169&gt;SwaptionFirstMonthPosition+SwaptionNumOfMonths+1,$FJ187&gt;SwaptionFirstMonthPosition+SwaptionNumOfMonths+1),"",IF($FJ187=GI$169,1,IF($FJ187&lt;GI$169,INDEX($FK$170:$ID$241,GI$169,$FJ187),SUMPRODUCT(INDEX($FK$325:$ID$396,GI$169,1+SwaptionShift):INDEX($FK$325:$ID$396,GI$169,SwaptionMonthsToGo+SwaptionShift),INDEX($FK$245:$ID$316,$FJ187-GI$169,73-GI$169+SwaptionShift):INDEX($FK$245:$ID$316,$FJ187-GI$169,72-GI$169+SwaptionMonthsToGo+SwaptionShift))/SQRT(SUM(INDEX($FK342:$ID342,1+SwaptionShift):INDEX($FK342:$ID342,SwaptionMonthsToGo+SwaptionShift))*SUM(INDEX($FK$325:$ID$396,GI$169,1+SwaptionShift):INDEX($FK$325:$ID$396,GI$169,SwaptionMonthsToGo+SwaptionShift))))))</f>
        <v/>
      </c>
      <c r="GJ187" s="479" t="str">
        <f ca="1">IF(OR(GJ$169&lt;SwaptionFirstMonthPosition+1,$FJ187&lt;SwaptionFirstMonthPosition+1,GJ$169&gt;SwaptionFirstMonthPosition+SwaptionNumOfMonths+1,$FJ187&gt;SwaptionFirstMonthPosition+SwaptionNumOfMonths+1),"",IF($FJ187=GJ$169,1,IF($FJ187&lt;GJ$169,INDEX($FK$170:$ID$241,GJ$169,$FJ187),SUMPRODUCT(INDEX($FK$325:$ID$396,GJ$169,1+SwaptionShift):INDEX($FK$325:$ID$396,GJ$169,SwaptionMonthsToGo+SwaptionShift),INDEX($FK$245:$ID$316,$FJ187-GJ$169,73-GJ$169+SwaptionShift):INDEX($FK$245:$ID$316,$FJ187-GJ$169,72-GJ$169+SwaptionMonthsToGo+SwaptionShift))/SQRT(SUM(INDEX($FK342:$ID342,1+SwaptionShift):INDEX($FK342:$ID342,SwaptionMonthsToGo+SwaptionShift))*SUM(INDEX($FK$325:$ID$396,GJ$169,1+SwaptionShift):INDEX($FK$325:$ID$396,GJ$169,SwaptionMonthsToGo+SwaptionShift))))))</f>
        <v/>
      </c>
      <c r="GK187" s="479" t="str">
        <f ca="1">IF(OR(GK$169&lt;SwaptionFirstMonthPosition+1,$FJ187&lt;SwaptionFirstMonthPosition+1,GK$169&gt;SwaptionFirstMonthPosition+SwaptionNumOfMonths+1,$FJ187&gt;SwaptionFirstMonthPosition+SwaptionNumOfMonths+1),"",IF($FJ187=GK$169,1,IF($FJ187&lt;GK$169,INDEX($FK$170:$ID$241,GK$169,$FJ187),SUMPRODUCT(INDEX($FK$325:$ID$396,GK$169,1+SwaptionShift):INDEX($FK$325:$ID$396,GK$169,SwaptionMonthsToGo+SwaptionShift),INDEX($FK$245:$ID$316,$FJ187-GK$169,73-GK$169+SwaptionShift):INDEX($FK$245:$ID$316,$FJ187-GK$169,72-GK$169+SwaptionMonthsToGo+SwaptionShift))/SQRT(SUM(INDEX($FK342:$ID342,1+SwaptionShift):INDEX($FK342:$ID342,SwaptionMonthsToGo+SwaptionShift))*SUM(INDEX($FK$325:$ID$396,GK$169,1+SwaptionShift):INDEX($FK$325:$ID$396,GK$169,SwaptionMonthsToGo+SwaptionShift))))))</f>
        <v/>
      </c>
      <c r="GL187" s="479" t="str">
        <f ca="1">IF(OR(GL$169&lt;SwaptionFirstMonthPosition+1,$FJ187&lt;SwaptionFirstMonthPosition+1,GL$169&gt;SwaptionFirstMonthPosition+SwaptionNumOfMonths+1,$FJ187&gt;SwaptionFirstMonthPosition+SwaptionNumOfMonths+1),"",IF($FJ187=GL$169,1,IF($FJ187&lt;GL$169,INDEX($FK$170:$ID$241,GL$169,$FJ187),SUMPRODUCT(INDEX($FK$325:$ID$396,GL$169,1+SwaptionShift):INDEX($FK$325:$ID$396,GL$169,SwaptionMonthsToGo+SwaptionShift),INDEX($FK$245:$ID$316,$FJ187-GL$169,73-GL$169+SwaptionShift):INDEX($FK$245:$ID$316,$FJ187-GL$169,72-GL$169+SwaptionMonthsToGo+SwaptionShift))/SQRT(SUM(INDEX($FK342:$ID342,1+SwaptionShift):INDEX($FK342:$ID342,SwaptionMonthsToGo+SwaptionShift))*SUM(INDEX($FK$325:$ID$396,GL$169,1+SwaptionShift):INDEX($FK$325:$ID$396,GL$169,SwaptionMonthsToGo+SwaptionShift))))))</f>
        <v/>
      </c>
      <c r="GM187" s="479" t="str">
        <f ca="1">IF(OR(GM$169&lt;SwaptionFirstMonthPosition+1,$FJ187&lt;SwaptionFirstMonthPosition+1,GM$169&gt;SwaptionFirstMonthPosition+SwaptionNumOfMonths+1,$FJ187&gt;SwaptionFirstMonthPosition+SwaptionNumOfMonths+1),"",IF($FJ187=GM$169,1,IF($FJ187&lt;GM$169,INDEX($FK$170:$ID$241,GM$169,$FJ187),SUMPRODUCT(INDEX($FK$325:$ID$396,GM$169,1+SwaptionShift):INDEX($FK$325:$ID$396,GM$169,SwaptionMonthsToGo+SwaptionShift),INDEX($FK$245:$ID$316,$FJ187-GM$169,73-GM$169+SwaptionShift):INDEX($FK$245:$ID$316,$FJ187-GM$169,72-GM$169+SwaptionMonthsToGo+SwaptionShift))/SQRT(SUM(INDEX($FK342:$ID342,1+SwaptionShift):INDEX($FK342:$ID342,SwaptionMonthsToGo+SwaptionShift))*SUM(INDEX($FK$325:$ID$396,GM$169,1+SwaptionShift):INDEX($FK$325:$ID$396,GM$169,SwaptionMonthsToGo+SwaptionShift))))))</f>
        <v/>
      </c>
      <c r="GN187" s="479" t="str">
        <f ca="1">IF(OR(GN$169&lt;SwaptionFirstMonthPosition+1,$FJ187&lt;SwaptionFirstMonthPosition+1,GN$169&gt;SwaptionFirstMonthPosition+SwaptionNumOfMonths+1,$FJ187&gt;SwaptionFirstMonthPosition+SwaptionNumOfMonths+1),"",IF($FJ187=GN$169,1,IF($FJ187&lt;GN$169,INDEX($FK$170:$ID$241,GN$169,$FJ187),SUMPRODUCT(INDEX($FK$325:$ID$396,GN$169,1+SwaptionShift):INDEX($FK$325:$ID$396,GN$169,SwaptionMonthsToGo+SwaptionShift),INDEX($FK$245:$ID$316,$FJ187-GN$169,73-GN$169+SwaptionShift):INDEX($FK$245:$ID$316,$FJ187-GN$169,72-GN$169+SwaptionMonthsToGo+SwaptionShift))/SQRT(SUM(INDEX($FK342:$ID342,1+SwaptionShift):INDEX($FK342:$ID342,SwaptionMonthsToGo+SwaptionShift))*SUM(INDEX($FK$325:$ID$396,GN$169,1+SwaptionShift):INDEX($FK$325:$ID$396,GN$169,SwaptionMonthsToGo+SwaptionShift))))))</f>
        <v/>
      </c>
      <c r="GO187" s="479" t="str">
        <f ca="1">IF(OR(GO$169&lt;SwaptionFirstMonthPosition+1,$FJ187&lt;SwaptionFirstMonthPosition+1,GO$169&gt;SwaptionFirstMonthPosition+SwaptionNumOfMonths+1,$FJ187&gt;SwaptionFirstMonthPosition+SwaptionNumOfMonths+1),"",IF($FJ187=GO$169,1,IF($FJ187&lt;GO$169,INDEX($FK$170:$ID$241,GO$169,$FJ187),SUMPRODUCT(INDEX($FK$325:$ID$396,GO$169,1+SwaptionShift):INDEX($FK$325:$ID$396,GO$169,SwaptionMonthsToGo+SwaptionShift),INDEX($FK$245:$ID$316,$FJ187-GO$169,73-GO$169+SwaptionShift):INDEX($FK$245:$ID$316,$FJ187-GO$169,72-GO$169+SwaptionMonthsToGo+SwaptionShift))/SQRT(SUM(INDEX($FK342:$ID342,1+SwaptionShift):INDEX($FK342:$ID342,SwaptionMonthsToGo+SwaptionShift))*SUM(INDEX($FK$325:$ID$396,GO$169,1+SwaptionShift):INDEX($FK$325:$ID$396,GO$169,SwaptionMonthsToGo+SwaptionShift))))))</f>
        <v/>
      </c>
      <c r="GP187" s="479" t="str">
        <f ca="1">IF(OR(GP$169&lt;SwaptionFirstMonthPosition+1,$FJ187&lt;SwaptionFirstMonthPosition+1,GP$169&gt;SwaptionFirstMonthPosition+SwaptionNumOfMonths+1,$FJ187&gt;SwaptionFirstMonthPosition+SwaptionNumOfMonths+1),"",IF($FJ187=GP$169,1,IF($FJ187&lt;GP$169,INDEX($FK$170:$ID$241,GP$169,$FJ187),SUMPRODUCT(INDEX($FK$325:$ID$396,GP$169,1+SwaptionShift):INDEX($FK$325:$ID$396,GP$169,SwaptionMonthsToGo+SwaptionShift),INDEX($FK$245:$ID$316,$FJ187-GP$169,73-GP$169+SwaptionShift):INDEX($FK$245:$ID$316,$FJ187-GP$169,72-GP$169+SwaptionMonthsToGo+SwaptionShift))/SQRT(SUM(INDEX($FK342:$ID342,1+SwaptionShift):INDEX($FK342:$ID342,SwaptionMonthsToGo+SwaptionShift))*SUM(INDEX($FK$325:$ID$396,GP$169,1+SwaptionShift):INDEX($FK$325:$ID$396,GP$169,SwaptionMonthsToGo+SwaptionShift))))))</f>
        <v/>
      </c>
      <c r="GQ187" s="479" t="str">
        <f ca="1">IF(OR(GQ$169&lt;SwaptionFirstMonthPosition+1,$FJ187&lt;SwaptionFirstMonthPosition+1,GQ$169&gt;SwaptionFirstMonthPosition+SwaptionNumOfMonths+1,$FJ187&gt;SwaptionFirstMonthPosition+SwaptionNumOfMonths+1),"",IF($FJ187=GQ$169,1,IF($FJ187&lt;GQ$169,INDEX($FK$170:$ID$241,GQ$169,$FJ187),SUMPRODUCT(INDEX($FK$325:$ID$396,GQ$169,1+SwaptionShift):INDEX($FK$325:$ID$396,GQ$169,SwaptionMonthsToGo+SwaptionShift),INDEX($FK$245:$ID$316,$FJ187-GQ$169,73-GQ$169+SwaptionShift):INDEX($FK$245:$ID$316,$FJ187-GQ$169,72-GQ$169+SwaptionMonthsToGo+SwaptionShift))/SQRT(SUM(INDEX($FK342:$ID342,1+SwaptionShift):INDEX($FK342:$ID342,SwaptionMonthsToGo+SwaptionShift))*SUM(INDEX($FK$325:$ID$396,GQ$169,1+SwaptionShift):INDEX($FK$325:$ID$396,GQ$169,SwaptionMonthsToGo+SwaptionShift))))))</f>
        <v/>
      </c>
      <c r="GR187" s="479" t="str">
        <f ca="1">IF(OR(GR$169&lt;SwaptionFirstMonthPosition+1,$FJ187&lt;SwaptionFirstMonthPosition+1,GR$169&gt;SwaptionFirstMonthPosition+SwaptionNumOfMonths+1,$FJ187&gt;SwaptionFirstMonthPosition+SwaptionNumOfMonths+1),"",IF($FJ187=GR$169,1,IF($FJ187&lt;GR$169,INDEX($FK$170:$ID$241,GR$169,$FJ187),SUMPRODUCT(INDEX($FK$325:$ID$396,GR$169,1+SwaptionShift):INDEX($FK$325:$ID$396,GR$169,SwaptionMonthsToGo+SwaptionShift),INDEX($FK$245:$ID$316,$FJ187-GR$169,73-GR$169+SwaptionShift):INDEX($FK$245:$ID$316,$FJ187-GR$169,72-GR$169+SwaptionMonthsToGo+SwaptionShift))/SQRT(SUM(INDEX($FK342:$ID342,1+SwaptionShift):INDEX($FK342:$ID342,SwaptionMonthsToGo+SwaptionShift))*SUM(INDEX($FK$325:$ID$396,GR$169,1+SwaptionShift):INDEX($FK$325:$ID$396,GR$169,SwaptionMonthsToGo+SwaptionShift))))))</f>
        <v/>
      </c>
      <c r="GS187" s="479" t="str">
        <f ca="1">IF(OR(GS$169&lt;SwaptionFirstMonthPosition+1,$FJ187&lt;SwaptionFirstMonthPosition+1,GS$169&gt;SwaptionFirstMonthPosition+SwaptionNumOfMonths+1,$FJ187&gt;SwaptionFirstMonthPosition+SwaptionNumOfMonths+1),"",IF($FJ187=GS$169,1,IF($FJ187&lt;GS$169,INDEX($FK$170:$ID$241,GS$169,$FJ187),SUMPRODUCT(INDEX($FK$325:$ID$396,GS$169,1+SwaptionShift):INDEX($FK$325:$ID$396,GS$169,SwaptionMonthsToGo+SwaptionShift),INDEX($FK$245:$ID$316,$FJ187-GS$169,73-GS$169+SwaptionShift):INDEX($FK$245:$ID$316,$FJ187-GS$169,72-GS$169+SwaptionMonthsToGo+SwaptionShift))/SQRT(SUM(INDEX($FK342:$ID342,1+SwaptionShift):INDEX($FK342:$ID342,SwaptionMonthsToGo+SwaptionShift))*SUM(INDEX($FK$325:$ID$396,GS$169,1+SwaptionShift):INDEX($FK$325:$ID$396,GS$169,SwaptionMonthsToGo+SwaptionShift))))))</f>
        <v/>
      </c>
      <c r="GT187" s="479" t="str">
        <f ca="1">IF(OR(GT$169&lt;SwaptionFirstMonthPosition+1,$FJ187&lt;SwaptionFirstMonthPosition+1,GT$169&gt;SwaptionFirstMonthPosition+SwaptionNumOfMonths+1,$FJ187&gt;SwaptionFirstMonthPosition+SwaptionNumOfMonths+1),"",IF($FJ187=GT$169,1,IF($FJ187&lt;GT$169,INDEX($FK$170:$ID$241,GT$169,$FJ187),SUMPRODUCT(INDEX($FK$325:$ID$396,GT$169,1+SwaptionShift):INDEX($FK$325:$ID$396,GT$169,SwaptionMonthsToGo+SwaptionShift),INDEX($FK$245:$ID$316,$FJ187-GT$169,73-GT$169+SwaptionShift):INDEX($FK$245:$ID$316,$FJ187-GT$169,72-GT$169+SwaptionMonthsToGo+SwaptionShift))/SQRT(SUM(INDEX($FK342:$ID342,1+SwaptionShift):INDEX($FK342:$ID342,SwaptionMonthsToGo+SwaptionShift))*SUM(INDEX($FK$325:$ID$396,GT$169,1+SwaptionShift):INDEX($FK$325:$ID$396,GT$169,SwaptionMonthsToGo+SwaptionShift))))))</f>
        <v/>
      </c>
      <c r="GU187" s="479" t="str">
        <f ca="1">IF(OR(GU$169&lt;SwaptionFirstMonthPosition+1,$FJ187&lt;SwaptionFirstMonthPosition+1,GU$169&gt;SwaptionFirstMonthPosition+SwaptionNumOfMonths+1,$FJ187&gt;SwaptionFirstMonthPosition+SwaptionNumOfMonths+1),"",IF($FJ187=GU$169,1,IF($FJ187&lt;GU$169,INDEX($FK$170:$ID$241,GU$169,$FJ187),SUMPRODUCT(INDEX($FK$325:$ID$396,GU$169,1+SwaptionShift):INDEX($FK$325:$ID$396,GU$169,SwaptionMonthsToGo+SwaptionShift),INDEX($FK$245:$ID$316,$FJ187-GU$169,73-GU$169+SwaptionShift):INDEX($FK$245:$ID$316,$FJ187-GU$169,72-GU$169+SwaptionMonthsToGo+SwaptionShift))/SQRT(SUM(INDEX($FK342:$ID342,1+SwaptionShift):INDEX($FK342:$ID342,SwaptionMonthsToGo+SwaptionShift))*SUM(INDEX($FK$325:$ID$396,GU$169,1+SwaptionShift):INDEX($FK$325:$ID$396,GU$169,SwaptionMonthsToGo+SwaptionShift))))))</f>
        <v/>
      </c>
      <c r="GV187" s="479" t="str">
        <f ca="1">IF(OR(GV$169&lt;SwaptionFirstMonthPosition+1,$FJ187&lt;SwaptionFirstMonthPosition+1,GV$169&gt;SwaptionFirstMonthPosition+SwaptionNumOfMonths+1,$FJ187&gt;SwaptionFirstMonthPosition+SwaptionNumOfMonths+1),"",IF($FJ187=GV$169,1,IF($FJ187&lt;GV$169,INDEX($FK$170:$ID$241,GV$169,$FJ187),SUMPRODUCT(INDEX($FK$325:$ID$396,GV$169,1+SwaptionShift):INDEX($FK$325:$ID$396,GV$169,SwaptionMonthsToGo+SwaptionShift),INDEX($FK$245:$ID$316,$FJ187-GV$169,73-GV$169+SwaptionShift):INDEX($FK$245:$ID$316,$FJ187-GV$169,72-GV$169+SwaptionMonthsToGo+SwaptionShift))/SQRT(SUM(INDEX($FK342:$ID342,1+SwaptionShift):INDEX($FK342:$ID342,SwaptionMonthsToGo+SwaptionShift))*SUM(INDEX($FK$325:$ID$396,GV$169,1+SwaptionShift):INDEX($FK$325:$ID$396,GV$169,SwaptionMonthsToGo+SwaptionShift))))))</f>
        <v/>
      </c>
      <c r="GW187" s="479" t="str">
        <f ca="1">IF(OR(GW$169&lt;SwaptionFirstMonthPosition+1,$FJ187&lt;SwaptionFirstMonthPosition+1,GW$169&gt;SwaptionFirstMonthPosition+SwaptionNumOfMonths+1,$FJ187&gt;SwaptionFirstMonthPosition+SwaptionNumOfMonths+1),"",IF($FJ187=GW$169,1,IF($FJ187&lt;GW$169,INDEX($FK$170:$ID$241,GW$169,$FJ187),SUMPRODUCT(INDEX($FK$325:$ID$396,GW$169,1+SwaptionShift):INDEX($FK$325:$ID$396,GW$169,SwaptionMonthsToGo+SwaptionShift),INDEX($FK$245:$ID$316,$FJ187-GW$169,73-GW$169+SwaptionShift):INDEX($FK$245:$ID$316,$FJ187-GW$169,72-GW$169+SwaptionMonthsToGo+SwaptionShift))/SQRT(SUM(INDEX($FK342:$ID342,1+SwaptionShift):INDEX($FK342:$ID342,SwaptionMonthsToGo+SwaptionShift))*SUM(INDEX($FK$325:$ID$396,GW$169,1+SwaptionShift):INDEX($FK$325:$ID$396,GW$169,SwaptionMonthsToGo+SwaptionShift))))))</f>
        <v/>
      </c>
      <c r="GX187" s="479" t="str">
        <f ca="1">IF(OR(GX$169&lt;SwaptionFirstMonthPosition+1,$FJ187&lt;SwaptionFirstMonthPosition+1,GX$169&gt;SwaptionFirstMonthPosition+SwaptionNumOfMonths+1,$FJ187&gt;SwaptionFirstMonthPosition+SwaptionNumOfMonths+1),"",IF($FJ187=GX$169,1,IF($FJ187&lt;GX$169,INDEX($FK$170:$ID$241,GX$169,$FJ187),SUMPRODUCT(INDEX($FK$325:$ID$396,GX$169,1+SwaptionShift):INDEX($FK$325:$ID$396,GX$169,SwaptionMonthsToGo+SwaptionShift),INDEX($FK$245:$ID$316,$FJ187-GX$169,73-GX$169+SwaptionShift):INDEX($FK$245:$ID$316,$FJ187-GX$169,72-GX$169+SwaptionMonthsToGo+SwaptionShift))/SQRT(SUM(INDEX($FK342:$ID342,1+SwaptionShift):INDEX($FK342:$ID342,SwaptionMonthsToGo+SwaptionShift))*SUM(INDEX($FK$325:$ID$396,GX$169,1+SwaptionShift):INDEX($FK$325:$ID$396,GX$169,SwaptionMonthsToGo+SwaptionShift))))))</f>
        <v/>
      </c>
      <c r="GY187" s="479" t="str">
        <f ca="1">IF(OR(GY$169&lt;SwaptionFirstMonthPosition+1,$FJ187&lt;SwaptionFirstMonthPosition+1,GY$169&gt;SwaptionFirstMonthPosition+SwaptionNumOfMonths+1,$FJ187&gt;SwaptionFirstMonthPosition+SwaptionNumOfMonths+1),"",IF($FJ187=GY$169,1,IF($FJ187&lt;GY$169,INDEX($FK$170:$ID$241,GY$169,$FJ187),SUMPRODUCT(INDEX($FK$325:$ID$396,GY$169,1+SwaptionShift):INDEX($FK$325:$ID$396,GY$169,SwaptionMonthsToGo+SwaptionShift),INDEX($FK$245:$ID$316,$FJ187-GY$169,73-GY$169+SwaptionShift):INDEX($FK$245:$ID$316,$FJ187-GY$169,72-GY$169+SwaptionMonthsToGo+SwaptionShift))/SQRT(SUM(INDEX($FK342:$ID342,1+SwaptionShift):INDEX($FK342:$ID342,SwaptionMonthsToGo+SwaptionShift))*SUM(INDEX($FK$325:$ID$396,GY$169,1+SwaptionShift):INDEX($FK$325:$ID$396,GY$169,SwaptionMonthsToGo+SwaptionShift))))))</f>
        <v/>
      </c>
      <c r="GZ187" s="479" t="str">
        <f ca="1">IF(OR(GZ$169&lt;SwaptionFirstMonthPosition+1,$FJ187&lt;SwaptionFirstMonthPosition+1,GZ$169&gt;SwaptionFirstMonthPosition+SwaptionNumOfMonths+1,$FJ187&gt;SwaptionFirstMonthPosition+SwaptionNumOfMonths+1),"",IF($FJ187=GZ$169,1,IF($FJ187&lt;GZ$169,INDEX($FK$170:$ID$241,GZ$169,$FJ187),SUMPRODUCT(INDEX($FK$325:$ID$396,GZ$169,1+SwaptionShift):INDEX($FK$325:$ID$396,GZ$169,SwaptionMonthsToGo+SwaptionShift),INDEX($FK$245:$ID$316,$FJ187-GZ$169,73-GZ$169+SwaptionShift):INDEX($FK$245:$ID$316,$FJ187-GZ$169,72-GZ$169+SwaptionMonthsToGo+SwaptionShift))/SQRT(SUM(INDEX($FK342:$ID342,1+SwaptionShift):INDEX($FK342:$ID342,SwaptionMonthsToGo+SwaptionShift))*SUM(INDEX($FK$325:$ID$396,GZ$169,1+SwaptionShift):INDEX($FK$325:$ID$396,GZ$169,SwaptionMonthsToGo+SwaptionShift))))))</f>
        <v/>
      </c>
      <c r="HA187" s="479" t="str">
        <f ca="1">IF(OR(HA$169&lt;SwaptionFirstMonthPosition+1,$FJ187&lt;SwaptionFirstMonthPosition+1,HA$169&gt;SwaptionFirstMonthPosition+SwaptionNumOfMonths+1,$FJ187&gt;SwaptionFirstMonthPosition+SwaptionNumOfMonths+1),"",IF($FJ187=HA$169,1,IF($FJ187&lt;HA$169,INDEX($FK$170:$ID$241,HA$169,$FJ187),SUMPRODUCT(INDEX($FK$325:$ID$396,HA$169,1+SwaptionShift):INDEX($FK$325:$ID$396,HA$169,SwaptionMonthsToGo+SwaptionShift),INDEX($FK$245:$ID$316,$FJ187-HA$169,73-HA$169+SwaptionShift):INDEX($FK$245:$ID$316,$FJ187-HA$169,72-HA$169+SwaptionMonthsToGo+SwaptionShift))/SQRT(SUM(INDEX($FK342:$ID342,1+SwaptionShift):INDEX($FK342:$ID342,SwaptionMonthsToGo+SwaptionShift))*SUM(INDEX($FK$325:$ID$396,HA$169,1+SwaptionShift):INDEX($FK$325:$ID$396,HA$169,SwaptionMonthsToGo+SwaptionShift))))))</f>
        <v/>
      </c>
      <c r="HB187" s="479" t="str">
        <f ca="1">IF(OR(HB$169&lt;SwaptionFirstMonthPosition+1,$FJ187&lt;SwaptionFirstMonthPosition+1,HB$169&gt;SwaptionFirstMonthPosition+SwaptionNumOfMonths+1,$FJ187&gt;SwaptionFirstMonthPosition+SwaptionNumOfMonths+1),"",IF($FJ187=HB$169,1,IF($FJ187&lt;HB$169,INDEX($FK$170:$ID$241,HB$169,$FJ187),SUMPRODUCT(INDEX($FK$325:$ID$396,HB$169,1+SwaptionShift):INDEX($FK$325:$ID$396,HB$169,SwaptionMonthsToGo+SwaptionShift),INDEX($FK$245:$ID$316,$FJ187-HB$169,73-HB$169+SwaptionShift):INDEX($FK$245:$ID$316,$FJ187-HB$169,72-HB$169+SwaptionMonthsToGo+SwaptionShift))/SQRT(SUM(INDEX($FK342:$ID342,1+SwaptionShift):INDEX($FK342:$ID342,SwaptionMonthsToGo+SwaptionShift))*SUM(INDEX($FK$325:$ID$396,HB$169,1+SwaptionShift):INDEX($FK$325:$ID$396,HB$169,SwaptionMonthsToGo+SwaptionShift))))))</f>
        <v/>
      </c>
      <c r="HC187" s="479" t="str">
        <f ca="1">IF(OR(HC$169&lt;SwaptionFirstMonthPosition+1,$FJ187&lt;SwaptionFirstMonthPosition+1,HC$169&gt;SwaptionFirstMonthPosition+SwaptionNumOfMonths+1,$FJ187&gt;SwaptionFirstMonthPosition+SwaptionNumOfMonths+1),"",IF($FJ187=HC$169,1,IF($FJ187&lt;HC$169,INDEX($FK$170:$ID$241,HC$169,$FJ187),SUMPRODUCT(INDEX($FK$325:$ID$396,HC$169,1+SwaptionShift):INDEX($FK$325:$ID$396,HC$169,SwaptionMonthsToGo+SwaptionShift),INDEX($FK$245:$ID$316,$FJ187-HC$169,73-HC$169+SwaptionShift):INDEX($FK$245:$ID$316,$FJ187-HC$169,72-HC$169+SwaptionMonthsToGo+SwaptionShift))/SQRT(SUM(INDEX($FK342:$ID342,1+SwaptionShift):INDEX($FK342:$ID342,SwaptionMonthsToGo+SwaptionShift))*SUM(INDEX($FK$325:$ID$396,HC$169,1+SwaptionShift):INDEX($FK$325:$ID$396,HC$169,SwaptionMonthsToGo+SwaptionShift))))))</f>
        <v/>
      </c>
      <c r="HD187" s="479" t="str">
        <f ca="1">IF(OR(HD$169&lt;SwaptionFirstMonthPosition+1,$FJ187&lt;SwaptionFirstMonthPosition+1,HD$169&gt;SwaptionFirstMonthPosition+SwaptionNumOfMonths+1,$FJ187&gt;SwaptionFirstMonthPosition+SwaptionNumOfMonths+1),"",IF($FJ187=HD$169,1,IF($FJ187&lt;HD$169,INDEX($FK$170:$ID$241,HD$169,$FJ187),SUMPRODUCT(INDEX($FK$325:$ID$396,HD$169,1+SwaptionShift):INDEX($FK$325:$ID$396,HD$169,SwaptionMonthsToGo+SwaptionShift),INDEX($FK$245:$ID$316,$FJ187-HD$169,73-HD$169+SwaptionShift):INDEX($FK$245:$ID$316,$FJ187-HD$169,72-HD$169+SwaptionMonthsToGo+SwaptionShift))/SQRT(SUM(INDEX($FK342:$ID342,1+SwaptionShift):INDEX($FK342:$ID342,SwaptionMonthsToGo+SwaptionShift))*SUM(INDEX($FK$325:$ID$396,HD$169,1+SwaptionShift):INDEX($FK$325:$ID$396,HD$169,SwaptionMonthsToGo+SwaptionShift))))))</f>
        <v/>
      </c>
      <c r="HE187" s="479" t="str">
        <f ca="1">IF(OR(HE$169&lt;SwaptionFirstMonthPosition+1,$FJ187&lt;SwaptionFirstMonthPosition+1,HE$169&gt;SwaptionFirstMonthPosition+SwaptionNumOfMonths+1,$FJ187&gt;SwaptionFirstMonthPosition+SwaptionNumOfMonths+1),"",IF($FJ187=HE$169,1,IF($FJ187&lt;HE$169,INDEX($FK$170:$ID$241,HE$169,$FJ187),SUMPRODUCT(INDEX($FK$325:$ID$396,HE$169,1+SwaptionShift):INDEX($FK$325:$ID$396,HE$169,SwaptionMonthsToGo+SwaptionShift),INDEX($FK$245:$ID$316,$FJ187-HE$169,73-HE$169+SwaptionShift):INDEX($FK$245:$ID$316,$FJ187-HE$169,72-HE$169+SwaptionMonthsToGo+SwaptionShift))/SQRT(SUM(INDEX($FK342:$ID342,1+SwaptionShift):INDEX($FK342:$ID342,SwaptionMonthsToGo+SwaptionShift))*SUM(INDEX($FK$325:$ID$396,HE$169,1+SwaptionShift):INDEX($FK$325:$ID$396,HE$169,SwaptionMonthsToGo+SwaptionShift))))))</f>
        <v/>
      </c>
      <c r="HF187" s="479" t="str">
        <f ca="1">IF(OR(HF$169&lt;SwaptionFirstMonthPosition+1,$FJ187&lt;SwaptionFirstMonthPosition+1,HF$169&gt;SwaptionFirstMonthPosition+SwaptionNumOfMonths+1,$FJ187&gt;SwaptionFirstMonthPosition+SwaptionNumOfMonths+1),"",IF($FJ187=HF$169,1,IF($FJ187&lt;HF$169,INDEX($FK$170:$ID$241,HF$169,$FJ187),SUMPRODUCT(INDEX($FK$325:$ID$396,HF$169,1+SwaptionShift):INDEX($FK$325:$ID$396,HF$169,SwaptionMonthsToGo+SwaptionShift),INDEX($FK$245:$ID$316,$FJ187-HF$169,73-HF$169+SwaptionShift):INDEX($FK$245:$ID$316,$FJ187-HF$169,72-HF$169+SwaptionMonthsToGo+SwaptionShift))/SQRT(SUM(INDEX($FK342:$ID342,1+SwaptionShift):INDEX($FK342:$ID342,SwaptionMonthsToGo+SwaptionShift))*SUM(INDEX($FK$325:$ID$396,HF$169,1+SwaptionShift):INDEX($FK$325:$ID$396,HF$169,SwaptionMonthsToGo+SwaptionShift))))))</f>
        <v/>
      </c>
      <c r="HG187" s="479" t="str">
        <f ca="1">IF(OR(HG$169&lt;SwaptionFirstMonthPosition+1,$FJ187&lt;SwaptionFirstMonthPosition+1,HG$169&gt;SwaptionFirstMonthPosition+SwaptionNumOfMonths+1,$FJ187&gt;SwaptionFirstMonthPosition+SwaptionNumOfMonths+1),"",IF($FJ187=HG$169,1,IF($FJ187&lt;HG$169,INDEX($FK$170:$ID$241,HG$169,$FJ187),SUMPRODUCT(INDEX($FK$325:$ID$396,HG$169,1+SwaptionShift):INDEX($FK$325:$ID$396,HG$169,SwaptionMonthsToGo+SwaptionShift),INDEX($FK$245:$ID$316,$FJ187-HG$169,73-HG$169+SwaptionShift):INDEX($FK$245:$ID$316,$FJ187-HG$169,72-HG$169+SwaptionMonthsToGo+SwaptionShift))/SQRT(SUM(INDEX($FK342:$ID342,1+SwaptionShift):INDEX($FK342:$ID342,SwaptionMonthsToGo+SwaptionShift))*SUM(INDEX($FK$325:$ID$396,HG$169,1+SwaptionShift):INDEX($FK$325:$ID$396,HG$169,SwaptionMonthsToGo+SwaptionShift))))))</f>
        <v/>
      </c>
      <c r="HH187" s="479" t="str">
        <f ca="1">IF(OR(HH$169&lt;SwaptionFirstMonthPosition+1,$FJ187&lt;SwaptionFirstMonthPosition+1,HH$169&gt;SwaptionFirstMonthPosition+SwaptionNumOfMonths+1,$FJ187&gt;SwaptionFirstMonthPosition+SwaptionNumOfMonths+1),"",IF($FJ187=HH$169,1,IF($FJ187&lt;HH$169,INDEX($FK$170:$ID$241,HH$169,$FJ187),SUMPRODUCT(INDEX($FK$325:$ID$396,HH$169,1+SwaptionShift):INDEX($FK$325:$ID$396,HH$169,SwaptionMonthsToGo+SwaptionShift),INDEX($FK$245:$ID$316,$FJ187-HH$169,73-HH$169+SwaptionShift):INDEX($FK$245:$ID$316,$FJ187-HH$169,72-HH$169+SwaptionMonthsToGo+SwaptionShift))/SQRT(SUM(INDEX($FK342:$ID342,1+SwaptionShift):INDEX($FK342:$ID342,SwaptionMonthsToGo+SwaptionShift))*SUM(INDEX($FK$325:$ID$396,HH$169,1+SwaptionShift):INDEX($FK$325:$ID$396,HH$169,SwaptionMonthsToGo+SwaptionShift))))))</f>
        <v/>
      </c>
      <c r="HI187" s="479" t="str">
        <f ca="1">IF(OR(HI$169&lt;SwaptionFirstMonthPosition+1,$FJ187&lt;SwaptionFirstMonthPosition+1,HI$169&gt;SwaptionFirstMonthPosition+SwaptionNumOfMonths+1,$FJ187&gt;SwaptionFirstMonthPosition+SwaptionNumOfMonths+1),"",IF($FJ187=HI$169,1,IF($FJ187&lt;HI$169,INDEX($FK$170:$ID$241,HI$169,$FJ187),SUMPRODUCT(INDEX($FK$325:$ID$396,HI$169,1+SwaptionShift):INDEX($FK$325:$ID$396,HI$169,SwaptionMonthsToGo+SwaptionShift),INDEX($FK$245:$ID$316,$FJ187-HI$169,73-HI$169+SwaptionShift):INDEX($FK$245:$ID$316,$FJ187-HI$169,72-HI$169+SwaptionMonthsToGo+SwaptionShift))/SQRT(SUM(INDEX($FK342:$ID342,1+SwaptionShift):INDEX($FK342:$ID342,SwaptionMonthsToGo+SwaptionShift))*SUM(INDEX($FK$325:$ID$396,HI$169,1+SwaptionShift):INDEX($FK$325:$ID$396,HI$169,SwaptionMonthsToGo+SwaptionShift))))))</f>
        <v/>
      </c>
      <c r="HJ187" s="479" t="str">
        <f ca="1">IF(OR(HJ$169&lt;SwaptionFirstMonthPosition+1,$FJ187&lt;SwaptionFirstMonthPosition+1,HJ$169&gt;SwaptionFirstMonthPosition+SwaptionNumOfMonths+1,$FJ187&gt;SwaptionFirstMonthPosition+SwaptionNumOfMonths+1),"",IF($FJ187=HJ$169,1,IF($FJ187&lt;HJ$169,INDEX($FK$170:$ID$241,HJ$169,$FJ187),SUMPRODUCT(INDEX($FK$325:$ID$396,HJ$169,1+SwaptionShift):INDEX($FK$325:$ID$396,HJ$169,SwaptionMonthsToGo+SwaptionShift),INDEX($FK$245:$ID$316,$FJ187-HJ$169,73-HJ$169+SwaptionShift):INDEX($FK$245:$ID$316,$FJ187-HJ$169,72-HJ$169+SwaptionMonthsToGo+SwaptionShift))/SQRT(SUM(INDEX($FK342:$ID342,1+SwaptionShift):INDEX($FK342:$ID342,SwaptionMonthsToGo+SwaptionShift))*SUM(INDEX($FK$325:$ID$396,HJ$169,1+SwaptionShift):INDEX($FK$325:$ID$396,HJ$169,SwaptionMonthsToGo+SwaptionShift))))))</f>
        <v/>
      </c>
      <c r="HK187" s="479" t="str">
        <f ca="1">IF(OR(HK$169&lt;SwaptionFirstMonthPosition+1,$FJ187&lt;SwaptionFirstMonthPosition+1,HK$169&gt;SwaptionFirstMonthPosition+SwaptionNumOfMonths+1,$FJ187&gt;SwaptionFirstMonthPosition+SwaptionNumOfMonths+1),"",IF($FJ187=HK$169,1,IF($FJ187&lt;HK$169,INDEX($FK$170:$ID$241,HK$169,$FJ187),SUMPRODUCT(INDEX($FK$325:$ID$396,HK$169,1+SwaptionShift):INDEX($FK$325:$ID$396,HK$169,SwaptionMonthsToGo+SwaptionShift),INDEX($FK$245:$ID$316,$FJ187-HK$169,73-HK$169+SwaptionShift):INDEX($FK$245:$ID$316,$FJ187-HK$169,72-HK$169+SwaptionMonthsToGo+SwaptionShift))/SQRT(SUM(INDEX($FK342:$ID342,1+SwaptionShift):INDEX($FK342:$ID342,SwaptionMonthsToGo+SwaptionShift))*SUM(INDEX($FK$325:$ID$396,HK$169,1+SwaptionShift):INDEX($FK$325:$ID$396,HK$169,SwaptionMonthsToGo+SwaptionShift))))))</f>
        <v/>
      </c>
      <c r="HL187" s="479" t="str">
        <f ca="1">IF(OR(HL$169&lt;SwaptionFirstMonthPosition+1,$FJ187&lt;SwaptionFirstMonthPosition+1,HL$169&gt;SwaptionFirstMonthPosition+SwaptionNumOfMonths+1,$FJ187&gt;SwaptionFirstMonthPosition+SwaptionNumOfMonths+1),"",IF($FJ187=HL$169,1,IF($FJ187&lt;HL$169,INDEX($FK$170:$ID$241,HL$169,$FJ187),SUMPRODUCT(INDEX($FK$325:$ID$396,HL$169,1+SwaptionShift):INDEX($FK$325:$ID$396,HL$169,SwaptionMonthsToGo+SwaptionShift),INDEX($FK$245:$ID$316,$FJ187-HL$169,73-HL$169+SwaptionShift):INDEX($FK$245:$ID$316,$FJ187-HL$169,72-HL$169+SwaptionMonthsToGo+SwaptionShift))/SQRT(SUM(INDEX($FK342:$ID342,1+SwaptionShift):INDEX($FK342:$ID342,SwaptionMonthsToGo+SwaptionShift))*SUM(INDEX($FK$325:$ID$396,HL$169,1+SwaptionShift):INDEX($FK$325:$ID$396,HL$169,SwaptionMonthsToGo+SwaptionShift))))))</f>
        <v/>
      </c>
      <c r="HM187" s="479" t="str">
        <f ca="1">IF(OR(HM$169&lt;SwaptionFirstMonthPosition+1,$FJ187&lt;SwaptionFirstMonthPosition+1,HM$169&gt;SwaptionFirstMonthPosition+SwaptionNumOfMonths+1,$FJ187&gt;SwaptionFirstMonthPosition+SwaptionNumOfMonths+1),"",IF($FJ187=HM$169,1,IF($FJ187&lt;HM$169,INDEX($FK$170:$ID$241,HM$169,$FJ187),SUMPRODUCT(INDEX($FK$325:$ID$396,HM$169,1+SwaptionShift):INDEX($FK$325:$ID$396,HM$169,SwaptionMonthsToGo+SwaptionShift),INDEX($FK$245:$ID$316,$FJ187-HM$169,73-HM$169+SwaptionShift):INDEX($FK$245:$ID$316,$FJ187-HM$169,72-HM$169+SwaptionMonthsToGo+SwaptionShift))/SQRT(SUM(INDEX($FK342:$ID342,1+SwaptionShift):INDEX($FK342:$ID342,SwaptionMonthsToGo+SwaptionShift))*SUM(INDEX($FK$325:$ID$396,HM$169,1+SwaptionShift):INDEX($FK$325:$ID$396,HM$169,SwaptionMonthsToGo+SwaptionShift))))))</f>
        <v/>
      </c>
      <c r="HN187" s="479" t="str">
        <f ca="1">IF(OR(HN$169&lt;SwaptionFirstMonthPosition+1,$FJ187&lt;SwaptionFirstMonthPosition+1,HN$169&gt;SwaptionFirstMonthPosition+SwaptionNumOfMonths+1,$FJ187&gt;SwaptionFirstMonthPosition+SwaptionNumOfMonths+1),"",IF($FJ187=HN$169,1,IF($FJ187&lt;HN$169,INDEX($FK$170:$ID$241,HN$169,$FJ187),SUMPRODUCT(INDEX($FK$325:$ID$396,HN$169,1+SwaptionShift):INDEX($FK$325:$ID$396,HN$169,SwaptionMonthsToGo+SwaptionShift),INDEX($FK$245:$ID$316,$FJ187-HN$169,73-HN$169+SwaptionShift):INDEX($FK$245:$ID$316,$FJ187-HN$169,72-HN$169+SwaptionMonthsToGo+SwaptionShift))/SQRT(SUM(INDEX($FK342:$ID342,1+SwaptionShift):INDEX($FK342:$ID342,SwaptionMonthsToGo+SwaptionShift))*SUM(INDEX($FK$325:$ID$396,HN$169,1+SwaptionShift):INDEX($FK$325:$ID$396,HN$169,SwaptionMonthsToGo+SwaptionShift))))))</f>
        <v/>
      </c>
      <c r="HO187" s="479" t="str">
        <f ca="1">IF(OR(HO$169&lt;SwaptionFirstMonthPosition+1,$FJ187&lt;SwaptionFirstMonthPosition+1,HO$169&gt;SwaptionFirstMonthPosition+SwaptionNumOfMonths+1,$FJ187&gt;SwaptionFirstMonthPosition+SwaptionNumOfMonths+1),"",IF($FJ187=HO$169,1,IF($FJ187&lt;HO$169,INDEX($FK$170:$ID$241,HO$169,$FJ187),SUMPRODUCT(INDEX($FK$325:$ID$396,HO$169,1+SwaptionShift):INDEX($FK$325:$ID$396,HO$169,SwaptionMonthsToGo+SwaptionShift),INDEX($FK$245:$ID$316,$FJ187-HO$169,73-HO$169+SwaptionShift):INDEX($FK$245:$ID$316,$FJ187-HO$169,72-HO$169+SwaptionMonthsToGo+SwaptionShift))/SQRT(SUM(INDEX($FK342:$ID342,1+SwaptionShift):INDEX($FK342:$ID342,SwaptionMonthsToGo+SwaptionShift))*SUM(INDEX($FK$325:$ID$396,HO$169,1+SwaptionShift):INDEX($FK$325:$ID$396,HO$169,SwaptionMonthsToGo+SwaptionShift))))))</f>
        <v/>
      </c>
      <c r="HP187" s="479" t="str">
        <f ca="1">IF(OR(HP$169&lt;SwaptionFirstMonthPosition+1,$FJ187&lt;SwaptionFirstMonthPosition+1,HP$169&gt;SwaptionFirstMonthPosition+SwaptionNumOfMonths+1,$FJ187&gt;SwaptionFirstMonthPosition+SwaptionNumOfMonths+1),"",IF($FJ187=HP$169,1,IF($FJ187&lt;HP$169,INDEX($FK$170:$ID$241,HP$169,$FJ187),SUMPRODUCT(INDEX($FK$325:$ID$396,HP$169,1+SwaptionShift):INDEX($FK$325:$ID$396,HP$169,SwaptionMonthsToGo+SwaptionShift),INDEX($FK$245:$ID$316,$FJ187-HP$169,73-HP$169+SwaptionShift):INDEX($FK$245:$ID$316,$FJ187-HP$169,72-HP$169+SwaptionMonthsToGo+SwaptionShift))/SQRT(SUM(INDEX($FK342:$ID342,1+SwaptionShift):INDEX($FK342:$ID342,SwaptionMonthsToGo+SwaptionShift))*SUM(INDEX($FK$325:$ID$396,HP$169,1+SwaptionShift):INDEX($FK$325:$ID$396,HP$169,SwaptionMonthsToGo+SwaptionShift))))))</f>
        <v/>
      </c>
      <c r="HQ187" s="479" t="str">
        <f ca="1">IF(OR(HQ$169&lt;SwaptionFirstMonthPosition+1,$FJ187&lt;SwaptionFirstMonthPosition+1,HQ$169&gt;SwaptionFirstMonthPosition+SwaptionNumOfMonths+1,$FJ187&gt;SwaptionFirstMonthPosition+SwaptionNumOfMonths+1),"",IF($FJ187=HQ$169,1,IF($FJ187&lt;HQ$169,INDEX($FK$170:$ID$241,HQ$169,$FJ187),SUMPRODUCT(INDEX($FK$325:$ID$396,HQ$169,1+SwaptionShift):INDEX($FK$325:$ID$396,HQ$169,SwaptionMonthsToGo+SwaptionShift),INDEX($FK$245:$ID$316,$FJ187-HQ$169,73-HQ$169+SwaptionShift):INDEX($FK$245:$ID$316,$FJ187-HQ$169,72-HQ$169+SwaptionMonthsToGo+SwaptionShift))/SQRT(SUM(INDEX($FK342:$ID342,1+SwaptionShift):INDEX($FK342:$ID342,SwaptionMonthsToGo+SwaptionShift))*SUM(INDEX($FK$325:$ID$396,HQ$169,1+SwaptionShift):INDEX($FK$325:$ID$396,HQ$169,SwaptionMonthsToGo+SwaptionShift))))))</f>
        <v/>
      </c>
      <c r="HR187" s="479" t="str">
        <f ca="1">IF(OR(HR$169&lt;SwaptionFirstMonthPosition+1,$FJ187&lt;SwaptionFirstMonthPosition+1,HR$169&gt;SwaptionFirstMonthPosition+SwaptionNumOfMonths+1,$FJ187&gt;SwaptionFirstMonthPosition+SwaptionNumOfMonths+1),"",IF($FJ187=HR$169,1,IF($FJ187&lt;HR$169,INDEX($FK$170:$ID$241,HR$169,$FJ187),SUMPRODUCT(INDEX($FK$325:$ID$396,HR$169,1+SwaptionShift):INDEX($FK$325:$ID$396,HR$169,SwaptionMonthsToGo+SwaptionShift),INDEX($FK$245:$ID$316,$FJ187-HR$169,73-HR$169+SwaptionShift):INDEX($FK$245:$ID$316,$FJ187-HR$169,72-HR$169+SwaptionMonthsToGo+SwaptionShift))/SQRT(SUM(INDEX($FK342:$ID342,1+SwaptionShift):INDEX($FK342:$ID342,SwaptionMonthsToGo+SwaptionShift))*SUM(INDEX($FK$325:$ID$396,HR$169,1+SwaptionShift):INDEX($FK$325:$ID$396,HR$169,SwaptionMonthsToGo+SwaptionShift))))))</f>
        <v/>
      </c>
      <c r="HS187" s="479" t="str">
        <f ca="1">IF(OR(HS$169&lt;SwaptionFirstMonthPosition+1,$FJ187&lt;SwaptionFirstMonthPosition+1,HS$169&gt;SwaptionFirstMonthPosition+SwaptionNumOfMonths+1,$FJ187&gt;SwaptionFirstMonthPosition+SwaptionNumOfMonths+1),"",IF($FJ187=HS$169,1,IF($FJ187&lt;HS$169,INDEX($FK$170:$ID$241,HS$169,$FJ187),SUMPRODUCT(INDEX($FK$325:$ID$396,HS$169,1+SwaptionShift):INDEX($FK$325:$ID$396,HS$169,SwaptionMonthsToGo+SwaptionShift),INDEX($FK$245:$ID$316,$FJ187-HS$169,73-HS$169+SwaptionShift):INDEX($FK$245:$ID$316,$FJ187-HS$169,72-HS$169+SwaptionMonthsToGo+SwaptionShift))/SQRT(SUM(INDEX($FK342:$ID342,1+SwaptionShift):INDEX($FK342:$ID342,SwaptionMonthsToGo+SwaptionShift))*SUM(INDEX($FK$325:$ID$396,HS$169,1+SwaptionShift):INDEX($FK$325:$ID$396,HS$169,SwaptionMonthsToGo+SwaptionShift))))))</f>
        <v/>
      </c>
      <c r="HT187" s="479" t="str">
        <f ca="1">IF(OR(HT$169&lt;SwaptionFirstMonthPosition+1,$FJ187&lt;SwaptionFirstMonthPosition+1,HT$169&gt;SwaptionFirstMonthPosition+SwaptionNumOfMonths+1,$FJ187&gt;SwaptionFirstMonthPosition+SwaptionNumOfMonths+1),"",IF($FJ187=HT$169,1,IF($FJ187&lt;HT$169,INDEX($FK$170:$ID$241,HT$169,$FJ187),SUMPRODUCT(INDEX($FK$325:$ID$396,HT$169,1+SwaptionShift):INDEX($FK$325:$ID$396,HT$169,SwaptionMonthsToGo+SwaptionShift),INDEX($FK$245:$ID$316,$FJ187-HT$169,73-HT$169+SwaptionShift):INDEX($FK$245:$ID$316,$FJ187-HT$169,72-HT$169+SwaptionMonthsToGo+SwaptionShift))/SQRT(SUM(INDEX($FK342:$ID342,1+SwaptionShift):INDEX($FK342:$ID342,SwaptionMonthsToGo+SwaptionShift))*SUM(INDEX($FK$325:$ID$396,HT$169,1+SwaptionShift):INDEX($FK$325:$ID$396,HT$169,SwaptionMonthsToGo+SwaptionShift))))))</f>
        <v/>
      </c>
      <c r="HU187" s="479" t="str">
        <f ca="1">IF(OR(HU$169&lt;SwaptionFirstMonthPosition+1,$FJ187&lt;SwaptionFirstMonthPosition+1,HU$169&gt;SwaptionFirstMonthPosition+SwaptionNumOfMonths+1,$FJ187&gt;SwaptionFirstMonthPosition+SwaptionNumOfMonths+1),"",IF($FJ187=HU$169,1,IF($FJ187&lt;HU$169,INDEX($FK$170:$ID$241,HU$169,$FJ187),SUMPRODUCT(INDEX($FK$325:$ID$396,HU$169,1+SwaptionShift):INDEX($FK$325:$ID$396,HU$169,SwaptionMonthsToGo+SwaptionShift),INDEX($FK$245:$ID$316,$FJ187-HU$169,73-HU$169+SwaptionShift):INDEX($FK$245:$ID$316,$FJ187-HU$169,72-HU$169+SwaptionMonthsToGo+SwaptionShift))/SQRT(SUM(INDEX($FK342:$ID342,1+SwaptionShift):INDEX($FK342:$ID342,SwaptionMonthsToGo+SwaptionShift))*SUM(INDEX($FK$325:$ID$396,HU$169,1+SwaptionShift):INDEX($FK$325:$ID$396,HU$169,SwaptionMonthsToGo+SwaptionShift))))))</f>
        <v/>
      </c>
      <c r="HV187" s="479" t="str">
        <f ca="1">IF(OR(HV$169&lt;SwaptionFirstMonthPosition+1,$FJ187&lt;SwaptionFirstMonthPosition+1,HV$169&gt;SwaptionFirstMonthPosition+SwaptionNumOfMonths+1,$FJ187&gt;SwaptionFirstMonthPosition+SwaptionNumOfMonths+1),"",IF($FJ187=HV$169,1,IF($FJ187&lt;HV$169,INDEX($FK$170:$ID$241,HV$169,$FJ187),SUMPRODUCT(INDEX($FK$325:$ID$396,HV$169,1+SwaptionShift):INDEX($FK$325:$ID$396,HV$169,SwaptionMonthsToGo+SwaptionShift),INDEX($FK$245:$ID$316,$FJ187-HV$169,73-HV$169+SwaptionShift):INDEX($FK$245:$ID$316,$FJ187-HV$169,72-HV$169+SwaptionMonthsToGo+SwaptionShift))/SQRT(SUM(INDEX($FK342:$ID342,1+SwaptionShift):INDEX($FK342:$ID342,SwaptionMonthsToGo+SwaptionShift))*SUM(INDEX($FK$325:$ID$396,HV$169,1+SwaptionShift):INDEX($FK$325:$ID$396,HV$169,SwaptionMonthsToGo+SwaptionShift))))))</f>
        <v/>
      </c>
      <c r="HW187" s="479" t="str">
        <f ca="1">IF(OR(HW$169&lt;SwaptionFirstMonthPosition+1,$FJ187&lt;SwaptionFirstMonthPosition+1,HW$169&gt;SwaptionFirstMonthPosition+SwaptionNumOfMonths+1,$FJ187&gt;SwaptionFirstMonthPosition+SwaptionNumOfMonths+1),"",IF($FJ187=HW$169,1,IF($FJ187&lt;HW$169,INDEX($FK$170:$ID$241,HW$169,$FJ187),SUMPRODUCT(INDEX($FK$325:$ID$396,HW$169,1+SwaptionShift):INDEX($FK$325:$ID$396,HW$169,SwaptionMonthsToGo+SwaptionShift),INDEX($FK$245:$ID$316,$FJ187-HW$169,73-HW$169+SwaptionShift):INDEX($FK$245:$ID$316,$FJ187-HW$169,72-HW$169+SwaptionMonthsToGo+SwaptionShift))/SQRT(SUM(INDEX($FK342:$ID342,1+SwaptionShift):INDEX($FK342:$ID342,SwaptionMonthsToGo+SwaptionShift))*SUM(INDEX($FK$325:$ID$396,HW$169,1+SwaptionShift):INDEX($FK$325:$ID$396,HW$169,SwaptionMonthsToGo+SwaptionShift))))))</f>
        <v/>
      </c>
      <c r="HX187" s="479" t="str">
        <f ca="1">IF(OR(HX$169&lt;SwaptionFirstMonthPosition+1,$FJ187&lt;SwaptionFirstMonthPosition+1,HX$169&gt;SwaptionFirstMonthPosition+SwaptionNumOfMonths+1,$FJ187&gt;SwaptionFirstMonthPosition+SwaptionNumOfMonths+1),"",IF($FJ187=HX$169,1,IF($FJ187&lt;HX$169,INDEX($FK$170:$ID$241,HX$169,$FJ187),SUMPRODUCT(INDEX($FK$325:$ID$396,HX$169,1+SwaptionShift):INDEX($FK$325:$ID$396,HX$169,SwaptionMonthsToGo+SwaptionShift),INDEX($FK$245:$ID$316,$FJ187-HX$169,73-HX$169+SwaptionShift):INDEX($FK$245:$ID$316,$FJ187-HX$169,72-HX$169+SwaptionMonthsToGo+SwaptionShift))/SQRT(SUM(INDEX($FK342:$ID342,1+SwaptionShift):INDEX($FK342:$ID342,SwaptionMonthsToGo+SwaptionShift))*SUM(INDEX($FK$325:$ID$396,HX$169,1+SwaptionShift):INDEX($FK$325:$ID$396,HX$169,SwaptionMonthsToGo+SwaptionShift))))))</f>
        <v/>
      </c>
      <c r="HY187" s="479" t="str">
        <f ca="1">IF(OR(HY$169&lt;SwaptionFirstMonthPosition+1,$FJ187&lt;SwaptionFirstMonthPosition+1,HY$169&gt;SwaptionFirstMonthPosition+SwaptionNumOfMonths+1,$FJ187&gt;SwaptionFirstMonthPosition+SwaptionNumOfMonths+1),"",IF($FJ187=HY$169,1,IF($FJ187&lt;HY$169,INDEX($FK$170:$ID$241,HY$169,$FJ187),SUMPRODUCT(INDEX($FK$325:$ID$396,HY$169,1+SwaptionShift):INDEX($FK$325:$ID$396,HY$169,SwaptionMonthsToGo+SwaptionShift),INDEX($FK$245:$ID$316,$FJ187-HY$169,73-HY$169+SwaptionShift):INDEX($FK$245:$ID$316,$FJ187-HY$169,72-HY$169+SwaptionMonthsToGo+SwaptionShift))/SQRT(SUM(INDEX($FK342:$ID342,1+SwaptionShift):INDEX($FK342:$ID342,SwaptionMonthsToGo+SwaptionShift))*SUM(INDEX($FK$325:$ID$396,HY$169,1+SwaptionShift):INDEX($FK$325:$ID$396,HY$169,SwaptionMonthsToGo+SwaptionShift))))))</f>
        <v/>
      </c>
      <c r="HZ187" s="479" t="str">
        <f ca="1">IF(OR(HZ$169&lt;SwaptionFirstMonthPosition+1,$FJ187&lt;SwaptionFirstMonthPosition+1,HZ$169&gt;SwaptionFirstMonthPosition+SwaptionNumOfMonths+1,$FJ187&gt;SwaptionFirstMonthPosition+SwaptionNumOfMonths+1),"",IF($FJ187=HZ$169,1,IF($FJ187&lt;HZ$169,INDEX($FK$170:$ID$241,HZ$169,$FJ187),SUMPRODUCT(INDEX($FK$325:$ID$396,HZ$169,1+SwaptionShift):INDEX($FK$325:$ID$396,HZ$169,SwaptionMonthsToGo+SwaptionShift),INDEX($FK$245:$ID$316,$FJ187-HZ$169,73-HZ$169+SwaptionShift):INDEX($FK$245:$ID$316,$FJ187-HZ$169,72-HZ$169+SwaptionMonthsToGo+SwaptionShift))/SQRT(SUM(INDEX($FK342:$ID342,1+SwaptionShift):INDEX($FK342:$ID342,SwaptionMonthsToGo+SwaptionShift))*SUM(INDEX($FK$325:$ID$396,HZ$169,1+SwaptionShift):INDEX($FK$325:$ID$396,HZ$169,SwaptionMonthsToGo+SwaptionShift))))))</f>
        <v/>
      </c>
      <c r="IA187" s="479" t="str">
        <f ca="1">IF(OR(IA$169&lt;SwaptionFirstMonthPosition+1,$FJ187&lt;SwaptionFirstMonthPosition+1,IA$169&gt;SwaptionFirstMonthPosition+SwaptionNumOfMonths+1,$FJ187&gt;SwaptionFirstMonthPosition+SwaptionNumOfMonths+1),"",IF($FJ187=IA$169,1,IF($FJ187&lt;IA$169,INDEX($FK$170:$ID$241,IA$169,$FJ187),SUMPRODUCT(INDEX($FK$325:$ID$396,IA$169,1+SwaptionShift):INDEX($FK$325:$ID$396,IA$169,SwaptionMonthsToGo+SwaptionShift),INDEX($FK$245:$ID$316,$FJ187-IA$169,73-IA$169+SwaptionShift):INDEX($FK$245:$ID$316,$FJ187-IA$169,72-IA$169+SwaptionMonthsToGo+SwaptionShift))/SQRT(SUM(INDEX($FK342:$ID342,1+SwaptionShift):INDEX($FK342:$ID342,SwaptionMonthsToGo+SwaptionShift))*SUM(INDEX($FK$325:$ID$396,IA$169,1+SwaptionShift):INDEX($FK$325:$ID$396,IA$169,SwaptionMonthsToGo+SwaptionShift))))))</f>
        <v/>
      </c>
      <c r="IB187" s="479" t="str">
        <f ca="1">IF(OR(IB$169&lt;SwaptionFirstMonthPosition+1,$FJ187&lt;SwaptionFirstMonthPosition+1,IB$169&gt;SwaptionFirstMonthPosition+SwaptionNumOfMonths+1,$FJ187&gt;SwaptionFirstMonthPosition+SwaptionNumOfMonths+1),"",IF($FJ187=IB$169,1,IF($FJ187&lt;IB$169,INDEX($FK$170:$ID$241,IB$169,$FJ187),SUMPRODUCT(INDEX($FK$325:$ID$396,IB$169,1+SwaptionShift):INDEX($FK$325:$ID$396,IB$169,SwaptionMonthsToGo+SwaptionShift),INDEX($FK$245:$ID$316,$FJ187-IB$169,73-IB$169+SwaptionShift):INDEX($FK$245:$ID$316,$FJ187-IB$169,72-IB$169+SwaptionMonthsToGo+SwaptionShift))/SQRT(SUM(INDEX($FK342:$ID342,1+SwaptionShift):INDEX($FK342:$ID342,SwaptionMonthsToGo+SwaptionShift))*SUM(INDEX($FK$325:$ID$396,IB$169,1+SwaptionShift):INDEX($FK$325:$ID$396,IB$169,SwaptionMonthsToGo+SwaptionShift))))))</f>
        <v/>
      </c>
      <c r="IC187" s="479" t="str">
        <f ca="1">IF(OR(IC$169&lt;SwaptionFirstMonthPosition+1,$FJ187&lt;SwaptionFirstMonthPosition+1,IC$169&gt;SwaptionFirstMonthPosition+SwaptionNumOfMonths+1,$FJ187&gt;SwaptionFirstMonthPosition+SwaptionNumOfMonths+1),"",IF($FJ187=IC$169,1,IF($FJ187&lt;IC$169,INDEX($FK$170:$ID$241,IC$169,$FJ187),SUMPRODUCT(INDEX($FK$325:$ID$396,IC$169,1+SwaptionShift):INDEX($FK$325:$ID$396,IC$169,SwaptionMonthsToGo+SwaptionShift),INDEX($FK$245:$ID$316,$FJ187-IC$169,73-IC$169+SwaptionShift):INDEX($FK$245:$ID$316,$FJ187-IC$169,72-IC$169+SwaptionMonthsToGo+SwaptionShift))/SQRT(SUM(INDEX($FK342:$ID342,1+SwaptionShift):INDEX($FK342:$ID342,SwaptionMonthsToGo+SwaptionShift))*SUM(INDEX($FK$325:$ID$396,IC$169,1+SwaptionShift):INDEX($FK$325:$ID$396,IC$169,SwaptionMonthsToGo+SwaptionShift))))))</f>
        <v/>
      </c>
      <c r="ID187" s="678" t="str">
        <f ca="1">IF(OR(ID$169&lt;SwaptionFirstMonthPosition+1,$FJ187&lt;SwaptionFirstMonthPosition+1,ID$169&gt;SwaptionFirstMonthPosition+SwaptionNumOfMonths+1,$FJ187&gt;SwaptionFirstMonthPosition+SwaptionNumOfMonths+1),"",IF($FJ187=ID$169,1,IF($FJ187&lt;ID$169,INDEX($FK$170:$ID$241,ID$169,$FJ187),SUMPRODUCT(INDEX($FK$325:$ID$396,ID$169,1+SwaptionShift):INDEX($FK$325:$ID$396,ID$169,SwaptionMonthsToGo+SwaptionShift),INDEX($FK$245:$ID$316,$FJ187-ID$169,73-ID$169+SwaptionShift):INDEX($FK$245:$ID$316,$FJ187-ID$169,72-ID$169+SwaptionMonthsToGo+SwaptionShift))/SQRT(SUM(INDEX($FK342:$ID342,1+SwaptionShift):INDEX($FK342:$ID342,SwaptionMonthsToGo+SwaptionShift))*SUM(INDEX($FK$325:$ID$396,ID$169,1+SwaptionShift):INDEX($FK$325:$ID$396,ID$169,SwaptionMonthsToGo+SwaptionShift))))))</f>
        <v/>
      </c>
      <c r="IE187" s="250"/>
    </row>
    <row r="188" spans="8:239">
      <c r="H188" s="51">
        <f t="shared" ca="1" si="527"/>
        <v>0</v>
      </c>
      <c r="I188" s="379">
        <f t="shared" si="528"/>
        <v>41883</v>
      </c>
      <c r="J188" s="377"/>
      <c r="K188" s="104" t="s">
        <v>268</v>
      </c>
      <c r="L188" s="392">
        <f t="shared" si="529"/>
        <v>3.4500000000000055</v>
      </c>
      <c r="M188" s="171"/>
      <c r="N188" s="382">
        <v>0</v>
      </c>
      <c r="O188" s="171">
        <f t="shared" si="490"/>
        <v>0</v>
      </c>
      <c r="P188" s="377"/>
      <c r="Q188" s="104" t="s">
        <v>268</v>
      </c>
      <c r="R188" s="377">
        <f t="shared" ca="1" si="547"/>
        <v>2.2665581348541819</v>
      </c>
      <c r="S188" s="832">
        <f t="shared" si="564"/>
        <v>0.3600000000000001</v>
      </c>
      <c r="T188" s="831">
        <f t="shared" si="548"/>
        <v>0.99999999999958222</v>
      </c>
      <c r="U188" s="545">
        <f t="shared" si="549"/>
        <v>0.99999999999999978</v>
      </c>
      <c r="V188" s="389">
        <v>0</v>
      </c>
      <c r="W188" s="434">
        <f t="shared" si="578"/>
        <v>0</v>
      </c>
      <c r="X188" s="415">
        <f t="shared" si="579"/>
        <v>3.499431818181824</v>
      </c>
      <c r="Y188" s="322">
        <f t="shared" si="580"/>
        <v>-1.2668999999999999</v>
      </c>
      <c r="Z188" s="322">
        <f t="shared" ca="1" si="581"/>
        <v>2.2325318181818243</v>
      </c>
      <c r="AA188" s="429">
        <f t="shared" si="495"/>
        <v>1.2668999999999999</v>
      </c>
      <c r="AB188" s="433">
        <f t="shared" ca="1" si="496"/>
        <v>1.2668999999999999</v>
      </c>
      <c r="AC188" s="229">
        <v>41871</v>
      </c>
      <c r="AD188" s="229">
        <v>41867</v>
      </c>
      <c r="AE188" s="229">
        <v>41866</v>
      </c>
      <c r="AF188" s="229">
        <v>41862</v>
      </c>
      <c r="AG188" s="249" t="s">
        <v>499</v>
      </c>
      <c r="AH188" s="247" t="s">
        <v>499</v>
      </c>
      <c r="AI188" s="146">
        <v>22</v>
      </c>
      <c r="AJ188" s="41">
        <v>15</v>
      </c>
      <c r="AK188" s="41">
        <v>7</v>
      </c>
      <c r="AL188" s="293">
        <v>22</v>
      </c>
      <c r="AM188" s="41">
        <v>10</v>
      </c>
      <c r="AN188" s="147">
        <v>12</v>
      </c>
      <c r="AO188" s="374"/>
      <c r="AP188" s="153">
        <f t="shared" ca="1" si="530"/>
        <v>1</v>
      </c>
      <c r="AQ188" s="374"/>
      <c r="AR188" s="153">
        <f t="shared" ca="1" si="550"/>
        <v>1</v>
      </c>
      <c r="AS188" s="272">
        <f t="shared" si="582"/>
        <v>0</v>
      </c>
      <c r="AT188" s="157">
        <f t="shared" si="531"/>
        <v>0</v>
      </c>
      <c r="AU188" s="157">
        <f t="shared" si="498"/>
        <v>0</v>
      </c>
      <c r="AV188" s="271">
        <f t="shared" ca="1" si="558"/>
        <v>9.9999999999999995E-7</v>
      </c>
      <c r="AW188" s="158" t="str">
        <f t="shared" ca="1" si="583"/>
        <v/>
      </c>
      <c r="AX188" s="157">
        <f t="shared" ca="1" si="551"/>
        <v>8.7719560126962585E-5</v>
      </c>
      <c r="AY188" s="157">
        <f t="shared" ca="1" si="552"/>
        <v>2.2147337556695093E-5</v>
      </c>
      <c r="AZ188" s="157">
        <f t="shared" ca="1" si="553"/>
        <v>8.9206993959592146E-7</v>
      </c>
      <c r="BA188" s="157">
        <f t="shared" ca="1" si="554"/>
        <v>1.1150874244949018E-7</v>
      </c>
      <c r="BB188" s="157">
        <f t="shared" ca="1" si="555"/>
        <v>8.1512481983162133E-10</v>
      </c>
      <c r="BC188" s="157">
        <f t="shared" ca="1" si="556"/>
        <v>2.486839928533086E-11</v>
      </c>
      <c r="BD188" s="151">
        <f t="shared" ca="1" si="584"/>
        <v>0</v>
      </c>
      <c r="BE188" s="152">
        <f t="shared" ca="1" si="585"/>
        <v>0</v>
      </c>
      <c r="BF188" s="40">
        <f t="shared" si="586"/>
        <v>2014</v>
      </c>
      <c r="BG188" s="144">
        <f t="shared" si="587"/>
        <v>9</v>
      </c>
      <c r="BH188" s="145">
        <f t="shared" ca="1" si="588"/>
        <v>5122</v>
      </c>
      <c r="BI188" s="313">
        <f t="shared" ca="1" si="568"/>
        <v>14.067077344284737</v>
      </c>
      <c r="BJ188" s="42">
        <f t="shared" ca="1" si="505"/>
        <v>14.121212121212121</v>
      </c>
      <c r="BK188" s="42">
        <f t="shared" ca="1" si="506"/>
        <v>14.123949971999254</v>
      </c>
      <c r="BL188" s="42">
        <f t="shared" ca="1" si="569"/>
        <v>14.146475017111568</v>
      </c>
      <c r="BM188" s="150" t="e">
        <f t="shared" ca="1" si="507"/>
        <v>#DIV/0!</v>
      </c>
      <c r="BN188" s="42" t="e">
        <f t="shared" ca="1" si="508"/>
        <v>#DIV/0!</v>
      </c>
      <c r="BO188" s="293">
        <f t="shared" si="570"/>
        <v>22</v>
      </c>
      <c r="BP188" s="41">
        <f t="shared" si="571"/>
        <v>15</v>
      </c>
      <c r="BQ188" s="41">
        <f t="shared" si="572"/>
        <v>7</v>
      </c>
      <c r="BR188" s="305" t="str">
        <f t="shared" ca="1" si="509"/>
        <v/>
      </c>
      <c r="BS188" s="305" t="str">
        <f t="shared" ca="1" si="573"/>
        <v/>
      </c>
      <c r="BT188" s="307" t="str">
        <f t="shared" ca="1" si="574"/>
        <v/>
      </c>
      <c r="BU188" s="161" t="str">
        <f t="shared" ca="1" si="510"/>
        <v/>
      </c>
      <c r="BV188" s="161" t="str">
        <f t="shared" ca="1" si="511"/>
        <v/>
      </c>
      <c r="BW188" s="308" t="str">
        <f t="shared" ca="1" si="512"/>
        <v/>
      </c>
      <c r="BX188" s="309" t="str">
        <f t="shared" ca="1" si="513"/>
        <v/>
      </c>
      <c r="BY188" s="308" t="str">
        <f t="shared" ca="1" si="575"/>
        <v/>
      </c>
      <c r="BZ188" s="309" t="str">
        <f t="shared" ca="1" si="576"/>
        <v/>
      </c>
      <c r="CA188" s="154" t="str">
        <f t="shared" ca="1" si="514"/>
        <v/>
      </c>
      <c r="CB188" s="154" t="str">
        <f t="shared" ca="1" si="515"/>
        <v/>
      </c>
      <c r="CC188" s="154" t="str">
        <f t="shared" ca="1" si="516"/>
        <v/>
      </c>
      <c r="CD188" s="154" t="str">
        <f t="shared" ca="1" si="517"/>
        <v/>
      </c>
      <c r="CE188" s="310">
        <v>1</v>
      </c>
      <c r="CF188" s="162">
        <f ca="1">IF(BD188,_xll.xCrudeAPO(BU188,BV188,CA188,CB188,S189,S190,BI188,BL188,BP188,BQ188,0,Strike1,AO188,CE188,0,BL188,IF(OptControl=4,0,1),0,1),0)</f>
        <v>0</v>
      </c>
      <c r="CG188" s="163">
        <f ca="1">IF(BD188,_xll.xCrudeAPO(BU188,BV188,CA188,CB188,S189,S190,BI188,BL188,BP188,BQ188,0,Strike1,AO188,CE188,0,BL188,IF(OptControl=4,0,1),1,1)+_xll.xCrudeAPO(BU188,BV188,CA188,CB188,S189,S190,BI188,BL188,BP188,BQ188,0,Strike1,AO188,CE188,0,BL188,IF(OptControl=4,0,1),1,2)+IF(OR(VolSkewFlag=2,ABS(BS188)&lt;0.0001),0,IF(BS188&gt;0,-1,1)*CH188*Strike1/BR188^2*BY188/10%),0)</f>
        <v>0</v>
      </c>
      <c r="CH188" s="163">
        <f ca="1">IF(BD188,(_xll.xCrudeAPO(BU188,BV188,CA188,CB188,S189,S190,BI188,BL188,BP188,BQ188,0,Strike1,AO188,CE188,0,BL188,IF(OptControl=4,0,1),3,1)+_xll.xCrudeAPO(BU188,BV188,CA188,CB188,S189,S190,BI188,BL188,BP188,BQ188,0,Strike1,AO188,CE188,0,BL188,IF(OptControl=4,0,1),3,2))/100,0)</f>
        <v>0</v>
      </c>
      <c r="CI188" s="163">
        <f ca="1">IF(BD188,_xll.xCrudeAPO(BU188,BV188,CA188,CB188,S189,S190,BI188-DaysForThetaCalculation/365.25,BL188-DaysForThetaCalculation/365.25,BP188,BQ188,0,Strike1,AO188,CE188,0,BL188,IF(OptControl=4,0,1),0,1)-_xll.xCrudeAPO(BU188,BV188,CA188,CB188,S189,S190,BI188,BL188,BP188,BQ188,0,Strike1,AO188,CE188,0,BL188,IF(OptControl=4,0,1),0,1),0)</f>
        <v>0</v>
      </c>
      <c r="CJ188" s="311">
        <f ca="1">IF(BD188,_xll.xCrudeAPO(BU188,BV188,CC188,CD188,S189,S190,BI188,BL188,BP188,BQ188,0,Strike2,AO188,CE188,0,BL188,IF(OptControl=3,1,0),0,1),0)</f>
        <v>0</v>
      </c>
      <c r="CK188" s="163">
        <f ca="1">IF(BD188,_xll.xCrudeAPO(BU188,BV188,CC188,CD188,S189,S190,BI188,BL188,BP188,BQ188,0,Strike2,AO188,CE188,0,BL188,IF(OptControl=3,1,0),1,1)+_xll.xCrudeAPO(BU188,BV188,CC188,CD188,S189,S190,BI188,BL188,BP188,BQ188,0,Strike2,AO188,CE188,0,BL188,IF(OptControl=3,1,0),1,2)+IF(OR(VolSkewFlag=2,ABS(BT188)&lt;0.0001),0,IF(BT188&gt;0,-1,1)*CL188*Strike2/BR188^2*BZ188/10%),0)</f>
        <v>0</v>
      </c>
      <c r="CL188" s="163">
        <f ca="1">IF(BD188,(_xll.xCrudeAPO(BU188,BV188,CC188,CD188,S189,S190,BI188,BL188,BP188,BQ188,0,Strike2,AO188,CE188,0,BL188,IF(OptControl=3,1,0),3,1)+_xll.xCrudeAPO(BU188,BV188,CC188,CD188,S189,S190,BI188,BL188,BP188,BQ188,0,Strike2,AO188,CE188,0,BL188,IF(OptControl=3,1,0),3,2))/100,0)</f>
        <v>0</v>
      </c>
      <c r="CM188" s="164">
        <f ca="1">IF(BD188,_xll.xCrudeAPO(BU188,BV188,CC188,CD188,S189,S190,BI188-DaysForThetaCalculation/365.25,BL188-DaysForThetaCalculation/365.25,BP188,BQ188,0,Strike2,AO188,CE188,0,BL188,IF(OptControl=3,1,0),0,1)-_xll.xCrudeAPO(BU188,BV188,CC188,CD188,S189,S190,BI188,BL188,BP188,BQ188,0,Strike2,AO188,CE188,0,BL188,IF(OptControl=3,1,0),0,1),0)</f>
        <v>0</v>
      </c>
      <c r="CN188" s="53"/>
      <c r="CO188" s="796" t="str">
        <f t="shared" ca="1" si="532"/>
        <v/>
      </c>
      <c r="CP188" s="800" t="str">
        <f t="shared" ca="1" si="533"/>
        <v/>
      </c>
      <c r="CQ188" s="797" t="str">
        <f t="shared" ca="1" si="534"/>
        <v/>
      </c>
      <c r="CR188" s="797" t="str">
        <f t="shared" ca="1" si="535"/>
        <v/>
      </c>
      <c r="CS188" s="797" t="str">
        <f t="shared" ca="1" si="536"/>
        <v/>
      </c>
      <c r="CT188" s="797" t="str">
        <f t="shared" ca="1" si="537"/>
        <v/>
      </c>
      <c r="CU188" s="798" t="str">
        <f t="shared" ca="1" si="538"/>
        <v/>
      </c>
      <c r="CV188" s="799" t="str">
        <f t="shared" ca="1" si="539"/>
        <v/>
      </c>
      <c r="CW188" s="799" t="str">
        <f t="shared" ca="1" si="540"/>
        <v/>
      </c>
      <c r="CX188" s="163">
        <f ca="1">IF(BD188,_xll.EURO(CP188,Strike1,AO188,AO188,CV188,CO188,IF(OptControl=4,0,1),0),0)</f>
        <v>0</v>
      </c>
      <c r="CY188" s="163">
        <f ca="1">IF(BD188,_xll.EURO(CP188,Strike1,AO188,AO188,CV188,CO188,IF(OptControl=4,0,1),1)+IF(OR(VolSkewFlag=2,ABS(CQ188)&lt;0.0001),0,IF(CQ188&gt;0,-1,1)*CZ188*100*Strike1/CP188^2*CS188/10%),0)</f>
        <v>0</v>
      </c>
      <c r="CZ188" s="163">
        <f ca="1">IF(BD188,_xll.EURO(CP188,Strike1,AO188,AO188,CV188,CO188,IF(OptControl=4,0,1),3)/100,0)</f>
        <v>0</v>
      </c>
      <c r="DA188" s="163">
        <f ca="1">IF(BD188,_xll.EURO(CP188,Strike1,AO188,AO188,CV188,CO188,IF(OptControl=4,0,1),0)-_xll.EURO(CP188,Strike1,AO188,AO188,CV188,CO188-1,IF(OptControl=4,0,1),0),0)</f>
        <v>0</v>
      </c>
      <c r="DB188" s="163">
        <f ca="1">IF(BD188,_xll.EURO(CP188,Strike2,AO188,AO188,CW188,CO188,IF(OptControl=3,1,0),0),0)</f>
        <v>0</v>
      </c>
      <c r="DC188" s="163">
        <f ca="1">IF(BD188,_xll.EURO(CP188,Strike2,AO188,AO188,CW188,CO188,IF(OptControl=3,1,0),1)+IF(OR(VolSkewFlag=2,ABS(CR188)&lt;0.0001),0,IF(CR188&gt;0,-1,1)*DD188*100*Strike2/CP188^2*CT188/10%),0)</f>
        <v>0</v>
      </c>
      <c r="DD188" s="163">
        <f ca="1">IF(BD188,_xll.EURO(CP188,Strike2,AO188,AO188,CW188,CO188,IF(OptControl=3,1,0),3)/100,0)</f>
        <v>0</v>
      </c>
      <c r="DE188" s="164">
        <f ca="1">IF(BD188,_xll.EURO(CP188,Strike2,AO188,AO188,CW188,CO188,IF(OptControl=3,1,0),0)-_xll.EURO(CP188,Strike2,AO188,AO188,CW188,CO188-1,IF(OptControl=3,1,0),0),0)</f>
        <v>0</v>
      </c>
      <c r="DG188" s="667">
        <f t="shared" ca="1" si="541"/>
        <v>41671</v>
      </c>
      <c r="DH188" s="475">
        <v>22.560000000000066</v>
      </c>
      <c r="DI188" s="665">
        <v>22.625000000000068</v>
      </c>
      <c r="DJ188" s="666">
        <f t="shared" ca="1" si="589"/>
        <v>41671</v>
      </c>
      <c r="DK188" s="475">
        <v>21.360441376055892</v>
      </c>
      <c r="DL188" s="665">
        <v>21.456500000000069</v>
      </c>
      <c r="DM188" s="667">
        <f t="shared" ca="1" si="590"/>
        <v>41671</v>
      </c>
      <c r="DN188" s="668">
        <f t="shared" si="591"/>
        <v>21.410441376055893</v>
      </c>
      <c r="DO188" s="667">
        <f t="shared" ca="1" si="542"/>
        <v>41671</v>
      </c>
      <c r="DP188" s="579">
        <f t="shared" si="543"/>
        <v>21.456500000000069</v>
      </c>
      <c r="DQ188" s="821">
        <v>0</v>
      </c>
      <c r="DR188" s="666">
        <f t="shared" ca="1" si="592"/>
        <v>41671</v>
      </c>
      <c r="DS188" s="669">
        <v>0.12379999999999802</v>
      </c>
      <c r="DT188" s="606">
        <v>0.12301999999999805</v>
      </c>
      <c r="DU188" s="666">
        <f t="shared" ca="1" si="593"/>
        <v>41671</v>
      </c>
      <c r="DV188" s="669">
        <v>0.12379999999999802</v>
      </c>
      <c r="DW188" s="606">
        <v>0.12301999999999805</v>
      </c>
      <c r="DX188" s="667">
        <f t="shared" ca="1" si="594"/>
        <v>41671</v>
      </c>
      <c r="DY188" s="606">
        <v>0.35</v>
      </c>
      <c r="DZ188" s="667">
        <f t="shared" ca="1" si="544"/>
        <v>41671</v>
      </c>
      <c r="EA188" s="606">
        <f t="shared" si="545"/>
        <v>0.12301999999999805</v>
      </c>
      <c r="EB188" s="1"/>
      <c r="EC188" s="118" t="str">
        <f t="shared" ca="1" si="595"/>
        <v/>
      </c>
      <c r="ED188" s="119" t="str">
        <f t="shared" ca="1" si="525"/>
        <v/>
      </c>
      <c r="EE188" s="112" t="str">
        <f t="shared" ca="1" si="526"/>
        <v/>
      </c>
      <c r="EF188" s="120">
        <f ca="1">IF(BD188,_xll.xASN(BR188,Strike1,AO188,ED188,0,BO188,0,BI188,BL188,IF(OptControl=4,0,1),0),0)</f>
        <v>0</v>
      </c>
      <c r="EG188" s="111">
        <f ca="1">IF(BD188,_xll.xASN(BR188,Strike2,AO188,EE188,0,BO188,0,BI188,BL188,IF(OptControl=3,1,0),0),0)</f>
        <v>0</v>
      </c>
      <c r="EL188" s="55"/>
      <c r="EM188" s="1"/>
      <c r="EN188" s="106"/>
      <c r="EO188" s="106"/>
      <c r="EP188" s="1"/>
      <c r="EQ188" s="683" t="s">
        <v>401</v>
      </c>
      <c r="ES188" s="455"/>
      <c r="ET188" s="36"/>
      <c r="EU188" s="107"/>
      <c r="EV188" s="475"/>
      <c r="EW188" s="456"/>
      <c r="EX188" s="456"/>
      <c r="EY188" s="250"/>
      <c r="EZ188" s="250"/>
      <c r="FA188" s="250"/>
      <c r="FB188" s="250"/>
      <c r="FC188" s="250"/>
      <c r="FD188" s="250"/>
      <c r="FE188" s="250"/>
      <c r="FF188" s="250"/>
      <c r="FG188" s="250"/>
      <c r="FH188" s="250"/>
      <c r="FI188" s="250"/>
      <c r="FJ188" s="673">
        <v>19</v>
      </c>
      <c r="FK188" s="479" t="str">
        <f ca="1">IF(OR(FK$169&lt;SwaptionFirstMonthPosition+1,$FJ188&lt;SwaptionFirstMonthPosition+1,FK$169&gt;SwaptionFirstMonthPosition+SwaptionNumOfMonths+1,$FJ188&gt;SwaptionFirstMonthPosition+SwaptionNumOfMonths+1),"",IF($FJ188=FK$169,1,IF($FJ188&lt;FK$169,INDEX($FK$170:$ID$241,FK$169,$FJ188),SUMPRODUCT(INDEX($FK$325:$ID$396,FK$169,1+SwaptionShift):INDEX($FK$325:$ID$396,FK$169,SwaptionMonthsToGo+SwaptionShift),INDEX($FK$245:$ID$316,$FJ188-FK$169,73-FK$169+SwaptionShift):INDEX($FK$245:$ID$316,$FJ188-FK$169,72-FK$169+SwaptionMonthsToGo+SwaptionShift))/SQRT(SUM(INDEX($FK343:$ID343,1+SwaptionShift):INDEX($FK343:$ID343,SwaptionMonthsToGo+SwaptionShift))*SUM(INDEX($FK$325:$ID$396,FK$169,1+SwaptionShift):INDEX($FK$325:$ID$396,FK$169,SwaptionMonthsToGo+SwaptionShift))))))</f>
        <v/>
      </c>
      <c r="FL188" s="479" t="str">
        <f ca="1">IF(OR(FL$169&lt;SwaptionFirstMonthPosition+1,$FJ188&lt;SwaptionFirstMonthPosition+1,FL$169&gt;SwaptionFirstMonthPosition+SwaptionNumOfMonths+1,$FJ188&gt;SwaptionFirstMonthPosition+SwaptionNumOfMonths+1),"",IF($FJ188=FL$169,1,IF($FJ188&lt;FL$169,INDEX($FK$170:$ID$241,FL$169,$FJ188),SUMPRODUCT(INDEX($FK$325:$ID$396,FL$169,1+SwaptionShift):INDEX($FK$325:$ID$396,FL$169,SwaptionMonthsToGo+SwaptionShift),INDEX($FK$245:$ID$316,$FJ188-FL$169,73-FL$169+SwaptionShift):INDEX($FK$245:$ID$316,$FJ188-FL$169,72-FL$169+SwaptionMonthsToGo+SwaptionShift))/SQRT(SUM(INDEX($FK343:$ID343,1+SwaptionShift):INDEX($FK343:$ID343,SwaptionMonthsToGo+SwaptionShift))*SUM(INDEX($FK$325:$ID$396,FL$169,1+SwaptionShift):INDEX($FK$325:$ID$396,FL$169,SwaptionMonthsToGo+SwaptionShift))))))</f>
        <v/>
      </c>
      <c r="FM188" s="479" t="str">
        <f ca="1">IF(OR(FM$169&lt;SwaptionFirstMonthPosition+1,$FJ188&lt;SwaptionFirstMonthPosition+1,FM$169&gt;SwaptionFirstMonthPosition+SwaptionNumOfMonths+1,$FJ188&gt;SwaptionFirstMonthPosition+SwaptionNumOfMonths+1),"",IF($FJ188=FM$169,1,IF($FJ188&lt;FM$169,INDEX($FK$170:$ID$241,FM$169,$FJ188),SUMPRODUCT(INDEX($FK$325:$ID$396,FM$169,1+SwaptionShift):INDEX($FK$325:$ID$396,FM$169,SwaptionMonthsToGo+SwaptionShift),INDEX($FK$245:$ID$316,$FJ188-FM$169,73-FM$169+SwaptionShift):INDEX($FK$245:$ID$316,$FJ188-FM$169,72-FM$169+SwaptionMonthsToGo+SwaptionShift))/SQRT(SUM(INDEX($FK343:$ID343,1+SwaptionShift):INDEX($FK343:$ID343,SwaptionMonthsToGo+SwaptionShift))*SUM(INDEX($FK$325:$ID$396,FM$169,1+SwaptionShift):INDEX($FK$325:$ID$396,FM$169,SwaptionMonthsToGo+SwaptionShift))))))</f>
        <v/>
      </c>
      <c r="FN188" s="479" t="str">
        <f ca="1">IF(OR(FN$169&lt;SwaptionFirstMonthPosition+1,$FJ188&lt;SwaptionFirstMonthPosition+1,FN$169&gt;SwaptionFirstMonthPosition+SwaptionNumOfMonths+1,$FJ188&gt;SwaptionFirstMonthPosition+SwaptionNumOfMonths+1),"",IF($FJ188=FN$169,1,IF($FJ188&lt;FN$169,INDEX($FK$170:$ID$241,FN$169,$FJ188),SUMPRODUCT(INDEX($FK$325:$ID$396,FN$169,1+SwaptionShift):INDEX($FK$325:$ID$396,FN$169,SwaptionMonthsToGo+SwaptionShift),INDEX($FK$245:$ID$316,$FJ188-FN$169,73-FN$169+SwaptionShift):INDEX($FK$245:$ID$316,$FJ188-FN$169,72-FN$169+SwaptionMonthsToGo+SwaptionShift))/SQRT(SUM(INDEX($FK343:$ID343,1+SwaptionShift):INDEX($FK343:$ID343,SwaptionMonthsToGo+SwaptionShift))*SUM(INDEX($FK$325:$ID$396,FN$169,1+SwaptionShift):INDEX($FK$325:$ID$396,FN$169,SwaptionMonthsToGo+SwaptionShift))))))</f>
        <v/>
      </c>
      <c r="FO188" s="479" t="str">
        <f ca="1">IF(OR(FO$169&lt;SwaptionFirstMonthPosition+1,$FJ188&lt;SwaptionFirstMonthPosition+1,FO$169&gt;SwaptionFirstMonthPosition+SwaptionNumOfMonths+1,$FJ188&gt;SwaptionFirstMonthPosition+SwaptionNumOfMonths+1),"",IF($FJ188=FO$169,1,IF($FJ188&lt;FO$169,INDEX($FK$170:$ID$241,FO$169,$FJ188),SUMPRODUCT(INDEX($FK$325:$ID$396,FO$169,1+SwaptionShift):INDEX($FK$325:$ID$396,FO$169,SwaptionMonthsToGo+SwaptionShift),INDEX($FK$245:$ID$316,$FJ188-FO$169,73-FO$169+SwaptionShift):INDEX($FK$245:$ID$316,$FJ188-FO$169,72-FO$169+SwaptionMonthsToGo+SwaptionShift))/SQRT(SUM(INDEX($FK343:$ID343,1+SwaptionShift):INDEX($FK343:$ID343,SwaptionMonthsToGo+SwaptionShift))*SUM(INDEX($FK$325:$ID$396,FO$169,1+SwaptionShift):INDEX($FK$325:$ID$396,FO$169,SwaptionMonthsToGo+SwaptionShift))))))</f>
        <v/>
      </c>
      <c r="FP188" s="479" t="str">
        <f ca="1">IF(OR(FP$169&lt;SwaptionFirstMonthPosition+1,$FJ188&lt;SwaptionFirstMonthPosition+1,FP$169&gt;SwaptionFirstMonthPosition+SwaptionNumOfMonths+1,$FJ188&gt;SwaptionFirstMonthPosition+SwaptionNumOfMonths+1),"",IF($FJ188=FP$169,1,IF($FJ188&lt;FP$169,INDEX($FK$170:$ID$241,FP$169,$FJ188),SUMPRODUCT(INDEX($FK$325:$ID$396,FP$169,1+SwaptionShift):INDEX($FK$325:$ID$396,FP$169,SwaptionMonthsToGo+SwaptionShift),INDEX($FK$245:$ID$316,$FJ188-FP$169,73-FP$169+SwaptionShift):INDEX($FK$245:$ID$316,$FJ188-FP$169,72-FP$169+SwaptionMonthsToGo+SwaptionShift))/SQRT(SUM(INDEX($FK343:$ID343,1+SwaptionShift):INDEX($FK343:$ID343,SwaptionMonthsToGo+SwaptionShift))*SUM(INDEX($FK$325:$ID$396,FP$169,1+SwaptionShift):INDEX($FK$325:$ID$396,FP$169,SwaptionMonthsToGo+SwaptionShift))))))</f>
        <v/>
      </c>
      <c r="FQ188" s="479" t="str">
        <f ca="1">IF(OR(FQ$169&lt;SwaptionFirstMonthPosition+1,$FJ188&lt;SwaptionFirstMonthPosition+1,FQ$169&gt;SwaptionFirstMonthPosition+SwaptionNumOfMonths+1,$FJ188&gt;SwaptionFirstMonthPosition+SwaptionNumOfMonths+1),"",IF($FJ188=FQ$169,1,IF($FJ188&lt;FQ$169,INDEX($FK$170:$ID$241,FQ$169,$FJ188),SUMPRODUCT(INDEX($FK$325:$ID$396,FQ$169,1+SwaptionShift):INDEX($FK$325:$ID$396,FQ$169,SwaptionMonthsToGo+SwaptionShift),INDEX($FK$245:$ID$316,$FJ188-FQ$169,73-FQ$169+SwaptionShift):INDEX($FK$245:$ID$316,$FJ188-FQ$169,72-FQ$169+SwaptionMonthsToGo+SwaptionShift))/SQRT(SUM(INDEX($FK343:$ID343,1+SwaptionShift):INDEX($FK343:$ID343,SwaptionMonthsToGo+SwaptionShift))*SUM(INDEX($FK$325:$ID$396,FQ$169,1+SwaptionShift):INDEX($FK$325:$ID$396,FQ$169,SwaptionMonthsToGo+SwaptionShift))))))</f>
        <v/>
      </c>
      <c r="FR188" s="479" t="str">
        <f ca="1">IF(OR(FR$169&lt;SwaptionFirstMonthPosition+1,$FJ188&lt;SwaptionFirstMonthPosition+1,FR$169&gt;SwaptionFirstMonthPosition+SwaptionNumOfMonths+1,$FJ188&gt;SwaptionFirstMonthPosition+SwaptionNumOfMonths+1),"",IF($FJ188=FR$169,1,IF($FJ188&lt;FR$169,INDEX($FK$170:$ID$241,FR$169,$FJ188),SUMPRODUCT(INDEX($FK$325:$ID$396,FR$169,1+SwaptionShift):INDEX($FK$325:$ID$396,FR$169,SwaptionMonthsToGo+SwaptionShift),INDEX($FK$245:$ID$316,$FJ188-FR$169,73-FR$169+SwaptionShift):INDEX($FK$245:$ID$316,$FJ188-FR$169,72-FR$169+SwaptionMonthsToGo+SwaptionShift))/SQRT(SUM(INDEX($FK343:$ID343,1+SwaptionShift):INDEX($FK343:$ID343,SwaptionMonthsToGo+SwaptionShift))*SUM(INDEX($FK$325:$ID$396,FR$169,1+SwaptionShift):INDEX($FK$325:$ID$396,FR$169,SwaptionMonthsToGo+SwaptionShift))))))</f>
        <v/>
      </c>
      <c r="FS188" s="479" t="str">
        <f ca="1">IF(OR(FS$169&lt;SwaptionFirstMonthPosition+1,$FJ188&lt;SwaptionFirstMonthPosition+1,FS$169&gt;SwaptionFirstMonthPosition+SwaptionNumOfMonths+1,$FJ188&gt;SwaptionFirstMonthPosition+SwaptionNumOfMonths+1),"",IF($FJ188=FS$169,1,IF($FJ188&lt;FS$169,INDEX($FK$170:$ID$241,FS$169,$FJ188),SUMPRODUCT(INDEX($FK$325:$ID$396,FS$169,1+SwaptionShift):INDEX($FK$325:$ID$396,FS$169,SwaptionMonthsToGo+SwaptionShift),INDEX($FK$245:$ID$316,$FJ188-FS$169,73-FS$169+SwaptionShift):INDEX($FK$245:$ID$316,$FJ188-FS$169,72-FS$169+SwaptionMonthsToGo+SwaptionShift))/SQRT(SUM(INDEX($FK343:$ID343,1+SwaptionShift):INDEX($FK343:$ID343,SwaptionMonthsToGo+SwaptionShift))*SUM(INDEX($FK$325:$ID$396,FS$169,1+SwaptionShift):INDEX($FK$325:$ID$396,FS$169,SwaptionMonthsToGo+SwaptionShift))))))</f>
        <v/>
      </c>
      <c r="FT188" s="479" t="str">
        <f ca="1">IF(OR(FT$169&lt;SwaptionFirstMonthPosition+1,$FJ188&lt;SwaptionFirstMonthPosition+1,FT$169&gt;SwaptionFirstMonthPosition+SwaptionNumOfMonths+1,$FJ188&gt;SwaptionFirstMonthPosition+SwaptionNumOfMonths+1),"",IF($FJ188=FT$169,1,IF($FJ188&lt;FT$169,INDEX($FK$170:$ID$241,FT$169,$FJ188),SUMPRODUCT(INDEX($FK$325:$ID$396,FT$169,1+SwaptionShift):INDEX($FK$325:$ID$396,FT$169,SwaptionMonthsToGo+SwaptionShift),INDEX($FK$245:$ID$316,$FJ188-FT$169,73-FT$169+SwaptionShift):INDEX($FK$245:$ID$316,$FJ188-FT$169,72-FT$169+SwaptionMonthsToGo+SwaptionShift))/SQRT(SUM(INDEX($FK343:$ID343,1+SwaptionShift):INDEX($FK343:$ID343,SwaptionMonthsToGo+SwaptionShift))*SUM(INDEX($FK$325:$ID$396,FT$169,1+SwaptionShift):INDEX($FK$325:$ID$396,FT$169,SwaptionMonthsToGo+SwaptionShift))))))</f>
        <v/>
      </c>
      <c r="FU188" s="479" t="str">
        <f ca="1">IF(OR(FU$169&lt;SwaptionFirstMonthPosition+1,$FJ188&lt;SwaptionFirstMonthPosition+1,FU$169&gt;SwaptionFirstMonthPosition+SwaptionNumOfMonths+1,$FJ188&gt;SwaptionFirstMonthPosition+SwaptionNumOfMonths+1),"",IF($FJ188=FU$169,1,IF($FJ188&lt;FU$169,INDEX($FK$170:$ID$241,FU$169,$FJ188),SUMPRODUCT(INDEX($FK$325:$ID$396,FU$169,1+SwaptionShift):INDEX($FK$325:$ID$396,FU$169,SwaptionMonthsToGo+SwaptionShift),INDEX($FK$245:$ID$316,$FJ188-FU$169,73-FU$169+SwaptionShift):INDEX($FK$245:$ID$316,$FJ188-FU$169,72-FU$169+SwaptionMonthsToGo+SwaptionShift))/SQRT(SUM(INDEX($FK343:$ID343,1+SwaptionShift):INDEX($FK343:$ID343,SwaptionMonthsToGo+SwaptionShift))*SUM(INDEX($FK$325:$ID$396,FU$169,1+SwaptionShift):INDEX($FK$325:$ID$396,FU$169,SwaptionMonthsToGo+SwaptionShift))))))</f>
        <v/>
      </c>
      <c r="FV188" s="479" t="str">
        <f ca="1">IF(OR(FV$169&lt;SwaptionFirstMonthPosition+1,$FJ188&lt;SwaptionFirstMonthPosition+1,FV$169&gt;SwaptionFirstMonthPosition+SwaptionNumOfMonths+1,$FJ188&gt;SwaptionFirstMonthPosition+SwaptionNumOfMonths+1),"",IF($FJ188=FV$169,1,IF($FJ188&lt;FV$169,INDEX($FK$170:$ID$241,FV$169,$FJ188),SUMPRODUCT(INDEX($FK$325:$ID$396,FV$169,1+SwaptionShift):INDEX($FK$325:$ID$396,FV$169,SwaptionMonthsToGo+SwaptionShift),INDEX($FK$245:$ID$316,$FJ188-FV$169,73-FV$169+SwaptionShift):INDEX($FK$245:$ID$316,$FJ188-FV$169,72-FV$169+SwaptionMonthsToGo+SwaptionShift))/SQRT(SUM(INDEX($FK343:$ID343,1+SwaptionShift):INDEX($FK343:$ID343,SwaptionMonthsToGo+SwaptionShift))*SUM(INDEX($FK$325:$ID$396,FV$169,1+SwaptionShift):INDEX($FK$325:$ID$396,FV$169,SwaptionMonthsToGo+SwaptionShift))))))</f>
        <v/>
      </c>
      <c r="FW188" s="479" t="str">
        <f ca="1">IF(OR(FW$169&lt;SwaptionFirstMonthPosition+1,$FJ188&lt;SwaptionFirstMonthPosition+1,FW$169&gt;SwaptionFirstMonthPosition+SwaptionNumOfMonths+1,$FJ188&gt;SwaptionFirstMonthPosition+SwaptionNumOfMonths+1),"",IF($FJ188=FW$169,1,IF($FJ188&lt;FW$169,INDEX($FK$170:$ID$241,FW$169,$FJ188),SUMPRODUCT(INDEX($FK$325:$ID$396,FW$169,1+SwaptionShift):INDEX($FK$325:$ID$396,FW$169,SwaptionMonthsToGo+SwaptionShift),INDEX($FK$245:$ID$316,$FJ188-FW$169,73-FW$169+SwaptionShift):INDEX($FK$245:$ID$316,$FJ188-FW$169,72-FW$169+SwaptionMonthsToGo+SwaptionShift))/SQRT(SUM(INDEX($FK343:$ID343,1+SwaptionShift):INDEX($FK343:$ID343,SwaptionMonthsToGo+SwaptionShift))*SUM(INDEX($FK$325:$ID$396,FW$169,1+SwaptionShift):INDEX($FK$325:$ID$396,FW$169,SwaptionMonthsToGo+SwaptionShift))))))</f>
        <v/>
      </c>
      <c r="FX188" s="479" t="str">
        <f ca="1">IF(OR(FX$169&lt;SwaptionFirstMonthPosition+1,$FJ188&lt;SwaptionFirstMonthPosition+1,FX$169&gt;SwaptionFirstMonthPosition+SwaptionNumOfMonths+1,$FJ188&gt;SwaptionFirstMonthPosition+SwaptionNumOfMonths+1),"",IF($FJ188=FX$169,1,IF($FJ188&lt;FX$169,INDEX($FK$170:$ID$241,FX$169,$FJ188),SUMPRODUCT(INDEX($FK$325:$ID$396,FX$169,1+SwaptionShift):INDEX($FK$325:$ID$396,FX$169,SwaptionMonthsToGo+SwaptionShift),INDEX($FK$245:$ID$316,$FJ188-FX$169,73-FX$169+SwaptionShift):INDEX($FK$245:$ID$316,$FJ188-FX$169,72-FX$169+SwaptionMonthsToGo+SwaptionShift))/SQRT(SUM(INDEX($FK343:$ID343,1+SwaptionShift):INDEX($FK343:$ID343,SwaptionMonthsToGo+SwaptionShift))*SUM(INDEX($FK$325:$ID$396,FX$169,1+SwaptionShift):INDEX($FK$325:$ID$396,FX$169,SwaptionMonthsToGo+SwaptionShift))))))</f>
        <v/>
      </c>
      <c r="FY188" s="479" t="str">
        <f ca="1">IF(OR(FY$169&lt;SwaptionFirstMonthPosition+1,$FJ188&lt;SwaptionFirstMonthPosition+1,FY$169&gt;SwaptionFirstMonthPosition+SwaptionNumOfMonths+1,$FJ188&gt;SwaptionFirstMonthPosition+SwaptionNumOfMonths+1),"",IF($FJ188=FY$169,1,IF($FJ188&lt;FY$169,INDEX($FK$170:$ID$241,FY$169,$FJ188),SUMPRODUCT(INDEX($FK$325:$ID$396,FY$169,1+SwaptionShift):INDEX($FK$325:$ID$396,FY$169,SwaptionMonthsToGo+SwaptionShift),INDEX($FK$245:$ID$316,$FJ188-FY$169,73-FY$169+SwaptionShift):INDEX($FK$245:$ID$316,$FJ188-FY$169,72-FY$169+SwaptionMonthsToGo+SwaptionShift))/SQRT(SUM(INDEX($FK343:$ID343,1+SwaptionShift):INDEX($FK343:$ID343,SwaptionMonthsToGo+SwaptionShift))*SUM(INDEX($FK$325:$ID$396,FY$169,1+SwaptionShift):INDEX($FK$325:$ID$396,FY$169,SwaptionMonthsToGo+SwaptionShift))))))</f>
        <v/>
      </c>
      <c r="FZ188" s="479" t="str">
        <f ca="1">IF(OR(FZ$169&lt;SwaptionFirstMonthPosition+1,$FJ188&lt;SwaptionFirstMonthPosition+1,FZ$169&gt;SwaptionFirstMonthPosition+SwaptionNumOfMonths+1,$FJ188&gt;SwaptionFirstMonthPosition+SwaptionNumOfMonths+1),"",IF($FJ188=FZ$169,1,IF($FJ188&lt;FZ$169,INDEX($FK$170:$ID$241,FZ$169,$FJ188),SUMPRODUCT(INDEX($FK$325:$ID$396,FZ$169,1+SwaptionShift):INDEX($FK$325:$ID$396,FZ$169,SwaptionMonthsToGo+SwaptionShift),INDEX($FK$245:$ID$316,$FJ188-FZ$169,73-FZ$169+SwaptionShift):INDEX($FK$245:$ID$316,$FJ188-FZ$169,72-FZ$169+SwaptionMonthsToGo+SwaptionShift))/SQRT(SUM(INDEX($FK343:$ID343,1+SwaptionShift):INDEX($FK343:$ID343,SwaptionMonthsToGo+SwaptionShift))*SUM(INDEX($FK$325:$ID$396,FZ$169,1+SwaptionShift):INDEX($FK$325:$ID$396,FZ$169,SwaptionMonthsToGo+SwaptionShift))))))</f>
        <v/>
      </c>
      <c r="GA188" s="479" t="str">
        <f ca="1">IF(OR(GA$169&lt;SwaptionFirstMonthPosition+1,$FJ188&lt;SwaptionFirstMonthPosition+1,GA$169&gt;SwaptionFirstMonthPosition+SwaptionNumOfMonths+1,$FJ188&gt;SwaptionFirstMonthPosition+SwaptionNumOfMonths+1),"",IF($FJ188=GA$169,1,IF($FJ188&lt;GA$169,INDEX($FK$170:$ID$241,GA$169,$FJ188),SUMPRODUCT(INDEX($FK$325:$ID$396,GA$169,1+SwaptionShift):INDEX($FK$325:$ID$396,GA$169,SwaptionMonthsToGo+SwaptionShift),INDEX($FK$245:$ID$316,$FJ188-GA$169,73-GA$169+SwaptionShift):INDEX($FK$245:$ID$316,$FJ188-GA$169,72-GA$169+SwaptionMonthsToGo+SwaptionShift))/SQRT(SUM(INDEX($FK343:$ID343,1+SwaptionShift):INDEX($FK343:$ID343,SwaptionMonthsToGo+SwaptionShift))*SUM(INDEX($FK$325:$ID$396,GA$169,1+SwaptionShift):INDEX($FK$325:$ID$396,GA$169,SwaptionMonthsToGo+SwaptionShift))))))</f>
        <v/>
      </c>
      <c r="GB188" s="479" t="str">
        <f ca="1">IF(OR(GB$169&lt;SwaptionFirstMonthPosition+1,$FJ188&lt;SwaptionFirstMonthPosition+1,GB$169&gt;SwaptionFirstMonthPosition+SwaptionNumOfMonths+1,$FJ188&gt;SwaptionFirstMonthPosition+SwaptionNumOfMonths+1),"",IF($FJ188=GB$169,1,IF($FJ188&lt;GB$169,INDEX($FK$170:$ID$241,GB$169,$FJ188),SUMPRODUCT(INDEX($FK$325:$ID$396,GB$169,1+SwaptionShift):INDEX($FK$325:$ID$396,GB$169,SwaptionMonthsToGo+SwaptionShift),INDEX($FK$245:$ID$316,$FJ188-GB$169,73-GB$169+SwaptionShift):INDEX($FK$245:$ID$316,$FJ188-GB$169,72-GB$169+SwaptionMonthsToGo+SwaptionShift))/SQRT(SUM(INDEX($FK343:$ID343,1+SwaptionShift):INDEX($FK343:$ID343,SwaptionMonthsToGo+SwaptionShift))*SUM(INDEX($FK$325:$ID$396,GB$169,1+SwaptionShift):INDEX($FK$325:$ID$396,GB$169,SwaptionMonthsToGo+SwaptionShift))))))</f>
        <v/>
      </c>
      <c r="GC188" s="479" t="str">
        <f ca="1">IF(OR(GC$169&lt;SwaptionFirstMonthPosition+1,$FJ188&lt;SwaptionFirstMonthPosition+1,GC$169&gt;SwaptionFirstMonthPosition+SwaptionNumOfMonths+1,$FJ188&gt;SwaptionFirstMonthPosition+SwaptionNumOfMonths+1),"",IF($FJ188=GC$169,1,IF($FJ188&lt;GC$169,INDEX($FK$170:$ID$241,GC$169,$FJ188),SUMPRODUCT(INDEX($FK$325:$ID$396,GC$169,1+SwaptionShift):INDEX($FK$325:$ID$396,GC$169,SwaptionMonthsToGo+SwaptionShift),INDEX($FK$245:$ID$316,$FJ188-GC$169,73-GC$169+SwaptionShift):INDEX($FK$245:$ID$316,$FJ188-GC$169,72-GC$169+SwaptionMonthsToGo+SwaptionShift))/SQRT(SUM(INDEX($FK343:$ID343,1+SwaptionShift):INDEX($FK343:$ID343,SwaptionMonthsToGo+SwaptionShift))*SUM(INDEX($FK$325:$ID$396,GC$169,1+SwaptionShift):INDEX($FK$325:$ID$396,GC$169,SwaptionMonthsToGo+SwaptionShift))))))</f>
        <v/>
      </c>
      <c r="GD188" s="479" t="str">
        <f ca="1">IF(OR(GD$169&lt;SwaptionFirstMonthPosition+1,$FJ188&lt;SwaptionFirstMonthPosition+1,GD$169&gt;SwaptionFirstMonthPosition+SwaptionNumOfMonths+1,$FJ188&gt;SwaptionFirstMonthPosition+SwaptionNumOfMonths+1),"",IF($FJ188=GD$169,1,IF($FJ188&lt;GD$169,INDEX($FK$170:$ID$241,GD$169,$FJ188),SUMPRODUCT(INDEX($FK$325:$ID$396,GD$169,1+SwaptionShift):INDEX($FK$325:$ID$396,GD$169,SwaptionMonthsToGo+SwaptionShift),INDEX($FK$245:$ID$316,$FJ188-GD$169,73-GD$169+SwaptionShift):INDEX($FK$245:$ID$316,$FJ188-GD$169,72-GD$169+SwaptionMonthsToGo+SwaptionShift))/SQRT(SUM(INDEX($FK343:$ID343,1+SwaptionShift):INDEX($FK343:$ID343,SwaptionMonthsToGo+SwaptionShift))*SUM(INDEX($FK$325:$ID$396,GD$169,1+SwaptionShift):INDEX($FK$325:$ID$396,GD$169,SwaptionMonthsToGo+SwaptionShift))))))</f>
        <v/>
      </c>
      <c r="GE188" s="479" t="str">
        <f ca="1">IF(OR(GE$169&lt;SwaptionFirstMonthPosition+1,$FJ188&lt;SwaptionFirstMonthPosition+1,GE$169&gt;SwaptionFirstMonthPosition+SwaptionNumOfMonths+1,$FJ188&gt;SwaptionFirstMonthPosition+SwaptionNumOfMonths+1),"",IF($FJ188=GE$169,1,IF($FJ188&lt;GE$169,INDEX($FK$170:$ID$241,GE$169,$FJ188),SUMPRODUCT(INDEX($FK$325:$ID$396,GE$169,1+SwaptionShift):INDEX($FK$325:$ID$396,GE$169,SwaptionMonthsToGo+SwaptionShift),INDEX($FK$245:$ID$316,$FJ188-GE$169,73-GE$169+SwaptionShift):INDEX($FK$245:$ID$316,$FJ188-GE$169,72-GE$169+SwaptionMonthsToGo+SwaptionShift))/SQRT(SUM(INDEX($FK343:$ID343,1+SwaptionShift):INDEX($FK343:$ID343,SwaptionMonthsToGo+SwaptionShift))*SUM(INDEX($FK$325:$ID$396,GE$169,1+SwaptionShift):INDEX($FK$325:$ID$396,GE$169,SwaptionMonthsToGo+SwaptionShift))))))</f>
        <v/>
      </c>
      <c r="GF188" s="479" t="str">
        <f ca="1">IF(OR(GF$169&lt;SwaptionFirstMonthPosition+1,$FJ188&lt;SwaptionFirstMonthPosition+1,GF$169&gt;SwaptionFirstMonthPosition+SwaptionNumOfMonths+1,$FJ188&gt;SwaptionFirstMonthPosition+SwaptionNumOfMonths+1),"",IF($FJ188=GF$169,1,IF($FJ188&lt;GF$169,INDEX($FK$170:$ID$241,GF$169,$FJ188),SUMPRODUCT(INDEX($FK$325:$ID$396,GF$169,1+SwaptionShift):INDEX($FK$325:$ID$396,GF$169,SwaptionMonthsToGo+SwaptionShift),INDEX($FK$245:$ID$316,$FJ188-GF$169,73-GF$169+SwaptionShift):INDEX($FK$245:$ID$316,$FJ188-GF$169,72-GF$169+SwaptionMonthsToGo+SwaptionShift))/SQRT(SUM(INDEX($FK343:$ID343,1+SwaptionShift):INDEX($FK343:$ID343,SwaptionMonthsToGo+SwaptionShift))*SUM(INDEX($FK$325:$ID$396,GF$169,1+SwaptionShift):INDEX($FK$325:$ID$396,GF$169,SwaptionMonthsToGo+SwaptionShift))))))</f>
        <v/>
      </c>
      <c r="GG188" s="479" t="str">
        <f ca="1">IF(OR(GG$169&lt;SwaptionFirstMonthPosition+1,$FJ188&lt;SwaptionFirstMonthPosition+1,GG$169&gt;SwaptionFirstMonthPosition+SwaptionNumOfMonths+1,$FJ188&gt;SwaptionFirstMonthPosition+SwaptionNumOfMonths+1),"",IF($FJ188=GG$169,1,IF($FJ188&lt;GG$169,INDEX($FK$170:$ID$241,GG$169,$FJ188),SUMPRODUCT(INDEX($FK$325:$ID$396,GG$169,1+SwaptionShift):INDEX($FK$325:$ID$396,GG$169,SwaptionMonthsToGo+SwaptionShift),INDEX($FK$245:$ID$316,$FJ188-GG$169,73-GG$169+SwaptionShift):INDEX($FK$245:$ID$316,$FJ188-GG$169,72-GG$169+SwaptionMonthsToGo+SwaptionShift))/SQRT(SUM(INDEX($FK343:$ID343,1+SwaptionShift):INDEX($FK343:$ID343,SwaptionMonthsToGo+SwaptionShift))*SUM(INDEX($FK$325:$ID$396,GG$169,1+SwaptionShift):INDEX($FK$325:$ID$396,GG$169,SwaptionMonthsToGo+SwaptionShift))))))</f>
        <v/>
      </c>
      <c r="GH188" s="479" t="str">
        <f ca="1">IF(OR(GH$169&lt;SwaptionFirstMonthPosition+1,$FJ188&lt;SwaptionFirstMonthPosition+1,GH$169&gt;SwaptionFirstMonthPosition+SwaptionNumOfMonths+1,$FJ188&gt;SwaptionFirstMonthPosition+SwaptionNumOfMonths+1),"",IF($FJ188=GH$169,1,IF($FJ188&lt;GH$169,INDEX($FK$170:$ID$241,GH$169,$FJ188),SUMPRODUCT(INDEX($FK$325:$ID$396,GH$169,1+SwaptionShift):INDEX($FK$325:$ID$396,GH$169,SwaptionMonthsToGo+SwaptionShift),INDEX($FK$245:$ID$316,$FJ188-GH$169,73-GH$169+SwaptionShift):INDEX($FK$245:$ID$316,$FJ188-GH$169,72-GH$169+SwaptionMonthsToGo+SwaptionShift))/SQRT(SUM(INDEX($FK343:$ID343,1+SwaptionShift):INDEX($FK343:$ID343,SwaptionMonthsToGo+SwaptionShift))*SUM(INDEX($FK$325:$ID$396,GH$169,1+SwaptionShift):INDEX($FK$325:$ID$396,GH$169,SwaptionMonthsToGo+SwaptionShift))))))</f>
        <v/>
      </c>
      <c r="GI188" s="479" t="str">
        <f ca="1">IF(OR(GI$169&lt;SwaptionFirstMonthPosition+1,$FJ188&lt;SwaptionFirstMonthPosition+1,GI$169&gt;SwaptionFirstMonthPosition+SwaptionNumOfMonths+1,$FJ188&gt;SwaptionFirstMonthPosition+SwaptionNumOfMonths+1),"",IF($FJ188=GI$169,1,IF($FJ188&lt;GI$169,INDEX($FK$170:$ID$241,GI$169,$FJ188),SUMPRODUCT(INDEX($FK$325:$ID$396,GI$169,1+SwaptionShift):INDEX($FK$325:$ID$396,GI$169,SwaptionMonthsToGo+SwaptionShift),INDEX($FK$245:$ID$316,$FJ188-GI$169,73-GI$169+SwaptionShift):INDEX($FK$245:$ID$316,$FJ188-GI$169,72-GI$169+SwaptionMonthsToGo+SwaptionShift))/SQRT(SUM(INDEX($FK343:$ID343,1+SwaptionShift):INDEX($FK343:$ID343,SwaptionMonthsToGo+SwaptionShift))*SUM(INDEX($FK$325:$ID$396,GI$169,1+SwaptionShift):INDEX($FK$325:$ID$396,GI$169,SwaptionMonthsToGo+SwaptionShift))))))</f>
        <v/>
      </c>
      <c r="GJ188" s="479" t="str">
        <f ca="1">IF(OR(GJ$169&lt;SwaptionFirstMonthPosition+1,$FJ188&lt;SwaptionFirstMonthPosition+1,GJ$169&gt;SwaptionFirstMonthPosition+SwaptionNumOfMonths+1,$FJ188&gt;SwaptionFirstMonthPosition+SwaptionNumOfMonths+1),"",IF($FJ188=GJ$169,1,IF($FJ188&lt;GJ$169,INDEX($FK$170:$ID$241,GJ$169,$FJ188),SUMPRODUCT(INDEX($FK$325:$ID$396,GJ$169,1+SwaptionShift):INDEX($FK$325:$ID$396,GJ$169,SwaptionMonthsToGo+SwaptionShift),INDEX($FK$245:$ID$316,$FJ188-GJ$169,73-GJ$169+SwaptionShift):INDEX($FK$245:$ID$316,$FJ188-GJ$169,72-GJ$169+SwaptionMonthsToGo+SwaptionShift))/SQRT(SUM(INDEX($FK343:$ID343,1+SwaptionShift):INDEX($FK343:$ID343,SwaptionMonthsToGo+SwaptionShift))*SUM(INDEX($FK$325:$ID$396,GJ$169,1+SwaptionShift):INDEX($FK$325:$ID$396,GJ$169,SwaptionMonthsToGo+SwaptionShift))))))</f>
        <v/>
      </c>
      <c r="GK188" s="479" t="str">
        <f ca="1">IF(OR(GK$169&lt;SwaptionFirstMonthPosition+1,$FJ188&lt;SwaptionFirstMonthPosition+1,GK$169&gt;SwaptionFirstMonthPosition+SwaptionNumOfMonths+1,$FJ188&gt;SwaptionFirstMonthPosition+SwaptionNumOfMonths+1),"",IF($FJ188=GK$169,1,IF($FJ188&lt;GK$169,INDEX($FK$170:$ID$241,GK$169,$FJ188),SUMPRODUCT(INDEX($FK$325:$ID$396,GK$169,1+SwaptionShift):INDEX($FK$325:$ID$396,GK$169,SwaptionMonthsToGo+SwaptionShift),INDEX($FK$245:$ID$316,$FJ188-GK$169,73-GK$169+SwaptionShift):INDEX($FK$245:$ID$316,$FJ188-GK$169,72-GK$169+SwaptionMonthsToGo+SwaptionShift))/SQRT(SUM(INDEX($FK343:$ID343,1+SwaptionShift):INDEX($FK343:$ID343,SwaptionMonthsToGo+SwaptionShift))*SUM(INDEX($FK$325:$ID$396,GK$169,1+SwaptionShift):INDEX($FK$325:$ID$396,GK$169,SwaptionMonthsToGo+SwaptionShift))))))</f>
        <v/>
      </c>
      <c r="GL188" s="479" t="str">
        <f ca="1">IF(OR(GL$169&lt;SwaptionFirstMonthPosition+1,$FJ188&lt;SwaptionFirstMonthPosition+1,GL$169&gt;SwaptionFirstMonthPosition+SwaptionNumOfMonths+1,$FJ188&gt;SwaptionFirstMonthPosition+SwaptionNumOfMonths+1),"",IF($FJ188=GL$169,1,IF($FJ188&lt;GL$169,INDEX($FK$170:$ID$241,GL$169,$FJ188),SUMPRODUCT(INDEX($FK$325:$ID$396,GL$169,1+SwaptionShift):INDEX($FK$325:$ID$396,GL$169,SwaptionMonthsToGo+SwaptionShift),INDEX($FK$245:$ID$316,$FJ188-GL$169,73-GL$169+SwaptionShift):INDEX($FK$245:$ID$316,$FJ188-GL$169,72-GL$169+SwaptionMonthsToGo+SwaptionShift))/SQRT(SUM(INDEX($FK343:$ID343,1+SwaptionShift):INDEX($FK343:$ID343,SwaptionMonthsToGo+SwaptionShift))*SUM(INDEX($FK$325:$ID$396,GL$169,1+SwaptionShift):INDEX($FK$325:$ID$396,GL$169,SwaptionMonthsToGo+SwaptionShift))))))</f>
        <v/>
      </c>
      <c r="GM188" s="479" t="str">
        <f ca="1">IF(OR(GM$169&lt;SwaptionFirstMonthPosition+1,$FJ188&lt;SwaptionFirstMonthPosition+1,GM$169&gt;SwaptionFirstMonthPosition+SwaptionNumOfMonths+1,$FJ188&gt;SwaptionFirstMonthPosition+SwaptionNumOfMonths+1),"",IF($FJ188=GM$169,1,IF($FJ188&lt;GM$169,INDEX($FK$170:$ID$241,GM$169,$FJ188),SUMPRODUCT(INDEX($FK$325:$ID$396,GM$169,1+SwaptionShift):INDEX($FK$325:$ID$396,GM$169,SwaptionMonthsToGo+SwaptionShift),INDEX($FK$245:$ID$316,$FJ188-GM$169,73-GM$169+SwaptionShift):INDEX($FK$245:$ID$316,$FJ188-GM$169,72-GM$169+SwaptionMonthsToGo+SwaptionShift))/SQRT(SUM(INDEX($FK343:$ID343,1+SwaptionShift):INDEX($FK343:$ID343,SwaptionMonthsToGo+SwaptionShift))*SUM(INDEX($FK$325:$ID$396,GM$169,1+SwaptionShift):INDEX($FK$325:$ID$396,GM$169,SwaptionMonthsToGo+SwaptionShift))))))</f>
        <v/>
      </c>
      <c r="GN188" s="479" t="str">
        <f ca="1">IF(OR(GN$169&lt;SwaptionFirstMonthPosition+1,$FJ188&lt;SwaptionFirstMonthPosition+1,GN$169&gt;SwaptionFirstMonthPosition+SwaptionNumOfMonths+1,$FJ188&gt;SwaptionFirstMonthPosition+SwaptionNumOfMonths+1),"",IF($FJ188=GN$169,1,IF($FJ188&lt;GN$169,INDEX($FK$170:$ID$241,GN$169,$FJ188),SUMPRODUCT(INDEX($FK$325:$ID$396,GN$169,1+SwaptionShift):INDEX($FK$325:$ID$396,GN$169,SwaptionMonthsToGo+SwaptionShift),INDEX($FK$245:$ID$316,$FJ188-GN$169,73-GN$169+SwaptionShift):INDEX($FK$245:$ID$316,$FJ188-GN$169,72-GN$169+SwaptionMonthsToGo+SwaptionShift))/SQRT(SUM(INDEX($FK343:$ID343,1+SwaptionShift):INDEX($FK343:$ID343,SwaptionMonthsToGo+SwaptionShift))*SUM(INDEX($FK$325:$ID$396,GN$169,1+SwaptionShift):INDEX($FK$325:$ID$396,GN$169,SwaptionMonthsToGo+SwaptionShift))))))</f>
        <v/>
      </c>
      <c r="GO188" s="479" t="str">
        <f ca="1">IF(OR(GO$169&lt;SwaptionFirstMonthPosition+1,$FJ188&lt;SwaptionFirstMonthPosition+1,GO$169&gt;SwaptionFirstMonthPosition+SwaptionNumOfMonths+1,$FJ188&gt;SwaptionFirstMonthPosition+SwaptionNumOfMonths+1),"",IF($FJ188=GO$169,1,IF($FJ188&lt;GO$169,INDEX($FK$170:$ID$241,GO$169,$FJ188),SUMPRODUCT(INDEX($FK$325:$ID$396,GO$169,1+SwaptionShift):INDEX($FK$325:$ID$396,GO$169,SwaptionMonthsToGo+SwaptionShift),INDEX($FK$245:$ID$316,$FJ188-GO$169,73-GO$169+SwaptionShift):INDEX($FK$245:$ID$316,$FJ188-GO$169,72-GO$169+SwaptionMonthsToGo+SwaptionShift))/SQRT(SUM(INDEX($FK343:$ID343,1+SwaptionShift):INDEX($FK343:$ID343,SwaptionMonthsToGo+SwaptionShift))*SUM(INDEX($FK$325:$ID$396,GO$169,1+SwaptionShift):INDEX($FK$325:$ID$396,GO$169,SwaptionMonthsToGo+SwaptionShift))))))</f>
        <v/>
      </c>
      <c r="GP188" s="479" t="str">
        <f ca="1">IF(OR(GP$169&lt;SwaptionFirstMonthPosition+1,$FJ188&lt;SwaptionFirstMonthPosition+1,GP$169&gt;SwaptionFirstMonthPosition+SwaptionNumOfMonths+1,$FJ188&gt;SwaptionFirstMonthPosition+SwaptionNumOfMonths+1),"",IF($FJ188=GP$169,1,IF($FJ188&lt;GP$169,INDEX($FK$170:$ID$241,GP$169,$FJ188),SUMPRODUCT(INDEX($FK$325:$ID$396,GP$169,1+SwaptionShift):INDEX($FK$325:$ID$396,GP$169,SwaptionMonthsToGo+SwaptionShift),INDEX($FK$245:$ID$316,$FJ188-GP$169,73-GP$169+SwaptionShift):INDEX($FK$245:$ID$316,$FJ188-GP$169,72-GP$169+SwaptionMonthsToGo+SwaptionShift))/SQRT(SUM(INDEX($FK343:$ID343,1+SwaptionShift):INDEX($FK343:$ID343,SwaptionMonthsToGo+SwaptionShift))*SUM(INDEX($FK$325:$ID$396,GP$169,1+SwaptionShift):INDEX($FK$325:$ID$396,GP$169,SwaptionMonthsToGo+SwaptionShift))))))</f>
        <v/>
      </c>
      <c r="GQ188" s="479" t="str">
        <f ca="1">IF(OR(GQ$169&lt;SwaptionFirstMonthPosition+1,$FJ188&lt;SwaptionFirstMonthPosition+1,GQ$169&gt;SwaptionFirstMonthPosition+SwaptionNumOfMonths+1,$FJ188&gt;SwaptionFirstMonthPosition+SwaptionNumOfMonths+1),"",IF($FJ188=GQ$169,1,IF($FJ188&lt;GQ$169,INDEX($FK$170:$ID$241,GQ$169,$FJ188),SUMPRODUCT(INDEX($FK$325:$ID$396,GQ$169,1+SwaptionShift):INDEX($FK$325:$ID$396,GQ$169,SwaptionMonthsToGo+SwaptionShift),INDEX($FK$245:$ID$316,$FJ188-GQ$169,73-GQ$169+SwaptionShift):INDEX($FK$245:$ID$316,$FJ188-GQ$169,72-GQ$169+SwaptionMonthsToGo+SwaptionShift))/SQRT(SUM(INDEX($FK343:$ID343,1+SwaptionShift):INDEX($FK343:$ID343,SwaptionMonthsToGo+SwaptionShift))*SUM(INDEX($FK$325:$ID$396,GQ$169,1+SwaptionShift):INDEX($FK$325:$ID$396,GQ$169,SwaptionMonthsToGo+SwaptionShift))))))</f>
        <v/>
      </c>
      <c r="GR188" s="479" t="str">
        <f ca="1">IF(OR(GR$169&lt;SwaptionFirstMonthPosition+1,$FJ188&lt;SwaptionFirstMonthPosition+1,GR$169&gt;SwaptionFirstMonthPosition+SwaptionNumOfMonths+1,$FJ188&gt;SwaptionFirstMonthPosition+SwaptionNumOfMonths+1),"",IF($FJ188=GR$169,1,IF($FJ188&lt;GR$169,INDEX($FK$170:$ID$241,GR$169,$FJ188),SUMPRODUCT(INDEX($FK$325:$ID$396,GR$169,1+SwaptionShift):INDEX($FK$325:$ID$396,GR$169,SwaptionMonthsToGo+SwaptionShift),INDEX($FK$245:$ID$316,$FJ188-GR$169,73-GR$169+SwaptionShift):INDEX($FK$245:$ID$316,$FJ188-GR$169,72-GR$169+SwaptionMonthsToGo+SwaptionShift))/SQRT(SUM(INDEX($FK343:$ID343,1+SwaptionShift):INDEX($FK343:$ID343,SwaptionMonthsToGo+SwaptionShift))*SUM(INDEX($FK$325:$ID$396,GR$169,1+SwaptionShift):INDEX($FK$325:$ID$396,GR$169,SwaptionMonthsToGo+SwaptionShift))))))</f>
        <v/>
      </c>
      <c r="GS188" s="479" t="str">
        <f ca="1">IF(OR(GS$169&lt;SwaptionFirstMonthPosition+1,$FJ188&lt;SwaptionFirstMonthPosition+1,GS$169&gt;SwaptionFirstMonthPosition+SwaptionNumOfMonths+1,$FJ188&gt;SwaptionFirstMonthPosition+SwaptionNumOfMonths+1),"",IF($FJ188=GS$169,1,IF($FJ188&lt;GS$169,INDEX($FK$170:$ID$241,GS$169,$FJ188),SUMPRODUCT(INDEX($FK$325:$ID$396,GS$169,1+SwaptionShift):INDEX($FK$325:$ID$396,GS$169,SwaptionMonthsToGo+SwaptionShift),INDEX($FK$245:$ID$316,$FJ188-GS$169,73-GS$169+SwaptionShift):INDEX($FK$245:$ID$316,$FJ188-GS$169,72-GS$169+SwaptionMonthsToGo+SwaptionShift))/SQRT(SUM(INDEX($FK343:$ID343,1+SwaptionShift):INDEX($FK343:$ID343,SwaptionMonthsToGo+SwaptionShift))*SUM(INDEX($FK$325:$ID$396,GS$169,1+SwaptionShift):INDEX($FK$325:$ID$396,GS$169,SwaptionMonthsToGo+SwaptionShift))))))</f>
        <v/>
      </c>
      <c r="GT188" s="479" t="str">
        <f ca="1">IF(OR(GT$169&lt;SwaptionFirstMonthPosition+1,$FJ188&lt;SwaptionFirstMonthPosition+1,GT$169&gt;SwaptionFirstMonthPosition+SwaptionNumOfMonths+1,$FJ188&gt;SwaptionFirstMonthPosition+SwaptionNumOfMonths+1),"",IF($FJ188=GT$169,1,IF($FJ188&lt;GT$169,INDEX($FK$170:$ID$241,GT$169,$FJ188),SUMPRODUCT(INDEX($FK$325:$ID$396,GT$169,1+SwaptionShift):INDEX($FK$325:$ID$396,GT$169,SwaptionMonthsToGo+SwaptionShift),INDEX($FK$245:$ID$316,$FJ188-GT$169,73-GT$169+SwaptionShift):INDEX($FK$245:$ID$316,$FJ188-GT$169,72-GT$169+SwaptionMonthsToGo+SwaptionShift))/SQRT(SUM(INDEX($FK343:$ID343,1+SwaptionShift):INDEX($FK343:$ID343,SwaptionMonthsToGo+SwaptionShift))*SUM(INDEX($FK$325:$ID$396,GT$169,1+SwaptionShift):INDEX($FK$325:$ID$396,GT$169,SwaptionMonthsToGo+SwaptionShift))))))</f>
        <v/>
      </c>
      <c r="GU188" s="479" t="str">
        <f ca="1">IF(OR(GU$169&lt;SwaptionFirstMonthPosition+1,$FJ188&lt;SwaptionFirstMonthPosition+1,GU$169&gt;SwaptionFirstMonthPosition+SwaptionNumOfMonths+1,$FJ188&gt;SwaptionFirstMonthPosition+SwaptionNumOfMonths+1),"",IF($FJ188=GU$169,1,IF($FJ188&lt;GU$169,INDEX($FK$170:$ID$241,GU$169,$FJ188),SUMPRODUCT(INDEX($FK$325:$ID$396,GU$169,1+SwaptionShift):INDEX($FK$325:$ID$396,GU$169,SwaptionMonthsToGo+SwaptionShift),INDEX($FK$245:$ID$316,$FJ188-GU$169,73-GU$169+SwaptionShift):INDEX($FK$245:$ID$316,$FJ188-GU$169,72-GU$169+SwaptionMonthsToGo+SwaptionShift))/SQRT(SUM(INDEX($FK343:$ID343,1+SwaptionShift):INDEX($FK343:$ID343,SwaptionMonthsToGo+SwaptionShift))*SUM(INDEX($FK$325:$ID$396,GU$169,1+SwaptionShift):INDEX($FK$325:$ID$396,GU$169,SwaptionMonthsToGo+SwaptionShift))))))</f>
        <v/>
      </c>
      <c r="GV188" s="479" t="str">
        <f ca="1">IF(OR(GV$169&lt;SwaptionFirstMonthPosition+1,$FJ188&lt;SwaptionFirstMonthPosition+1,GV$169&gt;SwaptionFirstMonthPosition+SwaptionNumOfMonths+1,$FJ188&gt;SwaptionFirstMonthPosition+SwaptionNumOfMonths+1),"",IF($FJ188=GV$169,1,IF($FJ188&lt;GV$169,INDEX($FK$170:$ID$241,GV$169,$FJ188),SUMPRODUCT(INDEX($FK$325:$ID$396,GV$169,1+SwaptionShift):INDEX($FK$325:$ID$396,GV$169,SwaptionMonthsToGo+SwaptionShift),INDEX($FK$245:$ID$316,$FJ188-GV$169,73-GV$169+SwaptionShift):INDEX($FK$245:$ID$316,$FJ188-GV$169,72-GV$169+SwaptionMonthsToGo+SwaptionShift))/SQRT(SUM(INDEX($FK343:$ID343,1+SwaptionShift):INDEX($FK343:$ID343,SwaptionMonthsToGo+SwaptionShift))*SUM(INDEX($FK$325:$ID$396,GV$169,1+SwaptionShift):INDEX($FK$325:$ID$396,GV$169,SwaptionMonthsToGo+SwaptionShift))))))</f>
        <v/>
      </c>
      <c r="GW188" s="479" t="str">
        <f ca="1">IF(OR(GW$169&lt;SwaptionFirstMonthPosition+1,$FJ188&lt;SwaptionFirstMonthPosition+1,GW$169&gt;SwaptionFirstMonthPosition+SwaptionNumOfMonths+1,$FJ188&gt;SwaptionFirstMonthPosition+SwaptionNumOfMonths+1),"",IF($FJ188=GW$169,1,IF($FJ188&lt;GW$169,INDEX($FK$170:$ID$241,GW$169,$FJ188),SUMPRODUCT(INDEX($FK$325:$ID$396,GW$169,1+SwaptionShift):INDEX($FK$325:$ID$396,GW$169,SwaptionMonthsToGo+SwaptionShift),INDEX($FK$245:$ID$316,$FJ188-GW$169,73-GW$169+SwaptionShift):INDEX($FK$245:$ID$316,$FJ188-GW$169,72-GW$169+SwaptionMonthsToGo+SwaptionShift))/SQRT(SUM(INDEX($FK343:$ID343,1+SwaptionShift):INDEX($FK343:$ID343,SwaptionMonthsToGo+SwaptionShift))*SUM(INDEX($FK$325:$ID$396,GW$169,1+SwaptionShift):INDEX($FK$325:$ID$396,GW$169,SwaptionMonthsToGo+SwaptionShift))))))</f>
        <v/>
      </c>
      <c r="GX188" s="479" t="str">
        <f ca="1">IF(OR(GX$169&lt;SwaptionFirstMonthPosition+1,$FJ188&lt;SwaptionFirstMonthPosition+1,GX$169&gt;SwaptionFirstMonthPosition+SwaptionNumOfMonths+1,$FJ188&gt;SwaptionFirstMonthPosition+SwaptionNumOfMonths+1),"",IF($FJ188=GX$169,1,IF($FJ188&lt;GX$169,INDEX($FK$170:$ID$241,GX$169,$FJ188),SUMPRODUCT(INDEX($FK$325:$ID$396,GX$169,1+SwaptionShift):INDEX($FK$325:$ID$396,GX$169,SwaptionMonthsToGo+SwaptionShift),INDEX($FK$245:$ID$316,$FJ188-GX$169,73-GX$169+SwaptionShift):INDEX($FK$245:$ID$316,$FJ188-GX$169,72-GX$169+SwaptionMonthsToGo+SwaptionShift))/SQRT(SUM(INDEX($FK343:$ID343,1+SwaptionShift):INDEX($FK343:$ID343,SwaptionMonthsToGo+SwaptionShift))*SUM(INDEX($FK$325:$ID$396,GX$169,1+SwaptionShift):INDEX($FK$325:$ID$396,GX$169,SwaptionMonthsToGo+SwaptionShift))))))</f>
        <v/>
      </c>
      <c r="GY188" s="479" t="str">
        <f ca="1">IF(OR(GY$169&lt;SwaptionFirstMonthPosition+1,$FJ188&lt;SwaptionFirstMonthPosition+1,GY$169&gt;SwaptionFirstMonthPosition+SwaptionNumOfMonths+1,$FJ188&gt;SwaptionFirstMonthPosition+SwaptionNumOfMonths+1),"",IF($FJ188=GY$169,1,IF($FJ188&lt;GY$169,INDEX($FK$170:$ID$241,GY$169,$FJ188),SUMPRODUCT(INDEX($FK$325:$ID$396,GY$169,1+SwaptionShift):INDEX($FK$325:$ID$396,GY$169,SwaptionMonthsToGo+SwaptionShift),INDEX($FK$245:$ID$316,$FJ188-GY$169,73-GY$169+SwaptionShift):INDEX($FK$245:$ID$316,$FJ188-GY$169,72-GY$169+SwaptionMonthsToGo+SwaptionShift))/SQRT(SUM(INDEX($FK343:$ID343,1+SwaptionShift):INDEX($FK343:$ID343,SwaptionMonthsToGo+SwaptionShift))*SUM(INDEX($FK$325:$ID$396,GY$169,1+SwaptionShift):INDEX($FK$325:$ID$396,GY$169,SwaptionMonthsToGo+SwaptionShift))))))</f>
        <v/>
      </c>
      <c r="GZ188" s="479" t="str">
        <f ca="1">IF(OR(GZ$169&lt;SwaptionFirstMonthPosition+1,$FJ188&lt;SwaptionFirstMonthPosition+1,GZ$169&gt;SwaptionFirstMonthPosition+SwaptionNumOfMonths+1,$FJ188&gt;SwaptionFirstMonthPosition+SwaptionNumOfMonths+1),"",IF($FJ188=GZ$169,1,IF($FJ188&lt;GZ$169,INDEX($FK$170:$ID$241,GZ$169,$FJ188),SUMPRODUCT(INDEX($FK$325:$ID$396,GZ$169,1+SwaptionShift):INDEX($FK$325:$ID$396,GZ$169,SwaptionMonthsToGo+SwaptionShift),INDEX($FK$245:$ID$316,$FJ188-GZ$169,73-GZ$169+SwaptionShift):INDEX($FK$245:$ID$316,$FJ188-GZ$169,72-GZ$169+SwaptionMonthsToGo+SwaptionShift))/SQRT(SUM(INDEX($FK343:$ID343,1+SwaptionShift):INDEX($FK343:$ID343,SwaptionMonthsToGo+SwaptionShift))*SUM(INDEX($FK$325:$ID$396,GZ$169,1+SwaptionShift):INDEX($FK$325:$ID$396,GZ$169,SwaptionMonthsToGo+SwaptionShift))))))</f>
        <v/>
      </c>
      <c r="HA188" s="479" t="str">
        <f ca="1">IF(OR(HA$169&lt;SwaptionFirstMonthPosition+1,$FJ188&lt;SwaptionFirstMonthPosition+1,HA$169&gt;SwaptionFirstMonthPosition+SwaptionNumOfMonths+1,$FJ188&gt;SwaptionFirstMonthPosition+SwaptionNumOfMonths+1),"",IF($FJ188=HA$169,1,IF($FJ188&lt;HA$169,INDEX($FK$170:$ID$241,HA$169,$FJ188),SUMPRODUCT(INDEX($FK$325:$ID$396,HA$169,1+SwaptionShift):INDEX($FK$325:$ID$396,HA$169,SwaptionMonthsToGo+SwaptionShift),INDEX($FK$245:$ID$316,$FJ188-HA$169,73-HA$169+SwaptionShift):INDEX($FK$245:$ID$316,$FJ188-HA$169,72-HA$169+SwaptionMonthsToGo+SwaptionShift))/SQRT(SUM(INDEX($FK343:$ID343,1+SwaptionShift):INDEX($FK343:$ID343,SwaptionMonthsToGo+SwaptionShift))*SUM(INDEX($FK$325:$ID$396,HA$169,1+SwaptionShift):INDEX($FK$325:$ID$396,HA$169,SwaptionMonthsToGo+SwaptionShift))))))</f>
        <v/>
      </c>
      <c r="HB188" s="479" t="str">
        <f ca="1">IF(OR(HB$169&lt;SwaptionFirstMonthPosition+1,$FJ188&lt;SwaptionFirstMonthPosition+1,HB$169&gt;SwaptionFirstMonthPosition+SwaptionNumOfMonths+1,$FJ188&gt;SwaptionFirstMonthPosition+SwaptionNumOfMonths+1),"",IF($FJ188=HB$169,1,IF($FJ188&lt;HB$169,INDEX($FK$170:$ID$241,HB$169,$FJ188),SUMPRODUCT(INDEX($FK$325:$ID$396,HB$169,1+SwaptionShift):INDEX($FK$325:$ID$396,HB$169,SwaptionMonthsToGo+SwaptionShift),INDEX($FK$245:$ID$316,$FJ188-HB$169,73-HB$169+SwaptionShift):INDEX($FK$245:$ID$316,$FJ188-HB$169,72-HB$169+SwaptionMonthsToGo+SwaptionShift))/SQRT(SUM(INDEX($FK343:$ID343,1+SwaptionShift):INDEX($FK343:$ID343,SwaptionMonthsToGo+SwaptionShift))*SUM(INDEX($FK$325:$ID$396,HB$169,1+SwaptionShift):INDEX($FK$325:$ID$396,HB$169,SwaptionMonthsToGo+SwaptionShift))))))</f>
        <v/>
      </c>
      <c r="HC188" s="479" t="str">
        <f ca="1">IF(OR(HC$169&lt;SwaptionFirstMonthPosition+1,$FJ188&lt;SwaptionFirstMonthPosition+1,HC$169&gt;SwaptionFirstMonthPosition+SwaptionNumOfMonths+1,$FJ188&gt;SwaptionFirstMonthPosition+SwaptionNumOfMonths+1),"",IF($FJ188=HC$169,1,IF($FJ188&lt;HC$169,INDEX($FK$170:$ID$241,HC$169,$FJ188),SUMPRODUCT(INDEX($FK$325:$ID$396,HC$169,1+SwaptionShift):INDEX($FK$325:$ID$396,HC$169,SwaptionMonthsToGo+SwaptionShift),INDEX($FK$245:$ID$316,$FJ188-HC$169,73-HC$169+SwaptionShift):INDEX($FK$245:$ID$316,$FJ188-HC$169,72-HC$169+SwaptionMonthsToGo+SwaptionShift))/SQRT(SUM(INDEX($FK343:$ID343,1+SwaptionShift):INDEX($FK343:$ID343,SwaptionMonthsToGo+SwaptionShift))*SUM(INDEX($FK$325:$ID$396,HC$169,1+SwaptionShift):INDEX($FK$325:$ID$396,HC$169,SwaptionMonthsToGo+SwaptionShift))))))</f>
        <v/>
      </c>
      <c r="HD188" s="479" t="str">
        <f ca="1">IF(OR(HD$169&lt;SwaptionFirstMonthPosition+1,$FJ188&lt;SwaptionFirstMonthPosition+1,HD$169&gt;SwaptionFirstMonthPosition+SwaptionNumOfMonths+1,$FJ188&gt;SwaptionFirstMonthPosition+SwaptionNumOfMonths+1),"",IF($FJ188=HD$169,1,IF($FJ188&lt;HD$169,INDEX($FK$170:$ID$241,HD$169,$FJ188),SUMPRODUCT(INDEX($FK$325:$ID$396,HD$169,1+SwaptionShift):INDEX($FK$325:$ID$396,HD$169,SwaptionMonthsToGo+SwaptionShift),INDEX($FK$245:$ID$316,$FJ188-HD$169,73-HD$169+SwaptionShift):INDEX($FK$245:$ID$316,$FJ188-HD$169,72-HD$169+SwaptionMonthsToGo+SwaptionShift))/SQRT(SUM(INDEX($FK343:$ID343,1+SwaptionShift):INDEX($FK343:$ID343,SwaptionMonthsToGo+SwaptionShift))*SUM(INDEX($FK$325:$ID$396,HD$169,1+SwaptionShift):INDEX($FK$325:$ID$396,HD$169,SwaptionMonthsToGo+SwaptionShift))))))</f>
        <v/>
      </c>
      <c r="HE188" s="479" t="str">
        <f ca="1">IF(OR(HE$169&lt;SwaptionFirstMonthPosition+1,$FJ188&lt;SwaptionFirstMonthPosition+1,HE$169&gt;SwaptionFirstMonthPosition+SwaptionNumOfMonths+1,$FJ188&gt;SwaptionFirstMonthPosition+SwaptionNumOfMonths+1),"",IF($FJ188=HE$169,1,IF($FJ188&lt;HE$169,INDEX($FK$170:$ID$241,HE$169,$FJ188),SUMPRODUCT(INDEX($FK$325:$ID$396,HE$169,1+SwaptionShift):INDEX($FK$325:$ID$396,HE$169,SwaptionMonthsToGo+SwaptionShift),INDEX($FK$245:$ID$316,$FJ188-HE$169,73-HE$169+SwaptionShift):INDEX($FK$245:$ID$316,$FJ188-HE$169,72-HE$169+SwaptionMonthsToGo+SwaptionShift))/SQRT(SUM(INDEX($FK343:$ID343,1+SwaptionShift):INDEX($FK343:$ID343,SwaptionMonthsToGo+SwaptionShift))*SUM(INDEX($FK$325:$ID$396,HE$169,1+SwaptionShift):INDEX($FK$325:$ID$396,HE$169,SwaptionMonthsToGo+SwaptionShift))))))</f>
        <v/>
      </c>
      <c r="HF188" s="479" t="str">
        <f ca="1">IF(OR(HF$169&lt;SwaptionFirstMonthPosition+1,$FJ188&lt;SwaptionFirstMonthPosition+1,HF$169&gt;SwaptionFirstMonthPosition+SwaptionNumOfMonths+1,$FJ188&gt;SwaptionFirstMonthPosition+SwaptionNumOfMonths+1),"",IF($FJ188=HF$169,1,IF($FJ188&lt;HF$169,INDEX($FK$170:$ID$241,HF$169,$FJ188),SUMPRODUCT(INDEX($FK$325:$ID$396,HF$169,1+SwaptionShift):INDEX($FK$325:$ID$396,HF$169,SwaptionMonthsToGo+SwaptionShift),INDEX($FK$245:$ID$316,$FJ188-HF$169,73-HF$169+SwaptionShift):INDEX($FK$245:$ID$316,$FJ188-HF$169,72-HF$169+SwaptionMonthsToGo+SwaptionShift))/SQRT(SUM(INDEX($FK343:$ID343,1+SwaptionShift):INDEX($FK343:$ID343,SwaptionMonthsToGo+SwaptionShift))*SUM(INDEX($FK$325:$ID$396,HF$169,1+SwaptionShift):INDEX($FK$325:$ID$396,HF$169,SwaptionMonthsToGo+SwaptionShift))))))</f>
        <v/>
      </c>
      <c r="HG188" s="479" t="str">
        <f ca="1">IF(OR(HG$169&lt;SwaptionFirstMonthPosition+1,$FJ188&lt;SwaptionFirstMonthPosition+1,HG$169&gt;SwaptionFirstMonthPosition+SwaptionNumOfMonths+1,$FJ188&gt;SwaptionFirstMonthPosition+SwaptionNumOfMonths+1),"",IF($FJ188=HG$169,1,IF($FJ188&lt;HG$169,INDEX($FK$170:$ID$241,HG$169,$FJ188),SUMPRODUCT(INDEX($FK$325:$ID$396,HG$169,1+SwaptionShift):INDEX($FK$325:$ID$396,HG$169,SwaptionMonthsToGo+SwaptionShift),INDEX($FK$245:$ID$316,$FJ188-HG$169,73-HG$169+SwaptionShift):INDEX($FK$245:$ID$316,$FJ188-HG$169,72-HG$169+SwaptionMonthsToGo+SwaptionShift))/SQRT(SUM(INDEX($FK343:$ID343,1+SwaptionShift):INDEX($FK343:$ID343,SwaptionMonthsToGo+SwaptionShift))*SUM(INDEX($FK$325:$ID$396,HG$169,1+SwaptionShift):INDEX($FK$325:$ID$396,HG$169,SwaptionMonthsToGo+SwaptionShift))))))</f>
        <v/>
      </c>
      <c r="HH188" s="479" t="str">
        <f ca="1">IF(OR(HH$169&lt;SwaptionFirstMonthPosition+1,$FJ188&lt;SwaptionFirstMonthPosition+1,HH$169&gt;SwaptionFirstMonthPosition+SwaptionNumOfMonths+1,$FJ188&gt;SwaptionFirstMonthPosition+SwaptionNumOfMonths+1),"",IF($FJ188=HH$169,1,IF($FJ188&lt;HH$169,INDEX($FK$170:$ID$241,HH$169,$FJ188),SUMPRODUCT(INDEX($FK$325:$ID$396,HH$169,1+SwaptionShift):INDEX($FK$325:$ID$396,HH$169,SwaptionMonthsToGo+SwaptionShift),INDEX($FK$245:$ID$316,$FJ188-HH$169,73-HH$169+SwaptionShift):INDEX($FK$245:$ID$316,$FJ188-HH$169,72-HH$169+SwaptionMonthsToGo+SwaptionShift))/SQRT(SUM(INDEX($FK343:$ID343,1+SwaptionShift):INDEX($FK343:$ID343,SwaptionMonthsToGo+SwaptionShift))*SUM(INDEX($FK$325:$ID$396,HH$169,1+SwaptionShift):INDEX($FK$325:$ID$396,HH$169,SwaptionMonthsToGo+SwaptionShift))))))</f>
        <v/>
      </c>
      <c r="HI188" s="479" t="str">
        <f ca="1">IF(OR(HI$169&lt;SwaptionFirstMonthPosition+1,$FJ188&lt;SwaptionFirstMonthPosition+1,HI$169&gt;SwaptionFirstMonthPosition+SwaptionNumOfMonths+1,$FJ188&gt;SwaptionFirstMonthPosition+SwaptionNumOfMonths+1),"",IF($FJ188=HI$169,1,IF($FJ188&lt;HI$169,INDEX($FK$170:$ID$241,HI$169,$FJ188),SUMPRODUCT(INDEX($FK$325:$ID$396,HI$169,1+SwaptionShift):INDEX($FK$325:$ID$396,HI$169,SwaptionMonthsToGo+SwaptionShift),INDEX($FK$245:$ID$316,$FJ188-HI$169,73-HI$169+SwaptionShift):INDEX($FK$245:$ID$316,$FJ188-HI$169,72-HI$169+SwaptionMonthsToGo+SwaptionShift))/SQRT(SUM(INDEX($FK343:$ID343,1+SwaptionShift):INDEX($FK343:$ID343,SwaptionMonthsToGo+SwaptionShift))*SUM(INDEX($FK$325:$ID$396,HI$169,1+SwaptionShift):INDEX($FK$325:$ID$396,HI$169,SwaptionMonthsToGo+SwaptionShift))))))</f>
        <v/>
      </c>
      <c r="HJ188" s="479" t="str">
        <f ca="1">IF(OR(HJ$169&lt;SwaptionFirstMonthPosition+1,$FJ188&lt;SwaptionFirstMonthPosition+1,HJ$169&gt;SwaptionFirstMonthPosition+SwaptionNumOfMonths+1,$FJ188&gt;SwaptionFirstMonthPosition+SwaptionNumOfMonths+1),"",IF($FJ188=HJ$169,1,IF($FJ188&lt;HJ$169,INDEX($FK$170:$ID$241,HJ$169,$FJ188),SUMPRODUCT(INDEX($FK$325:$ID$396,HJ$169,1+SwaptionShift):INDEX($FK$325:$ID$396,HJ$169,SwaptionMonthsToGo+SwaptionShift),INDEX($FK$245:$ID$316,$FJ188-HJ$169,73-HJ$169+SwaptionShift):INDEX($FK$245:$ID$316,$FJ188-HJ$169,72-HJ$169+SwaptionMonthsToGo+SwaptionShift))/SQRT(SUM(INDEX($FK343:$ID343,1+SwaptionShift):INDEX($FK343:$ID343,SwaptionMonthsToGo+SwaptionShift))*SUM(INDEX($FK$325:$ID$396,HJ$169,1+SwaptionShift):INDEX($FK$325:$ID$396,HJ$169,SwaptionMonthsToGo+SwaptionShift))))))</f>
        <v/>
      </c>
      <c r="HK188" s="479" t="str">
        <f ca="1">IF(OR(HK$169&lt;SwaptionFirstMonthPosition+1,$FJ188&lt;SwaptionFirstMonthPosition+1,HK$169&gt;SwaptionFirstMonthPosition+SwaptionNumOfMonths+1,$FJ188&gt;SwaptionFirstMonthPosition+SwaptionNumOfMonths+1),"",IF($FJ188=HK$169,1,IF($FJ188&lt;HK$169,INDEX($FK$170:$ID$241,HK$169,$FJ188),SUMPRODUCT(INDEX($FK$325:$ID$396,HK$169,1+SwaptionShift):INDEX($FK$325:$ID$396,HK$169,SwaptionMonthsToGo+SwaptionShift),INDEX($FK$245:$ID$316,$FJ188-HK$169,73-HK$169+SwaptionShift):INDEX($FK$245:$ID$316,$FJ188-HK$169,72-HK$169+SwaptionMonthsToGo+SwaptionShift))/SQRT(SUM(INDEX($FK343:$ID343,1+SwaptionShift):INDEX($FK343:$ID343,SwaptionMonthsToGo+SwaptionShift))*SUM(INDEX($FK$325:$ID$396,HK$169,1+SwaptionShift):INDEX($FK$325:$ID$396,HK$169,SwaptionMonthsToGo+SwaptionShift))))))</f>
        <v/>
      </c>
      <c r="HL188" s="479" t="str">
        <f ca="1">IF(OR(HL$169&lt;SwaptionFirstMonthPosition+1,$FJ188&lt;SwaptionFirstMonthPosition+1,HL$169&gt;SwaptionFirstMonthPosition+SwaptionNumOfMonths+1,$FJ188&gt;SwaptionFirstMonthPosition+SwaptionNumOfMonths+1),"",IF($FJ188=HL$169,1,IF($FJ188&lt;HL$169,INDEX($FK$170:$ID$241,HL$169,$FJ188),SUMPRODUCT(INDEX($FK$325:$ID$396,HL$169,1+SwaptionShift):INDEX($FK$325:$ID$396,HL$169,SwaptionMonthsToGo+SwaptionShift),INDEX($FK$245:$ID$316,$FJ188-HL$169,73-HL$169+SwaptionShift):INDEX($FK$245:$ID$316,$FJ188-HL$169,72-HL$169+SwaptionMonthsToGo+SwaptionShift))/SQRT(SUM(INDEX($FK343:$ID343,1+SwaptionShift):INDEX($FK343:$ID343,SwaptionMonthsToGo+SwaptionShift))*SUM(INDEX($FK$325:$ID$396,HL$169,1+SwaptionShift):INDEX($FK$325:$ID$396,HL$169,SwaptionMonthsToGo+SwaptionShift))))))</f>
        <v/>
      </c>
      <c r="HM188" s="479" t="str">
        <f ca="1">IF(OR(HM$169&lt;SwaptionFirstMonthPosition+1,$FJ188&lt;SwaptionFirstMonthPosition+1,HM$169&gt;SwaptionFirstMonthPosition+SwaptionNumOfMonths+1,$FJ188&gt;SwaptionFirstMonthPosition+SwaptionNumOfMonths+1),"",IF($FJ188=HM$169,1,IF($FJ188&lt;HM$169,INDEX($FK$170:$ID$241,HM$169,$FJ188),SUMPRODUCT(INDEX($FK$325:$ID$396,HM$169,1+SwaptionShift):INDEX($FK$325:$ID$396,HM$169,SwaptionMonthsToGo+SwaptionShift),INDEX($FK$245:$ID$316,$FJ188-HM$169,73-HM$169+SwaptionShift):INDEX($FK$245:$ID$316,$FJ188-HM$169,72-HM$169+SwaptionMonthsToGo+SwaptionShift))/SQRT(SUM(INDEX($FK343:$ID343,1+SwaptionShift):INDEX($FK343:$ID343,SwaptionMonthsToGo+SwaptionShift))*SUM(INDEX($FK$325:$ID$396,HM$169,1+SwaptionShift):INDEX($FK$325:$ID$396,HM$169,SwaptionMonthsToGo+SwaptionShift))))))</f>
        <v/>
      </c>
      <c r="HN188" s="479" t="str">
        <f ca="1">IF(OR(HN$169&lt;SwaptionFirstMonthPosition+1,$FJ188&lt;SwaptionFirstMonthPosition+1,HN$169&gt;SwaptionFirstMonthPosition+SwaptionNumOfMonths+1,$FJ188&gt;SwaptionFirstMonthPosition+SwaptionNumOfMonths+1),"",IF($FJ188=HN$169,1,IF($FJ188&lt;HN$169,INDEX($FK$170:$ID$241,HN$169,$FJ188),SUMPRODUCT(INDEX($FK$325:$ID$396,HN$169,1+SwaptionShift):INDEX($FK$325:$ID$396,HN$169,SwaptionMonthsToGo+SwaptionShift),INDEX($FK$245:$ID$316,$FJ188-HN$169,73-HN$169+SwaptionShift):INDEX($FK$245:$ID$316,$FJ188-HN$169,72-HN$169+SwaptionMonthsToGo+SwaptionShift))/SQRT(SUM(INDEX($FK343:$ID343,1+SwaptionShift):INDEX($FK343:$ID343,SwaptionMonthsToGo+SwaptionShift))*SUM(INDEX($FK$325:$ID$396,HN$169,1+SwaptionShift):INDEX($FK$325:$ID$396,HN$169,SwaptionMonthsToGo+SwaptionShift))))))</f>
        <v/>
      </c>
      <c r="HO188" s="479" t="str">
        <f ca="1">IF(OR(HO$169&lt;SwaptionFirstMonthPosition+1,$FJ188&lt;SwaptionFirstMonthPosition+1,HO$169&gt;SwaptionFirstMonthPosition+SwaptionNumOfMonths+1,$FJ188&gt;SwaptionFirstMonthPosition+SwaptionNumOfMonths+1),"",IF($FJ188=HO$169,1,IF($FJ188&lt;HO$169,INDEX($FK$170:$ID$241,HO$169,$FJ188),SUMPRODUCT(INDEX($FK$325:$ID$396,HO$169,1+SwaptionShift):INDEX($FK$325:$ID$396,HO$169,SwaptionMonthsToGo+SwaptionShift),INDEX($FK$245:$ID$316,$FJ188-HO$169,73-HO$169+SwaptionShift):INDEX($FK$245:$ID$316,$FJ188-HO$169,72-HO$169+SwaptionMonthsToGo+SwaptionShift))/SQRT(SUM(INDEX($FK343:$ID343,1+SwaptionShift):INDEX($FK343:$ID343,SwaptionMonthsToGo+SwaptionShift))*SUM(INDEX($FK$325:$ID$396,HO$169,1+SwaptionShift):INDEX($FK$325:$ID$396,HO$169,SwaptionMonthsToGo+SwaptionShift))))))</f>
        <v/>
      </c>
      <c r="HP188" s="479" t="str">
        <f ca="1">IF(OR(HP$169&lt;SwaptionFirstMonthPosition+1,$FJ188&lt;SwaptionFirstMonthPosition+1,HP$169&gt;SwaptionFirstMonthPosition+SwaptionNumOfMonths+1,$FJ188&gt;SwaptionFirstMonthPosition+SwaptionNumOfMonths+1),"",IF($FJ188=HP$169,1,IF($FJ188&lt;HP$169,INDEX($FK$170:$ID$241,HP$169,$FJ188),SUMPRODUCT(INDEX($FK$325:$ID$396,HP$169,1+SwaptionShift):INDEX($FK$325:$ID$396,HP$169,SwaptionMonthsToGo+SwaptionShift),INDEX($FK$245:$ID$316,$FJ188-HP$169,73-HP$169+SwaptionShift):INDEX($FK$245:$ID$316,$FJ188-HP$169,72-HP$169+SwaptionMonthsToGo+SwaptionShift))/SQRT(SUM(INDEX($FK343:$ID343,1+SwaptionShift):INDEX($FK343:$ID343,SwaptionMonthsToGo+SwaptionShift))*SUM(INDEX($FK$325:$ID$396,HP$169,1+SwaptionShift):INDEX($FK$325:$ID$396,HP$169,SwaptionMonthsToGo+SwaptionShift))))))</f>
        <v/>
      </c>
      <c r="HQ188" s="479" t="str">
        <f ca="1">IF(OR(HQ$169&lt;SwaptionFirstMonthPosition+1,$FJ188&lt;SwaptionFirstMonthPosition+1,HQ$169&gt;SwaptionFirstMonthPosition+SwaptionNumOfMonths+1,$FJ188&gt;SwaptionFirstMonthPosition+SwaptionNumOfMonths+1),"",IF($FJ188=HQ$169,1,IF($FJ188&lt;HQ$169,INDEX($FK$170:$ID$241,HQ$169,$FJ188),SUMPRODUCT(INDEX($FK$325:$ID$396,HQ$169,1+SwaptionShift):INDEX($FK$325:$ID$396,HQ$169,SwaptionMonthsToGo+SwaptionShift),INDEX($FK$245:$ID$316,$FJ188-HQ$169,73-HQ$169+SwaptionShift):INDEX($FK$245:$ID$316,$FJ188-HQ$169,72-HQ$169+SwaptionMonthsToGo+SwaptionShift))/SQRT(SUM(INDEX($FK343:$ID343,1+SwaptionShift):INDEX($FK343:$ID343,SwaptionMonthsToGo+SwaptionShift))*SUM(INDEX($FK$325:$ID$396,HQ$169,1+SwaptionShift):INDEX($FK$325:$ID$396,HQ$169,SwaptionMonthsToGo+SwaptionShift))))))</f>
        <v/>
      </c>
      <c r="HR188" s="479" t="str">
        <f ca="1">IF(OR(HR$169&lt;SwaptionFirstMonthPosition+1,$FJ188&lt;SwaptionFirstMonthPosition+1,HR$169&gt;SwaptionFirstMonthPosition+SwaptionNumOfMonths+1,$FJ188&gt;SwaptionFirstMonthPosition+SwaptionNumOfMonths+1),"",IF($FJ188=HR$169,1,IF($FJ188&lt;HR$169,INDEX($FK$170:$ID$241,HR$169,$FJ188),SUMPRODUCT(INDEX($FK$325:$ID$396,HR$169,1+SwaptionShift):INDEX($FK$325:$ID$396,HR$169,SwaptionMonthsToGo+SwaptionShift),INDEX($FK$245:$ID$316,$FJ188-HR$169,73-HR$169+SwaptionShift):INDEX($FK$245:$ID$316,$FJ188-HR$169,72-HR$169+SwaptionMonthsToGo+SwaptionShift))/SQRT(SUM(INDEX($FK343:$ID343,1+SwaptionShift):INDEX($FK343:$ID343,SwaptionMonthsToGo+SwaptionShift))*SUM(INDEX($FK$325:$ID$396,HR$169,1+SwaptionShift):INDEX($FK$325:$ID$396,HR$169,SwaptionMonthsToGo+SwaptionShift))))))</f>
        <v/>
      </c>
      <c r="HS188" s="479" t="str">
        <f ca="1">IF(OR(HS$169&lt;SwaptionFirstMonthPosition+1,$FJ188&lt;SwaptionFirstMonthPosition+1,HS$169&gt;SwaptionFirstMonthPosition+SwaptionNumOfMonths+1,$FJ188&gt;SwaptionFirstMonthPosition+SwaptionNumOfMonths+1),"",IF($FJ188=HS$169,1,IF($FJ188&lt;HS$169,INDEX($FK$170:$ID$241,HS$169,$FJ188),SUMPRODUCT(INDEX($FK$325:$ID$396,HS$169,1+SwaptionShift):INDEX($FK$325:$ID$396,HS$169,SwaptionMonthsToGo+SwaptionShift),INDEX($FK$245:$ID$316,$FJ188-HS$169,73-HS$169+SwaptionShift):INDEX($FK$245:$ID$316,$FJ188-HS$169,72-HS$169+SwaptionMonthsToGo+SwaptionShift))/SQRT(SUM(INDEX($FK343:$ID343,1+SwaptionShift):INDEX($FK343:$ID343,SwaptionMonthsToGo+SwaptionShift))*SUM(INDEX($FK$325:$ID$396,HS$169,1+SwaptionShift):INDEX($FK$325:$ID$396,HS$169,SwaptionMonthsToGo+SwaptionShift))))))</f>
        <v/>
      </c>
      <c r="HT188" s="479" t="str">
        <f ca="1">IF(OR(HT$169&lt;SwaptionFirstMonthPosition+1,$FJ188&lt;SwaptionFirstMonthPosition+1,HT$169&gt;SwaptionFirstMonthPosition+SwaptionNumOfMonths+1,$FJ188&gt;SwaptionFirstMonthPosition+SwaptionNumOfMonths+1),"",IF($FJ188=HT$169,1,IF($FJ188&lt;HT$169,INDEX($FK$170:$ID$241,HT$169,$FJ188),SUMPRODUCT(INDEX($FK$325:$ID$396,HT$169,1+SwaptionShift):INDEX($FK$325:$ID$396,HT$169,SwaptionMonthsToGo+SwaptionShift),INDEX($FK$245:$ID$316,$FJ188-HT$169,73-HT$169+SwaptionShift):INDEX($FK$245:$ID$316,$FJ188-HT$169,72-HT$169+SwaptionMonthsToGo+SwaptionShift))/SQRT(SUM(INDEX($FK343:$ID343,1+SwaptionShift):INDEX($FK343:$ID343,SwaptionMonthsToGo+SwaptionShift))*SUM(INDEX($FK$325:$ID$396,HT$169,1+SwaptionShift):INDEX($FK$325:$ID$396,HT$169,SwaptionMonthsToGo+SwaptionShift))))))</f>
        <v/>
      </c>
      <c r="HU188" s="479" t="str">
        <f ca="1">IF(OR(HU$169&lt;SwaptionFirstMonthPosition+1,$FJ188&lt;SwaptionFirstMonthPosition+1,HU$169&gt;SwaptionFirstMonthPosition+SwaptionNumOfMonths+1,$FJ188&gt;SwaptionFirstMonthPosition+SwaptionNumOfMonths+1),"",IF($FJ188=HU$169,1,IF($FJ188&lt;HU$169,INDEX($FK$170:$ID$241,HU$169,$FJ188),SUMPRODUCT(INDEX($FK$325:$ID$396,HU$169,1+SwaptionShift):INDEX($FK$325:$ID$396,HU$169,SwaptionMonthsToGo+SwaptionShift),INDEX($FK$245:$ID$316,$FJ188-HU$169,73-HU$169+SwaptionShift):INDEX($FK$245:$ID$316,$FJ188-HU$169,72-HU$169+SwaptionMonthsToGo+SwaptionShift))/SQRT(SUM(INDEX($FK343:$ID343,1+SwaptionShift):INDEX($FK343:$ID343,SwaptionMonthsToGo+SwaptionShift))*SUM(INDEX($FK$325:$ID$396,HU$169,1+SwaptionShift):INDEX($FK$325:$ID$396,HU$169,SwaptionMonthsToGo+SwaptionShift))))))</f>
        <v/>
      </c>
      <c r="HV188" s="479" t="str">
        <f ca="1">IF(OR(HV$169&lt;SwaptionFirstMonthPosition+1,$FJ188&lt;SwaptionFirstMonthPosition+1,HV$169&gt;SwaptionFirstMonthPosition+SwaptionNumOfMonths+1,$FJ188&gt;SwaptionFirstMonthPosition+SwaptionNumOfMonths+1),"",IF($FJ188=HV$169,1,IF($FJ188&lt;HV$169,INDEX($FK$170:$ID$241,HV$169,$FJ188),SUMPRODUCT(INDEX($FK$325:$ID$396,HV$169,1+SwaptionShift):INDEX($FK$325:$ID$396,HV$169,SwaptionMonthsToGo+SwaptionShift),INDEX($FK$245:$ID$316,$FJ188-HV$169,73-HV$169+SwaptionShift):INDEX($FK$245:$ID$316,$FJ188-HV$169,72-HV$169+SwaptionMonthsToGo+SwaptionShift))/SQRT(SUM(INDEX($FK343:$ID343,1+SwaptionShift):INDEX($FK343:$ID343,SwaptionMonthsToGo+SwaptionShift))*SUM(INDEX($FK$325:$ID$396,HV$169,1+SwaptionShift):INDEX($FK$325:$ID$396,HV$169,SwaptionMonthsToGo+SwaptionShift))))))</f>
        <v/>
      </c>
      <c r="HW188" s="479" t="str">
        <f ca="1">IF(OR(HW$169&lt;SwaptionFirstMonthPosition+1,$FJ188&lt;SwaptionFirstMonthPosition+1,HW$169&gt;SwaptionFirstMonthPosition+SwaptionNumOfMonths+1,$FJ188&gt;SwaptionFirstMonthPosition+SwaptionNumOfMonths+1),"",IF($FJ188=HW$169,1,IF($FJ188&lt;HW$169,INDEX($FK$170:$ID$241,HW$169,$FJ188),SUMPRODUCT(INDEX($FK$325:$ID$396,HW$169,1+SwaptionShift):INDEX($FK$325:$ID$396,HW$169,SwaptionMonthsToGo+SwaptionShift),INDEX($FK$245:$ID$316,$FJ188-HW$169,73-HW$169+SwaptionShift):INDEX($FK$245:$ID$316,$FJ188-HW$169,72-HW$169+SwaptionMonthsToGo+SwaptionShift))/SQRT(SUM(INDEX($FK343:$ID343,1+SwaptionShift):INDEX($FK343:$ID343,SwaptionMonthsToGo+SwaptionShift))*SUM(INDEX($FK$325:$ID$396,HW$169,1+SwaptionShift):INDEX($FK$325:$ID$396,HW$169,SwaptionMonthsToGo+SwaptionShift))))))</f>
        <v/>
      </c>
      <c r="HX188" s="479" t="str">
        <f ca="1">IF(OR(HX$169&lt;SwaptionFirstMonthPosition+1,$FJ188&lt;SwaptionFirstMonthPosition+1,HX$169&gt;SwaptionFirstMonthPosition+SwaptionNumOfMonths+1,$FJ188&gt;SwaptionFirstMonthPosition+SwaptionNumOfMonths+1),"",IF($FJ188=HX$169,1,IF($FJ188&lt;HX$169,INDEX($FK$170:$ID$241,HX$169,$FJ188),SUMPRODUCT(INDEX($FK$325:$ID$396,HX$169,1+SwaptionShift):INDEX($FK$325:$ID$396,HX$169,SwaptionMonthsToGo+SwaptionShift),INDEX($FK$245:$ID$316,$FJ188-HX$169,73-HX$169+SwaptionShift):INDEX($FK$245:$ID$316,$FJ188-HX$169,72-HX$169+SwaptionMonthsToGo+SwaptionShift))/SQRT(SUM(INDEX($FK343:$ID343,1+SwaptionShift):INDEX($FK343:$ID343,SwaptionMonthsToGo+SwaptionShift))*SUM(INDEX($FK$325:$ID$396,HX$169,1+SwaptionShift):INDEX($FK$325:$ID$396,HX$169,SwaptionMonthsToGo+SwaptionShift))))))</f>
        <v/>
      </c>
      <c r="HY188" s="479" t="str">
        <f ca="1">IF(OR(HY$169&lt;SwaptionFirstMonthPosition+1,$FJ188&lt;SwaptionFirstMonthPosition+1,HY$169&gt;SwaptionFirstMonthPosition+SwaptionNumOfMonths+1,$FJ188&gt;SwaptionFirstMonthPosition+SwaptionNumOfMonths+1),"",IF($FJ188=HY$169,1,IF($FJ188&lt;HY$169,INDEX($FK$170:$ID$241,HY$169,$FJ188),SUMPRODUCT(INDEX($FK$325:$ID$396,HY$169,1+SwaptionShift):INDEX($FK$325:$ID$396,HY$169,SwaptionMonthsToGo+SwaptionShift),INDEX($FK$245:$ID$316,$FJ188-HY$169,73-HY$169+SwaptionShift):INDEX($FK$245:$ID$316,$FJ188-HY$169,72-HY$169+SwaptionMonthsToGo+SwaptionShift))/SQRT(SUM(INDEX($FK343:$ID343,1+SwaptionShift):INDEX($FK343:$ID343,SwaptionMonthsToGo+SwaptionShift))*SUM(INDEX($FK$325:$ID$396,HY$169,1+SwaptionShift):INDEX($FK$325:$ID$396,HY$169,SwaptionMonthsToGo+SwaptionShift))))))</f>
        <v/>
      </c>
      <c r="HZ188" s="479" t="str">
        <f ca="1">IF(OR(HZ$169&lt;SwaptionFirstMonthPosition+1,$FJ188&lt;SwaptionFirstMonthPosition+1,HZ$169&gt;SwaptionFirstMonthPosition+SwaptionNumOfMonths+1,$FJ188&gt;SwaptionFirstMonthPosition+SwaptionNumOfMonths+1),"",IF($FJ188=HZ$169,1,IF($FJ188&lt;HZ$169,INDEX($FK$170:$ID$241,HZ$169,$FJ188),SUMPRODUCT(INDEX($FK$325:$ID$396,HZ$169,1+SwaptionShift):INDEX($FK$325:$ID$396,HZ$169,SwaptionMonthsToGo+SwaptionShift),INDEX($FK$245:$ID$316,$FJ188-HZ$169,73-HZ$169+SwaptionShift):INDEX($FK$245:$ID$316,$FJ188-HZ$169,72-HZ$169+SwaptionMonthsToGo+SwaptionShift))/SQRT(SUM(INDEX($FK343:$ID343,1+SwaptionShift):INDEX($FK343:$ID343,SwaptionMonthsToGo+SwaptionShift))*SUM(INDEX($FK$325:$ID$396,HZ$169,1+SwaptionShift):INDEX($FK$325:$ID$396,HZ$169,SwaptionMonthsToGo+SwaptionShift))))))</f>
        <v/>
      </c>
      <c r="IA188" s="479" t="str">
        <f ca="1">IF(OR(IA$169&lt;SwaptionFirstMonthPosition+1,$FJ188&lt;SwaptionFirstMonthPosition+1,IA$169&gt;SwaptionFirstMonthPosition+SwaptionNumOfMonths+1,$FJ188&gt;SwaptionFirstMonthPosition+SwaptionNumOfMonths+1),"",IF($FJ188=IA$169,1,IF($FJ188&lt;IA$169,INDEX($FK$170:$ID$241,IA$169,$FJ188),SUMPRODUCT(INDEX($FK$325:$ID$396,IA$169,1+SwaptionShift):INDEX($FK$325:$ID$396,IA$169,SwaptionMonthsToGo+SwaptionShift),INDEX($FK$245:$ID$316,$FJ188-IA$169,73-IA$169+SwaptionShift):INDEX($FK$245:$ID$316,$FJ188-IA$169,72-IA$169+SwaptionMonthsToGo+SwaptionShift))/SQRT(SUM(INDEX($FK343:$ID343,1+SwaptionShift):INDEX($FK343:$ID343,SwaptionMonthsToGo+SwaptionShift))*SUM(INDEX($FK$325:$ID$396,IA$169,1+SwaptionShift):INDEX($FK$325:$ID$396,IA$169,SwaptionMonthsToGo+SwaptionShift))))))</f>
        <v/>
      </c>
      <c r="IB188" s="479" t="str">
        <f ca="1">IF(OR(IB$169&lt;SwaptionFirstMonthPosition+1,$FJ188&lt;SwaptionFirstMonthPosition+1,IB$169&gt;SwaptionFirstMonthPosition+SwaptionNumOfMonths+1,$FJ188&gt;SwaptionFirstMonthPosition+SwaptionNumOfMonths+1),"",IF($FJ188=IB$169,1,IF($FJ188&lt;IB$169,INDEX($FK$170:$ID$241,IB$169,$FJ188),SUMPRODUCT(INDEX($FK$325:$ID$396,IB$169,1+SwaptionShift):INDEX($FK$325:$ID$396,IB$169,SwaptionMonthsToGo+SwaptionShift),INDEX($FK$245:$ID$316,$FJ188-IB$169,73-IB$169+SwaptionShift):INDEX($FK$245:$ID$316,$FJ188-IB$169,72-IB$169+SwaptionMonthsToGo+SwaptionShift))/SQRT(SUM(INDEX($FK343:$ID343,1+SwaptionShift):INDEX($FK343:$ID343,SwaptionMonthsToGo+SwaptionShift))*SUM(INDEX($FK$325:$ID$396,IB$169,1+SwaptionShift):INDEX($FK$325:$ID$396,IB$169,SwaptionMonthsToGo+SwaptionShift))))))</f>
        <v/>
      </c>
      <c r="IC188" s="479" t="str">
        <f ca="1">IF(OR(IC$169&lt;SwaptionFirstMonthPosition+1,$FJ188&lt;SwaptionFirstMonthPosition+1,IC$169&gt;SwaptionFirstMonthPosition+SwaptionNumOfMonths+1,$FJ188&gt;SwaptionFirstMonthPosition+SwaptionNumOfMonths+1),"",IF($FJ188=IC$169,1,IF($FJ188&lt;IC$169,INDEX($FK$170:$ID$241,IC$169,$FJ188),SUMPRODUCT(INDEX($FK$325:$ID$396,IC$169,1+SwaptionShift):INDEX($FK$325:$ID$396,IC$169,SwaptionMonthsToGo+SwaptionShift),INDEX($FK$245:$ID$316,$FJ188-IC$169,73-IC$169+SwaptionShift):INDEX($FK$245:$ID$316,$FJ188-IC$169,72-IC$169+SwaptionMonthsToGo+SwaptionShift))/SQRT(SUM(INDEX($FK343:$ID343,1+SwaptionShift):INDEX($FK343:$ID343,SwaptionMonthsToGo+SwaptionShift))*SUM(INDEX($FK$325:$ID$396,IC$169,1+SwaptionShift):INDEX($FK$325:$ID$396,IC$169,SwaptionMonthsToGo+SwaptionShift))))))</f>
        <v/>
      </c>
      <c r="ID188" s="678" t="str">
        <f ca="1">IF(OR(ID$169&lt;SwaptionFirstMonthPosition+1,$FJ188&lt;SwaptionFirstMonthPosition+1,ID$169&gt;SwaptionFirstMonthPosition+SwaptionNumOfMonths+1,$FJ188&gt;SwaptionFirstMonthPosition+SwaptionNumOfMonths+1),"",IF($FJ188=ID$169,1,IF($FJ188&lt;ID$169,INDEX($FK$170:$ID$241,ID$169,$FJ188),SUMPRODUCT(INDEX($FK$325:$ID$396,ID$169,1+SwaptionShift):INDEX($FK$325:$ID$396,ID$169,SwaptionMonthsToGo+SwaptionShift),INDEX($FK$245:$ID$316,$FJ188-ID$169,73-ID$169+SwaptionShift):INDEX($FK$245:$ID$316,$FJ188-ID$169,72-ID$169+SwaptionMonthsToGo+SwaptionShift))/SQRT(SUM(INDEX($FK343:$ID343,1+SwaptionShift):INDEX($FK343:$ID343,SwaptionMonthsToGo+SwaptionShift))*SUM(INDEX($FK$325:$ID$396,ID$169,1+SwaptionShift):INDEX($FK$325:$ID$396,ID$169,SwaptionMonthsToGo+SwaptionShift))))))</f>
        <v/>
      </c>
      <c r="IE188" s="250"/>
    </row>
    <row r="189" spans="8:239">
      <c r="H189" s="51">
        <f t="shared" ca="1" si="527"/>
        <v>0</v>
      </c>
      <c r="I189" s="379">
        <f t="shared" si="528"/>
        <v>41913</v>
      </c>
      <c r="J189" s="377"/>
      <c r="K189" s="104" t="s">
        <v>268</v>
      </c>
      <c r="L189" s="392">
        <f t="shared" si="529"/>
        <v>3.4875000000000056</v>
      </c>
      <c r="M189" s="171"/>
      <c r="N189" s="382">
        <v>0</v>
      </c>
      <c r="O189" s="171">
        <f t="shared" si="490"/>
        <v>0</v>
      </c>
      <c r="P189" s="377"/>
      <c r="Q189" s="104" t="s">
        <v>268</v>
      </c>
      <c r="R189" s="377">
        <f t="shared" ca="1" si="547"/>
        <v>2.1310926046780279</v>
      </c>
      <c r="S189" s="832">
        <f t="shared" si="564"/>
        <v>0.3600000000000001</v>
      </c>
      <c r="T189" s="831">
        <f t="shared" si="548"/>
        <v>0.99999999999964273</v>
      </c>
      <c r="U189" s="545">
        <f t="shared" si="549"/>
        <v>0.99999999999999978</v>
      </c>
      <c r="V189" s="389">
        <v>0</v>
      </c>
      <c r="W189" s="434">
        <f t="shared" si="578"/>
        <v>0</v>
      </c>
      <c r="X189" s="415">
        <f t="shared" si="579"/>
        <v>3.539673913043484</v>
      </c>
      <c r="Y189" s="322">
        <f t="shared" si="580"/>
        <v>-1.1931</v>
      </c>
      <c r="Z189" s="322">
        <f t="shared" ca="1" si="581"/>
        <v>2.3465739130434837</v>
      </c>
      <c r="AA189" s="429">
        <f t="shared" si="495"/>
        <v>1.1931</v>
      </c>
      <c r="AB189" s="433">
        <f t="shared" ca="1" si="496"/>
        <v>1.1931</v>
      </c>
      <c r="AC189" s="229">
        <v>41902</v>
      </c>
      <c r="AD189" s="229">
        <v>41898</v>
      </c>
      <c r="AE189" s="229">
        <v>41897</v>
      </c>
      <c r="AF189" s="229">
        <v>41893</v>
      </c>
      <c r="AG189" s="249" t="s">
        <v>499</v>
      </c>
      <c r="AH189" s="247" t="s">
        <v>499</v>
      </c>
      <c r="AI189" s="146">
        <v>23</v>
      </c>
      <c r="AJ189" s="41">
        <v>14</v>
      </c>
      <c r="AK189" s="41">
        <v>9</v>
      </c>
      <c r="AL189" s="293">
        <v>23</v>
      </c>
      <c r="AM189" s="41">
        <v>10</v>
      </c>
      <c r="AN189" s="147">
        <v>13</v>
      </c>
      <c r="AO189" s="374"/>
      <c r="AP189" s="153">
        <f t="shared" ca="1" si="530"/>
        <v>1</v>
      </c>
      <c r="AQ189" s="374"/>
      <c r="AR189" s="153">
        <f t="shared" ca="1" si="550"/>
        <v>1</v>
      </c>
      <c r="AS189" s="272">
        <f t="shared" si="582"/>
        <v>0</v>
      </c>
      <c r="AT189" s="157">
        <f t="shared" si="531"/>
        <v>0</v>
      </c>
      <c r="AU189" s="157">
        <f t="shared" si="498"/>
        <v>0</v>
      </c>
      <c r="AV189" s="271">
        <f t="shared" ca="1" si="558"/>
        <v>9.9999999999999995E-7</v>
      </c>
      <c r="AW189" s="158" t="str">
        <f t="shared" ca="1" si="583"/>
        <v/>
      </c>
      <c r="AX189" s="157">
        <f t="shared" ca="1" si="551"/>
        <v>8.480513964781203E-5</v>
      </c>
      <c r="AY189" s="157">
        <f t="shared" ca="1" si="552"/>
        <v>2.1269163569552718E-5</v>
      </c>
      <c r="AZ189" s="157">
        <f t="shared" ca="1" si="553"/>
        <v>8.4200190110010019E-7</v>
      </c>
      <c r="BA189" s="157">
        <f t="shared" ca="1" si="554"/>
        <v>1.0525023763751252E-7</v>
      </c>
      <c r="BB189" s="157">
        <f t="shared" ca="1" si="555"/>
        <v>7.4381342506784266E-10</v>
      </c>
      <c r="BC189" s="157">
        <f t="shared" ca="1" si="556"/>
        <v>2.2155225045503374E-11</v>
      </c>
      <c r="BD189" s="151">
        <f t="shared" ca="1" si="584"/>
        <v>0</v>
      </c>
      <c r="BE189" s="152">
        <f t="shared" ca="1" si="585"/>
        <v>0</v>
      </c>
      <c r="BF189" s="40">
        <f t="shared" si="586"/>
        <v>2014</v>
      </c>
      <c r="BG189" s="144">
        <f t="shared" si="587"/>
        <v>10</v>
      </c>
      <c r="BH189" s="145">
        <f t="shared" ca="1" si="588"/>
        <v>5153</v>
      </c>
      <c r="BI189" s="313">
        <f t="shared" ca="1" si="568"/>
        <v>14.149212867898699</v>
      </c>
      <c r="BJ189" s="42">
        <f t="shared" ca="1" si="505"/>
        <v>14.199208404011546</v>
      </c>
      <c r="BK189" s="42">
        <f t="shared" ca="1" si="506"/>
        <v>14.201946254798679</v>
      </c>
      <c r="BL189" s="42">
        <f t="shared" ca="1" si="569"/>
        <v>14.231348391512663</v>
      </c>
      <c r="BM189" s="150" t="e">
        <f t="shared" ca="1" si="507"/>
        <v>#DIV/0!</v>
      </c>
      <c r="BN189" s="42" t="e">
        <f t="shared" ca="1" si="508"/>
        <v>#DIV/0!</v>
      </c>
      <c r="BO189" s="293">
        <f t="shared" si="570"/>
        <v>23</v>
      </c>
      <c r="BP189" s="41">
        <f t="shared" si="571"/>
        <v>14</v>
      </c>
      <c r="BQ189" s="41">
        <f t="shared" si="572"/>
        <v>9</v>
      </c>
      <c r="BR189" s="305" t="str">
        <f t="shared" ca="1" si="509"/>
        <v/>
      </c>
      <c r="BS189" s="305" t="str">
        <f t="shared" ca="1" si="573"/>
        <v/>
      </c>
      <c r="BT189" s="307" t="str">
        <f t="shared" ca="1" si="574"/>
        <v/>
      </c>
      <c r="BU189" s="161" t="str">
        <f t="shared" ca="1" si="510"/>
        <v/>
      </c>
      <c r="BV189" s="161" t="str">
        <f t="shared" ca="1" si="511"/>
        <v/>
      </c>
      <c r="BW189" s="308" t="str">
        <f t="shared" ca="1" si="512"/>
        <v/>
      </c>
      <c r="BX189" s="309" t="str">
        <f t="shared" ca="1" si="513"/>
        <v/>
      </c>
      <c r="BY189" s="308" t="str">
        <f t="shared" ca="1" si="575"/>
        <v/>
      </c>
      <c r="BZ189" s="309" t="str">
        <f t="shared" ca="1" si="576"/>
        <v/>
      </c>
      <c r="CA189" s="154" t="str">
        <f t="shared" ca="1" si="514"/>
        <v/>
      </c>
      <c r="CB189" s="154" t="str">
        <f t="shared" ca="1" si="515"/>
        <v/>
      </c>
      <c r="CC189" s="154" t="str">
        <f t="shared" ca="1" si="516"/>
        <v/>
      </c>
      <c r="CD189" s="154" t="str">
        <f t="shared" ca="1" si="517"/>
        <v/>
      </c>
      <c r="CE189" s="310">
        <v>1</v>
      </c>
      <c r="CF189" s="162">
        <f ca="1">IF(BD189,_xll.xCrudeAPO(BU189,BV189,CA189,CB189,S190,S191,BI189,BL189,BP189,BQ189,0,Strike1,AO189,CE189,0,BL189,IF(OptControl=4,0,1),0,1),0)</f>
        <v>0</v>
      </c>
      <c r="CG189" s="163">
        <f ca="1">IF(BD189,_xll.xCrudeAPO(BU189,BV189,CA189,CB189,S190,S191,BI189,BL189,BP189,BQ189,0,Strike1,AO189,CE189,0,BL189,IF(OptControl=4,0,1),1,1)+_xll.xCrudeAPO(BU189,BV189,CA189,CB189,S190,S191,BI189,BL189,BP189,BQ189,0,Strike1,AO189,CE189,0,BL189,IF(OptControl=4,0,1),1,2)+IF(OR(VolSkewFlag=2,ABS(BS189)&lt;0.0001),0,IF(BS189&gt;0,-1,1)*CH189*Strike1/BR189^2*BY189/10%),0)</f>
        <v>0</v>
      </c>
      <c r="CH189" s="163">
        <f ca="1">IF(BD189,(_xll.xCrudeAPO(BU189,BV189,CA189,CB189,S190,S191,BI189,BL189,BP189,BQ189,0,Strike1,AO189,CE189,0,BL189,IF(OptControl=4,0,1),3,1)+_xll.xCrudeAPO(BU189,BV189,CA189,CB189,S190,S191,BI189,BL189,BP189,BQ189,0,Strike1,AO189,CE189,0,BL189,IF(OptControl=4,0,1),3,2))/100,0)</f>
        <v>0</v>
      </c>
      <c r="CI189" s="163">
        <f ca="1">IF(BD189,_xll.xCrudeAPO(BU189,BV189,CA189,CB189,S190,S191,BI189-DaysForThetaCalculation/365.25,BL189-DaysForThetaCalculation/365.25,BP189,BQ189,0,Strike1,AO189,CE189,0,BL189,IF(OptControl=4,0,1),0,1)-_xll.xCrudeAPO(BU189,BV189,CA189,CB189,S190,S191,BI189,BL189,BP189,BQ189,0,Strike1,AO189,CE189,0,BL189,IF(OptControl=4,0,1),0,1),0)</f>
        <v>0</v>
      </c>
      <c r="CJ189" s="311">
        <f ca="1">IF(BD189,_xll.xCrudeAPO(BU189,BV189,CC189,CD189,S190,S191,BI189,BL189,BP189,BQ189,0,Strike2,AO189,CE189,0,BL189,IF(OptControl=3,1,0),0,1),0)</f>
        <v>0</v>
      </c>
      <c r="CK189" s="163">
        <f ca="1">IF(BD189,_xll.xCrudeAPO(BU189,BV189,CC189,CD189,S190,S191,BI189,BL189,BP189,BQ189,0,Strike2,AO189,CE189,0,BL189,IF(OptControl=3,1,0),1,1)+_xll.xCrudeAPO(BU189,BV189,CC189,CD189,S190,S191,BI189,BL189,BP189,BQ189,0,Strike2,AO189,CE189,0,BL189,IF(OptControl=3,1,0),1,2)+IF(OR(VolSkewFlag=2,ABS(BT189)&lt;0.0001),0,IF(BT189&gt;0,-1,1)*CL189*Strike2/BR189^2*BZ189/10%),0)</f>
        <v>0</v>
      </c>
      <c r="CL189" s="163">
        <f ca="1">IF(BD189,(_xll.xCrudeAPO(BU189,BV189,CC189,CD189,S190,S191,BI189,BL189,BP189,BQ189,0,Strike2,AO189,CE189,0,BL189,IF(OptControl=3,1,0),3,1)+_xll.xCrudeAPO(BU189,BV189,CC189,CD189,S190,S191,BI189,BL189,BP189,BQ189,0,Strike2,AO189,CE189,0,BL189,IF(OptControl=3,1,0),3,2))/100,0)</f>
        <v>0</v>
      </c>
      <c r="CM189" s="164">
        <f ca="1">IF(BD189,_xll.xCrudeAPO(BU189,BV189,CC189,CD189,S190,S191,BI189-DaysForThetaCalculation/365.25,BL189-DaysForThetaCalculation/365.25,BP189,BQ189,0,Strike2,AO189,CE189,0,BL189,IF(OptControl=3,1,0),0,1)-_xll.xCrudeAPO(BU189,BV189,CC189,CD189,S190,S191,BI189,BL189,BP189,BQ189,0,Strike2,AO189,CE189,0,BL189,IF(OptControl=3,1,0),0,1),0)</f>
        <v>0</v>
      </c>
      <c r="CN189" s="53"/>
      <c r="CO189" s="796" t="str">
        <f t="shared" ca="1" si="532"/>
        <v/>
      </c>
      <c r="CP189" s="800" t="str">
        <f t="shared" ca="1" si="533"/>
        <v/>
      </c>
      <c r="CQ189" s="797" t="str">
        <f t="shared" ca="1" si="534"/>
        <v/>
      </c>
      <c r="CR189" s="797" t="str">
        <f t="shared" ca="1" si="535"/>
        <v/>
      </c>
      <c r="CS189" s="797" t="str">
        <f t="shared" ca="1" si="536"/>
        <v/>
      </c>
      <c r="CT189" s="797" t="str">
        <f t="shared" ca="1" si="537"/>
        <v/>
      </c>
      <c r="CU189" s="798" t="str">
        <f t="shared" ca="1" si="538"/>
        <v/>
      </c>
      <c r="CV189" s="799" t="str">
        <f t="shared" ca="1" si="539"/>
        <v/>
      </c>
      <c r="CW189" s="799" t="str">
        <f t="shared" ca="1" si="540"/>
        <v/>
      </c>
      <c r="CX189" s="163">
        <f ca="1">IF(BD189,_xll.EURO(CP189,Strike1,AO189,AO189,CV189,CO189,IF(OptControl=4,0,1),0),0)</f>
        <v>0</v>
      </c>
      <c r="CY189" s="163">
        <f ca="1">IF(BD189,_xll.EURO(CP189,Strike1,AO189,AO189,CV189,CO189,IF(OptControl=4,0,1),1)+IF(OR(VolSkewFlag=2,ABS(CQ189)&lt;0.0001),0,IF(CQ189&gt;0,-1,1)*CZ189*100*Strike1/CP189^2*CS189/10%),0)</f>
        <v>0</v>
      </c>
      <c r="CZ189" s="163">
        <f ca="1">IF(BD189,_xll.EURO(CP189,Strike1,AO189,AO189,CV189,CO189,IF(OptControl=4,0,1),3)/100,0)</f>
        <v>0</v>
      </c>
      <c r="DA189" s="163">
        <f ca="1">IF(BD189,_xll.EURO(CP189,Strike1,AO189,AO189,CV189,CO189,IF(OptControl=4,0,1),0)-_xll.EURO(CP189,Strike1,AO189,AO189,CV189,CO189-1,IF(OptControl=4,0,1),0),0)</f>
        <v>0</v>
      </c>
      <c r="DB189" s="163">
        <f ca="1">IF(BD189,_xll.EURO(CP189,Strike2,AO189,AO189,CW189,CO189,IF(OptControl=3,1,0),0),0)</f>
        <v>0</v>
      </c>
      <c r="DC189" s="163">
        <f ca="1">IF(BD189,_xll.EURO(CP189,Strike2,AO189,AO189,CW189,CO189,IF(OptControl=3,1,0),1)+IF(OR(VolSkewFlag=2,ABS(CR189)&lt;0.0001),0,IF(CR189&gt;0,-1,1)*DD189*100*Strike2/CP189^2*CT189/10%),0)</f>
        <v>0</v>
      </c>
      <c r="DD189" s="163">
        <f ca="1">IF(BD189,_xll.EURO(CP189,Strike2,AO189,AO189,CW189,CO189,IF(OptControl=3,1,0),3)/100,0)</f>
        <v>0</v>
      </c>
      <c r="DE189" s="164">
        <f ca="1">IF(BD189,_xll.EURO(CP189,Strike2,AO189,AO189,CW189,CO189,IF(OptControl=3,1,0),0)-_xll.EURO(CP189,Strike2,AO189,AO189,CW189,CO189-1,IF(OptControl=3,1,0),0),0)</f>
        <v>0</v>
      </c>
      <c r="DG189" s="667">
        <f t="shared" ca="1" si="541"/>
        <v>41699</v>
      </c>
      <c r="DH189" s="475">
        <v>22.610000000000067</v>
      </c>
      <c r="DI189" s="665">
        <v>22.676666666666733</v>
      </c>
      <c r="DJ189" s="666">
        <f t="shared" ca="1" si="589"/>
        <v>41699</v>
      </c>
      <c r="DK189" s="475">
        <v>21.447617508884495</v>
      </c>
      <c r="DL189" s="665">
        <v>21.508166666666732</v>
      </c>
      <c r="DM189" s="667">
        <f t="shared" ca="1" si="590"/>
        <v>41699</v>
      </c>
      <c r="DN189" s="668">
        <f t="shared" si="591"/>
        <v>21.497617508884495</v>
      </c>
      <c r="DO189" s="667">
        <f t="shared" ca="1" si="542"/>
        <v>41699</v>
      </c>
      <c r="DP189" s="579">
        <f t="shared" si="543"/>
        <v>21.508166666666732</v>
      </c>
      <c r="DQ189" s="821">
        <v>0</v>
      </c>
      <c r="DR189" s="666">
        <f t="shared" ca="1" si="592"/>
        <v>41699</v>
      </c>
      <c r="DS189" s="669">
        <v>0.12319999999999803</v>
      </c>
      <c r="DT189" s="606">
        <v>0.12239999999999802</v>
      </c>
      <c r="DU189" s="666">
        <f t="shared" ca="1" si="593"/>
        <v>41699</v>
      </c>
      <c r="DV189" s="669">
        <v>0.12319999999999803</v>
      </c>
      <c r="DW189" s="606">
        <v>0.12239999999999802</v>
      </c>
      <c r="DX189" s="667">
        <f t="shared" ca="1" si="594"/>
        <v>41699</v>
      </c>
      <c r="DY189" s="606">
        <v>0.35</v>
      </c>
      <c r="DZ189" s="667">
        <f t="shared" ca="1" si="544"/>
        <v>41699</v>
      </c>
      <c r="EA189" s="606">
        <f t="shared" si="545"/>
        <v>0.12239999999999802</v>
      </c>
      <c r="EB189" s="1"/>
      <c r="EC189" s="118" t="str">
        <f t="shared" ca="1" si="595"/>
        <v/>
      </c>
      <c r="ED189" s="119" t="str">
        <f t="shared" ca="1" si="525"/>
        <v/>
      </c>
      <c r="EE189" s="112" t="str">
        <f t="shared" ca="1" si="526"/>
        <v/>
      </c>
      <c r="EF189" s="120">
        <f ca="1">IF(BD189,_xll.xASN(BR189,Strike1,AO189,ED189,0,BO189,0,BI189,BL189,IF(OptControl=4,0,1),0),0)</f>
        <v>0</v>
      </c>
      <c r="EG189" s="111">
        <f ca="1">IF(BD189,_xll.xASN(BR189,Strike2,AO189,EE189,0,BO189,0,BI189,BL189,IF(OptControl=3,1,0),0),0)</f>
        <v>0</v>
      </c>
      <c r="EL189" s="55"/>
      <c r="EM189" s="1"/>
      <c r="EN189" s="106"/>
      <c r="EO189" s="106"/>
      <c r="EP189" s="1"/>
      <c r="EQ189" s="683" t="s">
        <v>402</v>
      </c>
      <c r="ES189" s="455"/>
      <c r="ET189" s="36"/>
      <c r="EU189" s="107"/>
      <c r="EV189" s="475"/>
      <c r="EW189" s="456"/>
      <c r="EX189" s="456"/>
      <c r="EY189" s="250"/>
      <c r="EZ189" s="250"/>
      <c r="FA189" s="250"/>
      <c r="FB189" s="250"/>
      <c r="FC189" s="250"/>
      <c r="FD189" s="250"/>
      <c r="FE189" s="250"/>
      <c r="FF189" s="250"/>
      <c r="FG189" s="250"/>
      <c r="FH189" s="250"/>
      <c r="FI189" s="250"/>
      <c r="FJ189" s="673">
        <v>20</v>
      </c>
      <c r="FK189" s="479" t="str">
        <f ca="1">IF(OR(FK$169&lt;SwaptionFirstMonthPosition+1,$FJ189&lt;SwaptionFirstMonthPosition+1,FK$169&gt;SwaptionFirstMonthPosition+SwaptionNumOfMonths+1,$FJ189&gt;SwaptionFirstMonthPosition+SwaptionNumOfMonths+1),"",IF($FJ189=FK$169,1,IF($FJ189&lt;FK$169,INDEX($FK$170:$ID$241,FK$169,$FJ189),SUMPRODUCT(INDEX($FK$325:$ID$396,FK$169,1+SwaptionShift):INDEX($FK$325:$ID$396,FK$169,SwaptionMonthsToGo+SwaptionShift),INDEX($FK$245:$ID$316,$FJ189-FK$169,73-FK$169+SwaptionShift):INDEX($FK$245:$ID$316,$FJ189-FK$169,72-FK$169+SwaptionMonthsToGo+SwaptionShift))/SQRT(SUM(INDEX($FK344:$ID344,1+SwaptionShift):INDEX($FK344:$ID344,SwaptionMonthsToGo+SwaptionShift))*SUM(INDEX($FK$325:$ID$396,FK$169,1+SwaptionShift):INDEX($FK$325:$ID$396,FK$169,SwaptionMonthsToGo+SwaptionShift))))))</f>
        <v/>
      </c>
      <c r="FL189" s="479" t="str">
        <f ca="1">IF(OR(FL$169&lt;SwaptionFirstMonthPosition+1,$FJ189&lt;SwaptionFirstMonthPosition+1,FL$169&gt;SwaptionFirstMonthPosition+SwaptionNumOfMonths+1,$FJ189&gt;SwaptionFirstMonthPosition+SwaptionNumOfMonths+1),"",IF($FJ189=FL$169,1,IF($FJ189&lt;FL$169,INDEX($FK$170:$ID$241,FL$169,$FJ189),SUMPRODUCT(INDEX($FK$325:$ID$396,FL$169,1+SwaptionShift):INDEX($FK$325:$ID$396,FL$169,SwaptionMonthsToGo+SwaptionShift),INDEX($FK$245:$ID$316,$FJ189-FL$169,73-FL$169+SwaptionShift):INDEX($FK$245:$ID$316,$FJ189-FL$169,72-FL$169+SwaptionMonthsToGo+SwaptionShift))/SQRT(SUM(INDEX($FK344:$ID344,1+SwaptionShift):INDEX($FK344:$ID344,SwaptionMonthsToGo+SwaptionShift))*SUM(INDEX($FK$325:$ID$396,FL$169,1+SwaptionShift):INDEX($FK$325:$ID$396,FL$169,SwaptionMonthsToGo+SwaptionShift))))))</f>
        <v/>
      </c>
      <c r="FM189" s="479" t="str">
        <f ca="1">IF(OR(FM$169&lt;SwaptionFirstMonthPosition+1,$FJ189&lt;SwaptionFirstMonthPosition+1,FM$169&gt;SwaptionFirstMonthPosition+SwaptionNumOfMonths+1,$FJ189&gt;SwaptionFirstMonthPosition+SwaptionNumOfMonths+1),"",IF($FJ189=FM$169,1,IF($FJ189&lt;FM$169,INDEX($FK$170:$ID$241,FM$169,$FJ189),SUMPRODUCT(INDEX($FK$325:$ID$396,FM$169,1+SwaptionShift):INDEX($FK$325:$ID$396,FM$169,SwaptionMonthsToGo+SwaptionShift),INDEX($FK$245:$ID$316,$FJ189-FM$169,73-FM$169+SwaptionShift):INDEX($FK$245:$ID$316,$FJ189-FM$169,72-FM$169+SwaptionMonthsToGo+SwaptionShift))/SQRT(SUM(INDEX($FK344:$ID344,1+SwaptionShift):INDEX($FK344:$ID344,SwaptionMonthsToGo+SwaptionShift))*SUM(INDEX($FK$325:$ID$396,FM$169,1+SwaptionShift):INDEX($FK$325:$ID$396,FM$169,SwaptionMonthsToGo+SwaptionShift))))))</f>
        <v/>
      </c>
      <c r="FN189" s="479" t="str">
        <f ca="1">IF(OR(FN$169&lt;SwaptionFirstMonthPosition+1,$FJ189&lt;SwaptionFirstMonthPosition+1,FN$169&gt;SwaptionFirstMonthPosition+SwaptionNumOfMonths+1,$FJ189&gt;SwaptionFirstMonthPosition+SwaptionNumOfMonths+1),"",IF($FJ189=FN$169,1,IF($FJ189&lt;FN$169,INDEX($FK$170:$ID$241,FN$169,$FJ189),SUMPRODUCT(INDEX($FK$325:$ID$396,FN$169,1+SwaptionShift):INDEX($FK$325:$ID$396,FN$169,SwaptionMonthsToGo+SwaptionShift),INDEX($FK$245:$ID$316,$FJ189-FN$169,73-FN$169+SwaptionShift):INDEX($FK$245:$ID$316,$FJ189-FN$169,72-FN$169+SwaptionMonthsToGo+SwaptionShift))/SQRT(SUM(INDEX($FK344:$ID344,1+SwaptionShift):INDEX($FK344:$ID344,SwaptionMonthsToGo+SwaptionShift))*SUM(INDEX($FK$325:$ID$396,FN$169,1+SwaptionShift):INDEX($FK$325:$ID$396,FN$169,SwaptionMonthsToGo+SwaptionShift))))))</f>
        <v/>
      </c>
      <c r="FO189" s="479" t="str">
        <f ca="1">IF(OR(FO$169&lt;SwaptionFirstMonthPosition+1,$FJ189&lt;SwaptionFirstMonthPosition+1,FO$169&gt;SwaptionFirstMonthPosition+SwaptionNumOfMonths+1,$FJ189&gt;SwaptionFirstMonthPosition+SwaptionNumOfMonths+1),"",IF($FJ189=FO$169,1,IF($FJ189&lt;FO$169,INDEX($FK$170:$ID$241,FO$169,$FJ189),SUMPRODUCT(INDEX($FK$325:$ID$396,FO$169,1+SwaptionShift):INDEX($FK$325:$ID$396,FO$169,SwaptionMonthsToGo+SwaptionShift),INDEX($FK$245:$ID$316,$FJ189-FO$169,73-FO$169+SwaptionShift):INDEX($FK$245:$ID$316,$FJ189-FO$169,72-FO$169+SwaptionMonthsToGo+SwaptionShift))/SQRT(SUM(INDEX($FK344:$ID344,1+SwaptionShift):INDEX($FK344:$ID344,SwaptionMonthsToGo+SwaptionShift))*SUM(INDEX($FK$325:$ID$396,FO$169,1+SwaptionShift):INDEX($FK$325:$ID$396,FO$169,SwaptionMonthsToGo+SwaptionShift))))))</f>
        <v/>
      </c>
      <c r="FP189" s="479" t="str">
        <f ca="1">IF(OR(FP$169&lt;SwaptionFirstMonthPosition+1,$FJ189&lt;SwaptionFirstMonthPosition+1,FP$169&gt;SwaptionFirstMonthPosition+SwaptionNumOfMonths+1,$FJ189&gt;SwaptionFirstMonthPosition+SwaptionNumOfMonths+1),"",IF($FJ189=FP$169,1,IF($FJ189&lt;FP$169,INDEX($FK$170:$ID$241,FP$169,$FJ189),SUMPRODUCT(INDEX($FK$325:$ID$396,FP$169,1+SwaptionShift):INDEX($FK$325:$ID$396,FP$169,SwaptionMonthsToGo+SwaptionShift),INDEX($FK$245:$ID$316,$FJ189-FP$169,73-FP$169+SwaptionShift):INDEX($FK$245:$ID$316,$FJ189-FP$169,72-FP$169+SwaptionMonthsToGo+SwaptionShift))/SQRT(SUM(INDEX($FK344:$ID344,1+SwaptionShift):INDEX($FK344:$ID344,SwaptionMonthsToGo+SwaptionShift))*SUM(INDEX($FK$325:$ID$396,FP$169,1+SwaptionShift):INDEX($FK$325:$ID$396,FP$169,SwaptionMonthsToGo+SwaptionShift))))))</f>
        <v/>
      </c>
      <c r="FQ189" s="479" t="str">
        <f ca="1">IF(OR(FQ$169&lt;SwaptionFirstMonthPosition+1,$FJ189&lt;SwaptionFirstMonthPosition+1,FQ$169&gt;SwaptionFirstMonthPosition+SwaptionNumOfMonths+1,$FJ189&gt;SwaptionFirstMonthPosition+SwaptionNumOfMonths+1),"",IF($FJ189=FQ$169,1,IF($FJ189&lt;FQ$169,INDEX($FK$170:$ID$241,FQ$169,$FJ189),SUMPRODUCT(INDEX($FK$325:$ID$396,FQ$169,1+SwaptionShift):INDEX($FK$325:$ID$396,FQ$169,SwaptionMonthsToGo+SwaptionShift),INDEX($FK$245:$ID$316,$FJ189-FQ$169,73-FQ$169+SwaptionShift):INDEX($FK$245:$ID$316,$FJ189-FQ$169,72-FQ$169+SwaptionMonthsToGo+SwaptionShift))/SQRT(SUM(INDEX($FK344:$ID344,1+SwaptionShift):INDEX($FK344:$ID344,SwaptionMonthsToGo+SwaptionShift))*SUM(INDEX($FK$325:$ID$396,FQ$169,1+SwaptionShift):INDEX($FK$325:$ID$396,FQ$169,SwaptionMonthsToGo+SwaptionShift))))))</f>
        <v/>
      </c>
      <c r="FR189" s="479" t="str">
        <f ca="1">IF(OR(FR$169&lt;SwaptionFirstMonthPosition+1,$FJ189&lt;SwaptionFirstMonthPosition+1,FR$169&gt;SwaptionFirstMonthPosition+SwaptionNumOfMonths+1,$FJ189&gt;SwaptionFirstMonthPosition+SwaptionNumOfMonths+1),"",IF($FJ189=FR$169,1,IF($FJ189&lt;FR$169,INDEX($FK$170:$ID$241,FR$169,$FJ189),SUMPRODUCT(INDEX($FK$325:$ID$396,FR$169,1+SwaptionShift):INDEX($FK$325:$ID$396,FR$169,SwaptionMonthsToGo+SwaptionShift),INDEX($FK$245:$ID$316,$FJ189-FR$169,73-FR$169+SwaptionShift):INDEX($FK$245:$ID$316,$FJ189-FR$169,72-FR$169+SwaptionMonthsToGo+SwaptionShift))/SQRT(SUM(INDEX($FK344:$ID344,1+SwaptionShift):INDEX($FK344:$ID344,SwaptionMonthsToGo+SwaptionShift))*SUM(INDEX($FK$325:$ID$396,FR$169,1+SwaptionShift):INDEX($FK$325:$ID$396,FR$169,SwaptionMonthsToGo+SwaptionShift))))))</f>
        <v/>
      </c>
      <c r="FS189" s="479" t="str">
        <f ca="1">IF(OR(FS$169&lt;SwaptionFirstMonthPosition+1,$FJ189&lt;SwaptionFirstMonthPosition+1,FS$169&gt;SwaptionFirstMonthPosition+SwaptionNumOfMonths+1,$FJ189&gt;SwaptionFirstMonthPosition+SwaptionNumOfMonths+1),"",IF($FJ189=FS$169,1,IF($FJ189&lt;FS$169,INDEX($FK$170:$ID$241,FS$169,$FJ189),SUMPRODUCT(INDEX($FK$325:$ID$396,FS$169,1+SwaptionShift):INDEX($FK$325:$ID$396,FS$169,SwaptionMonthsToGo+SwaptionShift),INDEX($FK$245:$ID$316,$FJ189-FS$169,73-FS$169+SwaptionShift):INDEX($FK$245:$ID$316,$FJ189-FS$169,72-FS$169+SwaptionMonthsToGo+SwaptionShift))/SQRT(SUM(INDEX($FK344:$ID344,1+SwaptionShift):INDEX($FK344:$ID344,SwaptionMonthsToGo+SwaptionShift))*SUM(INDEX($FK$325:$ID$396,FS$169,1+SwaptionShift):INDEX($FK$325:$ID$396,FS$169,SwaptionMonthsToGo+SwaptionShift))))))</f>
        <v/>
      </c>
      <c r="FT189" s="479" t="str">
        <f ca="1">IF(OR(FT$169&lt;SwaptionFirstMonthPosition+1,$FJ189&lt;SwaptionFirstMonthPosition+1,FT$169&gt;SwaptionFirstMonthPosition+SwaptionNumOfMonths+1,$FJ189&gt;SwaptionFirstMonthPosition+SwaptionNumOfMonths+1),"",IF($FJ189=FT$169,1,IF($FJ189&lt;FT$169,INDEX($FK$170:$ID$241,FT$169,$FJ189),SUMPRODUCT(INDEX($FK$325:$ID$396,FT$169,1+SwaptionShift):INDEX($FK$325:$ID$396,FT$169,SwaptionMonthsToGo+SwaptionShift),INDEX($FK$245:$ID$316,$FJ189-FT$169,73-FT$169+SwaptionShift):INDEX($FK$245:$ID$316,$FJ189-FT$169,72-FT$169+SwaptionMonthsToGo+SwaptionShift))/SQRT(SUM(INDEX($FK344:$ID344,1+SwaptionShift):INDEX($FK344:$ID344,SwaptionMonthsToGo+SwaptionShift))*SUM(INDEX($FK$325:$ID$396,FT$169,1+SwaptionShift):INDEX($FK$325:$ID$396,FT$169,SwaptionMonthsToGo+SwaptionShift))))))</f>
        <v/>
      </c>
      <c r="FU189" s="479" t="str">
        <f ca="1">IF(OR(FU$169&lt;SwaptionFirstMonthPosition+1,$FJ189&lt;SwaptionFirstMonthPosition+1,FU$169&gt;SwaptionFirstMonthPosition+SwaptionNumOfMonths+1,$FJ189&gt;SwaptionFirstMonthPosition+SwaptionNumOfMonths+1),"",IF($FJ189=FU$169,1,IF($FJ189&lt;FU$169,INDEX($FK$170:$ID$241,FU$169,$FJ189),SUMPRODUCT(INDEX($FK$325:$ID$396,FU$169,1+SwaptionShift):INDEX($FK$325:$ID$396,FU$169,SwaptionMonthsToGo+SwaptionShift),INDEX($FK$245:$ID$316,$FJ189-FU$169,73-FU$169+SwaptionShift):INDEX($FK$245:$ID$316,$FJ189-FU$169,72-FU$169+SwaptionMonthsToGo+SwaptionShift))/SQRT(SUM(INDEX($FK344:$ID344,1+SwaptionShift):INDEX($FK344:$ID344,SwaptionMonthsToGo+SwaptionShift))*SUM(INDEX($FK$325:$ID$396,FU$169,1+SwaptionShift):INDEX($FK$325:$ID$396,FU$169,SwaptionMonthsToGo+SwaptionShift))))))</f>
        <v/>
      </c>
      <c r="FV189" s="479" t="str">
        <f ca="1">IF(OR(FV$169&lt;SwaptionFirstMonthPosition+1,$FJ189&lt;SwaptionFirstMonthPosition+1,FV$169&gt;SwaptionFirstMonthPosition+SwaptionNumOfMonths+1,$FJ189&gt;SwaptionFirstMonthPosition+SwaptionNumOfMonths+1),"",IF($FJ189=FV$169,1,IF($FJ189&lt;FV$169,INDEX($FK$170:$ID$241,FV$169,$FJ189),SUMPRODUCT(INDEX($FK$325:$ID$396,FV$169,1+SwaptionShift):INDEX($FK$325:$ID$396,FV$169,SwaptionMonthsToGo+SwaptionShift),INDEX($FK$245:$ID$316,$FJ189-FV$169,73-FV$169+SwaptionShift):INDEX($FK$245:$ID$316,$FJ189-FV$169,72-FV$169+SwaptionMonthsToGo+SwaptionShift))/SQRT(SUM(INDEX($FK344:$ID344,1+SwaptionShift):INDEX($FK344:$ID344,SwaptionMonthsToGo+SwaptionShift))*SUM(INDEX($FK$325:$ID$396,FV$169,1+SwaptionShift):INDEX($FK$325:$ID$396,FV$169,SwaptionMonthsToGo+SwaptionShift))))))</f>
        <v/>
      </c>
      <c r="FW189" s="479" t="str">
        <f ca="1">IF(OR(FW$169&lt;SwaptionFirstMonthPosition+1,$FJ189&lt;SwaptionFirstMonthPosition+1,FW$169&gt;SwaptionFirstMonthPosition+SwaptionNumOfMonths+1,$FJ189&gt;SwaptionFirstMonthPosition+SwaptionNumOfMonths+1),"",IF($FJ189=FW$169,1,IF($FJ189&lt;FW$169,INDEX($FK$170:$ID$241,FW$169,$FJ189),SUMPRODUCT(INDEX($FK$325:$ID$396,FW$169,1+SwaptionShift):INDEX($FK$325:$ID$396,FW$169,SwaptionMonthsToGo+SwaptionShift),INDEX($FK$245:$ID$316,$FJ189-FW$169,73-FW$169+SwaptionShift):INDEX($FK$245:$ID$316,$FJ189-FW$169,72-FW$169+SwaptionMonthsToGo+SwaptionShift))/SQRT(SUM(INDEX($FK344:$ID344,1+SwaptionShift):INDEX($FK344:$ID344,SwaptionMonthsToGo+SwaptionShift))*SUM(INDEX($FK$325:$ID$396,FW$169,1+SwaptionShift):INDEX($FK$325:$ID$396,FW$169,SwaptionMonthsToGo+SwaptionShift))))))</f>
        <v/>
      </c>
      <c r="FX189" s="479" t="str">
        <f ca="1">IF(OR(FX$169&lt;SwaptionFirstMonthPosition+1,$FJ189&lt;SwaptionFirstMonthPosition+1,FX$169&gt;SwaptionFirstMonthPosition+SwaptionNumOfMonths+1,$FJ189&gt;SwaptionFirstMonthPosition+SwaptionNumOfMonths+1),"",IF($FJ189=FX$169,1,IF($FJ189&lt;FX$169,INDEX($FK$170:$ID$241,FX$169,$FJ189),SUMPRODUCT(INDEX($FK$325:$ID$396,FX$169,1+SwaptionShift):INDEX($FK$325:$ID$396,FX$169,SwaptionMonthsToGo+SwaptionShift),INDEX($FK$245:$ID$316,$FJ189-FX$169,73-FX$169+SwaptionShift):INDEX($FK$245:$ID$316,$FJ189-FX$169,72-FX$169+SwaptionMonthsToGo+SwaptionShift))/SQRT(SUM(INDEX($FK344:$ID344,1+SwaptionShift):INDEX($FK344:$ID344,SwaptionMonthsToGo+SwaptionShift))*SUM(INDEX($FK$325:$ID$396,FX$169,1+SwaptionShift):INDEX($FK$325:$ID$396,FX$169,SwaptionMonthsToGo+SwaptionShift))))))</f>
        <v/>
      </c>
      <c r="FY189" s="479" t="str">
        <f ca="1">IF(OR(FY$169&lt;SwaptionFirstMonthPosition+1,$FJ189&lt;SwaptionFirstMonthPosition+1,FY$169&gt;SwaptionFirstMonthPosition+SwaptionNumOfMonths+1,$FJ189&gt;SwaptionFirstMonthPosition+SwaptionNumOfMonths+1),"",IF($FJ189=FY$169,1,IF($FJ189&lt;FY$169,INDEX($FK$170:$ID$241,FY$169,$FJ189),SUMPRODUCT(INDEX($FK$325:$ID$396,FY$169,1+SwaptionShift):INDEX($FK$325:$ID$396,FY$169,SwaptionMonthsToGo+SwaptionShift),INDEX($FK$245:$ID$316,$FJ189-FY$169,73-FY$169+SwaptionShift):INDEX($FK$245:$ID$316,$FJ189-FY$169,72-FY$169+SwaptionMonthsToGo+SwaptionShift))/SQRT(SUM(INDEX($FK344:$ID344,1+SwaptionShift):INDEX($FK344:$ID344,SwaptionMonthsToGo+SwaptionShift))*SUM(INDEX($FK$325:$ID$396,FY$169,1+SwaptionShift):INDEX($FK$325:$ID$396,FY$169,SwaptionMonthsToGo+SwaptionShift))))))</f>
        <v/>
      </c>
      <c r="FZ189" s="479" t="str">
        <f ca="1">IF(OR(FZ$169&lt;SwaptionFirstMonthPosition+1,$FJ189&lt;SwaptionFirstMonthPosition+1,FZ$169&gt;SwaptionFirstMonthPosition+SwaptionNumOfMonths+1,$FJ189&gt;SwaptionFirstMonthPosition+SwaptionNumOfMonths+1),"",IF($FJ189=FZ$169,1,IF($FJ189&lt;FZ$169,INDEX($FK$170:$ID$241,FZ$169,$FJ189),SUMPRODUCT(INDEX($FK$325:$ID$396,FZ$169,1+SwaptionShift):INDEX($FK$325:$ID$396,FZ$169,SwaptionMonthsToGo+SwaptionShift),INDEX($FK$245:$ID$316,$FJ189-FZ$169,73-FZ$169+SwaptionShift):INDEX($FK$245:$ID$316,$FJ189-FZ$169,72-FZ$169+SwaptionMonthsToGo+SwaptionShift))/SQRT(SUM(INDEX($FK344:$ID344,1+SwaptionShift):INDEX($FK344:$ID344,SwaptionMonthsToGo+SwaptionShift))*SUM(INDEX($FK$325:$ID$396,FZ$169,1+SwaptionShift):INDEX($FK$325:$ID$396,FZ$169,SwaptionMonthsToGo+SwaptionShift))))))</f>
        <v/>
      </c>
      <c r="GA189" s="479" t="str">
        <f ca="1">IF(OR(GA$169&lt;SwaptionFirstMonthPosition+1,$FJ189&lt;SwaptionFirstMonthPosition+1,GA$169&gt;SwaptionFirstMonthPosition+SwaptionNumOfMonths+1,$FJ189&gt;SwaptionFirstMonthPosition+SwaptionNumOfMonths+1),"",IF($FJ189=GA$169,1,IF($FJ189&lt;GA$169,INDEX($FK$170:$ID$241,GA$169,$FJ189),SUMPRODUCT(INDEX($FK$325:$ID$396,GA$169,1+SwaptionShift):INDEX($FK$325:$ID$396,GA$169,SwaptionMonthsToGo+SwaptionShift),INDEX($FK$245:$ID$316,$FJ189-GA$169,73-GA$169+SwaptionShift):INDEX($FK$245:$ID$316,$FJ189-GA$169,72-GA$169+SwaptionMonthsToGo+SwaptionShift))/SQRT(SUM(INDEX($FK344:$ID344,1+SwaptionShift):INDEX($FK344:$ID344,SwaptionMonthsToGo+SwaptionShift))*SUM(INDEX($FK$325:$ID$396,GA$169,1+SwaptionShift):INDEX($FK$325:$ID$396,GA$169,SwaptionMonthsToGo+SwaptionShift))))))</f>
        <v/>
      </c>
      <c r="GB189" s="479" t="str">
        <f ca="1">IF(OR(GB$169&lt;SwaptionFirstMonthPosition+1,$FJ189&lt;SwaptionFirstMonthPosition+1,GB$169&gt;SwaptionFirstMonthPosition+SwaptionNumOfMonths+1,$FJ189&gt;SwaptionFirstMonthPosition+SwaptionNumOfMonths+1),"",IF($FJ189=GB$169,1,IF($FJ189&lt;GB$169,INDEX($FK$170:$ID$241,GB$169,$FJ189),SUMPRODUCT(INDEX($FK$325:$ID$396,GB$169,1+SwaptionShift):INDEX($FK$325:$ID$396,GB$169,SwaptionMonthsToGo+SwaptionShift),INDEX($FK$245:$ID$316,$FJ189-GB$169,73-GB$169+SwaptionShift):INDEX($FK$245:$ID$316,$FJ189-GB$169,72-GB$169+SwaptionMonthsToGo+SwaptionShift))/SQRT(SUM(INDEX($FK344:$ID344,1+SwaptionShift):INDEX($FK344:$ID344,SwaptionMonthsToGo+SwaptionShift))*SUM(INDEX($FK$325:$ID$396,GB$169,1+SwaptionShift):INDEX($FK$325:$ID$396,GB$169,SwaptionMonthsToGo+SwaptionShift))))))</f>
        <v/>
      </c>
      <c r="GC189" s="479" t="str">
        <f ca="1">IF(OR(GC$169&lt;SwaptionFirstMonthPosition+1,$FJ189&lt;SwaptionFirstMonthPosition+1,GC$169&gt;SwaptionFirstMonthPosition+SwaptionNumOfMonths+1,$FJ189&gt;SwaptionFirstMonthPosition+SwaptionNumOfMonths+1),"",IF($FJ189=GC$169,1,IF($FJ189&lt;GC$169,INDEX($FK$170:$ID$241,GC$169,$FJ189),SUMPRODUCT(INDEX($FK$325:$ID$396,GC$169,1+SwaptionShift):INDEX($FK$325:$ID$396,GC$169,SwaptionMonthsToGo+SwaptionShift),INDEX($FK$245:$ID$316,$FJ189-GC$169,73-GC$169+SwaptionShift):INDEX($FK$245:$ID$316,$FJ189-GC$169,72-GC$169+SwaptionMonthsToGo+SwaptionShift))/SQRT(SUM(INDEX($FK344:$ID344,1+SwaptionShift):INDEX($FK344:$ID344,SwaptionMonthsToGo+SwaptionShift))*SUM(INDEX($FK$325:$ID$396,GC$169,1+SwaptionShift):INDEX($FK$325:$ID$396,GC$169,SwaptionMonthsToGo+SwaptionShift))))))</f>
        <v/>
      </c>
      <c r="GD189" s="479" t="str">
        <f ca="1">IF(OR(GD$169&lt;SwaptionFirstMonthPosition+1,$FJ189&lt;SwaptionFirstMonthPosition+1,GD$169&gt;SwaptionFirstMonthPosition+SwaptionNumOfMonths+1,$FJ189&gt;SwaptionFirstMonthPosition+SwaptionNumOfMonths+1),"",IF($FJ189=GD$169,1,IF($FJ189&lt;GD$169,INDEX($FK$170:$ID$241,GD$169,$FJ189),SUMPRODUCT(INDEX($FK$325:$ID$396,GD$169,1+SwaptionShift):INDEX($FK$325:$ID$396,GD$169,SwaptionMonthsToGo+SwaptionShift),INDEX($FK$245:$ID$316,$FJ189-GD$169,73-GD$169+SwaptionShift):INDEX($FK$245:$ID$316,$FJ189-GD$169,72-GD$169+SwaptionMonthsToGo+SwaptionShift))/SQRT(SUM(INDEX($FK344:$ID344,1+SwaptionShift):INDEX($FK344:$ID344,SwaptionMonthsToGo+SwaptionShift))*SUM(INDEX($FK$325:$ID$396,GD$169,1+SwaptionShift):INDEX($FK$325:$ID$396,GD$169,SwaptionMonthsToGo+SwaptionShift))))))</f>
        <v/>
      </c>
      <c r="GE189" s="479" t="str">
        <f ca="1">IF(OR(GE$169&lt;SwaptionFirstMonthPosition+1,$FJ189&lt;SwaptionFirstMonthPosition+1,GE$169&gt;SwaptionFirstMonthPosition+SwaptionNumOfMonths+1,$FJ189&gt;SwaptionFirstMonthPosition+SwaptionNumOfMonths+1),"",IF($FJ189=GE$169,1,IF($FJ189&lt;GE$169,INDEX($FK$170:$ID$241,GE$169,$FJ189),SUMPRODUCT(INDEX($FK$325:$ID$396,GE$169,1+SwaptionShift):INDEX($FK$325:$ID$396,GE$169,SwaptionMonthsToGo+SwaptionShift),INDEX($FK$245:$ID$316,$FJ189-GE$169,73-GE$169+SwaptionShift):INDEX($FK$245:$ID$316,$FJ189-GE$169,72-GE$169+SwaptionMonthsToGo+SwaptionShift))/SQRT(SUM(INDEX($FK344:$ID344,1+SwaptionShift):INDEX($FK344:$ID344,SwaptionMonthsToGo+SwaptionShift))*SUM(INDEX($FK$325:$ID$396,GE$169,1+SwaptionShift):INDEX($FK$325:$ID$396,GE$169,SwaptionMonthsToGo+SwaptionShift))))))</f>
        <v/>
      </c>
      <c r="GF189" s="479" t="str">
        <f ca="1">IF(OR(GF$169&lt;SwaptionFirstMonthPosition+1,$FJ189&lt;SwaptionFirstMonthPosition+1,GF$169&gt;SwaptionFirstMonthPosition+SwaptionNumOfMonths+1,$FJ189&gt;SwaptionFirstMonthPosition+SwaptionNumOfMonths+1),"",IF($FJ189=GF$169,1,IF($FJ189&lt;GF$169,INDEX($FK$170:$ID$241,GF$169,$FJ189),SUMPRODUCT(INDEX($FK$325:$ID$396,GF$169,1+SwaptionShift):INDEX($FK$325:$ID$396,GF$169,SwaptionMonthsToGo+SwaptionShift),INDEX($FK$245:$ID$316,$FJ189-GF$169,73-GF$169+SwaptionShift):INDEX($FK$245:$ID$316,$FJ189-GF$169,72-GF$169+SwaptionMonthsToGo+SwaptionShift))/SQRT(SUM(INDEX($FK344:$ID344,1+SwaptionShift):INDEX($FK344:$ID344,SwaptionMonthsToGo+SwaptionShift))*SUM(INDEX($FK$325:$ID$396,GF$169,1+SwaptionShift):INDEX($FK$325:$ID$396,GF$169,SwaptionMonthsToGo+SwaptionShift))))))</f>
        <v/>
      </c>
      <c r="GG189" s="479" t="str">
        <f ca="1">IF(OR(GG$169&lt;SwaptionFirstMonthPosition+1,$FJ189&lt;SwaptionFirstMonthPosition+1,GG$169&gt;SwaptionFirstMonthPosition+SwaptionNumOfMonths+1,$FJ189&gt;SwaptionFirstMonthPosition+SwaptionNumOfMonths+1),"",IF($FJ189=GG$169,1,IF($FJ189&lt;GG$169,INDEX($FK$170:$ID$241,GG$169,$FJ189),SUMPRODUCT(INDEX($FK$325:$ID$396,GG$169,1+SwaptionShift):INDEX($FK$325:$ID$396,GG$169,SwaptionMonthsToGo+SwaptionShift),INDEX($FK$245:$ID$316,$FJ189-GG$169,73-GG$169+SwaptionShift):INDEX($FK$245:$ID$316,$FJ189-GG$169,72-GG$169+SwaptionMonthsToGo+SwaptionShift))/SQRT(SUM(INDEX($FK344:$ID344,1+SwaptionShift):INDEX($FK344:$ID344,SwaptionMonthsToGo+SwaptionShift))*SUM(INDEX($FK$325:$ID$396,GG$169,1+SwaptionShift):INDEX($FK$325:$ID$396,GG$169,SwaptionMonthsToGo+SwaptionShift))))))</f>
        <v/>
      </c>
      <c r="GH189" s="479" t="str">
        <f ca="1">IF(OR(GH$169&lt;SwaptionFirstMonthPosition+1,$FJ189&lt;SwaptionFirstMonthPosition+1,GH$169&gt;SwaptionFirstMonthPosition+SwaptionNumOfMonths+1,$FJ189&gt;SwaptionFirstMonthPosition+SwaptionNumOfMonths+1),"",IF($FJ189=GH$169,1,IF($FJ189&lt;GH$169,INDEX($FK$170:$ID$241,GH$169,$FJ189),SUMPRODUCT(INDEX($FK$325:$ID$396,GH$169,1+SwaptionShift):INDEX($FK$325:$ID$396,GH$169,SwaptionMonthsToGo+SwaptionShift),INDEX($FK$245:$ID$316,$FJ189-GH$169,73-GH$169+SwaptionShift):INDEX($FK$245:$ID$316,$FJ189-GH$169,72-GH$169+SwaptionMonthsToGo+SwaptionShift))/SQRT(SUM(INDEX($FK344:$ID344,1+SwaptionShift):INDEX($FK344:$ID344,SwaptionMonthsToGo+SwaptionShift))*SUM(INDEX($FK$325:$ID$396,GH$169,1+SwaptionShift):INDEX($FK$325:$ID$396,GH$169,SwaptionMonthsToGo+SwaptionShift))))))</f>
        <v/>
      </c>
      <c r="GI189" s="479" t="str">
        <f ca="1">IF(OR(GI$169&lt;SwaptionFirstMonthPosition+1,$FJ189&lt;SwaptionFirstMonthPosition+1,GI$169&gt;SwaptionFirstMonthPosition+SwaptionNumOfMonths+1,$FJ189&gt;SwaptionFirstMonthPosition+SwaptionNumOfMonths+1),"",IF($FJ189=GI$169,1,IF($FJ189&lt;GI$169,INDEX($FK$170:$ID$241,GI$169,$FJ189),SUMPRODUCT(INDEX($FK$325:$ID$396,GI$169,1+SwaptionShift):INDEX($FK$325:$ID$396,GI$169,SwaptionMonthsToGo+SwaptionShift),INDEX($FK$245:$ID$316,$FJ189-GI$169,73-GI$169+SwaptionShift):INDEX($FK$245:$ID$316,$FJ189-GI$169,72-GI$169+SwaptionMonthsToGo+SwaptionShift))/SQRT(SUM(INDEX($FK344:$ID344,1+SwaptionShift):INDEX($FK344:$ID344,SwaptionMonthsToGo+SwaptionShift))*SUM(INDEX($FK$325:$ID$396,GI$169,1+SwaptionShift):INDEX($FK$325:$ID$396,GI$169,SwaptionMonthsToGo+SwaptionShift))))))</f>
        <v/>
      </c>
      <c r="GJ189" s="479" t="str">
        <f ca="1">IF(OR(GJ$169&lt;SwaptionFirstMonthPosition+1,$FJ189&lt;SwaptionFirstMonthPosition+1,GJ$169&gt;SwaptionFirstMonthPosition+SwaptionNumOfMonths+1,$FJ189&gt;SwaptionFirstMonthPosition+SwaptionNumOfMonths+1),"",IF($FJ189=GJ$169,1,IF($FJ189&lt;GJ$169,INDEX($FK$170:$ID$241,GJ$169,$FJ189),SUMPRODUCT(INDEX($FK$325:$ID$396,GJ$169,1+SwaptionShift):INDEX($FK$325:$ID$396,GJ$169,SwaptionMonthsToGo+SwaptionShift),INDEX($FK$245:$ID$316,$FJ189-GJ$169,73-GJ$169+SwaptionShift):INDEX($FK$245:$ID$316,$FJ189-GJ$169,72-GJ$169+SwaptionMonthsToGo+SwaptionShift))/SQRT(SUM(INDEX($FK344:$ID344,1+SwaptionShift):INDEX($FK344:$ID344,SwaptionMonthsToGo+SwaptionShift))*SUM(INDEX($FK$325:$ID$396,GJ$169,1+SwaptionShift):INDEX($FK$325:$ID$396,GJ$169,SwaptionMonthsToGo+SwaptionShift))))))</f>
        <v/>
      </c>
      <c r="GK189" s="479" t="str">
        <f ca="1">IF(OR(GK$169&lt;SwaptionFirstMonthPosition+1,$FJ189&lt;SwaptionFirstMonthPosition+1,GK$169&gt;SwaptionFirstMonthPosition+SwaptionNumOfMonths+1,$FJ189&gt;SwaptionFirstMonthPosition+SwaptionNumOfMonths+1),"",IF($FJ189=GK$169,1,IF($FJ189&lt;GK$169,INDEX($FK$170:$ID$241,GK$169,$FJ189),SUMPRODUCT(INDEX($FK$325:$ID$396,GK$169,1+SwaptionShift):INDEX($FK$325:$ID$396,GK$169,SwaptionMonthsToGo+SwaptionShift),INDEX($FK$245:$ID$316,$FJ189-GK$169,73-GK$169+SwaptionShift):INDEX($FK$245:$ID$316,$FJ189-GK$169,72-GK$169+SwaptionMonthsToGo+SwaptionShift))/SQRT(SUM(INDEX($FK344:$ID344,1+SwaptionShift):INDEX($FK344:$ID344,SwaptionMonthsToGo+SwaptionShift))*SUM(INDEX($FK$325:$ID$396,GK$169,1+SwaptionShift):INDEX($FK$325:$ID$396,GK$169,SwaptionMonthsToGo+SwaptionShift))))))</f>
        <v/>
      </c>
      <c r="GL189" s="479" t="str">
        <f ca="1">IF(OR(GL$169&lt;SwaptionFirstMonthPosition+1,$FJ189&lt;SwaptionFirstMonthPosition+1,GL$169&gt;SwaptionFirstMonthPosition+SwaptionNumOfMonths+1,$FJ189&gt;SwaptionFirstMonthPosition+SwaptionNumOfMonths+1),"",IF($FJ189=GL$169,1,IF($FJ189&lt;GL$169,INDEX($FK$170:$ID$241,GL$169,$FJ189),SUMPRODUCT(INDEX($FK$325:$ID$396,GL$169,1+SwaptionShift):INDEX($FK$325:$ID$396,GL$169,SwaptionMonthsToGo+SwaptionShift),INDEX($FK$245:$ID$316,$FJ189-GL$169,73-GL$169+SwaptionShift):INDEX($FK$245:$ID$316,$FJ189-GL$169,72-GL$169+SwaptionMonthsToGo+SwaptionShift))/SQRT(SUM(INDEX($FK344:$ID344,1+SwaptionShift):INDEX($FK344:$ID344,SwaptionMonthsToGo+SwaptionShift))*SUM(INDEX($FK$325:$ID$396,GL$169,1+SwaptionShift):INDEX($FK$325:$ID$396,GL$169,SwaptionMonthsToGo+SwaptionShift))))))</f>
        <v/>
      </c>
      <c r="GM189" s="479" t="str">
        <f ca="1">IF(OR(GM$169&lt;SwaptionFirstMonthPosition+1,$FJ189&lt;SwaptionFirstMonthPosition+1,GM$169&gt;SwaptionFirstMonthPosition+SwaptionNumOfMonths+1,$FJ189&gt;SwaptionFirstMonthPosition+SwaptionNumOfMonths+1),"",IF($FJ189=GM$169,1,IF($FJ189&lt;GM$169,INDEX($FK$170:$ID$241,GM$169,$FJ189),SUMPRODUCT(INDEX($FK$325:$ID$396,GM$169,1+SwaptionShift):INDEX($FK$325:$ID$396,GM$169,SwaptionMonthsToGo+SwaptionShift),INDEX($FK$245:$ID$316,$FJ189-GM$169,73-GM$169+SwaptionShift):INDEX($FK$245:$ID$316,$FJ189-GM$169,72-GM$169+SwaptionMonthsToGo+SwaptionShift))/SQRT(SUM(INDEX($FK344:$ID344,1+SwaptionShift):INDEX($FK344:$ID344,SwaptionMonthsToGo+SwaptionShift))*SUM(INDEX($FK$325:$ID$396,GM$169,1+SwaptionShift):INDEX($FK$325:$ID$396,GM$169,SwaptionMonthsToGo+SwaptionShift))))))</f>
        <v/>
      </c>
      <c r="GN189" s="479" t="str">
        <f ca="1">IF(OR(GN$169&lt;SwaptionFirstMonthPosition+1,$FJ189&lt;SwaptionFirstMonthPosition+1,GN$169&gt;SwaptionFirstMonthPosition+SwaptionNumOfMonths+1,$FJ189&gt;SwaptionFirstMonthPosition+SwaptionNumOfMonths+1),"",IF($FJ189=GN$169,1,IF($FJ189&lt;GN$169,INDEX($FK$170:$ID$241,GN$169,$FJ189),SUMPRODUCT(INDEX($FK$325:$ID$396,GN$169,1+SwaptionShift):INDEX($FK$325:$ID$396,GN$169,SwaptionMonthsToGo+SwaptionShift),INDEX($FK$245:$ID$316,$FJ189-GN$169,73-GN$169+SwaptionShift):INDEX($FK$245:$ID$316,$FJ189-GN$169,72-GN$169+SwaptionMonthsToGo+SwaptionShift))/SQRT(SUM(INDEX($FK344:$ID344,1+SwaptionShift):INDEX($FK344:$ID344,SwaptionMonthsToGo+SwaptionShift))*SUM(INDEX($FK$325:$ID$396,GN$169,1+SwaptionShift):INDEX($FK$325:$ID$396,GN$169,SwaptionMonthsToGo+SwaptionShift))))))</f>
        <v/>
      </c>
      <c r="GO189" s="479" t="str">
        <f ca="1">IF(OR(GO$169&lt;SwaptionFirstMonthPosition+1,$FJ189&lt;SwaptionFirstMonthPosition+1,GO$169&gt;SwaptionFirstMonthPosition+SwaptionNumOfMonths+1,$FJ189&gt;SwaptionFirstMonthPosition+SwaptionNumOfMonths+1),"",IF($FJ189=GO$169,1,IF($FJ189&lt;GO$169,INDEX($FK$170:$ID$241,GO$169,$FJ189),SUMPRODUCT(INDEX($FK$325:$ID$396,GO$169,1+SwaptionShift):INDEX($FK$325:$ID$396,GO$169,SwaptionMonthsToGo+SwaptionShift),INDEX($FK$245:$ID$316,$FJ189-GO$169,73-GO$169+SwaptionShift):INDEX($FK$245:$ID$316,$FJ189-GO$169,72-GO$169+SwaptionMonthsToGo+SwaptionShift))/SQRT(SUM(INDEX($FK344:$ID344,1+SwaptionShift):INDEX($FK344:$ID344,SwaptionMonthsToGo+SwaptionShift))*SUM(INDEX($FK$325:$ID$396,GO$169,1+SwaptionShift):INDEX($FK$325:$ID$396,GO$169,SwaptionMonthsToGo+SwaptionShift))))))</f>
        <v/>
      </c>
      <c r="GP189" s="479" t="str">
        <f ca="1">IF(OR(GP$169&lt;SwaptionFirstMonthPosition+1,$FJ189&lt;SwaptionFirstMonthPosition+1,GP$169&gt;SwaptionFirstMonthPosition+SwaptionNumOfMonths+1,$FJ189&gt;SwaptionFirstMonthPosition+SwaptionNumOfMonths+1),"",IF($FJ189=GP$169,1,IF($FJ189&lt;GP$169,INDEX($FK$170:$ID$241,GP$169,$FJ189),SUMPRODUCT(INDEX($FK$325:$ID$396,GP$169,1+SwaptionShift):INDEX($FK$325:$ID$396,GP$169,SwaptionMonthsToGo+SwaptionShift),INDEX($FK$245:$ID$316,$FJ189-GP$169,73-GP$169+SwaptionShift):INDEX($FK$245:$ID$316,$FJ189-GP$169,72-GP$169+SwaptionMonthsToGo+SwaptionShift))/SQRT(SUM(INDEX($FK344:$ID344,1+SwaptionShift):INDEX($FK344:$ID344,SwaptionMonthsToGo+SwaptionShift))*SUM(INDEX($FK$325:$ID$396,GP$169,1+SwaptionShift):INDEX($FK$325:$ID$396,GP$169,SwaptionMonthsToGo+SwaptionShift))))))</f>
        <v/>
      </c>
      <c r="GQ189" s="479" t="str">
        <f ca="1">IF(OR(GQ$169&lt;SwaptionFirstMonthPosition+1,$FJ189&lt;SwaptionFirstMonthPosition+1,GQ$169&gt;SwaptionFirstMonthPosition+SwaptionNumOfMonths+1,$FJ189&gt;SwaptionFirstMonthPosition+SwaptionNumOfMonths+1),"",IF($FJ189=GQ$169,1,IF($FJ189&lt;GQ$169,INDEX($FK$170:$ID$241,GQ$169,$FJ189),SUMPRODUCT(INDEX($FK$325:$ID$396,GQ$169,1+SwaptionShift):INDEX($FK$325:$ID$396,GQ$169,SwaptionMonthsToGo+SwaptionShift),INDEX($FK$245:$ID$316,$FJ189-GQ$169,73-GQ$169+SwaptionShift):INDEX($FK$245:$ID$316,$FJ189-GQ$169,72-GQ$169+SwaptionMonthsToGo+SwaptionShift))/SQRT(SUM(INDEX($FK344:$ID344,1+SwaptionShift):INDEX($FK344:$ID344,SwaptionMonthsToGo+SwaptionShift))*SUM(INDEX($FK$325:$ID$396,GQ$169,1+SwaptionShift):INDEX($FK$325:$ID$396,GQ$169,SwaptionMonthsToGo+SwaptionShift))))))</f>
        <v/>
      </c>
      <c r="GR189" s="479" t="str">
        <f ca="1">IF(OR(GR$169&lt;SwaptionFirstMonthPosition+1,$FJ189&lt;SwaptionFirstMonthPosition+1,GR$169&gt;SwaptionFirstMonthPosition+SwaptionNumOfMonths+1,$FJ189&gt;SwaptionFirstMonthPosition+SwaptionNumOfMonths+1),"",IF($FJ189=GR$169,1,IF($FJ189&lt;GR$169,INDEX($FK$170:$ID$241,GR$169,$FJ189),SUMPRODUCT(INDEX($FK$325:$ID$396,GR$169,1+SwaptionShift):INDEX($FK$325:$ID$396,GR$169,SwaptionMonthsToGo+SwaptionShift),INDEX($FK$245:$ID$316,$FJ189-GR$169,73-GR$169+SwaptionShift):INDEX($FK$245:$ID$316,$FJ189-GR$169,72-GR$169+SwaptionMonthsToGo+SwaptionShift))/SQRT(SUM(INDEX($FK344:$ID344,1+SwaptionShift):INDEX($FK344:$ID344,SwaptionMonthsToGo+SwaptionShift))*SUM(INDEX($FK$325:$ID$396,GR$169,1+SwaptionShift):INDEX($FK$325:$ID$396,GR$169,SwaptionMonthsToGo+SwaptionShift))))))</f>
        <v/>
      </c>
      <c r="GS189" s="479" t="str">
        <f ca="1">IF(OR(GS$169&lt;SwaptionFirstMonthPosition+1,$FJ189&lt;SwaptionFirstMonthPosition+1,GS$169&gt;SwaptionFirstMonthPosition+SwaptionNumOfMonths+1,$FJ189&gt;SwaptionFirstMonthPosition+SwaptionNumOfMonths+1),"",IF($FJ189=GS$169,1,IF($FJ189&lt;GS$169,INDEX($FK$170:$ID$241,GS$169,$FJ189),SUMPRODUCT(INDEX($FK$325:$ID$396,GS$169,1+SwaptionShift):INDEX($FK$325:$ID$396,GS$169,SwaptionMonthsToGo+SwaptionShift),INDEX($FK$245:$ID$316,$FJ189-GS$169,73-GS$169+SwaptionShift):INDEX($FK$245:$ID$316,$FJ189-GS$169,72-GS$169+SwaptionMonthsToGo+SwaptionShift))/SQRT(SUM(INDEX($FK344:$ID344,1+SwaptionShift):INDEX($FK344:$ID344,SwaptionMonthsToGo+SwaptionShift))*SUM(INDEX($FK$325:$ID$396,GS$169,1+SwaptionShift):INDEX($FK$325:$ID$396,GS$169,SwaptionMonthsToGo+SwaptionShift))))))</f>
        <v/>
      </c>
      <c r="GT189" s="479" t="str">
        <f ca="1">IF(OR(GT$169&lt;SwaptionFirstMonthPosition+1,$FJ189&lt;SwaptionFirstMonthPosition+1,GT$169&gt;SwaptionFirstMonthPosition+SwaptionNumOfMonths+1,$FJ189&gt;SwaptionFirstMonthPosition+SwaptionNumOfMonths+1),"",IF($FJ189=GT$169,1,IF($FJ189&lt;GT$169,INDEX($FK$170:$ID$241,GT$169,$FJ189),SUMPRODUCT(INDEX($FK$325:$ID$396,GT$169,1+SwaptionShift):INDEX($FK$325:$ID$396,GT$169,SwaptionMonthsToGo+SwaptionShift),INDEX($FK$245:$ID$316,$FJ189-GT$169,73-GT$169+SwaptionShift):INDEX($FK$245:$ID$316,$FJ189-GT$169,72-GT$169+SwaptionMonthsToGo+SwaptionShift))/SQRT(SUM(INDEX($FK344:$ID344,1+SwaptionShift):INDEX($FK344:$ID344,SwaptionMonthsToGo+SwaptionShift))*SUM(INDEX($FK$325:$ID$396,GT$169,1+SwaptionShift):INDEX($FK$325:$ID$396,GT$169,SwaptionMonthsToGo+SwaptionShift))))))</f>
        <v/>
      </c>
      <c r="GU189" s="479" t="str">
        <f ca="1">IF(OR(GU$169&lt;SwaptionFirstMonthPosition+1,$FJ189&lt;SwaptionFirstMonthPosition+1,GU$169&gt;SwaptionFirstMonthPosition+SwaptionNumOfMonths+1,$FJ189&gt;SwaptionFirstMonthPosition+SwaptionNumOfMonths+1),"",IF($FJ189=GU$169,1,IF($FJ189&lt;GU$169,INDEX($FK$170:$ID$241,GU$169,$FJ189),SUMPRODUCT(INDEX($FK$325:$ID$396,GU$169,1+SwaptionShift):INDEX($FK$325:$ID$396,GU$169,SwaptionMonthsToGo+SwaptionShift),INDEX($FK$245:$ID$316,$FJ189-GU$169,73-GU$169+SwaptionShift):INDEX($FK$245:$ID$316,$FJ189-GU$169,72-GU$169+SwaptionMonthsToGo+SwaptionShift))/SQRT(SUM(INDEX($FK344:$ID344,1+SwaptionShift):INDEX($FK344:$ID344,SwaptionMonthsToGo+SwaptionShift))*SUM(INDEX($FK$325:$ID$396,GU$169,1+SwaptionShift):INDEX($FK$325:$ID$396,GU$169,SwaptionMonthsToGo+SwaptionShift))))))</f>
        <v/>
      </c>
      <c r="GV189" s="479" t="str">
        <f ca="1">IF(OR(GV$169&lt;SwaptionFirstMonthPosition+1,$FJ189&lt;SwaptionFirstMonthPosition+1,GV$169&gt;SwaptionFirstMonthPosition+SwaptionNumOfMonths+1,$FJ189&gt;SwaptionFirstMonthPosition+SwaptionNumOfMonths+1),"",IF($FJ189=GV$169,1,IF($FJ189&lt;GV$169,INDEX($FK$170:$ID$241,GV$169,$FJ189),SUMPRODUCT(INDEX($FK$325:$ID$396,GV$169,1+SwaptionShift):INDEX($FK$325:$ID$396,GV$169,SwaptionMonthsToGo+SwaptionShift),INDEX($FK$245:$ID$316,$FJ189-GV$169,73-GV$169+SwaptionShift):INDEX($FK$245:$ID$316,$FJ189-GV$169,72-GV$169+SwaptionMonthsToGo+SwaptionShift))/SQRT(SUM(INDEX($FK344:$ID344,1+SwaptionShift):INDEX($FK344:$ID344,SwaptionMonthsToGo+SwaptionShift))*SUM(INDEX($FK$325:$ID$396,GV$169,1+SwaptionShift):INDEX($FK$325:$ID$396,GV$169,SwaptionMonthsToGo+SwaptionShift))))))</f>
        <v/>
      </c>
      <c r="GW189" s="479" t="str">
        <f ca="1">IF(OR(GW$169&lt;SwaptionFirstMonthPosition+1,$FJ189&lt;SwaptionFirstMonthPosition+1,GW$169&gt;SwaptionFirstMonthPosition+SwaptionNumOfMonths+1,$FJ189&gt;SwaptionFirstMonthPosition+SwaptionNumOfMonths+1),"",IF($FJ189=GW$169,1,IF($FJ189&lt;GW$169,INDEX($FK$170:$ID$241,GW$169,$FJ189),SUMPRODUCT(INDEX($FK$325:$ID$396,GW$169,1+SwaptionShift):INDEX($FK$325:$ID$396,GW$169,SwaptionMonthsToGo+SwaptionShift),INDEX($FK$245:$ID$316,$FJ189-GW$169,73-GW$169+SwaptionShift):INDEX($FK$245:$ID$316,$FJ189-GW$169,72-GW$169+SwaptionMonthsToGo+SwaptionShift))/SQRT(SUM(INDEX($FK344:$ID344,1+SwaptionShift):INDEX($FK344:$ID344,SwaptionMonthsToGo+SwaptionShift))*SUM(INDEX($FK$325:$ID$396,GW$169,1+SwaptionShift):INDEX($FK$325:$ID$396,GW$169,SwaptionMonthsToGo+SwaptionShift))))))</f>
        <v/>
      </c>
      <c r="GX189" s="479" t="str">
        <f ca="1">IF(OR(GX$169&lt;SwaptionFirstMonthPosition+1,$FJ189&lt;SwaptionFirstMonthPosition+1,GX$169&gt;SwaptionFirstMonthPosition+SwaptionNumOfMonths+1,$FJ189&gt;SwaptionFirstMonthPosition+SwaptionNumOfMonths+1),"",IF($FJ189=GX$169,1,IF($FJ189&lt;GX$169,INDEX($FK$170:$ID$241,GX$169,$FJ189),SUMPRODUCT(INDEX($FK$325:$ID$396,GX$169,1+SwaptionShift):INDEX($FK$325:$ID$396,GX$169,SwaptionMonthsToGo+SwaptionShift),INDEX($FK$245:$ID$316,$FJ189-GX$169,73-GX$169+SwaptionShift):INDEX($FK$245:$ID$316,$FJ189-GX$169,72-GX$169+SwaptionMonthsToGo+SwaptionShift))/SQRT(SUM(INDEX($FK344:$ID344,1+SwaptionShift):INDEX($FK344:$ID344,SwaptionMonthsToGo+SwaptionShift))*SUM(INDEX($FK$325:$ID$396,GX$169,1+SwaptionShift):INDEX($FK$325:$ID$396,GX$169,SwaptionMonthsToGo+SwaptionShift))))))</f>
        <v/>
      </c>
      <c r="GY189" s="479" t="str">
        <f ca="1">IF(OR(GY$169&lt;SwaptionFirstMonthPosition+1,$FJ189&lt;SwaptionFirstMonthPosition+1,GY$169&gt;SwaptionFirstMonthPosition+SwaptionNumOfMonths+1,$FJ189&gt;SwaptionFirstMonthPosition+SwaptionNumOfMonths+1),"",IF($FJ189=GY$169,1,IF($FJ189&lt;GY$169,INDEX($FK$170:$ID$241,GY$169,$FJ189),SUMPRODUCT(INDEX($FK$325:$ID$396,GY$169,1+SwaptionShift):INDEX($FK$325:$ID$396,GY$169,SwaptionMonthsToGo+SwaptionShift),INDEX($FK$245:$ID$316,$FJ189-GY$169,73-GY$169+SwaptionShift):INDEX($FK$245:$ID$316,$FJ189-GY$169,72-GY$169+SwaptionMonthsToGo+SwaptionShift))/SQRT(SUM(INDEX($FK344:$ID344,1+SwaptionShift):INDEX($FK344:$ID344,SwaptionMonthsToGo+SwaptionShift))*SUM(INDEX($FK$325:$ID$396,GY$169,1+SwaptionShift):INDEX($FK$325:$ID$396,GY$169,SwaptionMonthsToGo+SwaptionShift))))))</f>
        <v/>
      </c>
      <c r="GZ189" s="479" t="str">
        <f ca="1">IF(OR(GZ$169&lt;SwaptionFirstMonthPosition+1,$FJ189&lt;SwaptionFirstMonthPosition+1,GZ$169&gt;SwaptionFirstMonthPosition+SwaptionNumOfMonths+1,$FJ189&gt;SwaptionFirstMonthPosition+SwaptionNumOfMonths+1),"",IF($FJ189=GZ$169,1,IF($FJ189&lt;GZ$169,INDEX($FK$170:$ID$241,GZ$169,$FJ189),SUMPRODUCT(INDEX($FK$325:$ID$396,GZ$169,1+SwaptionShift):INDEX($FK$325:$ID$396,GZ$169,SwaptionMonthsToGo+SwaptionShift),INDEX($FK$245:$ID$316,$FJ189-GZ$169,73-GZ$169+SwaptionShift):INDEX($FK$245:$ID$316,$FJ189-GZ$169,72-GZ$169+SwaptionMonthsToGo+SwaptionShift))/SQRT(SUM(INDEX($FK344:$ID344,1+SwaptionShift):INDEX($FK344:$ID344,SwaptionMonthsToGo+SwaptionShift))*SUM(INDEX($FK$325:$ID$396,GZ$169,1+SwaptionShift):INDEX($FK$325:$ID$396,GZ$169,SwaptionMonthsToGo+SwaptionShift))))))</f>
        <v/>
      </c>
      <c r="HA189" s="479" t="str">
        <f ca="1">IF(OR(HA$169&lt;SwaptionFirstMonthPosition+1,$FJ189&lt;SwaptionFirstMonthPosition+1,HA$169&gt;SwaptionFirstMonthPosition+SwaptionNumOfMonths+1,$FJ189&gt;SwaptionFirstMonthPosition+SwaptionNumOfMonths+1),"",IF($FJ189=HA$169,1,IF($FJ189&lt;HA$169,INDEX($FK$170:$ID$241,HA$169,$FJ189),SUMPRODUCT(INDEX($FK$325:$ID$396,HA$169,1+SwaptionShift):INDEX($FK$325:$ID$396,HA$169,SwaptionMonthsToGo+SwaptionShift),INDEX($FK$245:$ID$316,$FJ189-HA$169,73-HA$169+SwaptionShift):INDEX($FK$245:$ID$316,$FJ189-HA$169,72-HA$169+SwaptionMonthsToGo+SwaptionShift))/SQRT(SUM(INDEX($FK344:$ID344,1+SwaptionShift):INDEX($FK344:$ID344,SwaptionMonthsToGo+SwaptionShift))*SUM(INDEX($FK$325:$ID$396,HA$169,1+SwaptionShift):INDEX($FK$325:$ID$396,HA$169,SwaptionMonthsToGo+SwaptionShift))))))</f>
        <v/>
      </c>
      <c r="HB189" s="479" t="str">
        <f ca="1">IF(OR(HB$169&lt;SwaptionFirstMonthPosition+1,$FJ189&lt;SwaptionFirstMonthPosition+1,HB$169&gt;SwaptionFirstMonthPosition+SwaptionNumOfMonths+1,$FJ189&gt;SwaptionFirstMonthPosition+SwaptionNumOfMonths+1),"",IF($FJ189=HB$169,1,IF($FJ189&lt;HB$169,INDEX($FK$170:$ID$241,HB$169,$FJ189),SUMPRODUCT(INDEX($FK$325:$ID$396,HB$169,1+SwaptionShift):INDEX($FK$325:$ID$396,HB$169,SwaptionMonthsToGo+SwaptionShift),INDEX($FK$245:$ID$316,$FJ189-HB$169,73-HB$169+SwaptionShift):INDEX($FK$245:$ID$316,$FJ189-HB$169,72-HB$169+SwaptionMonthsToGo+SwaptionShift))/SQRT(SUM(INDEX($FK344:$ID344,1+SwaptionShift):INDEX($FK344:$ID344,SwaptionMonthsToGo+SwaptionShift))*SUM(INDEX($FK$325:$ID$396,HB$169,1+SwaptionShift):INDEX($FK$325:$ID$396,HB$169,SwaptionMonthsToGo+SwaptionShift))))))</f>
        <v/>
      </c>
      <c r="HC189" s="479" t="str">
        <f ca="1">IF(OR(HC$169&lt;SwaptionFirstMonthPosition+1,$FJ189&lt;SwaptionFirstMonthPosition+1,HC$169&gt;SwaptionFirstMonthPosition+SwaptionNumOfMonths+1,$FJ189&gt;SwaptionFirstMonthPosition+SwaptionNumOfMonths+1),"",IF($FJ189=HC$169,1,IF($FJ189&lt;HC$169,INDEX($FK$170:$ID$241,HC$169,$FJ189),SUMPRODUCT(INDEX($FK$325:$ID$396,HC$169,1+SwaptionShift):INDEX($FK$325:$ID$396,HC$169,SwaptionMonthsToGo+SwaptionShift),INDEX($FK$245:$ID$316,$FJ189-HC$169,73-HC$169+SwaptionShift):INDEX($FK$245:$ID$316,$FJ189-HC$169,72-HC$169+SwaptionMonthsToGo+SwaptionShift))/SQRT(SUM(INDEX($FK344:$ID344,1+SwaptionShift):INDEX($FK344:$ID344,SwaptionMonthsToGo+SwaptionShift))*SUM(INDEX($FK$325:$ID$396,HC$169,1+SwaptionShift):INDEX($FK$325:$ID$396,HC$169,SwaptionMonthsToGo+SwaptionShift))))))</f>
        <v/>
      </c>
      <c r="HD189" s="479" t="str">
        <f ca="1">IF(OR(HD$169&lt;SwaptionFirstMonthPosition+1,$FJ189&lt;SwaptionFirstMonthPosition+1,HD$169&gt;SwaptionFirstMonthPosition+SwaptionNumOfMonths+1,$FJ189&gt;SwaptionFirstMonthPosition+SwaptionNumOfMonths+1),"",IF($FJ189=HD$169,1,IF($FJ189&lt;HD$169,INDEX($FK$170:$ID$241,HD$169,$FJ189),SUMPRODUCT(INDEX($FK$325:$ID$396,HD$169,1+SwaptionShift):INDEX($FK$325:$ID$396,HD$169,SwaptionMonthsToGo+SwaptionShift),INDEX($FK$245:$ID$316,$FJ189-HD$169,73-HD$169+SwaptionShift):INDEX($FK$245:$ID$316,$FJ189-HD$169,72-HD$169+SwaptionMonthsToGo+SwaptionShift))/SQRT(SUM(INDEX($FK344:$ID344,1+SwaptionShift):INDEX($FK344:$ID344,SwaptionMonthsToGo+SwaptionShift))*SUM(INDEX($FK$325:$ID$396,HD$169,1+SwaptionShift):INDEX($FK$325:$ID$396,HD$169,SwaptionMonthsToGo+SwaptionShift))))))</f>
        <v/>
      </c>
      <c r="HE189" s="479" t="str">
        <f ca="1">IF(OR(HE$169&lt;SwaptionFirstMonthPosition+1,$FJ189&lt;SwaptionFirstMonthPosition+1,HE$169&gt;SwaptionFirstMonthPosition+SwaptionNumOfMonths+1,$FJ189&gt;SwaptionFirstMonthPosition+SwaptionNumOfMonths+1),"",IF($FJ189=HE$169,1,IF($FJ189&lt;HE$169,INDEX($FK$170:$ID$241,HE$169,$FJ189),SUMPRODUCT(INDEX($FK$325:$ID$396,HE$169,1+SwaptionShift):INDEX($FK$325:$ID$396,HE$169,SwaptionMonthsToGo+SwaptionShift),INDEX($FK$245:$ID$316,$FJ189-HE$169,73-HE$169+SwaptionShift):INDEX($FK$245:$ID$316,$FJ189-HE$169,72-HE$169+SwaptionMonthsToGo+SwaptionShift))/SQRT(SUM(INDEX($FK344:$ID344,1+SwaptionShift):INDEX($FK344:$ID344,SwaptionMonthsToGo+SwaptionShift))*SUM(INDEX($FK$325:$ID$396,HE$169,1+SwaptionShift):INDEX($FK$325:$ID$396,HE$169,SwaptionMonthsToGo+SwaptionShift))))))</f>
        <v/>
      </c>
      <c r="HF189" s="479" t="str">
        <f ca="1">IF(OR(HF$169&lt;SwaptionFirstMonthPosition+1,$FJ189&lt;SwaptionFirstMonthPosition+1,HF$169&gt;SwaptionFirstMonthPosition+SwaptionNumOfMonths+1,$FJ189&gt;SwaptionFirstMonthPosition+SwaptionNumOfMonths+1),"",IF($FJ189=HF$169,1,IF($FJ189&lt;HF$169,INDEX($FK$170:$ID$241,HF$169,$FJ189),SUMPRODUCT(INDEX($FK$325:$ID$396,HF$169,1+SwaptionShift):INDEX($FK$325:$ID$396,HF$169,SwaptionMonthsToGo+SwaptionShift),INDEX($FK$245:$ID$316,$FJ189-HF$169,73-HF$169+SwaptionShift):INDEX($FK$245:$ID$316,$FJ189-HF$169,72-HF$169+SwaptionMonthsToGo+SwaptionShift))/SQRT(SUM(INDEX($FK344:$ID344,1+SwaptionShift):INDEX($FK344:$ID344,SwaptionMonthsToGo+SwaptionShift))*SUM(INDEX($FK$325:$ID$396,HF$169,1+SwaptionShift):INDEX($FK$325:$ID$396,HF$169,SwaptionMonthsToGo+SwaptionShift))))))</f>
        <v/>
      </c>
      <c r="HG189" s="479" t="str">
        <f ca="1">IF(OR(HG$169&lt;SwaptionFirstMonthPosition+1,$FJ189&lt;SwaptionFirstMonthPosition+1,HG$169&gt;SwaptionFirstMonthPosition+SwaptionNumOfMonths+1,$FJ189&gt;SwaptionFirstMonthPosition+SwaptionNumOfMonths+1),"",IF($FJ189=HG$169,1,IF($FJ189&lt;HG$169,INDEX($FK$170:$ID$241,HG$169,$FJ189),SUMPRODUCT(INDEX($FK$325:$ID$396,HG$169,1+SwaptionShift):INDEX($FK$325:$ID$396,HG$169,SwaptionMonthsToGo+SwaptionShift),INDEX($FK$245:$ID$316,$FJ189-HG$169,73-HG$169+SwaptionShift):INDEX($FK$245:$ID$316,$FJ189-HG$169,72-HG$169+SwaptionMonthsToGo+SwaptionShift))/SQRT(SUM(INDEX($FK344:$ID344,1+SwaptionShift):INDEX($FK344:$ID344,SwaptionMonthsToGo+SwaptionShift))*SUM(INDEX($FK$325:$ID$396,HG$169,1+SwaptionShift):INDEX($FK$325:$ID$396,HG$169,SwaptionMonthsToGo+SwaptionShift))))))</f>
        <v/>
      </c>
      <c r="HH189" s="479" t="str">
        <f ca="1">IF(OR(HH$169&lt;SwaptionFirstMonthPosition+1,$FJ189&lt;SwaptionFirstMonthPosition+1,HH$169&gt;SwaptionFirstMonthPosition+SwaptionNumOfMonths+1,$FJ189&gt;SwaptionFirstMonthPosition+SwaptionNumOfMonths+1),"",IF($FJ189=HH$169,1,IF($FJ189&lt;HH$169,INDEX($FK$170:$ID$241,HH$169,$FJ189),SUMPRODUCT(INDEX($FK$325:$ID$396,HH$169,1+SwaptionShift):INDEX($FK$325:$ID$396,HH$169,SwaptionMonthsToGo+SwaptionShift),INDEX($FK$245:$ID$316,$FJ189-HH$169,73-HH$169+SwaptionShift):INDEX($FK$245:$ID$316,$FJ189-HH$169,72-HH$169+SwaptionMonthsToGo+SwaptionShift))/SQRT(SUM(INDEX($FK344:$ID344,1+SwaptionShift):INDEX($FK344:$ID344,SwaptionMonthsToGo+SwaptionShift))*SUM(INDEX($FK$325:$ID$396,HH$169,1+SwaptionShift):INDEX($FK$325:$ID$396,HH$169,SwaptionMonthsToGo+SwaptionShift))))))</f>
        <v/>
      </c>
      <c r="HI189" s="479" t="str">
        <f ca="1">IF(OR(HI$169&lt;SwaptionFirstMonthPosition+1,$FJ189&lt;SwaptionFirstMonthPosition+1,HI$169&gt;SwaptionFirstMonthPosition+SwaptionNumOfMonths+1,$FJ189&gt;SwaptionFirstMonthPosition+SwaptionNumOfMonths+1),"",IF($FJ189=HI$169,1,IF($FJ189&lt;HI$169,INDEX($FK$170:$ID$241,HI$169,$FJ189),SUMPRODUCT(INDEX($FK$325:$ID$396,HI$169,1+SwaptionShift):INDEX($FK$325:$ID$396,HI$169,SwaptionMonthsToGo+SwaptionShift),INDEX($FK$245:$ID$316,$FJ189-HI$169,73-HI$169+SwaptionShift):INDEX($FK$245:$ID$316,$FJ189-HI$169,72-HI$169+SwaptionMonthsToGo+SwaptionShift))/SQRT(SUM(INDEX($FK344:$ID344,1+SwaptionShift):INDEX($FK344:$ID344,SwaptionMonthsToGo+SwaptionShift))*SUM(INDEX($FK$325:$ID$396,HI$169,1+SwaptionShift):INDEX($FK$325:$ID$396,HI$169,SwaptionMonthsToGo+SwaptionShift))))))</f>
        <v/>
      </c>
      <c r="HJ189" s="479" t="str">
        <f ca="1">IF(OR(HJ$169&lt;SwaptionFirstMonthPosition+1,$FJ189&lt;SwaptionFirstMonthPosition+1,HJ$169&gt;SwaptionFirstMonthPosition+SwaptionNumOfMonths+1,$FJ189&gt;SwaptionFirstMonthPosition+SwaptionNumOfMonths+1),"",IF($FJ189=HJ$169,1,IF($FJ189&lt;HJ$169,INDEX($FK$170:$ID$241,HJ$169,$FJ189),SUMPRODUCT(INDEX($FK$325:$ID$396,HJ$169,1+SwaptionShift):INDEX($FK$325:$ID$396,HJ$169,SwaptionMonthsToGo+SwaptionShift),INDEX($FK$245:$ID$316,$FJ189-HJ$169,73-HJ$169+SwaptionShift):INDEX($FK$245:$ID$316,$FJ189-HJ$169,72-HJ$169+SwaptionMonthsToGo+SwaptionShift))/SQRT(SUM(INDEX($FK344:$ID344,1+SwaptionShift):INDEX($FK344:$ID344,SwaptionMonthsToGo+SwaptionShift))*SUM(INDEX($FK$325:$ID$396,HJ$169,1+SwaptionShift):INDEX($FK$325:$ID$396,HJ$169,SwaptionMonthsToGo+SwaptionShift))))))</f>
        <v/>
      </c>
      <c r="HK189" s="479" t="str">
        <f ca="1">IF(OR(HK$169&lt;SwaptionFirstMonthPosition+1,$FJ189&lt;SwaptionFirstMonthPosition+1,HK$169&gt;SwaptionFirstMonthPosition+SwaptionNumOfMonths+1,$FJ189&gt;SwaptionFirstMonthPosition+SwaptionNumOfMonths+1),"",IF($FJ189=HK$169,1,IF($FJ189&lt;HK$169,INDEX($FK$170:$ID$241,HK$169,$FJ189),SUMPRODUCT(INDEX($FK$325:$ID$396,HK$169,1+SwaptionShift):INDEX($FK$325:$ID$396,HK$169,SwaptionMonthsToGo+SwaptionShift),INDEX($FK$245:$ID$316,$FJ189-HK$169,73-HK$169+SwaptionShift):INDEX($FK$245:$ID$316,$FJ189-HK$169,72-HK$169+SwaptionMonthsToGo+SwaptionShift))/SQRT(SUM(INDEX($FK344:$ID344,1+SwaptionShift):INDEX($FK344:$ID344,SwaptionMonthsToGo+SwaptionShift))*SUM(INDEX($FK$325:$ID$396,HK$169,1+SwaptionShift):INDEX($FK$325:$ID$396,HK$169,SwaptionMonthsToGo+SwaptionShift))))))</f>
        <v/>
      </c>
      <c r="HL189" s="479" t="str">
        <f ca="1">IF(OR(HL$169&lt;SwaptionFirstMonthPosition+1,$FJ189&lt;SwaptionFirstMonthPosition+1,HL$169&gt;SwaptionFirstMonthPosition+SwaptionNumOfMonths+1,$FJ189&gt;SwaptionFirstMonthPosition+SwaptionNumOfMonths+1),"",IF($FJ189=HL$169,1,IF($FJ189&lt;HL$169,INDEX($FK$170:$ID$241,HL$169,$FJ189),SUMPRODUCT(INDEX($FK$325:$ID$396,HL$169,1+SwaptionShift):INDEX($FK$325:$ID$396,HL$169,SwaptionMonthsToGo+SwaptionShift),INDEX($FK$245:$ID$316,$FJ189-HL$169,73-HL$169+SwaptionShift):INDEX($FK$245:$ID$316,$FJ189-HL$169,72-HL$169+SwaptionMonthsToGo+SwaptionShift))/SQRT(SUM(INDEX($FK344:$ID344,1+SwaptionShift):INDEX($FK344:$ID344,SwaptionMonthsToGo+SwaptionShift))*SUM(INDEX($FK$325:$ID$396,HL$169,1+SwaptionShift):INDEX($FK$325:$ID$396,HL$169,SwaptionMonthsToGo+SwaptionShift))))))</f>
        <v/>
      </c>
      <c r="HM189" s="479" t="str">
        <f ca="1">IF(OR(HM$169&lt;SwaptionFirstMonthPosition+1,$FJ189&lt;SwaptionFirstMonthPosition+1,HM$169&gt;SwaptionFirstMonthPosition+SwaptionNumOfMonths+1,$FJ189&gt;SwaptionFirstMonthPosition+SwaptionNumOfMonths+1),"",IF($FJ189=HM$169,1,IF($FJ189&lt;HM$169,INDEX($FK$170:$ID$241,HM$169,$FJ189),SUMPRODUCT(INDEX($FK$325:$ID$396,HM$169,1+SwaptionShift):INDEX($FK$325:$ID$396,HM$169,SwaptionMonthsToGo+SwaptionShift),INDEX($FK$245:$ID$316,$FJ189-HM$169,73-HM$169+SwaptionShift):INDEX($FK$245:$ID$316,$FJ189-HM$169,72-HM$169+SwaptionMonthsToGo+SwaptionShift))/SQRT(SUM(INDEX($FK344:$ID344,1+SwaptionShift):INDEX($FK344:$ID344,SwaptionMonthsToGo+SwaptionShift))*SUM(INDEX($FK$325:$ID$396,HM$169,1+SwaptionShift):INDEX($FK$325:$ID$396,HM$169,SwaptionMonthsToGo+SwaptionShift))))))</f>
        <v/>
      </c>
      <c r="HN189" s="479" t="str">
        <f ca="1">IF(OR(HN$169&lt;SwaptionFirstMonthPosition+1,$FJ189&lt;SwaptionFirstMonthPosition+1,HN$169&gt;SwaptionFirstMonthPosition+SwaptionNumOfMonths+1,$FJ189&gt;SwaptionFirstMonthPosition+SwaptionNumOfMonths+1),"",IF($FJ189=HN$169,1,IF($FJ189&lt;HN$169,INDEX($FK$170:$ID$241,HN$169,$FJ189),SUMPRODUCT(INDEX($FK$325:$ID$396,HN$169,1+SwaptionShift):INDEX($FK$325:$ID$396,HN$169,SwaptionMonthsToGo+SwaptionShift),INDEX($FK$245:$ID$316,$FJ189-HN$169,73-HN$169+SwaptionShift):INDEX($FK$245:$ID$316,$FJ189-HN$169,72-HN$169+SwaptionMonthsToGo+SwaptionShift))/SQRT(SUM(INDEX($FK344:$ID344,1+SwaptionShift):INDEX($FK344:$ID344,SwaptionMonthsToGo+SwaptionShift))*SUM(INDEX($FK$325:$ID$396,HN$169,1+SwaptionShift):INDEX($FK$325:$ID$396,HN$169,SwaptionMonthsToGo+SwaptionShift))))))</f>
        <v/>
      </c>
      <c r="HO189" s="479" t="str">
        <f ca="1">IF(OR(HO$169&lt;SwaptionFirstMonthPosition+1,$FJ189&lt;SwaptionFirstMonthPosition+1,HO$169&gt;SwaptionFirstMonthPosition+SwaptionNumOfMonths+1,$FJ189&gt;SwaptionFirstMonthPosition+SwaptionNumOfMonths+1),"",IF($FJ189=HO$169,1,IF($FJ189&lt;HO$169,INDEX($FK$170:$ID$241,HO$169,$FJ189),SUMPRODUCT(INDEX($FK$325:$ID$396,HO$169,1+SwaptionShift):INDEX($FK$325:$ID$396,HO$169,SwaptionMonthsToGo+SwaptionShift),INDEX($FK$245:$ID$316,$FJ189-HO$169,73-HO$169+SwaptionShift):INDEX($FK$245:$ID$316,$FJ189-HO$169,72-HO$169+SwaptionMonthsToGo+SwaptionShift))/SQRT(SUM(INDEX($FK344:$ID344,1+SwaptionShift):INDEX($FK344:$ID344,SwaptionMonthsToGo+SwaptionShift))*SUM(INDEX($FK$325:$ID$396,HO$169,1+SwaptionShift):INDEX($FK$325:$ID$396,HO$169,SwaptionMonthsToGo+SwaptionShift))))))</f>
        <v/>
      </c>
      <c r="HP189" s="479" t="str">
        <f ca="1">IF(OR(HP$169&lt;SwaptionFirstMonthPosition+1,$FJ189&lt;SwaptionFirstMonthPosition+1,HP$169&gt;SwaptionFirstMonthPosition+SwaptionNumOfMonths+1,$FJ189&gt;SwaptionFirstMonthPosition+SwaptionNumOfMonths+1),"",IF($FJ189=HP$169,1,IF($FJ189&lt;HP$169,INDEX($FK$170:$ID$241,HP$169,$FJ189),SUMPRODUCT(INDEX($FK$325:$ID$396,HP$169,1+SwaptionShift):INDEX($FK$325:$ID$396,HP$169,SwaptionMonthsToGo+SwaptionShift),INDEX($FK$245:$ID$316,$FJ189-HP$169,73-HP$169+SwaptionShift):INDEX($FK$245:$ID$316,$FJ189-HP$169,72-HP$169+SwaptionMonthsToGo+SwaptionShift))/SQRT(SUM(INDEX($FK344:$ID344,1+SwaptionShift):INDEX($FK344:$ID344,SwaptionMonthsToGo+SwaptionShift))*SUM(INDEX($FK$325:$ID$396,HP$169,1+SwaptionShift):INDEX($FK$325:$ID$396,HP$169,SwaptionMonthsToGo+SwaptionShift))))))</f>
        <v/>
      </c>
      <c r="HQ189" s="479" t="str">
        <f ca="1">IF(OR(HQ$169&lt;SwaptionFirstMonthPosition+1,$FJ189&lt;SwaptionFirstMonthPosition+1,HQ$169&gt;SwaptionFirstMonthPosition+SwaptionNumOfMonths+1,$FJ189&gt;SwaptionFirstMonthPosition+SwaptionNumOfMonths+1),"",IF($FJ189=HQ$169,1,IF($FJ189&lt;HQ$169,INDEX($FK$170:$ID$241,HQ$169,$FJ189),SUMPRODUCT(INDEX($FK$325:$ID$396,HQ$169,1+SwaptionShift):INDEX($FK$325:$ID$396,HQ$169,SwaptionMonthsToGo+SwaptionShift),INDEX($FK$245:$ID$316,$FJ189-HQ$169,73-HQ$169+SwaptionShift):INDEX($FK$245:$ID$316,$FJ189-HQ$169,72-HQ$169+SwaptionMonthsToGo+SwaptionShift))/SQRT(SUM(INDEX($FK344:$ID344,1+SwaptionShift):INDEX($FK344:$ID344,SwaptionMonthsToGo+SwaptionShift))*SUM(INDEX($FK$325:$ID$396,HQ$169,1+SwaptionShift):INDEX($FK$325:$ID$396,HQ$169,SwaptionMonthsToGo+SwaptionShift))))))</f>
        <v/>
      </c>
      <c r="HR189" s="479" t="str">
        <f ca="1">IF(OR(HR$169&lt;SwaptionFirstMonthPosition+1,$FJ189&lt;SwaptionFirstMonthPosition+1,HR$169&gt;SwaptionFirstMonthPosition+SwaptionNumOfMonths+1,$FJ189&gt;SwaptionFirstMonthPosition+SwaptionNumOfMonths+1),"",IF($FJ189=HR$169,1,IF($FJ189&lt;HR$169,INDEX($FK$170:$ID$241,HR$169,$FJ189),SUMPRODUCT(INDEX($FK$325:$ID$396,HR$169,1+SwaptionShift):INDEX($FK$325:$ID$396,HR$169,SwaptionMonthsToGo+SwaptionShift),INDEX($FK$245:$ID$316,$FJ189-HR$169,73-HR$169+SwaptionShift):INDEX($FK$245:$ID$316,$FJ189-HR$169,72-HR$169+SwaptionMonthsToGo+SwaptionShift))/SQRT(SUM(INDEX($FK344:$ID344,1+SwaptionShift):INDEX($FK344:$ID344,SwaptionMonthsToGo+SwaptionShift))*SUM(INDEX($FK$325:$ID$396,HR$169,1+SwaptionShift):INDEX($FK$325:$ID$396,HR$169,SwaptionMonthsToGo+SwaptionShift))))))</f>
        <v/>
      </c>
      <c r="HS189" s="479" t="str">
        <f ca="1">IF(OR(HS$169&lt;SwaptionFirstMonthPosition+1,$FJ189&lt;SwaptionFirstMonthPosition+1,HS$169&gt;SwaptionFirstMonthPosition+SwaptionNumOfMonths+1,$FJ189&gt;SwaptionFirstMonthPosition+SwaptionNumOfMonths+1),"",IF($FJ189=HS$169,1,IF($FJ189&lt;HS$169,INDEX($FK$170:$ID$241,HS$169,$FJ189),SUMPRODUCT(INDEX($FK$325:$ID$396,HS$169,1+SwaptionShift):INDEX($FK$325:$ID$396,HS$169,SwaptionMonthsToGo+SwaptionShift),INDEX($FK$245:$ID$316,$FJ189-HS$169,73-HS$169+SwaptionShift):INDEX($FK$245:$ID$316,$FJ189-HS$169,72-HS$169+SwaptionMonthsToGo+SwaptionShift))/SQRT(SUM(INDEX($FK344:$ID344,1+SwaptionShift):INDEX($FK344:$ID344,SwaptionMonthsToGo+SwaptionShift))*SUM(INDEX($FK$325:$ID$396,HS$169,1+SwaptionShift):INDEX($FK$325:$ID$396,HS$169,SwaptionMonthsToGo+SwaptionShift))))))</f>
        <v/>
      </c>
      <c r="HT189" s="479" t="str">
        <f ca="1">IF(OR(HT$169&lt;SwaptionFirstMonthPosition+1,$FJ189&lt;SwaptionFirstMonthPosition+1,HT$169&gt;SwaptionFirstMonthPosition+SwaptionNumOfMonths+1,$FJ189&gt;SwaptionFirstMonthPosition+SwaptionNumOfMonths+1),"",IF($FJ189=HT$169,1,IF($FJ189&lt;HT$169,INDEX($FK$170:$ID$241,HT$169,$FJ189),SUMPRODUCT(INDEX($FK$325:$ID$396,HT$169,1+SwaptionShift):INDEX($FK$325:$ID$396,HT$169,SwaptionMonthsToGo+SwaptionShift),INDEX($FK$245:$ID$316,$FJ189-HT$169,73-HT$169+SwaptionShift):INDEX($FK$245:$ID$316,$FJ189-HT$169,72-HT$169+SwaptionMonthsToGo+SwaptionShift))/SQRT(SUM(INDEX($FK344:$ID344,1+SwaptionShift):INDEX($FK344:$ID344,SwaptionMonthsToGo+SwaptionShift))*SUM(INDEX($FK$325:$ID$396,HT$169,1+SwaptionShift):INDEX($FK$325:$ID$396,HT$169,SwaptionMonthsToGo+SwaptionShift))))))</f>
        <v/>
      </c>
      <c r="HU189" s="479" t="str">
        <f ca="1">IF(OR(HU$169&lt;SwaptionFirstMonthPosition+1,$FJ189&lt;SwaptionFirstMonthPosition+1,HU$169&gt;SwaptionFirstMonthPosition+SwaptionNumOfMonths+1,$FJ189&gt;SwaptionFirstMonthPosition+SwaptionNumOfMonths+1),"",IF($FJ189=HU$169,1,IF($FJ189&lt;HU$169,INDEX($FK$170:$ID$241,HU$169,$FJ189),SUMPRODUCT(INDEX($FK$325:$ID$396,HU$169,1+SwaptionShift):INDEX($FK$325:$ID$396,HU$169,SwaptionMonthsToGo+SwaptionShift),INDEX($FK$245:$ID$316,$FJ189-HU$169,73-HU$169+SwaptionShift):INDEX($FK$245:$ID$316,$FJ189-HU$169,72-HU$169+SwaptionMonthsToGo+SwaptionShift))/SQRT(SUM(INDEX($FK344:$ID344,1+SwaptionShift):INDEX($FK344:$ID344,SwaptionMonthsToGo+SwaptionShift))*SUM(INDEX($FK$325:$ID$396,HU$169,1+SwaptionShift):INDEX($FK$325:$ID$396,HU$169,SwaptionMonthsToGo+SwaptionShift))))))</f>
        <v/>
      </c>
      <c r="HV189" s="479" t="str">
        <f ca="1">IF(OR(HV$169&lt;SwaptionFirstMonthPosition+1,$FJ189&lt;SwaptionFirstMonthPosition+1,HV$169&gt;SwaptionFirstMonthPosition+SwaptionNumOfMonths+1,$FJ189&gt;SwaptionFirstMonthPosition+SwaptionNumOfMonths+1),"",IF($FJ189=HV$169,1,IF($FJ189&lt;HV$169,INDEX($FK$170:$ID$241,HV$169,$FJ189),SUMPRODUCT(INDEX($FK$325:$ID$396,HV$169,1+SwaptionShift):INDEX($FK$325:$ID$396,HV$169,SwaptionMonthsToGo+SwaptionShift),INDEX($FK$245:$ID$316,$FJ189-HV$169,73-HV$169+SwaptionShift):INDEX($FK$245:$ID$316,$FJ189-HV$169,72-HV$169+SwaptionMonthsToGo+SwaptionShift))/SQRT(SUM(INDEX($FK344:$ID344,1+SwaptionShift):INDEX($FK344:$ID344,SwaptionMonthsToGo+SwaptionShift))*SUM(INDEX($FK$325:$ID$396,HV$169,1+SwaptionShift):INDEX($FK$325:$ID$396,HV$169,SwaptionMonthsToGo+SwaptionShift))))))</f>
        <v/>
      </c>
      <c r="HW189" s="479" t="str">
        <f ca="1">IF(OR(HW$169&lt;SwaptionFirstMonthPosition+1,$FJ189&lt;SwaptionFirstMonthPosition+1,HW$169&gt;SwaptionFirstMonthPosition+SwaptionNumOfMonths+1,$FJ189&gt;SwaptionFirstMonthPosition+SwaptionNumOfMonths+1),"",IF($FJ189=HW$169,1,IF($FJ189&lt;HW$169,INDEX($FK$170:$ID$241,HW$169,$FJ189),SUMPRODUCT(INDEX($FK$325:$ID$396,HW$169,1+SwaptionShift):INDEX($FK$325:$ID$396,HW$169,SwaptionMonthsToGo+SwaptionShift),INDEX($FK$245:$ID$316,$FJ189-HW$169,73-HW$169+SwaptionShift):INDEX($FK$245:$ID$316,$FJ189-HW$169,72-HW$169+SwaptionMonthsToGo+SwaptionShift))/SQRT(SUM(INDEX($FK344:$ID344,1+SwaptionShift):INDEX($FK344:$ID344,SwaptionMonthsToGo+SwaptionShift))*SUM(INDEX($FK$325:$ID$396,HW$169,1+SwaptionShift):INDEX($FK$325:$ID$396,HW$169,SwaptionMonthsToGo+SwaptionShift))))))</f>
        <v/>
      </c>
      <c r="HX189" s="479" t="str">
        <f ca="1">IF(OR(HX$169&lt;SwaptionFirstMonthPosition+1,$FJ189&lt;SwaptionFirstMonthPosition+1,HX$169&gt;SwaptionFirstMonthPosition+SwaptionNumOfMonths+1,$FJ189&gt;SwaptionFirstMonthPosition+SwaptionNumOfMonths+1),"",IF($FJ189=HX$169,1,IF($FJ189&lt;HX$169,INDEX($FK$170:$ID$241,HX$169,$FJ189),SUMPRODUCT(INDEX($FK$325:$ID$396,HX$169,1+SwaptionShift):INDEX($FK$325:$ID$396,HX$169,SwaptionMonthsToGo+SwaptionShift),INDEX($FK$245:$ID$316,$FJ189-HX$169,73-HX$169+SwaptionShift):INDEX($FK$245:$ID$316,$FJ189-HX$169,72-HX$169+SwaptionMonthsToGo+SwaptionShift))/SQRT(SUM(INDEX($FK344:$ID344,1+SwaptionShift):INDEX($FK344:$ID344,SwaptionMonthsToGo+SwaptionShift))*SUM(INDEX($FK$325:$ID$396,HX$169,1+SwaptionShift):INDEX($FK$325:$ID$396,HX$169,SwaptionMonthsToGo+SwaptionShift))))))</f>
        <v/>
      </c>
      <c r="HY189" s="479" t="str">
        <f ca="1">IF(OR(HY$169&lt;SwaptionFirstMonthPosition+1,$FJ189&lt;SwaptionFirstMonthPosition+1,HY$169&gt;SwaptionFirstMonthPosition+SwaptionNumOfMonths+1,$FJ189&gt;SwaptionFirstMonthPosition+SwaptionNumOfMonths+1),"",IF($FJ189=HY$169,1,IF($FJ189&lt;HY$169,INDEX($FK$170:$ID$241,HY$169,$FJ189),SUMPRODUCT(INDEX($FK$325:$ID$396,HY$169,1+SwaptionShift):INDEX($FK$325:$ID$396,HY$169,SwaptionMonthsToGo+SwaptionShift),INDEX($FK$245:$ID$316,$FJ189-HY$169,73-HY$169+SwaptionShift):INDEX($FK$245:$ID$316,$FJ189-HY$169,72-HY$169+SwaptionMonthsToGo+SwaptionShift))/SQRT(SUM(INDEX($FK344:$ID344,1+SwaptionShift):INDEX($FK344:$ID344,SwaptionMonthsToGo+SwaptionShift))*SUM(INDEX($FK$325:$ID$396,HY$169,1+SwaptionShift):INDEX($FK$325:$ID$396,HY$169,SwaptionMonthsToGo+SwaptionShift))))))</f>
        <v/>
      </c>
      <c r="HZ189" s="479" t="str">
        <f ca="1">IF(OR(HZ$169&lt;SwaptionFirstMonthPosition+1,$FJ189&lt;SwaptionFirstMonthPosition+1,HZ$169&gt;SwaptionFirstMonthPosition+SwaptionNumOfMonths+1,$FJ189&gt;SwaptionFirstMonthPosition+SwaptionNumOfMonths+1),"",IF($FJ189=HZ$169,1,IF($FJ189&lt;HZ$169,INDEX($FK$170:$ID$241,HZ$169,$FJ189),SUMPRODUCT(INDEX($FK$325:$ID$396,HZ$169,1+SwaptionShift):INDEX($FK$325:$ID$396,HZ$169,SwaptionMonthsToGo+SwaptionShift),INDEX($FK$245:$ID$316,$FJ189-HZ$169,73-HZ$169+SwaptionShift):INDEX($FK$245:$ID$316,$FJ189-HZ$169,72-HZ$169+SwaptionMonthsToGo+SwaptionShift))/SQRT(SUM(INDEX($FK344:$ID344,1+SwaptionShift):INDEX($FK344:$ID344,SwaptionMonthsToGo+SwaptionShift))*SUM(INDEX($FK$325:$ID$396,HZ$169,1+SwaptionShift):INDEX($FK$325:$ID$396,HZ$169,SwaptionMonthsToGo+SwaptionShift))))))</f>
        <v/>
      </c>
      <c r="IA189" s="479" t="str">
        <f ca="1">IF(OR(IA$169&lt;SwaptionFirstMonthPosition+1,$FJ189&lt;SwaptionFirstMonthPosition+1,IA$169&gt;SwaptionFirstMonthPosition+SwaptionNumOfMonths+1,$FJ189&gt;SwaptionFirstMonthPosition+SwaptionNumOfMonths+1),"",IF($FJ189=IA$169,1,IF($FJ189&lt;IA$169,INDEX($FK$170:$ID$241,IA$169,$FJ189),SUMPRODUCT(INDEX($FK$325:$ID$396,IA$169,1+SwaptionShift):INDEX($FK$325:$ID$396,IA$169,SwaptionMonthsToGo+SwaptionShift),INDEX($FK$245:$ID$316,$FJ189-IA$169,73-IA$169+SwaptionShift):INDEX($FK$245:$ID$316,$FJ189-IA$169,72-IA$169+SwaptionMonthsToGo+SwaptionShift))/SQRT(SUM(INDEX($FK344:$ID344,1+SwaptionShift):INDEX($FK344:$ID344,SwaptionMonthsToGo+SwaptionShift))*SUM(INDEX($FK$325:$ID$396,IA$169,1+SwaptionShift):INDEX($FK$325:$ID$396,IA$169,SwaptionMonthsToGo+SwaptionShift))))))</f>
        <v/>
      </c>
      <c r="IB189" s="479" t="str">
        <f ca="1">IF(OR(IB$169&lt;SwaptionFirstMonthPosition+1,$FJ189&lt;SwaptionFirstMonthPosition+1,IB$169&gt;SwaptionFirstMonthPosition+SwaptionNumOfMonths+1,$FJ189&gt;SwaptionFirstMonthPosition+SwaptionNumOfMonths+1),"",IF($FJ189=IB$169,1,IF($FJ189&lt;IB$169,INDEX($FK$170:$ID$241,IB$169,$FJ189),SUMPRODUCT(INDEX($FK$325:$ID$396,IB$169,1+SwaptionShift):INDEX($FK$325:$ID$396,IB$169,SwaptionMonthsToGo+SwaptionShift),INDEX($FK$245:$ID$316,$FJ189-IB$169,73-IB$169+SwaptionShift):INDEX($FK$245:$ID$316,$FJ189-IB$169,72-IB$169+SwaptionMonthsToGo+SwaptionShift))/SQRT(SUM(INDEX($FK344:$ID344,1+SwaptionShift):INDEX($FK344:$ID344,SwaptionMonthsToGo+SwaptionShift))*SUM(INDEX($FK$325:$ID$396,IB$169,1+SwaptionShift):INDEX($FK$325:$ID$396,IB$169,SwaptionMonthsToGo+SwaptionShift))))))</f>
        <v/>
      </c>
      <c r="IC189" s="479" t="str">
        <f ca="1">IF(OR(IC$169&lt;SwaptionFirstMonthPosition+1,$FJ189&lt;SwaptionFirstMonthPosition+1,IC$169&gt;SwaptionFirstMonthPosition+SwaptionNumOfMonths+1,$FJ189&gt;SwaptionFirstMonthPosition+SwaptionNumOfMonths+1),"",IF($FJ189=IC$169,1,IF($FJ189&lt;IC$169,INDEX($FK$170:$ID$241,IC$169,$FJ189),SUMPRODUCT(INDEX($FK$325:$ID$396,IC$169,1+SwaptionShift):INDEX($FK$325:$ID$396,IC$169,SwaptionMonthsToGo+SwaptionShift),INDEX($FK$245:$ID$316,$FJ189-IC$169,73-IC$169+SwaptionShift):INDEX($FK$245:$ID$316,$FJ189-IC$169,72-IC$169+SwaptionMonthsToGo+SwaptionShift))/SQRT(SUM(INDEX($FK344:$ID344,1+SwaptionShift):INDEX($FK344:$ID344,SwaptionMonthsToGo+SwaptionShift))*SUM(INDEX($FK$325:$ID$396,IC$169,1+SwaptionShift):INDEX($FK$325:$ID$396,IC$169,SwaptionMonthsToGo+SwaptionShift))))))</f>
        <v/>
      </c>
      <c r="ID189" s="678" t="str">
        <f ca="1">IF(OR(ID$169&lt;SwaptionFirstMonthPosition+1,$FJ189&lt;SwaptionFirstMonthPosition+1,ID$169&gt;SwaptionFirstMonthPosition+SwaptionNumOfMonths+1,$FJ189&gt;SwaptionFirstMonthPosition+SwaptionNumOfMonths+1),"",IF($FJ189=ID$169,1,IF($FJ189&lt;ID$169,INDEX($FK$170:$ID$241,ID$169,$FJ189),SUMPRODUCT(INDEX($FK$325:$ID$396,ID$169,1+SwaptionShift):INDEX($FK$325:$ID$396,ID$169,SwaptionMonthsToGo+SwaptionShift),INDEX($FK$245:$ID$316,$FJ189-ID$169,73-ID$169+SwaptionShift):INDEX($FK$245:$ID$316,$FJ189-ID$169,72-ID$169+SwaptionMonthsToGo+SwaptionShift))/SQRT(SUM(INDEX($FK344:$ID344,1+SwaptionShift):INDEX($FK344:$ID344,SwaptionMonthsToGo+SwaptionShift))*SUM(INDEX($FK$325:$ID$396,ID$169,1+SwaptionShift):INDEX($FK$325:$ID$396,ID$169,SwaptionMonthsToGo+SwaptionShift))))))</f>
        <v/>
      </c>
      <c r="IE189" s="250"/>
    </row>
    <row r="190" spans="8:239">
      <c r="H190" s="51">
        <f t="shared" ca="1" si="527"/>
        <v>0</v>
      </c>
      <c r="I190" s="379">
        <f t="shared" si="528"/>
        <v>41944</v>
      </c>
      <c r="J190" s="377"/>
      <c r="K190" s="104" t="s">
        <v>268</v>
      </c>
      <c r="L190" s="392">
        <f t="shared" si="529"/>
        <v>3.5250000000000057</v>
      </c>
      <c r="M190" s="171"/>
      <c r="N190" s="382">
        <v>0</v>
      </c>
      <c r="O190" s="171">
        <f t="shared" si="490"/>
        <v>0</v>
      </c>
      <c r="P190" s="377"/>
      <c r="Q190" s="104" t="s">
        <v>268</v>
      </c>
      <c r="R190" s="377">
        <f t="shared" ca="1" si="547"/>
        <v>2.3170644961016547</v>
      </c>
      <c r="S190" s="832">
        <f t="shared" si="564"/>
        <v>0.3600000000000001</v>
      </c>
      <c r="T190" s="831">
        <f t="shared" si="548"/>
        <v>0.99999999999969447</v>
      </c>
      <c r="U190" s="545">
        <f t="shared" si="549"/>
        <v>0.99999999999999978</v>
      </c>
      <c r="V190" s="389">
        <v>0</v>
      </c>
      <c r="W190" s="434">
        <f t="shared" si="578"/>
        <v>0</v>
      </c>
      <c r="X190" s="415">
        <f t="shared" si="579"/>
        <v>3.5737500000000053</v>
      </c>
      <c r="Y190" s="322">
        <f t="shared" si="580"/>
        <v>-1.1931</v>
      </c>
      <c r="Z190" s="322">
        <f t="shared" ca="1" si="581"/>
        <v>2.3806500000000055</v>
      </c>
      <c r="AA190" s="429">
        <f t="shared" si="495"/>
        <v>1.1931</v>
      </c>
      <c r="AB190" s="433">
        <f t="shared" ca="1" si="496"/>
        <v>1.1931</v>
      </c>
      <c r="AC190" s="229">
        <v>41932</v>
      </c>
      <c r="AD190" s="229">
        <v>41928</v>
      </c>
      <c r="AE190" s="229">
        <v>41927</v>
      </c>
      <c r="AF190" s="229">
        <v>41923</v>
      </c>
      <c r="AG190" s="249" t="s">
        <v>499</v>
      </c>
      <c r="AH190" s="247" t="s">
        <v>499</v>
      </c>
      <c r="AI190" s="146">
        <v>20</v>
      </c>
      <c r="AJ190" s="41">
        <v>14</v>
      </c>
      <c r="AK190" s="41">
        <v>6</v>
      </c>
      <c r="AL190" s="293">
        <v>20</v>
      </c>
      <c r="AM190" s="41">
        <v>10</v>
      </c>
      <c r="AN190" s="147">
        <v>10</v>
      </c>
      <c r="AO190" s="374"/>
      <c r="AP190" s="153">
        <f t="shared" ca="1" si="530"/>
        <v>1</v>
      </c>
      <c r="AQ190" s="374"/>
      <c r="AR190" s="153">
        <f t="shared" ca="1" si="550"/>
        <v>1</v>
      </c>
      <c r="AS190" s="272">
        <f t="shared" si="582"/>
        <v>0</v>
      </c>
      <c r="AT190" s="157">
        <f t="shared" si="531"/>
        <v>0</v>
      </c>
      <c r="AU190" s="157">
        <f t="shared" si="498"/>
        <v>0</v>
      </c>
      <c r="AV190" s="271">
        <f t="shared" ca="1" si="558"/>
        <v>9.9999999999999995E-7</v>
      </c>
      <c r="AW190" s="158" t="str">
        <f t="shared" ca="1" si="583"/>
        <v/>
      </c>
      <c r="AX190" s="157">
        <f t="shared" ca="1" si="551"/>
        <v>8.1987548732295835E-5</v>
      </c>
      <c r="AY190" s="157">
        <f t="shared" ca="1" si="552"/>
        <v>2.0425810451949145E-5</v>
      </c>
      <c r="AZ190" s="157">
        <f t="shared" ca="1" si="553"/>
        <v>7.9474396567753627E-7</v>
      </c>
      <c r="BA190" s="157">
        <f t="shared" ca="1" si="554"/>
        <v>9.9342995709692034E-8</v>
      </c>
      <c r="BB190" s="157">
        <f t="shared" ca="1" si="555"/>
        <v>6.7874072516334449E-10</v>
      </c>
      <c r="BC190" s="157">
        <f t="shared" ca="1" si="556"/>
        <v>1.9738061593149681E-11</v>
      </c>
      <c r="BD190" s="151">
        <f t="shared" ca="1" si="584"/>
        <v>0</v>
      </c>
      <c r="BE190" s="152">
        <f t="shared" ca="1" si="585"/>
        <v>0</v>
      </c>
      <c r="BF190" s="40">
        <f t="shared" si="586"/>
        <v>2014</v>
      </c>
      <c r="BG190" s="144">
        <f t="shared" si="587"/>
        <v>11</v>
      </c>
      <c r="BH190" s="145">
        <f t="shared" ca="1" si="588"/>
        <v>5183</v>
      </c>
      <c r="BI190" s="313">
        <f t="shared" ca="1" si="568"/>
        <v>14.234086242299794</v>
      </c>
      <c r="BJ190" s="42">
        <f t="shared" ca="1" si="505"/>
        <v>14.289664613278575</v>
      </c>
      <c r="BK190" s="42">
        <f t="shared" ca="1" si="506"/>
        <v>14.292402464065708</v>
      </c>
      <c r="BL190" s="42">
        <f t="shared" ca="1" si="569"/>
        <v>14.313483915126625</v>
      </c>
      <c r="BM190" s="150" t="e">
        <f t="shared" ca="1" si="507"/>
        <v>#DIV/0!</v>
      </c>
      <c r="BN190" s="42" t="e">
        <f t="shared" ca="1" si="508"/>
        <v>#DIV/0!</v>
      </c>
      <c r="BO190" s="293">
        <f t="shared" si="570"/>
        <v>20</v>
      </c>
      <c r="BP190" s="41">
        <f t="shared" si="571"/>
        <v>14</v>
      </c>
      <c r="BQ190" s="41">
        <f t="shared" si="572"/>
        <v>6</v>
      </c>
      <c r="BR190" s="305" t="str">
        <f t="shared" ca="1" si="509"/>
        <v/>
      </c>
      <c r="BS190" s="305" t="str">
        <f t="shared" ca="1" si="573"/>
        <v/>
      </c>
      <c r="BT190" s="307" t="str">
        <f t="shared" ca="1" si="574"/>
        <v/>
      </c>
      <c r="BU190" s="161" t="str">
        <f t="shared" ca="1" si="510"/>
        <v/>
      </c>
      <c r="BV190" s="161" t="str">
        <f t="shared" ca="1" si="511"/>
        <v/>
      </c>
      <c r="BW190" s="308" t="str">
        <f t="shared" ca="1" si="512"/>
        <v/>
      </c>
      <c r="BX190" s="309" t="str">
        <f t="shared" ca="1" si="513"/>
        <v/>
      </c>
      <c r="BY190" s="308" t="str">
        <f t="shared" ca="1" si="575"/>
        <v/>
      </c>
      <c r="BZ190" s="309" t="str">
        <f t="shared" ca="1" si="576"/>
        <v/>
      </c>
      <c r="CA190" s="154" t="str">
        <f t="shared" ca="1" si="514"/>
        <v/>
      </c>
      <c r="CB190" s="154" t="str">
        <f t="shared" ca="1" si="515"/>
        <v/>
      </c>
      <c r="CC190" s="154" t="str">
        <f t="shared" ca="1" si="516"/>
        <v/>
      </c>
      <c r="CD190" s="154" t="str">
        <f t="shared" ca="1" si="517"/>
        <v/>
      </c>
      <c r="CE190" s="310">
        <v>1</v>
      </c>
      <c r="CF190" s="162">
        <f ca="1">IF(BD190,_xll.xCrudeAPO(BU190,BV190,CA190,CB190,S191,S192,BI190,BL190,BP190,BQ190,0,Strike1,AO190,CE190,0,BL190,IF(OptControl=4,0,1),0,1),0)</f>
        <v>0</v>
      </c>
      <c r="CG190" s="163">
        <f ca="1">IF(BD190,_xll.xCrudeAPO(BU190,BV190,CA190,CB190,S191,S192,BI190,BL190,BP190,BQ190,0,Strike1,AO190,CE190,0,BL190,IF(OptControl=4,0,1),1,1)+_xll.xCrudeAPO(BU190,BV190,CA190,CB190,S191,S192,BI190,BL190,BP190,BQ190,0,Strike1,AO190,CE190,0,BL190,IF(OptControl=4,0,1),1,2)+IF(OR(VolSkewFlag=2,ABS(BS190)&lt;0.0001),0,IF(BS190&gt;0,-1,1)*CH190*Strike1/BR190^2*BY190/10%),0)</f>
        <v>0</v>
      </c>
      <c r="CH190" s="163">
        <f ca="1">IF(BD190,(_xll.xCrudeAPO(BU190,BV190,CA190,CB190,S191,S192,BI190,BL190,BP190,BQ190,0,Strike1,AO190,CE190,0,BL190,IF(OptControl=4,0,1),3,1)+_xll.xCrudeAPO(BU190,BV190,CA190,CB190,S191,S192,BI190,BL190,BP190,BQ190,0,Strike1,AO190,CE190,0,BL190,IF(OptControl=4,0,1),3,2))/100,0)</f>
        <v>0</v>
      </c>
      <c r="CI190" s="163">
        <f ca="1">IF(BD190,_xll.xCrudeAPO(BU190,BV190,CA190,CB190,S191,S192,BI190-DaysForThetaCalculation/365.25,BL190-DaysForThetaCalculation/365.25,BP190,BQ190,0,Strike1,AO190,CE190,0,BL190,IF(OptControl=4,0,1),0,1)-_xll.xCrudeAPO(BU190,BV190,CA190,CB190,S191,S192,BI190,BL190,BP190,BQ190,0,Strike1,AO190,CE190,0,BL190,IF(OptControl=4,0,1),0,1),0)</f>
        <v>0</v>
      </c>
      <c r="CJ190" s="311">
        <f ca="1">IF(BD190,_xll.xCrudeAPO(BU190,BV190,CC190,CD190,S191,S192,BI190,BL190,BP190,BQ190,0,Strike2,AO190,CE190,0,BL190,IF(OptControl=3,1,0),0,1),0)</f>
        <v>0</v>
      </c>
      <c r="CK190" s="163">
        <f ca="1">IF(BD190,_xll.xCrudeAPO(BU190,BV190,CC190,CD190,S191,S192,BI190,BL190,BP190,BQ190,0,Strike2,AO190,CE190,0,BL190,IF(OptControl=3,1,0),1,1)+_xll.xCrudeAPO(BU190,BV190,CC190,CD190,S191,S192,BI190,BL190,BP190,BQ190,0,Strike2,AO190,CE190,0,BL190,IF(OptControl=3,1,0),1,2)+IF(OR(VolSkewFlag=2,ABS(BT190)&lt;0.0001),0,IF(BT190&gt;0,-1,1)*CL190*Strike2/BR190^2*BZ190/10%),0)</f>
        <v>0</v>
      </c>
      <c r="CL190" s="163">
        <f ca="1">IF(BD190,(_xll.xCrudeAPO(BU190,BV190,CC190,CD190,S191,S192,BI190,BL190,BP190,BQ190,0,Strike2,AO190,CE190,0,BL190,IF(OptControl=3,1,0),3,1)+_xll.xCrudeAPO(BU190,BV190,CC190,CD190,S191,S192,BI190,BL190,BP190,BQ190,0,Strike2,AO190,CE190,0,BL190,IF(OptControl=3,1,0),3,2))/100,0)</f>
        <v>0</v>
      </c>
      <c r="CM190" s="164">
        <f ca="1">IF(BD190,_xll.xCrudeAPO(BU190,BV190,CC190,CD190,S191,S192,BI190-DaysForThetaCalculation/365.25,BL190-DaysForThetaCalculation/365.25,BP190,BQ190,0,Strike2,AO190,CE190,0,BL190,IF(OptControl=3,1,0),0,1)-_xll.xCrudeAPO(BU190,BV190,CC190,CD190,S191,S192,BI190,BL190,BP190,BQ190,0,Strike2,AO190,CE190,0,BL190,IF(OptControl=3,1,0),0,1),0)</f>
        <v>0</v>
      </c>
      <c r="CN190" s="53"/>
      <c r="CO190" s="796" t="str">
        <f t="shared" ca="1" si="532"/>
        <v/>
      </c>
      <c r="CP190" s="800" t="str">
        <f t="shared" ca="1" si="533"/>
        <v/>
      </c>
      <c r="CQ190" s="797" t="str">
        <f t="shared" ca="1" si="534"/>
        <v/>
      </c>
      <c r="CR190" s="797" t="str">
        <f t="shared" ca="1" si="535"/>
        <v/>
      </c>
      <c r="CS190" s="797" t="str">
        <f t="shared" ca="1" si="536"/>
        <v/>
      </c>
      <c r="CT190" s="797" t="str">
        <f t="shared" ca="1" si="537"/>
        <v/>
      </c>
      <c r="CU190" s="798" t="str">
        <f t="shared" ca="1" si="538"/>
        <v/>
      </c>
      <c r="CV190" s="799" t="str">
        <f t="shared" ca="1" si="539"/>
        <v/>
      </c>
      <c r="CW190" s="799" t="str">
        <f t="shared" ca="1" si="540"/>
        <v/>
      </c>
      <c r="CX190" s="163">
        <f ca="1">IF(BD190,_xll.EURO(CP190,Strike1,AO190,AO190,CV190,CO190,IF(OptControl=4,0,1),0),0)</f>
        <v>0</v>
      </c>
      <c r="CY190" s="163">
        <f ca="1">IF(BD190,_xll.EURO(CP190,Strike1,AO190,AO190,CV190,CO190,IF(OptControl=4,0,1),1)+IF(OR(VolSkewFlag=2,ABS(CQ190)&lt;0.0001),0,IF(CQ190&gt;0,-1,1)*CZ190*100*Strike1/CP190^2*CS190/10%),0)</f>
        <v>0</v>
      </c>
      <c r="CZ190" s="163">
        <f ca="1">IF(BD190,_xll.EURO(CP190,Strike1,AO190,AO190,CV190,CO190,IF(OptControl=4,0,1),3)/100,0)</f>
        <v>0</v>
      </c>
      <c r="DA190" s="163">
        <f ca="1">IF(BD190,_xll.EURO(CP190,Strike1,AO190,AO190,CV190,CO190,IF(OptControl=4,0,1),0)-_xll.EURO(CP190,Strike1,AO190,AO190,CV190,CO190-1,IF(OptControl=4,0,1),0),0)</f>
        <v>0</v>
      </c>
      <c r="DB190" s="163">
        <f ca="1">IF(BD190,_xll.EURO(CP190,Strike2,AO190,AO190,CW190,CO190,IF(OptControl=3,1,0),0),0)</f>
        <v>0</v>
      </c>
      <c r="DC190" s="163">
        <f ca="1">IF(BD190,_xll.EURO(CP190,Strike2,AO190,AO190,CW190,CO190,IF(OptControl=3,1,0),1)+IF(OR(VolSkewFlag=2,ABS(CR190)&lt;0.0001),0,IF(CR190&gt;0,-1,1)*DD190*100*Strike2/CP190^2*CT190/10%),0)</f>
        <v>0</v>
      </c>
      <c r="DD190" s="163">
        <f ca="1">IF(BD190,_xll.EURO(CP190,Strike2,AO190,AO190,CW190,CO190,IF(OptControl=3,1,0),3)/100,0)</f>
        <v>0</v>
      </c>
      <c r="DE190" s="164">
        <f ca="1">IF(BD190,_xll.EURO(CP190,Strike2,AO190,AO190,CW190,CO190,IF(OptControl=3,1,0),0)-_xll.EURO(CP190,Strike2,AO190,AO190,CW190,CO190-1,IF(OptControl=3,1,0),0),0)</f>
        <v>0</v>
      </c>
      <c r="DG190" s="667">
        <f t="shared" ca="1" si="541"/>
        <v>41730</v>
      </c>
      <c r="DH190" s="475">
        <v>22.660000000000068</v>
      </c>
      <c r="DI190" s="665">
        <v>22.728181818181888</v>
      </c>
      <c r="DJ190" s="666">
        <f t="shared" ca="1" si="589"/>
        <v>41730</v>
      </c>
      <c r="DK190" s="475">
        <v>21.465382491115641</v>
      </c>
      <c r="DL190" s="665">
        <v>21.436681818181889</v>
      </c>
      <c r="DM190" s="667">
        <f t="shared" ca="1" si="590"/>
        <v>41730</v>
      </c>
      <c r="DN190" s="668">
        <f t="shared" si="591"/>
        <v>21.515382491115641</v>
      </c>
      <c r="DO190" s="667">
        <f t="shared" ca="1" si="542"/>
        <v>41730</v>
      </c>
      <c r="DP190" s="579">
        <f t="shared" si="543"/>
        <v>21.436681818181889</v>
      </c>
      <c r="DQ190" s="821">
        <v>0</v>
      </c>
      <c r="DR190" s="666">
        <f t="shared" ca="1" si="592"/>
        <v>41730</v>
      </c>
      <c r="DS190" s="669">
        <v>0.12259999999999803</v>
      </c>
      <c r="DT190" s="606">
        <v>0.12178181818181621</v>
      </c>
      <c r="DU190" s="666">
        <f t="shared" ca="1" si="593"/>
        <v>41730</v>
      </c>
      <c r="DV190" s="669">
        <v>0.12259999999999803</v>
      </c>
      <c r="DW190" s="606">
        <v>0.12178181818181621</v>
      </c>
      <c r="DX190" s="667">
        <f t="shared" ca="1" si="594"/>
        <v>41730</v>
      </c>
      <c r="DY190" s="606">
        <v>0.35</v>
      </c>
      <c r="DZ190" s="667">
        <f t="shared" ca="1" si="544"/>
        <v>41730</v>
      </c>
      <c r="EA190" s="606">
        <f t="shared" si="545"/>
        <v>0.12178181818181621</v>
      </c>
      <c r="EB190" s="1"/>
      <c r="EC190" s="118" t="str">
        <f t="shared" ca="1" si="595"/>
        <v/>
      </c>
      <c r="ED190" s="119" t="str">
        <f t="shared" ca="1" si="525"/>
        <v/>
      </c>
      <c r="EE190" s="112" t="str">
        <f t="shared" ca="1" si="526"/>
        <v/>
      </c>
      <c r="EF190" s="120">
        <f ca="1">IF(BD190,_xll.xASN(BR190,Strike1,AO190,ED190,0,BO190,0,BI190,BL190,IF(OptControl=4,0,1),0),0)</f>
        <v>0</v>
      </c>
      <c r="EG190" s="111">
        <f ca="1">IF(BD190,_xll.xASN(BR190,Strike2,AO190,EE190,0,BO190,0,BI190,BL190,IF(OptControl=3,1,0),0),0)</f>
        <v>0</v>
      </c>
      <c r="EL190" s="55"/>
      <c r="EM190" s="1"/>
      <c r="EN190" s="106"/>
      <c r="EO190" s="106"/>
      <c r="EP190" s="1"/>
      <c r="EQ190" s="683" t="s">
        <v>403</v>
      </c>
      <c r="ES190" s="455"/>
      <c r="ET190" s="36"/>
      <c r="EU190" s="107"/>
      <c r="EV190" s="475"/>
      <c r="EW190" s="456"/>
      <c r="EX190" s="456"/>
      <c r="EY190" s="250"/>
      <c r="EZ190" s="250"/>
      <c r="FA190" s="250"/>
      <c r="FB190" s="250"/>
      <c r="FC190" s="250"/>
      <c r="FD190" s="250"/>
      <c r="FE190" s="250"/>
      <c r="FF190" s="250"/>
      <c r="FG190" s="250"/>
      <c r="FH190" s="250"/>
      <c r="FI190" s="250"/>
      <c r="FJ190" s="673">
        <v>21</v>
      </c>
      <c r="FK190" s="479" t="str">
        <f ca="1">IF(OR(FK$169&lt;SwaptionFirstMonthPosition+1,$FJ190&lt;SwaptionFirstMonthPosition+1,FK$169&gt;SwaptionFirstMonthPosition+SwaptionNumOfMonths+1,$FJ190&gt;SwaptionFirstMonthPosition+SwaptionNumOfMonths+1),"",IF($FJ190=FK$169,1,IF($FJ190&lt;FK$169,INDEX($FK$170:$ID$241,FK$169,$FJ190),SUMPRODUCT(INDEX($FK$325:$ID$396,FK$169,1+SwaptionShift):INDEX($FK$325:$ID$396,FK$169,SwaptionMonthsToGo+SwaptionShift),INDEX($FK$245:$ID$316,$FJ190-FK$169,73-FK$169+SwaptionShift):INDEX($FK$245:$ID$316,$FJ190-FK$169,72-FK$169+SwaptionMonthsToGo+SwaptionShift))/SQRT(SUM(INDEX($FK345:$ID345,1+SwaptionShift):INDEX($FK345:$ID345,SwaptionMonthsToGo+SwaptionShift))*SUM(INDEX($FK$325:$ID$396,FK$169,1+SwaptionShift):INDEX($FK$325:$ID$396,FK$169,SwaptionMonthsToGo+SwaptionShift))))))</f>
        <v/>
      </c>
      <c r="FL190" s="479" t="str">
        <f ca="1">IF(OR(FL$169&lt;SwaptionFirstMonthPosition+1,$FJ190&lt;SwaptionFirstMonthPosition+1,FL$169&gt;SwaptionFirstMonthPosition+SwaptionNumOfMonths+1,$FJ190&gt;SwaptionFirstMonthPosition+SwaptionNumOfMonths+1),"",IF($FJ190=FL$169,1,IF($FJ190&lt;FL$169,INDEX($FK$170:$ID$241,FL$169,$FJ190),SUMPRODUCT(INDEX($FK$325:$ID$396,FL$169,1+SwaptionShift):INDEX($FK$325:$ID$396,FL$169,SwaptionMonthsToGo+SwaptionShift),INDEX($FK$245:$ID$316,$FJ190-FL$169,73-FL$169+SwaptionShift):INDEX($FK$245:$ID$316,$FJ190-FL$169,72-FL$169+SwaptionMonthsToGo+SwaptionShift))/SQRT(SUM(INDEX($FK345:$ID345,1+SwaptionShift):INDEX($FK345:$ID345,SwaptionMonthsToGo+SwaptionShift))*SUM(INDEX($FK$325:$ID$396,FL$169,1+SwaptionShift):INDEX($FK$325:$ID$396,FL$169,SwaptionMonthsToGo+SwaptionShift))))))</f>
        <v/>
      </c>
      <c r="FM190" s="479" t="str">
        <f ca="1">IF(OR(FM$169&lt;SwaptionFirstMonthPosition+1,$FJ190&lt;SwaptionFirstMonthPosition+1,FM$169&gt;SwaptionFirstMonthPosition+SwaptionNumOfMonths+1,$FJ190&gt;SwaptionFirstMonthPosition+SwaptionNumOfMonths+1),"",IF($FJ190=FM$169,1,IF($FJ190&lt;FM$169,INDEX($FK$170:$ID$241,FM$169,$FJ190),SUMPRODUCT(INDEX($FK$325:$ID$396,FM$169,1+SwaptionShift):INDEX($FK$325:$ID$396,FM$169,SwaptionMonthsToGo+SwaptionShift),INDEX($FK$245:$ID$316,$FJ190-FM$169,73-FM$169+SwaptionShift):INDEX($FK$245:$ID$316,$FJ190-FM$169,72-FM$169+SwaptionMonthsToGo+SwaptionShift))/SQRT(SUM(INDEX($FK345:$ID345,1+SwaptionShift):INDEX($FK345:$ID345,SwaptionMonthsToGo+SwaptionShift))*SUM(INDEX($FK$325:$ID$396,FM$169,1+SwaptionShift):INDEX($FK$325:$ID$396,FM$169,SwaptionMonthsToGo+SwaptionShift))))))</f>
        <v/>
      </c>
      <c r="FN190" s="479" t="str">
        <f ca="1">IF(OR(FN$169&lt;SwaptionFirstMonthPosition+1,$FJ190&lt;SwaptionFirstMonthPosition+1,FN$169&gt;SwaptionFirstMonthPosition+SwaptionNumOfMonths+1,$FJ190&gt;SwaptionFirstMonthPosition+SwaptionNumOfMonths+1),"",IF($FJ190=FN$169,1,IF($FJ190&lt;FN$169,INDEX($FK$170:$ID$241,FN$169,$FJ190),SUMPRODUCT(INDEX($FK$325:$ID$396,FN$169,1+SwaptionShift):INDEX($FK$325:$ID$396,FN$169,SwaptionMonthsToGo+SwaptionShift),INDEX($FK$245:$ID$316,$FJ190-FN$169,73-FN$169+SwaptionShift):INDEX($FK$245:$ID$316,$FJ190-FN$169,72-FN$169+SwaptionMonthsToGo+SwaptionShift))/SQRT(SUM(INDEX($FK345:$ID345,1+SwaptionShift):INDEX($FK345:$ID345,SwaptionMonthsToGo+SwaptionShift))*SUM(INDEX($FK$325:$ID$396,FN$169,1+SwaptionShift):INDEX($FK$325:$ID$396,FN$169,SwaptionMonthsToGo+SwaptionShift))))))</f>
        <v/>
      </c>
      <c r="FO190" s="479" t="str">
        <f ca="1">IF(OR(FO$169&lt;SwaptionFirstMonthPosition+1,$FJ190&lt;SwaptionFirstMonthPosition+1,FO$169&gt;SwaptionFirstMonthPosition+SwaptionNumOfMonths+1,$FJ190&gt;SwaptionFirstMonthPosition+SwaptionNumOfMonths+1),"",IF($FJ190=FO$169,1,IF($FJ190&lt;FO$169,INDEX($FK$170:$ID$241,FO$169,$FJ190),SUMPRODUCT(INDEX($FK$325:$ID$396,FO$169,1+SwaptionShift):INDEX($FK$325:$ID$396,FO$169,SwaptionMonthsToGo+SwaptionShift),INDEX($FK$245:$ID$316,$FJ190-FO$169,73-FO$169+SwaptionShift):INDEX($FK$245:$ID$316,$FJ190-FO$169,72-FO$169+SwaptionMonthsToGo+SwaptionShift))/SQRT(SUM(INDEX($FK345:$ID345,1+SwaptionShift):INDEX($FK345:$ID345,SwaptionMonthsToGo+SwaptionShift))*SUM(INDEX($FK$325:$ID$396,FO$169,1+SwaptionShift):INDEX($FK$325:$ID$396,FO$169,SwaptionMonthsToGo+SwaptionShift))))))</f>
        <v/>
      </c>
      <c r="FP190" s="479" t="str">
        <f ca="1">IF(OR(FP$169&lt;SwaptionFirstMonthPosition+1,$FJ190&lt;SwaptionFirstMonthPosition+1,FP$169&gt;SwaptionFirstMonthPosition+SwaptionNumOfMonths+1,$FJ190&gt;SwaptionFirstMonthPosition+SwaptionNumOfMonths+1),"",IF($FJ190=FP$169,1,IF($FJ190&lt;FP$169,INDEX($FK$170:$ID$241,FP$169,$FJ190),SUMPRODUCT(INDEX($FK$325:$ID$396,FP$169,1+SwaptionShift):INDEX($FK$325:$ID$396,FP$169,SwaptionMonthsToGo+SwaptionShift),INDEX($FK$245:$ID$316,$FJ190-FP$169,73-FP$169+SwaptionShift):INDEX($FK$245:$ID$316,$FJ190-FP$169,72-FP$169+SwaptionMonthsToGo+SwaptionShift))/SQRT(SUM(INDEX($FK345:$ID345,1+SwaptionShift):INDEX($FK345:$ID345,SwaptionMonthsToGo+SwaptionShift))*SUM(INDEX($FK$325:$ID$396,FP$169,1+SwaptionShift):INDEX($FK$325:$ID$396,FP$169,SwaptionMonthsToGo+SwaptionShift))))))</f>
        <v/>
      </c>
      <c r="FQ190" s="479" t="str">
        <f ca="1">IF(OR(FQ$169&lt;SwaptionFirstMonthPosition+1,$FJ190&lt;SwaptionFirstMonthPosition+1,FQ$169&gt;SwaptionFirstMonthPosition+SwaptionNumOfMonths+1,$FJ190&gt;SwaptionFirstMonthPosition+SwaptionNumOfMonths+1),"",IF($FJ190=FQ$169,1,IF($FJ190&lt;FQ$169,INDEX($FK$170:$ID$241,FQ$169,$FJ190),SUMPRODUCT(INDEX($FK$325:$ID$396,FQ$169,1+SwaptionShift):INDEX($FK$325:$ID$396,FQ$169,SwaptionMonthsToGo+SwaptionShift),INDEX($FK$245:$ID$316,$FJ190-FQ$169,73-FQ$169+SwaptionShift):INDEX($FK$245:$ID$316,$FJ190-FQ$169,72-FQ$169+SwaptionMonthsToGo+SwaptionShift))/SQRT(SUM(INDEX($FK345:$ID345,1+SwaptionShift):INDEX($FK345:$ID345,SwaptionMonthsToGo+SwaptionShift))*SUM(INDEX($FK$325:$ID$396,FQ$169,1+SwaptionShift):INDEX($FK$325:$ID$396,FQ$169,SwaptionMonthsToGo+SwaptionShift))))))</f>
        <v/>
      </c>
      <c r="FR190" s="479" t="str">
        <f ca="1">IF(OR(FR$169&lt;SwaptionFirstMonthPosition+1,$FJ190&lt;SwaptionFirstMonthPosition+1,FR$169&gt;SwaptionFirstMonthPosition+SwaptionNumOfMonths+1,$FJ190&gt;SwaptionFirstMonthPosition+SwaptionNumOfMonths+1),"",IF($FJ190=FR$169,1,IF($FJ190&lt;FR$169,INDEX($FK$170:$ID$241,FR$169,$FJ190),SUMPRODUCT(INDEX($FK$325:$ID$396,FR$169,1+SwaptionShift):INDEX($FK$325:$ID$396,FR$169,SwaptionMonthsToGo+SwaptionShift),INDEX($FK$245:$ID$316,$FJ190-FR$169,73-FR$169+SwaptionShift):INDEX($FK$245:$ID$316,$FJ190-FR$169,72-FR$169+SwaptionMonthsToGo+SwaptionShift))/SQRT(SUM(INDEX($FK345:$ID345,1+SwaptionShift):INDEX($FK345:$ID345,SwaptionMonthsToGo+SwaptionShift))*SUM(INDEX($FK$325:$ID$396,FR$169,1+SwaptionShift):INDEX($FK$325:$ID$396,FR$169,SwaptionMonthsToGo+SwaptionShift))))))</f>
        <v/>
      </c>
      <c r="FS190" s="479" t="str">
        <f ca="1">IF(OR(FS$169&lt;SwaptionFirstMonthPosition+1,$FJ190&lt;SwaptionFirstMonthPosition+1,FS$169&gt;SwaptionFirstMonthPosition+SwaptionNumOfMonths+1,$FJ190&gt;SwaptionFirstMonthPosition+SwaptionNumOfMonths+1),"",IF($FJ190=FS$169,1,IF($FJ190&lt;FS$169,INDEX($FK$170:$ID$241,FS$169,$FJ190),SUMPRODUCT(INDEX($FK$325:$ID$396,FS$169,1+SwaptionShift):INDEX($FK$325:$ID$396,FS$169,SwaptionMonthsToGo+SwaptionShift),INDEX($FK$245:$ID$316,$FJ190-FS$169,73-FS$169+SwaptionShift):INDEX($FK$245:$ID$316,$FJ190-FS$169,72-FS$169+SwaptionMonthsToGo+SwaptionShift))/SQRT(SUM(INDEX($FK345:$ID345,1+SwaptionShift):INDEX($FK345:$ID345,SwaptionMonthsToGo+SwaptionShift))*SUM(INDEX($FK$325:$ID$396,FS$169,1+SwaptionShift):INDEX($FK$325:$ID$396,FS$169,SwaptionMonthsToGo+SwaptionShift))))))</f>
        <v/>
      </c>
      <c r="FT190" s="479" t="str">
        <f ca="1">IF(OR(FT$169&lt;SwaptionFirstMonthPosition+1,$FJ190&lt;SwaptionFirstMonthPosition+1,FT$169&gt;SwaptionFirstMonthPosition+SwaptionNumOfMonths+1,$FJ190&gt;SwaptionFirstMonthPosition+SwaptionNumOfMonths+1),"",IF($FJ190=FT$169,1,IF($FJ190&lt;FT$169,INDEX($FK$170:$ID$241,FT$169,$FJ190),SUMPRODUCT(INDEX($FK$325:$ID$396,FT$169,1+SwaptionShift):INDEX($FK$325:$ID$396,FT$169,SwaptionMonthsToGo+SwaptionShift),INDEX($FK$245:$ID$316,$FJ190-FT$169,73-FT$169+SwaptionShift):INDEX($FK$245:$ID$316,$FJ190-FT$169,72-FT$169+SwaptionMonthsToGo+SwaptionShift))/SQRT(SUM(INDEX($FK345:$ID345,1+SwaptionShift):INDEX($FK345:$ID345,SwaptionMonthsToGo+SwaptionShift))*SUM(INDEX($FK$325:$ID$396,FT$169,1+SwaptionShift):INDEX($FK$325:$ID$396,FT$169,SwaptionMonthsToGo+SwaptionShift))))))</f>
        <v/>
      </c>
      <c r="FU190" s="479" t="str">
        <f ca="1">IF(OR(FU$169&lt;SwaptionFirstMonthPosition+1,$FJ190&lt;SwaptionFirstMonthPosition+1,FU$169&gt;SwaptionFirstMonthPosition+SwaptionNumOfMonths+1,$FJ190&gt;SwaptionFirstMonthPosition+SwaptionNumOfMonths+1),"",IF($FJ190=FU$169,1,IF($FJ190&lt;FU$169,INDEX($FK$170:$ID$241,FU$169,$FJ190),SUMPRODUCT(INDEX($FK$325:$ID$396,FU$169,1+SwaptionShift):INDEX($FK$325:$ID$396,FU$169,SwaptionMonthsToGo+SwaptionShift),INDEX($FK$245:$ID$316,$FJ190-FU$169,73-FU$169+SwaptionShift):INDEX($FK$245:$ID$316,$FJ190-FU$169,72-FU$169+SwaptionMonthsToGo+SwaptionShift))/SQRT(SUM(INDEX($FK345:$ID345,1+SwaptionShift):INDEX($FK345:$ID345,SwaptionMonthsToGo+SwaptionShift))*SUM(INDEX($FK$325:$ID$396,FU$169,1+SwaptionShift):INDEX($FK$325:$ID$396,FU$169,SwaptionMonthsToGo+SwaptionShift))))))</f>
        <v/>
      </c>
      <c r="FV190" s="479" t="str">
        <f ca="1">IF(OR(FV$169&lt;SwaptionFirstMonthPosition+1,$FJ190&lt;SwaptionFirstMonthPosition+1,FV$169&gt;SwaptionFirstMonthPosition+SwaptionNumOfMonths+1,$FJ190&gt;SwaptionFirstMonthPosition+SwaptionNumOfMonths+1),"",IF($FJ190=FV$169,1,IF($FJ190&lt;FV$169,INDEX($FK$170:$ID$241,FV$169,$FJ190),SUMPRODUCT(INDEX($FK$325:$ID$396,FV$169,1+SwaptionShift):INDEX($FK$325:$ID$396,FV$169,SwaptionMonthsToGo+SwaptionShift),INDEX($FK$245:$ID$316,$FJ190-FV$169,73-FV$169+SwaptionShift):INDEX($FK$245:$ID$316,$FJ190-FV$169,72-FV$169+SwaptionMonthsToGo+SwaptionShift))/SQRT(SUM(INDEX($FK345:$ID345,1+SwaptionShift):INDEX($FK345:$ID345,SwaptionMonthsToGo+SwaptionShift))*SUM(INDEX($FK$325:$ID$396,FV$169,1+SwaptionShift):INDEX($FK$325:$ID$396,FV$169,SwaptionMonthsToGo+SwaptionShift))))))</f>
        <v/>
      </c>
      <c r="FW190" s="479" t="str">
        <f ca="1">IF(OR(FW$169&lt;SwaptionFirstMonthPosition+1,$FJ190&lt;SwaptionFirstMonthPosition+1,FW$169&gt;SwaptionFirstMonthPosition+SwaptionNumOfMonths+1,$FJ190&gt;SwaptionFirstMonthPosition+SwaptionNumOfMonths+1),"",IF($FJ190=FW$169,1,IF($FJ190&lt;FW$169,INDEX($FK$170:$ID$241,FW$169,$FJ190),SUMPRODUCT(INDEX($FK$325:$ID$396,FW$169,1+SwaptionShift):INDEX($FK$325:$ID$396,FW$169,SwaptionMonthsToGo+SwaptionShift),INDEX($FK$245:$ID$316,$FJ190-FW$169,73-FW$169+SwaptionShift):INDEX($FK$245:$ID$316,$FJ190-FW$169,72-FW$169+SwaptionMonthsToGo+SwaptionShift))/SQRT(SUM(INDEX($FK345:$ID345,1+SwaptionShift):INDEX($FK345:$ID345,SwaptionMonthsToGo+SwaptionShift))*SUM(INDEX($FK$325:$ID$396,FW$169,1+SwaptionShift):INDEX($FK$325:$ID$396,FW$169,SwaptionMonthsToGo+SwaptionShift))))))</f>
        <v/>
      </c>
      <c r="FX190" s="479" t="str">
        <f ca="1">IF(OR(FX$169&lt;SwaptionFirstMonthPosition+1,$FJ190&lt;SwaptionFirstMonthPosition+1,FX$169&gt;SwaptionFirstMonthPosition+SwaptionNumOfMonths+1,$FJ190&gt;SwaptionFirstMonthPosition+SwaptionNumOfMonths+1),"",IF($FJ190=FX$169,1,IF($FJ190&lt;FX$169,INDEX($FK$170:$ID$241,FX$169,$FJ190),SUMPRODUCT(INDEX($FK$325:$ID$396,FX$169,1+SwaptionShift):INDEX($FK$325:$ID$396,FX$169,SwaptionMonthsToGo+SwaptionShift),INDEX($FK$245:$ID$316,$FJ190-FX$169,73-FX$169+SwaptionShift):INDEX($FK$245:$ID$316,$FJ190-FX$169,72-FX$169+SwaptionMonthsToGo+SwaptionShift))/SQRT(SUM(INDEX($FK345:$ID345,1+SwaptionShift):INDEX($FK345:$ID345,SwaptionMonthsToGo+SwaptionShift))*SUM(INDEX($FK$325:$ID$396,FX$169,1+SwaptionShift):INDEX($FK$325:$ID$396,FX$169,SwaptionMonthsToGo+SwaptionShift))))))</f>
        <v/>
      </c>
      <c r="FY190" s="479" t="str">
        <f ca="1">IF(OR(FY$169&lt;SwaptionFirstMonthPosition+1,$FJ190&lt;SwaptionFirstMonthPosition+1,FY$169&gt;SwaptionFirstMonthPosition+SwaptionNumOfMonths+1,$FJ190&gt;SwaptionFirstMonthPosition+SwaptionNumOfMonths+1),"",IF($FJ190=FY$169,1,IF($FJ190&lt;FY$169,INDEX($FK$170:$ID$241,FY$169,$FJ190),SUMPRODUCT(INDEX($FK$325:$ID$396,FY$169,1+SwaptionShift):INDEX($FK$325:$ID$396,FY$169,SwaptionMonthsToGo+SwaptionShift),INDEX($FK$245:$ID$316,$FJ190-FY$169,73-FY$169+SwaptionShift):INDEX($FK$245:$ID$316,$FJ190-FY$169,72-FY$169+SwaptionMonthsToGo+SwaptionShift))/SQRT(SUM(INDEX($FK345:$ID345,1+SwaptionShift):INDEX($FK345:$ID345,SwaptionMonthsToGo+SwaptionShift))*SUM(INDEX($FK$325:$ID$396,FY$169,1+SwaptionShift):INDEX($FK$325:$ID$396,FY$169,SwaptionMonthsToGo+SwaptionShift))))))</f>
        <v/>
      </c>
      <c r="FZ190" s="479" t="str">
        <f ca="1">IF(OR(FZ$169&lt;SwaptionFirstMonthPosition+1,$FJ190&lt;SwaptionFirstMonthPosition+1,FZ$169&gt;SwaptionFirstMonthPosition+SwaptionNumOfMonths+1,$FJ190&gt;SwaptionFirstMonthPosition+SwaptionNumOfMonths+1),"",IF($FJ190=FZ$169,1,IF($FJ190&lt;FZ$169,INDEX($FK$170:$ID$241,FZ$169,$FJ190),SUMPRODUCT(INDEX($FK$325:$ID$396,FZ$169,1+SwaptionShift):INDEX($FK$325:$ID$396,FZ$169,SwaptionMonthsToGo+SwaptionShift),INDEX($FK$245:$ID$316,$FJ190-FZ$169,73-FZ$169+SwaptionShift):INDEX($FK$245:$ID$316,$FJ190-FZ$169,72-FZ$169+SwaptionMonthsToGo+SwaptionShift))/SQRT(SUM(INDEX($FK345:$ID345,1+SwaptionShift):INDEX($FK345:$ID345,SwaptionMonthsToGo+SwaptionShift))*SUM(INDEX($FK$325:$ID$396,FZ$169,1+SwaptionShift):INDEX($FK$325:$ID$396,FZ$169,SwaptionMonthsToGo+SwaptionShift))))))</f>
        <v/>
      </c>
      <c r="GA190" s="479" t="str">
        <f ca="1">IF(OR(GA$169&lt;SwaptionFirstMonthPosition+1,$FJ190&lt;SwaptionFirstMonthPosition+1,GA$169&gt;SwaptionFirstMonthPosition+SwaptionNumOfMonths+1,$FJ190&gt;SwaptionFirstMonthPosition+SwaptionNumOfMonths+1),"",IF($FJ190=GA$169,1,IF($FJ190&lt;GA$169,INDEX($FK$170:$ID$241,GA$169,$FJ190),SUMPRODUCT(INDEX($FK$325:$ID$396,GA$169,1+SwaptionShift):INDEX($FK$325:$ID$396,GA$169,SwaptionMonthsToGo+SwaptionShift),INDEX($FK$245:$ID$316,$FJ190-GA$169,73-GA$169+SwaptionShift):INDEX($FK$245:$ID$316,$FJ190-GA$169,72-GA$169+SwaptionMonthsToGo+SwaptionShift))/SQRT(SUM(INDEX($FK345:$ID345,1+SwaptionShift):INDEX($FK345:$ID345,SwaptionMonthsToGo+SwaptionShift))*SUM(INDEX($FK$325:$ID$396,GA$169,1+SwaptionShift):INDEX($FK$325:$ID$396,GA$169,SwaptionMonthsToGo+SwaptionShift))))))</f>
        <v/>
      </c>
      <c r="GB190" s="479" t="str">
        <f ca="1">IF(OR(GB$169&lt;SwaptionFirstMonthPosition+1,$FJ190&lt;SwaptionFirstMonthPosition+1,GB$169&gt;SwaptionFirstMonthPosition+SwaptionNumOfMonths+1,$FJ190&gt;SwaptionFirstMonthPosition+SwaptionNumOfMonths+1),"",IF($FJ190=GB$169,1,IF($FJ190&lt;GB$169,INDEX($FK$170:$ID$241,GB$169,$FJ190),SUMPRODUCT(INDEX($FK$325:$ID$396,GB$169,1+SwaptionShift):INDEX($FK$325:$ID$396,GB$169,SwaptionMonthsToGo+SwaptionShift),INDEX($FK$245:$ID$316,$FJ190-GB$169,73-GB$169+SwaptionShift):INDEX($FK$245:$ID$316,$FJ190-GB$169,72-GB$169+SwaptionMonthsToGo+SwaptionShift))/SQRT(SUM(INDEX($FK345:$ID345,1+SwaptionShift):INDEX($FK345:$ID345,SwaptionMonthsToGo+SwaptionShift))*SUM(INDEX($FK$325:$ID$396,GB$169,1+SwaptionShift):INDEX($FK$325:$ID$396,GB$169,SwaptionMonthsToGo+SwaptionShift))))))</f>
        <v/>
      </c>
      <c r="GC190" s="479" t="str">
        <f ca="1">IF(OR(GC$169&lt;SwaptionFirstMonthPosition+1,$FJ190&lt;SwaptionFirstMonthPosition+1,GC$169&gt;SwaptionFirstMonthPosition+SwaptionNumOfMonths+1,$FJ190&gt;SwaptionFirstMonthPosition+SwaptionNumOfMonths+1),"",IF($FJ190=GC$169,1,IF($FJ190&lt;GC$169,INDEX($FK$170:$ID$241,GC$169,$FJ190),SUMPRODUCT(INDEX($FK$325:$ID$396,GC$169,1+SwaptionShift):INDEX($FK$325:$ID$396,GC$169,SwaptionMonthsToGo+SwaptionShift),INDEX($FK$245:$ID$316,$FJ190-GC$169,73-GC$169+SwaptionShift):INDEX($FK$245:$ID$316,$FJ190-GC$169,72-GC$169+SwaptionMonthsToGo+SwaptionShift))/SQRT(SUM(INDEX($FK345:$ID345,1+SwaptionShift):INDEX($FK345:$ID345,SwaptionMonthsToGo+SwaptionShift))*SUM(INDEX($FK$325:$ID$396,GC$169,1+SwaptionShift):INDEX($FK$325:$ID$396,GC$169,SwaptionMonthsToGo+SwaptionShift))))))</f>
        <v/>
      </c>
      <c r="GD190" s="479" t="str">
        <f ca="1">IF(OR(GD$169&lt;SwaptionFirstMonthPosition+1,$FJ190&lt;SwaptionFirstMonthPosition+1,GD$169&gt;SwaptionFirstMonthPosition+SwaptionNumOfMonths+1,$FJ190&gt;SwaptionFirstMonthPosition+SwaptionNumOfMonths+1),"",IF($FJ190=GD$169,1,IF($FJ190&lt;GD$169,INDEX($FK$170:$ID$241,GD$169,$FJ190),SUMPRODUCT(INDEX($FK$325:$ID$396,GD$169,1+SwaptionShift):INDEX($FK$325:$ID$396,GD$169,SwaptionMonthsToGo+SwaptionShift),INDEX($FK$245:$ID$316,$FJ190-GD$169,73-GD$169+SwaptionShift):INDEX($FK$245:$ID$316,$FJ190-GD$169,72-GD$169+SwaptionMonthsToGo+SwaptionShift))/SQRT(SUM(INDEX($FK345:$ID345,1+SwaptionShift):INDEX($FK345:$ID345,SwaptionMonthsToGo+SwaptionShift))*SUM(INDEX($FK$325:$ID$396,GD$169,1+SwaptionShift):INDEX($FK$325:$ID$396,GD$169,SwaptionMonthsToGo+SwaptionShift))))))</f>
        <v/>
      </c>
      <c r="GE190" s="479" t="str">
        <f ca="1">IF(OR(GE$169&lt;SwaptionFirstMonthPosition+1,$FJ190&lt;SwaptionFirstMonthPosition+1,GE$169&gt;SwaptionFirstMonthPosition+SwaptionNumOfMonths+1,$FJ190&gt;SwaptionFirstMonthPosition+SwaptionNumOfMonths+1),"",IF($FJ190=GE$169,1,IF($FJ190&lt;GE$169,INDEX($FK$170:$ID$241,GE$169,$FJ190),SUMPRODUCT(INDEX($FK$325:$ID$396,GE$169,1+SwaptionShift):INDEX($FK$325:$ID$396,GE$169,SwaptionMonthsToGo+SwaptionShift),INDEX($FK$245:$ID$316,$FJ190-GE$169,73-GE$169+SwaptionShift):INDEX($FK$245:$ID$316,$FJ190-GE$169,72-GE$169+SwaptionMonthsToGo+SwaptionShift))/SQRT(SUM(INDEX($FK345:$ID345,1+SwaptionShift):INDEX($FK345:$ID345,SwaptionMonthsToGo+SwaptionShift))*SUM(INDEX($FK$325:$ID$396,GE$169,1+SwaptionShift):INDEX($FK$325:$ID$396,GE$169,SwaptionMonthsToGo+SwaptionShift))))))</f>
        <v/>
      </c>
      <c r="GF190" s="479" t="str">
        <f ca="1">IF(OR(GF$169&lt;SwaptionFirstMonthPosition+1,$FJ190&lt;SwaptionFirstMonthPosition+1,GF$169&gt;SwaptionFirstMonthPosition+SwaptionNumOfMonths+1,$FJ190&gt;SwaptionFirstMonthPosition+SwaptionNumOfMonths+1),"",IF($FJ190=GF$169,1,IF($FJ190&lt;GF$169,INDEX($FK$170:$ID$241,GF$169,$FJ190),SUMPRODUCT(INDEX($FK$325:$ID$396,GF$169,1+SwaptionShift):INDEX($FK$325:$ID$396,GF$169,SwaptionMonthsToGo+SwaptionShift),INDEX($FK$245:$ID$316,$FJ190-GF$169,73-GF$169+SwaptionShift):INDEX($FK$245:$ID$316,$FJ190-GF$169,72-GF$169+SwaptionMonthsToGo+SwaptionShift))/SQRT(SUM(INDEX($FK345:$ID345,1+SwaptionShift):INDEX($FK345:$ID345,SwaptionMonthsToGo+SwaptionShift))*SUM(INDEX($FK$325:$ID$396,GF$169,1+SwaptionShift):INDEX($FK$325:$ID$396,GF$169,SwaptionMonthsToGo+SwaptionShift))))))</f>
        <v/>
      </c>
      <c r="GG190" s="479" t="str">
        <f ca="1">IF(OR(GG$169&lt;SwaptionFirstMonthPosition+1,$FJ190&lt;SwaptionFirstMonthPosition+1,GG$169&gt;SwaptionFirstMonthPosition+SwaptionNumOfMonths+1,$FJ190&gt;SwaptionFirstMonthPosition+SwaptionNumOfMonths+1),"",IF($FJ190=GG$169,1,IF($FJ190&lt;GG$169,INDEX($FK$170:$ID$241,GG$169,$FJ190),SUMPRODUCT(INDEX($FK$325:$ID$396,GG$169,1+SwaptionShift):INDEX($FK$325:$ID$396,GG$169,SwaptionMonthsToGo+SwaptionShift),INDEX($FK$245:$ID$316,$FJ190-GG$169,73-GG$169+SwaptionShift):INDEX($FK$245:$ID$316,$FJ190-GG$169,72-GG$169+SwaptionMonthsToGo+SwaptionShift))/SQRT(SUM(INDEX($FK345:$ID345,1+SwaptionShift):INDEX($FK345:$ID345,SwaptionMonthsToGo+SwaptionShift))*SUM(INDEX($FK$325:$ID$396,GG$169,1+SwaptionShift):INDEX($FK$325:$ID$396,GG$169,SwaptionMonthsToGo+SwaptionShift))))))</f>
        <v/>
      </c>
      <c r="GH190" s="479" t="str">
        <f ca="1">IF(OR(GH$169&lt;SwaptionFirstMonthPosition+1,$FJ190&lt;SwaptionFirstMonthPosition+1,GH$169&gt;SwaptionFirstMonthPosition+SwaptionNumOfMonths+1,$FJ190&gt;SwaptionFirstMonthPosition+SwaptionNumOfMonths+1),"",IF($FJ190=GH$169,1,IF($FJ190&lt;GH$169,INDEX($FK$170:$ID$241,GH$169,$FJ190),SUMPRODUCT(INDEX($FK$325:$ID$396,GH$169,1+SwaptionShift):INDEX($FK$325:$ID$396,GH$169,SwaptionMonthsToGo+SwaptionShift),INDEX($FK$245:$ID$316,$FJ190-GH$169,73-GH$169+SwaptionShift):INDEX($FK$245:$ID$316,$FJ190-GH$169,72-GH$169+SwaptionMonthsToGo+SwaptionShift))/SQRT(SUM(INDEX($FK345:$ID345,1+SwaptionShift):INDEX($FK345:$ID345,SwaptionMonthsToGo+SwaptionShift))*SUM(INDEX($FK$325:$ID$396,GH$169,1+SwaptionShift):INDEX($FK$325:$ID$396,GH$169,SwaptionMonthsToGo+SwaptionShift))))))</f>
        <v/>
      </c>
      <c r="GI190" s="479" t="str">
        <f ca="1">IF(OR(GI$169&lt;SwaptionFirstMonthPosition+1,$FJ190&lt;SwaptionFirstMonthPosition+1,GI$169&gt;SwaptionFirstMonthPosition+SwaptionNumOfMonths+1,$FJ190&gt;SwaptionFirstMonthPosition+SwaptionNumOfMonths+1),"",IF($FJ190=GI$169,1,IF($FJ190&lt;GI$169,INDEX($FK$170:$ID$241,GI$169,$FJ190),SUMPRODUCT(INDEX($FK$325:$ID$396,GI$169,1+SwaptionShift):INDEX($FK$325:$ID$396,GI$169,SwaptionMonthsToGo+SwaptionShift),INDEX($FK$245:$ID$316,$FJ190-GI$169,73-GI$169+SwaptionShift):INDEX($FK$245:$ID$316,$FJ190-GI$169,72-GI$169+SwaptionMonthsToGo+SwaptionShift))/SQRT(SUM(INDEX($FK345:$ID345,1+SwaptionShift):INDEX($FK345:$ID345,SwaptionMonthsToGo+SwaptionShift))*SUM(INDEX($FK$325:$ID$396,GI$169,1+SwaptionShift):INDEX($FK$325:$ID$396,GI$169,SwaptionMonthsToGo+SwaptionShift))))))</f>
        <v/>
      </c>
      <c r="GJ190" s="479" t="str">
        <f ca="1">IF(OR(GJ$169&lt;SwaptionFirstMonthPosition+1,$FJ190&lt;SwaptionFirstMonthPosition+1,GJ$169&gt;SwaptionFirstMonthPosition+SwaptionNumOfMonths+1,$FJ190&gt;SwaptionFirstMonthPosition+SwaptionNumOfMonths+1),"",IF($FJ190=GJ$169,1,IF($FJ190&lt;GJ$169,INDEX($FK$170:$ID$241,GJ$169,$FJ190),SUMPRODUCT(INDEX($FK$325:$ID$396,GJ$169,1+SwaptionShift):INDEX($FK$325:$ID$396,GJ$169,SwaptionMonthsToGo+SwaptionShift),INDEX($FK$245:$ID$316,$FJ190-GJ$169,73-GJ$169+SwaptionShift):INDEX($FK$245:$ID$316,$FJ190-GJ$169,72-GJ$169+SwaptionMonthsToGo+SwaptionShift))/SQRT(SUM(INDEX($FK345:$ID345,1+SwaptionShift):INDEX($FK345:$ID345,SwaptionMonthsToGo+SwaptionShift))*SUM(INDEX($FK$325:$ID$396,GJ$169,1+SwaptionShift):INDEX($FK$325:$ID$396,GJ$169,SwaptionMonthsToGo+SwaptionShift))))))</f>
        <v/>
      </c>
      <c r="GK190" s="479" t="str">
        <f ca="1">IF(OR(GK$169&lt;SwaptionFirstMonthPosition+1,$FJ190&lt;SwaptionFirstMonthPosition+1,GK$169&gt;SwaptionFirstMonthPosition+SwaptionNumOfMonths+1,$FJ190&gt;SwaptionFirstMonthPosition+SwaptionNumOfMonths+1),"",IF($FJ190=GK$169,1,IF($FJ190&lt;GK$169,INDEX($FK$170:$ID$241,GK$169,$FJ190),SUMPRODUCT(INDEX($FK$325:$ID$396,GK$169,1+SwaptionShift):INDEX($FK$325:$ID$396,GK$169,SwaptionMonthsToGo+SwaptionShift),INDEX($FK$245:$ID$316,$FJ190-GK$169,73-GK$169+SwaptionShift):INDEX($FK$245:$ID$316,$FJ190-GK$169,72-GK$169+SwaptionMonthsToGo+SwaptionShift))/SQRT(SUM(INDEX($FK345:$ID345,1+SwaptionShift):INDEX($FK345:$ID345,SwaptionMonthsToGo+SwaptionShift))*SUM(INDEX($FK$325:$ID$396,GK$169,1+SwaptionShift):INDEX($FK$325:$ID$396,GK$169,SwaptionMonthsToGo+SwaptionShift))))))</f>
        <v/>
      </c>
      <c r="GL190" s="479" t="str">
        <f ca="1">IF(OR(GL$169&lt;SwaptionFirstMonthPosition+1,$FJ190&lt;SwaptionFirstMonthPosition+1,GL$169&gt;SwaptionFirstMonthPosition+SwaptionNumOfMonths+1,$FJ190&gt;SwaptionFirstMonthPosition+SwaptionNumOfMonths+1),"",IF($FJ190=GL$169,1,IF($FJ190&lt;GL$169,INDEX($FK$170:$ID$241,GL$169,$FJ190),SUMPRODUCT(INDEX($FK$325:$ID$396,GL$169,1+SwaptionShift):INDEX($FK$325:$ID$396,GL$169,SwaptionMonthsToGo+SwaptionShift),INDEX($FK$245:$ID$316,$FJ190-GL$169,73-GL$169+SwaptionShift):INDEX($FK$245:$ID$316,$FJ190-GL$169,72-GL$169+SwaptionMonthsToGo+SwaptionShift))/SQRT(SUM(INDEX($FK345:$ID345,1+SwaptionShift):INDEX($FK345:$ID345,SwaptionMonthsToGo+SwaptionShift))*SUM(INDEX($FK$325:$ID$396,GL$169,1+SwaptionShift):INDEX($FK$325:$ID$396,GL$169,SwaptionMonthsToGo+SwaptionShift))))))</f>
        <v/>
      </c>
      <c r="GM190" s="479" t="str">
        <f ca="1">IF(OR(GM$169&lt;SwaptionFirstMonthPosition+1,$FJ190&lt;SwaptionFirstMonthPosition+1,GM$169&gt;SwaptionFirstMonthPosition+SwaptionNumOfMonths+1,$FJ190&gt;SwaptionFirstMonthPosition+SwaptionNumOfMonths+1),"",IF($FJ190=GM$169,1,IF($FJ190&lt;GM$169,INDEX($FK$170:$ID$241,GM$169,$FJ190),SUMPRODUCT(INDEX($FK$325:$ID$396,GM$169,1+SwaptionShift):INDEX($FK$325:$ID$396,GM$169,SwaptionMonthsToGo+SwaptionShift),INDEX($FK$245:$ID$316,$FJ190-GM$169,73-GM$169+SwaptionShift):INDEX($FK$245:$ID$316,$FJ190-GM$169,72-GM$169+SwaptionMonthsToGo+SwaptionShift))/SQRT(SUM(INDEX($FK345:$ID345,1+SwaptionShift):INDEX($FK345:$ID345,SwaptionMonthsToGo+SwaptionShift))*SUM(INDEX($FK$325:$ID$396,GM$169,1+SwaptionShift):INDEX($FK$325:$ID$396,GM$169,SwaptionMonthsToGo+SwaptionShift))))))</f>
        <v/>
      </c>
      <c r="GN190" s="479" t="str">
        <f ca="1">IF(OR(GN$169&lt;SwaptionFirstMonthPosition+1,$FJ190&lt;SwaptionFirstMonthPosition+1,GN$169&gt;SwaptionFirstMonthPosition+SwaptionNumOfMonths+1,$FJ190&gt;SwaptionFirstMonthPosition+SwaptionNumOfMonths+1),"",IF($FJ190=GN$169,1,IF($FJ190&lt;GN$169,INDEX($FK$170:$ID$241,GN$169,$FJ190),SUMPRODUCT(INDEX($FK$325:$ID$396,GN$169,1+SwaptionShift):INDEX($FK$325:$ID$396,GN$169,SwaptionMonthsToGo+SwaptionShift),INDEX($FK$245:$ID$316,$FJ190-GN$169,73-GN$169+SwaptionShift):INDEX($FK$245:$ID$316,$FJ190-GN$169,72-GN$169+SwaptionMonthsToGo+SwaptionShift))/SQRT(SUM(INDEX($FK345:$ID345,1+SwaptionShift):INDEX($FK345:$ID345,SwaptionMonthsToGo+SwaptionShift))*SUM(INDEX($FK$325:$ID$396,GN$169,1+SwaptionShift):INDEX($FK$325:$ID$396,GN$169,SwaptionMonthsToGo+SwaptionShift))))))</f>
        <v/>
      </c>
      <c r="GO190" s="479" t="str">
        <f ca="1">IF(OR(GO$169&lt;SwaptionFirstMonthPosition+1,$FJ190&lt;SwaptionFirstMonthPosition+1,GO$169&gt;SwaptionFirstMonthPosition+SwaptionNumOfMonths+1,$FJ190&gt;SwaptionFirstMonthPosition+SwaptionNumOfMonths+1),"",IF($FJ190=GO$169,1,IF($FJ190&lt;GO$169,INDEX($FK$170:$ID$241,GO$169,$FJ190),SUMPRODUCT(INDEX($FK$325:$ID$396,GO$169,1+SwaptionShift):INDEX($FK$325:$ID$396,GO$169,SwaptionMonthsToGo+SwaptionShift),INDEX($FK$245:$ID$316,$FJ190-GO$169,73-GO$169+SwaptionShift):INDEX($FK$245:$ID$316,$FJ190-GO$169,72-GO$169+SwaptionMonthsToGo+SwaptionShift))/SQRT(SUM(INDEX($FK345:$ID345,1+SwaptionShift):INDEX($FK345:$ID345,SwaptionMonthsToGo+SwaptionShift))*SUM(INDEX($FK$325:$ID$396,GO$169,1+SwaptionShift):INDEX($FK$325:$ID$396,GO$169,SwaptionMonthsToGo+SwaptionShift))))))</f>
        <v/>
      </c>
      <c r="GP190" s="479" t="str">
        <f ca="1">IF(OR(GP$169&lt;SwaptionFirstMonthPosition+1,$FJ190&lt;SwaptionFirstMonthPosition+1,GP$169&gt;SwaptionFirstMonthPosition+SwaptionNumOfMonths+1,$FJ190&gt;SwaptionFirstMonthPosition+SwaptionNumOfMonths+1),"",IF($FJ190=GP$169,1,IF($FJ190&lt;GP$169,INDEX($FK$170:$ID$241,GP$169,$FJ190),SUMPRODUCT(INDEX($FK$325:$ID$396,GP$169,1+SwaptionShift):INDEX($FK$325:$ID$396,GP$169,SwaptionMonthsToGo+SwaptionShift),INDEX($FK$245:$ID$316,$FJ190-GP$169,73-GP$169+SwaptionShift):INDEX($FK$245:$ID$316,$FJ190-GP$169,72-GP$169+SwaptionMonthsToGo+SwaptionShift))/SQRT(SUM(INDEX($FK345:$ID345,1+SwaptionShift):INDEX($FK345:$ID345,SwaptionMonthsToGo+SwaptionShift))*SUM(INDEX($FK$325:$ID$396,GP$169,1+SwaptionShift):INDEX($FK$325:$ID$396,GP$169,SwaptionMonthsToGo+SwaptionShift))))))</f>
        <v/>
      </c>
      <c r="GQ190" s="479" t="str">
        <f ca="1">IF(OR(GQ$169&lt;SwaptionFirstMonthPosition+1,$FJ190&lt;SwaptionFirstMonthPosition+1,GQ$169&gt;SwaptionFirstMonthPosition+SwaptionNumOfMonths+1,$FJ190&gt;SwaptionFirstMonthPosition+SwaptionNumOfMonths+1),"",IF($FJ190=GQ$169,1,IF($FJ190&lt;GQ$169,INDEX($FK$170:$ID$241,GQ$169,$FJ190),SUMPRODUCT(INDEX($FK$325:$ID$396,GQ$169,1+SwaptionShift):INDEX($FK$325:$ID$396,GQ$169,SwaptionMonthsToGo+SwaptionShift),INDEX($FK$245:$ID$316,$FJ190-GQ$169,73-GQ$169+SwaptionShift):INDEX($FK$245:$ID$316,$FJ190-GQ$169,72-GQ$169+SwaptionMonthsToGo+SwaptionShift))/SQRT(SUM(INDEX($FK345:$ID345,1+SwaptionShift):INDEX($FK345:$ID345,SwaptionMonthsToGo+SwaptionShift))*SUM(INDEX($FK$325:$ID$396,GQ$169,1+SwaptionShift):INDEX($FK$325:$ID$396,GQ$169,SwaptionMonthsToGo+SwaptionShift))))))</f>
        <v/>
      </c>
      <c r="GR190" s="479" t="str">
        <f ca="1">IF(OR(GR$169&lt;SwaptionFirstMonthPosition+1,$FJ190&lt;SwaptionFirstMonthPosition+1,GR$169&gt;SwaptionFirstMonthPosition+SwaptionNumOfMonths+1,$FJ190&gt;SwaptionFirstMonthPosition+SwaptionNumOfMonths+1),"",IF($FJ190=GR$169,1,IF($FJ190&lt;GR$169,INDEX($FK$170:$ID$241,GR$169,$FJ190),SUMPRODUCT(INDEX($FK$325:$ID$396,GR$169,1+SwaptionShift):INDEX($FK$325:$ID$396,GR$169,SwaptionMonthsToGo+SwaptionShift),INDEX($FK$245:$ID$316,$FJ190-GR$169,73-GR$169+SwaptionShift):INDEX($FK$245:$ID$316,$FJ190-GR$169,72-GR$169+SwaptionMonthsToGo+SwaptionShift))/SQRT(SUM(INDEX($FK345:$ID345,1+SwaptionShift):INDEX($FK345:$ID345,SwaptionMonthsToGo+SwaptionShift))*SUM(INDEX($FK$325:$ID$396,GR$169,1+SwaptionShift):INDEX($FK$325:$ID$396,GR$169,SwaptionMonthsToGo+SwaptionShift))))))</f>
        <v/>
      </c>
      <c r="GS190" s="479" t="str">
        <f ca="1">IF(OR(GS$169&lt;SwaptionFirstMonthPosition+1,$FJ190&lt;SwaptionFirstMonthPosition+1,GS$169&gt;SwaptionFirstMonthPosition+SwaptionNumOfMonths+1,$FJ190&gt;SwaptionFirstMonthPosition+SwaptionNumOfMonths+1),"",IF($FJ190=GS$169,1,IF($FJ190&lt;GS$169,INDEX($FK$170:$ID$241,GS$169,$FJ190),SUMPRODUCT(INDEX($FK$325:$ID$396,GS$169,1+SwaptionShift):INDEX($FK$325:$ID$396,GS$169,SwaptionMonthsToGo+SwaptionShift),INDEX($FK$245:$ID$316,$FJ190-GS$169,73-GS$169+SwaptionShift):INDEX($FK$245:$ID$316,$FJ190-GS$169,72-GS$169+SwaptionMonthsToGo+SwaptionShift))/SQRT(SUM(INDEX($FK345:$ID345,1+SwaptionShift):INDEX($FK345:$ID345,SwaptionMonthsToGo+SwaptionShift))*SUM(INDEX($FK$325:$ID$396,GS$169,1+SwaptionShift):INDEX($FK$325:$ID$396,GS$169,SwaptionMonthsToGo+SwaptionShift))))))</f>
        <v/>
      </c>
      <c r="GT190" s="479" t="str">
        <f ca="1">IF(OR(GT$169&lt;SwaptionFirstMonthPosition+1,$FJ190&lt;SwaptionFirstMonthPosition+1,GT$169&gt;SwaptionFirstMonthPosition+SwaptionNumOfMonths+1,$FJ190&gt;SwaptionFirstMonthPosition+SwaptionNumOfMonths+1),"",IF($FJ190=GT$169,1,IF($FJ190&lt;GT$169,INDEX($FK$170:$ID$241,GT$169,$FJ190),SUMPRODUCT(INDEX($FK$325:$ID$396,GT$169,1+SwaptionShift):INDEX($FK$325:$ID$396,GT$169,SwaptionMonthsToGo+SwaptionShift),INDEX($FK$245:$ID$316,$FJ190-GT$169,73-GT$169+SwaptionShift):INDEX($FK$245:$ID$316,$FJ190-GT$169,72-GT$169+SwaptionMonthsToGo+SwaptionShift))/SQRT(SUM(INDEX($FK345:$ID345,1+SwaptionShift):INDEX($FK345:$ID345,SwaptionMonthsToGo+SwaptionShift))*SUM(INDEX($FK$325:$ID$396,GT$169,1+SwaptionShift):INDEX($FK$325:$ID$396,GT$169,SwaptionMonthsToGo+SwaptionShift))))))</f>
        <v/>
      </c>
      <c r="GU190" s="479" t="str">
        <f ca="1">IF(OR(GU$169&lt;SwaptionFirstMonthPosition+1,$FJ190&lt;SwaptionFirstMonthPosition+1,GU$169&gt;SwaptionFirstMonthPosition+SwaptionNumOfMonths+1,$FJ190&gt;SwaptionFirstMonthPosition+SwaptionNumOfMonths+1),"",IF($FJ190=GU$169,1,IF($FJ190&lt;GU$169,INDEX($FK$170:$ID$241,GU$169,$FJ190),SUMPRODUCT(INDEX($FK$325:$ID$396,GU$169,1+SwaptionShift):INDEX($FK$325:$ID$396,GU$169,SwaptionMonthsToGo+SwaptionShift),INDEX($FK$245:$ID$316,$FJ190-GU$169,73-GU$169+SwaptionShift):INDEX($FK$245:$ID$316,$FJ190-GU$169,72-GU$169+SwaptionMonthsToGo+SwaptionShift))/SQRT(SUM(INDEX($FK345:$ID345,1+SwaptionShift):INDEX($FK345:$ID345,SwaptionMonthsToGo+SwaptionShift))*SUM(INDEX($FK$325:$ID$396,GU$169,1+SwaptionShift):INDEX($FK$325:$ID$396,GU$169,SwaptionMonthsToGo+SwaptionShift))))))</f>
        <v/>
      </c>
      <c r="GV190" s="479" t="str">
        <f ca="1">IF(OR(GV$169&lt;SwaptionFirstMonthPosition+1,$FJ190&lt;SwaptionFirstMonthPosition+1,GV$169&gt;SwaptionFirstMonthPosition+SwaptionNumOfMonths+1,$FJ190&gt;SwaptionFirstMonthPosition+SwaptionNumOfMonths+1),"",IF($FJ190=GV$169,1,IF($FJ190&lt;GV$169,INDEX($FK$170:$ID$241,GV$169,$FJ190),SUMPRODUCT(INDEX($FK$325:$ID$396,GV$169,1+SwaptionShift):INDEX($FK$325:$ID$396,GV$169,SwaptionMonthsToGo+SwaptionShift),INDEX($FK$245:$ID$316,$FJ190-GV$169,73-GV$169+SwaptionShift):INDEX($FK$245:$ID$316,$FJ190-GV$169,72-GV$169+SwaptionMonthsToGo+SwaptionShift))/SQRT(SUM(INDEX($FK345:$ID345,1+SwaptionShift):INDEX($FK345:$ID345,SwaptionMonthsToGo+SwaptionShift))*SUM(INDEX($FK$325:$ID$396,GV$169,1+SwaptionShift):INDEX($FK$325:$ID$396,GV$169,SwaptionMonthsToGo+SwaptionShift))))))</f>
        <v/>
      </c>
      <c r="GW190" s="479" t="str">
        <f ca="1">IF(OR(GW$169&lt;SwaptionFirstMonthPosition+1,$FJ190&lt;SwaptionFirstMonthPosition+1,GW$169&gt;SwaptionFirstMonthPosition+SwaptionNumOfMonths+1,$FJ190&gt;SwaptionFirstMonthPosition+SwaptionNumOfMonths+1),"",IF($FJ190=GW$169,1,IF($FJ190&lt;GW$169,INDEX($FK$170:$ID$241,GW$169,$FJ190),SUMPRODUCT(INDEX($FK$325:$ID$396,GW$169,1+SwaptionShift):INDEX($FK$325:$ID$396,GW$169,SwaptionMonthsToGo+SwaptionShift),INDEX($FK$245:$ID$316,$FJ190-GW$169,73-GW$169+SwaptionShift):INDEX($FK$245:$ID$316,$FJ190-GW$169,72-GW$169+SwaptionMonthsToGo+SwaptionShift))/SQRT(SUM(INDEX($FK345:$ID345,1+SwaptionShift):INDEX($FK345:$ID345,SwaptionMonthsToGo+SwaptionShift))*SUM(INDEX($FK$325:$ID$396,GW$169,1+SwaptionShift):INDEX($FK$325:$ID$396,GW$169,SwaptionMonthsToGo+SwaptionShift))))))</f>
        <v/>
      </c>
      <c r="GX190" s="479" t="str">
        <f ca="1">IF(OR(GX$169&lt;SwaptionFirstMonthPosition+1,$FJ190&lt;SwaptionFirstMonthPosition+1,GX$169&gt;SwaptionFirstMonthPosition+SwaptionNumOfMonths+1,$FJ190&gt;SwaptionFirstMonthPosition+SwaptionNumOfMonths+1),"",IF($FJ190=GX$169,1,IF($FJ190&lt;GX$169,INDEX($FK$170:$ID$241,GX$169,$FJ190),SUMPRODUCT(INDEX($FK$325:$ID$396,GX$169,1+SwaptionShift):INDEX($FK$325:$ID$396,GX$169,SwaptionMonthsToGo+SwaptionShift),INDEX($FK$245:$ID$316,$FJ190-GX$169,73-GX$169+SwaptionShift):INDEX($FK$245:$ID$316,$FJ190-GX$169,72-GX$169+SwaptionMonthsToGo+SwaptionShift))/SQRT(SUM(INDEX($FK345:$ID345,1+SwaptionShift):INDEX($FK345:$ID345,SwaptionMonthsToGo+SwaptionShift))*SUM(INDEX($FK$325:$ID$396,GX$169,1+SwaptionShift):INDEX($FK$325:$ID$396,GX$169,SwaptionMonthsToGo+SwaptionShift))))))</f>
        <v/>
      </c>
      <c r="GY190" s="479" t="str">
        <f ca="1">IF(OR(GY$169&lt;SwaptionFirstMonthPosition+1,$FJ190&lt;SwaptionFirstMonthPosition+1,GY$169&gt;SwaptionFirstMonthPosition+SwaptionNumOfMonths+1,$FJ190&gt;SwaptionFirstMonthPosition+SwaptionNumOfMonths+1),"",IF($FJ190=GY$169,1,IF($FJ190&lt;GY$169,INDEX($FK$170:$ID$241,GY$169,$FJ190),SUMPRODUCT(INDEX($FK$325:$ID$396,GY$169,1+SwaptionShift):INDEX($FK$325:$ID$396,GY$169,SwaptionMonthsToGo+SwaptionShift),INDEX($FK$245:$ID$316,$FJ190-GY$169,73-GY$169+SwaptionShift):INDEX($FK$245:$ID$316,$FJ190-GY$169,72-GY$169+SwaptionMonthsToGo+SwaptionShift))/SQRT(SUM(INDEX($FK345:$ID345,1+SwaptionShift):INDEX($FK345:$ID345,SwaptionMonthsToGo+SwaptionShift))*SUM(INDEX($FK$325:$ID$396,GY$169,1+SwaptionShift):INDEX($FK$325:$ID$396,GY$169,SwaptionMonthsToGo+SwaptionShift))))))</f>
        <v/>
      </c>
      <c r="GZ190" s="479" t="str">
        <f ca="1">IF(OR(GZ$169&lt;SwaptionFirstMonthPosition+1,$FJ190&lt;SwaptionFirstMonthPosition+1,GZ$169&gt;SwaptionFirstMonthPosition+SwaptionNumOfMonths+1,$FJ190&gt;SwaptionFirstMonthPosition+SwaptionNumOfMonths+1),"",IF($FJ190=GZ$169,1,IF($FJ190&lt;GZ$169,INDEX($FK$170:$ID$241,GZ$169,$FJ190),SUMPRODUCT(INDEX($FK$325:$ID$396,GZ$169,1+SwaptionShift):INDEX($FK$325:$ID$396,GZ$169,SwaptionMonthsToGo+SwaptionShift),INDEX($FK$245:$ID$316,$FJ190-GZ$169,73-GZ$169+SwaptionShift):INDEX($FK$245:$ID$316,$FJ190-GZ$169,72-GZ$169+SwaptionMonthsToGo+SwaptionShift))/SQRT(SUM(INDEX($FK345:$ID345,1+SwaptionShift):INDEX($FK345:$ID345,SwaptionMonthsToGo+SwaptionShift))*SUM(INDEX($FK$325:$ID$396,GZ$169,1+SwaptionShift):INDEX($FK$325:$ID$396,GZ$169,SwaptionMonthsToGo+SwaptionShift))))))</f>
        <v/>
      </c>
      <c r="HA190" s="479" t="str">
        <f ca="1">IF(OR(HA$169&lt;SwaptionFirstMonthPosition+1,$FJ190&lt;SwaptionFirstMonthPosition+1,HA$169&gt;SwaptionFirstMonthPosition+SwaptionNumOfMonths+1,$FJ190&gt;SwaptionFirstMonthPosition+SwaptionNumOfMonths+1),"",IF($FJ190=HA$169,1,IF($FJ190&lt;HA$169,INDEX($FK$170:$ID$241,HA$169,$FJ190),SUMPRODUCT(INDEX($FK$325:$ID$396,HA$169,1+SwaptionShift):INDEX($FK$325:$ID$396,HA$169,SwaptionMonthsToGo+SwaptionShift),INDEX($FK$245:$ID$316,$FJ190-HA$169,73-HA$169+SwaptionShift):INDEX($FK$245:$ID$316,$FJ190-HA$169,72-HA$169+SwaptionMonthsToGo+SwaptionShift))/SQRT(SUM(INDEX($FK345:$ID345,1+SwaptionShift):INDEX($FK345:$ID345,SwaptionMonthsToGo+SwaptionShift))*SUM(INDEX($FK$325:$ID$396,HA$169,1+SwaptionShift):INDEX($FK$325:$ID$396,HA$169,SwaptionMonthsToGo+SwaptionShift))))))</f>
        <v/>
      </c>
      <c r="HB190" s="479" t="str">
        <f ca="1">IF(OR(HB$169&lt;SwaptionFirstMonthPosition+1,$FJ190&lt;SwaptionFirstMonthPosition+1,HB$169&gt;SwaptionFirstMonthPosition+SwaptionNumOfMonths+1,$FJ190&gt;SwaptionFirstMonthPosition+SwaptionNumOfMonths+1),"",IF($FJ190=HB$169,1,IF($FJ190&lt;HB$169,INDEX($FK$170:$ID$241,HB$169,$FJ190),SUMPRODUCT(INDEX($FK$325:$ID$396,HB$169,1+SwaptionShift):INDEX($FK$325:$ID$396,HB$169,SwaptionMonthsToGo+SwaptionShift),INDEX($FK$245:$ID$316,$FJ190-HB$169,73-HB$169+SwaptionShift):INDEX($FK$245:$ID$316,$FJ190-HB$169,72-HB$169+SwaptionMonthsToGo+SwaptionShift))/SQRT(SUM(INDEX($FK345:$ID345,1+SwaptionShift):INDEX($FK345:$ID345,SwaptionMonthsToGo+SwaptionShift))*SUM(INDEX($FK$325:$ID$396,HB$169,1+SwaptionShift):INDEX($FK$325:$ID$396,HB$169,SwaptionMonthsToGo+SwaptionShift))))))</f>
        <v/>
      </c>
      <c r="HC190" s="479" t="str">
        <f ca="1">IF(OR(HC$169&lt;SwaptionFirstMonthPosition+1,$FJ190&lt;SwaptionFirstMonthPosition+1,HC$169&gt;SwaptionFirstMonthPosition+SwaptionNumOfMonths+1,$FJ190&gt;SwaptionFirstMonthPosition+SwaptionNumOfMonths+1),"",IF($FJ190=HC$169,1,IF($FJ190&lt;HC$169,INDEX($FK$170:$ID$241,HC$169,$FJ190),SUMPRODUCT(INDEX($FK$325:$ID$396,HC$169,1+SwaptionShift):INDEX($FK$325:$ID$396,HC$169,SwaptionMonthsToGo+SwaptionShift),INDEX($FK$245:$ID$316,$FJ190-HC$169,73-HC$169+SwaptionShift):INDEX($FK$245:$ID$316,$FJ190-HC$169,72-HC$169+SwaptionMonthsToGo+SwaptionShift))/SQRT(SUM(INDEX($FK345:$ID345,1+SwaptionShift):INDEX($FK345:$ID345,SwaptionMonthsToGo+SwaptionShift))*SUM(INDEX($FK$325:$ID$396,HC$169,1+SwaptionShift):INDEX($FK$325:$ID$396,HC$169,SwaptionMonthsToGo+SwaptionShift))))))</f>
        <v/>
      </c>
      <c r="HD190" s="479" t="str">
        <f ca="1">IF(OR(HD$169&lt;SwaptionFirstMonthPosition+1,$FJ190&lt;SwaptionFirstMonthPosition+1,HD$169&gt;SwaptionFirstMonthPosition+SwaptionNumOfMonths+1,$FJ190&gt;SwaptionFirstMonthPosition+SwaptionNumOfMonths+1),"",IF($FJ190=HD$169,1,IF($FJ190&lt;HD$169,INDEX($FK$170:$ID$241,HD$169,$FJ190),SUMPRODUCT(INDEX($FK$325:$ID$396,HD$169,1+SwaptionShift):INDEX($FK$325:$ID$396,HD$169,SwaptionMonthsToGo+SwaptionShift),INDEX($FK$245:$ID$316,$FJ190-HD$169,73-HD$169+SwaptionShift):INDEX($FK$245:$ID$316,$FJ190-HD$169,72-HD$169+SwaptionMonthsToGo+SwaptionShift))/SQRT(SUM(INDEX($FK345:$ID345,1+SwaptionShift):INDEX($FK345:$ID345,SwaptionMonthsToGo+SwaptionShift))*SUM(INDEX($FK$325:$ID$396,HD$169,1+SwaptionShift):INDEX($FK$325:$ID$396,HD$169,SwaptionMonthsToGo+SwaptionShift))))))</f>
        <v/>
      </c>
      <c r="HE190" s="479" t="str">
        <f ca="1">IF(OR(HE$169&lt;SwaptionFirstMonthPosition+1,$FJ190&lt;SwaptionFirstMonthPosition+1,HE$169&gt;SwaptionFirstMonthPosition+SwaptionNumOfMonths+1,$FJ190&gt;SwaptionFirstMonthPosition+SwaptionNumOfMonths+1),"",IF($FJ190=HE$169,1,IF($FJ190&lt;HE$169,INDEX($FK$170:$ID$241,HE$169,$FJ190),SUMPRODUCT(INDEX($FK$325:$ID$396,HE$169,1+SwaptionShift):INDEX($FK$325:$ID$396,HE$169,SwaptionMonthsToGo+SwaptionShift),INDEX($FK$245:$ID$316,$FJ190-HE$169,73-HE$169+SwaptionShift):INDEX($FK$245:$ID$316,$FJ190-HE$169,72-HE$169+SwaptionMonthsToGo+SwaptionShift))/SQRT(SUM(INDEX($FK345:$ID345,1+SwaptionShift):INDEX($FK345:$ID345,SwaptionMonthsToGo+SwaptionShift))*SUM(INDEX($FK$325:$ID$396,HE$169,1+SwaptionShift):INDEX($FK$325:$ID$396,HE$169,SwaptionMonthsToGo+SwaptionShift))))))</f>
        <v/>
      </c>
      <c r="HF190" s="479" t="str">
        <f ca="1">IF(OR(HF$169&lt;SwaptionFirstMonthPosition+1,$FJ190&lt;SwaptionFirstMonthPosition+1,HF$169&gt;SwaptionFirstMonthPosition+SwaptionNumOfMonths+1,$FJ190&gt;SwaptionFirstMonthPosition+SwaptionNumOfMonths+1),"",IF($FJ190=HF$169,1,IF($FJ190&lt;HF$169,INDEX($FK$170:$ID$241,HF$169,$FJ190),SUMPRODUCT(INDEX($FK$325:$ID$396,HF$169,1+SwaptionShift):INDEX($FK$325:$ID$396,HF$169,SwaptionMonthsToGo+SwaptionShift),INDEX($FK$245:$ID$316,$FJ190-HF$169,73-HF$169+SwaptionShift):INDEX($FK$245:$ID$316,$FJ190-HF$169,72-HF$169+SwaptionMonthsToGo+SwaptionShift))/SQRT(SUM(INDEX($FK345:$ID345,1+SwaptionShift):INDEX($FK345:$ID345,SwaptionMonthsToGo+SwaptionShift))*SUM(INDEX($FK$325:$ID$396,HF$169,1+SwaptionShift):INDEX($FK$325:$ID$396,HF$169,SwaptionMonthsToGo+SwaptionShift))))))</f>
        <v/>
      </c>
      <c r="HG190" s="479" t="str">
        <f ca="1">IF(OR(HG$169&lt;SwaptionFirstMonthPosition+1,$FJ190&lt;SwaptionFirstMonthPosition+1,HG$169&gt;SwaptionFirstMonthPosition+SwaptionNumOfMonths+1,$FJ190&gt;SwaptionFirstMonthPosition+SwaptionNumOfMonths+1),"",IF($FJ190=HG$169,1,IF($FJ190&lt;HG$169,INDEX($FK$170:$ID$241,HG$169,$FJ190),SUMPRODUCT(INDEX($FK$325:$ID$396,HG$169,1+SwaptionShift):INDEX($FK$325:$ID$396,HG$169,SwaptionMonthsToGo+SwaptionShift),INDEX($FK$245:$ID$316,$FJ190-HG$169,73-HG$169+SwaptionShift):INDEX($FK$245:$ID$316,$FJ190-HG$169,72-HG$169+SwaptionMonthsToGo+SwaptionShift))/SQRT(SUM(INDEX($FK345:$ID345,1+SwaptionShift):INDEX($FK345:$ID345,SwaptionMonthsToGo+SwaptionShift))*SUM(INDEX($FK$325:$ID$396,HG$169,1+SwaptionShift):INDEX($FK$325:$ID$396,HG$169,SwaptionMonthsToGo+SwaptionShift))))))</f>
        <v/>
      </c>
      <c r="HH190" s="479" t="str">
        <f ca="1">IF(OR(HH$169&lt;SwaptionFirstMonthPosition+1,$FJ190&lt;SwaptionFirstMonthPosition+1,HH$169&gt;SwaptionFirstMonthPosition+SwaptionNumOfMonths+1,$FJ190&gt;SwaptionFirstMonthPosition+SwaptionNumOfMonths+1),"",IF($FJ190=HH$169,1,IF($FJ190&lt;HH$169,INDEX($FK$170:$ID$241,HH$169,$FJ190),SUMPRODUCT(INDEX($FK$325:$ID$396,HH$169,1+SwaptionShift):INDEX($FK$325:$ID$396,HH$169,SwaptionMonthsToGo+SwaptionShift),INDEX($FK$245:$ID$316,$FJ190-HH$169,73-HH$169+SwaptionShift):INDEX($FK$245:$ID$316,$FJ190-HH$169,72-HH$169+SwaptionMonthsToGo+SwaptionShift))/SQRT(SUM(INDEX($FK345:$ID345,1+SwaptionShift):INDEX($FK345:$ID345,SwaptionMonthsToGo+SwaptionShift))*SUM(INDEX($FK$325:$ID$396,HH$169,1+SwaptionShift):INDEX($FK$325:$ID$396,HH$169,SwaptionMonthsToGo+SwaptionShift))))))</f>
        <v/>
      </c>
      <c r="HI190" s="479" t="str">
        <f ca="1">IF(OR(HI$169&lt;SwaptionFirstMonthPosition+1,$FJ190&lt;SwaptionFirstMonthPosition+1,HI$169&gt;SwaptionFirstMonthPosition+SwaptionNumOfMonths+1,$FJ190&gt;SwaptionFirstMonthPosition+SwaptionNumOfMonths+1),"",IF($FJ190=HI$169,1,IF($FJ190&lt;HI$169,INDEX($FK$170:$ID$241,HI$169,$FJ190),SUMPRODUCT(INDEX($FK$325:$ID$396,HI$169,1+SwaptionShift):INDEX($FK$325:$ID$396,HI$169,SwaptionMonthsToGo+SwaptionShift),INDEX($FK$245:$ID$316,$FJ190-HI$169,73-HI$169+SwaptionShift):INDEX($FK$245:$ID$316,$FJ190-HI$169,72-HI$169+SwaptionMonthsToGo+SwaptionShift))/SQRT(SUM(INDEX($FK345:$ID345,1+SwaptionShift):INDEX($FK345:$ID345,SwaptionMonthsToGo+SwaptionShift))*SUM(INDEX($FK$325:$ID$396,HI$169,1+SwaptionShift):INDEX($FK$325:$ID$396,HI$169,SwaptionMonthsToGo+SwaptionShift))))))</f>
        <v/>
      </c>
      <c r="HJ190" s="479" t="str">
        <f ca="1">IF(OR(HJ$169&lt;SwaptionFirstMonthPosition+1,$FJ190&lt;SwaptionFirstMonthPosition+1,HJ$169&gt;SwaptionFirstMonthPosition+SwaptionNumOfMonths+1,$FJ190&gt;SwaptionFirstMonthPosition+SwaptionNumOfMonths+1),"",IF($FJ190=HJ$169,1,IF($FJ190&lt;HJ$169,INDEX($FK$170:$ID$241,HJ$169,$FJ190),SUMPRODUCT(INDEX($FK$325:$ID$396,HJ$169,1+SwaptionShift):INDEX($FK$325:$ID$396,HJ$169,SwaptionMonthsToGo+SwaptionShift),INDEX($FK$245:$ID$316,$FJ190-HJ$169,73-HJ$169+SwaptionShift):INDEX($FK$245:$ID$316,$FJ190-HJ$169,72-HJ$169+SwaptionMonthsToGo+SwaptionShift))/SQRT(SUM(INDEX($FK345:$ID345,1+SwaptionShift):INDEX($FK345:$ID345,SwaptionMonthsToGo+SwaptionShift))*SUM(INDEX($FK$325:$ID$396,HJ$169,1+SwaptionShift):INDEX($FK$325:$ID$396,HJ$169,SwaptionMonthsToGo+SwaptionShift))))))</f>
        <v/>
      </c>
      <c r="HK190" s="479" t="str">
        <f ca="1">IF(OR(HK$169&lt;SwaptionFirstMonthPosition+1,$FJ190&lt;SwaptionFirstMonthPosition+1,HK$169&gt;SwaptionFirstMonthPosition+SwaptionNumOfMonths+1,$FJ190&gt;SwaptionFirstMonthPosition+SwaptionNumOfMonths+1),"",IF($FJ190=HK$169,1,IF($FJ190&lt;HK$169,INDEX($FK$170:$ID$241,HK$169,$FJ190),SUMPRODUCT(INDEX($FK$325:$ID$396,HK$169,1+SwaptionShift):INDEX($FK$325:$ID$396,HK$169,SwaptionMonthsToGo+SwaptionShift),INDEX($FK$245:$ID$316,$FJ190-HK$169,73-HK$169+SwaptionShift):INDEX($FK$245:$ID$316,$FJ190-HK$169,72-HK$169+SwaptionMonthsToGo+SwaptionShift))/SQRT(SUM(INDEX($FK345:$ID345,1+SwaptionShift):INDEX($FK345:$ID345,SwaptionMonthsToGo+SwaptionShift))*SUM(INDEX($FK$325:$ID$396,HK$169,1+SwaptionShift):INDEX($FK$325:$ID$396,HK$169,SwaptionMonthsToGo+SwaptionShift))))))</f>
        <v/>
      </c>
      <c r="HL190" s="479" t="str">
        <f ca="1">IF(OR(HL$169&lt;SwaptionFirstMonthPosition+1,$FJ190&lt;SwaptionFirstMonthPosition+1,HL$169&gt;SwaptionFirstMonthPosition+SwaptionNumOfMonths+1,$FJ190&gt;SwaptionFirstMonthPosition+SwaptionNumOfMonths+1),"",IF($FJ190=HL$169,1,IF($FJ190&lt;HL$169,INDEX($FK$170:$ID$241,HL$169,$FJ190),SUMPRODUCT(INDEX($FK$325:$ID$396,HL$169,1+SwaptionShift):INDEX($FK$325:$ID$396,HL$169,SwaptionMonthsToGo+SwaptionShift),INDEX($FK$245:$ID$316,$FJ190-HL$169,73-HL$169+SwaptionShift):INDEX($FK$245:$ID$316,$FJ190-HL$169,72-HL$169+SwaptionMonthsToGo+SwaptionShift))/SQRT(SUM(INDEX($FK345:$ID345,1+SwaptionShift):INDEX($FK345:$ID345,SwaptionMonthsToGo+SwaptionShift))*SUM(INDEX($FK$325:$ID$396,HL$169,1+SwaptionShift):INDEX($FK$325:$ID$396,HL$169,SwaptionMonthsToGo+SwaptionShift))))))</f>
        <v/>
      </c>
      <c r="HM190" s="479" t="str">
        <f ca="1">IF(OR(HM$169&lt;SwaptionFirstMonthPosition+1,$FJ190&lt;SwaptionFirstMonthPosition+1,HM$169&gt;SwaptionFirstMonthPosition+SwaptionNumOfMonths+1,$FJ190&gt;SwaptionFirstMonthPosition+SwaptionNumOfMonths+1),"",IF($FJ190=HM$169,1,IF($FJ190&lt;HM$169,INDEX($FK$170:$ID$241,HM$169,$FJ190),SUMPRODUCT(INDEX($FK$325:$ID$396,HM$169,1+SwaptionShift):INDEX($FK$325:$ID$396,HM$169,SwaptionMonthsToGo+SwaptionShift),INDEX($FK$245:$ID$316,$FJ190-HM$169,73-HM$169+SwaptionShift):INDEX($FK$245:$ID$316,$FJ190-HM$169,72-HM$169+SwaptionMonthsToGo+SwaptionShift))/SQRT(SUM(INDEX($FK345:$ID345,1+SwaptionShift):INDEX($FK345:$ID345,SwaptionMonthsToGo+SwaptionShift))*SUM(INDEX($FK$325:$ID$396,HM$169,1+SwaptionShift):INDEX($FK$325:$ID$396,HM$169,SwaptionMonthsToGo+SwaptionShift))))))</f>
        <v/>
      </c>
      <c r="HN190" s="479" t="str">
        <f ca="1">IF(OR(HN$169&lt;SwaptionFirstMonthPosition+1,$FJ190&lt;SwaptionFirstMonthPosition+1,HN$169&gt;SwaptionFirstMonthPosition+SwaptionNumOfMonths+1,$FJ190&gt;SwaptionFirstMonthPosition+SwaptionNumOfMonths+1),"",IF($FJ190=HN$169,1,IF($FJ190&lt;HN$169,INDEX($FK$170:$ID$241,HN$169,$FJ190),SUMPRODUCT(INDEX($FK$325:$ID$396,HN$169,1+SwaptionShift):INDEX($FK$325:$ID$396,HN$169,SwaptionMonthsToGo+SwaptionShift),INDEX($FK$245:$ID$316,$FJ190-HN$169,73-HN$169+SwaptionShift):INDEX($FK$245:$ID$316,$FJ190-HN$169,72-HN$169+SwaptionMonthsToGo+SwaptionShift))/SQRT(SUM(INDEX($FK345:$ID345,1+SwaptionShift):INDEX($FK345:$ID345,SwaptionMonthsToGo+SwaptionShift))*SUM(INDEX($FK$325:$ID$396,HN$169,1+SwaptionShift):INDEX($FK$325:$ID$396,HN$169,SwaptionMonthsToGo+SwaptionShift))))))</f>
        <v/>
      </c>
      <c r="HO190" s="479" t="str">
        <f ca="1">IF(OR(HO$169&lt;SwaptionFirstMonthPosition+1,$FJ190&lt;SwaptionFirstMonthPosition+1,HO$169&gt;SwaptionFirstMonthPosition+SwaptionNumOfMonths+1,$FJ190&gt;SwaptionFirstMonthPosition+SwaptionNumOfMonths+1),"",IF($FJ190=HO$169,1,IF($FJ190&lt;HO$169,INDEX($FK$170:$ID$241,HO$169,$FJ190),SUMPRODUCT(INDEX($FK$325:$ID$396,HO$169,1+SwaptionShift):INDEX($FK$325:$ID$396,HO$169,SwaptionMonthsToGo+SwaptionShift),INDEX($FK$245:$ID$316,$FJ190-HO$169,73-HO$169+SwaptionShift):INDEX($FK$245:$ID$316,$FJ190-HO$169,72-HO$169+SwaptionMonthsToGo+SwaptionShift))/SQRT(SUM(INDEX($FK345:$ID345,1+SwaptionShift):INDEX($FK345:$ID345,SwaptionMonthsToGo+SwaptionShift))*SUM(INDEX($FK$325:$ID$396,HO$169,1+SwaptionShift):INDEX($FK$325:$ID$396,HO$169,SwaptionMonthsToGo+SwaptionShift))))))</f>
        <v/>
      </c>
      <c r="HP190" s="479" t="str">
        <f ca="1">IF(OR(HP$169&lt;SwaptionFirstMonthPosition+1,$FJ190&lt;SwaptionFirstMonthPosition+1,HP$169&gt;SwaptionFirstMonthPosition+SwaptionNumOfMonths+1,$FJ190&gt;SwaptionFirstMonthPosition+SwaptionNumOfMonths+1),"",IF($FJ190=HP$169,1,IF($FJ190&lt;HP$169,INDEX($FK$170:$ID$241,HP$169,$FJ190),SUMPRODUCT(INDEX($FK$325:$ID$396,HP$169,1+SwaptionShift):INDEX($FK$325:$ID$396,HP$169,SwaptionMonthsToGo+SwaptionShift),INDEX($FK$245:$ID$316,$FJ190-HP$169,73-HP$169+SwaptionShift):INDEX($FK$245:$ID$316,$FJ190-HP$169,72-HP$169+SwaptionMonthsToGo+SwaptionShift))/SQRT(SUM(INDEX($FK345:$ID345,1+SwaptionShift):INDEX($FK345:$ID345,SwaptionMonthsToGo+SwaptionShift))*SUM(INDEX($FK$325:$ID$396,HP$169,1+SwaptionShift):INDEX($FK$325:$ID$396,HP$169,SwaptionMonthsToGo+SwaptionShift))))))</f>
        <v/>
      </c>
      <c r="HQ190" s="479" t="str">
        <f ca="1">IF(OR(HQ$169&lt;SwaptionFirstMonthPosition+1,$FJ190&lt;SwaptionFirstMonthPosition+1,HQ$169&gt;SwaptionFirstMonthPosition+SwaptionNumOfMonths+1,$FJ190&gt;SwaptionFirstMonthPosition+SwaptionNumOfMonths+1),"",IF($FJ190=HQ$169,1,IF($FJ190&lt;HQ$169,INDEX($FK$170:$ID$241,HQ$169,$FJ190),SUMPRODUCT(INDEX($FK$325:$ID$396,HQ$169,1+SwaptionShift):INDEX($FK$325:$ID$396,HQ$169,SwaptionMonthsToGo+SwaptionShift),INDEX($FK$245:$ID$316,$FJ190-HQ$169,73-HQ$169+SwaptionShift):INDEX($FK$245:$ID$316,$FJ190-HQ$169,72-HQ$169+SwaptionMonthsToGo+SwaptionShift))/SQRT(SUM(INDEX($FK345:$ID345,1+SwaptionShift):INDEX($FK345:$ID345,SwaptionMonthsToGo+SwaptionShift))*SUM(INDEX($FK$325:$ID$396,HQ$169,1+SwaptionShift):INDEX($FK$325:$ID$396,HQ$169,SwaptionMonthsToGo+SwaptionShift))))))</f>
        <v/>
      </c>
      <c r="HR190" s="479" t="str">
        <f ca="1">IF(OR(HR$169&lt;SwaptionFirstMonthPosition+1,$FJ190&lt;SwaptionFirstMonthPosition+1,HR$169&gt;SwaptionFirstMonthPosition+SwaptionNumOfMonths+1,$FJ190&gt;SwaptionFirstMonthPosition+SwaptionNumOfMonths+1),"",IF($FJ190=HR$169,1,IF($FJ190&lt;HR$169,INDEX($FK$170:$ID$241,HR$169,$FJ190),SUMPRODUCT(INDEX($FK$325:$ID$396,HR$169,1+SwaptionShift):INDEX($FK$325:$ID$396,HR$169,SwaptionMonthsToGo+SwaptionShift),INDEX($FK$245:$ID$316,$FJ190-HR$169,73-HR$169+SwaptionShift):INDEX($FK$245:$ID$316,$FJ190-HR$169,72-HR$169+SwaptionMonthsToGo+SwaptionShift))/SQRT(SUM(INDEX($FK345:$ID345,1+SwaptionShift):INDEX($FK345:$ID345,SwaptionMonthsToGo+SwaptionShift))*SUM(INDEX($FK$325:$ID$396,HR$169,1+SwaptionShift):INDEX($FK$325:$ID$396,HR$169,SwaptionMonthsToGo+SwaptionShift))))))</f>
        <v/>
      </c>
      <c r="HS190" s="479" t="str">
        <f ca="1">IF(OR(HS$169&lt;SwaptionFirstMonthPosition+1,$FJ190&lt;SwaptionFirstMonthPosition+1,HS$169&gt;SwaptionFirstMonthPosition+SwaptionNumOfMonths+1,$FJ190&gt;SwaptionFirstMonthPosition+SwaptionNumOfMonths+1),"",IF($FJ190=HS$169,1,IF($FJ190&lt;HS$169,INDEX($FK$170:$ID$241,HS$169,$FJ190),SUMPRODUCT(INDEX($FK$325:$ID$396,HS$169,1+SwaptionShift):INDEX($FK$325:$ID$396,HS$169,SwaptionMonthsToGo+SwaptionShift),INDEX($FK$245:$ID$316,$FJ190-HS$169,73-HS$169+SwaptionShift):INDEX($FK$245:$ID$316,$FJ190-HS$169,72-HS$169+SwaptionMonthsToGo+SwaptionShift))/SQRT(SUM(INDEX($FK345:$ID345,1+SwaptionShift):INDEX($FK345:$ID345,SwaptionMonthsToGo+SwaptionShift))*SUM(INDEX($FK$325:$ID$396,HS$169,1+SwaptionShift):INDEX($FK$325:$ID$396,HS$169,SwaptionMonthsToGo+SwaptionShift))))))</f>
        <v/>
      </c>
      <c r="HT190" s="479" t="str">
        <f ca="1">IF(OR(HT$169&lt;SwaptionFirstMonthPosition+1,$FJ190&lt;SwaptionFirstMonthPosition+1,HT$169&gt;SwaptionFirstMonthPosition+SwaptionNumOfMonths+1,$FJ190&gt;SwaptionFirstMonthPosition+SwaptionNumOfMonths+1),"",IF($FJ190=HT$169,1,IF($FJ190&lt;HT$169,INDEX($FK$170:$ID$241,HT$169,$FJ190),SUMPRODUCT(INDEX($FK$325:$ID$396,HT$169,1+SwaptionShift):INDEX($FK$325:$ID$396,HT$169,SwaptionMonthsToGo+SwaptionShift),INDEX($FK$245:$ID$316,$FJ190-HT$169,73-HT$169+SwaptionShift):INDEX($FK$245:$ID$316,$FJ190-HT$169,72-HT$169+SwaptionMonthsToGo+SwaptionShift))/SQRT(SUM(INDEX($FK345:$ID345,1+SwaptionShift):INDEX($FK345:$ID345,SwaptionMonthsToGo+SwaptionShift))*SUM(INDEX($FK$325:$ID$396,HT$169,1+SwaptionShift):INDEX($FK$325:$ID$396,HT$169,SwaptionMonthsToGo+SwaptionShift))))))</f>
        <v/>
      </c>
      <c r="HU190" s="479" t="str">
        <f ca="1">IF(OR(HU$169&lt;SwaptionFirstMonthPosition+1,$FJ190&lt;SwaptionFirstMonthPosition+1,HU$169&gt;SwaptionFirstMonthPosition+SwaptionNumOfMonths+1,$FJ190&gt;SwaptionFirstMonthPosition+SwaptionNumOfMonths+1),"",IF($FJ190=HU$169,1,IF($FJ190&lt;HU$169,INDEX($FK$170:$ID$241,HU$169,$FJ190),SUMPRODUCT(INDEX($FK$325:$ID$396,HU$169,1+SwaptionShift):INDEX($FK$325:$ID$396,HU$169,SwaptionMonthsToGo+SwaptionShift),INDEX($FK$245:$ID$316,$FJ190-HU$169,73-HU$169+SwaptionShift):INDEX($FK$245:$ID$316,$FJ190-HU$169,72-HU$169+SwaptionMonthsToGo+SwaptionShift))/SQRT(SUM(INDEX($FK345:$ID345,1+SwaptionShift):INDEX($FK345:$ID345,SwaptionMonthsToGo+SwaptionShift))*SUM(INDEX($FK$325:$ID$396,HU$169,1+SwaptionShift):INDEX($FK$325:$ID$396,HU$169,SwaptionMonthsToGo+SwaptionShift))))))</f>
        <v/>
      </c>
      <c r="HV190" s="479" t="str">
        <f ca="1">IF(OR(HV$169&lt;SwaptionFirstMonthPosition+1,$FJ190&lt;SwaptionFirstMonthPosition+1,HV$169&gt;SwaptionFirstMonthPosition+SwaptionNumOfMonths+1,$FJ190&gt;SwaptionFirstMonthPosition+SwaptionNumOfMonths+1),"",IF($FJ190=HV$169,1,IF($FJ190&lt;HV$169,INDEX($FK$170:$ID$241,HV$169,$FJ190),SUMPRODUCT(INDEX($FK$325:$ID$396,HV$169,1+SwaptionShift):INDEX($FK$325:$ID$396,HV$169,SwaptionMonthsToGo+SwaptionShift),INDEX($FK$245:$ID$316,$FJ190-HV$169,73-HV$169+SwaptionShift):INDEX($FK$245:$ID$316,$FJ190-HV$169,72-HV$169+SwaptionMonthsToGo+SwaptionShift))/SQRT(SUM(INDEX($FK345:$ID345,1+SwaptionShift):INDEX($FK345:$ID345,SwaptionMonthsToGo+SwaptionShift))*SUM(INDEX($FK$325:$ID$396,HV$169,1+SwaptionShift):INDEX($FK$325:$ID$396,HV$169,SwaptionMonthsToGo+SwaptionShift))))))</f>
        <v/>
      </c>
      <c r="HW190" s="479" t="str">
        <f ca="1">IF(OR(HW$169&lt;SwaptionFirstMonthPosition+1,$FJ190&lt;SwaptionFirstMonthPosition+1,HW$169&gt;SwaptionFirstMonthPosition+SwaptionNumOfMonths+1,$FJ190&gt;SwaptionFirstMonthPosition+SwaptionNumOfMonths+1),"",IF($FJ190=HW$169,1,IF($FJ190&lt;HW$169,INDEX($FK$170:$ID$241,HW$169,$FJ190),SUMPRODUCT(INDEX($FK$325:$ID$396,HW$169,1+SwaptionShift):INDEX($FK$325:$ID$396,HW$169,SwaptionMonthsToGo+SwaptionShift),INDEX($FK$245:$ID$316,$FJ190-HW$169,73-HW$169+SwaptionShift):INDEX($FK$245:$ID$316,$FJ190-HW$169,72-HW$169+SwaptionMonthsToGo+SwaptionShift))/SQRT(SUM(INDEX($FK345:$ID345,1+SwaptionShift):INDEX($FK345:$ID345,SwaptionMonthsToGo+SwaptionShift))*SUM(INDEX($FK$325:$ID$396,HW$169,1+SwaptionShift):INDEX($FK$325:$ID$396,HW$169,SwaptionMonthsToGo+SwaptionShift))))))</f>
        <v/>
      </c>
      <c r="HX190" s="479" t="str">
        <f ca="1">IF(OR(HX$169&lt;SwaptionFirstMonthPosition+1,$FJ190&lt;SwaptionFirstMonthPosition+1,HX$169&gt;SwaptionFirstMonthPosition+SwaptionNumOfMonths+1,$FJ190&gt;SwaptionFirstMonthPosition+SwaptionNumOfMonths+1),"",IF($FJ190=HX$169,1,IF($FJ190&lt;HX$169,INDEX($FK$170:$ID$241,HX$169,$FJ190),SUMPRODUCT(INDEX($FK$325:$ID$396,HX$169,1+SwaptionShift):INDEX($FK$325:$ID$396,HX$169,SwaptionMonthsToGo+SwaptionShift),INDEX($FK$245:$ID$316,$FJ190-HX$169,73-HX$169+SwaptionShift):INDEX($FK$245:$ID$316,$FJ190-HX$169,72-HX$169+SwaptionMonthsToGo+SwaptionShift))/SQRT(SUM(INDEX($FK345:$ID345,1+SwaptionShift):INDEX($FK345:$ID345,SwaptionMonthsToGo+SwaptionShift))*SUM(INDEX($FK$325:$ID$396,HX$169,1+SwaptionShift):INDEX($FK$325:$ID$396,HX$169,SwaptionMonthsToGo+SwaptionShift))))))</f>
        <v/>
      </c>
      <c r="HY190" s="479" t="str">
        <f ca="1">IF(OR(HY$169&lt;SwaptionFirstMonthPosition+1,$FJ190&lt;SwaptionFirstMonthPosition+1,HY$169&gt;SwaptionFirstMonthPosition+SwaptionNumOfMonths+1,$FJ190&gt;SwaptionFirstMonthPosition+SwaptionNumOfMonths+1),"",IF($FJ190=HY$169,1,IF($FJ190&lt;HY$169,INDEX($FK$170:$ID$241,HY$169,$FJ190),SUMPRODUCT(INDEX($FK$325:$ID$396,HY$169,1+SwaptionShift):INDEX($FK$325:$ID$396,HY$169,SwaptionMonthsToGo+SwaptionShift),INDEX($FK$245:$ID$316,$FJ190-HY$169,73-HY$169+SwaptionShift):INDEX($FK$245:$ID$316,$FJ190-HY$169,72-HY$169+SwaptionMonthsToGo+SwaptionShift))/SQRT(SUM(INDEX($FK345:$ID345,1+SwaptionShift):INDEX($FK345:$ID345,SwaptionMonthsToGo+SwaptionShift))*SUM(INDEX($FK$325:$ID$396,HY$169,1+SwaptionShift):INDEX($FK$325:$ID$396,HY$169,SwaptionMonthsToGo+SwaptionShift))))))</f>
        <v/>
      </c>
      <c r="HZ190" s="479" t="str">
        <f ca="1">IF(OR(HZ$169&lt;SwaptionFirstMonthPosition+1,$FJ190&lt;SwaptionFirstMonthPosition+1,HZ$169&gt;SwaptionFirstMonthPosition+SwaptionNumOfMonths+1,$FJ190&gt;SwaptionFirstMonthPosition+SwaptionNumOfMonths+1),"",IF($FJ190=HZ$169,1,IF($FJ190&lt;HZ$169,INDEX($FK$170:$ID$241,HZ$169,$FJ190),SUMPRODUCT(INDEX($FK$325:$ID$396,HZ$169,1+SwaptionShift):INDEX($FK$325:$ID$396,HZ$169,SwaptionMonthsToGo+SwaptionShift),INDEX($FK$245:$ID$316,$FJ190-HZ$169,73-HZ$169+SwaptionShift):INDEX($FK$245:$ID$316,$FJ190-HZ$169,72-HZ$169+SwaptionMonthsToGo+SwaptionShift))/SQRT(SUM(INDEX($FK345:$ID345,1+SwaptionShift):INDEX($FK345:$ID345,SwaptionMonthsToGo+SwaptionShift))*SUM(INDEX($FK$325:$ID$396,HZ$169,1+SwaptionShift):INDEX($FK$325:$ID$396,HZ$169,SwaptionMonthsToGo+SwaptionShift))))))</f>
        <v/>
      </c>
      <c r="IA190" s="479" t="str">
        <f ca="1">IF(OR(IA$169&lt;SwaptionFirstMonthPosition+1,$FJ190&lt;SwaptionFirstMonthPosition+1,IA$169&gt;SwaptionFirstMonthPosition+SwaptionNumOfMonths+1,$FJ190&gt;SwaptionFirstMonthPosition+SwaptionNumOfMonths+1),"",IF($FJ190=IA$169,1,IF($FJ190&lt;IA$169,INDEX($FK$170:$ID$241,IA$169,$FJ190),SUMPRODUCT(INDEX($FK$325:$ID$396,IA$169,1+SwaptionShift):INDEX($FK$325:$ID$396,IA$169,SwaptionMonthsToGo+SwaptionShift),INDEX($FK$245:$ID$316,$FJ190-IA$169,73-IA$169+SwaptionShift):INDEX($FK$245:$ID$316,$FJ190-IA$169,72-IA$169+SwaptionMonthsToGo+SwaptionShift))/SQRT(SUM(INDEX($FK345:$ID345,1+SwaptionShift):INDEX($FK345:$ID345,SwaptionMonthsToGo+SwaptionShift))*SUM(INDEX($FK$325:$ID$396,IA$169,1+SwaptionShift):INDEX($FK$325:$ID$396,IA$169,SwaptionMonthsToGo+SwaptionShift))))))</f>
        <v/>
      </c>
      <c r="IB190" s="479" t="str">
        <f ca="1">IF(OR(IB$169&lt;SwaptionFirstMonthPosition+1,$FJ190&lt;SwaptionFirstMonthPosition+1,IB$169&gt;SwaptionFirstMonthPosition+SwaptionNumOfMonths+1,$FJ190&gt;SwaptionFirstMonthPosition+SwaptionNumOfMonths+1),"",IF($FJ190=IB$169,1,IF($FJ190&lt;IB$169,INDEX($FK$170:$ID$241,IB$169,$FJ190),SUMPRODUCT(INDEX($FK$325:$ID$396,IB$169,1+SwaptionShift):INDEX($FK$325:$ID$396,IB$169,SwaptionMonthsToGo+SwaptionShift),INDEX($FK$245:$ID$316,$FJ190-IB$169,73-IB$169+SwaptionShift):INDEX($FK$245:$ID$316,$FJ190-IB$169,72-IB$169+SwaptionMonthsToGo+SwaptionShift))/SQRT(SUM(INDEX($FK345:$ID345,1+SwaptionShift):INDEX($FK345:$ID345,SwaptionMonthsToGo+SwaptionShift))*SUM(INDEX($FK$325:$ID$396,IB$169,1+SwaptionShift):INDEX($FK$325:$ID$396,IB$169,SwaptionMonthsToGo+SwaptionShift))))))</f>
        <v/>
      </c>
      <c r="IC190" s="479" t="str">
        <f ca="1">IF(OR(IC$169&lt;SwaptionFirstMonthPosition+1,$FJ190&lt;SwaptionFirstMonthPosition+1,IC$169&gt;SwaptionFirstMonthPosition+SwaptionNumOfMonths+1,$FJ190&gt;SwaptionFirstMonthPosition+SwaptionNumOfMonths+1),"",IF($FJ190=IC$169,1,IF($FJ190&lt;IC$169,INDEX($FK$170:$ID$241,IC$169,$FJ190),SUMPRODUCT(INDEX($FK$325:$ID$396,IC$169,1+SwaptionShift):INDEX($FK$325:$ID$396,IC$169,SwaptionMonthsToGo+SwaptionShift),INDEX($FK$245:$ID$316,$FJ190-IC$169,73-IC$169+SwaptionShift):INDEX($FK$245:$ID$316,$FJ190-IC$169,72-IC$169+SwaptionMonthsToGo+SwaptionShift))/SQRT(SUM(INDEX($FK345:$ID345,1+SwaptionShift):INDEX($FK345:$ID345,SwaptionMonthsToGo+SwaptionShift))*SUM(INDEX($FK$325:$ID$396,IC$169,1+SwaptionShift):INDEX($FK$325:$ID$396,IC$169,SwaptionMonthsToGo+SwaptionShift))))))</f>
        <v/>
      </c>
      <c r="ID190" s="678" t="str">
        <f ca="1">IF(OR(ID$169&lt;SwaptionFirstMonthPosition+1,$FJ190&lt;SwaptionFirstMonthPosition+1,ID$169&gt;SwaptionFirstMonthPosition+SwaptionNumOfMonths+1,$FJ190&gt;SwaptionFirstMonthPosition+SwaptionNumOfMonths+1),"",IF($FJ190=ID$169,1,IF($FJ190&lt;ID$169,INDEX($FK$170:$ID$241,ID$169,$FJ190),SUMPRODUCT(INDEX($FK$325:$ID$396,ID$169,1+SwaptionShift):INDEX($FK$325:$ID$396,ID$169,SwaptionMonthsToGo+SwaptionShift),INDEX($FK$245:$ID$316,$FJ190-ID$169,73-ID$169+SwaptionShift):INDEX($FK$245:$ID$316,$FJ190-ID$169,72-ID$169+SwaptionMonthsToGo+SwaptionShift))/SQRT(SUM(INDEX($FK345:$ID345,1+SwaptionShift):INDEX($FK345:$ID345,SwaptionMonthsToGo+SwaptionShift))*SUM(INDEX($FK$325:$ID$396,ID$169,1+SwaptionShift):INDEX($FK$325:$ID$396,ID$169,SwaptionMonthsToGo+SwaptionShift))))))</f>
        <v/>
      </c>
      <c r="IE190" s="250"/>
    </row>
    <row r="191" spans="8:239">
      <c r="H191" s="51">
        <f t="shared" ca="1" si="527"/>
        <v>0</v>
      </c>
      <c r="I191" s="379">
        <f t="shared" si="528"/>
        <v>41974</v>
      </c>
      <c r="J191" s="377"/>
      <c r="K191" s="104" t="s">
        <v>268</v>
      </c>
      <c r="L191" s="392">
        <f t="shared" si="529"/>
        <v>3.5625000000000058</v>
      </c>
      <c r="M191" s="171"/>
      <c r="N191" s="382">
        <v>0</v>
      </c>
      <c r="O191" s="171">
        <f t="shared" si="490"/>
        <v>0</v>
      </c>
      <c r="P191" s="377"/>
      <c r="Q191" s="104" t="s">
        <v>268</v>
      </c>
      <c r="R191" s="377">
        <f t="shared" ca="1" si="547"/>
        <v>2.3692734645371982</v>
      </c>
      <c r="S191" s="832">
        <f t="shared" si="564"/>
        <v>0.3600000000000001</v>
      </c>
      <c r="T191" s="831">
        <f t="shared" si="548"/>
        <v>0.99999999999973876</v>
      </c>
      <c r="U191" s="545">
        <f t="shared" si="549"/>
        <v>0.99999999999999978</v>
      </c>
      <c r="V191" s="389">
        <v>0</v>
      </c>
      <c r="W191" s="434">
        <f t="shared" si="578"/>
        <v>0</v>
      </c>
      <c r="X191" s="415">
        <f t="shared" si="579"/>
        <v>3.6119318181818234</v>
      </c>
      <c r="Y191" s="322">
        <f t="shared" si="580"/>
        <v>-1.1931</v>
      </c>
      <c r="Z191" s="322">
        <f t="shared" ca="1" si="581"/>
        <v>2.4188318181818236</v>
      </c>
      <c r="AA191" s="429">
        <f t="shared" si="495"/>
        <v>1.1931</v>
      </c>
      <c r="AB191" s="433">
        <f t="shared" ca="1" si="496"/>
        <v>1.1931</v>
      </c>
      <c r="AC191" s="229">
        <v>41963</v>
      </c>
      <c r="AD191" s="229">
        <v>41959</v>
      </c>
      <c r="AE191" s="229">
        <v>41958</v>
      </c>
      <c r="AF191" s="229">
        <v>41954</v>
      </c>
      <c r="AG191" s="249" t="s">
        <v>499</v>
      </c>
      <c r="AH191" s="247" t="s">
        <v>499</v>
      </c>
      <c r="AI191" s="146">
        <v>22</v>
      </c>
      <c r="AJ191" s="41">
        <v>15</v>
      </c>
      <c r="AK191" s="41">
        <v>7</v>
      </c>
      <c r="AL191" s="293">
        <v>22</v>
      </c>
      <c r="AM191" s="41">
        <v>10</v>
      </c>
      <c r="AN191" s="147">
        <v>12</v>
      </c>
      <c r="AO191" s="374"/>
      <c r="AP191" s="153">
        <f t="shared" ca="1" si="530"/>
        <v>1</v>
      </c>
      <c r="AQ191" s="374"/>
      <c r="AR191" s="153">
        <f t="shared" ca="1" si="550"/>
        <v>1</v>
      </c>
      <c r="AS191" s="272">
        <f t="shared" si="582"/>
        <v>0</v>
      </c>
      <c r="AT191" s="157">
        <f t="shared" si="531"/>
        <v>0</v>
      </c>
      <c r="AU191" s="157">
        <f t="shared" si="498"/>
        <v>0</v>
      </c>
      <c r="AV191" s="271">
        <f t="shared" ca="1" si="558"/>
        <v>9.9999999999999995E-7</v>
      </c>
      <c r="AW191" s="158" t="str">
        <f t="shared" ca="1" si="583"/>
        <v/>
      </c>
      <c r="AX191" s="157">
        <f t="shared" ca="1" si="551"/>
        <v>7.9263570286497499E-5</v>
      </c>
      <c r="AY191" s="157">
        <f t="shared" ca="1" si="552"/>
        <v>1.9615897506012209E-5</v>
      </c>
      <c r="AZ191" s="157">
        <f t="shared" ca="1" si="553"/>
        <v>7.5013841436180794E-7</v>
      </c>
      <c r="BA191" s="157">
        <f t="shared" ca="1" si="554"/>
        <v>9.3767301795225992E-8</v>
      </c>
      <c r="BB191" s="157">
        <f t="shared" ca="1" si="555"/>
        <v>6.1936092636838825E-10</v>
      </c>
      <c r="BC191" s="157">
        <f t="shared" ca="1" si="556"/>
        <v>1.7584613771912103E-11</v>
      </c>
      <c r="BD191" s="151">
        <f t="shared" ca="1" si="584"/>
        <v>0</v>
      </c>
      <c r="BE191" s="152">
        <f t="shared" ca="1" si="585"/>
        <v>0</v>
      </c>
      <c r="BF191" s="40">
        <f t="shared" si="586"/>
        <v>2014</v>
      </c>
      <c r="BG191" s="144">
        <f t="shared" si="587"/>
        <v>12</v>
      </c>
      <c r="BH191" s="145">
        <f t="shared" ca="1" si="588"/>
        <v>5214</v>
      </c>
      <c r="BI191" s="313">
        <f t="shared" ca="1" si="568"/>
        <v>14.316221765913758</v>
      </c>
      <c r="BJ191" s="42">
        <f t="shared" ca="1" si="505"/>
        <v>14.372223259286914</v>
      </c>
      <c r="BK191" s="42">
        <f t="shared" ca="1" si="506"/>
        <v>14.374961110074047</v>
      </c>
      <c r="BL191" s="42">
        <f t="shared" ca="1" si="569"/>
        <v>14.39835728952772</v>
      </c>
      <c r="BM191" s="150" t="e">
        <f t="shared" ca="1" si="507"/>
        <v>#DIV/0!</v>
      </c>
      <c r="BN191" s="42" t="e">
        <f t="shared" ca="1" si="508"/>
        <v>#DIV/0!</v>
      </c>
      <c r="BO191" s="293">
        <f t="shared" si="570"/>
        <v>22</v>
      </c>
      <c r="BP191" s="41">
        <f t="shared" si="571"/>
        <v>15</v>
      </c>
      <c r="BQ191" s="41">
        <f t="shared" si="572"/>
        <v>7</v>
      </c>
      <c r="BR191" s="305" t="str">
        <f t="shared" ca="1" si="509"/>
        <v/>
      </c>
      <c r="BS191" s="305" t="str">
        <f t="shared" ca="1" si="573"/>
        <v/>
      </c>
      <c r="BT191" s="307" t="str">
        <f t="shared" ca="1" si="574"/>
        <v/>
      </c>
      <c r="BU191" s="161" t="str">
        <f t="shared" ca="1" si="510"/>
        <v/>
      </c>
      <c r="BV191" s="161" t="str">
        <f t="shared" ca="1" si="511"/>
        <v/>
      </c>
      <c r="BW191" s="308" t="str">
        <f t="shared" ca="1" si="512"/>
        <v/>
      </c>
      <c r="BX191" s="309" t="str">
        <f t="shared" ca="1" si="513"/>
        <v/>
      </c>
      <c r="BY191" s="308" t="str">
        <f t="shared" ca="1" si="575"/>
        <v/>
      </c>
      <c r="BZ191" s="309" t="str">
        <f t="shared" ca="1" si="576"/>
        <v/>
      </c>
      <c r="CA191" s="154" t="str">
        <f t="shared" ca="1" si="514"/>
        <v/>
      </c>
      <c r="CB191" s="154" t="str">
        <f t="shared" ca="1" si="515"/>
        <v/>
      </c>
      <c r="CC191" s="154" t="str">
        <f t="shared" ca="1" si="516"/>
        <v/>
      </c>
      <c r="CD191" s="154" t="str">
        <f t="shared" ca="1" si="517"/>
        <v/>
      </c>
      <c r="CE191" s="310">
        <v>1</v>
      </c>
      <c r="CF191" s="162">
        <f ca="1">IF(BD191,_xll.xCrudeAPO(BU191,BV191,CA191,CB191,S192,S193,BI191,BL191,BP191,BQ191,0,Strike1,AO191,CE191,0,BL191,IF(OptControl=4,0,1),0,1),0)</f>
        <v>0</v>
      </c>
      <c r="CG191" s="163">
        <f ca="1">IF(BD191,_xll.xCrudeAPO(BU191,BV191,CA191,CB191,S192,S193,BI191,BL191,BP191,BQ191,0,Strike1,AO191,CE191,0,BL191,IF(OptControl=4,0,1),1,1)+_xll.xCrudeAPO(BU191,BV191,CA191,CB191,S192,S193,BI191,BL191,BP191,BQ191,0,Strike1,AO191,CE191,0,BL191,IF(OptControl=4,0,1),1,2)+IF(OR(VolSkewFlag=2,ABS(BS191)&lt;0.0001),0,IF(BS191&gt;0,-1,1)*CH191*Strike1/BR191^2*BY191/10%),0)</f>
        <v>0</v>
      </c>
      <c r="CH191" s="163">
        <f ca="1">IF(BD191,(_xll.xCrudeAPO(BU191,BV191,CA191,CB191,S192,S193,BI191,BL191,BP191,BQ191,0,Strike1,AO191,CE191,0,BL191,IF(OptControl=4,0,1),3,1)+_xll.xCrudeAPO(BU191,BV191,CA191,CB191,S192,S193,BI191,BL191,BP191,BQ191,0,Strike1,AO191,CE191,0,BL191,IF(OptControl=4,0,1),3,2))/100,0)</f>
        <v>0</v>
      </c>
      <c r="CI191" s="163">
        <f ca="1">IF(BD191,_xll.xCrudeAPO(BU191,BV191,CA191,CB191,S192,S193,BI191-DaysForThetaCalculation/365.25,BL191-DaysForThetaCalculation/365.25,BP191,BQ191,0,Strike1,AO191,CE191,0,BL191,IF(OptControl=4,0,1),0,1)-_xll.xCrudeAPO(BU191,BV191,CA191,CB191,S192,S193,BI191,BL191,BP191,BQ191,0,Strike1,AO191,CE191,0,BL191,IF(OptControl=4,0,1),0,1),0)</f>
        <v>0</v>
      </c>
      <c r="CJ191" s="311">
        <f ca="1">IF(BD191,_xll.xCrudeAPO(BU191,BV191,CC191,CD191,S192,S193,BI191,BL191,BP191,BQ191,0,Strike2,AO191,CE191,0,BL191,IF(OptControl=3,1,0),0,1),0)</f>
        <v>0</v>
      </c>
      <c r="CK191" s="163">
        <f ca="1">IF(BD191,_xll.xCrudeAPO(BU191,BV191,CC191,CD191,S192,S193,BI191,BL191,BP191,BQ191,0,Strike2,AO191,CE191,0,BL191,IF(OptControl=3,1,0),1,1)+_xll.xCrudeAPO(BU191,BV191,CC191,CD191,S192,S193,BI191,BL191,BP191,BQ191,0,Strike2,AO191,CE191,0,BL191,IF(OptControl=3,1,0),1,2)+IF(OR(VolSkewFlag=2,ABS(BT191)&lt;0.0001),0,IF(BT191&gt;0,-1,1)*CL191*Strike2/BR191^2*BZ191/10%),0)</f>
        <v>0</v>
      </c>
      <c r="CL191" s="163">
        <f ca="1">IF(BD191,(_xll.xCrudeAPO(BU191,BV191,CC191,CD191,S192,S193,BI191,BL191,BP191,BQ191,0,Strike2,AO191,CE191,0,BL191,IF(OptControl=3,1,0),3,1)+_xll.xCrudeAPO(BU191,BV191,CC191,CD191,S192,S193,BI191,BL191,BP191,BQ191,0,Strike2,AO191,CE191,0,BL191,IF(OptControl=3,1,0),3,2))/100,0)</f>
        <v>0</v>
      </c>
      <c r="CM191" s="164">
        <f ca="1">IF(BD191,_xll.xCrudeAPO(BU191,BV191,CC191,CD191,S192,S193,BI191-DaysForThetaCalculation/365.25,BL191-DaysForThetaCalculation/365.25,BP191,BQ191,0,Strike2,AO191,CE191,0,BL191,IF(OptControl=3,1,0),0,1)-_xll.xCrudeAPO(BU191,BV191,CC191,CD191,S192,S193,BI191,BL191,BP191,BQ191,0,Strike2,AO191,CE191,0,BL191,IF(OptControl=3,1,0),0,1),0)</f>
        <v>0</v>
      </c>
      <c r="CN191" s="53"/>
      <c r="CO191" s="796" t="str">
        <f t="shared" ca="1" si="532"/>
        <v/>
      </c>
      <c r="CP191" s="800" t="str">
        <f t="shared" ca="1" si="533"/>
        <v/>
      </c>
      <c r="CQ191" s="797" t="str">
        <f t="shared" ca="1" si="534"/>
        <v/>
      </c>
      <c r="CR191" s="797" t="str">
        <f t="shared" ca="1" si="535"/>
        <v/>
      </c>
      <c r="CS191" s="797" t="str">
        <f t="shared" ca="1" si="536"/>
        <v/>
      </c>
      <c r="CT191" s="797" t="str">
        <f t="shared" ca="1" si="537"/>
        <v/>
      </c>
      <c r="CU191" s="798" t="str">
        <f t="shared" ca="1" si="538"/>
        <v/>
      </c>
      <c r="CV191" s="799" t="str">
        <f t="shared" ca="1" si="539"/>
        <v/>
      </c>
      <c r="CW191" s="799" t="str">
        <f t="shared" ca="1" si="540"/>
        <v/>
      </c>
      <c r="CX191" s="163">
        <f ca="1">IF(BD191,_xll.EURO(CP191,Strike1,AO191,AO191,CV191,CO191,IF(OptControl=4,0,1),0),0)</f>
        <v>0</v>
      </c>
      <c r="CY191" s="163">
        <f ca="1">IF(BD191,_xll.EURO(CP191,Strike1,AO191,AO191,CV191,CO191,IF(OptControl=4,0,1),1)+IF(OR(VolSkewFlag=2,ABS(CQ191)&lt;0.0001),0,IF(CQ191&gt;0,-1,1)*CZ191*100*Strike1/CP191^2*CS191/10%),0)</f>
        <v>0</v>
      </c>
      <c r="CZ191" s="163">
        <f ca="1">IF(BD191,_xll.EURO(CP191,Strike1,AO191,AO191,CV191,CO191,IF(OptControl=4,0,1),3)/100,0)</f>
        <v>0</v>
      </c>
      <c r="DA191" s="163">
        <f ca="1">IF(BD191,_xll.EURO(CP191,Strike1,AO191,AO191,CV191,CO191,IF(OptControl=4,0,1),0)-_xll.EURO(CP191,Strike1,AO191,AO191,CV191,CO191-1,IF(OptControl=4,0,1),0),0)</f>
        <v>0</v>
      </c>
      <c r="DB191" s="163">
        <f ca="1">IF(BD191,_xll.EURO(CP191,Strike2,AO191,AO191,CW191,CO191,IF(OptControl=3,1,0),0),0)</f>
        <v>0</v>
      </c>
      <c r="DC191" s="163">
        <f ca="1">IF(BD191,_xll.EURO(CP191,Strike2,AO191,AO191,CW191,CO191,IF(OptControl=3,1,0),1)+IF(OR(VolSkewFlag=2,ABS(CR191)&lt;0.0001),0,IF(CR191&gt;0,-1,1)*DD191*100*Strike2/CP191^2*CT191/10%),0)</f>
        <v>0</v>
      </c>
      <c r="DD191" s="163">
        <f ca="1">IF(BD191,_xll.EURO(CP191,Strike2,AO191,AO191,CW191,CO191,IF(OptControl=3,1,0),3)/100,0)</f>
        <v>0</v>
      </c>
      <c r="DE191" s="164">
        <f ca="1">IF(BD191,_xll.EURO(CP191,Strike2,AO191,AO191,CW191,CO191,IF(OptControl=3,1,0),0)-_xll.EURO(CP191,Strike2,AO191,AO191,CW191,CO191-1,IF(OptControl=3,1,0),0),0)</f>
        <v>0</v>
      </c>
      <c r="DG191" s="667">
        <f t="shared" ca="1" si="541"/>
        <v>41760</v>
      </c>
      <c r="DH191" s="475">
        <v>22.710000000000068</v>
      </c>
      <c r="DI191" s="665">
        <v>22.778181818181885</v>
      </c>
      <c r="DJ191" s="666">
        <f t="shared" ca="1" si="589"/>
        <v>41760</v>
      </c>
      <c r="DK191" s="475">
        <v>21.547061371713177</v>
      </c>
      <c r="DL191" s="665">
        <v>21.486681818181886</v>
      </c>
      <c r="DM191" s="667">
        <f t="shared" ca="1" si="590"/>
        <v>41760</v>
      </c>
      <c r="DN191" s="668">
        <f t="shared" si="591"/>
        <v>21.597061371713178</v>
      </c>
      <c r="DO191" s="667">
        <f t="shared" ca="1" si="542"/>
        <v>41760</v>
      </c>
      <c r="DP191" s="579">
        <f t="shared" si="543"/>
        <v>21.486681818181886</v>
      </c>
      <c r="DQ191" s="821">
        <v>0</v>
      </c>
      <c r="DR191" s="666">
        <f t="shared" ca="1" si="592"/>
        <v>41760</v>
      </c>
      <c r="DS191" s="669">
        <v>0.12199999999999803</v>
      </c>
      <c r="DT191" s="606">
        <v>0.1211818181818162</v>
      </c>
      <c r="DU191" s="666">
        <f t="shared" ca="1" si="593"/>
        <v>41760</v>
      </c>
      <c r="DV191" s="669">
        <v>0.12199999999999803</v>
      </c>
      <c r="DW191" s="606">
        <v>0.1211818181818162</v>
      </c>
      <c r="DX191" s="667">
        <f t="shared" ca="1" si="594"/>
        <v>41760</v>
      </c>
      <c r="DY191" s="606">
        <v>0.35</v>
      </c>
      <c r="DZ191" s="667">
        <f t="shared" ca="1" si="544"/>
        <v>41760</v>
      </c>
      <c r="EA191" s="606">
        <f t="shared" si="545"/>
        <v>0.1211818181818162</v>
      </c>
      <c r="EB191" s="1"/>
      <c r="EC191" s="118" t="str">
        <f t="shared" ca="1" si="595"/>
        <v/>
      </c>
      <c r="ED191" s="119" t="str">
        <f t="shared" ca="1" si="525"/>
        <v/>
      </c>
      <c r="EE191" s="112" t="str">
        <f t="shared" ca="1" si="526"/>
        <v/>
      </c>
      <c r="EF191" s="120">
        <f ca="1">IF(BD191,_xll.xASN(BR191,Strike1,AO191,ED191,0,BO191,0,BI191,BL191,IF(OptControl=4,0,1),0),0)</f>
        <v>0</v>
      </c>
      <c r="EG191" s="111">
        <f ca="1">IF(BD191,_xll.xASN(BR191,Strike2,AO191,EE191,0,BO191,0,BI191,BL191,IF(OptControl=3,1,0),0),0)</f>
        <v>0</v>
      </c>
      <c r="EL191" s="55"/>
      <c r="EM191" s="1"/>
      <c r="EN191" s="106"/>
      <c r="EO191" s="106"/>
      <c r="EP191" s="1"/>
      <c r="EQ191" s="683" t="s">
        <v>404</v>
      </c>
      <c r="ES191" s="455"/>
      <c r="ET191" s="36"/>
      <c r="EU191" s="107"/>
      <c r="EV191" s="475"/>
      <c r="EW191" s="456"/>
      <c r="EX191" s="456"/>
      <c r="EY191" s="250"/>
      <c r="EZ191" s="250"/>
      <c r="FA191" s="250"/>
      <c r="FB191" s="250"/>
      <c r="FC191" s="250"/>
      <c r="FD191" s="250"/>
      <c r="FE191" s="250"/>
      <c r="FF191" s="250"/>
      <c r="FG191" s="250"/>
      <c r="FH191" s="250"/>
      <c r="FI191" s="250"/>
      <c r="FJ191" s="673">
        <v>22</v>
      </c>
      <c r="FK191" s="479" t="str">
        <f ca="1">IF(OR(FK$169&lt;SwaptionFirstMonthPosition+1,$FJ191&lt;SwaptionFirstMonthPosition+1,FK$169&gt;SwaptionFirstMonthPosition+SwaptionNumOfMonths+1,$FJ191&gt;SwaptionFirstMonthPosition+SwaptionNumOfMonths+1),"",IF($FJ191=FK$169,1,IF($FJ191&lt;FK$169,INDEX($FK$170:$ID$241,FK$169,$FJ191),SUMPRODUCT(INDEX($FK$325:$ID$396,FK$169,1+SwaptionShift):INDEX($FK$325:$ID$396,FK$169,SwaptionMonthsToGo+SwaptionShift),INDEX($FK$245:$ID$316,$FJ191-FK$169,73-FK$169+SwaptionShift):INDEX($FK$245:$ID$316,$FJ191-FK$169,72-FK$169+SwaptionMonthsToGo+SwaptionShift))/SQRT(SUM(INDEX($FK346:$ID346,1+SwaptionShift):INDEX($FK346:$ID346,SwaptionMonthsToGo+SwaptionShift))*SUM(INDEX($FK$325:$ID$396,FK$169,1+SwaptionShift):INDEX($FK$325:$ID$396,FK$169,SwaptionMonthsToGo+SwaptionShift))))))</f>
        <v/>
      </c>
      <c r="FL191" s="479" t="str">
        <f ca="1">IF(OR(FL$169&lt;SwaptionFirstMonthPosition+1,$FJ191&lt;SwaptionFirstMonthPosition+1,FL$169&gt;SwaptionFirstMonthPosition+SwaptionNumOfMonths+1,$FJ191&gt;SwaptionFirstMonthPosition+SwaptionNumOfMonths+1),"",IF($FJ191=FL$169,1,IF($FJ191&lt;FL$169,INDEX($FK$170:$ID$241,FL$169,$FJ191),SUMPRODUCT(INDEX($FK$325:$ID$396,FL$169,1+SwaptionShift):INDEX($FK$325:$ID$396,FL$169,SwaptionMonthsToGo+SwaptionShift),INDEX($FK$245:$ID$316,$FJ191-FL$169,73-FL$169+SwaptionShift):INDEX($FK$245:$ID$316,$FJ191-FL$169,72-FL$169+SwaptionMonthsToGo+SwaptionShift))/SQRT(SUM(INDEX($FK346:$ID346,1+SwaptionShift):INDEX($FK346:$ID346,SwaptionMonthsToGo+SwaptionShift))*SUM(INDEX($FK$325:$ID$396,FL$169,1+SwaptionShift):INDEX($FK$325:$ID$396,FL$169,SwaptionMonthsToGo+SwaptionShift))))))</f>
        <v/>
      </c>
      <c r="FM191" s="479" t="str">
        <f ca="1">IF(OR(FM$169&lt;SwaptionFirstMonthPosition+1,$FJ191&lt;SwaptionFirstMonthPosition+1,FM$169&gt;SwaptionFirstMonthPosition+SwaptionNumOfMonths+1,$FJ191&gt;SwaptionFirstMonthPosition+SwaptionNumOfMonths+1),"",IF($FJ191=FM$169,1,IF($FJ191&lt;FM$169,INDEX($FK$170:$ID$241,FM$169,$FJ191),SUMPRODUCT(INDEX($FK$325:$ID$396,FM$169,1+SwaptionShift):INDEX($FK$325:$ID$396,FM$169,SwaptionMonthsToGo+SwaptionShift),INDEX($FK$245:$ID$316,$FJ191-FM$169,73-FM$169+SwaptionShift):INDEX($FK$245:$ID$316,$FJ191-FM$169,72-FM$169+SwaptionMonthsToGo+SwaptionShift))/SQRT(SUM(INDEX($FK346:$ID346,1+SwaptionShift):INDEX($FK346:$ID346,SwaptionMonthsToGo+SwaptionShift))*SUM(INDEX($FK$325:$ID$396,FM$169,1+SwaptionShift):INDEX($FK$325:$ID$396,FM$169,SwaptionMonthsToGo+SwaptionShift))))))</f>
        <v/>
      </c>
      <c r="FN191" s="479" t="str">
        <f ca="1">IF(OR(FN$169&lt;SwaptionFirstMonthPosition+1,$FJ191&lt;SwaptionFirstMonthPosition+1,FN$169&gt;SwaptionFirstMonthPosition+SwaptionNumOfMonths+1,$FJ191&gt;SwaptionFirstMonthPosition+SwaptionNumOfMonths+1),"",IF($FJ191=FN$169,1,IF($FJ191&lt;FN$169,INDEX($FK$170:$ID$241,FN$169,$FJ191),SUMPRODUCT(INDEX($FK$325:$ID$396,FN$169,1+SwaptionShift):INDEX($FK$325:$ID$396,FN$169,SwaptionMonthsToGo+SwaptionShift),INDEX($FK$245:$ID$316,$FJ191-FN$169,73-FN$169+SwaptionShift):INDEX($FK$245:$ID$316,$FJ191-FN$169,72-FN$169+SwaptionMonthsToGo+SwaptionShift))/SQRT(SUM(INDEX($FK346:$ID346,1+SwaptionShift):INDEX($FK346:$ID346,SwaptionMonthsToGo+SwaptionShift))*SUM(INDEX($FK$325:$ID$396,FN$169,1+SwaptionShift):INDEX($FK$325:$ID$396,FN$169,SwaptionMonthsToGo+SwaptionShift))))))</f>
        <v/>
      </c>
      <c r="FO191" s="479" t="str">
        <f ca="1">IF(OR(FO$169&lt;SwaptionFirstMonthPosition+1,$FJ191&lt;SwaptionFirstMonthPosition+1,FO$169&gt;SwaptionFirstMonthPosition+SwaptionNumOfMonths+1,$FJ191&gt;SwaptionFirstMonthPosition+SwaptionNumOfMonths+1),"",IF($FJ191=FO$169,1,IF($FJ191&lt;FO$169,INDEX($FK$170:$ID$241,FO$169,$FJ191),SUMPRODUCT(INDEX($FK$325:$ID$396,FO$169,1+SwaptionShift):INDEX($FK$325:$ID$396,FO$169,SwaptionMonthsToGo+SwaptionShift),INDEX($FK$245:$ID$316,$FJ191-FO$169,73-FO$169+SwaptionShift):INDEX($FK$245:$ID$316,$FJ191-FO$169,72-FO$169+SwaptionMonthsToGo+SwaptionShift))/SQRT(SUM(INDEX($FK346:$ID346,1+SwaptionShift):INDEX($FK346:$ID346,SwaptionMonthsToGo+SwaptionShift))*SUM(INDEX($FK$325:$ID$396,FO$169,1+SwaptionShift):INDEX($FK$325:$ID$396,FO$169,SwaptionMonthsToGo+SwaptionShift))))))</f>
        <v/>
      </c>
      <c r="FP191" s="479" t="str">
        <f ca="1">IF(OR(FP$169&lt;SwaptionFirstMonthPosition+1,$FJ191&lt;SwaptionFirstMonthPosition+1,FP$169&gt;SwaptionFirstMonthPosition+SwaptionNumOfMonths+1,$FJ191&gt;SwaptionFirstMonthPosition+SwaptionNumOfMonths+1),"",IF($FJ191=FP$169,1,IF($FJ191&lt;FP$169,INDEX($FK$170:$ID$241,FP$169,$FJ191),SUMPRODUCT(INDEX($FK$325:$ID$396,FP$169,1+SwaptionShift):INDEX($FK$325:$ID$396,FP$169,SwaptionMonthsToGo+SwaptionShift),INDEX($FK$245:$ID$316,$FJ191-FP$169,73-FP$169+SwaptionShift):INDEX($FK$245:$ID$316,$FJ191-FP$169,72-FP$169+SwaptionMonthsToGo+SwaptionShift))/SQRT(SUM(INDEX($FK346:$ID346,1+SwaptionShift):INDEX($FK346:$ID346,SwaptionMonthsToGo+SwaptionShift))*SUM(INDEX($FK$325:$ID$396,FP$169,1+SwaptionShift):INDEX($FK$325:$ID$396,FP$169,SwaptionMonthsToGo+SwaptionShift))))))</f>
        <v/>
      </c>
      <c r="FQ191" s="479" t="str">
        <f ca="1">IF(OR(FQ$169&lt;SwaptionFirstMonthPosition+1,$FJ191&lt;SwaptionFirstMonthPosition+1,FQ$169&gt;SwaptionFirstMonthPosition+SwaptionNumOfMonths+1,$FJ191&gt;SwaptionFirstMonthPosition+SwaptionNumOfMonths+1),"",IF($FJ191=FQ$169,1,IF($FJ191&lt;FQ$169,INDEX($FK$170:$ID$241,FQ$169,$FJ191),SUMPRODUCT(INDEX($FK$325:$ID$396,FQ$169,1+SwaptionShift):INDEX($FK$325:$ID$396,FQ$169,SwaptionMonthsToGo+SwaptionShift),INDEX($FK$245:$ID$316,$FJ191-FQ$169,73-FQ$169+SwaptionShift):INDEX($FK$245:$ID$316,$FJ191-FQ$169,72-FQ$169+SwaptionMonthsToGo+SwaptionShift))/SQRT(SUM(INDEX($FK346:$ID346,1+SwaptionShift):INDEX($FK346:$ID346,SwaptionMonthsToGo+SwaptionShift))*SUM(INDEX($FK$325:$ID$396,FQ$169,1+SwaptionShift):INDEX($FK$325:$ID$396,FQ$169,SwaptionMonthsToGo+SwaptionShift))))))</f>
        <v/>
      </c>
      <c r="FR191" s="479" t="str">
        <f ca="1">IF(OR(FR$169&lt;SwaptionFirstMonthPosition+1,$FJ191&lt;SwaptionFirstMonthPosition+1,FR$169&gt;SwaptionFirstMonthPosition+SwaptionNumOfMonths+1,$FJ191&gt;SwaptionFirstMonthPosition+SwaptionNumOfMonths+1),"",IF($FJ191=FR$169,1,IF($FJ191&lt;FR$169,INDEX($FK$170:$ID$241,FR$169,$FJ191),SUMPRODUCT(INDEX($FK$325:$ID$396,FR$169,1+SwaptionShift):INDEX($FK$325:$ID$396,FR$169,SwaptionMonthsToGo+SwaptionShift),INDEX($FK$245:$ID$316,$FJ191-FR$169,73-FR$169+SwaptionShift):INDEX($FK$245:$ID$316,$FJ191-FR$169,72-FR$169+SwaptionMonthsToGo+SwaptionShift))/SQRT(SUM(INDEX($FK346:$ID346,1+SwaptionShift):INDEX($FK346:$ID346,SwaptionMonthsToGo+SwaptionShift))*SUM(INDEX($FK$325:$ID$396,FR$169,1+SwaptionShift):INDEX($FK$325:$ID$396,FR$169,SwaptionMonthsToGo+SwaptionShift))))))</f>
        <v/>
      </c>
      <c r="FS191" s="479" t="str">
        <f ca="1">IF(OR(FS$169&lt;SwaptionFirstMonthPosition+1,$FJ191&lt;SwaptionFirstMonthPosition+1,FS$169&gt;SwaptionFirstMonthPosition+SwaptionNumOfMonths+1,$FJ191&gt;SwaptionFirstMonthPosition+SwaptionNumOfMonths+1),"",IF($FJ191=FS$169,1,IF($FJ191&lt;FS$169,INDEX($FK$170:$ID$241,FS$169,$FJ191),SUMPRODUCT(INDEX($FK$325:$ID$396,FS$169,1+SwaptionShift):INDEX($FK$325:$ID$396,FS$169,SwaptionMonthsToGo+SwaptionShift),INDEX($FK$245:$ID$316,$FJ191-FS$169,73-FS$169+SwaptionShift):INDEX($FK$245:$ID$316,$FJ191-FS$169,72-FS$169+SwaptionMonthsToGo+SwaptionShift))/SQRT(SUM(INDEX($FK346:$ID346,1+SwaptionShift):INDEX($FK346:$ID346,SwaptionMonthsToGo+SwaptionShift))*SUM(INDEX($FK$325:$ID$396,FS$169,1+SwaptionShift):INDEX($FK$325:$ID$396,FS$169,SwaptionMonthsToGo+SwaptionShift))))))</f>
        <v/>
      </c>
      <c r="FT191" s="479" t="str">
        <f ca="1">IF(OR(FT$169&lt;SwaptionFirstMonthPosition+1,$FJ191&lt;SwaptionFirstMonthPosition+1,FT$169&gt;SwaptionFirstMonthPosition+SwaptionNumOfMonths+1,$FJ191&gt;SwaptionFirstMonthPosition+SwaptionNumOfMonths+1),"",IF($FJ191=FT$169,1,IF($FJ191&lt;FT$169,INDEX($FK$170:$ID$241,FT$169,$FJ191),SUMPRODUCT(INDEX($FK$325:$ID$396,FT$169,1+SwaptionShift):INDEX($FK$325:$ID$396,FT$169,SwaptionMonthsToGo+SwaptionShift),INDEX($FK$245:$ID$316,$FJ191-FT$169,73-FT$169+SwaptionShift):INDEX($FK$245:$ID$316,$FJ191-FT$169,72-FT$169+SwaptionMonthsToGo+SwaptionShift))/SQRT(SUM(INDEX($FK346:$ID346,1+SwaptionShift):INDEX($FK346:$ID346,SwaptionMonthsToGo+SwaptionShift))*SUM(INDEX($FK$325:$ID$396,FT$169,1+SwaptionShift):INDEX($FK$325:$ID$396,FT$169,SwaptionMonthsToGo+SwaptionShift))))))</f>
        <v/>
      </c>
      <c r="FU191" s="479" t="str">
        <f ca="1">IF(OR(FU$169&lt;SwaptionFirstMonthPosition+1,$FJ191&lt;SwaptionFirstMonthPosition+1,FU$169&gt;SwaptionFirstMonthPosition+SwaptionNumOfMonths+1,$FJ191&gt;SwaptionFirstMonthPosition+SwaptionNumOfMonths+1),"",IF($FJ191=FU$169,1,IF($FJ191&lt;FU$169,INDEX($FK$170:$ID$241,FU$169,$FJ191),SUMPRODUCT(INDEX($FK$325:$ID$396,FU$169,1+SwaptionShift):INDEX($FK$325:$ID$396,FU$169,SwaptionMonthsToGo+SwaptionShift),INDEX($FK$245:$ID$316,$FJ191-FU$169,73-FU$169+SwaptionShift):INDEX($FK$245:$ID$316,$FJ191-FU$169,72-FU$169+SwaptionMonthsToGo+SwaptionShift))/SQRT(SUM(INDEX($FK346:$ID346,1+SwaptionShift):INDEX($FK346:$ID346,SwaptionMonthsToGo+SwaptionShift))*SUM(INDEX($FK$325:$ID$396,FU$169,1+SwaptionShift):INDEX($FK$325:$ID$396,FU$169,SwaptionMonthsToGo+SwaptionShift))))))</f>
        <v/>
      </c>
      <c r="FV191" s="479" t="str">
        <f ca="1">IF(OR(FV$169&lt;SwaptionFirstMonthPosition+1,$FJ191&lt;SwaptionFirstMonthPosition+1,FV$169&gt;SwaptionFirstMonthPosition+SwaptionNumOfMonths+1,$FJ191&gt;SwaptionFirstMonthPosition+SwaptionNumOfMonths+1),"",IF($FJ191=FV$169,1,IF($FJ191&lt;FV$169,INDEX($FK$170:$ID$241,FV$169,$FJ191),SUMPRODUCT(INDEX($FK$325:$ID$396,FV$169,1+SwaptionShift):INDEX($FK$325:$ID$396,FV$169,SwaptionMonthsToGo+SwaptionShift),INDEX($FK$245:$ID$316,$FJ191-FV$169,73-FV$169+SwaptionShift):INDEX($FK$245:$ID$316,$FJ191-FV$169,72-FV$169+SwaptionMonthsToGo+SwaptionShift))/SQRT(SUM(INDEX($FK346:$ID346,1+SwaptionShift):INDEX($FK346:$ID346,SwaptionMonthsToGo+SwaptionShift))*SUM(INDEX($FK$325:$ID$396,FV$169,1+SwaptionShift):INDEX($FK$325:$ID$396,FV$169,SwaptionMonthsToGo+SwaptionShift))))))</f>
        <v/>
      </c>
      <c r="FW191" s="479" t="str">
        <f ca="1">IF(OR(FW$169&lt;SwaptionFirstMonthPosition+1,$FJ191&lt;SwaptionFirstMonthPosition+1,FW$169&gt;SwaptionFirstMonthPosition+SwaptionNumOfMonths+1,$FJ191&gt;SwaptionFirstMonthPosition+SwaptionNumOfMonths+1),"",IF($FJ191=FW$169,1,IF($FJ191&lt;FW$169,INDEX($FK$170:$ID$241,FW$169,$FJ191),SUMPRODUCT(INDEX($FK$325:$ID$396,FW$169,1+SwaptionShift):INDEX($FK$325:$ID$396,FW$169,SwaptionMonthsToGo+SwaptionShift),INDEX($FK$245:$ID$316,$FJ191-FW$169,73-FW$169+SwaptionShift):INDEX($FK$245:$ID$316,$FJ191-FW$169,72-FW$169+SwaptionMonthsToGo+SwaptionShift))/SQRT(SUM(INDEX($FK346:$ID346,1+SwaptionShift):INDEX($FK346:$ID346,SwaptionMonthsToGo+SwaptionShift))*SUM(INDEX($FK$325:$ID$396,FW$169,1+SwaptionShift):INDEX($FK$325:$ID$396,FW$169,SwaptionMonthsToGo+SwaptionShift))))))</f>
        <v/>
      </c>
      <c r="FX191" s="479" t="str">
        <f ca="1">IF(OR(FX$169&lt;SwaptionFirstMonthPosition+1,$FJ191&lt;SwaptionFirstMonthPosition+1,FX$169&gt;SwaptionFirstMonthPosition+SwaptionNumOfMonths+1,$FJ191&gt;SwaptionFirstMonthPosition+SwaptionNumOfMonths+1),"",IF($FJ191=FX$169,1,IF($FJ191&lt;FX$169,INDEX($FK$170:$ID$241,FX$169,$FJ191),SUMPRODUCT(INDEX($FK$325:$ID$396,FX$169,1+SwaptionShift):INDEX($FK$325:$ID$396,FX$169,SwaptionMonthsToGo+SwaptionShift),INDEX($FK$245:$ID$316,$FJ191-FX$169,73-FX$169+SwaptionShift):INDEX($FK$245:$ID$316,$FJ191-FX$169,72-FX$169+SwaptionMonthsToGo+SwaptionShift))/SQRT(SUM(INDEX($FK346:$ID346,1+SwaptionShift):INDEX($FK346:$ID346,SwaptionMonthsToGo+SwaptionShift))*SUM(INDEX($FK$325:$ID$396,FX$169,1+SwaptionShift):INDEX($FK$325:$ID$396,FX$169,SwaptionMonthsToGo+SwaptionShift))))))</f>
        <v/>
      </c>
      <c r="FY191" s="479" t="str">
        <f ca="1">IF(OR(FY$169&lt;SwaptionFirstMonthPosition+1,$FJ191&lt;SwaptionFirstMonthPosition+1,FY$169&gt;SwaptionFirstMonthPosition+SwaptionNumOfMonths+1,$FJ191&gt;SwaptionFirstMonthPosition+SwaptionNumOfMonths+1),"",IF($FJ191=FY$169,1,IF($FJ191&lt;FY$169,INDEX($FK$170:$ID$241,FY$169,$FJ191),SUMPRODUCT(INDEX($FK$325:$ID$396,FY$169,1+SwaptionShift):INDEX($FK$325:$ID$396,FY$169,SwaptionMonthsToGo+SwaptionShift),INDEX($FK$245:$ID$316,$FJ191-FY$169,73-FY$169+SwaptionShift):INDEX($FK$245:$ID$316,$FJ191-FY$169,72-FY$169+SwaptionMonthsToGo+SwaptionShift))/SQRT(SUM(INDEX($FK346:$ID346,1+SwaptionShift):INDEX($FK346:$ID346,SwaptionMonthsToGo+SwaptionShift))*SUM(INDEX($FK$325:$ID$396,FY$169,1+SwaptionShift):INDEX($FK$325:$ID$396,FY$169,SwaptionMonthsToGo+SwaptionShift))))))</f>
        <v/>
      </c>
      <c r="FZ191" s="479" t="str">
        <f ca="1">IF(OR(FZ$169&lt;SwaptionFirstMonthPosition+1,$FJ191&lt;SwaptionFirstMonthPosition+1,FZ$169&gt;SwaptionFirstMonthPosition+SwaptionNumOfMonths+1,$FJ191&gt;SwaptionFirstMonthPosition+SwaptionNumOfMonths+1),"",IF($FJ191=FZ$169,1,IF($FJ191&lt;FZ$169,INDEX($FK$170:$ID$241,FZ$169,$FJ191),SUMPRODUCT(INDEX($FK$325:$ID$396,FZ$169,1+SwaptionShift):INDEX($FK$325:$ID$396,FZ$169,SwaptionMonthsToGo+SwaptionShift),INDEX($FK$245:$ID$316,$FJ191-FZ$169,73-FZ$169+SwaptionShift):INDEX($FK$245:$ID$316,$FJ191-FZ$169,72-FZ$169+SwaptionMonthsToGo+SwaptionShift))/SQRT(SUM(INDEX($FK346:$ID346,1+SwaptionShift):INDEX($FK346:$ID346,SwaptionMonthsToGo+SwaptionShift))*SUM(INDEX($FK$325:$ID$396,FZ$169,1+SwaptionShift):INDEX($FK$325:$ID$396,FZ$169,SwaptionMonthsToGo+SwaptionShift))))))</f>
        <v/>
      </c>
      <c r="GA191" s="479" t="str">
        <f ca="1">IF(OR(GA$169&lt;SwaptionFirstMonthPosition+1,$FJ191&lt;SwaptionFirstMonthPosition+1,GA$169&gt;SwaptionFirstMonthPosition+SwaptionNumOfMonths+1,$FJ191&gt;SwaptionFirstMonthPosition+SwaptionNumOfMonths+1),"",IF($FJ191=GA$169,1,IF($FJ191&lt;GA$169,INDEX($FK$170:$ID$241,GA$169,$FJ191),SUMPRODUCT(INDEX($FK$325:$ID$396,GA$169,1+SwaptionShift):INDEX($FK$325:$ID$396,GA$169,SwaptionMonthsToGo+SwaptionShift),INDEX($FK$245:$ID$316,$FJ191-GA$169,73-GA$169+SwaptionShift):INDEX($FK$245:$ID$316,$FJ191-GA$169,72-GA$169+SwaptionMonthsToGo+SwaptionShift))/SQRT(SUM(INDEX($FK346:$ID346,1+SwaptionShift):INDEX($FK346:$ID346,SwaptionMonthsToGo+SwaptionShift))*SUM(INDEX($FK$325:$ID$396,GA$169,1+SwaptionShift):INDEX($FK$325:$ID$396,GA$169,SwaptionMonthsToGo+SwaptionShift))))))</f>
        <v/>
      </c>
      <c r="GB191" s="479" t="str">
        <f ca="1">IF(OR(GB$169&lt;SwaptionFirstMonthPosition+1,$FJ191&lt;SwaptionFirstMonthPosition+1,GB$169&gt;SwaptionFirstMonthPosition+SwaptionNumOfMonths+1,$FJ191&gt;SwaptionFirstMonthPosition+SwaptionNumOfMonths+1),"",IF($FJ191=GB$169,1,IF($FJ191&lt;GB$169,INDEX($FK$170:$ID$241,GB$169,$FJ191),SUMPRODUCT(INDEX($FK$325:$ID$396,GB$169,1+SwaptionShift):INDEX($FK$325:$ID$396,GB$169,SwaptionMonthsToGo+SwaptionShift),INDEX($FK$245:$ID$316,$FJ191-GB$169,73-GB$169+SwaptionShift):INDEX($FK$245:$ID$316,$FJ191-GB$169,72-GB$169+SwaptionMonthsToGo+SwaptionShift))/SQRT(SUM(INDEX($FK346:$ID346,1+SwaptionShift):INDEX($FK346:$ID346,SwaptionMonthsToGo+SwaptionShift))*SUM(INDEX($FK$325:$ID$396,GB$169,1+SwaptionShift):INDEX($FK$325:$ID$396,GB$169,SwaptionMonthsToGo+SwaptionShift))))))</f>
        <v/>
      </c>
      <c r="GC191" s="479" t="str">
        <f ca="1">IF(OR(GC$169&lt;SwaptionFirstMonthPosition+1,$FJ191&lt;SwaptionFirstMonthPosition+1,GC$169&gt;SwaptionFirstMonthPosition+SwaptionNumOfMonths+1,$FJ191&gt;SwaptionFirstMonthPosition+SwaptionNumOfMonths+1),"",IF($FJ191=GC$169,1,IF($FJ191&lt;GC$169,INDEX($FK$170:$ID$241,GC$169,$FJ191),SUMPRODUCT(INDEX($FK$325:$ID$396,GC$169,1+SwaptionShift):INDEX($FK$325:$ID$396,GC$169,SwaptionMonthsToGo+SwaptionShift),INDEX($FK$245:$ID$316,$FJ191-GC$169,73-GC$169+SwaptionShift):INDEX($FK$245:$ID$316,$FJ191-GC$169,72-GC$169+SwaptionMonthsToGo+SwaptionShift))/SQRT(SUM(INDEX($FK346:$ID346,1+SwaptionShift):INDEX($FK346:$ID346,SwaptionMonthsToGo+SwaptionShift))*SUM(INDEX($FK$325:$ID$396,GC$169,1+SwaptionShift):INDEX($FK$325:$ID$396,GC$169,SwaptionMonthsToGo+SwaptionShift))))))</f>
        <v/>
      </c>
      <c r="GD191" s="479" t="str">
        <f ca="1">IF(OR(GD$169&lt;SwaptionFirstMonthPosition+1,$FJ191&lt;SwaptionFirstMonthPosition+1,GD$169&gt;SwaptionFirstMonthPosition+SwaptionNumOfMonths+1,$FJ191&gt;SwaptionFirstMonthPosition+SwaptionNumOfMonths+1),"",IF($FJ191=GD$169,1,IF($FJ191&lt;GD$169,INDEX($FK$170:$ID$241,GD$169,$FJ191),SUMPRODUCT(INDEX($FK$325:$ID$396,GD$169,1+SwaptionShift):INDEX($FK$325:$ID$396,GD$169,SwaptionMonthsToGo+SwaptionShift),INDEX($FK$245:$ID$316,$FJ191-GD$169,73-GD$169+SwaptionShift):INDEX($FK$245:$ID$316,$FJ191-GD$169,72-GD$169+SwaptionMonthsToGo+SwaptionShift))/SQRT(SUM(INDEX($FK346:$ID346,1+SwaptionShift):INDEX($FK346:$ID346,SwaptionMonthsToGo+SwaptionShift))*SUM(INDEX($FK$325:$ID$396,GD$169,1+SwaptionShift):INDEX($FK$325:$ID$396,GD$169,SwaptionMonthsToGo+SwaptionShift))))))</f>
        <v/>
      </c>
      <c r="GE191" s="479" t="str">
        <f ca="1">IF(OR(GE$169&lt;SwaptionFirstMonthPosition+1,$FJ191&lt;SwaptionFirstMonthPosition+1,GE$169&gt;SwaptionFirstMonthPosition+SwaptionNumOfMonths+1,$FJ191&gt;SwaptionFirstMonthPosition+SwaptionNumOfMonths+1),"",IF($FJ191=GE$169,1,IF($FJ191&lt;GE$169,INDEX($FK$170:$ID$241,GE$169,$FJ191),SUMPRODUCT(INDEX($FK$325:$ID$396,GE$169,1+SwaptionShift):INDEX($FK$325:$ID$396,GE$169,SwaptionMonthsToGo+SwaptionShift),INDEX($FK$245:$ID$316,$FJ191-GE$169,73-GE$169+SwaptionShift):INDEX($FK$245:$ID$316,$FJ191-GE$169,72-GE$169+SwaptionMonthsToGo+SwaptionShift))/SQRT(SUM(INDEX($FK346:$ID346,1+SwaptionShift):INDEX($FK346:$ID346,SwaptionMonthsToGo+SwaptionShift))*SUM(INDEX($FK$325:$ID$396,GE$169,1+SwaptionShift):INDEX($FK$325:$ID$396,GE$169,SwaptionMonthsToGo+SwaptionShift))))))</f>
        <v/>
      </c>
      <c r="GF191" s="479" t="str">
        <f ca="1">IF(OR(GF$169&lt;SwaptionFirstMonthPosition+1,$FJ191&lt;SwaptionFirstMonthPosition+1,GF$169&gt;SwaptionFirstMonthPosition+SwaptionNumOfMonths+1,$FJ191&gt;SwaptionFirstMonthPosition+SwaptionNumOfMonths+1),"",IF($FJ191=GF$169,1,IF($FJ191&lt;GF$169,INDEX($FK$170:$ID$241,GF$169,$FJ191),SUMPRODUCT(INDEX($FK$325:$ID$396,GF$169,1+SwaptionShift):INDEX($FK$325:$ID$396,GF$169,SwaptionMonthsToGo+SwaptionShift),INDEX($FK$245:$ID$316,$FJ191-GF$169,73-GF$169+SwaptionShift):INDEX($FK$245:$ID$316,$FJ191-GF$169,72-GF$169+SwaptionMonthsToGo+SwaptionShift))/SQRT(SUM(INDEX($FK346:$ID346,1+SwaptionShift):INDEX($FK346:$ID346,SwaptionMonthsToGo+SwaptionShift))*SUM(INDEX($FK$325:$ID$396,GF$169,1+SwaptionShift):INDEX($FK$325:$ID$396,GF$169,SwaptionMonthsToGo+SwaptionShift))))))</f>
        <v/>
      </c>
      <c r="GG191" s="479" t="str">
        <f ca="1">IF(OR(GG$169&lt;SwaptionFirstMonthPosition+1,$FJ191&lt;SwaptionFirstMonthPosition+1,GG$169&gt;SwaptionFirstMonthPosition+SwaptionNumOfMonths+1,$FJ191&gt;SwaptionFirstMonthPosition+SwaptionNumOfMonths+1),"",IF($FJ191=GG$169,1,IF($FJ191&lt;GG$169,INDEX($FK$170:$ID$241,GG$169,$FJ191),SUMPRODUCT(INDEX($FK$325:$ID$396,GG$169,1+SwaptionShift):INDEX($FK$325:$ID$396,GG$169,SwaptionMonthsToGo+SwaptionShift),INDEX($FK$245:$ID$316,$FJ191-GG$169,73-GG$169+SwaptionShift):INDEX($FK$245:$ID$316,$FJ191-GG$169,72-GG$169+SwaptionMonthsToGo+SwaptionShift))/SQRT(SUM(INDEX($FK346:$ID346,1+SwaptionShift):INDEX($FK346:$ID346,SwaptionMonthsToGo+SwaptionShift))*SUM(INDEX($FK$325:$ID$396,GG$169,1+SwaptionShift):INDEX($FK$325:$ID$396,GG$169,SwaptionMonthsToGo+SwaptionShift))))))</f>
        <v/>
      </c>
      <c r="GH191" s="479" t="str">
        <f ca="1">IF(OR(GH$169&lt;SwaptionFirstMonthPosition+1,$FJ191&lt;SwaptionFirstMonthPosition+1,GH$169&gt;SwaptionFirstMonthPosition+SwaptionNumOfMonths+1,$FJ191&gt;SwaptionFirstMonthPosition+SwaptionNumOfMonths+1),"",IF($FJ191=GH$169,1,IF($FJ191&lt;GH$169,INDEX($FK$170:$ID$241,GH$169,$FJ191),SUMPRODUCT(INDEX($FK$325:$ID$396,GH$169,1+SwaptionShift):INDEX($FK$325:$ID$396,GH$169,SwaptionMonthsToGo+SwaptionShift),INDEX($FK$245:$ID$316,$FJ191-GH$169,73-GH$169+SwaptionShift):INDEX($FK$245:$ID$316,$FJ191-GH$169,72-GH$169+SwaptionMonthsToGo+SwaptionShift))/SQRT(SUM(INDEX($FK346:$ID346,1+SwaptionShift):INDEX($FK346:$ID346,SwaptionMonthsToGo+SwaptionShift))*SUM(INDEX($FK$325:$ID$396,GH$169,1+SwaptionShift):INDEX($FK$325:$ID$396,GH$169,SwaptionMonthsToGo+SwaptionShift))))))</f>
        <v/>
      </c>
      <c r="GI191" s="479" t="str">
        <f ca="1">IF(OR(GI$169&lt;SwaptionFirstMonthPosition+1,$FJ191&lt;SwaptionFirstMonthPosition+1,GI$169&gt;SwaptionFirstMonthPosition+SwaptionNumOfMonths+1,$FJ191&gt;SwaptionFirstMonthPosition+SwaptionNumOfMonths+1),"",IF($FJ191=GI$169,1,IF($FJ191&lt;GI$169,INDEX($FK$170:$ID$241,GI$169,$FJ191),SUMPRODUCT(INDEX($FK$325:$ID$396,GI$169,1+SwaptionShift):INDEX($FK$325:$ID$396,GI$169,SwaptionMonthsToGo+SwaptionShift),INDEX($FK$245:$ID$316,$FJ191-GI$169,73-GI$169+SwaptionShift):INDEX($FK$245:$ID$316,$FJ191-GI$169,72-GI$169+SwaptionMonthsToGo+SwaptionShift))/SQRT(SUM(INDEX($FK346:$ID346,1+SwaptionShift):INDEX($FK346:$ID346,SwaptionMonthsToGo+SwaptionShift))*SUM(INDEX($FK$325:$ID$396,GI$169,1+SwaptionShift):INDEX($FK$325:$ID$396,GI$169,SwaptionMonthsToGo+SwaptionShift))))))</f>
        <v/>
      </c>
      <c r="GJ191" s="479" t="str">
        <f ca="1">IF(OR(GJ$169&lt;SwaptionFirstMonthPosition+1,$FJ191&lt;SwaptionFirstMonthPosition+1,GJ$169&gt;SwaptionFirstMonthPosition+SwaptionNumOfMonths+1,$FJ191&gt;SwaptionFirstMonthPosition+SwaptionNumOfMonths+1),"",IF($FJ191=GJ$169,1,IF($FJ191&lt;GJ$169,INDEX($FK$170:$ID$241,GJ$169,$FJ191),SUMPRODUCT(INDEX($FK$325:$ID$396,GJ$169,1+SwaptionShift):INDEX($FK$325:$ID$396,GJ$169,SwaptionMonthsToGo+SwaptionShift),INDEX($FK$245:$ID$316,$FJ191-GJ$169,73-GJ$169+SwaptionShift):INDEX($FK$245:$ID$316,$FJ191-GJ$169,72-GJ$169+SwaptionMonthsToGo+SwaptionShift))/SQRT(SUM(INDEX($FK346:$ID346,1+SwaptionShift):INDEX($FK346:$ID346,SwaptionMonthsToGo+SwaptionShift))*SUM(INDEX($FK$325:$ID$396,GJ$169,1+SwaptionShift):INDEX($FK$325:$ID$396,GJ$169,SwaptionMonthsToGo+SwaptionShift))))))</f>
        <v/>
      </c>
      <c r="GK191" s="479" t="str">
        <f ca="1">IF(OR(GK$169&lt;SwaptionFirstMonthPosition+1,$FJ191&lt;SwaptionFirstMonthPosition+1,GK$169&gt;SwaptionFirstMonthPosition+SwaptionNumOfMonths+1,$FJ191&gt;SwaptionFirstMonthPosition+SwaptionNumOfMonths+1),"",IF($FJ191=GK$169,1,IF($FJ191&lt;GK$169,INDEX($FK$170:$ID$241,GK$169,$FJ191),SUMPRODUCT(INDEX($FK$325:$ID$396,GK$169,1+SwaptionShift):INDEX($FK$325:$ID$396,GK$169,SwaptionMonthsToGo+SwaptionShift),INDEX($FK$245:$ID$316,$FJ191-GK$169,73-GK$169+SwaptionShift):INDEX($FK$245:$ID$316,$FJ191-GK$169,72-GK$169+SwaptionMonthsToGo+SwaptionShift))/SQRT(SUM(INDEX($FK346:$ID346,1+SwaptionShift):INDEX($FK346:$ID346,SwaptionMonthsToGo+SwaptionShift))*SUM(INDEX($FK$325:$ID$396,GK$169,1+SwaptionShift):INDEX($FK$325:$ID$396,GK$169,SwaptionMonthsToGo+SwaptionShift))))))</f>
        <v/>
      </c>
      <c r="GL191" s="479" t="str">
        <f ca="1">IF(OR(GL$169&lt;SwaptionFirstMonthPosition+1,$FJ191&lt;SwaptionFirstMonthPosition+1,GL$169&gt;SwaptionFirstMonthPosition+SwaptionNumOfMonths+1,$FJ191&gt;SwaptionFirstMonthPosition+SwaptionNumOfMonths+1),"",IF($FJ191=GL$169,1,IF($FJ191&lt;GL$169,INDEX($FK$170:$ID$241,GL$169,$FJ191),SUMPRODUCT(INDEX($FK$325:$ID$396,GL$169,1+SwaptionShift):INDEX($FK$325:$ID$396,GL$169,SwaptionMonthsToGo+SwaptionShift),INDEX($FK$245:$ID$316,$FJ191-GL$169,73-GL$169+SwaptionShift):INDEX($FK$245:$ID$316,$FJ191-GL$169,72-GL$169+SwaptionMonthsToGo+SwaptionShift))/SQRT(SUM(INDEX($FK346:$ID346,1+SwaptionShift):INDEX($FK346:$ID346,SwaptionMonthsToGo+SwaptionShift))*SUM(INDEX($FK$325:$ID$396,GL$169,1+SwaptionShift):INDEX($FK$325:$ID$396,GL$169,SwaptionMonthsToGo+SwaptionShift))))))</f>
        <v/>
      </c>
      <c r="GM191" s="479" t="str">
        <f ca="1">IF(OR(GM$169&lt;SwaptionFirstMonthPosition+1,$FJ191&lt;SwaptionFirstMonthPosition+1,GM$169&gt;SwaptionFirstMonthPosition+SwaptionNumOfMonths+1,$FJ191&gt;SwaptionFirstMonthPosition+SwaptionNumOfMonths+1),"",IF($FJ191=GM$169,1,IF($FJ191&lt;GM$169,INDEX($FK$170:$ID$241,GM$169,$FJ191),SUMPRODUCT(INDEX($FK$325:$ID$396,GM$169,1+SwaptionShift):INDEX($FK$325:$ID$396,GM$169,SwaptionMonthsToGo+SwaptionShift),INDEX($FK$245:$ID$316,$FJ191-GM$169,73-GM$169+SwaptionShift):INDEX($FK$245:$ID$316,$FJ191-GM$169,72-GM$169+SwaptionMonthsToGo+SwaptionShift))/SQRT(SUM(INDEX($FK346:$ID346,1+SwaptionShift):INDEX($FK346:$ID346,SwaptionMonthsToGo+SwaptionShift))*SUM(INDEX($FK$325:$ID$396,GM$169,1+SwaptionShift):INDEX($FK$325:$ID$396,GM$169,SwaptionMonthsToGo+SwaptionShift))))))</f>
        <v/>
      </c>
      <c r="GN191" s="479" t="str">
        <f ca="1">IF(OR(GN$169&lt;SwaptionFirstMonthPosition+1,$FJ191&lt;SwaptionFirstMonthPosition+1,GN$169&gt;SwaptionFirstMonthPosition+SwaptionNumOfMonths+1,$FJ191&gt;SwaptionFirstMonthPosition+SwaptionNumOfMonths+1),"",IF($FJ191=GN$169,1,IF($FJ191&lt;GN$169,INDEX($FK$170:$ID$241,GN$169,$FJ191),SUMPRODUCT(INDEX($FK$325:$ID$396,GN$169,1+SwaptionShift):INDEX($FK$325:$ID$396,GN$169,SwaptionMonthsToGo+SwaptionShift),INDEX($FK$245:$ID$316,$FJ191-GN$169,73-GN$169+SwaptionShift):INDEX($FK$245:$ID$316,$FJ191-GN$169,72-GN$169+SwaptionMonthsToGo+SwaptionShift))/SQRT(SUM(INDEX($FK346:$ID346,1+SwaptionShift):INDEX($FK346:$ID346,SwaptionMonthsToGo+SwaptionShift))*SUM(INDEX($FK$325:$ID$396,GN$169,1+SwaptionShift):INDEX($FK$325:$ID$396,GN$169,SwaptionMonthsToGo+SwaptionShift))))))</f>
        <v/>
      </c>
      <c r="GO191" s="479" t="str">
        <f ca="1">IF(OR(GO$169&lt;SwaptionFirstMonthPosition+1,$FJ191&lt;SwaptionFirstMonthPosition+1,GO$169&gt;SwaptionFirstMonthPosition+SwaptionNumOfMonths+1,$FJ191&gt;SwaptionFirstMonthPosition+SwaptionNumOfMonths+1),"",IF($FJ191=GO$169,1,IF($FJ191&lt;GO$169,INDEX($FK$170:$ID$241,GO$169,$FJ191),SUMPRODUCT(INDEX($FK$325:$ID$396,GO$169,1+SwaptionShift):INDEX($FK$325:$ID$396,GO$169,SwaptionMonthsToGo+SwaptionShift),INDEX($FK$245:$ID$316,$FJ191-GO$169,73-GO$169+SwaptionShift):INDEX($FK$245:$ID$316,$FJ191-GO$169,72-GO$169+SwaptionMonthsToGo+SwaptionShift))/SQRT(SUM(INDEX($FK346:$ID346,1+SwaptionShift):INDEX($FK346:$ID346,SwaptionMonthsToGo+SwaptionShift))*SUM(INDEX($FK$325:$ID$396,GO$169,1+SwaptionShift):INDEX($FK$325:$ID$396,GO$169,SwaptionMonthsToGo+SwaptionShift))))))</f>
        <v/>
      </c>
      <c r="GP191" s="479" t="str">
        <f ca="1">IF(OR(GP$169&lt;SwaptionFirstMonthPosition+1,$FJ191&lt;SwaptionFirstMonthPosition+1,GP$169&gt;SwaptionFirstMonthPosition+SwaptionNumOfMonths+1,$FJ191&gt;SwaptionFirstMonthPosition+SwaptionNumOfMonths+1),"",IF($FJ191=GP$169,1,IF($FJ191&lt;GP$169,INDEX($FK$170:$ID$241,GP$169,$FJ191),SUMPRODUCT(INDEX($FK$325:$ID$396,GP$169,1+SwaptionShift):INDEX($FK$325:$ID$396,GP$169,SwaptionMonthsToGo+SwaptionShift),INDEX($FK$245:$ID$316,$FJ191-GP$169,73-GP$169+SwaptionShift):INDEX($FK$245:$ID$316,$FJ191-GP$169,72-GP$169+SwaptionMonthsToGo+SwaptionShift))/SQRT(SUM(INDEX($FK346:$ID346,1+SwaptionShift):INDEX($FK346:$ID346,SwaptionMonthsToGo+SwaptionShift))*SUM(INDEX($FK$325:$ID$396,GP$169,1+SwaptionShift):INDEX($FK$325:$ID$396,GP$169,SwaptionMonthsToGo+SwaptionShift))))))</f>
        <v/>
      </c>
      <c r="GQ191" s="479" t="str">
        <f ca="1">IF(OR(GQ$169&lt;SwaptionFirstMonthPosition+1,$FJ191&lt;SwaptionFirstMonthPosition+1,GQ$169&gt;SwaptionFirstMonthPosition+SwaptionNumOfMonths+1,$FJ191&gt;SwaptionFirstMonthPosition+SwaptionNumOfMonths+1),"",IF($FJ191=GQ$169,1,IF($FJ191&lt;GQ$169,INDEX($FK$170:$ID$241,GQ$169,$FJ191),SUMPRODUCT(INDEX($FK$325:$ID$396,GQ$169,1+SwaptionShift):INDEX($FK$325:$ID$396,GQ$169,SwaptionMonthsToGo+SwaptionShift),INDEX($FK$245:$ID$316,$FJ191-GQ$169,73-GQ$169+SwaptionShift):INDEX($FK$245:$ID$316,$FJ191-GQ$169,72-GQ$169+SwaptionMonthsToGo+SwaptionShift))/SQRT(SUM(INDEX($FK346:$ID346,1+SwaptionShift):INDEX($FK346:$ID346,SwaptionMonthsToGo+SwaptionShift))*SUM(INDEX($FK$325:$ID$396,GQ$169,1+SwaptionShift):INDEX($FK$325:$ID$396,GQ$169,SwaptionMonthsToGo+SwaptionShift))))))</f>
        <v/>
      </c>
      <c r="GR191" s="479" t="str">
        <f ca="1">IF(OR(GR$169&lt;SwaptionFirstMonthPosition+1,$FJ191&lt;SwaptionFirstMonthPosition+1,GR$169&gt;SwaptionFirstMonthPosition+SwaptionNumOfMonths+1,$FJ191&gt;SwaptionFirstMonthPosition+SwaptionNumOfMonths+1),"",IF($FJ191=GR$169,1,IF($FJ191&lt;GR$169,INDEX($FK$170:$ID$241,GR$169,$FJ191),SUMPRODUCT(INDEX($FK$325:$ID$396,GR$169,1+SwaptionShift):INDEX($FK$325:$ID$396,GR$169,SwaptionMonthsToGo+SwaptionShift),INDEX($FK$245:$ID$316,$FJ191-GR$169,73-GR$169+SwaptionShift):INDEX($FK$245:$ID$316,$FJ191-GR$169,72-GR$169+SwaptionMonthsToGo+SwaptionShift))/SQRT(SUM(INDEX($FK346:$ID346,1+SwaptionShift):INDEX($FK346:$ID346,SwaptionMonthsToGo+SwaptionShift))*SUM(INDEX($FK$325:$ID$396,GR$169,1+SwaptionShift):INDEX($FK$325:$ID$396,GR$169,SwaptionMonthsToGo+SwaptionShift))))))</f>
        <v/>
      </c>
      <c r="GS191" s="479" t="str">
        <f ca="1">IF(OR(GS$169&lt;SwaptionFirstMonthPosition+1,$FJ191&lt;SwaptionFirstMonthPosition+1,GS$169&gt;SwaptionFirstMonthPosition+SwaptionNumOfMonths+1,$FJ191&gt;SwaptionFirstMonthPosition+SwaptionNumOfMonths+1),"",IF($FJ191=GS$169,1,IF($FJ191&lt;GS$169,INDEX($FK$170:$ID$241,GS$169,$FJ191),SUMPRODUCT(INDEX($FK$325:$ID$396,GS$169,1+SwaptionShift):INDEX($FK$325:$ID$396,GS$169,SwaptionMonthsToGo+SwaptionShift),INDEX($FK$245:$ID$316,$FJ191-GS$169,73-GS$169+SwaptionShift):INDEX($FK$245:$ID$316,$FJ191-GS$169,72-GS$169+SwaptionMonthsToGo+SwaptionShift))/SQRT(SUM(INDEX($FK346:$ID346,1+SwaptionShift):INDEX($FK346:$ID346,SwaptionMonthsToGo+SwaptionShift))*SUM(INDEX($FK$325:$ID$396,GS$169,1+SwaptionShift):INDEX($FK$325:$ID$396,GS$169,SwaptionMonthsToGo+SwaptionShift))))))</f>
        <v/>
      </c>
      <c r="GT191" s="479" t="str">
        <f ca="1">IF(OR(GT$169&lt;SwaptionFirstMonthPosition+1,$FJ191&lt;SwaptionFirstMonthPosition+1,GT$169&gt;SwaptionFirstMonthPosition+SwaptionNumOfMonths+1,$FJ191&gt;SwaptionFirstMonthPosition+SwaptionNumOfMonths+1),"",IF($FJ191=GT$169,1,IF($FJ191&lt;GT$169,INDEX($FK$170:$ID$241,GT$169,$FJ191),SUMPRODUCT(INDEX($FK$325:$ID$396,GT$169,1+SwaptionShift):INDEX($FK$325:$ID$396,GT$169,SwaptionMonthsToGo+SwaptionShift),INDEX($FK$245:$ID$316,$FJ191-GT$169,73-GT$169+SwaptionShift):INDEX($FK$245:$ID$316,$FJ191-GT$169,72-GT$169+SwaptionMonthsToGo+SwaptionShift))/SQRT(SUM(INDEX($FK346:$ID346,1+SwaptionShift):INDEX($FK346:$ID346,SwaptionMonthsToGo+SwaptionShift))*SUM(INDEX($FK$325:$ID$396,GT$169,1+SwaptionShift):INDEX($FK$325:$ID$396,GT$169,SwaptionMonthsToGo+SwaptionShift))))))</f>
        <v/>
      </c>
      <c r="GU191" s="479" t="str">
        <f ca="1">IF(OR(GU$169&lt;SwaptionFirstMonthPosition+1,$FJ191&lt;SwaptionFirstMonthPosition+1,GU$169&gt;SwaptionFirstMonthPosition+SwaptionNumOfMonths+1,$FJ191&gt;SwaptionFirstMonthPosition+SwaptionNumOfMonths+1),"",IF($FJ191=GU$169,1,IF($FJ191&lt;GU$169,INDEX($FK$170:$ID$241,GU$169,$FJ191),SUMPRODUCT(INDEX($FK$325:$ID$396,GU$169,1+SwaptionShift):INDEX($FK$325:$ID$396,GU$169,SwaptionMonthsToGo+SwaptionShift),INDEX($FK$245:$ID$316,$FJ191-GU$169,73-GU$169+SwaptionShift):INDEX($FK$245:$ID$316,$FJ191-GU$169,72-GU$169+SwaptionMonthsToGo+SwaptionShift))/SQRT(SUM(INDEX($FK346:$ID346,1+SwaptionShift):INDEX($FK346:$ID346,SwaptionMonthsToGo+SwaptionShift))*SUM(INDEX($FK$325:$ID$396,GU$169,1+SwaptionShift):INDEX($FK$325:$ID$396,GU$169,SwaptionMonthsToGo+SwaptionShift))))))</f>
        <v/>
      </c>
      <c r="GV191" s="479" t="str">
        <f ca="1">IF(OR(GV$169&lt;SwaptionFirstMonthPosition+1,$FJ191&lt;SwaptionFirstMonthPosition+1,GV$169&gt;SwaptionFirstMonthPosition+SwaptionNumOfMonths+1,$FJ191&gt;SwaptionFirstMonthPosition+SwaptionNumOfMonths+1),"",IF($FJ191=GV$169,1,IF($FJ191&lt;GV$169,INDEX($FK$170:$ID$241,GV$169,$FJ191),SUMPRODUCT(INDEX($FK$325:$ID$396,GV$169,1+SwaptionShift):INDEX($FK$325:$ID$396,GV$169,SwaptionMonthsToGo+SwaptionShift),INDEX($FK$245:$ID$316,$FJ191-GV$169,73-GV$169+SwaptionShift):INDEX($FK$245:$ID$316,$FJ191-GV$169,72-GV$169+SwaptionMonthsToGo+SwaptionShift))/SQRT(SUM(INDEX($FK346:$ID346,1+SwaptionShift):INDEX($FK346:$ID346,SwaptionMonthsToGo+SwaptionShift))*SUM(INDEX($FK$325:$ID$396,GV$169,1+SwaptionShift):INDEX($FK$325:$ID$396,GV$169,SwaptionMonthsToGo+SwaptionShift))))))</f>
        <v/>
      </c>
      <c r="GW191" s="479" t="str">
        <f ca="1">IF(OR(GW$169&lt;SwaptionFirstMonthPosition+1,$FJ191&lt;SwaptionFirstMonthPosition+1,GW$169&gt;SwaptionFirstMonthPosition+SwaptionNumOfMonths+1,$FJ191&gt;SwaptionFirstMonthPosition+SwaptionNumOfMonths+1),"",IF($FJ191=GW$169,1,IF($FJ191&lt;GW$169,INDEX($FK$170:$ID$241,GW$169,$FJ191),SUMPRODUCT(INDEX($FK$325:$ID$396,GW$169,1+SwaptionShift):INDEX($FK$325:$ID$396,GW$169,SwaptionMonthsToGo+SwaptionShift),INDEX($FK$245:$ID$316,$FJ191-GW$169,73-GW$169+SwaptionShift):INDEX($FK$245:$ID$316,$FJ191-GW$169,72-GW$169+SwaptionMonthsToGo+SwaptionShift))/SQRT(SUM(INDEX($FK346:$ID346,1+SwaptionShift):INDEX($FK346:$ID346,SwaptionMonthsToGo+SwaptionShift))*SUM(INDEX($FK$325:$ID$396,GW$169,1+SwaptionShift):INDEX($FK$325:$ID$396,GW$169,SwaptionMonthsToGo+SwaptionShift))))))</f>
        <v/>
      </c>
      <c r="GX191" s="479" t="str">
        <f ca="1">IF(OR(GX$169&lt;SwaptionFirstMonthPosition+1,$FJ191&lt;SwaptionFirstMonthPosition+1,GX$169&gt;SwaptionFirstMonthPosition+SwaptionNumOfMonths+1,$FJ191&gt;SwaptionFirstMonthPosition+SwaptionNumOfMonths+1),"",IF($FJ191=GX$169,1,IF($FJ191&lt;GX$169,INDEX($FK$170:$ID$241,GX$169,$FJ191),SUMPRODUCT(INDEX($FK$325:$ID$396,GX$169,1+SwaptionShift):INDEX($FK$325:$ID$396,GX$169,SwaptionMonthsToGo+SwaptionShift),INDEX($FK$245:$ID$316,$FJ191-GX$169,73-GX$169+SwaptionShift):INDEX($FK$245:$ID$316,$FJ191-GX$169,72-GX$169+SwaptionMonthsToGo+SwaptionShift))/SQRT(SUM(INDEX($FK346:$ID346,1+SwaptionShift):INDEX($FK346:$ID346,SwaptionMonthsToGo+SwaptionShift))*SUM(INDEX($FK$325:$ID$396,GX$169,1+SwaptionShift):INDEX($FK$325:$ID$396,GX$169,SwaptionMonthsToGo+SwaptionShift))))))</f>
        <v/>
      </c>
      <c r="GY191" s="479" t="str">
        <f ca="1">IF(OR(GY$169&lt;SwaptionFirstMonthPosition+1,$FJ191&lt;SwaptionFirstMonthPosition+1,GY$169&gt;SwaptionFirstMonthPosition+SwaptionNumOfMonths+1,$FJ191&gt;SwaptionFirstMonthPosition+SwaptionNumOfMonths+1),"",IF($FJ191=GY$169,1,IF($FJ191&lt;GY$169,INDEX($FK$170:$ID$241,GY$169,$FJ191),SUMPRODUCT(INDEX($FK$325:$ID$396,GY$169,1+SwaptionShift):INDEX($FK$325:$ID$396,GY$169,SwaptionMonthsToGo+SwaptionShift),INDEX($FK$245:$ID$316,$FJ191-GY$169,73-GY$169+SwaptionShift):INDEX($FK$245:$ID$316,$FJ191-GY$169,72-GY$169+SwaptionMonthsToGo+SwaptionShift))/SQRT(SUM(INDEX($FK346:$ID346,1+SwaptionShift):INDEX($FK346:$ID346,SwaptionMonthsToGo+SwaptionShift))*SUM(INDEX($FK$325:$ID$396,GY$169,1+SwaptionShift):INDEX($FK$325:$ID$396,GY$169,SwaptionMonthsToGo+SwaptionShift))))))</f>
        <v/>
      </c>
      <c r="GZ191" s="479" t="str">
        <f ca="1">IF(OR(GZ$169&lt;SwaptionFirstMonthPosition+1,$FJ191&lt;SwaptionFirstMonthPosition+1,GZ$169&gt;SwaptionFirstMonthPosition+SwaptionNumOfMonths+1,$FJ191&gt;SwaptionFirstMonthPosition+SwaptionNumOfMonths+1),"",IF($FJ191=GZ$169,1,IF($FJ191&lt;GZ$169,INDEX($FK$170:$ID$241,GZ$169,$FJ191),SUMPRODUCT(INDEX($FK$325:$ID$396,GZ$169,1+SwaptionShift):INDEX($FK$325:$ID$396,GZ$169,SwaptionMonthsToGo+SwaptionShift),INDEX($FK$245:$ID$316,$FJ191-GZ$169,73-GZ$169+SwaptionShift):INDEX($FK$245:$ID$316,$FJ191-GZ$169,72-GZ$169+SwaptionMonthsToGo+SwaptionShift))/SQRT(SUM(INDEX($FK346:$ID346,1+SwaptionShift):INDEX($FK346:$ID346,SwaptionMonthsToGo+SwaptionShift))*SUM(INDEX($FK$325:$ID$396,GZ$169,1+SwaptionShift):INDEX($FK$325:$ID$396,GZ$169,SwaptionMonthsToGo+SwaptionShift))))))</f>
        <v/>
      </c>
      <c r="HA191" s="479" t="str">
        <f ca="1">IF(OR(HA$169&lt;SwaptionFirstMonthPosition+1,$FJ191&lt;SwaptionFirstMonthPosition+1,HA$169&gt;SwaptionFirstMonthPosition+SwaptionNumOfMonths+1,$FJ191&gt;SwaptionFirstMonthPosition+SwaptionNumOfMonths+1),"",IF($FJ191=HA$169,1,IF($FJ191&lt;HA$169,INDEX($FK$170:$ID$241,HA$169,$FJ191),SUMPRODUCT(INDEX($FK$325:$ID$396,HA$169,1+SwaptionShift):INDEX($FK$325:$ID$396,HA$169,SwaptionMonthsToGo+SwaptionShift),INDEX($FK$245:$ID$316,$FJ191-HA$169,73-HA$169+SwaptionShift):INDEX($FK$245:$ID$316,$FJ191-HA$169,72-HA$169+SwaptionMonthsToGo+SwaptionShift))/SQRT(SUM(INDEX($FK346:$ID346,1+SwaptionShift):INDEX($FK346:$ID346,SwaptionMonthsToGo+SwaptionShift))*SUM(INDEX($FK$325:$ID$396,HA$169,1+SwaptionShift):INDEX($FK$325:$ID$396,HA$169,SwaptionMonthsToGo+SwaptionShift))))))</f>
        <v/>
      </c>
      <c r="HB191" s="479" t="str">
        <f ca="1">IF(OR(HB$169&lt;SwaptionFirstMonthPosition+1,$FJ191&lt;SwaptionFirstMonthPosition+1,HB$169&gt;SwaptionFirstMonthPosition+SwaptionNumOfMonths+1,$FJ191&gt;SwaptionFirstMonthPosition+SwaptionNumOfMonths+1),"",IF($FJ191=HB$169,1,IF($FJ191&lt;HB$169,INDEX($FK$170:$ID$241,HB$169,$FJ191),SUMPRODUCT(INDEX($FK$325:$ID$396,HB$169,1+SwaptionShift):INDEX($FK$325:$ID$396,HB$169,SwaptionMonthsToGo+SwaptionShift),INDEX($FK$245:$ID$316,$FJ191-HB$169,73-HB$169+SwaptionShift):INDEX($FK$245:$ID$316,$FJ191-HB$169,72-HB$169+SwaptionMonthsToGo+SwaptionShift))/SQRT(SUM(INDEX($FK346:$ID346,1+SwaptionShift):INDEX($FK346:$ID346,SwaptionMonthsToGo+SwaptionShift))*SUM(INDEX($FK$325:$ID$396,HB$169,1+SwaptionShift):INDEX($FK$325:$ID$396,HB$169,SwaptionMonthsToGo+SwaptionShift))))))</f>
        <v/>
      </c>
      <c r="HC191" s="479" t="str">
        <f ca="1">IF(OR(HC$169&lt;SwaptionFirstMonthPosition+1,$FJ191&lt;SwaptionFirstMonthPosition+1,HC$169&gt;SwaptionFirstMonthPosition+SwaptionNumOfMonths+1,$FJ191&gt;SwaptionFirstMonthPosition+SwaptionNumOfMonths+1),"",IF($FJ191=HC$169,1,IF($FJ191&lt;HC$169,INDEX($FK$170:$ID$241,HC$169,$FJ191),SUMPRODUCT(INDEX($FK$325:$ID$396,HC$169,1+SwaptionShift):INDEX($FK$325:$ID$396,HC$169,SwaptionMonthsToGo+SwaptionShift),INDEX($FK$245:$ID$316,$FJ191-HC$169,73-HC$169+SwaptionShift):INDEX($FK$245:$ID$316,$FJ191-HC$169,72-HC$169+SwaptionMonthsToGo+SwaptionShift))/SQRT(SUM(INDEX($FK346:$ID346,1+SwaptionShift):INDEX($FK346:$ID346,SwaptionMonthsToGo+SwaptionShift))*SUM(INDEX($FK$325:$ID$396,HC$169,1+SwaptionShift):INDEX($FK$325:$ID$396,HC$169,SwaptionMonthsToGo+SwaptionShift))))))</f>
        <v/>
      </c>
      <c r="HD191" s="479" t="str">
        <f ca="1">IF(OR(HD$169&lt;SwaptionFirstMonthPosition+1,$FJ191&lt;SwaptionFirstMonthPosition+1,HD$169&gt;SwaptionFirstMonthPosition+SwaptionNumOfMonths+1,$FJ191&gt;SwaptionFirstMonthPosition+SwaptionNumOfMonths+1),"",IF($FJ191=HD$169,1,IF($FJ191&lt;HD$169,INDEX($FK$170:$ID$241,HD$169,$FJ191),SUMPRODUCT(INDEX($FK$325:$ID$396,HD$169,1+SwaptionShift):INDEX($FK$325:$ID$396,HD$169,SwaptionMonthsToGo+SwaptionShift),INDEX($FK$245:$ID$316,$FJ191-HD$169,73-HD$169+SwaptionShift):INDEX($FK$245:$ID$316,$FJ191-HD$169,72-HD$169+SwaptionMonthsToGo+SwaptionShift))/SQRT(SUM(INDEX($FK346:$ID346,1+SwaptionShift):INDEX($FK346:$ID346,SwaptionMonthsToGo+SwaptionShift))*SUM(INDEX($FK$325:$ID$396,HD$169,1+SwaptionShift):INDEX($FK$325:$ID$396,HD$169,SwaptionMonthsToGo+SwaptionShift))))))</f>
        <v/>
      </c>
      <c r="HE191" s="479" t="str">
        <f ca="1">IF(OR(HE$169&lt;SwaptionFirstMonthPosition+1,$FJ191&lt;SwaptionFirstMonthPosition+1,HE$169&gt;SwaptionFirstMonthPosition+SwaptionNumOfMonths+1,$FJ191&gt;SwaptionFirstMonthPosition+SwaptionNumOfMonths+1),"",IF($FJ191=HE$169,1,IF($FJ191&lt;HE$169,INDEX($FK$170:$ID$241,HE$169,$FJ191),SUMPRODUCT(INDEX($FK$325:$ID$396,HE$169,1+SwaptionShift):INDEX($FK$325:$ID$396,HE$169,SwaptionMonthsToGo+SwaptionShift),INDEX($FK$245:$ID$316,$FJ191-HE$169,73-HE$169+SwaptionShift):INDEX($FK$245:$ID$316,$FJ191-HE$169,72-HE$169+SwaptionMonthsToGo+SwaptionShift))/SQRT(SUM(INDEX($FK346:$ID346,1+SwaptionShift):INDEX($FK346:$ID346,SwaptionMonthsToGo+SwaptionShift))*SUM(INDEX($FK$325:$ID$396,HE$169,1+SwaptionShift):INDEX($FK$325:$ID$396,HE$169,SwaptionMonthsToGo+SwaptionShift))))))</f>
        <v/>
      </c>
      <c r="HF191" s="479" t="str">
        <f ca="1">IF(OR(HF$169&lt;SwaptionFirstMonthPosition+1,$FJ191&lt;SwaptionFirstMonthPosition+1,HF$169&gt;SwaptionFirstMonthPosition+SwaptionNumOfMonths+1,$FJ191&gt;SwaptionFirstMonthPosition+SwaptionNumOfMonths+1),"",IF($FJ191=HF$169,1,IF($FJ191&lt;HF$169,INDEX($FK$170:$ID$241,HF$169,$FJ191),SUMPRODUCT(INDEX($FK$325:$ID$396,HF$169,1+SwaptionShift):INDEX($FK$325:$ID$396,HF$169,SwaptionMonthsToGo+SwaptionShift),INDEX($FK$245:$ID$316,$FJ191-HF$169,73-HF$169+SwaptionShift):INDEX($FK$245:$ID$316,$FJ191-HF$169,72-HF$169+SwaptionMonthsToGo+SwaptionShift))/SQRT(SUM(INDEX($FK346:$ID346,1+SwaptionShift):INDEX($FK346:$ID346,SwaptionMonthsToGo+SwaptionShift))*SUM(INDEX($FK$325:$ID$396,HF$169,1+SwaptionShift):INDEX($FK$325:$ID$396,HF$169,SwaptionMonthsToGo+SwaptionShift))))))</f>
        <v/>
      </c>
      <c r="HG191" s="479" t="str">
        <f ca="1">IF(OR(HG$169&lt;SwaptionFirstMonthPosition+1,$FJ191&lt;SwaptionFirstMonthPosition+1,HG$169&gt;SwaptionFirstMonthPosition+SwaptionNumOfMonths+1,$FJ191&gt;SwaptionFirstMonthPosition+SwaptionNumOfMonths+1),"",IF($FJ191=HG$169,1,IF($FJ191&lt;HG$169,INDEX($FK$170:$ID$241,HG$169,$FJ191),SUMPRODUCT(INDEX($FK$325:$ID$396,HG$169,1+SwaptionShift):INDEX($FK$325:$ID$396,HG$169,SwaptionMonthsToGo+SwaptionShift),INDEX($FK$245:$ID$316,$FJ191-HG$169,73-HG$169+SwaptionShift):INDEX($FK$245:$ID$316,$FJ191-HG$169,72-HG$169+SwaptionMonthsToGo+SwaptionShift))/SQRT(SUM(INDEX($FK346:$ID346,1+SwaptionShift):INDEX($FK346:$ID346,SwaptionMonthsToGo+SwaptionShift))*SUM(INDEX($FK$325:$ID$396,HG$169,1+SwaptionShift):INDEX($FK$325:$ID$396,HG$169,SwaptionMonthsToGo+SwaptionShift))))))</f>
        <v/>
      </c>
      <c r="HH191" s="479" t="str">
        <f ca="1">IF(OR(HH$169&lt;SwaptionFirstMonthPosition+1,$FJ191&lt;SwaptionFirstMonthPosition+1,HH$169&gt;SwaptionFirstMonthPosition+SwaptionNumOfMonths+1,$FJ191&gt;SwaptionFirstMonthPosition+SwaptionNumOfMonths+1),"",IF($FJ191=HH$169,1,IF($FJ191&lt;HH$169,INDEX($FK$170:$ID$241,HH$169,$FJ191),SUMPRODUCT(INDEX($FK$325:$ID$396,HH$169,1+SwaptionShift):INDEX($FK$325:$ID$396,HH$169,SwaptionMonthsToGo+SwaptionShift),INDEX($FK$245:$ID$316,$FJ191-HH$169,73-HH$169+SwaptionShift):INDEX($FK$245:$ID$316,$FJ191-HH$169,72-HH$169+SwaptionMonthsToGo+SwaptionShift))/SQRT(SUM(INDEX($FK346:$ID346,1+SwaptionShift):INDEX($FK346:$ID346,SwaptionMonthsToGo+SwaptionShift))*SUM(INDEX($FK$325:$ID$396,HH$169,1+SwaptionShift):INDEX($FK$325:$ID$396,HH$169,SwaptionMonthsToGo+SwaptionShift))))))</f>
        <v/>
      </c>
      <c r="HI191" s="479" t="str">
        <f ca="1">IF(OR(HI$169&lt;SwaptionFirstMonthPosition+1,$FJ191&lt;SwaptionFirstMonthPosition+1,HI$169&gt;SwaptionFirstMonthPosition+SwaptionNumOfMonths+1,$FJ191&gt;SwaptionFirstMonthPosition+SwaptionNumOfMonths+1),"",IF($FJ191=HI$169,1,IF($FJ191&lt;HI$169,INDEX($FK$170:$ID$241,HI$169,$FJ191),SUMPRODUCT(INDEX($FK$325:$ID$396,HI$169,1+SwaptionShift):INDEX($FK$325:$ID$396,HI$169,SwaptionMonthsToGo+SwaptionShift),INDEX($FK$245:$ID$316,$FJ191-HI$169,73-HI$169+SwaptionShift):INDEX($FK$245:$ID$316,$FJ191-HI$169,72-HI$169+SwaptionMonthsToGo+SwaptionShift))/SQRT(SUM(INDEX($FK346:$ID346,1+SwaptionShift):INDEX($FK346:$ID346,SwaptionMonthsToGo+SwaptionShift))*SUM(INDEX($FK$325:$ID$396,HI$169,1+SwaptionShift):INDEX($FK$325:$ID$396,HI$169,SwaptionMonthsToGo+SwaptionShift))))))</f>
        <v/>
      </c>
      <c r="HJ191" s="479" t="str">
        <f ca="1">IF(OR(HJ$169&lt;SwaptionFirstMonthPosition+1,$FJ191&lt;SwaptionFirstMonthPosition+1,HJ$169&gt;SwaptionFirstMonthPosition+SwaptionNumOfMonths+1,$FJ191&gt;SwaptionFirstMonthPosition+SwaptionNumOfMonths+1),"",IF($FJ191=HJ$169,1,IF($FJ191&lt;HJ$169,INDEX($FK$170:$ID$241,HJ$169,$FJ191),SUMPRODUCT(INDEX($FK$325:$ID$396,HJ$169,1+SwaptionShift):INDEX($FK$325:$ID$396,HJ$169,SwaptionMonthsToGo+SwaptionShift),INDEX($FK$245:$ID$316,$FJ191-HJ$169,73-HJ$169+SwaptionShift):INDEX($FK$245:$ID$316,$FJ191-HJ$169,72-HJ$169+SwaptionMonthsToGo+SwaptionShift))/SQRT(SUM(INDEX($FK346:$ID346,1+SwaptionShift):INDEX($FK346:$ID346,SwaptionMonthsToGo+SwaptionShift))*SUM(INDEX($FK$325:$ID$396,HJ$169,1+SwaptionShift):INDEX($FK$325:$ID$396,HJ$169,SwaptionMonthsToGo+SwaptionShift))))))</f>
        <v/>
      </c>
      <c r="HK191" s="479" t="str">
        <f ca="1">IF(OR(HK$169&lt;SwaptionFirstMonthPosition+1,$FJ191&lt;SwaptionFirstMonthPosition+1,HK$169&gt;SwaptionFirstMonthPosition+SwaptionNumOfMonths+1,$FJ191&gt;SwaptionFirstMonthPosition+SwaptionNumOfMonths+1),"",IF($FJ191=HK$169,1,IF($FJ191&lt;HK$169,INDEX($FK$170:$ID$241,HK$169,$FJ191),SUMPRODUCT(INDEX($FK$325:$ID$396,HK$169,1+SwaptionShift):INDEX($FK$325:$ID$396,HK$169,SwaptionMonthsToGo+SwaptionShift),INDEX($FK$245:$ID$316,$FJ191-HK$169,73-HK$169+SwaptionShift):INDEX($FK$245:$ID$316,$FJ191-HK$169,72-HK$169+SwaptionMonthsToGo+SwaptionShift))/SQRT(SUM(INDEX($FK346:$ID346,1+SwaptionShift):INDEX($FK346:$ID346,SwaptionMonthsToGo+SwaptionShift))*SUM(INDEX($FK$325:$ID$396,HK$169,1+SwaptionShift):INDEX($FK$325:$ID$396,HK$169,SwaptionMonthsToGo+SwaptionShift))))))</f>
        <v/>
      </c>
      <c r="HL191" s="479" t="str">
        <f ca="1">IF(OR(HL$169&lt;SwaptionFirstMonthPosition+1,$FJ191&lt;SwaptionFirstMonthPosition+1,HL$169&gt;SwaptionFirstMonthPosition+SwaptionNumOfMonths+1,$FJ191&gt;SwaptionFirstMonthPosition+SwaptionNumOfMonths+1),"",IF($FJ191=HL$169,1,IF($FJ191&lt;HL$169,INDEX($FK$170:$ID$241,HL$169,$FJ191),SUMPRODUCT(INDEX($FK$325:$ID$396,HL$169,1+SwaptionShift):INDEX($FK$325:$ID$396,HL$169,SwaptionMonthsToGo+SwaptionShift),INDEX($FK$245:$ID$316,$FJ191-HL$169,73-HL$169+SwaptionShift):INDEX($FK$245:$ID$316,$FJ191-HL$169,72-HL$169+SwaptionMonthsToGo+SwaptionShift))/SQRT(SUM(INDEX($FK346:$ID346,1+SwaptionShift):INDEX($FK346:$ID346,SwaptionMonthsToGo+SwaptionShift))*SUM(INDEX($FK$325:$ID$396,HL$169,1+SwaptionShift):INDEX($FK$325:$ID$396,HL$169,SwaptionMonthsToGo+SwaptionShift))))))</f>
        <v/>
      </c>
      <c r="HM191" s="479" t="str">
        <f ca="1">IF(OR(HM$169&lt;SwaptionFirstMonthPosition+1,$FJ191&lt;SwaptionFirstMonthPosition+1,HM$169&gt;SwaptionFirstMonthPosition+SwaptionNumOfMonths+1,$FJ191&gt;SwaptionFirstMonthPosition+SwaptionNumOfMonths+1),"",IF($FJ191=HM$169,1,IF($FJ191&lt;HM$169,INDEX($FK$170:$ID$241,HM$169,$FJ191),SUMPRODUCT(INDEX($FK$325:$ID$396,HM$169,1+SwaptionShift):INDEX($FK$325:$ID$396,HM$169,SwaptionMonthsToGo+SwaptionShift),INDEX($FK$245:$ID$316,$FJ191-HM$169,73-HM$169+SwaptionShift):INDEX($FK$245:$ID$316,$FJ191-HM$169,72-HM$169+SwaptionMonthsToGo+SwaptionShift))/SQRT(SUM(INDEX($FK346:$ID346,1+SwaptionShift):INDEX($FK346:$ID346,SwaptionMonthsToGo+SwaptionShift))*SUM(INDEX($FK$325:$ID$396,HM$169,1+SwaptionShift):INDEX($FK$325:$ID$396,HM$169,SwaptionMonthsToGo+SwaptionShift))))))</f>
        <v/>
      </c>
      <c r="HN191" s="479" t="str">
        <f ca="1">IF(OR(HN$169&lt;SwaptionFirstMonthPosition+1,$FJ191&lt;SwaptionFirstMonthPosition+1,HN$169&gt;SwaptionFirstMonthPosition+SwaptionNumOfMonths+1,$FJ191&gt;SwaptionFirstMonthPosition+SwaptionNumOfMonths+1),"",IF($FJ191=HN$169,1,IF($FJ191&lt;HN$169,INDEX($FK$170:$ID$241,HN$169,$FJ191),SUMPRODUCT(INDEX($FK$325:$ID$396,HN$169,1+SwaptionShift):INDEX($FK$325:$ID$396,HN$169,SwaptionMonthsToGo+SwaptionShift),INDEX($FK$245:$ID$316,$FJ191-HN$169,73-HN$169+SwaptionShift):INDEX($FK$245:$ID$316,$FJ191-HN$169,72-HN$169+SwaptionMonthsToGo+SwaptionShift))/SQRT(SUM(INDEX($FK346:$ID346,1+SwaptionShift):INDEX($FK346:$ID346,SwaptionMonthsToGo+SwaptionShift))*SUM(INDEX($FK$325:$ID$396,HN$169,1+SwaptionShift):INDEX($FK$325:$ID$396,HN$169,SwaptionMonthsToGo+SwaptionShift))))))</f>
        <v/>
      </c>
      <c r="HO191" s="479" t="str">
        <f ca="1">IF(OR(HO$169&lt;SwaptionFirstMonthPosition+1,$FJ191&lt;SwaptionFirstMonthPosition+1,HO$169&gt;SwaptionFirstMonthPosition+SwaptionNumOfMonths+1,$FJ191&gt;SwaptionFirstMonthPosition+SwaptionNumOfMonths+1),"",IF($FJ191=HO$169,1,IF($FJ191&lt;HO$169,INDEX($FK$170:$ID$241,HO$169,$FJ191),SUMPRODUCT(INDEX($FK$325:$ID$396,HO$169,1+SwaptionShift):INDEX($FK$325:$ID$396,HO$169,SwaptionMonthsToGo+SwaptionShift),INDEX($FK$245:$ID$316,$FJ191-HO$169,73-HO$169+SwaptionShift):INDEX($FK$245:$ID$316,$FJ191-HO$169,72-HO$169+SwaptionMonthsToGo+SwaptionShift))/SQRT(SUM(INDEX($FK346:$ID346,1+SwaptionShift):INDEX($FK346:$ID346,SwaptionMonthsToGo+SwaptionShift))*SUM(INDEX($FK$325:$ID$396,HO$169,1+SwaptionShift):INDEX($FK$325:$ID$396,HO$169,SwaptionMonthsToGo+SwaptionShift))))))</f>
        <v/>
      </c>
      <c r="HP191" s="479" t="str">
        <f ca="1">IF(OR(HP$169&lt;SwaptionFirstMonthPosition+1,$FJ191&lt;SwaptionFirstMonthPosition+1,HP$169&gt;SwaptionFirstMonthPosition+SwaptionNumOfMonths+1,$FJ191&gt;SwaptionFirstMonthPosition+SwaptionNumOfMonths+1),"",IF($FJ191=HP$169,1,IF($FJ191&lt;HP$169,INDEX($FK$170:$ID$241,HP$169,$FJ191),SUMPRODUCT(INDEX($FK$325:$ID$396,HP$169,1+SwaptionShift):INDEX($FK$325:$ID$396,HP$169,SwaptionMonthsToGo+SwaptionShift),INDEX($FK$245:$ID$316,$FJ191-HP$169,73-HP$169+SwaptionShift):INDEX($FK$245:$ID$316,$FJ191-HP$169,72-HP$169+SwaptionMonthsToGo+SwaptionShift))/SQRT(SUM(INDEX($FK346:$ID346,1+SwaptionShift):INDEX($FK346:$ID346,SwaptionMonthsToGo+SwaptionShift))*SUM(INDEX($FK$325:$ID$396,HP$169,1+SwaptionShift):INDEX($FK$325:$ID$396,HP$169,SwaptionMonthsToGo+SwaptionShift))))))</f>
        <v/>
      </c>
      <c r="HQ191" s="479" t="str">
        <f ca="1">IF(OR(HQ$169&lt;SwaptionFirstMonthPosition+1,$FJ191&lt;SwaptionFirstMonthPosition+1,HQ$169&gt;SwaptionFirstMonthPosition+SwaptionNumOfMonths+1,$FJ191&gt;SwaptionFirstMonthPosition+SwaptionNumOfMonths+1),"",IF($FJ191=HQ$169,1,IF($FJ191&lt;HQ$169,INDEX($FK$170:$ID$241,HQ$169,$FJ191),SUMPRODUCT(INDEX($FK$325:$ID$396,HQ$169,1+SwaptionShift):INDEX($FK$325:$ID$396,HQ$169,SwaptionMonthsToGo+SwaptionShift),INDEX($FK$245:$ID$316,$FJ191-HQ$169,73-HQ$169+SwaptionShift):INDEX($FK$245:$ID$316,$FJ191-HQ$169,72-HQ$169+SwaptionMonthsToGo+SwaptionShift))/SQRT(SUM(INDEX($FK346:$ID346,1+SwaptionShift):INDEX($FK346:$ID346,SwaptionMonthsToGo+SwaptionShift))*SUM(INDEX($FK$325:$ID$396,HQ$169,1+SwaptionShift):INDEX($FK$325:$ID$396,HQ$169,SwaptionMonthsToGo+SwaptionShift))))))</f>
        <v/>
      </c>
      <c r="HR191" s="479" t="str">
        <f ca="1">IF(OR(HR$169&lt;SwaptionFirstMonthPosition+1,$FJ191&lt;SwaptionFirstMonthPosition+1,HR$169&gt;SwaptionFirstMonthPosition+SwaptionNumOfMonths+1,$FJ191&gt;SwaptionFirstMonthPosition+SwaptionNumOfMonths+1),"",IF($FJ191=HR$169,1,IF($FJ191&lt;HR$169,INDEX($FK$170:$ID$241,HR$169,$FJ191),SUMPRODUCT(INDEX($FK$325:$ID$396,HR$169,1+SwaptionShift):INDEX($FK$325:$ID$396,HR$169,SwaptionMonthsToGo+SwaptionShift),INDEX($FK$245:$ID$316,$FJ191-HR$169,73-HR$169+SwaptionShift):INDEX($FK$245:$ID$316,$FJ191-HR$169,72-HR$169+SwaptionMonthsToGo+SwaptionShift))/SQRT(SUM(INDEX($FK346:$ID346,1+SwaptionShift):INDEX($FK346:$ID346,SwaptionMonthsToGo+SwaptionShift))*SUM(INDEX($FK$325:$ID$396,HR$169,1+SwaptionShift):INDEX($FK$325:$ID$396,HR$169,SwaptionMonthsToGo+SwaptionShift))))))</f>
        <v/>
      </c>
      <c r="HS191" s="479" t="str">
        <f ca="1">IF(OR(HS$169&lt;SwaptionFirstMonthPosition+1,$FJ191&lt;SwaptionFirstMonthPosition+1,HS$169&gt;SwaptionFirstMonthPosition+SwaptionNumOfMonths+1,$FJ191&gt;SwaptionFirstMonthPosition+SwaptionNumOfMonths+1),"",IF($FJ191=HS$169,1,IF($FJ191&lt;HS$169,INDEX($FK$170:$ID$241,HS$169,$FJ191),SUMPRODUCT(INDEX($FK$325:$ID$396,HS$169,1+SwaptionShift):INDEX($FK$325:$ID$396,HS$169,SwaptionMonthsToGo+SwaptionShift),INDEX($FK$245:$ID$316,$FJ191-HS$169,73-HS$169+SwaptionShift):INDEX($FK$245:$ID$316,$FJ191-HS$169,72-HS$169+SwaptionMonthsToGo+SwaptionShift))/SQRT(SUM(INDEX($FK346:$ID346,1+SwaptionShift):INDEX($FK346:$ID346,SwaptionMonthsToGo+SwaptionShift))*SUM(INDEX($FK$325:$ID$396,HS$169,1+SwaptionShift):INDEX($FK$325:$ID$396,HS$169,SwaptionMonthsToGo+SwaptionShift))))))</f>
        <v/>
      </c>
      <c r="HT191" s="479" t="str">
        <f ca="1">IF(OR(HT$169&lt;SwaptionFirstMonthPosition+1,$FJ191&lt;SwaptionFirstMonthPosition+1,HT$169&gt;SwaptionFirstMonthPosition+SwaptionNumOfMonths+1,$FJ191&gt;SwaptionFirstMonthPosition+SwaptionNumOfMonths+1),"",IF($FJ191=HT$169,1,IF($FJ191&lt;HT$169,INDEX($FK$170:$ID$241,HT$169,$FJ191),SUMPRODUCT(INDEX($FK$325:$ID$396,HT$169,1+SwaptionShift):INDEX($FK$325:$ID$396,HT$169,SwaptionMonthsToGo+SwaptionShift),INDEX($FK$245:$ID$316,$FJ191-HT$169,73-HT$169+SwaptionShift):INDEX($FK$245:$ID$316,$FJ191-HT$169,72-HT$169+SwaptionMonthsToGo+SwaptionShift))/SQRT(SUM(INDEX($FK346:$ID346,1+SwaptionShift):INDEX($FK346:$ID346,SwaptionMonthsToGo+SwaptionShift))*SUM(INDEX($FK$325:$ID$396,HT$169,1+SwaptionShift):INDEX($FK$325:$ID$396,HT$169,SwaptionMonthsToGo+SwaptionShift))))))</f>
        <v/>
      </c>
      <c r="HU191" s="479" t="str">
        <f ca="1">IF(OR(HU$169&lt;SwaptionFirstMonthPosition+1,$FJ191&lt;SwaptionFirstMonthPosition+1,HU$169&gt;SwaptionFirstMonthPosition+SwaptionNumOfMonths+1,$FJ191&gt;SwaptionFirstMonthPosition+SwaptionNumOfMonths+1),"",IF($FJ191=HU$169,1,IF($FJ191&lt;HU$169,INDEX($FK$170:$ID$241,HU$169,$FJ191),SUMPRODUCT(INDEX($FK$325:$ID$396,HU$169,1+SwaptionShift):INDEX($FK$325:$ID$396,HU$169,SwaptionMonthsToGo+SwaptionShift),INDEX($FK$245:$ID$316,$FJ191-HU$169,73-HU$169+SwaptionShift):INDEX($FK$245:$ID$316,$FJ191-HU$169,72-HU$169+SwaptionMonthsToGo+SwaptionShift))/SQRT(SUM(INDEX($FK346:$ID346,1+SwaptionShift):INDEX($FK346:$ID346,SwaptionMonthsToGo+SwaptionShift))*SUM(INDEX($FK$325:$ID$396,HU$169,1+SwaptionShift):INDEX($FK$325:$ID$396,HU$169,SwaptionMonthsToGo+SwaptionShift))))))</f>
        <v/>
      </c>
      <c r="HV191" s="479" t="str">
        <f ca="1">IF(OR(HV$169&lt;SwaptionFirstMonthPosition+1,$FJ191&lt;SwaptionFirstMonthPosition+1,HV$169&gt;SwaptionFirstMonthPosition+SwaptionNumOfMonths+1,$FJ191&gt;SwaptionFirstMonthPosition+SwaptionNumOfMonths+1),"",IF($FJ191=HV$169,1,IF($FJ191&lt;HV$169,INDEX($FK$170:$ID$241,HV$169,$FJ191),SUMPRODUCT(INDEX($FK$325:$ID$396,HV$169,1+SwaptionShift):INDEX($FK$325:$ID$396,HV$169,SwaptionMonthsToGo+SwaptionShift),INDEX($FK$245:$ID$316,$FJ191-HV$169,73-HV$169+SwaptionShift):INDEX($FK$245:$ID$316,$FJ191-HV$169,72-HV$169+SwaptionMonthsToGo+SwaptionShift))/SQRT(SUM(INDEX($FK346:$ID346,1+SwaptionShift):INDEX($FK346:$ID346,SwaptionMonthsToGo+SwaptionShift))*SUM(INDEX($FK$325:$ID$396,HV$169,1+SwaptionShift):INDEX($FK$325:$ID$396,HV$169,SwaptionMonthsToGo+SwaptionShift))))))</f>
        <v/>
      </c>
      <c r="HW191" s="479" t="str">
        <f ca="1">IF(OR(HW$169&lt;SwaptionFirstMonthPosition+1,$FJ191&lt;SwaptionFirstMonthPosition+1,HW$169&gt;SwaptionFirstMonthPosition+SwaptionNumOfMonths+1,$FJ191&gt;SwaptionFirstMonthPosition+SwaptionNumOfMonths+1),"",IF($FJ191=HW$169,1,IF($FJ191&lt;HW$169,INDEX($FK$170:$ID$241,HW$169,$FJ191),SUMPRODUCT(INDEX($FK$325:$ID$396,HW$169,1+SwaptionShift):INDEX($FK$325:$ID$396,HW$169,SwaptionMonthsToGo+SwaptionShift),INDEX($FK$245:$ID$316,$FJ191-HW$169,73-HW$169+SwaptionShift):INDEX($FK$245:$ID$316,$FJ191-HW$169,72-HW$169+SwaptionMonthsToGo+SwaptionShift))/SQRT(SUM(INDEX($FK346:$ID346,1+SwaptionShift):INDEX($FK346:$ID346,SwaptionMonthsToGo+SwaptionShift))*SUM(INDEX($FK$325:$ID$396,HW$169,1+SwaptionShift):INDEX($FK$325:$ID$396,HW$169,SwaptionMonthsToGo+SwaptionShift))))))</f>
        <v/>
      </c>
      <c r="HX191" s="479" t="str">
        <f ca="1">IF(OR(HX$169&lt;SwaptionFirstMonthPosition+1,$FJ191&lt;SwaptionFirstMonthPosition+1,HX$169&gt;SwaptionFirstMonthPosition+SwaptionNumOfMonths+1,$FJ191&gt;SwaptionFirstMonthPosition+SwaptionNumOfMonths+1),"",IF($FJ191=HX$169,1,IF($FJ191&lt;HX$169,INDEX($FK$170:$ID$241,HX$169,$FJ191),SUMPRODUCT(INDEX($FK$325:$ID$396,HX$169,1+SwaptionShift):INDEX($FK$325:$ID$396,HX$169,SwaptionMonthsToGo+SwaptionShift),INDEX($FK$245:$ID$316,$FJ191-HX$169,73-HX$169+SwaptionShift):INDEX($FK$245:$ID$316,$FJ191-HX$169,72-HX$169+SwaptionMonthsToGo+SwaptionShift))/SQRT(SUM(INDEX($FK346:$ID346,1+SwaptionShift):INDEX($FK346:$ID346,SwaptionMonthsToGo+SwaptionShift))*SUM(INDEX($FK$325:$ID$396,HX$169,1+SwaptionShift):INDEX($FK$325:$ID$396,HX$169,SwaptionMonthsToGo+SwaptionShift))))))</f>
        <v/>
      </c>
      <c r="HY191" s="479" t="str">
        <f ca="1">IF(OR(HY$169&lt;SwaptionFirstMonthPosition+1,$FJ191&lt;SwaptionFirstMonthPosition+1,HY$169&gt;SwaptionFirstMonthPosition+SwaptionNumOfMonths+1,$FJ191&gt;SwaptionFirstMonthPosition+SwaptionNumOfMonths+1),"",IF($FJ191=HY$169,1,IF($FJ191&lt;HY$169,INDEX($FK$170:$ID$241,HY$169,$FJ191),SUMPRODUCT(INDEX($FK$325:$ID$396,HY$169,1+SwaptionShift):INDEX($FK$325:$ID$396,HY$169,SwaptionMonthsToGo+SwaptionShift),INDEX($FK$245:$ID$316,$FJ191-HY$169,73-HY$169+SwaptionShift):INDEX($FK$245:$ID$316,$FJ191-HY$169,72-HY$169+SwaptionMonthsToGo+SwaptionShift))/SQRT(SUM(INDEX($FK346:$ID346,1+SwaptionShift):INDEX($FK346:$ID346,SwaptionMonthsToGo+SwaptionShift))*SUM(INDEX($FK$325:$ID$396,HY$169,1+SwaptionShift):INDEX($FK$325:$ID$396,HY$169,SwaptionMonthsToGo+SwaptionShift))))))</f>
        <v/>
      </c>
      <c r="HZ191" s="479" t="str">
        <f ca="1">IF(OR(HZ$169&lt;SwaptionFirstMonthPosition+1,$FJ191&lt;SwaptionFirstMonthPosition+1,HZ$169&gt;SwaptionFirstMonthPosition+SwaptionNumOfMonths+1,$FJ191&gt;SwaptionFirstMonthPosition+SwaptionNumOfMonths+1),"",IF($FJ191=HZ$169,1,IF($FJ191&lt;HZ$169,INDEX($FK$170:$ID$241,HZ$169,$FJ191),SUMPRODUCT(INDEX($FK$325:$ID$396,HZ$169,1+SwaptionShift):INDEX($FK$325:$ID$396,HZ$169,SwaptionMonthsToGo+SwaptionShift),INDEX($FK$245:$ID$316,$FJ191-HZ$169,73-HZ$169+SwaptionShift):INDEX($FK$245:$ID$316,$FJ191-HZ$169,72-HZ$169+SwaptionMonthsToGo+SwaptionShift))/SQRT(SUM(INDEX($FK346:$ID346,1+SwaptionShift):INDEX($FK346:$ID346,SwaptionMonthsToGo+SwaptionShift))*SUM(INDEX($FK$325:$ID$396,HZ$169,1+SwaptionShift):INDEX($FK$325:$ID$396,HZ$169,SwaptionMonthsToGo+SwaptionShift))))))</f>
        <v/>
      </c>
      <c r="IA191" s="479" t="str">
        <f ca="1">IF(OR(IA$169&lt;SwaptionFirstMonthPosition+1,$FJ191&lt;SwaptionFirstMonthPosition+1,IA$169&gt;SwaptionFirstMonthPosition+SwaptionNumOfMonths+1,$FJ191&gt;SwaptionFirstMonthPosition+SwaptionNumOfMonths+1),"",IF($FJ191=IA$169,1,IF($FJ191&lt;IA$169,INDEX($FK$170:$ID$241,IA$169,$FJ191),SUMPRODUCT(INDEX($FK$325:$ID$396,IA$169,1+SwaptionShift):INDEX($FK$325:$ID$396,IA$169,SwaptionMonthsToGo+SwaptionShift),INDEX($FK$245:$ID$316,$FJ191-IA$169,73-IA$169+SwaptionShift):INDEX($FK$245:$ID$316,$FJ191-IA$169,72-IA$169+SwaptionMonthsToGo+SwaptionShift))/SQRT(SUM(INDEX($FK346:$ID346,1+SwaptionShift):INDEX($FK346:$ID346,SwaptionMonthsToGo+SwaptionShift))*SUM(INDEX($FK$325:$ID$396,IA$169,1+SwaptionShift):INDEX($FK$325:$ID$396,IA$169,SwaptionMonthsToGo+SwaptionShift))))))</f>
        <v/>
      </c>
      <c r="IB191" s="479" t="str">
        <f ca="1">IF(OR(IB$169&lt;SwaptionFirstMonthPosition+1,$FJ191&lt;SwaptionFirstMonthPosition+1,IB$169&gt;SwaptionFirstMonthPosition+SwaptionNumOfMonths+1,$FJ191&gt;SwaptionFirstMonthPosition+SwaptionNumOfMonths+1),"",IF($FJ191=IB$169,1,IF($FJ191&lt;IB$169,INDEX($FK$170:$ID$241,IB$169,$FJ191),SUMPRODUCT(INDEX($FK$325:$ID$396,IB$169,1+SwaptionShift):INDEX($FK$325:$ID$396,IB$169,SwaptionMonthsToGo+SwaptionShift),INDEX($FK$245:$ID$316,$FJ191-IB$169,73-IB$169+SwaptionShift):INDEX($FK$245:$ID$316,$FJ191-IB$169,72-IB$169+SwaptionMonthsToGo+SwaptionShift))/SQRT(SUM(INDEX($FK346:$ID346,1+SwaptionShift):INDEX($FK346:$ID346,SwaptionMonthsToGo+SwaptionShift))*SUM(INDEX($FK$325:$ID$396,IB$169,1+SwaptionShift):INDEX($FK$325:$ID$396,IB$169,SwaptionMonthsToGo+SwaptionShift))))))</f>
        <v/>
      </c>
      <c r="IC191" s="479" t="str">
        <f ca="1">IF(OR(IC$169&lt;SwaptionFirstMonthPosition+1,$FJ191&lt;SwaptionFirstMonthPosition+1,IC$169&gt;SwaptionFirstMonthPosition+SwaptionNumOfMonths+1,$FJ191&gt;SwaptionFirstMonthPosition+SwaptionNumOfMonths+1),"",IF($FJ191=IC$169,1,IF($FJ191&lt;IC$169,INDEX($FK$170:$ID$241,IC$169,$FJ191),SUMPRODUCT(INDEX($FK$325:$ID$396,IC$169,1+SwaptionShift):INDEX($FK$325:$ID$396,IC$169,SwaptionMonthsToGo+SwaptionShift),INDEX($FK$245:$ID$316,$FJ191-IC$169,73-IC$169+SwaptionShift):INDEX($FK$245:$ID$316,$FJ191-IC$169,72-IC$169+SwaptionMonthsToGo+SwaptionShift))/SQRT(SUM(INDEX($FK346:$ID346,1+SwaptionShift):INDEX($FK346:$ID346,SwaptionMonthsToGo+SwaptionShift))*SUM(INDEX($FK$325:$ID$396,IC$169,1+SwaptionShift):INDEX($FK$325:$ID$396,IC$169,SwaptionMonthsToGo+SwaptionShift))))))</f>
        <v/>
      </c>
      <c r="ID191" s="678" t="str">
        <f ca="1">IF(OR(ID$169&lt;SwaptionFirstMonthPosition+1,$FJ191&lt;SwaptionFirstMonthPosition+1,ID$169&gt;SwaptionFirstMonthPosition+SwaptionNumOfMonths+1,$FJ191&gt;SwaptionFirstMonthPosition+SwaptionNumOfMonths+1),"",IF($FJ191=ID$169,1,IF($FJ191&lt;ID$169,INDEX($FK$170:$ID$241,ID$169,$FJ191),SUMPRODUCT(INDEX($FK$325:$ID$396,ID$169,1+SwaptionShift):INDEX($FK$325:$ID$396,ID$169,SwaptionMonthsToGo+SwaptionShift),INDEX($FK$245:$ID$316,$FJ191-ID$169,73-ID$169+SwaptionShift):INDEX($FK$245:$ID$316,$FJ191-ID$169,72-ID$169+SwaptionMonthsToGo+SwaptionShift))/SQRT(SUM(INDEX($FK346:$ID346,1+SwaptionShift):INDEX($FK346:$ID346,SwaptionMonthsToGo+SwaptionShift))*SUM(INDEX($FK$325:$ID$396,ID$169,1+SwaptionShift):INDEX($FK$325:$ID$396,ID$169,SwaptionMonthsToGo+SwaptionShift))))))</f>
        <v/>
      </c>
      <c r="IE191" s="250"/>
    </row>
    <row r="192" spans="8:239">
      <c r="H192" s="51">
        <f t="shared" ca="1" si="527"/>
        <v>0</v>
      </c>
      <c r="I192" s="379">
        <f t="shared" si="528"/>
        <v>42005</v>
      </c>
      <c r="J192" s="377"/>
      <c r="K192" s="104" t="s">
        <v>268</v>
      </c>
      <c r="L192" s="392">
        <f t="shared" si="529"/>
        <v>3.6000000000000059</v>
      </c>
      <c r="M192" s="171"/>
      <c r="N192" s="382">
        <v>0</v>
      </c>
      <c r="O192" s="171">
        <f t="shared" si="490"/>
        <v>0</v>
      </c>
      <c r="P192" s="377"/>
      <c r="Q192" s="104" t="s">
        <v>268</v>
      </c>
      <c r="R192" s="377">
        <f t="shared" ca="1" si="547"/>
        <v>2.3920265354628132</v>
      </c>
      <c r="S192" s="832">
        <f t="shared" si="564"/>
        <v>0.3600000000000001</v>
      </c>
      <c r="T192" s="831">
        <f t="shared" si="548"/>
        <v>0.99999999999977662</v>
      </c>
      <c r="U192" s="545">
        <f t="shared" si="549"/>
        <v>0.99999999999999978</v>
      </c>
      <c r="V192" s="389">
        <v>0</v>
      </c>
      <c r="W192" s="434">
        <f t="shared" si="578"/>
        <v>0</v>
      </c>
      <c r="X192" s="415">
        <f t="shared" si="579"/>
        <v>3.6517857142857202</v>
      </c>
      <c r="Y192" s="322">
        <f t="shared" si="580"/>
        <v>-1.1684999999999999</v>
      </c>
      <c r="Z192" s="322">
        <f t="shared" ca="1" si="581"/>
        <v>2.4832857142857203</v>
      </c>
      <c r="AA192" s="429">
        <f t="shared" si="495"/>
        <v>1.1684999999999999</v>
      </c>
      <c r="AB192" s="433">
        <f t="shared" ca="1" si="496"/>
        <v>1.1684999999999999</v>
      </c>
      <c r="AC192" s="229">
        <v>41993</v>
      </c>
      <c r="AD192" s="229">
        <v>41989</v>
      </c>
      <c r="AE192" s="229">
        <v>41988</v>
      </c>
      <c r="AF192" s="229">
        <v>41984</v>
      </c>
      <c r="AG192" s="249" t="s">
        <v>499</v>
      </c>
      <c r="AH192" s="247" t="s">
        <v>499</v>
      </c>
      <c r="AI192" s="146">
        <v>21</v>
      </c>
      <c r="AJ192" s="41">
        <v>13</v>
      </c>
      <c r="AK192" s="41">
        <v>8</v>
      </c>
      <c r="AL192" s="293">
        <v>21</v>
      </c>
      <c r="AM192" s="41">
        <v>9</v>
      </c>
      <c r="AN192" s="147">
        <v>12</v>
      </c>
      <c r="AO192" s="374"/>
      <c r="AP192" s="153">
        <f t="shared" ca="1" si="530"/>
        <v>1</v>
      </c>
      <c r="AQ192" s="374"/>
      <c r="AR192" s="153">
        <f t="shared" ca="1" si="550"/>
        <v>1</v>
      </c>
      <c r="AS192" s="272">
        <f t="shared" si="582"/>
        <v>0</v>
      </c>
      <c r="AT192" s="157">
        <f t="shared" si="531"/>
        <v>0</v>
      </c>
      <c r="AU192" s="157">
        <f t="shared" si="498"/>
        <v>0</v>
      </c>
      <c r="AV192" s="271">
        <f t="shared" ca="1" si="558"/>
        <v>9.9999999999999995E-7</v>
      </c>
      <c r="AW192" s="158" t="str">
        <f t="shared" ca="1" si="583"/>
        <v/>
      </c>
      <c r="AX192" s="157">
        <f t="shared" ca="1" si="551"/>
        <v>7.6630094102175491E-5</v>
      </c>
      <c r="AY192" s="157">
        <f t="shared" ca="1" si="552"/>
        <v>1.8838098780538611E-5</v>
      </c>
      <c r="AZ192" s="157">
        <f t="shared" ca="1" si="553"/>
        <v>7.0803638027188675E-7</v>
      </c>
      <c r="BA192" s="157">
        <f t="shared" ca="1" si="554"/>
        <v>8.8504547533985844E-8</v>
      </c>
      <c r="BB192" s="157">
        <f t="shared" ca="1" si="555"/>
        <v>5.651759838332813E-10</v>
      </c>
      <c r="BC192" s="157">
        <f t="shared" ca="1" si="556"/>
        <v>1.5666109868389441E-11</v>
      </c>
      <c r="BD192" s="151">
        <f t="shared" ca="1" si="584"/>
        <v>0</v>
      </c>
      <c r="BE192" s="152">
        <f t="shared" ca="1" si="585"/>
        <v>0</v>
      </c>
      <c r="BF192" s="40">
        <f t="shared" si="586"/>
        <v>2015</v>
      </c>
      <c r="BG192" s="144">
        <f t="shared" si="587"/>
        <v>1</v>
      </c>
      <c r="BH192" s="145">
        <f t="shared" ca="1" si="588"/>
        <v>5244</v>
      </c>
      <c r="BI192" s="313">
        <f t="shared" ca="1" si="568"/>
        <v>14.401095140314853</v>
      </c>
      <c r="BJ192" s="42">
        <f t="shared" ca="1" si="505"/>
        <v>14.451940940647306</v>
      </c>
      <c r="BK192" s="42">
        <f t="shared" ca="1" si="506"/>
        <v>14.454678791434439</v>
      </c>
      <c r="BL192" s="42">
        <f t="shared" ca="1" si="569"/>
        <v>14.483230663928817</v>
      </c>
      <c r="BM192" s="150" t="e">
        <f t="shared" ca="1" si="507"/>
        <v>#DIV/0!</v>
      </c>
      <c r="BN192" s="42" t="e">
        <f t="shared" ca="1" si="508"/>
        <v>#DIV/0!</v>
      </c>
      <c r="BO192" s="293">
        <f t="shared" si="570"/>
        <v>21</v>
      </c>
      <c r="BP192" s="41">
        <f t="shared" si="571"/>
        <v>13</v>
      </c>
      <c r="BQ192" s="41">
        <f t="shared" si="572"/>
        <v>8</v>
      </c>
      <c r="BR192" s="305" t="str">
        <f t="shared" ca="1" si="509"/>
        <v/>
      </c>
      <c r="BS192" s="305" t="str">
        <f t="shared" ca="1" si="573"/>
        <v/>
      </c>
      <c r="BT192" s="307" t="str">
        <f t="shared" ca="1" si="574"/>
        <v/>
      </c>
      <c r="BU192" s="161" t="str">
        <f t="shared" ca="1" si="510"/>
        <v/>
      </c>
      <c r="BV192" s="161" t="str">
        <f t="shared" ca="1" si="511"/>
        <v/>
      </c>
      <c r="BW192" s="308" t="str">
        <f t="shared" ca="1" si="512"/>
        <v/>
      </c>
      <c r="BX192" s="309" t="str">
        <f t="shared" ca="1" si="513"/>
        <v/>
      </c>
      <c r="BY192" s="308" t="str">
        <f t="shared" ca="1" si="575"/>
        <v/>
      </c>
      <c r="BZ192" s="309" t="str">
        <f t="shared" ca="1" si="576"/>
        <v/>
      </c>
      <c r="CA192" s="154" t="str">
        <f t="shared" ca="1" si="514"/>
        <v/>
      </c>
      <c r="CB192" s="154" t="str">
        <f t="shared" ca="1" si="515"/>
        <v/>
      </c>
      <c r="CC192" s="154" t="str">
        <f t="shared" ca="1" si="516"/>
        <v/>
      </c>
      <c r="CD192" s="154" t="str">
        <f t="shared" ca="1" si="517"/>
        <v/>
      </c>
      <c r="CE192" s="310">
        <v>1</v>
      </c>
      <c r="CF192" s="162">
        <f ca="1">IF(BD192,_xll.xCrudeAPO(BU192,BV192,CA192,CB192,S193,S194,BI192,BL192,BP192,BQ192,0,Strike1,AO192,CE192,0,BL192,IF(OptControl=4,0,1),0,1),0)</f>
        <v>0</v>
      </c>
      <c r="CG192" s="163">
        <f ca="1">IF(BD192,_xll.xCrudeAPO(BU192,BV192,CA192,CB192,S193,S194,BI192,BL192,BP192,BQ192,0,Strike1,AO192,CE192,0,BL192,IF(OptControl=4,0,1),1,1)+_xll.xCrudeAPO(BU192,BV192,CA192,CB192,S193,S194,BI192,BL192,BP192,BQ192,0,Strike1,AO192,CE192,0,BL192,IF(OptControl=4,0,1),1,2)+IF(OR(VolSkewFlag=2,ABS(BS192)&lt;0.0001),0,IF(BS192&gt;0,-1,1)*CH192*Strike1/BR192^2*BY192/10%),0)</f>
        <v>0</v>
      </c>
      <c r="CH192" s="163">
        <f ca="1">IF(BD192,(_xll.xCrudeAPO(BU192,BV192,CA192,CB192,S193,S194,BI192,BL192,BP192,BQ192,0,Strike1,AO192,CE192,0,BL192,IF(OptControl=4,0,1),3,1)+_xll.xCrudeAPO(BU192,BV192,CA192,CB192,S193,S194,BI192,BL192,BP192,BQ192,0,Strike1,AO192,CE192,0,BL192,IF(OptControl=4,0,1),3,2))/100,0)</f>
        <v>0</v>
      </c>
      <c r="CI192" s="163">
        <f ca="1">IF(BD192,_xll.xCrudeAPO(BU192,BV192,CA192,CB192,S193,S194,BI192-DaysForThetaCalculation/365.25,BL192-DaysForThetaCalculation/365.25,BP192,BQ192,0,Strike1,AO192,CE192,0,BL192,IF(OptControl=4,0,1),0,1)-_xll.xCrudeAPO(BU192,BV192,CA192,CB192,S193,S194,BI192,BL192,BP192,BQ192,0,Strike1,AO192,CE192,0,BL192,IF(OptControl=4,0,1),0,1),0)</f>
        <v>0</v>
      </c>
      <c r="CJ192" s="311">
        <f ca="1">IF(BD192,_xll.xCrudeAPO(BU192,BV192,CC192,CD192,S193,S194,BI192,BL192,BP192,BQ192,0,Strike2,AO192,CE192,0,BL192,IF(OptControl=3,1,0),0,1),0)</f>
        <v>0</v>
      </c>
      <c r="CK192" s="163">
        <f ca="1">IF(BD192,_xll.xCrudeAPO(BU192,BV192,CC192,CD192,S193,S194,BI192,BL192,BP192,BQ192,0,Strike2,AO192,CE192,0,BL192,IF(OptControl=3,1,0),1,1)+_xll.xCrudeAPO(BU192,BV192,CC192,CD192,S193,S194,BI192,BL192,BP192,BQ192,0,Strike2,AO192,CE192,0,BL192,IF(OptControl=3,1,0),1,2)+IF(OR(VolSkewFlag=2,ABS(BT192)&lt;0.0001),0,IF(BT192&gt;0,-1,1)*CL192*Strike2/BR192^2*BZ192/10%),0)</f>
        <v>0</v>
      </c>
      <c r="CL192" s="163">
        <f ca="1">IF(BD192,(_xll.xCrudeAPO(BU192,BV192,CC192,CD192,S193,S194,BI192,BL192,BP192,BQ192,0,Strike2,AO192,CE192,0,BL192,IF(OptControl=3,1,0),3,1)+_xll.xCrudeAPO(BU192,BV192,CC192,CD192,S193,S194,BI192,BL192,BP192,BQ192,0,Strike2,AO192,CE192,0,BL192,IF(OptControl=3,1,0),3,2))/100,0)</f>
        <v>0</v>
      </c>
      <c r="CM192" s="164">
        <f ca="1">IF(BD192,_xll.xCrudeAPO(BU192,BV192,CC192,CD192,S193,S194,BI192-DaysForThetaCalculation/365.25,BL192-DaysForThetaCalculation/365.25,BP192,BQ192,0,Strike2,AO192,CE192,0,BL192,IF(OptControl=3,1,0),0,1)-_xll.xCrudeAPO(BU192,BV192,CC192,CD192,S193,S194,BI192,BL192,BP192,BQ192,0,Strike2,AO192,CE192,0,BL192,IF(OptControl=3,1,0),0,1),0)</f>
        <v>0</v>
      </c>
      <c r="CN192" s="53"/>
      <c r="CO192" s="796" t="str">
        <f t="shared" ca="1" si="532"/>
        <v/>
      </c>
      <c r="CP192" s="800" t="str">
        <f t="shared" ca="1" si="533"/>
        <v/>
      </c>
      <c r="CQ192" s="797" t="str">
        <f t="shared" ca="1" si="534"/>
        <v/>
      </c>
      <c r="CR192" s="797" t="str">
        <f t="shared" ca="1" si="535"/>
        <v/>
      </c>
      <c r="CS192" s="797" t="str">
        <f t="shared" ca="1" si="536"/>
        <v/>
      </c>
      <c r="CT192" s="797" t="str">
        <f t="shared" ca="1" si="537"/>
        <v/>
      </c>
      <c r="CU192" s="798" t="str">
        <f t="shared" ca="1" si="538"/>
        <v/>
      </c>
      <c r="CV192" s="799" t="str">
        <f t="shared" ca="1" si="539"/>
        <v/>
      </c>
      <c r="CW192" s="799" t="str">
        <f t="shared" ca="1" si="540"/>
        <v/>
      </c>
      <c r="CX192" s="163">
        <f ca="1">IF(BD192,_xll.EURO(CP192,Strike1,AO192,AO192,CV192,CO192,IF(OptControl=4,0,1),0),0)</f>
        <v>0</v>
      </c>
      <c r="CY192" s="163">
        <f ca="1">IF(BD192,_xll.EURO(CP192,Strike1,AO192,AO192,CV192,CO192,IF(OptControl=4,0,1),1)+IF(OR(VolSkewFlag=2,ABS(CQ192)&lt;0.0001),0,IF(CQ192&gt;0,-1,1)*CZ192*100*Strike1/CP192^2*CS192/10%),0)</f>
        <v>0</v>
      </c>
      <c r="CZ192" s="163">
        <f ca="1">IF(BD192,_xll.EURO(CP192,Strike1,AO192,AO192,CV192,CO192,IF(OptControl=4,0,1),3)/100,0)</f>
        <v>0</v>
      </c>
      <c r="DA192" s="163">
        <f ca="1">IF(BD192,_xll.EURO(CP192,Strike1,AO192,AO192,CV192,CO192,IF(OptControl=4,0,1),0)-_xll.EURO(CP192,Strike1,AO192,AO192,CV192,CO192-1,IF(OptControl=4,0,1),0),0)</f>
        <v>0</v>
      </c>
      <c r="DB192" s="163">
        <f ca="1">IF(BD192,_xll.EURO(CP192,Strike2,AO192,AO192,CW192,CO192,IF(OptControl=3,1,0),0),0)</f>
        <v>0</v>
      </c>
      <c r="DC192" s="163">
        <f ca="1">IF(BD192,_xll.EURO(CP192,Strike2,AO192,AO192,CW192,CO192,IF(OptControl=3,1,0),1)+IF(OR(VolSkewFlag=2,ABS(CR192)&lt;0.0001),0,IF(CR192&gt;0,-1,1)*DD192*100*Strike2/CP192^2*CT192/10%),0)</f>
        <v>0</v>
      </c>
      <c r="DD192" s="163">
        <f ca="1">IF(BD192,_xll.EURO(CP192,Strike2,AO192,AO192,CW192,CO192,IF(OptControl=3,1,0),3)/100,0)</f>
        <v>0</v>
      </c>
      <c r="DE192" s="164">
        <f ca="1">IF(BD192,_xll.EURO(CP192,Strike2,AO192,AO192,CW192,CO192,IF(OptControl=3,1,0),0)-_xll.EURO(CP192,Strike2,AO192,AO192,CW192,CO192-1,IF(OptControl=3,1,0),0),0)</f>
        <v>0</v>
      </c>
      <c r="DG192" s="667">
        <f t="shared" ca="1" si="541"/>
        <v>41791</v>
      </c>
      <c r="DH192" s="475">
        <v>22.760000000000069</v>
      </c>
      <c r="DI192" s="665">
        <v>22.824285714285786</v>
      </c>
      <c r="DJ192" s="666">
        <f t="shared" ca="1" si="589"/>
        <v>41791</v>
      </c>
      <c r="DK192" s="475">
        <v>21.344698856905818</v>
      </c>
      <c r="DL192" s="665">
        <v>21.532785714285787</v>
      </c>
      <c r="DM192" s="667">
        <f t="shared" ca="1" si="590"/>
        <v>41791</v>
      </c>
      <c r="DN192" s="668">
        <f t="shared" si="591"/>
        <v>21.394698856905819</v>
      </c>
      <c r="DO192" s="667">
        <f t="shared" ca="1" si="542"/>
        <v>41791</v>
      </c>
      <c r="DP192" s="579">
        <f t="shared" si="543"/>
        <v>21.532785714285787</v>
      </c>
      <c r="DQ192" s="821">
        <v>0</v>
      </c>
      <c r="DR192" s="666">
        <f t="shared" ca="1" si="592"/>
        <v>41791</v>
      </c>
      <c r="DS192" s="669">
        <v>0.12139999999999802</v>
      </c>
      <c r="DT192" s="606">
        <v>0.12062857142856946</v>
      </c>
      <c r="DU192" s="666">
        <f t="shared" ca="1" si="593"/>
        <v>41791</v>
      </c>
      <c r="DV192" s="669">
        <v>0.12139999999999802</v>
      </c>
      <c r="DW192" s="606">
        <v>0.12062857142856946</v>
      </c>
      <c r="DX192" s="667">
        <f t="shared" ca="1" si="594"/>
        <v>41791</v>
      </c>
      <c r="DY192" s="606">
        <v>0.35</v>
      </c>
      <c r="DZ192" s="667">
        <f t="shared" ca="1" si="544"/>
        <v>41791</v>
      </c>
      <c r="EA192" s="606">
        <f t="shared" si="545"/>
        <v>0.12062857142856946</v>
      </c>
      <c r="EB192" s="1"/>
      <c r="EC192" s="118" t="str">
        <f t="shared" ca="1" si="595"/>
        <v/>
      </c>
      <c r="ED192" s="119" t="str">
        <f t="shared" ca="1" si="525"/>
        <v/>
      </c>
      <c r="EE192" s="112" t="str">
        <f t="shared" ca="1" si="526"/>
        <v/>
      </c>
      <c r="EF192" s="120">
        <f ca="1">IF(BD192,_xll.xASN(BR192,Strike1,AO192,ED192,0,BO192,0,BI192,BL192,IF(OptControl=4,0,1),0),0)</f>
        <v>0</v>
      </c>
      <c r="EG192" s="111">
        <f ca="1">IF(BD192,_xll.xASN(BR192,Strike2,AO192,EE192,0,BO192,0,BI192,BL192,IF(OptControl=3,1,0),0),0)</f>
        <v>0</v>
      </c>
      <c r="EL192" s="55"/>
      <c r="EM192" s="1"/>
      <c r="EN192" s="106"/>
      <c r="EO192" s="106"/>
      <c r="EP192" s="1"/>
      <c r="EQ192" s="683" t="s">
        <v>405</v>
      </c>
      <c r="ES192" s="455"/>
      <c r="ET192" s="36"/>
      <c r="EU192" s="107"/>
      <c r="EV192" s="475"/>
      <c r="EW192" s="456"/>
      <c r="EX192" s="456"/>
      <c r="EY192" s="250"/>
      <c r="EZ192" s="250"/>
      <c r="FA192" s="250"/>
      <c r="FB192" s="250"/>
      <c r="FC192" s="250"/>
      <c r="FD192" s="250"/>
      <c r="FE192" s="250"/>
      <c r="FF192" s="250"/>
      <c r="FG192" s="250"/>
      <c r="FH192" s="250"/>
      <c r="FI192" s="250"/>
      <c r="FJ192" s="673">
        <v>23</v>
      </c>
      <c r="FK192" s="479" t="str">
        <f ca="1">IF(OR(FK$169&lt;SwaptionFirstMonthPosition+1,$FJ192&lt;SwaptionFirstMonthPosition+1,FK$169&gt;SwaptionFirstMonthPosition+SwaptionNumOfMonths+1,$FJ192&gt;SwaptionFirstMonthPosition+SwaptionNumOfMonths+1),"",IF($FJ192=FK$169,1,IF($FJ192&lt;FK$169,INDEX($FK$170:$ID$241,FK$169,$FJ192),SUMPRODUCT(INDEX($FK$325:$ID$396,FK$169,1+SwaptionShift):INDEX($FK$325:$ID$396,FK$169,SwaptionMonthsToGo+SwaptionShift),INDEX($FK$245:$ID$316,$FJ192-FK$169,73-FK$169+SwaptionShift):INDEX($FK$245:$ID$316,$FJ192-FK$169,72-FK$169+SwaptionMonthsToGo+SwaptionShift))/SQRT(SUM(INDEX($FK347:$ID347,1+SwaptionShift):INDEX($FK347:$ID347,SwaptionMonthsToGo+SwaptionShift))*SUM(INDEX($FK$325:$ID$396,FK$169,1+SwaptionShift):INDEX($FK$325:$ID$396,FK$169,SwaptionMonthsToGo+SwaptionShift))))))</f>
        <v/>
      </c>
      <c r="FL192" s="479" t="str">
        <f ca="1">IF(OR(FL$169&lt;SwaptionFirstMonthPosition+1,$FJ192&lt;SwaptionFirstMonthPosition+1,FL$169&gt;SwaptionFirstMonthPosition+SwaptionNumOfMonths+1,$FJ192&gt;SwaptionFirstMonthPosition+SwaptionNumOfMonths+1),"",IF($FJ192=FL$169,1,IF($FJ192&lt;FL$169,INDEX($FK$170:$ID$241,FL$169,$FJ192),SUMPRODUCT(INDEX($FK$325:$ID$396,FL$169,1+SwaptionShift):INDEX($FK$325:$ID$396,FL$169,SwaptionMonthsToGo+SwaptionShift),INDEX($FK$245:$ID$316,$FJ192-FL$169,73-FL$169+SwaptionShift):INDEX($FK$245:$ID$316,$FJ192-FL$169,72-FL$169+SwaptionMonthsToGo+SwaptionShift))/SQRT(SUM(INDEX($FK347:$ID347,1+SwaptionShift):INDEX($FK347:$ID347,SwaptionMonthsToGo+SwaptionShift))*SUM(INDEX($FK$325:$ID$396,FL$169,1+SwaptionShift):INDEX($FK$325:$ID$396,FL$169,SwaptionMonthsToGo+SwaptionShift))))))</f>
        <v/>
      </c>
      <c r="FM192" s="479" t="str">
        <f ca="1">IF(OR(FM$169&lt;SwaptionFirstMonthPosition+1,$FJ192&lt;SwaptionFirstMonthPosition+1,FM$169&gt;SwaptionFirstMonthPosition+SwaptionNumOfMonths+1,$FJ192&gt;SwaptionFirstMonthPosition+SwaptionNumOfMonths+1),"",IF($FJ192=FM$169,1,IF($FJ192&lt;FM$169,INDEX($FK$170:$ID$241,FM$169,$FJ192),SUMPRODUCT(INDEX($FK$325:$ID$396,FM$169,1+SwaptionShift):INDEX($FK$325:$ID$396,FM$169,SwaptionMonthsToGo+SwaptionShift),INDEX($FK$245:$ID$316,$FJ192-FM$169,73-FM$169+SwaptionShift):INDEX($FK$245:$ID$316,$FJ192-FM$169,72-FM$169+SwaptionMonthsToGo+SwaptionShift))/SQRT(SUM(INDEX($FK347:$ID347,1+SwaptionShift):INDEX($FK347:$ID347,SwaptionMonthsToGo+SwaptionShift))*SUM(INDEX($FK$325:$ID$396,FM$169,1+SwaptionShift):INDEX($FK$325:$ID$396,FM$169,SwaptionMonthsToGo+SwaptionShift))))))</f>
        <v/>
      </c>
      <c r="FN192" s="479" t="str">
        <f ca="1">IF(OR(FN$169&lt;SwaptionFirstMonthPosition+1,$FJ192&lt;SwaptionFirstMonthPosition+1,FN$169&gt;SwaptionFirstMonthPosition+SwaptionNumOfMonths+1,$FJ192&gt;SwaptionFirstMonthPosition+SwaptionNumOfMonths+1),"",IF($FJ192=FN$169,1,IF($FJ192&lt;FN$169,INDEX($FK$170:$ID$241,FN$169,$FJ192),SUMPRODUCT(INDEX($FK$325:$ID$396,FN$169,1+SwaptionShift):INDEX($FK$325:$ID$396,FN$169,SwaptionMonthsToGo+SwaptionShift),INDEX($FK$245:$ID$316,$FJ192-FN$169,73-FN$169+SwaptionShift):INDEX($FK$245:$ID$316,$FJ192-FN$169,72-FN$169+SwaptionMonthsToGo+SwaptionShift))/SQRT(SUM(INDEX($FK347:$ID347,1+SwaptionShift):INDEX($FK347:$ID347,SwaptionMonthsToGo+SwaptionShift))*SUM(INDEX($FK$325:$ID$396,FN$169,1+SwaptionShift):INDEX($FK$325:$ID$396,FN$169,SwaptionMonthsToGo+SwaptionShift))))))</f>
        <v/>
      </c>
      <c r="FO192" s="479" t="str">
        <f ca="1">IF(OR(FO$169&lt;SwaptionFirstMonthPosition+1,$FJ192&lt;SwaptionFirstMonthPosition+1,FO$169&gt;SwaptionFirstMonthPosition+SwaptionNumOfMonths+1,$FJ192&gt;SwaptionFirstMonthPosition+SwaptionNumOfMonths+1),"",IF($FJ192=FO$169,1,IF($FJ192&lt;FO$169,INDEX($FK$170:$ID$241,FO$169,$FJ192),SUMPRODUCT(INDEX($FK$325:$ID$396,FO$169,1+SwaptionShift):INDEX($FK$325:$ID$396,FO$169,SwaptionMonthsToGo+SwaptionShift),INDEX($FK$245:$ID$316,$FJ192-FO$169,73-FO$169+SwaptionShift):INDEX($FK$245:$ID$316,$FJ192-FO$169,72-FO$169+SwaptionMonthsToGo+SwaptionShift))/SQRT(SUM(INDEX($FK347:$ID347,1+SwaptionShift):INDEX($FK347:$ID347,SwaptionMonthsToGo+SwaptionShift))*SUM(INDEX($FK$325:$ID$396,FO$169,1+SwaptionShift):INDEX($FK$325:$ID$396,FO$169,SwaptionMonthsToGo+SwaptionShift))))))</f>
        <v/>
      </c>
      <c r="FP192" s="479" t="str">
        <f ca="1">IF(OR(FP$169&lt;SwaptionFirstMonthPosition+1,$FJ192&lt;SwaptionFirstMonthPosition+1,FP$169&gt;SwaptionFirstMonthPosition+SwaptionNumOfMonths+1,$FJ192&gt;SwaptionFirstMonthPosition+SwaptionNumOfMonths+1),"",IF($FJ192=FP$169,1,IF($FJ192&lt;FP$169,INDEX($FK$170:$ID$241,FP$169,$FJ192),SUMPRODUCT(INDEX($FK$325:$ID$396,FP$169,1+SwaptionShift):INDEX($FK$325:$ID$396,FP$169,SwaptionMonthsToGo+SwaptionShift),INDEX($FK$245:$ID$316,$FJ192-FP$169,73-FP$169+SwaptionShift):INDEX($FK$245:$ID$316,$FJ192-FP$169,72-FP$169+SwaptionMonthsToGo+SwaptionShift))/SQRT(SUM(INDEX($FK347:$ID347,1+SwaptionShift):INDEX($FK347:$ID347,SwaptionMonthsToGo+SwaptionShift))*SUM(INDEX($FK$325:$ID$396,FP$169,1+SwaptionShift):INDEX($FK$325:$ID$396,FP$169,SwaptionMonthsToGo+SwaptionShift))))))</f>
        <v/>
      </c>
      <c r="FQ192" s="479" t="str">
        <f ca="1">IF(OR(FQ$169&lt;SwaptionFirstMonthPosition+1,$FJ192&lt;SwaptionFirstMonthPosition+1,FQ$169&gt;SwaptionFirstMonthPosition+SwaptionNumOfMonths+1,$FJ192&gt;SwaptionFirstMonthPosition+SwaptionNumOfMonths+1),"",IF($FJ192=FQ$169,1,IF($FJ192&lt;FQ$169,INDEX($FK$170:$ID$241,FQ$169,$FJ192),SUMPRODUCT(INDEX($FK$325:$ID$396,FQ$169,1+SwaptionShift):INDEX($FK$325:$ID$396,FQ$169,SwaptionMonthsToGo+SwaptionShift),INDEX($FK$245:$ID$316,$FJ192-FQ$169,73-FQ$169+SwaptionShift):INDEX($FK$245:$ID$316,$FJ192-FQ$169,72-FQ$169+SwaptionMonthsToGo+SwaptionShift))/SQRT(SUM(INDEX($FK347:$ID347,1+SwaptionShift):INDEX($FK347:$ID347,SwaptionMonthsToGo+SwaptionShift))*SUM(INDEX($FK$325:$ID$396,FQ$169,1+SwaptionShift):INDEX($FK$325:$ID$396,FQ$169,SwaptionMonthsToGo+SwaptionShift))))))</f>
        <v/>
      </c>
      <c r="FR192" s="479" t="str">
        <f ca="1">IF(OR(FR$169&lt;SwaptionFirstMonthPosition+1,$FJ192&lt;SwaptionFirstMonthPosition+1,FR$169&gt;SwaptionFirstMonthPosition+SwaptionNumOfMonths+1,$FJ192&gt;SwaptionFirstMonthPosition+SwaptionNumOfMonths+1),"",IF($FJ192=FR$169,1,IF($FJ192&lt;FR$169,INDEX($FK$170:$ID$241,FR$169,$FJ192),SUMPRODUCT(INDEX($FK$325:$ID$396,FR$169,1+SwaptionShift):INDEX($FK$325:$ID$396,FR$169,SwaptionMonthsToGo+SwaptionShift),INDEX($FK$245:$ID$316,$FJ192-FR$169,73-FR$169+SwaptionShift):INDEX($FK$245:$ID$316,$FJ192-FR$169,72-FR$169+SwaptionMonthsToGo+SwaptionShift))/SQRT(SUM(INDEX($FK347:$ID347,1+SwaptionShift):INDEX($FK347:$ID347,SwaptionMonthsToGo+SwaptionShift))*SUM(INDEX($FK$325:$ID$396,FR$169,1+SwaptionShift):INDEX($FK$325:$ID$396,FR$169,SwaptionMonthsToGo+SwaptionShift))))))</f>
        <v/>
      </c>
      <c r="FS192" s="479" t="str">
        <f ca="1">IF(OR(FS$169&lt;SwaptionFirstMonthPosition+1,$FJ192&lt;SwaptionFirstMonthPosition+1,FS$169&gt;SwaptionFirstMonthPosition+SwaptionNumOfMonths+1,$FJ192&gt;SwaptionFirstMonthPosition+SwaptionNumOfMonths+1),"",IF($FJ192=FS$169,1,IF($FJ192&lt;FS$169,INDEX($FK$170:$ID$241,FS$169,$FJ192),SUMPRODUCT(INDEX($FK$325:$ID$396,FS$169,1+SwaptionShift):INDEX($FK$325:$ID$396,FS$169,SwaptionMonthsToGo+SwaptionShift),INDEX($FK$245:$ID$316,$FJ192-FS$169,73-FS$169+SwaptionShift):INDEX($FK$245:$ID$316,$FJ192-FS$169,72-FS$169+SwaptionMonthsToGo+SwaptionShift))/SQRT(SUM(INDEX($FK347:$ID347,1+SwaptionShift):INDEX($FK347:$ID347,SwaptionMonthsToGo+SwaptionShift))*SUM(INDEX($FK$325:$ID$396,FS$169,1+SwaptionShift):INDEX($FK$325:$ID$396,FS$169,SwaptionMonthsToGo+SwaptionShift))))))</f>
        <v/>
      </c>
      <c r="FT192" s="479" t="str">
        <f ca="1">IF(OR(FT$169&lt;SwaptionFirstMonthPosition+1,$FJ192&lt;SwaptionFirstMonthPosition+1,FT$169&gt;SwaptionFirstMonthPosition+SwaptionNumOfMonths+1,$FJ192&gt;SwaptionFirstMonthPosition+SwaptionNumOfMonths+1),"",IF($FJ192=FT$169,1,IF($FJ192&lt;FT$169,INDEX($FK$170:$ID$241,FT$169,$FJ192),SUMPRODUCT(INDEX($FK$325:$ID$396,FT$169,1+SwaptionShift):INDEX($FK$325:$ID$396,FT$169,SwaptionMonthsToGo+SwaptionShift),INDEX($FK$245:$ID$316,$FJ192-FT$169,73-FT$169+SwaptionShift):INDEX($FK$245:$ID$316,$FJ192-FT$169,72-FT$169+SwaptionMonthsToGo+SwaptionShift))/SQRT(SUM(INDEX($FK347:$ID347,1+SwaptionShift):INDEX($FK347:$ID347,SwaptionMonthsToGo+SwaptionShift))*SUM(INDEX($FK$325:$ID$396,FT$169,1+SwaptionShift):INDEX($FK$325:$ID$396,FT$169,SwaptionMonthsToGo+SwaptionShift))))))</f>
        <v/>
      </c>
      <c r="FU192" s="479" t="str">
        <f ca="1">IF(OR(FU$169&lt;SwaptionFirstMonthPosition+1,$FJ192&lt;SwaptionFirstMonthPosition+1,FU$169&gt;SwaptionFirstMonthPosition+SwaptionNumOfMonths+1,$FJ192&gt;SwaptionFirstMonthPosition+SwaptionNumOfMonths+1),"",IF($FJ192=FU$169,1,IF($FJ192&lt;FU$169,INDEX($FK$170:$ID$241,FU$169,$FJ192),SUMPRODUCT(INDEX($FK$325:$ID$396,FU$169,1+SwaptionShift):INDEX($FK$325:$ID$396,FU$169,SwaptionMonthsToGo+SwaptionShift),INDEX($FK$245:$ID$316,$FJ192-FU$169,73-FU$169+SwaptionShift):INDEX($FK$245:$ID$316,$FJ192-FU$169,72-FU$169+SwaptionMonthsToGo+SwaptionShift))/SQRT(SUM(INDEX($FK347:$ID347,1+SwaptionShift):INDEX($FK347:$ID347,SwaptionMonthsToGo+SwaptionShift))*SUM(INDEX($FK$325:$ID$396,FU$169,1+SwaptionShift):INDEX($FK$325:$ID$396,FU$169,SwaptionMonthsToGo+SwaptionShift))))))</f>
        <v/>
      </c>
      <c r="FV192" s="479" t="str">
        <f ca="1">IF(OR(FV$169&lt;SwaptionFirstMonthPosition+1,$FJ192&lt;SwaptionFirstMonthPosition+1,FV$169&gt;SwaptionFirstMonthPosition+SwaptionNumOfMonths+1,$FJ192&gt;SwaptionFirstMonthPosition+SwaptionNumOfMonths+1),"",IF($FJ192=FV$169,1,IF($FJ192&lt;FV$169,INDEX($FK$170:$ID$241,FV$169,$FJ192),SUMPRODUCT(INDEX($FK$325:$ID$396,FV$169,1+SwaptionShift):INDEX($FK$325:$ID$396,FV$169,SwaptionMonthsToGo+SwaptionShift),INDEX($FK$245:$ID$316,$FJ192-FV$169,73-FV$169+SwaptionShift):INDEX($FK$245:$ID$316,$FJ192-FV$169,72-FV$169+SwaptionMonthsToGo+SwaptionShift))/SQRT(SUM(INDEX($FK347:$ID347,1+SwaptionShift):INDEX($FK347:$ID347,SwaptionMonthsToGo+SwaptionShift))*SUM(INDEX($FK$325:$ID$396,FV$169,1+SwaptionShift):INDEX($FK$325:$ID$396,FV$169,SwaptionMonthsToGo+SwaptionShift))))))</f>
        <v/>
      </c>
      <c r="FW192" s="479" t="str">
        <f ca="1">IF(OR(FW$169&lt;SwaptionFirstMonthPosition+1,$FJ192&lt;SwaptionFirstMonthPosition+1,FW$169&gt;SwaptionFirstMonthPosition+SwaptionNumOfMonths+1,$FJ192&gt;SwaptionFirstMonthPosition+SwaptionNumOfMonths+1),"",IF($FJ192=FW$169,1,IF($FJ192&lt;FW$169,INDEX($FK$170:$ID$241,FW$169,$FJ192),SUMPRODUCT(INDEX($FK$325:$ID$396,FW$169,1+SwaptionShift):INDEX($FK$325:$ID$396,FW$169,SwaptionMonthsToGo+SwaptionShift),INDEX($FK$245:$ID$316,$FJ192-FW$169,73-FW$169+SwaptionShift):INDEX($FK$245:$ID$316,$FJ192-FW$169,72-FW$169+SwaptionMonthsToGo+SwaptionShift))/SQRT(SUM(INDEX($FK347:$ID347,1+SwaptionShift):INDEX($FK347:$ID347,SwaptionMonthsToGo+SwaptionShift))*SUM(INDEX($FK$325:$ID$396,FW$169,1+SwaptionShift):INDEX($FK$325:$ID$396,FW$169,SwaptionMonthsToGo+SwaptionShift))))))</f>
        <v/>
      </c>
      <c r="FX192" s="479" t="str">
        <f ca="1">IF(OR(FX$169&lt;SwaptionFirstMonthPosition+1,$FJ192&lt;SwaptionFirstMonthPosition+1,FX$169&gt;SwaptionFirstMonthPosition+SwaptionNumOfMonths+1,$FJ192&gt;SwaptionFirstMonthPosition+SwaptionNumOfMonths+1),"",IF($FJ192=FX$169,1,IF($FJ192&lt;FX$169,INDEX($FK$170:$ID$241,FX$169,$FJ192),SUMPRODUCT(INDEX($FK$325:$ID$396,FX$169,1+SwaptionShift):INDEX($FK$325:$ID$396,FX$169,SwaptionMonthsToGo+SwaptionShift),INDEX($FK$245:$ID$316,$FJ192-FX$169,73-FX$169+SwaptionShift):INDEX($FK$245:$ID$316,$FJ192-FX$169,72-FX$169+SwaptionMonthsToGo+SwaptionShift))/SQRT(SUM(INDEX($FK347:$ID347,1+SwaptionShift):INDEX($FK347:$ID347,SwaptionMonthsToGo+SwaptionShift))*SUM(INDEX($FK$325:$ID$396,FX$169,1+SwaptionShift):INDEX($FK$325:$ID$396,FX$169,SwaptionMonthsToGo+SwaptionShift))))))</f>
        <v/>
      </c>
      <c r="FY192" s="479" t="str">
        <f ca="1">IF(OR(FY$169&lt;SwaptionFirstMonthPosition+1,$FJ192&lt;SwaptionFirstMonthPosition+1,FY$169&gt;SwaptionFirstMonthPosition+SwaptionNumOfMonths+1,$FJ192&gt;SwaptionFirstMonthPosition+SwaptionNumOfMonths+1),"",IF($FJ192=FY$169,1,IF($FJ192&lt;FY$169,INDEX($FK$170:$ID$241,FY$169,$FJ192),SUMPRODUCT(INDEX($FK$325:$ID$396,FY$169,1+SwaptionShift):INDEX($FK$325:$ID$396,FY$169,SwaptionMonthsToGo+SwaptionShift),INDEX($FK$245:$ID$316,$FJ192-FY$169,73-FY$169+SwaptionShift):INDEX($FK$245:$ID$316,$FJ192-FY$169,72-FY$169+SwaptionMonthsToGo+SwaptionShift))/SQRT(SUM(INDEX($FK347:$ID347,1+SwaptionShift):INDEX($FK347:$ID347,SwaptionMonthsToGo+SwaptionShift))*SUM(INDEX($FK$325:$ID$396,FY$169,1+SwaptionShift):INDEX($FK$325:$ID$396,FY$169,SwaptionMonthsToGo+SwaptionShift))))))</f>
        <v/>
      </c>
      <c r="FZ192" s="479" t="str">
        <f ca="1">IF(OR(FZ$169&lt;SwaptionFirstMonthPosition+1,$FJ192&lt;SwaptionFirstMonthPosition+1,FZ$169&gt;SwaptionFirstMonthPosition+SwaptionNumOfMonths+1,$FJ192&gt;SwaptionFirstMonthPosition+SwaptionNumOfMonths+1),"",IF($FJ192=FZ$169,1,IF($FJ192&lt;FZ$169,INDEX($FK$170:$ID$241,FZ$169,$FJ192),SUMPRODUCT(INDEX($FK$325:$ID$396,FZ$169,1+SwaptionShift):INDEX($FK$325:$ID$396,FZ$169,SwaptionMonthsToGo+SwaptionShift),INDEX($FK$245:$ID$316,$FJ192-FZ$169,73-FZ$169+SwaptionShift):INDEX($FK$245:$ID$316,$FJ192-FZ$169,72-FZ$169+SwaptionMonthsToGo+SwaptionShift))/SQRT(SUM(INDEX($FK347:$ID347,1+SwaptionShift):INDEX($FK347:$ID347,SwaptionMonthsToGo+SwaptionShift))*SUM(INDEX($FK$325:$ID$396,FZ$169,1+SwaptionShift):INDEX($FK$325:$ID$396,FZ$169,SwaptionMonthsToGo+SwaptionShift))))))</f>
        <v/>
      </c>
      <c r="GA192" s="479" t="str">
        <f ca="1">IF(OR(GA$169&lt;SwaptionFirstMonthPosition+1,$FJ192&lt;SwaptionFirstMonthPosition+1,GA$169&gt;SwaptionFirstMonthPosition+SwaptionNumOfMonths+1,$FJ192&gt;SwaptionFirstMonthPosition+SwaptionNumOfMonths+1),"",IF($FJ192=GA$169,1,IF($FJ192&lt;GA$169,INDEX($FK$170:$ID$241,GA$169,$FJ192),SUMPRODUCT(INDEX($FK$325:$ID$396,GA$169,1+SwaptionShift):INDEX($FK$325:$ID$396,GA$169,SwaptionMonthsToGo+SwaptionShift),INDEX($FK$245:$ID$316,$FJ192-GA$169,73-GA$169+SwaptionShift):INDEX($FK$245:$ID$316,$FJ192-GA$169,72-GA$169+SwaptionMonthsToGo+SwaptionShift))/SQRT(SUM(INDEX($FK347:$ID347,1+SwaptionShift):INDEX($FK347:$ID347,SwaptionMonthsToGo+SwaptionShift))*SUM(INDEX($FK$325:$ID$396,GA$169,1+SwaptionShift):INDEX($FK$325:$ID$396,GA$169,SwaptionMonthsToGo+SwaptionShift))))))</f>
        <v/>
      </c>
      <c r="GB192" s="479" t="str">
        <f ca="1">IF(OR(GB$169&lt;SwaptionFirstMonthPosition+1,$FJ192&lt;SwaptionFirstMonthPosition+1,GB$169&gt;SwaptionFirstMonthPosition+SwaptionNumOfMonths+1,$FJ192&gt;SwaptionFirstMonthPosition+SwaptionNumOfMonths+1),"",IF($FJ192=GB$169,1,IF($FJ192&lt;GB$169,INDEX($FK$170:$ID$241,GB$169,$FJ192),SUMPRODUCT(INDEX($FK$325:$ID$396,GB$169,1+SwaptionShift):INDEX($FK$325:$ID$396,GB$169,SwaptionMonthsToGo+SwaptionShift),INDEX($FK$245:$ID$316,$FJ192-GB$169,73-GB$169+SwaptionShift):INDEX($FK$245:$ID$316,$FJ192-GB$169,72-GB$169+SwaptionMonthsToGo+SwaptionShift))/SQRT(SUM(INDEX($FK347:$ID347,1+SwaptionShift):INDEX($FK347:$ID347,SwaptionMonthsToGo+SwaptionShift))*SUM(INDEX($FK$325:$ID$396,GB$169,1+SwaptionShift):INDEX($FK$325:$ID$396,GB$169,SwaptionMonthsToGo+SwaptionShift))))))</f>
        <v/>
      </c>
      <c r="GC192" s="479" t="str">
        <f ca="1">IF(OR(GC$169&lt;SwaptionFirstMonthPosition+1,$FJ192&lt;SwaptionFirstMonthPosition+1,GC$169&gt;SwaptionFirstMonthPosition+SwaptionNumOfMonths+1,$FJ192&gt;SwaptionFirstMonthPosition+SwaptionNumOfMonths+1),"",IF($FJ192=GC$169,1,IF($FJ192&lt;GC$169,INDEX($FK$170:$ID$241,GC$169,$FJ192),SUMPRODUCT(INDEX($FK$325:$ID$396,GC$169,1+SwaptionShift):INDEX($FK$325:$ID$396,GC$169,SwaptionMonthsToGo+SwaptionShift),INDEX($FK$245:$ID$316,$FJ192-GC$169,73-GC$169+SwaptionShift):INDEX($FK$245:$ID$316,$FJ192-GC$169,72-GC$169+SwaptionMonthsToGo+SwaptionShift))/SQRT(SUM(INDEX($FK347:$ID347,1+SwaptionShift):INDEX($FK347:$ID347,SwaptionMonthsToGo+SwaptionShift))*SUM(INDEX($FK$325:$ID$396,GC$169,1+SwaptionShift):INDEX($FK$325:$ID$396,GC$169,SwaptionMonthsToGo+SwaptionShift))))))</f>
        <v/>
      </c>
      <c r="GD192" s="479" t="str">
        <f ca="1">IF(OR(GD$169&lt;SwaptionFirstMonthPosition+1,$FJ192&lt;SwaptionFirstMonthPosition+1,GD$169&gt;SwaptionFirstMonthPosition+SwaptionNumOfMonths+1,$FJ192&gt;SwaptionFirstMonthPosition+SwaptionNumOfMonths+1),"",IF($FJ192=GD$169,1,IF($FJ192&lt;GD$169,INDEX($FK$170:$ID$241,GD$169,$FJ192),SUMPRODUCT(INDEX($FK$325:$ID$396,GD$169,1+SwaptionShift):INDEX($FK$325:$ID$396,GD$169,SwaptionMonthsToGo+SwaptionShift),INDEX($FK$245:$ID$316,$FJ192-GD$169,73-GD$169+SwaptionShift):INDEX($FK$245:$ID$316,$FJ192-GD$169,72-GD$169+SwaptionMonthsToGo+SwaptionShift))/SQRT(SUM(INDEX($FK347:$ID347,1+SwaptionShift):INDEX($FK347:$ID347,SwaptionMonthsToGo+SwaptionShift))*SUM(INDEX($FK$325:$ID$396,GD$169,1+SwaptionShift):INDEX($FK$325:$ID$396,GD$169,SwaptionMonthsToGo+SwaptionShift))))))</f>
        <v/>
      </c>
      <c r="GE192" s="479" t="str">
        <f ca="1">IF(OR(GE$169&lt;SwaptionFirstMonthPosition+1,$FJ192&lt;SwaptionFirstMonthPosition+1,GE$169&gt;SwaptionFirstMonthPosition+SwaptionNumOfMonths+1,$FJ192&gt;SwaptionFirstMonthPosition+SwaptionNumOfMonths+1),"",IF($FJ192=GE$169,1,IF($FJ192&lt;GE$169,INDEX($FK$170:$ID$241,GE$169,$FJ192),SUMPRODUCT(INDEX($FK$325:$ID$396,GE$169,1+SwaptionShift):INDEX($FK$325:$ID$396,GE$169,SwaptionMonthsToGo+SwaptionShift),INDEX($FK$245:$ID$316,$FJ192-GE$169,73-GE$169+SwaptionShift):INDEX($FK$245:$ID$316,$FJ192-GE$169,72-GE$169+SwaptionMonthsToGo+SwaptionShift))/SQRT(SUM(INDEX($FK347:$ID347,1+SwaptionShift):INDEX($FK347:$ID347,SwaptionMonthsToGo+SwaptionShift))*SUM(INDEX($FK$325:$ID$396,GE$169,1+SwaptionShift):INDEX($FK$325:$ID$396,GE$169,SwaptionMonthsToGo+SwaptionShift))))))</f>
        <v/>
      </c>
      <c r="GF192" s="479" t="str">
        <f ca="1">IF(OR(GF$169&lt;SwaptionFirstMonthPosition+1,$FJ192&lt;SwaptionFirstMonthPosition+1,GF$169&gt;SwaptionFirstMonthPosition+SwaptionNumOfMonths+1,$FJ192&gt;SwaptionFirstMonthPosition+SwaptionNumOfMonths+1),"",IF($FJ192=GF$169,1,IF($FJ192&lt;GF$169,INDEX($FK$170:$ID$241,GF$169,$FJ192),SUMPRODUCT(INDEX($FK$325:$ID$396,GF$169,1+SwaptionShift):INDEX($FK$325:$ID$396,GF$169,SwaptionMonthsToGo+SwaptionShift),INDEX($FK$245:$ID$316,$FJ192-GF$169,73-GF$169+SwaptionShift):INDEX($FK$245:$ID$316,$FJ192-GF$169,72-GF$169+SwaptionMonthsToGo+SwaptionShift))/SQRT(SUM(INDEX($FK347:$ID347,1+SwaptionShift):INDEX($FK347:$ID347,SwaptionMonthsToGo+SwaptionShift))*SUM(INDEX($FK$325:$ID$396,GF$169,1+SwaptionShift):INDEX($FK$325:$ID$396,GF$169,SwaptionMonthsToGo+SwaptionShift))))))</f>
        <v/>
      </c>
      <c r="GG192" s="479" t="str">
        <f ca="1">IF(OR(GG$169&lt;SwaptionFirstMonthPosition+1,$FJ192&lt;SwaptionFirstMonthPosition+1,GG$169&gt;SwaptionFirstMonthPosition+SwaptionNumOfMonths+1,$FJ192&gt;SwaptionFirstMonthPosition+SwaptionNumOfMonths+1),"",IF($FJ192=GG$169,1,IF($FJ192&lt;GG$169,INDEX($FK$170:$ID$241,GG$169,$FJ192),SUMPRODUCT(INDEX($FK$325:$ID$396,GG$169,1+SwaptionShift):INDEX($FK$325:$ID$396,GG$169,SwaptionMonthsToGo+SwaptionShift),INDEX($FK$245:$ID$316,$FJ192-GG$169,73-GG$169+SwaptionShift):INDEX($FK$245:$ID$316,$FJ192-GG$169,72-GG$169+SwaptionMonthsToGo+SwaptionShift))/SQRT(SUM(INDEX($FK347:$ID347,1+SwaptionShift):INDEX($FK347:$ID347,SwaptionMonthsToGo+SwaptionShift))*SUM(INDEX($FK$325:$ID$396,GG$169,1+SwaptionShift):INDEX($FK$325:$ID$396,GG$169,SwaptionMonthsToGo+SwaptionShift))))))</f>
        <v/>
      </c>
      <c r="GH192" s="479" t="str">
        <f ca="1">IF(OR(GH$169&lt;SwaptionFirstMonthPosition+1,$FJ192&lt;SwaptionFirstMonthPosition+1,GH$169&gt;SwaptionFirstMonthPosition+SwaptionNumOfMonths+1,$FJ192&gt;SwaptionFirstMonthPosition+SwaptionNumOfMonths+1),"",IF($FJ192=GH$169,1,IF($FJ192&lt;GH$169,INDEX($FK$170:$ID$241,GH$169,$FJ192),SUMPRODUCT(INDEX($FK$325:$ID$396,GH$169,1+SwaptionShift):INDEX($FK$325:$ID$396,GH$169,SwaptionMonthsToGo+SwaptionShift),INDEX($FK$245:$ID$316,$FJ192-GH$169,73-GH$169+SwaptionShift):INDEX($FK$245:$ID$316,$FJ192-GH$169,72-GH$169+SwaptionMonthsToGo+SwaptionShift))/SQRT(SUM(INDEX($FK347:$ID347,1+SwaptionShift):INDEX($FK347:$ID347,SwaptionMonthsToGo+SwaptionShift))*SUM(INDEX($FK$325:$ID$396,GH$169,1+SwaptionShift):INDEX($FK$325:$ID$396,GH$169,SwaptionMonthsToGo+SwaptionShift))))))</f>
        <v/>
      </c>
      <c r="GI192" s="479" t="str">
        <f ca="1">IF(OR(GI$169&lt;SwaptionFirstMonthPosition+1,$FJ192&lt;SwaptionFirstMonthPosition+1,GI$169&gt;SwaptionFirstMonthPosition+SwaptionNumOfMonths+1,$FJ192&gt;SwaptionFirstMonthPosition+SwaptionNumOfMonths+1),"",IF($FJ192=GI$169,1,IF($FJ192&lt;GI$169,INDEX($FK$170:$ID$241,GI$169,$FJ192),SUMPRODUCT(INDEX($FK$325:$ID$396,GI$169,1+SwaptionShift):INDEX($FK$325:$ID$396,GI$169,SwaptionMonthsToGo+SwaptionShift),INDEX($FK$245:$ID$316,$FJ192-GI$169,73-GI$169+SwaptionShift):INDEX($FK$245:$ID$316,$FJ192-GI$169,72-GI$169+SwaptionMonthsToGo+SwaptionShift))/SQRT(SUM(INDEX($FK347:$ID347,1+SwaptionShift):INDEX($FK347:$ID347,SwaptionMonthsToGo+SwaptionShift))*SUM(INDEX($FK$325:$ID$396,GI$169,1+SwaptionShift):INDEX($FK$325:$ID$396,GI$169,SwaptionMonthsToGo+SwaptionShift))))))</f>
        <v/>
      </c>
      <c r="GJ192" s="479" t="str">
        <f ca="1">IF(OR(GJ$169&lt;SwaptionFirstMonthPosition+1,$FJ192&lt;SwaptionFirstMonthPosition+1,GJ$169&gt;SwaptionFirstMonthPosition+SwaptionNumOfMonths+1,$FJ192&gt;SwaptionFirstMonthPosition+SwaptionNumOfMonths+1),"",IF($FJ192=GJ$169,1,IF($FJ192&lt;GJ$169,INDEX($FK$170:$ID$241,GJ$169,$FJ192),SUMPRODUCT(INDEX($FK$325:$ID$396,GJ$169,1+SwaptionShift):INDEX($FK$325:$ID$396,GJ$169,SwaptionMonthsToGo+SwaptionShift),INDEX($FK$245:$ID$316,$FJ192-GJ$169,73-GJ$169+SwaptionShift):INDEX($FK$245:$ID$316,$FJ192-GJ$169,72-GJ$169+SwaptionMonthsToGo+SwaptionShift))/SQRT(SUM(INDEX($FK347:$ID347,1+SwaptionShift):INDEX($FK347:$ID347,SwaptionMonthsToGo+SwaptionShift))*SUM(INDEX($FK$325:$ID$396,GJ$169,1+SwaptionShift):INDEX($FK$325:$ID$396,GJ$169,SwaptionMonthsToGo+SwaptionShift))))))</f>
        <v/>
      </c>
      <c r="GK192" s="479" t="str">
        <f ca="1">IF(OR(GK$169&lt;SwaptionFirstMonthPosition+1,$FJ192&lt;SwaptionFirstMonthPosition+1,GK$169&gt;SwaptionFirstMonthPosition+SwaptionNumOfMonths+1,$FJ192&gt;SwaptionFirstMonthPosition+SwaptionNumOfMonths+1),"",IF($FJ192=GK$169,1,IF($FJ192&lt;GK$169,INDEX($FK$170:$ID$241,GK$169,$FJ192),SUMPRODUCT(INDEX($FK$325:$ID$396,GK$169,1+SwaptionShift):INDEX($FK$325:$ID$396,GK$169,SwaptionMonthsToGo+SwaptionShift),INDEX($FK$245:$ID$316,$FJ192-GK$169,73-GK$169+SwaptionShift):INDEX($FK$245:$ID$316,$FJ192-GK$169,72-GK$169+SwaptionMonthsToGo+SwaptionShift))/SQRT(SUM(INDEX($FK347:$ID347,1+SwaptionShift):INDEX($FK347:$ID347,SwaptionMonthsToGo+SwaptionShift))*SUM(INDEX($FK$325:$ID$396,GK$169,1+SwaptionShift):INDEX($FK$325:$ID$396,GK$169,SwaptionMonthsToGo+SwaptionShift))))))</f>
        <v/>
      </c>
      <c r="GL192" s="479" t="str">
        <f ca="1">IF(OR(GL$169&lt;SwaptionFirstMonthPosition+1,$FJ192&lt;SwaptionFirstMonthPosition+1,GL$169&gt;SwaptionFirstMonthPosition+SwaptionNumOfMonths+1,$FJ192&gt;SwaptionFirstMonthPosition+SwaptionNumOfMonths+1),"",IF($FJ192=GL$169,1,IF($FJ192&lt;GL$169,INDEX($FK$170:$ID$241,GL$169,$FJ192),SUMPRODUCT(INDEX($FK$325:$ID$396,GL$169,1+SwaptionShift):INDEX($FK$325:$ID$396,GL$169,SwaptionMonthsToGo+SwaptionShift),INDEX($FK$245:$ID$316,$FJ192-GL$169,73-GL$169+SwaptionShift):INDEX($FK$245:$ID$316,$FJ192-GL$169,72-GL$169+SwaptionMonthsToGo+SwaptionShift))/SQRT(SUM(INDEX($FK347:$ID347,1+SwaptionShift):INDEX($FK347:$ID347,SwaptionMonthsToGo+SwaptionShift))*SUM(INDEX($FK$325:$ID$396,GL$169,1+SwaptionShift):INDEX($FK$325:$ID$396,GL$169,SwaptionMonthsToGo+SwaptionShift))))))</f>
        <v/>
      </c>
      <c r="GM192" s="479" t="str">
        <f ca="1">IF(OR(GM$169&lt;SwaptionFirstMonthPosition+1,$FJ192&lt;SwaptionFirstMonthPosition+1,GM$169&gt;SwaptionFirstMonthPosition+SwaptionNumOfMonths+1,$FJ192&gt;SwaptionFirstMonthPosition+SwaptionNumOfMonths+1),"",IF($FJ192=GM$169,1,IF($FJ192&lt;GM$169,INDEX($FK$170:$ID$241,GM$169,$FJ192),SUMPRODUCT(INDEX($FK$325:$ID$396,GM$169,1+SwaptionShift):INDEX($FK$325:$ID$396,GM$169,SwaptionMonthsToGo+SwaptionShift),INDEX($FK$245:$ID$316,$FJ192-GM$169,73-GM$169+SwaptionShift):INDEX($FK$245:$ID$316,$FJ192-GM$169,72-GM$169+SwaptionMonthsToGo+SwaptionShift))/SQRT(SUM(INDEX($FK347:$ID347,1+SwaptionShift):INDEX($FK347:$ID347,SwaptionMonthsToGo+SwaptionShift))*SUM(INDEX($FK$325:$ID$396,GM$169,1+SwaptionShift):INDEX($FK$325:$ID$396,GM$169,SwaptionMonthsToGo+SwaptionShift))))))</f>
        <v/>
      </c>
      <c r="GN192" s="479" t="str">
        <f ca="1">IF(OR(GN$169&lt;SwaptionFirstMonthPosition+1,$FJ192&lt;SwaptionFirstMonthPosition+1,GN$169&gt;SwaptionFirstMonthPosition+SwaptionNumOfMonths+1,$FJ192&gt;SwaptionFirstMonthPosition+SwaptionNumOfMonths+1),"",IF($FJ192=GN$169,1,IF($FJ192&lt;GN$169,INDEX($FK$170:$ID$241,GN$169,$FJ192),SUMPRODUCT(INDEX($FK$325:$ID$396,GN$169,1+SwaptionShift):INDEX($FK$325:$ID$396,GN$169,SwaptionMonthsToGo+SwaptionShift),INDEX($FK$245:$ID$316,$FJ192-GN$169,73-GN$169+SwaptionShift):INDEX($FK$245:$ID$316,$FJ192-GN$169,72-GN$169+SwaptionMonthsToGo+SwaptionShift))/SQRT(SUM(INDEX($FK347:$ID347,1+SwaptionShift):INDEX($FK347:$ID347,SwaptionMonthsToGo+SwaptionShift))*SUM(INDEX($FK$325:$ID$396,GN$169,1+SwaptionShift):INDEX($FK$325:$ID$396,GN$169,SwaptionMonthsToGo+SwaptionShift))))))</f>
        <v/>
      </c>
      <c r="GO192" s="479" t="str">
        <f ca="1">IF(OR(GO$169&lt;SwaptionFirstMonthPosition+1,$FJ192&lt;SwaptionFirstMonthPosition+1,GO$169&gt;SwaptionFirstMonthPosition+SwaptionNumOfMonths+1,$FJ192&gt;SwaptionFirstMonthPosition+SwaptionNumOfMonths+1),"",IF($FJ192=GO$169,1,IF($FJ192&lt;GO$169,INDEX($FK$170:$ID$241,GO$169,$FJ192),SUMPRODUCT(INDEX($FK$325:$ID$396,GO$169,1+SwaptionShift):INDEX($FK$325:$ID$396,GO$169,SwaptionMonthsToGo+SwaptionShift),INDEX($FK$245:$ID$316,$FJ192-GO$169,73-GO$169+SwaptionShift):INDEX($FK$245:$ID$316,$FJ192-GO$169,72-GO$169+SwaptionMonthsToGo+SwaptionShift))/SQRT(SUM(INDEX($FK347:$ID347,1+SwaptionShift):INDEX($FK347:$ID347,SwaptionMonthsToGo+SwaptionShift))*SUM(INDEX($FK$325:$ID$396,GO$169,1+SwaptionShift):INDEX($FK$325:$ID$396,GO$169,SwaptionMonthsToGo+SwaptionShift))))))</f>
        <v/>
      </c>
      <c r="GP192" s="479" t="str">
        <f ca="1">IF(OR(GP$169&lt;SwaptionFirstMonthPosition+1,$FJ192&lt;SwaptionFirstMonthPosition+1,GP$169&gt;SwaptionFirstMonthPosition+SwaptionNumOfMonths+1,$FJ192&gt;SwaptionFirstMonthPosition+SwaptionNumOfMonths+1),"",IF($FJ192=GP$169,1,IF($FJ192&lt;GP$169,INDEX($FK$170:$ID$241,GP$169,$FJ192),SUMPRODUCT(INDEX($FK$325:$ID$396,GP$169,1+SwaptionShift):INDEX($FK$325:$ID$396,GP$169,SwaptionMonthsToGo+SwaptionShift),INDEX($FK$245:$ID$316,$FJ192-GP$169,73-GP$169+SwaptionShift):INDEX($FK$245:$ID$316,$FJ192-GP$169,72-GP$169+SwaptionMonthsToGo+SwaptionShift))/SQRT(SUM(INDEX($FK347:$ID347,1+SwaptionShift):INDEX($FK347:$ID347,SwaptionMonthsToGo+SwaptionShift))*SUM(INDEX($FK$325:$ID$396,GP$169,1+SwaptionShift):INDEX($FK$325:$ID$396,GP$169,SwaptionMonthsToGo+SwaptionShift))))))</f>
        <v/>
      </c>
      <c r="GQ192" s="479" t="str">
        <f ca="1">IF(OR(GQ$169&lt;SwaptionFirstMonthPosition+1,$FJ192&lt;SwaptionFirstMonthPosition+1,GQ$169&gt;SwaptionFirstMonthPosition+SwaptionNumOfMonths+1,$FJ192&gt;SwaptionFirstMonthPosition+SwaptionNumOfMonths+1),"",IF($FJ192=GQ$169,1,IF($FJ192&lt;GQ$169,INDEX($FK$170:$ID$241,GQ$169,$FJ192),SUMPRODUCT(INDEX($FK$325:$ID$396,GQ$169,1+SwaptionShift):INDEX($FK$325:$ID$396,GQ$169,SwaptionMonthsToGo+SwaptionShift),INDEX($FK$245:$ID$316,$FJ192-GQ$169,73-GQ$169+SwaptionShift):INDEX($FK$245:$ID$316,$FJ192-GQ$169,72-GQ$169+SwaptionMonthsToGo+SwaptionShift))/SQRT(SUM(INDEX($FK347:$ID347,1+SwaptionShift):INDEX($FK347:$ID347,SwaptionMonthsToGo+SwaptionShift))*SUM(INDEX($FK$325:$ID$396,GQ$169,1+SwaptionShift):INDEX($FK$325:$ID$396,GQ$169,SwaptionMonthsToGo+SwaptionShift))))))</f>
        <v/>
      </c>
      <c r="GR192" s="479" t="str">
        <f ca="1">IF(OR(GR$169&lt;SwaptionFirstMonthPosition+1,$FJ192&lt;SwaptionFirstMonthPosition+1,GR$169&gt;SwaptionFirstMonthPosition+SwaptionNumOfMonths+1,$FJ192&gt;SwaptionFirstMonthPosition+SwaptionNumOfMonths+1),"",IF($FJ192=GR$169,1,IF($FJ192&lt;GR$169,INDEX($FK$170:$ID$241,GR$169,$FJ192),SUMPRODUCT(INDEX($FK$325:$ID$396,GR$169,1+SwaptionShift):INDEX($FK$325:$ID$396,GR$169,SwaptionMonthsToGo+SwaptionShift),INDEX($FK$245:$ID$316,$FJ192-GR$169,73-GR$169+SwaptionShift):INDEX($FK$245:$ID$316,$FJ192-GR$169,72-GR$169+SwaptionMonthsToGo+SwaptionShift))/SQRT(SUM(INDEX($FK347:$ID347,1+SwaptionShift):INDEX($FK347:$ID347,SwaptionMonthsToGo+SwaptionShift))*SUM(INDEX($FK$325:$ID$396,GR$169,1+SwaptionShift):INDEX($FK$325:$ID$396,GR$169,SwaptionMonthsToGo+SwaptionShift))))))</f>
        <v/>
      </c>
      <c r="GS192" s="479" t="str">
        <f ca="1">IF(OR(GS$169&lt;SwaptionFirstMonthPosition+1,$FJ192&lt;SwaptionFirstMonthPosition+1,GS$169&gt;SwaptionFirstMonthPosition+SwaptionNumOfMonths+1,$FJ192&gt;SwaptionFirstMonthPosition+SwaptionNumOfMonths+1),"",IF($FJ192=GS$169,1,IF($FJ192&lt;GS$169,INDEX($FK$170:$ID$241,GS$169,$FJ192),SUMPRODUCT(INDEX($FK$325:$ID$396,GS$169,1+SwaptionShift):INDEX($FK$325:$ID$396,GS$169,SwaptionMonthsToGo+SwaptionShift),INDEX($FK$245:$ID$316,$FJ192-GS$169,73-GS$169+SwaptionShift):INDEX($FK$245:$ID$316,$FJ192-GS$169,72-GS$169+SwaptionMonthsToGo+SwaptionShift))/SQRT(SUM(INDEX($FK347:$ID347,1+SwaptionShift):INDEX($FK347:$ID347,SwaptionMonthsToGo+SwaptionShift))*SUM(INDEX($FK$325:$ID$396,GS$169,1+SwaptionShift):INDEX($FK$325:$ID$396,GS$169,SwaptionMonthsToGo+SwaptionShift))))))</f>
        <v/>
      </c>
      <c r="GT192" s="479" t="str">
        <f ca="1">IF(OR(GT$169&lt;SwaptionFirstMonthPosition+1,$FJ192&lt;SwaptionFirstMonthPosition+1,GT$169&gt;SwaptionFirstMonthPosition+SwaptionNumOfMonths+1,$FJ192&gt;SwaptionFirstMonthPosition+SwaptionNumOfMonths+1),"",IF($FJ192=GT$169,1,IF($FJ192&lt;GT$169,INDEX($FK$170:$ID$241,GT$169,$FJ192),SUMPRODUCT(INDEX($FK$325:$ID$396,GT$169,1+SwaptionShift):INDEX($FK$325:$ID$396,GT$169,SwaptionMonthsToGo+SwaptionShift),INDEX($FK$245:$ID$316,$FJ192-GT$169,73-GT$169+SwaptionShift):INDEX($FK$245:$ID$316,$FJ192-GT$169,72-GT$169+SwaptionMonthsToGo+SwaptionShift))/SQRT(SUM(INDEX($FK347:$ID347,1+SwaptionShift):INDEX($FK347:$ID347,SwaptionMonthsToGo+SwaptionShift))*SUM(INDEX($FK$325:$ID$396,GT$169,1+SwaptionShift):INDEX($FK$325:$ID$396,GT$169,SwaptionMonthsToGo+SwaptionShift))))))</f>
        <v/>
      </c>
      <c r="GU192" s="479" t="str">
        <f ca="1">IF(OR(GU$169&lt;SwaptionFirstMonthPosition+1,$FJ192&lt;SwaptionFirstMonthPosition+1,GU$169&gt;SwaptionFirstMonthPosition+SwaptionNumOfMonths+1,$FJ192&gt;SwaptionFirstMonthPosition+SwaptionNumOfMonths+1),"",IF($FJ192=GU$169,1,IF($FJ192&lt;GU$169,INDEX($FK$170:$ID$241,GU$169,$FJ192),SUMPRODUCT(INDEX($FK$325:$ID$396,GU$169,1+SwaptionShift):INDEX($FK$325:$ID$396,GU$169,SwaptionMonthsToGo+SwaptionShift),INDEX($FK$245:$ID$316,$FJ192-GU$169,73-GU$169+SwaptionShift):INDEX($FK$245:$ID$316,$FJ192-GU$169,72-GU$169+SwaptionMonthsToGo+SwaptionShift))/SQRT(SUM(INDEX($FK347:$ID347,1+SwaptionShift):INDEX($FK347:$ID347,SwaptionMonthsToGo+SwaptionShift))*SUM(INDEX($FK$325:$ID$396,GU$169,1+SwaptionShift):INDEX($FK$325:$ID$396,GU$169,SwaptionMonthsToGo+SwaptionShift))))))</f>
        <v/>
      </c>
      <c r="GV192" s="479" t="str">
        <f ca="1">IF(OR(GV$169&lt;SwaptionFirstMonthPosition+1,$FJ192&lt;SwaptionFirstMonthPosition+1,GV$169&gt;SwaptionFirstMonthPosition+SwaptionNumOfMonths+1,$FJ192&gt;SwaptionFirstMonthPosition+SwaptionNumOfMonths+1),"",IF($FJ192=GV$169,1,IF($FJ192&lt;GV$169,INDEX($FK$170:$ID$241,GV$169,$FJ192),SUMPRODUCT(INDEX($FK$325:$ID$396,GV$169,1+SwaptionShift):INDEX($FK$325:$ID$396,GV$169,SwaptionMonthsToGo+SwaptionShift),INDEX($FK$245:$ID$316,$FJ192-GV$169,73-GV$169+SwaptionShift):INDEX($FK$245:$ID$316,$FJ192-GV$169,72-GV$169+SwaptionMonthsToGo+SwaptionShift))/SQRT(SUM(INDEX($FK347:$ID347,1+SwaptionShift):INDEX($FK347:$ID347,SwaptionMonthsToGo+SwaptionShift))*SUM(INDEX($FK$325:$ID$396,GV$169,1+SwaptionShift):INDEX($FK$325:$ID$396,GV$169,SwaptionMonthsToGo+SwaptionShift))))))</f>
        <v/>
      </c>
      <c r="GW192" s="479" t="str">
        <f ca="1">IF(OR(GW$169&lt;SwaptionFirstMonthPosition+1,$FJ192&lt;SwaptionFirstMonthPosition+1,GW$169&gt;SwaptionFirstMonthPosition+SwaptionNumOfMonths+1,$FJ192&gt;SwaptionFirstMonthPosition+SwaptionNumOfMonths+1),"",IF($FJ192=GW$169,1,IF($FJ192&lt;GW$169,INDEX($FK$170:$ID$241,GW$169,$FJ192),SUMPRODUCT(INDEX($FK$325:$ID$396,GW$169,1+SwaptionShift):INDEX($FK$325:$ID$396,GW$169,SwaptionMonthsToGo+SwaptionShift),INDEX($FK$245:$ID$316,$FJ192-GW$169,73-GW$169+SwaptionShift):INDEX($FK$245:$ID$316,$FJ192-GW$169,72-GW$169+SwaptionMonthsToGo+SwaptionShift))/SQRT(SUM(INDEX($FK347:$ID347,1+SwaptionShift):INDEX($FK347:$ID347,SwaptionMonthsToGo+SwaptionShift))*SUM(INDEX($FK$325:$ID$396,GW$169,1+SwaptionShift):INDEX($FK$325:$ID$396,GW$169,SwaptionMonthsToGo+SwaptionShift))))))</f>
        <v/>
      </c>
      <c r="GX192" s="479" t="str">
        <f ca="1">IF(OR(GX$169&lt;SwaptionFirstMonthPosition+1,$FJ192&lt;SwaptionFirstMonthPosition+1,GX$169&gt;SwaptionFirstMonthPosition+SwaptionNumOfMonths+1,$FJ192&gt;SwaptionFirstMonthPosition+SwaptionNumOfMonths+1),"",IF($FJ192=GX$169,1,IF($FJ192&lt;GX$169,INDEX($FK$170:$ID$241,GX$169,$FJ192),SUMPRODUCT(INDEX($FK$325:$ID$396,GX$169,1+SwaptionShift):INDEX($FK$325:$ID$396,GX$169,SwaptionMonthsToGo+SwaptionShift),INDEX($FK$245:$ID$316,$FJ192-GX$169,73-GX$169+SwaptionShift):INDEX($FK$245:$ID$316,$FJ192-GX$169,72-GX$169+SwaptionMonthsToGo+SwaptionShift))/SQRT(SUM(INDEX($FK347:$ID347,1+SwaptionShift):INDEX($FK347:$ID347,SwaptionMonthsToGo+SwaptionShift))*SUM(INDEX($FK$325:$ID$396,GX$169,1+SwaptionShift):INDEX($FK$325:$ID$396,GX$169,SwaptionMonthsToGo+SwaptionShift))))))</f>
        <v/>
      </c>
      <c r="GY192" s="479" t="str">
        <f ca="1">IF(OR(GY$169&lt;SwaptionFirstMonthPosition+1,$FJ192&lt;SwaptionFirstMonthPosition+1,GY$169&gt;SwaptionFirstMonthPosition+SwaptionNumOfMonths+1,$FJ192&gt;SwaptionFirstMonthPosition+SwaptionNumOfMonths+1),"",IF($FJ192=GY$169,1,IF($FJ192&lt;GY$169,INDEX($FK$170:$ID$241,GY$169,$FJ192),SUMPRODUCT(INDEX($FK$325:$ID$396,GY$169,1+SwaptionShift):INDEX($FK$325:$ID$396,GY$169,SwaptionMonthsToGo+SwaptionShift),INDEX($FK$245:$ID$316,$FJ192-GY$169,73-GY$169+SwaptionShift):INDEX($FK$245:$ID$316,$FJ192-GY$169,72-GY$169+SwaptionMonthsToGo+SwaptionShift))/SQRT(SUM(INDEX($FK347:$ID347,1+SwaptionShift):INDEX($FK347:$ID347,SwaptionMonthsToGo+SwaptionShift))*SUM(INDEX($FK$325:$ID$396,GY$169,1+SwaptionShift):INDEX($FK$325:$ID$396,GY$169,SwaptionMonthsToGo+SwaptionShift))))))</f>
        <v/>
      </c>
      <c r="GZ192" s="479" t="str">
        <f ca="1">IF(OR(GZ$169&lt;SwaptionFirstMonthPosition+1,$FJ192&lt;SwaptionFirstMonthPosition+1,GZ$169&gt;SwaptionFirstMonthPosition+SwaptionNumOfMonths+1,$FJ192&gt;SwaptionFirstMonthPosition+SwaptionNumOfMonths+1),"",IF($FJ192=GZ$169,1,IF($FJ192&lt;GZ$169,INDEX($FK$170:$ID$241,GZ$169,$FJ192),SUMPRODUCT(INDEX($FK$325:$ID$396,GZ$169,1+SwaptionShift):INDEX($FK$325:$ID$396,GZ$169,SwaptionMonthsToGo+SwaptionShift),INDEX($FK$245:$ID$316,$FJ192-GZ$169,73-GZ$169+SwaptionShift):INDEX($FK$245:$ID$316,$FJ192-GZ$169,72-GZ$169+SwaptionMonthsToGo+SwaptionShift))/SQRT(SUM(INDEX($FK347:$ID347,1+SwaptionShift):INDEX($FK347:$ID347,SwaptionMonthsToGo+SwaptionShift))*SUM(INDEX($FK$325:$ID$396,GZ$169,1+SwaptionShift):INDEX($FK$325:$ID$396,GZ$169,SwaptionMonthsToGo+SwaptionShift))))))</f>
        <v/>
      </c>
      <c r="HA192" s="479" t="str">
        <f ca="1">IF(OR(HA$169&lt;SwaptionFirstMonthPosition+1,$FJ192&lt;SwaptionFirstMonthPosition+1,HA$169&gt;SwaptionFirstMonthPosition+SwaptionNumOfMonths+1,$FJ192&gt;SwaptionFirstMonthPosition+SwaptionNumOfMonths+1),"",IF($FJ192=HA$169,1,IF($FJ192&lt;HA$169,INDEX($FK$170:$ID$241,HA$169,$FJ192),SUMPRODUCT(INDEX($FK$325:$ID$396,HA$169,1+SwaptionShift):INDEX($FK$325:$ID$396,HA$169,SwaptionMonthsToGo+SwaptionShift),INDEX($FK$245:$ID$316,$FJ192-HA$169,73-HA$169+SwaptionShift):INDEX($FK$245:$ID$316,$FJ192-HA$169,72-HA$169+SwaptionMonthsToGo+SwaptionShift))/SQRT(SUM(INDEX($FK347:$ID347,1+SwaptionShift):INDEX($FK347:$ID347,SwaptionMonthsToGo+SwaptionShift))*SUM(INDEX($FK$325:$ID$396,HA$169,1+SwaptionShift):INDEX($FK$325:$ID$396,HA$169,SwaptionMonthsToGo+SwaptionShift))))))</f>
        <v/>
      </c>
      <c r="HB192" s="479" t="str">
        <f ca="1">IF(OR(HB$169&lt;SwaptionFirstMonthPosition+1,$FJ192&lt;SwaptionFirstMonthPosition+1,HB$169&gt;SwaptionFirstMonthPosition+SwaptionNumOfMonths+1,$FJ192&gt;SwaptionFirstMonthPosition+SwaptionNumOfMonths+1),"",IF($FJ192=HB$169,1,IF($FJ192&lt;HB$169,INDEX($FK$170:$ID$241,HB$169,$FJ192),SUMPRODUCT(INDEX($FK$325:$ID$396,HB$169,1+SwaptionShift):INDEX($FK$325:$ID$396,HB$169,SwaptionMonthsToGo+SwaptionShift),INDEX($FK$245:$ID$316,$FJ192-HB$169,73-HB$169+SwaptionShift):INDEX($FK$245:$ID$316,$FJ192-HB$169,72-HB$169+SwaptionMonthsToGo+SwaptionShift))/SQRT(SUM(INDEX($FK347:$ID347,1+SwaptionShift):INDEX($FK347:$ID347,SwaptionMonthsToGo+SwaptionShift))*SUM(INDEX($FK$325:$ID$396,HB$169,1+SwaptionShift):INDEX($FK$325:$ID$396,HB$169,SwaptionMonthsToGo+SwaptionShift))))))</f>
        <v/>
      </c>
      <c r="HC192" s="479" t="str">
        <f ca="1">IF(OR(HC$169&lt;SwaptionFirstMonthPosition+1,$FJ192&lt;SwaptionFirstMonthPosition+1,HC$169&gt;SwaptionFirstMonthPosition+SwaptionNumOfMonths+1,$FJ192&gt;SwaptionFirstMonthPosition+SwaptionNumOfMonths+1),"",IF($FJ192=HC$169,1,IF($FJ192&lt;HC$169,INDEX($FK$170:$ID$241,HC$169,$FJ192),SUMPRODUCT(INDEX($FK$325:$ID$396,HC$169,1+SwaptionShift):INDEX($FK$325:$ID$396,HC$169,SwaptionMonthsToGo+SwaptionShift),INDEX($FK$245:$ID$316,$FJ192-HC$169,73-HC$169+SwaptionShift):INDEX($FK$245:$ID$316,$FJ192-HC$169,72-HC$169+SwaptionMonthsToGo+SwaptionShift))/SQRT(SUM(INDEX($FK347:$ID347,1+SwaptionShift):INDEX($FK347:$ID347,SwaptionMonthsToGo+SwaptionShift))*SUM(INDEX($FK$325:$ID$396,HC$169,1+SwaptionShift):INDEX($FK$325:$ID$396,HC$169,SwaptionMonthsToGo+SwaptionShift))))))</f>
        <v/>
      </c>
      <c r="HD192" s="479" t="str">
        <f ca="1">IF(OR(HD$169&lt;SwaptionFirstMonthPosition+1,$FJ192&lt;SwaptionFirstMonthPosition+1,HD$169&gt;SwaptionFirstMonthPosition+SwaptionNumOfMonths+1,$FJ192&gt;SwaptionFirstMonthPosition+SwaptionNumOfMonths+1),"",IF($FJ192=HD$169,1,IF($FJ192&lt;HD$169,INDEX($FK$170:$ID$241,HD$169,$FJ192),SUMPRODUCT(INDEX($FK$325:$ID$396,HD$169,1+SwaptionShift):INDEX($FK$325:$ID$396,HD$169,SwaptionMonthsToGo+SwaptionShift),INDEX($FK$245:$ID$316,$FJ192-HD$169,73-HD$169+SwaptionShift):INDEX($FK$245:$ID$316,$FJ192-HD$169,72-HD$169+SwaptionMonthsToGo+SwaptionShift))/SQRT(SUM(INDEX($FK347:$ID347,1+SwaptionShift):INDEX($FK347:$ID347,SwaptionMonthsToGo+SwaptionShift))*SUM(INDEX($FK$325:$ID$396,HD$169,1+SwaptionShift):INDEX($FK$325:$ID$396,HD$169,SwaptionMonthsToGo+SwaptionShift))))))</f>
        <v/>
      </c>
      <c r="HE192" s="479" t="str">
        <f ca="1">IF(OR(HE$169&lt;SwaptionFirstMonthPosition+1,$FJ192&lt;SwaptionFirstMonthPosition+1,HE$169&gt;SwaptionFirstMonthPosition+SwaptionNumOfMonths+1,$FJ192&gt;SwaptionFirstMonthPosition+SwaptionNumOfMonths+1),"",IF($FJ192=HE$169,1,IF($FJ192&lt;HE$169,INDEX($FK$170:$ID$241,HE$169,$FJ192),SUMPRODUCT(INDEX($FK$325:$ID$396,HE$169,1+SwaptionShift):INDEX($FK$325:$ID$396,HE$169,SwaptionMonthsToGo+SwaptionShift),INDEX($FK$245:$ID$316,$FJ192-HE$169,73-HE$169+SwaptionShift):INDEX($FK$245:$ID$316,$FJ192-HE$169,72-HE$169+SwaptionMonthsToGo+SwaptionShift))/SQRT(SUM(INDEX($FK347:$ID347,1+SwaptionShift):INDEX($FK347:$ID347,SwaptionMonthsToGo+SwaptionShift))*SUM(INDEX($FK$325:$ID$396,HE$169,1+SwaptionShift):INDEX($FK$325:$ID$396,HE$169,SwaptionMonthsToGo+SwaptionShift))))))</f>
        <v/>
      </c>
      <c r="HF192" s="479" t="str">
        <f ca="1">IF(OR(HF$169&lt;SwaptionFirstMonthPosition+1,$FJ192&lt;SwaptionFirstMonthPosition+1,HF$169&gt;SwaptionFirstMonthPosition+SwaptionNumOfMonths+1,$FJ192&gt;SwaptionFirstMonthPosition+SwaptionNumOfMonths+1),"",IF($FJ192=HF$169,1,IF($FJ192&lt;HF$169,INDEX($FK$170:$ID$241,HF$169,$FJ192),SUMPRODUCT(INDEX($FK$325:$ID$396,HF$169,1+SwaptionShift):INDEX($FK$325:$ID$396,HF$169,SwaptionMonthsToGo+SwaptionShift),INDEX($FK$245:$ID$316,$FJ192-HF$169,73-HF$169+SwaptionShift):INDEX($FK$245:$ID$316,$FJ192-HF$169,72-HF$169+SwaptionMonthsToGo+SwaptionShift))/SQRT(SUM(INDEX($FK347:$ID347,1+SwaptionShift):INDEX($FK347:$ID347,SwaptionMonthsToGo+SwaptionShift))*SUM(INDEX($FK$325:$ID$396,HF$169,1+SwaptionShift):INDEX($FK$325:$ID$396,HF$169,SwaptionMonthsToGo+SwaptionShift))))))</f>
        <v/>
      </c>
      <c r="HG192" s="479" t="str">
        <f ca="1">IF(OR(HG$169&lt;SwaptionFirstMonthPosition+1,$FJ192&lt;SwaptionFirstMonthPosition+1,HG$169&gt;SwaptionFirstMonthPosition+SwaptionNumOfMonths+1,$FJ192&gt;SwaptionFirstMonthPosition+SwaptionNumOfMonths+1),"",IF($FJ192=HG$169,1,IF($FJ192&lt;HG$169,INDEX($FK$170:$ID$241,HG$169,$FJ192),SUMPRODUCT(INDEX($FK$325:$ID$396,HG$169,1+SwaptionShift):INDEX($FK$325:$ID$396,HG$169,SwaptionMonthsToGo+SwaptionShift),INDEX($FK$245:$ID$316,$FJ192-HG$169,73-HG$169+SwaptionShift):INDEX($FK$245:$ID$316,$FJ192-HG$169,72-HG$169+SwaptionMonthsToGo+SwaptionShift))/SQRT(SUM(INDEX($FK347:$ID347,1+SwaptionShift):INDEX($FK347:$ID347,SwaptionMonthsToGo+SwaptionShift))*SUM(INDEX($FK$325:$ID$396,HG$169,1+SwaptionShift):INDEX($FK$325:$ID$396,HG$169,SwaptionMonthsToGo+SwaptionShift))))))</f>
        <v/>
      </c>
      <c r="HH192" s="479" t="str">
        <f ca="1">IF(OR(HH$169&lt;SwaptionFirstMonthPosition+1,$FJ192&lt;SwaptionFirstMonthPosition+1,HH$169&gt;SwaptionFirstMonthPosition+SwaptionNumOfMonths+1,$FJ192&gt;SwaptionFirstMonthPosition+SwaptionNumOfMonths+1),"",IF($FJ192=HH$169,1,IF($FJ192&lt;HH$169,INDEX($FK$170:$ID$241,HH$169,$FJ192),SUMPRODUCT(INDEX($FK$325:$ID$396,HH$169,1+SwaptionShift):INDEX($FK$325:$ID$396,HH$169,SwaptionMonthsToGo+SwaptionShift),INDEX($FK$245:$ID$316,$FJ192-HH$169,73-HH$169+SwaptionShift):INDEX($FK$245:$ID$316,$FJ192-HH$169,72-HH$169+SwaptionMonthsToGo+SwaptionShift))/SQRT(SUM(INDEX($FK347:$ID347,1+SwaptionShift):INDEX($FK347:$ID347,SwaptionMonthsToGo+SwaptionShift))*SUM(INDEX($FK$325:$ID$396,HH$169,1+SwaptionShift):INDEX($FK$325:$ID$396,HH$169,SwaptionMonthsToGo+SwaptionShift))))))</f>
        <v/>
      </c>
      <c r="HI192" s="479" t="str">
        <f ca="1">IF(OR(HI$169&lt;SwaptionFirstMonthPosition+1,$FJ192&lt;SwaptionFirstMonthPosition+1,HI$169&gt;SwaptionFirstMonthPosition+SwaptionNumOfMonths+1,$FJ192&gt;SwaptionFirstMonthPosition+SwaptionNumOfMonths+1),"",IF($FJ192=HI$169,1,IF($FJ192&lt;HI$169,INDEX($FK$170:$ID$241,HI$169,$FJ192),SUMPRODUCT(INDEX($FK$325:$ID$396,HI$169,1+SwaptionShift):INDEX($FK$325:$ID$396,HI$169,SwaptionMonthsToGo+SwaptionShift),INDEX($FK$245:$ID$316,$FJ192-HI$169,73-HI$169+SwaptionShift):INDEX($FK$245:$ID$316,$FJ192-HI$169,72-HI$169+SwaptionMonthsToGo+SwaptionShift))/SQRT(SUM(INDEX($FK347:$ID347,1+SwaptionShift):INDEX($FK347:$ID347,SwaptionMonthsToGo+SwaptionShift))*SUM(INDEX($FK$325:$ID$396,HI$169,1+SwaptionShift):INDEX($FK$325:$ID$396,HI$169,SwaptionMonthsToGo+SwaptionShift))))))</f>
        <v/>
      </c>
      <c r="HJ192" s="479" t="str">
        <f ca="1">IF(OR(HJ$169&lt;SwaptionFirstMonthPosition+1,$FJ192&lt;SwaptionFirstMonthPosition+1,HJ$169&gt;SwaptionFirstMonthPosition+SwaptionNumOfMonths+1,$FJ192&gt;SwaptionFirstMonthPosition+SwaptionNumOfMonths+1),"",IF($FJ192=HJ$169,1,IF($FJ192&lt;HJ$169,INDEX($FK$170:$ID$241,HJ$169,$FJ192),SUMPRODUCT(INDEX($FK$325:$ID$396,HJ$169,1+SwaptionShift):INDEX($FK$325:$ID$396,HJ$169,SwaptionMonthsToGo+SwaptionShift),INDEX($FK$245:$ID$316,$FJ192-HJ$169,73-HJ$169+SwaptionShift):INDEX($FK$245:$ID$316,$FJ192-HJ$169,72-HJ$169+SwaptionMonthsToGo+SwaptionShift))/SQRT(SUM(INDEX($FK347:$ID347,1+SwaptionShift):INDEX($FK347:$ID347,SwaptionMonthsToGo+SwaptionShift))*SUM(INDEX($FK$325:$ID$396,HJ$169,1+SwaptionShift):INDEX($FK$325:$ID$396,HJ$169,SwaptionMonthsToGo+SwaptionShift))))))</f>
        <v/>
      </c>
      <c r="HK192" s="479" t="str">
        <f ca="1">IF(OR(HK$169&lt;SwaptionFirstMonthPosition+1,$FJ192&lt;SwaptionFirstMonthPosition+1,HK$169&gt;SwaptionFirstMonthPosition+SwaptionNumOfMonths+1,$FJ192&gt;SwaptionFirstMonthPosition+SwaptionNumOfMonths+1),"",IF($FJ192=HK$169,1,IF($FJ192&lt;HK$169,INDEX($FK$170:$ID$241,HK$169,$FJ192),SUMPRODUCT(INDEX($FK$325:$ID$396,HK$169,1+SwaptionShift):INDEX($FK$325:$ID$396,HK$169,SwaptionMonthsToGo+SwaptionShift),INDEX($FK$245:$ID$316,$FJ192-HK$169,73-HK$169+SwaptionShift):INDEX($FK$245:$ID$316,$FJ192-HK$169,72-HK$169+SwaptionMonthsToGo+SwaptionShift))/SQRT(SUM(INDEX($FK347:$ID347,1+SwaptionShift):INDEX($FK347:$ID347,SwaptionMonthsToGo+SwaptionShift))*SUM(INDEX($FK$325:$ID$396,HK$169,1+SwaptionShift):INDEX($FK$325:$ID$396,HK$169,SwaptionMonthsToGo+SwaptionShift))))))</f>
        <v/>
      </c>
      <c r="HL192" s="479" t="str">
        <f ca="1">IF(OR(HL$169&lt;SwaptionFirstMonthPosition+1,$FJ192&lt;SwaptionFirstMonthPosition+1,HL$169&gt;SwaptionFirstMonthPosition+SwaptionNumOfMonths+1,$FJ192&gt;SwaptionFirstMonthPosition+SwaptionNumOfMonths+1),"",IF($FJ192=HL$169,1,IF($FJ192&lt;HL$169,INDEX($FK$170:$ID$241,HL$169,$FJ192),SUMPRODUCT(INDEX($FK$325:$ID$396,HL$169,1+SwaptionShift):INDEX($FK$325:$ID$396,HL$169,SwaptionMonthsToGo+SwaptionShift),INDEX($FK$245:$ID$316,$FJ192-HL$169,73-HL$169+SwaptionShift):INDEX($FK$245:$ID$316,$FJ192-HL$169,72-HL$169+SwaptionMonthsToGo+SwaptionShift))/SQRT(SUM(INDEX($FK347:$ID347,1+SwaptionShift):INDEX($FK347:$ID347,SwaptionMonthsToGo+SwaptionShift))*SUM(INDEX($FK$325:$ID$396,HL$169,1+SwaptionShift):INDEX($FK$325:$ID$396,HL$169,SwaptionMonthsToGo+SwaptionShift))))))</f>
        <v/>
      </c>
      <c r="HM192" s="479" t="str">
        <f ca="1">IF(OR(HM$169&lt;SwaptionFirstMonthPosition+1,$FJ192&lt;SwaptionFirstMonthPosition+1,HM$169&gt;SwaptionFirstMonthPosition+SwaptionNumOfMonths+1,$FJ192&gt;SwaptionFirstMonthPosition+SwaptionNumOfMonths+1),"",IF($FJ192=HM$169,1,IF($FJ192&lt;HM$169,INDEX($FK$170:$ID$241,HM$169,$FJ192),SUMPRODUCT(INDEX($FK$325:$ID$396,HM$169,1+SwaptionShift):INDEX($FK$325:$ID$396,HM$169,SwaptionMonthsToGo+SwaptionShift),INDEX($FK$245:$ID$316,$FJ192-HM$169,73-HM$169+SwaptionShift):INDEX($FK$245:$ID$316,$FJ192-HM$169,72-HM$169+SwaptionMonthsToGo+SwaptionShift))/SQRT(SUM(INDEX($FK347:$ID347,1+SwaptionShift):INDEX($FK347:$ID347,SwaptionMonthsToGo+SwaptionShift))*SUM(INDEX($FK$325:$ID$396,HM$169,1+SwaptionShift):INDEX($FK$325:$ID$396,HM$169,SwaptionMonthsToGo+SwaptionShift))))))</f>
        <v/>
      </c>
      <c r="HN192" s="479" t="str">
        <f ca="1">IF(OR(HN$169&lt;SwaptionFirstMonthPosition+1,$FJ192&lt;SwaptionFirstMonthPosition+1,HN$169&gt;SwaptionFirstMonthPosition+SwaptionNumOfMonths+1,$FJ192&gt;SwaptionFirstMonthPosition+SwaptionNumOfMonths+1),"",IF($FJ192=HN$169,1,IF($FJ192&lt;HN$169,INDEX($FK$170:$ID$241,HN$169,$FJ192),SUMPRODUCT(INDEX($FK$325:$ID$396,HN$169,1+SwaptionShift):INDEX($FK$325:$ID$396,HN$169,SwaptionMonthsToGo+SwaptionShift),INDEX($FK$245:$ID$316,$FJ192-HN$169,73-HN$169+SwaptionShift):INDEX($FK$245:$ID$316,$FJ192-HN$169,72-HN$169+SwaptionMonthsToGo+SwaptionShift))/SQRT(SUM(INDEX($FK347:$ID347,1+SwaptionShift):INDEX($FK347:$ID347,SwaptionMonthsToGo+SwaptionShift))*SUM(INDEX($FK$325:$ID$396,HN$169,1+SwaptionShift):INDEX($FK$325:$ID$396,HN$169,SwaptionMonthsToGo+SwaptionShift))))))</f>
        <v/>
      </c>
      <c r="HO192" s="479" t="str">
        <f ca="1">IF(OR(HO$169&lt;SwaptionFirstMonthPosition+1,$FJ192&lt;SwaptionFirstMonthPosition+1,HO$169&gt;SwaptionFirstMonthPosition+SwaptionNumOfMonths+1,$FJ192&gt;SwaptionFirstMonthPosition+SwaptionNumOfMonths+1),"",IF($FJ192=HO$169,1,IF($FJ192&lt;HO$169,INDEX($FK$170:$ID$241,HO$169,$FJ192),SUMPRODUCT(INDEX($FK$325:$ID$396,HO$169,1+SwaptionShift):INDEX($FK$325:$ID$396,HO$169,SwaptionMonthsToGo+SwaptionShift),INDEX($FK$245:$ID$316,$FJ192-HO$169,73-HO$169+SwaptionShift):INDEX($FK$245:$ID$316,$FJ192-HO$169,72-HO$169+SwaptionMonthsToGo+SwaptionShift))/SQRT(SUM(INDEX($FK347:$ID347,1+SwaptionShift):INDEX($FK347:$ID347,SwaptionMonthsToGo+SwaptionShift))*SUM(INDEX($FK$325:$ID$396,HO$169,1+SwaptionShift):INDEX($FK$325:$ID$396,HO$169,SwaptionMonthsToGo+SwaptionShift))))))</f>
        <v/>
      </c>
      <c r="HP192" s="479" t="str">
        <f ca="1">IF(OR(HP$169&lt;SwaptionFirstMonthPosition+1,$FJ192&lt;SwaptionFirstMonthPosition+1,HP$169&gt;SwaptionFirstMonthPosition+SwaptionNumOfMonths+1,$FJ192&gt;SwaptionFirstMonthPosition+SwaptionNumOfMonths+1),"",IF($FJ192=HP$169,1,IF($FJ192&lt;HP$169,INDEX($FK$170:$ID$241,HP$169,$FJ192),SUMPRODUCT(INDEX($FK$325:$ID$396,HP$169,1+SwaptionShift):INDEX($FK$325:$ID$396,HP$169,SwaptionMonthsToGo+SwaptionShift),INDEX($FK$245:$ID$316,$FJ192-HP$169,73-HP$169+SwaptionShift):INDEX($FK$245:$ID$316,$FJ192-HP$169,72-HP$169+SwaptionMonthsToGo+SwaptionShift))/SQRT(SUM(INDEX($FK347:$ID347,1+SwaptionShift):INDEX($FK347:$ID347,SwaptionMonthsToGo+SwaptionShift))*SUM(INDEX($FK$325:$ID$396,HP$169,1+SwaptionShift):INDEX($FK$325:$ID$396,HP$169,SwaptionMonthsToGo+SwaptionShift))))))</f>
        <v/>
      </c>
      <c r="HQ192" s="479" t="str">
        <f ca="1">IF(OR(HQ$169&lt;SwaptionFirstMonthPosition+1,$FJ192&lt;SwaptionFirstMonthPosition+1,HQ$169&gt;SwaptionFirstMonthPosition+SwaptionNumOfMonths+1,$FJ192&gt;SwaptionFirstMonthPosition+SwaptionNumOfMonths+1),"",IF($FJ192=HQ$169,1,IF($FJ192&lt;HQ$169,INDEX($FK$170:$ID$241,HQ$169,$FJ192),SUMPRODUCT(INDEX($FK$325:$ID$396,HQ$169,1+SwaptionShift):INDEX($FK$325:$ID$396,HQ$169,SwaptionMonthsToGo+SwaptionShift),INDEX($FK$245:$ID$316,$FJ192-HQ$169,73-HQ$169+SwaptionShift):INDEX($FK$245:$ID$316,$FJ192-HQ$169,72-HQ$169+SwaptionMonthsToGo+SwaptionShift))/SQRT(SUM(INDEX($FK347:$ID347,1+SwaptionShift):INDEX($FK347:$ID347,SwaptionMonthsToGo+SwaptionShift))*SUM(INDEX($FK$325:$ID$396,HQ$169,1+SwaptionShift):INDEX($FK$325:$ID$396,HQ$169,SwaptionMonthsToGo+SwaptionShift))))))</f>
        <v/>
      </c>
      <c r="HR192" s="479" t="str">
        <f ca="1">IF(OR(HR$169&lt;SwaptionFirstMonthPosition+1,$FJ192&lt;SwaptionFirstMonthPosition+1,HR$169&gt;SwaptionFirstMonthPosition+SwaptionNumOfMonths+1,$FJ192&gt;SwaptionFirstMonthPosition+SwaptionNumOfMonths+1),"",IF($FJ192=HR$169,1,IF($FJ192&lt;HR$169,INDEX($FK$170:$ID$241,HR$169,$FJ192),SUMPRODUCT(INDEX($FK$325:$ID$396,HR$169,1+SwaptionShift):INDEX($FK$325:$ID$396,HR$169,SwaptionMonthsToGo+SwaptionShift),INDEX($FK$245:$ID$316,$FJ192-HR$169,73-HR$169+SwaptionShift):INDEX($FK$245:$ID$316,$FJ192-HR$169,72-HR$169+SwaptionMonthsToGo+SwaptionShift))/SQRT(SUM(INDEX($FK347:$ID347,1+SwaptionShift):INDEX($FK347:$ID347,SwaptionMonthsToGo+SwaptionShift))*SUM(INDEX($FK$325:$ID$396,HR$169,1+SwaptionShift):INDEX($FK$325:$ID$396,HR$169,SwaptionMonthsToGo+SwaptionShift))))))</f>
        <v/>
      </c>
      <c r="HS192" s="479" t="str">
        <f ca="1">IF(OR(HS$169&lt;SwaptionFirstMonthPosition+1,$FJ192&lt;SwaptionFirstMonthPosition+1,HS$169&gt;SwaptionFirstMonthPosition+SwaptionNumOfMonths+1,$FJ192&gt;SwaptionFirstMonthPosition+SwaptionNumOfMonths+1),"",IF($FJ192=HS$169,1,IF($FJ192&lt;HS$169,INDEX($FK$170:$ID$241,HS$169,$FJ192),SUMPRODUCT(INDEX($FK$325:$ID$396,HS$169,1+SwaptionShift):INDEX($FK$325:$ID$396,HS$169,SwaptionMonthsToGo+SwaptionShift),INDEX($FK$245:$ID$316,$FJ192-HS$169,73-HS$169+SwaptionShift):INDEX($FK$245:$ID$316,$FJ192-HS$169,72-HS$169+SwaptionMonthsToGo+SwaptionShift))/SQRT(SUM(INDEX($FK347:$ID347,1+SwaptionShift):INDEX($FK347:$ID347,SwaptionMonthsToGo+SwaptionShift))*SUM(INDEX($FK$325:$ID$396,HS$169,1+SwaptionShift):INDEX($FK$325:$ID$396,HS$169,SwaptionMonthsToGo+SwaptionShift))))))</f>
        <v/>
      </c>
      <c r="HT192" s="479" t="str">
        <f ca="1">IF(OR(HT$169&lt;SwaptionFirstMonthPosition+1,$FJ192&lt;SwaptionFirstMonthPosition+1,HT$169&gt;SwaptionFirstMonthPosition+SwaptionNumOfMonths+1,$FJ192&gt;SwaptionFirstMonthPosition+SwaptionNumOfMonths+1),"",IF($FJ192=HT$169,1,IF($FJ192&lt;HT$169,INDEX($FK$170:$ID$241,HT$169,$FJ192),SUMPRODUCT(INDEX($FK$325:$ID$396,HT$169,1+SwaptionShift):INDEX($FK$325:$ID$396,HT$169,SwaptionMonthsToGo+SwaptionShift),INDEX($FK$245:$ID$316,$FJ192-HT$169,73-HT$169+SwaptionShift):INDEX($FK$245:$ID$316,$FJ192-HT$169,72-HT$169+SwaptionMonthsToGo+SwaptionShift))/SQRT(SUM(INDEX($FK347:$ID347,1+SwaptionShift):INDEX($FK347:$ID347,SwaptionMonthsToGo+SwaptionShift))*SUM(INDEX($FK$325:$ID$396,HT$169,1+SwaptionShift):INDEX($FK$325:$ID$396,HT$169,SwaptionMonthsToGo+SwaptionShift))))))</f>
        <v/>
      </c>
      <c r="HU192" s="479" t="str">
        <f ca="1">IF(OR(HU$169&lt;SwaptionFirstMonthPosition+1,$FJ192&lt;SwaptionFirstMonthPosition+1,HU$169&gt;SwaptionFirstMonthPosition+SwaptionNumOfMonths+1,$FJ192&gt;SwaptionFirstMonthPosition+SwaptionNumOfMonths+1),"",IF($FJ192=HU$169,1,IF($FJ192&lt;HU$169,INDEX($FK$170:$ID$241,HU$169,$FJ192),SUMPRODUCT(INDEX($FK$325:$ID$396,HU$169,1+SwaptionShift):INDEX($FK$325:$ID$396,HU$169,SwaptionMonthsToGo+SwaptionShift),INDEX($FK$245:$ID$316,$FJ192-HU$169,73-HU$169+SwaptionShift):INDEX($FK$245:$ID$316,$FJ192-HU$169,72-HU$169+SwaptionMonthsToGo+SwaptionShift))/SQRT(SUM(INDEX($FK347:$ID347,1+SwaptionShift):INDEX($FK347:$ID347,SwaptionMonthsToGo+SwaptionShift))*SUM(INDEX($FK$325:$ID$396,HU$169,1+SwaptionShift):INDEX($FK$325:$ID$396,HU$169,SwaptionMonthsToGo+SwaptionShift))))))</f>
        <v/>
      </c>
      <c r="HV192" s="479" t="str">
        <f ca="1">IF(OR(HV$169&lt;SwaptionFirstMonthPosition+1,$FJ192&lt;SwaptionFirstMonthPosition+1,HV$169&gt;SwaptionFirstMonthPosition+SwaptionNumOfMonths+1,$FJ192&gt;SwaptionFirstMonthPosition+SwaptionNumOfMonths+1),"",IF($FJ192=HV$169,1,IF($FJ192&lt;HV$169,INDEX($FK$170:$ID$241,HV$169,$FJ192),SUMPRODUCT(INDEX($FK$325:$ID$396,HV$169,1+SwaptionShift):INDEX($FK$325:$ID$396,HV$169,SwaptionMonthsToGo+SwaptionShift),INDEX($FK$245:$ID$316,$FJ192-HV$169,73-HV$169+SwaptionShift):INDEX($FK$245:$ID$316,$FJ192-HV$169,72-HV$169+SwaptionMonthsToGo+SwaptionShift))/SQRT(SUM(INDEX($FK347:$ID347,1+SwaptionShift):INDEX($FK347:$ID347,SwaptionMonthsToGo+SwaptionShift))*SUM(INDEX($FK$325:$ID$396,HV$169,1+SwaptionShift):INDEX($FK$325:$ID$396,HV$169,SwaptionMonthsToGo+SwaptionShift))))))</f>
        <v/>
      </c>
      <c r="HW192" s="479" t="str">
        <f ca="1">IF(OR(HW$169&lt;SwaptionFirstMonthPosition+1,$FJ192&lt;SwaptionFirstMonthPosition+1,HW$169&gt;SwaptionFirstMonthPosition+SwaptionNumOfMonths+1,$FJ192&gt;SwaptionFirstMonthPosition+SwaptionNumOfMonths+1),"",IF($FJ192=HW$169,1,IF($FJ192&lt;HW$169,INDEX($FK$170:$ID$241,HW$169,$FJ192),SUMPRODUCT(INDEX($FK$325:$ID$396,HW$169,1+SwaptionShift):INDEX($FK$325:$ID$396,HW$169,SwaptionMonthsToGo+SwaptionShift),INDEX($FK$245:$ID$316,$FJ192-HW$169,73-HW$169+SwaptionShift):INDEX($FK$245:$ID$316,$FJ192-HW$169,72-HW$169+SwaptionMonthsToGo+SwaptionShift))/SQRT(SUM(INDEX($FK347:$ID347,1+SwaptionShift):INDEX($FK347:$ID347,SwaptionMonthsToGo+SwaptionShift))*SUM(INDEX($FK$325:$ID$396,HW$169,1+SwaptionShift):INDEX($FK$325:$ID$396,HW$169,SwaptionMonthsToGo+SwaptionShift))))))</f>
        <v/>
      </c>
      <c r="HX192" s="479" t="str">
        <f ca="1">IF(OR(HX$169&lt;SwaptionFirstMonthPosition+1,$FJ192&lt;SwaptionFirstMonthPosition+1,HX$169&gt;SwaptionFirstMonthPosition+SwaptionNumOfMonths+1,$FJ192&gt;SwaptionFirstMonthPosition+SwaptionNumOfMonths+1),"",IF($FJ192=HX$169,1,IF($FJ192&lt;HX$169,INDEX($FK$170:$ID$241,HX$169,$FJ192),SUMPRODUCT(INDEX($FK$325:$ID$396,HX$169,1+SwaptionShift):INDEX($FK$325:$ID$396,HX$169,SwaptionMonthsToGo+SwaptionShift),INDEX($FK$245:$ID$316,$FJ192-HX$169,73-HX$169+SwaptionShift):INDEX($FK$245:$ID$316,$FJ192-HX$169,72-HX$169+SwaptionMonthsToGo+SwaptionShift))/SQRT(SUM(INDEX($FK347:$ID347,1+SwaptionShift):INDEX($FK347:$ID347,SwaptionMonthsToGo+SwaptionShift))*SUM(INDEX($FK$325:$ID$396,HX$169,1+SwaptionShift):INDEX($FK$325:$ID$396,HX$169,SwaptionMonthsToGo+SwaptionShift))))))</f>
        <v/>
      </c>
      <c r="HY192" s="479" t="str">
        <f ca="1">IF(OR(HY$169&lt;SwaptionFirstMonthPosition+1,$FJ192&lt;SwaptionFirstMonthPosition+1,HY$169&gt;SwaptionFirstMonthPosition+SwaptionNumOfMonths+1,$FJ192&gt;SwaptionFirstMonthPosition+SwaptionNumOfMonths+1),"",IF($FJ192=HY$169,1,IF($FJ192&lt;HY$169,INDEX($FK$170:$ID$241,HY$169,$FJ192),SUMPRODUCT(INDEX($FK$325:$ID$396,HY$169,1+SwaptionShift):INDEX($FK$325:$ID$396,HY$169,SwaptionMonthsToGo+SwaptionShift),INDEX($FK$245:$ID$316,$FJ192-HY$169,73-HY$169+SwaptionShift):INDEX($FK$245:$ID$316,$FJ192-HY$169,72-HY$169+SwaptionMonthsToGo+SwaptionShift))/SQRT(SUM(INDEX($FK347:$ID347,1+SwaptionShift):INDEX($FK347:$ID347,SwaptionMonthsToGo+SwaptionShift))*SUM(INDEX($FK$325:$ID$396,HY$169,1+SwaptionShift):INDEX($FK$325:$ID$396,HY$169,SwaptionMonthsToGo+SwaptionShift))))))</f>
        <v/>
      </c>
      <c r="HZ192" s="479" t="str">
        <f ca="1">IF(OR(HZ$169&lt;SwaptionFirstMonthPosition+1,$FJ192&lt;SwaptionFirstMonthPosition+1,HZ$169&gt;SwaptionFirstMonthPosition+SwaptionNumOfMonths+1,$FJ192&gt;SwaptionFirstMonthPosition+SwaptionNumOfMonths+1),"",IF($FJ192=HZ$169,1,IF($FJ192&lt;HZ$169,INDEX($FK$170:$ID$241,HZ$169,$FJ192),SUMPRODUCT(INDEX($FK$325:$ID$396,HZ$169,1+SwaptionShift):INDEX($FK$325:$ID$396,HZ$169,SwaptionMonthsToGo+SwaptionShift),INDEX($FK$245:$ID$316,$FJ192-HZ$169,73-HZ$169+SwaptionShift):INDEX($FK$245:$ID$316,$FJ192-HZ$169,72-HZ$169+SwaptionMonthsToGo+SwaptionShift))/SQRT(SUM(INDEX($FK347:$ID347,1+SwaptionShift):INDEX($FK347:$ID347,SwaptionMonthsToGo+SwaptionShift))*SUM(INDEX($FK$325:$ID$396,HZ$169,1+SwaptionShift):INDEX($FK$325:$ID$396,HZ$169,SwaptionMonthsToGo+SwaptionShift))))))</f>
        <v/>
      </c>
      <c r="IA192" s="479" t="str">
        <f ca="1">IF(OR(IA$169&lt;SwaptionFirstMonthPosition+1,$FJ192&lt;SwaptionFirstMonthPosition+1,IA$169&gt;SwaptionFirstMonthPosition+SwaptionNumOfMonths+1,$FJ192&gt;SwaptionFirstMonthPosition+SwaptionNumOfMonths+1),"",IF($FJ192=IA$169,1,IF($FJ192&lt;IA$169,INDEX($FK$170:$ID$241,IA$169,$FJ192),SUMPRODUCT(INDEX($FK$325:$ID$396,IA$169,1+SwaptionShift):INDEX($FK$325:$ID$396,IA$169,SwaptionMonthsToGo+SwaptionShift),INDEX($FK$245:$ID$316,$FJ192-IA$169,73-IA$169+SwaptionShift):INDEX($FK$245:$ID$316,$FJ192-IA$169,72-IA$169+SwaptionMonthsToGo+SwaptionShift))/SQRT(SUM(INDEX($FK347:$ID347,1+SwaptionShift):INDEX($FK347:$ID347,SwaptionMonthsToGo+SwaptionShift))*SUM(INDEX($FK$325:$ID$396,IA$169,1+SwaptionShift):INDEX($FK$325:$ID$396,IA$169,SwaptionMonthsToGo+SwaptionShift))))))</f>
        <v/>
      </c>
      <c r="IB192" s="479" t="str">
        <f ca="1">IF(OR(IB$169&lt;SwaptionFirstMonthPosition+1,$FJ192&lt;SwaptionFirstMonthPosition+1,IB$169&gt;SwaptionFirstMonthPosition+SwaptionNumOfMonths+1,$FJ192&gt;SwaptionFirstMonthPosition+SwaptionNumOfMonths+1),"",IF($FJ192=IB$169,1,IF($FJ192&lt;IB$169,INDEX($FK$170:$ID$241,IB$169,$FJ192),SUMPRODUCT(INDEX($FK$325:$ID$396,IB$169,1+SwaptionShift):INDEX($FK$325:$ID$396,IB$169,SwaptionMonthsToGo+SwaptionShift),INDEX($FK$245:$ID$316,$FJ192-IB$169,73-IB$169+SwaptionShift):INDEX($FK$245:$ID$316,$FJ192-IB$169,72-IB$169+SwaptionMonthsToGo+SwaptionShift))/SQRT(SUM(INDEX($FK347:$ID347,1+SwaptionShift):INDEX($FK347:$ID347,SwaptionMonthsToGo+SwaptionShift))*SUM(INDEX($FK$325:$ID$396,IB$169,1+SwaptionShift):INDEX($FK$325:$ID$396,IB$169,SwaptionMonthsToGo+SwaptionShift))))))</f>
        <v/>
      </c>
      <c r="IC192" s="479" t="str">
        <f ca="1">IF(OR(IC$169&lt;SwaptionFirstMonthPosition+1,$FJ192&lt;SwaptionFirstMonthPosition+1,IC$169&gt;SwaptionFirstMonthPosition+SwaptionNumOfMonths+1,$FJ192&gt;SwaptionFirstMonthPosition+SwaptionNumOfMonths+1),"",IF($FJ192=IC$169,1,IF($FJ192&lt;IC$169,INDEX($FK$170:$ID$241,IC$169,$FJ192),SUMPRODUCT(INDEX($FK$325:$ID$396,IC$169,1+SwaptionShift):INDEX($FK$325:$ID$396,IC$169,SwaptionMonthsToGo+SwaptionShift),INDEX($FK$245:$ID$316,$FJ192-IC$169,73-IC$169+SwaptionShift):INDEX($FK$245:$ID$316,$FJ192-IC$169,72-IC$169+SwaptionMonthsToGo+SwaptionShift))/SQRT(SUM(INDEX($FK347:$ID347,1+SwaptionShift):INDEX($FK347:$ID347,SwaptionMonthsToGo+SwaptionShift))*SUM(INDEX($FK$325:$ID$396,IC$169,1+SwaptionShift):INDEX($FK$325:$ID$396,IC$169,SwaptionMonthsToGo+SwaptionShift))))))</f>
        <v/>
      </c>
      <c r="ID192" s="678" t="str">
        <f ca="1">IF(OR(ID$169&lt;SwaptionFirstMonthPosition+1,$FJ192&lt;SwaptionFirstMonthPosition+1,ID$169&gt;SwaptionFirstMonthPosition+SwaptionNumOfMonths+1,$FJ192&gt;SwaptionFirstMonthPosition+SwaptionNumOfMonths+1),"",IF($FJ192=ID$169,1,IF($FJ192&lt;ID$169,INDEX($FK$170:$ID$241,ID$169,$FJ192),SUMPRODUCT(INDEX($FK$325:$ID$396,ID$169,1+SwaptionShift):INDEX($FK$325:$ID$396,ID$169,SwaptionMonthsToGo+SwaptionShift),INDEX($FK$245:$ID$316,$FJ192-ID$169,73-ID$169+SwaptionShift):INDEX($FK$245:$ID$316,$FJ192-ID$169,72-ID$169+SwaptionMonthsToGo+SwaptionShift))/SQRT(SUM(INDEX($FK347:$ID347,1+SwaptionShift):INDEX($FK347:$ID347,SwaptionMonthsToGo+SwaptionShift))*SUM(INDEX($FK$325:$ID$396,ID$169,1+SwaptionShift):INDEX($FK$325:$ID$396,ID$169,SwaptionMonthsToGo+SwaptionShift))))))</f>
        <v/>
      </c>
      <c r="IE192" s="250"/>
    </row>
    <row r="193" spans="8:239">
      <c r="H193" s="51">
        <f t="shared" ca="1" si="527"/>
        <v>0</v>
      </c>
      <c r="I193" s="379">
        <f t="shared" si="528"/>
        <v>42036</v>
      </c>
      <c r="J193" s="377"/>
      <c r="K193" s="104" t="s">
        <v>268</v>
      </c>
      <c r="L193" s="392">
        <f t="shared" si="529"/>
        <v>3.637500000000006</v>
      </c>
      <c r="M193" s="171"/>
      <c r="N193" s="382">
        <v>0</v>
      </c>
      <c r="O193" s="171">
        <f t="shared" si="490"/>
        <v>0</v>
      </c>
      <c r="P193" s="377"/>
      <c r="Q193" s="104" t="s">
        <v>268</v>
      </c>
      <c r="R193" s="377">
        <f t="shared" ca="1" si="547"/>
        <v>2.4411695537809992</v>
      </c>
      <c r="S193" s="832">
        <f t="shared" si="564"/>
        <v>0.3600000000000001</v>
      </c>
      <c r="T193" s="831">
        <f t="shared" si="548"/>
        <v>0.99999999999980904</v>
      </c>
      <c r="U193" s="545">
        <f t="shared" si="549"/>
        <v>0.99999999999999978</v>
      </c>
      <c r="V193" s="389">
        <v>0</v>
      </c>
      <c r="W193" s="434">
        <f t="shared" si="578"/>
        <v>0</v>
      </c>
      <c r="X193" s="415">
        <f t="shared" si="579"/>
        <v>3.6843750000000064</v>
      </c>
      <c r="Y193" s="322">
        <f t="shared" si="580"/>
        <v>-1.1684999999999999</v>
      </c>
      <c r="Z193" s="322">
        <f t="shared" ca="1" si="581"/>
        <v>2.5158750000000065</v>
      </c>
      <c r="AA193" s="429">
        <f t="shared" si="495"/>
        <v>1.1684999999999999</v>
      </c>
      <c r="AB193" s="433">
        <f t="shared" ca="1" si="496"/>
        <v>1.1684999999999999</v>
      </c>
      <c r="AC193" s="229">
        <v>42024</v>
      </c>
      <c r="AD193" s="229">
        <v>42020</v>
      </c>
      <c r="AE193" s="229">
        <v>42019</v>
      </c>
      <c r="AF193" s="229">
        <v>42015</v>
      </c>
      <c r="AG193" s="249" t="s">
        <v>499</v>
      </c>
      <c r="AH193" s="247" t="s">
        <v>499</v>
      </c>
      <c r="AI193" s="146">
        <v>20</v>
      </c>
      <c r="AJ193" s="41">
        <v>15</v>
      </c>
      <c r="AK193" s="41">
        <v>5</v>
      </c>
      <c r="AL193" s="293">
        <v>20</v>
      </c>
      <c r="AM193" s="41">
        <v>10</v>
      </c>
      <c r="AN193" s="147">
        <v>10</v>
      </c>
      <c r="AO193" s="374"/>
      <c r="AP193" s="153">
        <f t="shared" ca="1" si="530"/>
        <v>1</v>
      </c>
      <c r="AQ193" s="374"/>
      <c r="AR193" s="153">
        <f t="shared" ca="1" si="550"/>
        <v>1</v>
      </c>
      <c r="AS193" s="272">
        <f t="shared" si="582"/>
        <v>0</v>
      </c>
      <c r="AT193" s="157">
        <f t="shared" si="531"/>
        <v>0</v>
      </c>
      <c r="AU193" s="157">
        <f t="shared" si="498"/>
        <v>0</v>
      </c>
      <c r="AV193" s="271">
        <f t="shared" ca="1" si="558"/>
        <v>9.9999999999999995E-7</v>
      </c>
      <c r="AW193" s="158" t="str">
        <f t="shared" ca="1" si="583"/>
        <v/>
      </c>
      <c r="AX193" s="157">
        <f t="shared" ca="1" si="551"/>
        <v>7.4084113305562162E-5</v>
      </c>
      <c r="AY193" s="157">
        <f t="shared" ca="1" si="552"/>
        <v>1.8091140900209259E-5</v>
      </c>
      <c r="AZ193" s="157">
        <f t="shared" ca="1" si="553"/>
        <v>6.6829735178276119E-7</v>
      </c>
      <c r="BA193" s="157">
        <f t="shared" ca="1" si="554"/>
        <v>8.3537168972845149E-8</v>
      </c>
      <c r="BB193" s="157">
        <f t="shared" ca="1" si="555"/>
        <v>5.1573142428414681E-10</v>
      </c>
      <c r="BC193" s="157">
        <f t="shared" ca="1" si="556"/>
        <v>1.3956917199993864E-11</v>
      </c>
      <c r="BD193" s="151">
        <f t="shared" ca="1" si="584"/>
        <v>0</v>
      </c>
      <c r="BE193" s="152">
        <f t="shared" ca="1" si="585"/>
        <v>0</v>
      </c>
      <c r="BF193" s="40">
        <f t="shared" si="586"/>
        <v>2015</v>
      </c>
      <c r="BG193" s="144">
        <f t="shared" si="587"/>
        <v>2</v>
      </c>
      <c r="BH193" s="145">
        <f t="shared" ca="1" si="588"/>
        <v>5275</v>
      </c>
      <c r="BI193" s="313">
        <f t="shared" ca="1" si="568"/>
        <v>14.485968514715948</v>
      </c>
      <c r="BJ193" s="42">
        <f t="shared" ca="1" si="505"/>
        <v>14.541409993155373</v>
      </c>
      <c r="BK193" s="42">
        <f t="shared" ca="1" si="506"/>
        <v>14.544147843942506</v>
      </c>
      <c r="BL193" s="42">
        <f t="shared" ca="1" si="569"/>
        <v>14.559890485968515</v>
      </c>
      <c r="BM193" s="150" t="e">
        <f t="shared" ca="1" si="507"/>
        <v>#DIV/0!</v>
      </c>
      <c r="BN193" s="42" t="e">
        <f t="shared" ca="1" si="508"/>
        <v>#DIV/0!</v>
      </c>
      <c r="BO193" s="293">
        <f t="shared" si="570"/>
        <v>20</v>
      </c>
      <c r="BP193" s="41">
        <f t="shared" si="571"/>
        <v>15</v>
      </c>
      <c r="BQ193" s="41">
        <f t="shared" si="572"/>
        <v>5</v>
      </c>
      <c r="BR193" s="305" t="str">
        <f t="shared" ca="1" si="509"/>
        <v/>
      </c>
      <c r="BS193" s="305" t="str">
        <f t="shared" ca="1" si="573"/>
        <v/>
      </c>
      <c r="BT193" s="307" t="str">
        <f t="shared" ca="1" si="574"/>
        <v/>
      </c>
      <c r="BU193" s="161" t="str">
        <f t="shared" ca="1" si="510"/>
        <v/>
      </c>
      <c r="BV193" s="161" t="str">
        <f t="shared" ca="1" si="511"/>
        <v/>
      </c>
      <c r="BW193" s="308" t="str">
        <f t="shared" ca="1" si="512"/>
        <v/>
      </c>
      <c r="BX193" s="309" t="str">
        <f t="shared" ca="1" si="513"/>
        <v/>
      </c>
      <c r="BY193" s="308" t="str">
        <f t="shared" ca="1" si="575"/>
        <v/>
      </c>
      <c r="BZ193" s="309" t="str">
        <f t="shared" ca="1" si="576"/>
        <v/>
      </c>
      <c r="CA193" s="154" t="str">
        <f t="shared" ca="1" si="514"/>
        <v/>
      </c>
      <c r="CB193" s="154" t="str">
        <f t="shared" ca="1" si="515"/>
        <v/>
      </c>
      <c r="CC193" s="154" t="str">
        <f t="shared" ca="1" si="516"/>
        <v/>
      </c>
      <c r="CD193" s="154" t="str">
        <f t="shared" ca="1" si="517"/>
        <v/>
      </c>
      <c r="CE193" s="310">
        <v>1</v>
      </c>
      <c r="CF193" s="162">
        <f ca="1">IF(BD193,_xll.xCrudeAPO(BU193,BV193,CA193,CB193,S194,S195,BI193,BL193,BP193,BQ193,0,Strike1,AO193,CE193,0,BL193,IF(OptControl=4,0,1),0,1),0)</f>
        <v>0</v>
      </c>
      <c r="CG193" s="163">
        <f ca="1">IF(BD193,_xll.xCrudeAPO(BU193,BV193,CA193,CB193,S194,S195,BI193,BL193,BP193,BQ193,0,Strike1,AO193,CE193,0,BL193,IF(OptControl=4,0,1),1,1)+_xll.xCrudeAPO(BU193,BV193,CA193,CB193,S194,S195,BI193,BL193,BP193,BQ193,0,Strike1,AO193,CE193,0,BL193,IF(OptControl=4,0,1),1,2)+IF(OR(VolSkewFlag=2,ABS(BS193)&lt;0.0001),0,IF(BS193&gt;0,-1,1)*CH193*Strike1/BR193^2*BY193/10%),0)</f>
        <v>0</v>
      </c>
      <c r="CH193" s="163">
        <f ca="1">IF(BD193,(_xll.xCrudeAPO(BU193,BV193,CA193,CB193,S194,S195,BI193,BL193,BP193,BQ193,0,Strike1,AO193,CE193,0,BL193,IF(OptControl=4,0,1),3,1)+_xll.xCrudeAPO(BU193,BV193,CA193,CB193,S194,S195,BI193,BL193,BP193,BQ193,0,Strike1,AO193,CE193,0,BL193,IF(OptControl=4,0,1),3,2))/100,0)</f>
        <v>0</v>
      </c>
      <c r="CI193" s="163">
        <f ca="1">IF(BD193,_xll.xCrudeAPO(BU193,BV193,CA193,CB193,S194,S195,BI193-DaysForThetaCalculation/365.25,BL193-DaysForThetaCalculation/365.25,BP193,BQ193,0,Strike1,AO193,CE193,0,BL193,IF(OptControl=4,0,1),0,1)-_xll.xCrudeAPO(BU193,BV193,CA193,CB193,S194,S195,BI193,BL193,BP193,BQ193,0,Strike1,AO193,CE193,0,BL193,IF(OptControl=4,0,1),0,1),0)</f>
        <v>0</v>
      </c>
      <c r="CJ193" s="311">
        <f ca="1">IF(BD193,_xll.xCrudeAPO(BU193,BV193,CC193,CD193,S194,S195,BI193,BL193,BP193,BQ193,0,Strike2,AO193,CE193,0,BL193,IF(OptControl=3,1,0),0,1),0)</f>
        <v>0</v>
      </c>
      <c r="CK193" s="163">
        <f ca="1">IF(BD193,_xll.xCrudeAPO(BU193,BV193,CC193,CD193,S194,S195,BI193,BL193,BP193,BQ193,0,Strike2,AO193,CE193,0,BL193,IF(OptControl=3,1,0),1,1)+_xll.xCrudeAPO(BU193,BV193,CC193,CD193,S194,S195,BI193,BL193,BP193,BQ193,0,Strike2,AO193,CE193,0,BL193,IF(OptControl=3,1,0),1,2)+IF(OR(VolSkewFlag=2,ABS(BT193)&lt;0.0001),0,IF(BT193&gt;0,-1,1)*CL193*Strike2/BR193^2*BZ193/10%),0)</f>
        <v>0</v>
      </c>
      <c r="CL193" s="163">
        <f ca="1">IF(BD193,(_xll.xCrudeAPO(BU193,BV193,CC193,CD193,S194,S195,BI193,BL193,BP193,BQ193,0,Strike2,AO193,CE193,0,BL193,IF(OptControl=3,1,0),3,1)+_xll.xCrudeAPO(BU193,BV193,CC193,CD193,S194,S195,BI193,BL193,BP193,BQ193,0,Strike2,AO193,CE193,0,BL193,IF(OptControl=3,1,0),3,2))/100,0)</f>
        <v>0</v>
      </c>
      <c r="CM193" s="164">
        <f ca="1">IF(BD193,_xll.xCrudeAPO(BU193,BV193,CC193,CD193,S194,S195,BI193-DaysForThetaCalculation/365.25,BL193-DaysForThetaCalculation/365.25,BP193,BQ193,0,Strike2,AO193,CE193,0,BL193,IF(OptControl=3,1,0),0,1)-_xll.xCrudeAPO(BU193,BV193,CC193,CD193,S194,S195,BI193,BL193,BP193,BQ193,0,Strike2,AO193,CE193,0,BL193,IF(OptControl=3,1,0),0,1),0)</f>
        <v>0</v>
      </c>
      <c r="CN193" s="53"/>
      <c r="CO193" s="796" t="str">
        <f t="shared" ca="1" si="532"/>
        <v/>
      </c>
      <c r="CP193" s="800" t="str">
        <f t="shared" ca="1" si="533"/>
        <v/>
      </c>
      <c r="CQ193" s="797" t="str">
        <f t="shared" ca="1" si="534"/>
        <v/>
      </c>
      <c r="CR193" s="797" t="str">
        <f t="shared" ca="1" si="535"/>
        <v/>
      </c>
      <c r="CS193" s="797" t="str">
        <f t="shared" ca="1" si="536"/>
        <v/>
      </c>
      <c r="CT193" s="797" t="str">
        <f t="shared" ca="1" si="537"/>
        <v/>
      </c>
      <c r="CU193" s="798" t="str">
        <f t="shared" ca="1" si="538"/>
        <v/>
      </c>
      <c r="CV193" s="799" t="str">
        <f t="shared" ca="1" si="539"/>
        <v/>
      </c>
      <c r="CW193" s="799" t="str">
        <f t="shared" ca="1" si="540"/>
        <v/>
      </c>
      <c r="CX193" s="163">
        <f ca="1">IF(BD193,_xll.EURO(CP193,Strike1,AO193,AO193,CV193,CO193,IF(OptControl=4,0,1),0),0)</f>
        <v>0</v>
      </c>
      <c r="CY193" s="163">
        <f ca="1">IF(BD193,_xll.EURO(CP193,Strike1,AO193,AO193,CV193,CO193,IF(OptControl=4,0,1),1)+IF(OR(VolSkewFlag=2,ABS(CQ193)&lt;0.0001),0,IF(CQ193&gt;0,-1,1)*CZ193*100*Strike1/CP193^2*CS193/10%),0)</f>
        <v>0</v>
      </c>
      <c r="CZ193" s="163">
        <f ca="1">IF(BD193,_xll.EURO(CP193,Strike1,AO193,AO193,CV193,CO193,IF(OptControl=4,0,1),3)/100,0)</f>
        <v>0</v>
      </c>
      <c r="DA193" s="163">
        <f ca="1">IF(BD193,_xll.EURO(CP193,Strike1,AO193,AO193,CV193,CO193,IF(OptControl=4,0,1),0)-_xll.EURO(CP193,Strike1,AO193,AO193,CV193,CO193-1,IF(OptControl=4,0,1),0),0)</f>
        <v>0</v>
      </c>
      <c r="DB193" s="163">
        <f ca="1">IF(BD193,_xll.EURO(CP193,Strike2,AO193,AO193,CW193,CO193,IF(OptControl=3,1,0),0),0)</f>
        <v>0</v>
      </c>
      <c r="DC193" s="163">
        <f ca="1">IF(BD193,_xll.EURO(CP193,Strike2,AO193,AO193,CW193,CO193,IF(OptControl=3,1,0),1)+IF(OR(VolSkewFlag=2,ABS(CR193)&lt;0.0001),0,IF(CR193&gt;0,-1,1)*DD193*100*Strike2/CP193^2*CT193/10%),0)</f>
        <v>0</v>
      </c>
      <c r="DD193" s="163">
        <f ca="1">IF(BD193,_xll.EURO(CP193,Strike2,AO193,AO193,CW193,CO193,IF(OptControl=3,1,0),3)/100,0)</f>
        <v>0</v>
      </c>
      <c r="DE193" s="164">
        <f ca="1">IF(BD193,_xll.EURO(CP193,Strike2,AO193,AO193,CW193,CO193,IF(OptControl=3,1,0),0)-_xll.EURO(CP193,Strike2,AO193,AO193,CW193,CO193-1,IF(OptControl=3,1,0),0),0)</f>
        <v>0</v>
      </c>
      <c r="DG193" s="667">
        <f t="shared" ca="1" si="541"/>
        <v>41821</v>
      </c>
      <c r="DH193" s="475">
        <v>22.81000000000007</v>
      </c>
      <c r="DI193" s="665">
        <v>22.880454545454619</v>
      </c>
      <c r="DJ193" s="666">
        <f t="shared" ca="1" si="589"/>
        <v>41821</v>
      </c>
      <c r="DK193" s="475">
        <v>21.605000952578607</v>
      </c>
      <c r="DL193" s="665">
        <v>21.613554545454619</v>
      </c>
      <c r="DM193" s="667">
        <f t="shared" ca="1" si="590"/>
        <v>41821</v>
      </c>
      <c r="DN193" s="668">
        <f t="shared" si="591"/>
        <v>21.655000952578607</v>
      </c>
      <c r="DO193" s="667">
        <f t="shared" ca="1" si="542"/>
        <v>41821</v>
      </c>
      <c r="DP193" s="579">
        <f t="shared" si="543"/>
        <v>21.613554545454619</v>
      </c>
      <c r="DQ193" s="821">
        <v>0</v>
      </c>
      <c r="DR193" s="666">
        <f t="shared" ca="1" si="592"/>
        <v>41821</v>
      </c>
      <c r="DS193" s="669">
        <v>0.12079999999999803</v>
      </c>
      <c r="DT193" s="606">
        <v>0.11995454545454348</v>
      </c>
      <c r="DU193" s="666">
        <f t="shared" ca="1" si="593"/>
        <v>41821</v>
      </c>
      <c r="DV193" s="669">
        <v>0.12079999999999803</v>
      </c>
      <c r="DW193" s="606">
        <v>0.11995454545454348</v>
      </c>
      <c r="DX193" s="667">
        <f t="shared" ca="1" si="594"/>
        <v>41821</v>
      </c>
      <c r="DY193" s="606">
        <v>0.35</v>
      </c>
      <c r="DZ193" s="667">
        <f t="shared" ca="1" si="544"/>
        <v>41821</v>
      </c>
      <c r="EA193" s="606">
        <f t="shared" si="545"/>
        <v>0.11995454545454348</v>
      </c>
      <c r="EB193" s="1"/>
      <c r="EC193" s="118" t="str">
        <f t="shared" ca="1" si="595"/>
        <v/>
      </c>
      <c r="ED193" s="119" t="str">
        <f t="shared" ca="1" si="525"/>
        <v/>
      </c>
      <c r="EE193" s="112" t="str">
        <f t="shared" ca="1" si="526"/>
        <v/>
      </c>
      <c r="EF193" s="120">
        <f ca="1">IF(BD193,_xll.xASN(BR193,Strike1,AO193,ED193,0,BO193,0,BI193,BL193,IF(OptControl=4,0,1),0),0)</f>
        <v>0</v>
      </c>
      <c r="EG193" s="111">
        <f ca="1">IF(BD193,_xll.xASN(BR193,Strike2,AO193,EE193,0,BO193,0,BI193,BL193,IF(OptControl=3,1,0),0),0)</f>
        <v>0</v>
      </c>
      <c r="EL193" s="55"/>
      <c r="EM193" s="1"/>
      <c r="EN193" s="106"/>
      <c r="EO193" s="106"/>
      <c r="EP193" s="1"/>
      <c r="EQ193" s="683" t="s">
        <v>406</v>
      </c>
      <c r="ES193" s="455"/>
      <c r="ET193" s="36"/>
      <c r="EU193" s="107"/>
      <c r="EV193" s="475"/>
      <c r="EW193" s="456"/>
      <c r="EX193" s="456"/>
      <c r="EY193" s="250"/>
      <c r="EZ193" s="250"/>
      <c r="FA193" s="250"/>
      <c r="FB193" s="250"/>
      <c r="FC193" s="250"/>
      <c r="FD193" s="250"/>
      <c r="FE193" s="250"/>
      <c r="FF193" s="250"/>
      <c r="FG193" s="250"/>
      <c r="FH193" s="250"/>
      <c r="FI193" s="250"/>
      <c r="FJ193" s="673">
        <v>24</v>
      </c>
      <c r="FK193" s="479" t="str">
        <f ca="1">IF(OR(FK$169&lt;SwaptionFirstMonthPosition+1,$FJ193&lt;SwaptionFirstMonthPosition+1,FK$169&gt;SwaptionFirstMonthPosition+SwaptionNumOfMonths+1,$FJ193&gt;SwaptionFirstMonthPosition+SwaptionNumOfMonths+1),"",IF($FJ193=FK$169,1,IF($FJ193&lt;FK$169,INDEX($FK$170:$ID$241,FK$169,$FJ193),SUMPRODUCT(INDEX($FK$325:$ID$396,FK$169,1+SwaptionShift):INDEX($FK$325:$ID$396,FK$169,SwaptionMonthsToGo+SwaptionShift),INDEX($FK$245:$ID$316,$FJ193-FK$169,73-FK$169+SwaptionShift):INDEX($FK$245:$ID$316,$FJ193-FK$169,72-FK$169+SwaptionMonthsToGo+SwaptionShift))/SQRT(SUM(INDEX($FK348:$ID348,1+SwaptionShift):INDEX($FK348:$ID348,SwaptionMonthsToGo+SwaptionShift))*SUM(INDEX($FK$325:$ID$396,FK$169,1+SwaptionShift):INDEX($FK$325:$ID$396,FK$169,SwaptionMonthsToGo+SwaptionShift))))))</f>
        <v/>
      </c>
      <c r="FL193" s="479" t="str">
        <f ca="1">IF(OR(FL$169&lt;SwaptionFirstMonthPosition+1,$FJ193&lt;SwaptionFirstMonthPosition+1,FL$169&gt;SwaptionFirstMonthPosition+SwaptionNumOfMonths+1,$FJ193&gt;SwaptionFirstMonthPosition+SwaptionNumOfMonths+1),"",IF($FJ193=FL$169,1,IF($FJ193&lt;FL$169,INDEX($FK$170:$ID$241,FL$169,$FJ193),SUMPRODUCT(INDEX($FK$325:$ID$396,FL$169,1+SwaptionShift):INDEX($FK$325:$ID$396,FL$169,SwaptionMonthsToGo+SwaptionShift),INDEX($FK$245:$ID$316,$FJ193-FL$169,73-FL$169+SwaptionShift):INDEX($FK$245:$ID$316,$FJ193-FL$169,72-FL$169+SwaptionMonthsToGo+SwaptionShift))/SQRT(SUM(INDEX($FK348:$ID348,1+SwaptionShift):INDEX($FK348:$ID348,SwaptionMonthsToGo+SwaptionShift))*SUM(INDEX($FK$325:$ID$396,FL$169,1+SwaptionShift):INDEX($FK$325:$ID$396,FL$169,SwaptionMonthsToGo+SwaptionShift))))))</f>
        <v/>
      </c>
      <c r="FM193" s="479" t="str">
        <f ca="1">IF(OR(FM$169&lt;SwaptionFirstMonthPosition+1,$FJ193&lt;SwaptionFirstMonthPosition+1,FM$169&gt;SwaptionFirstMonthPosition+SwaptionNumOfMonths+1,$FJ193&gt;SwaptionFirstMonthPosition+SwaptionNumOfMonths+1),"",IF($FJ193=FM$169,1,IF($FJ193&lt;FM$169,INDEX($FK$170:$ID$241,FM$169,$FJ193),SUMPRODUCT(INDEX($FK$325:$ID$396,FM$169,1+SwaptionShift):INDEX($FK$325:$ID$396,FM$169,SwaptionMonthsToGo+SwaptionShift),INDEX($FK$245:$ID$316,$FJ193-FM$169,73-FM$169+SwaptionShift):INDEX($FK$245:$ID$316,$FJ193-FM$169,72-FM$169+SwaptionMonthsToGo+SwaptionShift))/SQRT(SUM(INDEX($FK348:$ID348,1+SwaptionShift):INDEX($FK348:$ID348,SwaptionMonthsToGo+SwaptionShift))*SUM(INDEX($FK$325:$ID$396,FM$169,1+SwaptionShift):INDEX($FK$325:$ID$396,FM$169,SwaptionMonthsToGo+SwaptionShift))))))</f>
        <v/>
      </c>
      <c r="FN193" s="479" t="str">
        <f ca="1">IF(OR(FN$169&lt;SwaptionFirstMonthPosition+1,$FJ193&lt;SwaptionFirstMonthPosition+1,FN$169&gt;SwaptionFirstMonthPosition+SwaptionNumOfMonths+1,$FJ193&gt;SwaptionFirstMonthPosition+SwaptionNumOfMonths+1),"",IF($FJ193=FN$169,1,IF($FJ193&lt;FN$169,INDEX($FK$170:$ID$241,FN$169,$FJ193),SUMPRODUCT(INDEX($FK$325:$ID$396,FN$169,1+SwaptionShift):INDEX($FK$325:$ID$396,FN$169,SwaptionMonthsToGo+SwaptionShift),INDEX($FK$245:$ID$316,$FJ193-FN$169,73-FN$169+SwaptionShift):INDEX($FK$245:$ID$316,$FJ193-FN$169,72-FN$169+SwaptionMonthsToGo+SwaptionShift))/SQRT(SUM(INDEX($FK348:$ID348,1+SwaptionShift):INDEX($FK348:$ID348,SwaptionMonthsToGo+SwaptionShift))*SUM(INDEX($FK$325:$ID$396,FN$169,1+SwaptionShift):INDEX($FK$325:$ID$396,FN$169,SwaptionMonthsToGo+SwaptionShift))))))</f>
        <v/>
      </c>
      <c r="FO193" s="479" t="str">
        <f ca="1">IF(OR(FO$169&lt;SwaptionFirstMonthPosition+1,$FJ193&lt;SwaptionFirstMonthPosition+1,FO$169&gt;SwaptionFirstMonthPosition+SwaptionNumOfMonths+1,$FJ193&gt;SwaptionFirstMonthPosition+SwaptionNumOfMonths+1),"",IF($FJ193=FO$169,1,IF($FJ193&lt;FO$169,INDEX($FK$170:$ID$241,FO$169,$FJ193),SUMPRODUCT(INDEX($FK$325:$ID$396,FO$169,1+SwaptionShift):INDEX($FK$325:$ID$396,FO$169,SwaptionMonthsToGo+SwaptionShift),INDEX($FK$245:$ID$316,$FJ193-FO$169,73-FO$169+SwaptionShift):INDEX($FK$245:$ID$316,$FJ193-FO$169,72-FO$169+SwaptionMonthsToGo+SwaptionShift))/SQRT(SUM(INDEX($FK348:$ID348,1+SwaptionShift):INDEX($FK348:$ID348,SwaptionMonthsToGo+SwaptionShift))*SUM(INDEX($FK$325:$ID$396,FO$169,1+SwaptionShift):INDEX($FK$325:$ID$396,FO$169,SwaptionMonthsToGo+SwaptionShift))))))</f>
        <v/>
      </c>
      <c r="FP193" s="479" t="str">
        <f ca="1">IF(OR(FP$169&lt;SwaptionFirstMonthPosition+1,$FJ193&lt;SwaptionFirstMonthPosition+1,FP$169&gt;SwaptionFirstMonthPosition+SwaptionNumOfMonths+1,$FJ193&gt;SwaptionFirstMonthPosition+SwaptionNumOfMonths+1),"",IF($FJ193=FP$169,1,IF($FJ193&lt;FP$169,INDEX($FK$170:$ID$241,FP$169,$FJ193),SUMPRODUCT(INDEX($FK$325:$ID$396,FP$169,1+SwaptionShift):INDEX($FK$325:$ID$396,FP$169,SwaptionMonthsToGo+SwaptionShift),INDEX($FK$245:$ID$316,$FJ193-FP$169,73-FP$169+SwaptionShift):INDEX($FK$245:$ID$316,$FJ193-FP$169,72-FP$169+SwaptionMonthsToGo+SwaptionShift))/SQRT(SUM(INDEX($FK348:$ID348,1+SwaptionShift):INDEX($FK348:$ID348,SwaptionMonthsToGo+SwaptionShift))*SUM(INDEX($FK$325:$ID$396,FP$169,1+SwaptionShift):INDEX($FK$325:$ID$396,FP$169,SwaptionMonthsToGo+SwaptionShift))))))</f>
        <v/>
      </c>
      <c r="FQ193" s="479" t="str">
        <f ca="1">IF(OR(FQ$169&lt;SwaptionFirstMonthPosition+1,$FJ193&lt;SwaptionFirstMonthPosition+1,FQ$169&gt;SwaptionFirstMonthPosition+SwaptionNumOfMonths+1,$FJ193&gt;SwaptionFirstMonthPosition+SwaptionNumOfMonths+1),"",IF($FJ193=FQ$169,1,IF($FJ193&lt;FQ$169,INDEX($FK$170:$ID$241,FQ$169,$FJ193),SUMPRODUCT(INDEX($FK$325:$ID$396,FQ$169,1+SwaptionShift):INDEX($FK$325:$ID$396,FQ$169,SwaptionMonthsToGo+SwaptionShift),INDEX($FK$245:$ID$316,$FJ193-FQ$169,73-FQ$169+SwaptionShift):INDEX($FK$245:$ID$316,$FJ193-FQ$169,72-FQ$169+SwaptionMonthsToGo+SwaptionShift))/SQRT(SUM(INDEX($FK348:$ID348,1+SwaptionShift):INDEX($FK348:$ID348,SwaptionMonthsToGo+SwaptionShift))*SUM(INDEX($FK$325:$ID$396,FQ$169,1+SwaptionShift):INDEX($FK$325:$ID$396,FQ$169,SwaptionMonthsToGo+SwaptionShift))))))</f>
        <v/>
      </c>
      <c r="FR193" s="479" t="str">
        <f ca="1">IF(OR(FR$169&lt;SwaptionFirstMonthPosition+1,$FJ193&lt;SwaptionFirstMonthPosition+1,FR$169&gt;SwaptionFirstMonthPosition+SwaptionNumOfMonths+1,$FJ193&gt;SwaptionFirstMonthPosition+SwaptionNumOfMonths+1),"",IF($FJ193=FR$169,1,IF($FJ193&lt;FR$169,INDEX($FK$170:$ID$241,FR$169,$FJ193),SUMPRODUCT(INDEX($FK$325:$ID$396,FR$169,1+SwaptionShift):INDEX($FK$325:$ID$396,FR$169,SwaptionMonthsToGo+SwaptionShift),INDEX($FK$245:$ID$316,$FJ193-FR$169,73-FR$169+SwaptionShift):INDEX($FK$245:$ID$316,$FJ193-FR$169,72-FR$169+SwaptionMonthsToGo+SwaptionShift))/SQRT(SUM(INDEX($FK348:$ID348,1+SwaptionShift):INDEX($FK348:$ID348,SwaptionMonthsToGo+SwaptionShift))*SUM(INDEX($FK$325:$ID$396,FR$169,1+SwaptionShift):INDEX($FK$325:$ID$396,FR$169,SwaptionMonthsToGo+SwaptionShift))))))</f>
        <v/>
      </c>
      <c r="FS193" s="479" t="str">
        <f ca="1">IF(OR(FS$169&lt;SwaptionFirstMonthPosition+1,$FJ193&lt;SwaptionFirstMonthPosition+1,FS$169&gt;SwaptionFirstMonthPosition+SwaptionNumOfMonths+1,$FJ193&gt;SwaptionFirstMonthPosition+SwaptionNumOfMonths+1),"",IF($FJ193=FS$169,1,IF($FJ193&lt;FS$169,INDEX($FK$170:$ID$241,FS$169,$FJ193),SUMPRODUCT(INDEX($FK$325:$ID$396,FS$169,1+SwaptionShift):INDEX($FK$325:$ID$396,FS$169,SwaptionMonthsToGo+SwaptionShift),INDEX($FK$245:$ID$316,$FJ193-FS$169,73-FS$169+SwaptionShift):INDEX($FK$245:$ID$316,$FJ193-FS$169,72-FS$169+SwaptionMonthsToGo+SwaptionShift))/SQRT(SUM(INDEX($FK348:$ID348,1+SwaptionShift):INDEX($FK348:$ID348,SwaptionMonthsToGo+SwaptionShift))*SUM(INDEX($FK$325:$ID$396,FS$169,1+SwaptionShift):INDEX($FK$325:$ID$396,FS$169,SwaptionMonthsToGo+SwaptionShift))))))</f>
        <v/>
      </c>
      <c r="FT193" s="479" t="str">
        <f ca="1">IF(OR(FT$169&lt;SwaptionFirstMonthPosition+1,$FJ193&lt;SwaptionFirstMonthPosition+1,FT$169&gt;SwaptionFirstMonthPosition+SwaptionNumOfMonths+1,$FJ193&gt;SwaptionFirstMonthPosition+SwaptionNumOfMonths+1),"",IF($FJ193=FT$169,1,IF($FJ193&lt;FT$169,INDEX($FK$170:$ID$241,FT$169,$FJ193),SUMPRODUCT(INDEX($FK$325:$ID$396,FT$169,1+SwaptionShift):INDEX($FK$325:$ID$396,FT$169,SwaptionMonthsToGo+SwaptionShift),INDEX($FK$245:$ID$316,$FJ193-FT$169,73-FT$169+SwaptionShift):INDEX($FK$245:$ID$316,$FJ193-FT$169,72-FT$169+SwaptionMonthsToGo+SwaptionShift))/SQRT(SUM(INDEX($FK348:$ID348,1+SwaptionShift):INDEX($FK348:$ID348,SwaptionMonthsToGo+SwaptionShift))*SUM(INDEX($FK$325:$ID$396,FT$169,1+SwaptionShift):INDEX($FK$325:$ID$396,FT$169,SwaptionMonthsToGo+SwaptionShift))))))</f>
        <v/>
      </c>
      <c r="FU193" s="479" t="str">
        <f ca="1">IF(OR(FU$169&lt;SwaptionFirstMonthPosition+1,$FJ193&lt;SwaptionFirstMonthPosition+1,FU$169&gt;SwaptionFirstMonthPosition+SwaptionNumOfMonths+1,$FJ193&gt;SwaptionFirstMonthPosition+SwaptionNumOfMonths+1),"",IF($FJ193=FU$169,1,IF($FJ193&lt;FU$169,INDEX($FK$170:$ID$241,FU$169,$FJ193),SUMPRODUCT(INDEX($FK$325:$ID$396,FU$169,1+SwaptionShift):INDEX($FK$325:$ID$396,FU$169,SwaptionMonthsToGo+SwaptionShift),INDEX($FK$245:$ID$316,$FJ193-FU$169,73-FU$169+SwaptionShift):INDEX($FK$245:$ID$316,$FJ193-FU$169,72-FU$169+SwaptionMonthsToGo+SwaptionShift))/SQRT(SUM(INDEX($FK348:$ID348,1+SwaptionShift):INDEX($FK348:$ID348,SwaptionMonthsToGo+SwaptionShift))*SUM(INDEX($FK$325:$ID$396,FU$169,1+SwaptionShift):INDEX($FK$325:$ID$396,FU$169,SwaptionMonthsToGo+SwaptionShift))))))</f>
        <v/>
      </c>
      <c r="FV193" s="479" t="str">
        <f ca="1">IF(OR(FV$169&lt;SwaptionFirstMonthPosition+1,$FJ193&lt;SwaptionFirstMonthPosition+1,FV$169&gt;SwaptionFirstMonthPosition+SwaptionNumOfMonths+1,$FJ193&gt;SwaptionFirstMonthPosition+SwaptionNumOfMonths+1),"",IF($FJ193=FV$169,1,IF($FJ193&lt;FV$169,INDEX($FK$170:$ID$241,FV$169,$FJ193),SUMPRODUCT(INDEX($FK$325:$ID$396,FV$169,1+SwaptionShift):INDEX($FK$325:$ID$396,FV$169,SwaptionMonthsToGo+SwaptionShift),INDEX($FK$245:$ID$316,$FJ193-FV$169,73-FV$169+SwaptionShift):INDEX($FK$245:$ID$316,$FJ193-FV$169,72-FV$169+SwaptionMonthsToGo+SwaptionShift))/SQRT(SUM(INDEX($FK348:$ID348,1+SwaptionShift):INDEX($FK348:$ID348,SwaptionMonthsToGo+SwaptionShift))*SUM(INDEX($FK$325:$ID$396,FV$169,1+SwaptionShift):INDEX($FK$325:$ID$396,FV$169,SwaptionMonthsToGo+SwaptionShift))))))</f>
        <v/>
      </c>
      <c r="FW193" s="479" t="str">
        <f ca="1">IF(OR(FW$169&lt;SwaptionFirstMonthPosition+1,$FJ193&lt;SwaptionFirstMonthPosition+1,FW$169&gt;SwaptionFirstMonthPosition+SwaptionNumOfMonths+1,$FJ193&gt;SwaptionFirstMonthPosition+SwaptionNumOfMonths+1),"",IF($FJ193=FW$169,1,IF($FJ193&lt;FW$169,INDEX($FK$170:$ID$241,FW$169,$FJ193),SUMPRODUCT(INDEX($FK$325:$ID$396,FW$169,1+SwaptionShift):INDEX($FK$325:$ID$396,FW$169,SwaptionMonthsToGo+SwaptionShift),INDEX($FK$245:$ID$316,$FJ193-FW$169,73-FW$169+SwaptionShift):INDEX($FK$245:$ID$316,$FJ193-FW$169,72-FW$169+SwaptionMonthsToGo+SwaptionShift))/SQRT(SUM(INDEX($FK348:$ID348,1+SwaptionShift):INDEX($FK348:$ID348,SwaptionMonthsToGo+SwaptionShift))*SUM(INDEX($FK$325:$ID$396,FW$169,1+SwaptionShift):INDEX($FK$325:$ID$396,FW$169,SwaptionMonthsToGo+SwaptionShift))))))</f>
        <v/>
      </c>
      <c r="FX193" s="479" t="str">
        <f ca="1">IF(OR(FX$169&lt;SwaptionFirstMonthPosition+1,$FJ193&lt;SwaptionFirstMonthPosition+1,FX$169&gt;SwaptionFirstMonthPosition+SwaptionNumOfMonths+1,$FJ193&gt;SwaptionFirstMonthPosition+SwaptionNumOfMonths+1),"",IF($FJ193=FX$169,1,IF($FJ193&lt;FX$169,INDEX($FK$170:$ID$241,FX$169,$FJ193),SUMPRODUCT(INDEX($FK$325:$ID$396,FX$169,1+SwaptionShift):INDEX($FK$325:$ID$396,FX$169,SwaptionMonthsToGo+SwaptionShift),INDEX($FK$245:$ID$316,$FJ193-FX$169,73-FX$169+SwaptionShift):INDEX($FK$245:$ID$316,$FJ193-FX$169,72-FX$169+SwaptionMonthsToGo+SwaptionShift))/SQRT(SUM(INDEX($FK348:$ID348,1+SwaptionShift):INDEX($FK348:$ID348,SwaptionMonthsToGo+SwaptionShift))*SUM(INDEX($FK$325:$ID$396,FX$169,1+SwaptionShift):INDEX($FK$325:$ID$396,FX$169,SwaptionMonthsToGo+SwaptionShift))))))</f>
        <v/>
      </c>
      <c r="FY193" s="479" t="str">
        <f ca="1">IF(OR(FY$169&lt;SwaptionFirstMonthPosition+1,$FJ193&lt;SwaptionFirstMonthPosition+1,FY$169&gt;SwaptionFirstMonthPosition+SwaptionNumOfMonths+1,$FJ193&gt;SwaptionFirstMonthPosition+SwaptionNumOfMonths+1),"",IF($FJ193=FY$169,1,IF($FJ193&lt;FY$169,INDEX($FK$170:$ID$241,FY$169,$FJ193),SUMPRODUCT(INDEX($FK$325:$ID$396,FY$169,1+SwaptionShift):INDEX($FK$325:$ID$396,FY$169,SwaptionMonthsToGo+SwaptionShift),INDEX($FK$245:$ID$316,$FJ193-FY$169,73-FY$169+SwaptionShift):INDEX($FK$245:$ID$316,$FJ193-FY$169,72-FY$169+SwaptionMonthsToGo+SwaptionShift))/SQRT(SUM(INDEX($FK348:$ID348,1+SwaptionShift):INDEX($FK348:$ID348,SwaptionMonthsToGo+SwaptionShift))*SUM(INDEX($FK$325:$ID$396,FY$169,1+SwaptionShift):INDEX($FK$325:$ID$396,FY$169,SwaptionMonthsToGo+SwaptionShift))))))</f>
        <v/>
      </c>
      <c r="FZ193" s="479" t="str">
        <f ca="1">IF(OR(FZ$169&lt;SwaptionFirstMonthPosition+1,$FJ193&lt;SwaptionFirstMonthPosition+1,FZ$169&gt;SwaptionFirstMonthPosition+SwaptionNumOfMonths+1,$FJ193&gt;SwaptionFirstMonthPosition+SwaptionNumOfMonths+1),"",IF($FJ193=FZ$169,1,IF($FJ193&lt;FZ$169,INDEX($FK$170:$ID$241,FZ$169,$FJ193),SUMPRODUCT(INDEX($FK$325:$ID$396,FZ$169,1+SwaptionShift):INDEX($FK$325:$ID$396,FZ$169,SwaptionMonthsToGo+SwaptionShift),INDEX($FK$245:$ID$316,$FJ193-FZ$169,73-FZ$169+SwaptionShift):INDEX($FK$245:$ID$316,$FJ193-FZ$169,72-FZ$169+SwaptionMonthsToGo+SwaptionShift))/SQRT(SUM(INDEX($FK348:$ID348,1+SwaptionShift):INDEX($FK348:$ID348,SwaptionMonthsToGo+SwaptionShift))*SUM(INDEX($FK$325:$ID$396,FZ$169,1+SwaptionShift):INDEX($FK$325:$ID$396,FZ$169,SwaptionMonthsToGo+SwaptionShift))))))</f>
        <v/>
      </c>
      <c r="GA193" s="479" t="str">
        <f ca="1">IF(OR(GA$169&lt;SwaptionFirstMonthPosition+1,$FJ193&lt;SwaptionFirstMonthPosition+1,GA$169&gt;SwaptionFirstMonthPosition+SwaptionNumOfMonths+1,$FJ193&gt;SwaptionFirstMonthPosition+SwaptionNumOfMonths+1),"",IF($FJ193=GA$169,1,IF($FJ193&lt;GA$169,INDEX($FK$170:$ID$241,GA$169,$FJ193),SUMPRODUCT(INDEX($FK$325:$ID$396,GA$169,1+SwaptionShift):INDEX($FK$325:$ID$396,GA$169,SwaptionMonthsToGo+SwaptionShift),INDEX($FK$245:$ID$316,$FJ193-GA$169,73-GA$169+SwaptionShift):INDEX($FK$245:$ID$316,$FJ193-GA$169,72-GA$169+SwaptionMonthsToGo+SwaptionShift))/SQRT(SUM(INDEX($FK348:$ID348,1+SwaptionShift):INDEX($FK348:$ID348,SwaptionMonthsToGo+SwaptionShift))*SUM(INDEX($FK$325:$ID$396,GA$169,1+SwaptionShift):INDEX($FK$325:$ID$396,GA$169,SwaptionMonthsToGo+SwaptionShift))))))</f>
        <v/>
      </c>
      <c r="GB193" s="479" t="str">
        <f ca="1">IF(OR(GB$169&lt;SwaptionFirstMonthPosition+1,$FJ193&lt;SwaptionFirstMonthPosition+1,GB$169&gt;SwaptionFirstMonthPosition+SwaptionNumOfMonths+1,$FJ193&gt;SwaptionFirstMonthPosition+SwaptionNumOfMonths+1),"",IF($FJ193=GB$169,1,IF($FJ193&lt;GB$169,INDEX($FK$170:$ID$241,GB$169,$FJ193),SUMPRODUCT(INDEX($FK$325:$ID$396,GB$169,1+SwaptionShift):INDEX($FK$325:$ID$396,GB$169,SwaptionMonthsToGo+SwaptionShift),INDEX($FK$245:$ID$316,$FJ193-GB$169,73-GB$169+SwaptionShift):INDEX($FK$245:$ID$316,$FJ193-GB$169,72-GB$169+SwaptionMonthsToGo+SwaptionShift))/SQRT(SUM(INDEX($FK348:$ID348,1+SwaptionShift):INDEX($FK348:$ID348,SwaptionMonthsToGo+SwaptionShift))*SUM(INDEX($FK$325:$ID$396,GB$169,1+SwaptionShift):INDEX($FK$325:$ID$396,GB$169,SwaptionMonthsToGo+SwaptionShift))))))</f>
        <v/>
      </c>
      <c r="GC193" s="479" t="str">
        <f ca="1">IF(OR(GC$169&lt;SwaptionFirstMonthPosition+1,$FJ193&lt;SwaptionFirstMonthPosition+1,GC$169&gt;SwaptionFirstMonthPosition+SwaptionNumOfMonths+1,$FJ193&gt;SwaptionFirstMonthPosition+SwaptionNumOfMonths+1),"",IF($FJ193=GC$169,1,IF($FJ193&lt;GC$169,INDEX($FK$170:$ID$241,GC$169,$FJ193),SUMPRODUCT(INDEX($FK$325:$ID$396,GC$169,1+SwaptionShift):INDEX($FK$325:$ID$396,GC$169,SwaptionMonthsToGo+SwaptionShift),INDEX($FK$245:$ID$316,$FJ193-GC$169,73-GC$169+SwaptionShift):INDEX($FK$245:$ID$316,$FJ193-GC$169,72-GC$169+SwaptionMonthsToGo+SwaptionShift))/SQRT(SUM(INDEX($FK348:$ID348,1+SwaptionShift):INDEX($FK348:$ID348,SwaptionMonthsToGo+SwaptionShift))*SUM(INDEX($FK$325:$ID$396,GC$169,1+SwaptionShift):INDEX($FK$325:$ID$396,GC$169,SwaptionMonthsToGo+SwaptionShift))))))</f>
        <v/>
      </c>
      <c r="GD193" s="479" t="str">
        <f ca="1">IF(OR(GD$169&lt;SwaptionFirstMonthPosition+1,$FJ193&lt;SwaptionFirstMonthPosition+1,GD$169&gt;SwaptionFirstMonthPosition+SwaptionNumOfMonths+1,$FJ193&gt;SwaptionFirstMonthPosition+SwaptionNumOfMonths+1),"",IF($FJ193=GD$169,1,IF($FJ193&lt;GD$169,INDEX($FK$170:$ID$241,GD$169,$FJ193),SUMPRODUCT(INDEX($FK$325:$ID$396,GD$169,1+SwaptionShift):INDEX($FK$325:$ID$396,GD$169,SwaptionMonthsToGo+SwaptionShift),INDEX($FK$245:$ID$316,$FJ193-GD$169,73-GD$169+SwaptionShift):INDEX($FK$245:$ID$316,$FJ193-GD$169,72-GD$169+SwaptionMonthsToGo+SwaptionShift))/SQRT(SUM(INDEX($FK348:$ID348,1+SwaptionShift):INDEX($FK348:$ID348,SwaptionMonthsToGo+SwaptionShift))*SUM(INDEX($FK$325:$ID$396,GD$169,1+SwaptionShift):INDEX($FK$325:$ID$396,GD$169,SwaptionMonthsToGo+SwaptionShift))))))</f>
        <v/>
      </c>
      <c r="GE193" s="479" t="str">
        <f ca="1">IF(OR(GE$169&lt;SwaptionFirstMonthPosition+1,$FJ193&lt;SwaptionFirstMonthPosition+1,GE$169&gt;SwaptionFirstMonthPosition+SwaptionNumOfMonths+1,$FJ193&gt;SwaptionFirstMonthPosition+SwaptionNumOfMonths+1),"",IF($FJ193=GE$169,1,IF($FJ193&lt;GE$169,INDEX($FK$170:$ID$241,GE$169,$FJ193),SUMPRODUCT(INDEX($FK$325:$ID$396,GE$169,1+SwaptionShift):INDEX($FK$325:$ID$396,GE$169,SwaptionMonthsToGo+SwaptionShift),INDEX($FK$245:$ID$316,$FJ193-GE$169,73-GE$169+SwaptionShift):INDEX($FK$245:$ID$316,$FJ193-GE$169,72-GE$169+SwaptionMonthsToGo+SwaptionShift))/SQRT(SUM(INDEX($FK348:$ID348,1+SwaptionShift):INDEX($FK348:$ID348,SwaptionMonthsToGo+SwaptionShift))*SUM(INDEX($FK$325:$ID$396,GE$169,1+SwaptionShift):INDEX($FK$325:$ID$396,GE$169,SwaptionMonthsToGo+SwaptionShift))))))</f>
        <v/>
      </c>
      <c r="GF193" s="479" t="str">
        <f ca="1">IF(OR(GF$169&lt;SwaptionFirstMonthPosition+1,$FJ193&lt;SwaptionFirstMonthPosition+1,GF$169&gt;SwaptionFirstMonthPosition+SwaptionNumOfMonths+1,$FJ193&gt;SwaptionFirstMonthPosition+SwaptionNumOfMonths+1),"",IF($FJ193=GF$169,1,IF($FJ193&lt;GF$169,INDEX($FK$170:$ID$241,GF$169,$FJ193),SUMPRODUCT(INDEX($FK$325:$ID$396,GF$169,1+SwaptionShift):INDEX($FK$325:$ID$396,GF$169,SwaptionMonthsToGo+SwaptionShift),INDEX($FK$245:$ID$316,$FJ193-GF$169,73-GF$169+SwaptionShift):INDEX($FK$245:$ID$316,$FJ193-GF$169,72-GF$169+SwaptionMonthsToGo+SwaptionShift))/SQRT(SUM(INDEX($FK348:$ID348,1+SwaptionShift):INDEX($FK348:$ID348,SwaptionMonthsToGo+SwaptionShift))*SUM(INDEX($FK$325:$ID$396,GF$169,1+SwaptionShift):INDEX($FK$325:$ID$396,GF$169,SwaptionMonthsToGo+SwaptionShift))))))</f>
        <v/>
      </c>
      <c r="GG193" s="479" t="str">
        <f ca="1">IF(OR(GG$169&lt;SwaptionFirstMonthPosition+1,$FJ193&lt;SwaptionFirstMonthPosition+1,GG$169&gt;SwaptionFirstMonthPosition+SwaptionNumOfMonths+1,$FJ193&gt;SwaptionFirstMonthPosition+SwaptionNumOfMonths+1),"",IF($FJ193=GG$169,1,IF($FJ193&lt;GG$169,INDEX($FK$170:$ID$241,GG$169,$FJ193),SUMPRODUCT(INDEX($FK$325:$ID$396,GG$169,1+SwaptionShift):INDEX($FK$325:$ID$396,GG$169,SwaptionMonthsToGo+SwaptionShift),INDEX($FK$245:$ID$316,$FJ193-GG$169,73-GG$169+SwaptionShift):INDEX($FK$245:$ID$316,$FJ193-GG$169,72-GG$169+SwaptionMonthsToGo+SwaptionShift))/SQRT(SUM(INDEX($FK348:$ID348,1+SwaptionShift):INDEX($FK348:$ID348,SwaptionMonthsToGo+SwaptionShift))*SUM(INDEX($FK$325:$ID$396,GG$169,1+SwaptionShift):INDEX($FK$325:$ID$396,GG$169,SwaptionMonthsToGo+SwaptionShift))))))</f>
        <v/>
      </c>
      <c r="GH193" s="479" t="str">
        <f ca="1">IF(OR(GH$169&lt;SwaptionFirstMonthPosition+1,$FJ193&lt;SwaptionFirstMonthPosition+1,GH$169&gt;SwaptionFirstMonthPosition+SwaptionNumOfMonths+1,$FJ193&gt;SwaptionFirstMonthPosition+SwaptionNumOfMonths+1),"",IF($FJ193=GH$169,1,IF($FJ193&lt;GH$169,INDEX($FK$170:$ID$241,GH$169,$FJ193),SUMPRODUCT(INDEX($FK$325:$ID$396,GH$169,1+SwaptionShift):INDEX($FK$325:$ID$396,GH$169,SwaptionMonthsToGo+SwaptionShift),INDEX($FK$245:$ID$316,$FJ193-GH$169,73-GH$169+SwaptionShift):INDEX($FK$245:$ID$316,$FJ193-GH$169,72-GH$169+SwaptionMonthsToGo+SwaptionShift))/SQRT(SUM(INDEX($FK348:$ID348,1+SwaptionShift):INDEX($FK348:$ID348,SwaptionMonthsToGo+SwaptionShift))*SUM(INDEX($FK$325:$ID$396,GH$169,1+SwaptionShift):INDEX($FK$325:$ID$396,GH$169,SwaptionMonthsToGo+SwaptionShift))))))</f>
        <v/>
      </c>
      <c r="GI193" s="479" t="str">
        <f ca="1">IF(OR(GI$169&lt;SwaptionFirstMonthPosition+1,$FJ193&lt;SwaptionFirstMonthPosition+1,GI$169&gt;SwaptionFirstMonthPosition+SwaptionNumOfMonths+1,$FJ193&gt;SwaptionFirstMonthPosition+SwaptionNumOfMonths+1),"",IF($FJ193=GI$169,1,IF($FJ193&lt;GI$169,INDEX($FK$170:$ID$241,GI$169,$FJ193),SUMPRODUCT(INDEX($FK$325:$ID$396,GI$169,1+SwaptionShift):INDEX($FK$325:$ID$396,GI$169,SwaptionMonthsToGo+SwaptionShift),INDEX($FK$245:$ID$316,$FJ193-GI$169,73-GI$169+SwaptionShift):INDEX($FK$245:$ID$316,$FJ193-GI$169,72-GI$169+SwaptionMonthsToGo+SwaptionShift))/SQRT(SUM(INDEX($FK348:$ID348,1+SwaptionShift):INDEX($FK348:$ID348,SwaptionMonthsToGo+SwaptionShift))*SUM(INDEX($FK$325:$ID$396,GI$169,1+SwaptionShift):INDEX($FK$325:$ID$396,GI$169,SwaptionMonthsToGo+SwaptionShift))))))</f>
        <v/>
      </c>
      <c r="GJ193" s="479" t="str">
        <f ca="1">IF(OR(GJ$169&lt;SwaptionFirstMonthPosition+1,$FJ193&lt;SwaptionFirstMonthPosition+1,GJ$169&gt;SwaptionFirstMonthPosition+SwaptionNumOfMonths+1,$FJ193&gt;SwaptionFirstMonthPosition+SwaptionNumOfMonths+1),"",IF($FJ193=GJ$169,1,IF($FJ193&lt;GJ$169,INDEX($FK$170:$ID$241,GJ$169,$FJ193),SUMPRODUCT(INDEX($FK$325:$ID$396,GJ$169,1+SwaptionShift):INDEX($FK$325:$ID$396,GJ$169,SwaptionMonthsToGo+SwaptionShift),INDEX($FK$245:$ID$316,$FJ193-GJ$169,73-GJ$169+SwaptionShift):INDEX($FK$245:$ID$316,$FJ193-GJ$169,72-GJ$169+SwaptionMonthsToGo+SwaptionShift))/SQRT(SUM(INDEX($FK348:$ID348,1+SwaptionShift):INDEX($FK348:$ID348,SwaptionMonthsToGo+SwaptionShift))*SUM(INDEX($FK$325:$ID$396,GJ$169,1+SwaptionShift):INDEX($FK$325:$ID$396,GJ$169,SwaptionMonthsToGo+SwaptionShift))))))</f>
        <v/>
      </c>
      <c r="GK193" s="479" t="str">
        <f ca="1">IF(OR(GK$169&lt;SwaptionFirstMonthPosition+1,$FJ193&lt;SwaptionFirstMonthPosition+1,GK$169&gt;SwaptionFirstMonthPosition+SwaptionNumOfMonths+1,$FJ193&gt;SwaptionFirstMonthPosition+SwaptionNumOfMonths+1),"",IF($FJ193=GK$169,1,IF($FJ193&lt;GK$169,INDEX($FK$170:$ID$241,GK$169,$FJ193),SUMPRODUCT(INDEX($FK$325:$ID$396,GK$169,1+SwaptionShift):INDEX($FK$325:$ID$396,GK$169,SwaptionMonthsToGo+SwaptionShift),INDEX($FK$245:$ID$316,$FJ193-GK$169,73-GK$169+SwaptionShift):INDEX($FK$245:$ID$316,$FJ193-GK$169,72-GK$169+SwaptionMonthsToGo+SwaptionShift))/SQRT(SUM(INDEX($FK348:$ID348,1+SwaptionShift):INDEX($FK348:$ID348,SwaptionMonthsToGo+SwaptionShift))*SUM(INDEX($FK$325:$ID$396,GK$169,1+SwaptionShift):INDEX($FK$325:$ID$396,GK$169,SwaptionMonthsToGo+SwaptionShift))))))</f>
        <v/>
      </c>
      <c r="GL193" s="479" t="str">
        <f ca="1">IF(OR(GL$169&lt;SwaptionFirstMonthPosition+1,$FJ193&lt;SwaptionFirstMonthPosition+1,GL$169&gt;SwaptionFirstMonthPosition+SwaptionNumOfMonths+1,$FJ193&gt;SwaptionFirstMonthPosition+SwaptionNumOfMonths+1),"",IF($FJ193=GL$169,1,IF($FJ193&lt;GL$169,INDEX($FK$170:$ID$241,GL$169,$FJ193),SUMPRODUCT(INDEX($FK$325:$ID$396,GL$169,1+SwaptionShift):INDEX($FK$325:$ID$396,GL$169,SwaptionMonthsToGo+SwaptionShift),INDEX($FK$245:$ID$316,$FJ193-GL$169,73-GL$169+SwaptionShift):INDEX($FK$245:$ID$316,$FJ193-GL$169,72-GL$169+SwaptionMonthsToGo+SwaptionShift))/SQRT(SUM(INDEX($FK348:$ID348,1+SwaptionShift):INDEX($FK348:$ID348,SwaptionMonthsToGo+SwaptionShift))*SUM(INDEX($FK$325:$ID$396,GL$169,1+SwaptionShift):INDEX($FK$325:$ID$396,GL$169,SwaptionMonthsToGo+SwaptionShift))))))</f>
        <v/>
      </c>
      <c r="GM193" s="479" t="str">
        <f ca="1">IF(OR(GM$169&lt;SwaptionFirstMonthPosition+1,$FJ193&lt;SwaptionFirstMonthPosition+1,GM$169&gt;SwaptionFirstMonthPosition+SwaptionNumOfMonths+1,$FJ193&gt;SwaptionFirstMonthPosition+SwaptionNumOfMonths+1),"",IF($FJ193=GM$169,1,IF($FJ193&lt;GM$169,INDEX($FK$170:$ID$241,GM$169,$FJ193),SUMPRODUCT(INDEX($FK$325:$ID$396,GM$169,1+SwaptionShift):INDEX($FK$325:$ID$396,GM$169,SwaptionMonthsToGo+SwaptionShift),INDEX($FK$245:$ID$316,$FJ193-GM$169,73-GM$169+SwaptionShift):INDEX($FK$245:$ID$316,$FJ193-GM$169,72-GM$169+SwaptionMonthsToGo+SwaptionShift))/SQRT(SUM(INDEX($FK348:$ID348,1+SwaptionShift):INDEX($FK348:$ID348,SwaptionMonthsToGo+SwaptionShift))*SUM(INDEX($FK$325:$ID$396,GM$169,1+SwaptionShift):INDEX($FK$325:$ID$396,GM$169,SwaptionMonthsToGo+SwaptionShift))))))</f>
        <v/>
      </c>
      <c r="GN193" s="479" t="str">
        <f ca="1">IF(OR(GN$169&lt;SwaptionFirstMonthPosition+1,$FJ193&lt;SwaptionFirstMonthPosition+1,GN$169&gt;SwaptionFirstMonthPosition+SwaptionNumOfMonths+1,$FJ193&gt;SwaptionFirstMonthPosition+SwaptionNumOfMonths+1),"",IF($FJ193=GN$169,1,IF($FJ193&lt;GN$169,INDEX($FK$170:$ID$241,GN$169,$FJ193),SUMPRODUCT(INDEX($FK$325:$ID$396,GN$169,1+SwaptionShift):INDEX($FK$325:$ID$396,GN$169,SwaptionMonthsToGo+SwaptionShift),INDEX($FK$245:$ID$316,$FJ193-GN$169,73-GN$169+SwaptionShift):INDEX($FK$245:$ID$316,$FJ193-GN$169,72-GN$169+SwaptionMonthsToGo+SwaptionShift))/SQRT(SUM(INDEX($FK348:$ID348,1+SwaptionShift):INDEX($FK348:$ID348,SwaptionMonthsToGo+SwaptionShift))*SUM(INDEX($FK$325:$ID$396,GN$169,1+SwaptionShift):INDEX($FK$325:$ID$396,GN$169,SwaptionMonthsToGo+SwaptionShift))))))</f>
        <v/>
      </c>
      <c r="GO193" s="479" t="str">
        <f ca="1">IF(OR(GO$169&lt;SwaptionFirstMonthPosition+1,$FJ193&lt;SwaptionFirstMonthPosition+1,GO$169&gt;SwaptionFirstMonthPosition+SwaptionNumOfMonths+1,$FJ193&gt;SwaptionFirstMonthPosition+SwaptionNumOfMonths+1),"",IF($FJ193=GO$169,1,IF($FJ193&lt;GO$169,INDEX($FK$170:$ID$241,GO$169,$FJ193),SUMPRODUCT(INDEX($FK$325:$ID$396,GO$169,1+SwaptionShift):INDEX($FK$325:$ID$396,GO$169,SwaptionMonthsToGo+SwaptionShift),INDEX($FK$245:$ID$316,$FJ193-GO$169,73-GO$169+SwaptionShift):INDEX($FK$245:$ID$316,$FJ193-GO$169,72-GO$169+SwaptionMonthsToGo+SwaptionShift))/SQRT(SUM(INDEX($FK348:$ID348,1+SwaptionShift):INDEX($FK348:$ID348,SwaptionMonthsToGo+SwaptionShift))*SUM(INDEX($FK$325:$ID$396,GO$169,1+SwaptionShift):INDEX($FK$325:$ID$396,GO$169,SwaptionMonthsToGo+SwaptionShift))))))</f>
        <v/>
      </c>
      <c r="GP193" s="479" t="str">
        <f ca="1">IF(OR(GP$169&lt;SwaptionFirstMonthPosition+1,$FJ193&lt;SwaptionFirstMonthPosition+1,GP$169&gt;SwaptionFirstMonthPosition+SwaptionNumOfMonths+1,$FJ193&gt;SwaptionFirstMonthPosition+SwaptionNumOfMonths+1),"",IF($FJ193=GP$169,1,IF($FJ193&lt;GP$169,INDEX($FK$170:$ID$241,GP$169,$FJ193),SUMPRODUCT(INDEX($FK$325:$ID$396,GP$169,1+SwaptionShift):INDEX($FK$325:$ID$396,GP$169,SwaptionMonthsToGo+SwaptionShift),INDEX($FK$245:$ID$316,$FJ193-GP$169,73-GP$169+SwaptionShift):INDEX($FK$245:$ID$316,$FJ193-GP$169,72-GP$169+SwaptionMonthsToGo+SwaptionShift))/SQRT(SUM(INDEX($FK348:$ID348,1+SwaptionShift):INDEX($FK348:$ID348,SwaptionMonthsToGo+SwaptionShift))*SUM(INDEX($FK$325:$ID$396,GP$169,1+SwaptionShift):INDEX($FK$325:$ID$396,GP$169,SwaptionMonthsToGo+SwaptionShift))))))</f>
        <v/>
      </c>
      <c r="GQ193" s="479" t="str">
        <f ca="1">IF(OR(GQ$169&lt;SwaptionFirstMonthPosition+1,$FJ193&lt;SwaptionFirstMonthPosition+1,GQ$169&gt;SwaptionFirstMonthPosition+SwaptionNumOfMonths+1,$FJ193&gt;SwaptionFirstMonthPosition+SwaptionNumOfMonths+1),"",IF($FJ193=GQ$169,1,IF($FJ193&lt;GQ$169,INDEX($FK$170:$ID$241,GQ$169,$FJ193),SUMPRODUCT(INDEX($FK$325:$ID$396,GQ$169,1+SwaptionShift):INDEX($FK$325:$ID$396,GQ$169,SwaptionMonthsToGo+SwaptionShift),INDEX($FK$245:$ID$316,$FJ193-GQ$169,73-GQ$169+SwaptionShift):INDEX($FK$245:$ID$316,$FJ193-GQ$169,72-GQ$169+SwaptionMonthsToGo+SwaptionShift))/SQRT(SUM(INDEX($FK348:$ID348,1+SwaptionShift):INDEX($FK348:$ID348,SwaptionMonthsToGo+SwaptionShift))*SUM(INDEX($FK$325:$ID$396,GQ$169,1+SwaptionShift):INDEX($FK$325:$ID$396,GQ$169,SwaptionMonthsToGo+SwaptionShift))))))</f>
        <v/>
      </c>
      <c r="GR193" s="479" t="str">
        <f ca="1">IF(OR(GR$169&lt;SwaptionFirstMonthPosition+1,$FJ193&lt;SwaptionFirstMonthPosition+1,GR$169&gt;SwaptionFirstMonthPosition+SwaptionNumOfMonths+1,$FJ193&gt;SwaptionFirstMonthPosition+SwaptionNumOfMonths+1),"",IF($FJ193=GR$169,1,IF($FJ193&lt;GR$169,INDEX($FK$170:$ID$241,GR$169,$FJ193),SUMPRODUCT(INDEX($FK$325:$ID$396,GR$169,1+SwaptionShift):INDEX($FK$325:$ID$396,GR$169,SwaptionMonthsToGo+SwaptionShift),INDEX($FK$245:$ID$316,$FJ193-GR$169,73-GR$169+SwaptionShift):INDEX($FK$245:$ID$316,$FJ193-GR$169,72-GR$169+SwaptionMonthsToGo+SwaptionShift))/SQRT(SUM(INDEX($FK348:$ID348,1+SwaptionShift):INDEX($FK348:$ID348,SwaptionMonthsToGo+SwaptionShift))*SUM(INDEX($FK$325:$ID$396,GR$169,1+SwaptionShift):INDEX($FK$325:$ID$396,GR$169,SwaptionMonthsToGo+SwaptionShift))))))</f>
        <v/>
      </c>
      <c r="GS193" s="479" t="str">
        <f ca="1">IF(OR(GS$169&lt;SwaptionFirstMonthPosition+1,$FJ193&lt;SwaptionFirstMonthPosition+1,GS$169&gt;SwaptionFirstMonthPosition+SwaptionNumOfMonths+1,$FJ193&gt;SwaptionFirstMonthPosition+SwaptionNumOfMonths+1),"",IF($FJ193=GS$169,1,IF($FJ193&lt;GS$169,INDEX($FK$170:$ID$241,GS$169,$FJ193),SUMPRODUCT(INDEX($FK$325:$ID$396,GS$169,1+SwaptionShift):INDEX($FK$325:$ID$396,GS$169,SwaptionMonthsToGo+SwaptionShift),INDEX($FK$245:$ID$316,$FJ193-GS$169,73-GS$169+SwaptionShift):INDEX($FK$245:$ID$316,$FJ193-GS$169,72-GS$169+SwaptionMonthsToGo+SwaptionShift))/SQRT(SUM(INDEX($FK348:$ID348,1+SwaptionShift):INDEX($FK348:$ID348,SwaptionMonthsToGo+SwaptionShift))*SUM(INDEX($FK$325:$ID$396,GS$169,1+SwaptionShift):INDEX($FK$325:$ID$396,GS$169,SwaptionMonthsToGo+SwaptionShift))))))</f>
        <v/>
      </c>
      <c r="GT193" s="479" t="str">
        <f ca="1">IF(OR(GT$169&lt;SwaptionFirstMonthPosition+1,$FJ193&lt;SwaptionFirstMonthPosition+1,GT$169&gt;SwaptionFirstMonthPosition+SwaptionNumOfMonths+1,$FJ193&gt;SwaptionFirstMonthPosition+SwaptionNumOfMonths+1),"",IF($FJ193=GT$169,1,IF($FJ193&lt;GT$169,INDEX($FK$170:$ID$241,GT$169,$FJ193),SUMPRODUCT(INDEX($FK$325:$ID$396,GT$169,1+SwaptionShift):INDEX($FK$325:$ID$396,GT$169,SwaptionMonthsToGo+SwaptionShift),INDEX($FK$245:$ID$316,$FJ193-GT$169,73-GT$169+SwaptionShift):INDEX($FK$245:$ID$316,$FJ193-GT$169,72-GT$169+SwaptionMonthsToGo+SwaptionShift))/SQRT(SUM(INDEX($FK348:$ID348,1+SwaptionShift):INDEX($FK348:$ID348,SwaptionMonthsToGo+SwaptionShift))*SUM(INDEX($FK$325:$ID$396,GT$169,1+SwaptionShift):INDEX($FK$325:$ID$396,GT$169,SwaptionMonthsToGo+SwaptionShift))))))</f>
        <v/>
      </c>
      <c r="GU193" s="479" t="str">
        <f ca="1">IF(OR(GU$169&lt;SwaptionFirstMonthPosition+1,$FJ193&lt;SwaptionFirstMonthPosition+1,GU$169&gt;SwaptionFirstMonthPosition+SwaptionNumOfMonths+1,$FJ193&gt;SwaptionFirstMonthPosition+SwaptionNumOfMonths+1),"",IF($FJ193=GU$169,1,IF($FJ193&lt;GU$169,INDEX($FK$170:$ID$241,GU$169,$FJ193),SUMPRODUCT(INDEX($FK$325:$ID$396,GU$169,1+SwaptionShift):INDEX($FK$325:$ID$396,GU$169,SwaptionMonthsToGo+SwaptionShift),INDEX($FK$245:$ID$316,$FJ193-GU$169,73-GU$169+SwaptionShift):INDEX($FK$245:$ID$316,$FJ193-GU$169,72-GU$169+SwaptionMonthsToGo+SwaptionShift))/SQRT(SUM(INDEX($FK348:$ID348,1+SwaptionShift):INDEX($FK348:$ID348,SwaptionMonthsToGo+SwaptionShift))*SUM(INDEX($FK$325:$ID$396,GU$169,1+SwaptionShift):INDEX($FK$325:$ID$396,GU$169,SwaptionMonthsToGo+SwaptionShift))))))</f>
        <v/>
      </c>
      <c r="GV193" s="479" t="str">
        <f ca="1">IF(OR(GV$169&lt;SwaptionFirstMonthPosition+1,$FJ193&lt;SwaptionFirstMonthPosition+1,GV$169&gt;SwaptionFirstMonthPosition+SwaptionNumOfMonths+1,$FJ193&gt;SwaptionFirstMonthPosition+SwaptionNumOfMonths+1),"",IF($FJ193=GV$169,1,IF($FJ193&lt;GV$169,INDEX($FK$170:$ID$241,GV$169,$FJ193),SUMPRODUCT(INDEX($FK$325:$ID$396,GV$169,1+SwaptionShift):INDEX($FK$325:$ID$396,GV$169,SwaptionMonthsToGo+SwaptionShift),INDEX($FK$245:$ID$316,$FJ193-GV$169,73-GV$169+SwaptionShift):INDEX($FK$245:$ID$316,$FJ193-GV$169,72-GV$169+SwaptionMonthsToGo+SwaptionShift))/SQRT(SUM(INDEX($FK348:$ID348,1+SwaptionShift):INDEX($FK348:$ID348,SwaptionMonthsToGo+SwaptionShift))*SUM(INDEX($FK$325:$ID$396,GV$169,1+SwaptionShift):INDEX($FK$325:$ID$396,GV$169,SwaptionMonthsToGo+SwaptionShift))))))</f>
        <v/>
      </c>
      <c r="GW193" s="479" t="str">
        <f ca="1">IF(OR(GW$169&lt;SwaptionFirstMonthPosition+1,$FJ193&lt;SwaptionFirstMonthPosition+1,GW$169&gt;SwaptionFirstMonthPosition+SwaptionNumOfMonths+1,$FJ193&gt;SwaptionFirstMonthPosition+SwaptionNumOfMonths+1),"",IF($FJ193=GW$169,1,IF($FJ193&lt;GW$169,INDEX($FK$170:$ID$241,GW$169,$FJ193),SUMPRODUCT(INDEX($FK$325:$ID$396,GW$169,1+SwaptionShift):INDEX($FK$325:$ID$396,GW$169,SwaptionMonthsToGo+SwaptionShift),INDEX($FK$245:$ID$316,$FJ193-GW$169,73-GW$169+SwaptionShift):INDEX($FK$245:$ID$316,$FJ193-GW$169,72-GW$169+SwaptionMonthsToGo+SwaptionShift))/SQRT(SUM(INDEX($FK348:$ID348,1+SwaptionShift):INDEX($FK348:$ID348,SwaptionMonthsToGo+SwaptionShift))*SUM(INDEX($FK$325:$ID$396,GW$169,1+SwaptionShift):INDEX($FK$325:$ID$396,GW$169,SwaptionMonthsToGo+SwaptionShift))))))</f>
        <v/>
      </c>
      <c r="GX193" s="479" t="str">
        <f ca="1">IF(OR(GX$169&lt;SwaptionFirstMonthPosition+1,$FJ193&lt;SwaptionFirstMonthPosition+1,GX$169&gt;SwaptionFirstMonthPosition+SwaptionNumOfMonths+1,$FJ193&gt;SwaptionFirstMonthPosition+SwaptionNumOfMonths+1),"",IF($FJ193=GX$169,1,IF($FJ193&lt;GX$169,INDEX($FK$170:$ID$241,GX$169,$FJ193),SUMPRODUCT(INDEX($FK$325:$ID$396,GX$169,1+SwaptionShift):INDEX($FK$325:$ID$396,GX$169,SwaptionMonthsToGo+SwaptionShift),INDEX($FK$245:$ID$316,$FJ193-GX$169,73-GX$169+SwaptionShift):INDEX($FK$245:$ID$316,$FJ193-GX$169,72-GX$169+SwaptionMonthsToGo+SwaptionShift))/SQRT(SUM(INDEX($FK348:$ID348,1+SwaptionShift):INDEX($FK348:$ID348,SwaptionMonthsToGo+SwaptionShift))*SUM(INDEX($FK$325:$ID$396,GX$169,1+SwaptionShift):INDEX($FK$325:$ID$396,GX$169,SwaptionMonthsToGo+SwaptionShift))))))</f>
        <v/>
      </c>
      <c r="GY193" s="479" t="str">
        <f ca="1">IF(OR(GY$169&lt;SwaptionFirstMonthPosition+1,$FJ193&lt;SwaptionFirstMonthPosition+1,GY$169&gt;SwaptionFirstMonthPosition+SwaptionNumOfMonths+1,$FJ193&gt;SwaptionFirstMonthPosition+SwaptionNumOfMonths+1),"",IF($FJ193=GY$169,1,IF($FJ193&lt;GY$169,INDEX($FK$170:$ID$241,GY$169,$FJ193),SUMPRODUCT(INDEX($FK$325:$ID$396,GY$169,1+SwaptionShift):INDEX($FK$325:$ID$396,GY$169,SwaptionMonthsToGo+SwaptionShift),INDEX($FK$245:$ID$316,$FJ193-GY$169,73-GY$169+SwaptionShift):INDEX($FK$245:$ID$316,$FJ193-GY$169,72-GY$169+SwaptionMonthsToGo+SwaptionShift))/SQRT(SUM(INDEX($FK348:$ID348,1+SwaptionShift):INDEX($FK348:$ID348,SwaptionMonthsToGo+SwaptionShift))*SUM(INDEX($FK$325:$ID$396,GY$169,1+SwaptionShift):INDEX($FK$325:$ID$396,GY$169,SwaptionMonthsToGo+SwaptionShift))))))</f>
        <v/>
      </c>
      <c r="GZ193" s="479" t="str">
        <f ca="1">IF(OR(GZ$169&lt;SwaptionFirstMonthPosition+1,$FJ193&lt;SwaptionFirstMonthPosition+1,GZ$169&gt;SwaptionFirstMonthPosition+SwaptionNumOfMonths+1,$FJ193&gt;SwaptionFirstMonthPosition+SwaptionNumOfMonths+1),"",IF($FJ193=GZ$169,1,IF($FJ193&lt;GZ$169,INDEX($FK$170:$ID$241,GZ$169,$FJ193),SUMPRODUCT(INDEX($FK$325:$ID$396,GZ$169,1+SwaptionShift):INDEX($FK$325:$ID$396,GZ$169,SwaptionMonthsToGo+SwaptionShift),INDEX($FK$245:$ID$316,$FJ193-GZ$169,73-GZ$169+SwaptionShift):INDEX($FK$245:$ID$316,$FJ193-GZ$169,72-GZ$169+SwaptionMonthsToGo+SwaptionShift))/SQRT(SUM(INDEX($FK348:$ID348,1+SwaptionShift):INDEX($FK348:$ID348,SwaptionMonthsToGo+SwaptionShift))*SUM(INDEX($FK$325:$ID$396,GZ$169,1+SwaptionShift):INDEX($FK$325:$ID$396,GZ$169,SwaptionMonthsToGo+SwaptionShift))))))</f>
        <v/>
      </c>
      <c r="HA193" s="479" t="str">
        <f ca="1">IF(OR(HA$169&lt;SwaptionFirstMonthPosition+1,$FJ193&lt;SwaptionFirstMonthPosition+1,HA$169&gt;SwaptionFirstMonthPosition+SwaptionNumOfMonths+1,$FJ193&gt;SwaptionFirstMonthPosition+SwaptionNumOfMonths+1),"",IF($FJ193=HA$169,1,IF($FJ193&lt;HA$169,INDEX($FK$170:$ID$241,HA$169,$FJ193),SUMPRODUCT(INDEX($FK$325:$ID$396,HA$169,1+SwaptionShift):INDEX($FK$325:$ID$396,HA$169,SwaptionMonthsToGo+SwaptionShift),INDEX($FK$245:$ID$316,$FJ193-HA$169,73-HA$169+SwaptionShift):INDEX($FK$245:$ID$316,$FJ193-HA$169,72-HA$169+SwaptionMonthsToGo+SwaptionShift))/SQRT(SUM(INDEX($FK348:$ID348,1+SwaptionShift):INDEX($FK348:$ID348,SwaptionMonthsToGo+SwaptionShift))*SUM(INDEX($FK$325:$ID$396,HA$169,1+SwaptionShift):INDEX($FK$325:$ID$396,HA$169,SwaptionMonthsToGo+SwaptionShift))))))</f>
        <v/>
      </c>
      <c r="HB193" s="479" t="str">
        <f ca="1">IF(OR(HB$169&lt;SwaptionFirstMonthPosition+1,$FJ193&lt;SwaptionFirstMonthPosition+1,HB$169&gt;SwaptionFirstMonthPosition+SwaptionNumOfMonths+1,$FJ193&gt;SwaptionFirstMonthPosition+SwaptionNumOfMonths+1),"",IF($FJ193=HB$169,1,IF($FJ193&lt;HB$169,INDEX($FK$170:$ID$241,HB$169,$FJ193),SUMPRODUCT(INDEX($FK$325:$ID$396,HB$169,1+SwaptionShift):INDEX($FK$325:$ID$396,HB$169,SwaptionMonthsToGo+SwaptionShift),INDEX($FK$245:$ID$316,$FJ193-HB$169,73-HB$169+SwaptionShift):INDEX($FK$245:$ID$316,$FJ193-HB$169,72-HB$169+SwaptionMonthsToGo+SwaptionShift))/SQRT(SUM(INDEX($FK348:$ID348,1+SwaptionShift):INDEX($FK348:$ID348,SwaptionMonthsToGo+SwaptionShift))*SUM(INDEX($FK$325:$ID$396,HB$169,1+SwaptionShift):INDEX($FK$325:$ID$396,HB$169,SwaptionMonthsToGo+SwaptionShift))))))</f>
        <v/>
      </c>
      <c r="HC193" s="479" t="str">
        <f ca="1">IF(OR(HC$169&lt;SwaptionFirstMonthPosition+1,$FJ193&lt;SwaptionFirstMonthPosition+1,HC$169&gt;SwaptionFirstMonthPosition+SwaptionNumOfMonths+1,$FJ193&gt;SwaptionFirstMonthPosition+SwaptionNumOfMonths+1),"",IF($FJ193=HC$169,1,IF($FJ193&lt;HC$169,INDEX($FK$170:$ID$241,HC$169,$FJ193),SUMPRODUCT(INDEX($FK$325:$ID$396,HC$169,1+SwaptionShift):INDEX($FK$325:$ID$396,HC$169,SwaptionMonthsToGo+SwaptionShift),INDEX($FK$245:$ID$316,$FJ193-HC$169,73-HC$169+SwaptionShift):INDEX($FK$245:$ID$316,$FJ193-HC$169,72-HC$169+SwaptionMonthsToGo+SwaptionShift))/SQRT(SUM(INDEX($FK348:$ID348,1+SwaptionShift):INDEX($FK348:$ID348,SwaptionMonthsToGo+SwaptionShift))*SUM(INDEX($FK$325:$ID$396,HC$169,1+SwaptionShift):INDEX($FK$325:$ID$396,HC$169,SwaptionMonthsToGo+SwaptionShift))))))</f>
        <v/>
      </c>
      <c r="HD193" s="479" t="str">
        <f ca="1">IF(OR(HD$169&lt;SwaptionFirstMonthPosition+1,$FJ193&lt;SwaptionFirstMonthPosition+1,HD$169&gt;SwaptionFirstMonthPosition+SwaptionNumOfMonths+1,$FJ193&gt;SwaptionFirstMonthPosition+SwaptionNumOfMonths+1),"",IF($FJ193=HD$169,1,IF($FJ193&lt;HD$169,INDEX($FK$170:$ID$241,HD$169,$FJ193),SUMPRODUCT(INDEX($FK$325:$ID$396,HD$169,1+SwaptionShift):INDEX($FK$325:$ID$396,HD$169,SwaptionMonthsToGo+SwaptionShift),INDEX($FK$245:$ID$316,$FJ193-HD$169,73-HD$169+SwaptionShift):INDEX($FK$245:$ID$316,$FJ193-HD$169,72-HD$169+SwaptionMonthsToGo+SwaptionShift))/SQRT(SUM(INDEX($FK348:$ID348,1+SwaptionShift):INDEX($FK348:$ID348,SwaptionMonthsToGo+SwaptionShift))*SUM(INDEX($FK$325:$ID$396,HD$169,1+SwaptionShift):INDEX($FK$325:$ID$396,HD$169,SwaptionMonthsToGo+SwaptionShift))))))</f>
        <v/>
      </c>
      <c r="HE193" s="479" t="str">
        <f ca="1">IF(OR(HE$169&lt;SwaptionFirstMonthPosition+1,$FJ193&lt;SwaptionFirstMonthPosition+1,HE$169&gt;SwaptionFirstMonthPosition+SwaptionNumOfMonths+1,$FJ193&gt;SwaptionFirstMonthPosition+SwaptionNumOfMonths+1),"",IF($FJ193=HE$169,1,IF($FJ193&lt;HE$169,INDEX($FK$170:$ID$241,HE$169,$FJ193),SUMPRODUCT(INDEX($FK$325:$ID$396,HE$169,1+SwaptionShift):INDEX($FK$325:$ID$396,HE$169,SwaptionMonthsToGo+SwaptionShift),INDEX($FK$245:$ID$316,$FJ193-HE$169,73-HE$169+SwaptionShift):INDEX($FK$245:$ID$316,$FJ193-HE$169,72-HE$169+SwaptionMonthsToGo+SwaptionShift))/SQRT(SUM(INDEX($FK348:$ID348,1+SwaptionShift):INDEX($FK348:$ID348,SwaptionMonthsToGo+SwaptionShift))*SUM(INDEX($FK$325:$ID$396,HE$169,1+SwaptionShift):INDEX($FK$325:$ID$396,HE$169,SwaptionMonthsToGo+SwaptionShift))))))</f>
        <v/>
      </c>
      <c r="HF193" s="479" t="str">
        <f ca="1">IF(OR(HF$169&lt;SwaptionFirstMonthPosition+1,$FJ193&lt;SwaptionFirstMonthPosition+1,HF$169&gt;SwaptionFirstMonthPosition+SwaptionNumOfMonths+1,$FJ193&gt;SwaptionFirstMonthPosition+SwaptionNumOfMonths+1),"",IF($FJ193=HF$169,1,IF($FJ193&lt;HF$169,INDEX($FK$170:$ID$241,HF$169,$FJ193),SUMPRODUCT(INDEX($FK$325:$ID$396,HF$169,1+SwaptionShift):INDEX($FK$325:$ID$396,HF$169,SwaptionMonthsToGo+SwaptionShift),INDEX($FK$245:$ID$316,$FJ193-HF$169,73-HF$169+SwaptionShift):INDEX($FK$245:$ID$316,$FJ193-HF$169,72-HF$169+SwaptionMonthsToGo+SwaptionShift))/SQRT(SUM(INDEX($FK348:$ID348,1+SwaptionShift):INDEX($FK348:$ID348,SwaptionMonthsToGo+SwaptionShift))*SUM(INDEX($FK$325:$ID$396,HF$169,1+SwaptionShift):INDEX($FK$325:$ID$396,HF$169,SwaptionMonthsToGo+SwaptionShift))))))</f>
        <v/>
      </c>
      <c r="HG193" s="479" t="str">
        <f ca="1">IF(OR(HG$169&lt;SwaptionFirstMonthPosition+1,$FJ193&lt;SwaptionFirstMonthPosition+1,HG$169&gt;SwaptionFirstMonthPosition+SwaptionNumOfMonths+1,$FJ193&gt;SwaptionFirstMonthPosition+SwaptionNumOfMonths+1),"",IF($FJ193=HG$169,1,IF($FJ193&lt;HG$169,INDEX($FK$170:$ID$241,HG$169,$FJ193),SUMPRODUCT(INDEX($FK$325:$ID$396,HG$169,1+SwaptionShift):INDEX($FK$325:$ID$396,HG$169,SwaptionMonthsToGo+SwaptionShift),INDEX($FK$245:$ID$316,$FJ193-HG$169,73-HG$169+SwaptionShift):INDEX($FK$245:$ID$316,$FJ193-HG$169,72-HG$169+SwaptionMonthsToGo+SwaptionShift))/SQRT(SUM(INDEX($FK348:$ID348,1+SwaptionShift):INDEX($FK348:$ID348,SwaptionMonthsToGo+SwaptionShift))*SUM(INDEX($FK$325:$ID$396,HG$169,1+SwaptionShift):INDEX($FK$325:$ID$396,HG$169,SwaptionMonthsToGo+SwaptionShift))))))</f>
        <v/>
      </c>
      <c r="HH193" s="479" t="str">
        <f ca="1">IF(OR(HH$169&lt;SwaptionFirstMonthPosition+1,$FJ193&lt;SwaptionFirstMonthPosition+1,HH$169&gt;SwaptionFirstMonthPosition+SwaptionNumOfMonths+1,$FJ193&gt;SwaptionFirstMonthPosition+SwaptionNumOfMonths+1),"",IF($FJ193=HH$169,1,IF($FJ193&lt;HH$169,INDEX($FK$170:$ID$241,HH$169,$FJ193),SUMPRODUCT(INDEX($FK$325:$ID$396,HH$169,1+SwaptionShift):INDEX($FK$325:$ID$396,HH$169,SwaptionMonthsToGo+SwaptionShift),INDEX($FK$245:$ID$316,$FJ193-HH$169,73-HH$169+SwaptionShift):INDEX($FK$245:$ID$316,$FJ193-HH$169,72-HH$169+SwaptionMonthsToGo+SwaptionShift))/SQRT(SUM(INDEX($FK348:$ID348,1+SwaptionShift):INDEX($FK348:$ID348,SwaptionMonthsToGo+SwaptionShift))*SUM(INDEX($FK$325:$ID$396,HH$169,1+SwaptionShift):INDEX($FK$325:$ID$396,HH$169,SwaptionMonthsToGo+SwaptionShift))))))</f>
        <v/>
      </c>
      <c r="HI193" s="479" t="str">
        <f ca="1">IF(OR(HI$169&lt;SwaptionFirstMonthPosition+1,$FJ193&lt;SwaptionFirstMonthPosition+1,HI$169&gt;SwaptionFirstMonthPosition+SwaptionNumOfMonths+1,$FJ193&gt;SwaptionFirstMonthPosition+SwaptionNumOfMonths+1),"",IF($FJ193=HI$169,1,IF($FJ193&lt;HI$169,INDEX($FK$170:$ID$241,HI$169,$FJ193),SUMPRODUCT(INDEX($FK$325:$ID$396,HI$169,1+SwaptionShift):INDEX($FK$325:$ID$396,HI$169,SwaptionMonthsToGo+SwaptionShift),INDEX($FK$245:$ID$316,$FJ193-HI$169,73-HI$169+SwaptionShift):INDEX($FK$245:$ID$316,$FJ193-HI$169,72-HI$169+SwaptionMonthsToGo+SwaptionShift))/SQRT(SUM(INDEX($FK348:$ID348,1+SwaptionShift):INDEX($FK348:$ID348,SwaptionMonthsToGo+SwaptionShift))*SUM(INDEX($FK$325:$ID$396,HI$169,1+SwaptionShift):INDEX($FK$325:$ID$396,HI$169,SwaptionMonthsToGo+SwaptionShift))))))</f>
        <v/>
      </c>
      <c r="HJ193" s="479" t="str">
        <f ca="1">IF(OR(HJ$169&lt;SwaptionFirstMonthPosition+1,$FJ193&lt;SwaptionFirstMonthPosition+1,HJ$169&gt;SwaptionFirstMonthPosition+SwaptionNumOfMonths+1,$FJ193&gt;SwaptionFirstMonthPosition+SwaptionNumOfMonths+1),"",IF($FJ193=HJ$169,1,IF($FJ193&lt;HJ$169,INDEX($FK$170:$ID$241,HJ$169,$FJ193),SUMPRODUCT(INDEX($FK$325:$ID$396,HJ$169,1+SwaptionShift):INDEX($FK$325:$ID$396,HJ$169,SwaptionMonthsToGo+SwaptionShift),INDEX($FK$245:$ID$316,$FJ193-HJ$169,73-HJ$169+SwaptionShift):INDEX($FK$245:$ID$316,$FJ193-HJ$169,72-HJ$169+SwaptionMonthsToGo+SwaptionShift))/SQRT(SUM(INDEX($FK348:$ID348,1+SwaptionShift):INDEX($FK348:$ID348,SwaptionMonthsToGo+SwaptionShift))*SUM(INDEX($FK$325:$ID$396,HJ$169,1+SwaptionShift):INDEX($FK$325:$ID$396,HJ$169,SwaptionMonthsToGo+SwaptionShift))))))</f>
        <v/>
      </c>
      <c r="HK193" s="479" t="str">
        <f ca="1">IF(OR(HK$169&lt;SwaptionFirstMonthPosition+1,$FJ193&lt;SwaptionFirstMonthPosition+1,HK$169&gt;SwaptionFirstMonthPosition+SwaptionNumOfMonths+1,$FJ193&gt;SwaptionFirstMonthPosition+SwaptionNumOfMonths+1),"",IF($FJ193=HK$169,1,IF($FJ193&lt;HK$169,INDEX($FK$170:$ID$241,HK$169,$FJ193),SUMPRODUCT(INDEX($FK$325:$ID$396,HK$169,1+SwaptionShift):INDEX($FK$325:$ID$396,HK$169,SwaptionMonthsToGo+SwaptionShift),INDEX($FK$245:$ID$316,$FJ193-HK$169,73-HK$169+SwaptionShift):INDEX($FK$245:$ID$316,$FJ193-HK$169,72-HK$169+SwaptionMonthsToGo+SwaptionShift))/SQRT(SUM(INDEX($FK348:$ID348,1+SwaptionShift):INDEX($FK348:$ID348,SwaptionMonthsToGo+SwaptionShift))*SUM(INDEX($FK$325:$ID$396,HK$169,1+SwaptionShift):INDEX($FK$325:$ID$396,HK$169,SwaptionMonthsToGo+SwaptionShift))))))</f>
        <v/>
      </c>
      <c r="HL193" s="479" t="str">
        <f ca="1">IF(OR(HL$169&lt;SwaptionFirstMonthPosition+1,$FJ193&lt;SwaptionFirstMonthPosition+1,HL$169&gt;SwaptionFirstMonthPosition+SwaptionNumOfMonths+1,$FJ193&gt;SwaptionFirstMonthPosition+SwaptionNumOfMonths+1),"",IF($FJ193=HL$169,1,IF($FJ193&lt;HL$169,INDEX($FK$170:$ID$241,HL$169,$FJ193),SUMPRODUCT(INDEX($FK$325:$ID$396,HL$169,1+SwaptionShift):INDEX($FK$325:$ID$396,HL$169,SwaptionMonthsToGo+SwaptionShift),INDEX($FK$245:$ID$316,$FJ193-HL$169,73-HL$169+SwaptionShift):INDEX($FK$245:$ID$316,$FJ193-HL$169,72-HL$169+SwaptionMonthsToGo+SwaptionShift))/SQRT(SUM(INDEX($FK348:$ID348,1+SwaptionShift):INDEX($FK348:$ID348,SwaptionMonthsToGo+SwaptionShift))*SUM(INDEX($FK$325:$ID$396,HL$169,1+SwaptionShift):INDEX($FK$325:$ID$396,HL$169,SwaptionMonthsToGo+SwaptionShift))))))</f>
        <v/>
      </c>
      <c r="HM193" s="479" t="str">
        <f ca="1">IF(OR(HM$169&lt;SwaptionFirstMonthPosition+1,$FJ193&lt;SwaptionFirstMonthPosition+1,HM$169&gt;SwaptionFirstMonthPosition+SwaptionNumOfMonths+1,$FJ193&gt;SwaptionFirstMonthPosition+SwaptionNumOfMonths+1),"",IF($FJ193=HM$169,1,IF($FJ193&lt;HM$169,INDEX($FK$170:$ID$241,HM$169,$FJ193),SUMPRODUCT(INDEX($FK$325:$ID$396,HM$169,1+SwaptionShift):INDEX($FK$325:$ID$396,HM$169,SwaptionMonthsToGo+SwaptionShift),INDEX($FK$245:$ID$316,$FJ193-HM$169,73-HM$169+SwaptionShift):INDEX($FK$245:$ID$316,$FJ193-HM$169,72-HM$169+SwaptionMonthsToGo+SwaptionShift))/SQRT(SUM(INDEX($FK348:$ID348,1+SwaptionShift):INDEX($FK348:$ID348,SwaptionMonthsToGo+SwaptionShift))*SUM(INDEX($FK$325:$ID$396,HM$169,1+SwaptionShift):INDEX($FK$325:$ID$396,HM$169,SwaptionMonthsToGo+SwaptionShift))))))</f>
        <v/>
      </c>
      <c r="HN193" s="479" t="str">
        <f ca="1">IF(OR(HN$169&lt;SwaptionFirstMonthPosition+1,$FJ193&lt;SwaptionFirstMonthPosition+1,HN$169&gt;SwaptionFirstMonthPosition+SwaptionNumOfMonths+1,$FJ193&gt;SwaptionFirstMonthPosition+SwaptionNumOfMonths+1),"",IF($FJ193=HN$169,1,IF($FJ193&lt;HN$169,INDEX($FK$170:$ID$241,HN$169,$FJ193),SUMPRODUCT(INDEX($FK$325:$ID$396,HN$169,1+SwaptionShift):INDEX($FK$325:$ID$396,HN$169,SwaptionMonthsToGo+SwaptionShift),INDEX($FK$245:$ID$316,$FJ193-HN$169,73-HN$169+SwaptionShift):INDEX($FK$245:$ID$316,$FJ193-HN$169,72-HN$169+SwaptionMonthsToGo+SwaptionShift))/SQRT(SUM(INDEX($FK348:$ID348,1+SwaptionShift):INDEX($FK348:$ID348,SwaptionMonthsToGo+SwaptionShift))*SUM(INDEX($FK$325:$ID$396,HN$169,1+SwaptionShift):INDEX($FK$325:$ID$396,HN$169,SwaptionMonthsToGo+SwaptionShift))))))</f>
        <v/>
      </c>
      <c r="HO193" s="479" t="str">
        <f ca="1">IF(OR(HO$169&lt;SwaptionFirstMonthPosition+1,$FJ193&lt;SwaptionFirstMonthPosition+1,HO$169&gt;SwaptionFirstMonthPosition+SwaptionNumOfMonths+1,$FJ193&gt;SwaptionFirstMonthPosition+SwaptionNumOfMonths+1),"",IF($FJ193=HO$169,1,IF($FJ193&lt;HO$169,INDEX($FK$170:$ID$241,HO$169,$FJ193),SUMPRODUCT(INDEX($FK$325:$ID$396,HO$169,1+SwaptionShift):INDEX($FK$325:$ID$396,HO$169,SwaptionMonthsToGo+SwaptionShift),INDEX($FK$245:$ID$316,$FJ193-HO$169,73-HO$169+SwaptionShift):INDEX($FK$245:$ID$316,$FJ193-HO$169,72-HO$169+SwaptionMonthsToGo+SwaptionShift))/SQRT(SUM(INDEX($FK348:$ID348,1+SwaptionShift):INDEX($FK348:$ID348,SwaptionMonthsToGo+SwaptionShift))*SUM(INDEX($FK$325:$ID$396,HO$169,1+SwaptionShift):INDEX($FK$325:$ID$396,HO$169,SwaptionMonthsToGo+SwaptionShift))))))</f>
        <v/>
      </c>
      <c r="HP193" s="479" t="str">
        <f ca="1">IF(OR(HP$169&lt;SwaptionFirstMonthPosition+1,$FJ193&lt;SwaptionFirstMonthPosition+1,HP$169&gt;SwaptionFirstMonthPosition+SwaptionNumOfMonths+1,$FJ193&gt;SwaptionFirstMonthPosition+SwaptionNumOfMonths+1),"",IF($FJ193=HP$169,1,IF($FJ193&lt;HP$169,INDEX($FK$170:$ID$241,HP$169,$FJ193),SUMPRODUCT(INDEX($FK$325:$ID$396,HP$169,1+SwaptionShift):INDEX($FK$325:$ID$396,HP$169,SwaptionMonthsToGo+SwaptionShift),INDEX($FK$245:$ID$316,$FJ193-HP$169,73-HP$169+SwaptionShift):INDEX($FK$245:$ID$316,$FJ193-HP$169,72-HP$169+SwaptionMonthsToGo+SwaptionShift))/SQRT(SUM(INDEX($FK348:$ID348,1+SwaptionShift):INDEX($FK348:$ID348,SwaptionMonthsToGo+SwaptionShift))*SUM(INDEX($FK$325:$ID$396,HP$169,1+SwaptionShift):INDEX($FK$325:$ID$396,HP$169,SwaptionMonthsToGo+SwaptionShift))))))</f>
        <v/>
      </c>
      <c r="HQ193" s="479" t="str">
        <f ca="1">IF(OR(HQ$169&lt;SwaptionFirstMonthPosition+1,$FJ193&lt;SwaptionFirstMonthPosition+1,HQ$169&gt;SwaptionFirstMonthPosition+SwaptionNumOfMonths+1,$FJ193&gt;SwaptionFirstMonthPosition+SwaptionNumOfMonths+1),"",IF($FJ193=HQ$169,1,IF($FJ193&lt;HQ$169,INDEX($FK$170:$ID$241,HQ$169,$FJ193),SUMPRODUCT(INDEX($FK$325:$ID$396,HQ$169,1+SwaptionShift):INDEX($FK$325:$ID$396,HQ$169,SwaptionMonthsToGo+SwaptionShift),INDEX($FK$245:$ID$316,$FJ193-HQ$169,73-HQ$169+SwaptionShift):INDEX($FK$245:$ID$316,$FJ193-HQ$169,72-HQ$169+SwaptionMonthsToGo+SwaptionShift))/SQRT(SUM(INDEX($FK348:$ID348,1+SwaptionShift):INDEX($FK348:$ID348,SwaptionMonthsToGo+SwaptionShift))*SUM(INDEX($FK$325:$ID$396,HQ$169,1+SwaptionShift):INDEX($FK$325:$ID$396,HQ$169,SwaptionMonthsToGo+SwaptionShift))))))</f>
        <v/>
      </c>
      <c r="HR193" s="479" t="str">
        <f ca="1">IF(OR(HR$169&lt;SwaptionFirstMonthPosition+1,$FJ193&lt;SwaptionFirstMonthPosition+1,HR$169&gt;SwaptionFirstMonthPosition+SwaptionNumOfMonths+1,$FJ193&gt;SwaptionFirstMonthPosition+SwaptionNumOfMonths+1),"",IF($FJ193=HR$169,1,IF($FJ193&lt;HR$169,INDEX($FK$170:$ID$241,HR$169,$FJ193),SUMPRODUCT(INDEX($FK$325:$ID$396,HR$169,1+SwaptionShift):INDEX($FK$325:$ID$396,HR$169,SwaptionMonthsToGo+SwaptionShift),INDEX($FK$245:$ID$316,$FJ193-HR$169,73-HR$169+SwaptionShift):INDEX($FK$245:$ID$316,$FJ193-HR$169,72-HR$169+SwaptionMonthsToGo+SwaptionShift))/SQRT(SUM(INDEX($FK348:$ID348,1+SwaptionShift):INDEX($FK348:$ID348,SwaptionMonthsToGo+SwaptionShift))*SUM(INDEX($FK$325:$ID$396,HR$169,1+SwaptionShift):INDEX($FK$325:$ID$396,HR$169,SwaptionMonthsToGo+SwaptionShift))))))</f>
        <v/>
      </c>
      <c r="HS193" s="479" t="str">
        <f ca="1">IF(OR(HS$169&lt;SwaptionFirstMonthPosition+1,$FJ193&lt;SwaptionFirstMonthPosition+1,HS$169&gt;SwaptionFirstMonthPosition+SwaptionNumOfMonths+1,$FJ193&gt;SwaptionFirstMonthPosition+SwaptionNumOfMonths+1),"",IF($FJ193=HS$169,1,IF($FJ193&lt;HS$169,INDEX($FK$170:$ID$241,HS$169,$FJ193),SUMPRODUCT(INDEX($FK$325:$ID$396,HS$169,1+SwaptionShift):INDEX($FK$325:$ID$396,HS$169,SwaptionMonthsToGo+SwaptionShift),INDEX($FK$245:$ID$316,$FJ193-HS$169,73-HS$169+SwaptionShift):INDEX($FK$245:$ID$316,$FJ193-HS$169,72-HS$169+SwaptionMonthsToGo+SwaptionShift))/SQRT(SUM(INDEX($FK348:$ID348,1+SwaptionShift):INDEX($FK348:$ID348,SwaptionMonthsToGo+SwaptionShift))*SUM(INDEX($FK$325:$ID$396,HS$169,1+SwaptionShift):INDEX($FK$325:$ID$396,HS$169,SwaptionMonthsToGo+SwaptionShift))))))</f>
        <v/>
      </c>
      <c r="HT193" s="479" t="str">
        <f ca="1">IF(OR(HT$169&lt;SwaptionFirstMonthPosition+1,$FJ193&lt;SwaptionFirstMonthPosition+1,HT$169&gt;SwaptionFirstMonthPosition+SwaptionNumOfMonths+1,$FJ193&gt;SwaptionFirstMonthPosition+SwaptionNumOfMonths+1),"",IF($FJ193=HT$169,1,IF($FJ193&lt;HT$169,INDEX($FK$170:$ID$241,HT$169,$FJ193),SUMPRODUCT(INDEX($FK$325:$ID$396,HT$169,1+SwaptionShift):INDEX($FK$325:$ID$396,HT$169,SwaptionMonthsToGo+SwaptionShift),INDEX($FK$245:$ID$316,$FJ193-HT$169,73-HT$169+SwaptionShift):INDEX($FK$245:$ID$316,$FJ193-HT$169,72-HT$169+SwaptionMonthsToGo+SwaptionShift))/SQRT(SUM(INDEX($FK348:$ID348,1+SwaptionShift):INDEX($FK348:$ID348,SwaptionMonthsToGo+SwaptionShift))*SUM(INDEX($FK$325:$ID$396,HT$169,1+SwaptionShift):INDEX($FK$325:$ID$396,HT$169,SwaptionMonthsToGo+SwaptionShift))))))</f>
        <v/>
      </c>
      <c r="HU193" s="479" t="str">
        <f ca="1">IF(OR(HU$169&lt;SwaptionFirstMonthPosition+1,$FJ193&lt;SwaptionFirstMonthPosition+1,HU$169&gt;SwaptionFirstMonthPosition+SwaptionNumOfMonths+1,$FJ193&gt;SwaptionFirstMonthPosition+SwaptionNumOfMonths+1),"",IF($FJ193=HU$169,1,IF($FJ193&lt;HU$169,INDEX($FK$170:$ID$241,HU$169,$FJ193),SUMPRODUCT(INDEX($FK$325:$ID$396,HU$169,1+SwaptionShift):INDEX($FK$325:$ID$396,HU$169,SwaptionMonthsToGo+SwaptionShift),INDEX($FK$245:$ID$316,$FJ193-HU$169,73-HU$169+SwaptionShift):INDEX($FK$245:$ID$316,$FJ193-HU$169,72-HU$169+SwaptionMonthsToGo+SwaptionShift))/SQRT(SUM(INDEX($FK348:$ID348,1+SwaptionShift):INDEX($FK348:$ID348,SwaptionMonthsToGo+SwaptionShift))*SUM(INDEX($FK$325:$ID$396,HU$169,1+SwaptionShift):INDEX($FK$325:$ID$396,HU$169,SwaptionMonthsToGo+SwaptionShift))))))</f>
        <v/>
      </c>
      <c r="HV193" s="479" t="str">
        <f ca="1">IF(OR(HV$169&lt;SwaptionFirstMonthPosition+1,$FJ193&lt;SwaptionFirstMonthPosition+1,HV$169&gt;SwaptionFirstMonthPosition+SwaptionNumOfMonths+1,$FJ193&gt;SwaptionFirstMonthPosition+SwaptionNumOfMonths+1),"",IF($FJ193=HV$169,1,IF($FJ193&lt;HV$169,INDEX($FK$170:$ID$241,HV$169,$FJ193),SUMPRODUCT(INDEX($FK$325:$ID$396,HV$169,1+SwaptionShift):INDEX($FK$325:$ID$396,HV$169,SwaptionMonthsToGo+SwaptionShift),INDEX($FK$245:$ID$316,$FJ193-HV$169,73-HV$169+SwaptionShift):INDEX($FK$245:$ID$316,$FJ193-HV$169,72-HV$169+SwaptionMonthsToGo+SwaptionShift))/SQRT(SUM(INDEX($FK348:$ID348,1+SwaptionShift):INDEX($FK348:$ID348,SwaptionMonthsToGo+SwaptionShift))*SUM(INDEX($FK$325:$ID$396,HV$169,1+SwaptionShift):INDEX($FK$325:$ID$396,HV$169,SwaptionMonthsToGo+SwaptionShift))))))</f>
        <v/>
      </c>
      <c r="HW193" s="479" t="str">
        <f ca="1">IF(OR(HW$169&lt;SwaptionFirstMonthPosition+1,$FJ193&lt;SwaptionFirstMonthPosition+1,HW$169&gt;SwaptionFirstMonthPosition+SwaptionNumOfMonths+1,$FJ193&gt;SwaptionFirstMonthPosition+SwaptionNumOfMonths+1),"",IF($FJ193=HW$169,1,IF($FJ193&lt;HW$169,INDEX($FK$170:$ID$241,HW$169,$FJ193),SUMPRODUCT(INDEX($FK$325:$ID$396,HW$169,1+SwaptionShift):INDEX($FK$325:$ID$396,HW$169,SwaptionMonthsToGo+SwaptionShift),INDEX($FK$245:$ID$316,$FJ193-HW$169,73-HW$169+SwaptionShift):INDEX($FK$245:$ID$316,$FJ193-HW$169,72-HW$169+SwaptionMonthsToGo+SwaptionShift))/SQRT(SUM(INDEX($FK348:$ID348,1+SwaptionShift):INDEX($FK348:$ID348,SwaptionMonthsToGo+SwaptionShift))*SUM(INDEX($FK$325:$ID$396,HW$169,1+SwaptionShift):INDEX($FK$325:$ID$396,HW$169,SwaptionMonthsToGo+SwaptionShift))))))</f>
        <v/>
      </c>
      <c r="HX193" s="479" t="str">
        <f ca="1">IF(OR(HX$169&lt;SwaptionFirstMonthPosition+1,$FJ193&lt;SwaptionFirstMonthPosition+1,HX$169&gt;SwaptionFirstMonthPosition+SwaptionNumOfMonths+1,$FJ193&gt;SwaptionFirstMonthPosition+SwaptionNumOfMonths+1),"",IF($FJ193=HX$169,1,IF($FJ193&lt;HX$169,INDEX($FK$170:$ID$241,HX$169,$FJ193),SUMPRODUCT(INDEX($FK$325:$ID$396,HX$169,1+SwaptionShift):INDEX($FK$325:$ID$396,HX$169,SwaptionMonthsToGo+SwaptionShift),INDEX($FK$245:$ID$316,$FJ193-HX$169,73-HX$169+SwaptionShift):INDEX($FK$245:$ID$316,$FJ193-HX$169,72-HX$169+SwaptionMonthsToGo+SwaptionShift))/SQRT(SUM(INDEX($FK348:$ID348,1+SwaptionShift):INDEX($FK348:$ID348,SwaptionMonthsToGo+SwaptionShift))*SUM(INDEX($FK$325:$ID$396,HX$169,1+SwaptionShift):INDEX($FK$325:$ID$396,HX$169,SwaptionMonthsToGo+SwaptionShift))))))</f>
        <v/>
      </c>
      <c r="HY193" s="479" t="str">
        <f ca="1">IF(OR(HY$169&lt;SwaptionFirstMonthPosition+1,$FJ193&lt;SwaptionFirstMonthPosition+1,HY$169&gt;SwaptionFirstMonthPosition+SwaptionNumOfMonths+1,$FJ193&gt;SwaptionFirstMonthPosition+SwaptionNumOfMonths+1),"",IF($FJ193=HY$169,1,IF($FJ193&lt;HY$169,INDEX($FK$170:$ID$241,HY$169,$FJ193),SUMPRODUCT(INDEX($FK$325:$ID$396,HY$169,1+SwaptionShift):INDEX($FK$325:$ID$396,HY$169,SwaptionMonthsToGo+SwaptionShift),INDEX($FK$245:$ID$316,$FJ193-HY$169,73-HY$169+SwaptionShift):INDEX($FK$245:$ID$316,$FJ193-HY$169,72-HY$169+SwaptionMonthsToGo+SwaptionShift))/SQRT(SUM(INDEX($FK348:$ID348,1+SwaptionShift):INDEX($FK348:$ID348,SwaptionMonthsToGo+SwaptionShift))*SUM(INDEX($FK$325:$ID$396,HY$169,1+SwaptionShift):INDEX($FK$325:$ID$396,HY$169,SwaptionMonthsToGo+SwaptionShift))))))</f>
        <v/>
      </c>
      <c r="HZ193" s="479" t="str">
        <f ca="1">IF(OR(HZ$169&lt;SwaptionFirstMonthPosition+1,$FJ193&lt;SwaptionFirstMonthPosition+1,HZ$169&gt;SwaptionFirstMonthPosition+SwaptionNumOfMonths+1,$FJ193&gt;SwaptionFirstMonthPosition+SwaptionNumOfMonths+1),"",IF($FJ193=HZ$169,1,IF($FJ193&lt;HZ$169,INDEX($FK$170:$ID$241,HZ$169,$FJ193),SUMPRODUCT(INDEX($FK$325:$ID$396,HZ$169,1+SwaptionShift):INDEX($FK$325:$ID$396,HZ$169,SwaptionMonthsToGo+SwaptionShift),INDEX($FK$245:$ID$316,$FJ193-HZ$169,73-HZ$169+SwaptionShift):INDEX($FK$245:$ID$316,$FJ193-HZ$169,72-HZ$169+SwaptionMonthsToGo+SwaptionShift))/SQRT(SUM(INDEX($FK348:$ID348,1+SwaptionShift):INDEX($FK348:$ID348,SwaptionMonthsToGo+SwaptionShift))*SUM(INDEX($FK$325:$ID$396,HZ$169,1+SwaptionShift):INDEX($FK$325:$ID$396,HZ$169,SwaptionMonthsToGo+SwaptionShift))))))</f>
        <v/>
      </c>
      <c r="IA193" s="479" t="str">
        <f ca="1">IF(OR(IA$169&lt;SwaptionFirstMonthPosition+1,$FJ193&lt;SwaptionFirstMonthPosition+1,IA$169&gt;SwaptionFirstMonthPosition+SwaptionNumOfMonths+1,$FJ193&gt;SwaptionFirstMonthPosition+SwaptionNumOfMonths+1),"",IF($FJ193=IA$169,1,IF($FJ193&lt;IA$169,INDEX($FK$170:$ID$241,IA$169,$FJ193),SUMPRODUCT(INDEX($FK$325:$ID$396,IA$169,1+SwaptionShift):INDEX($FK$325:$ID$396,IA$169,SwaptionMonthsToGo+SwaptionShift),INDEX($FK$245:$ID$316,$FJ193-IA$169,73-IA$169+SwaptionShift):INDEX($FK$245:$ID$316,$FJ193-IA$169,72-IA$169+SwaptionMonthsToGo+SwaptionShift))/SQRT(SUM(INDEX($FK348:$ID348,1+SwaptionShift):INDEX($FK348:$ID348,SwaptionMonthsToGo+SwaptionShift))*SUM(INDEX($FK$325:$ID$396,IA$169,1+SwaptionShift):INDEX($FK$325:$ID$396,IA$169,SwaptionMonthsToGo+SwaptionShift))))))</f>
        <v/>
      </c>
      <c r="IB193" s="479" t="str">
        <f ca="1">IF(OR(IB$169&lt;SwaptionFirstMonthPosition+1,$FJ193&lt;SwaptionFirstMonthPosition+1,IB$169&gt;SwaptionFirstMonthPosition+SwaptionNumOfMonths+1,$FJ193&gt;SwaptionFirstMonthPosition+SwaptionNumOfMonths+1),"",IF($FJ193=IB$169,1,IF($FJ193&lt;IB$169,INDEX($FK$170:$ID$241,IB$169,$FJ193),SUMPRODUCT(INDEX($FK$325:$ID$396,IB$169,1+SwaptionShift):INDEX($FK$325:$ID$396,IB$169,SwaptionMonthsToGo+SwaptionShift),INDEX($FK$245:$ID$316,$FJ193-IB$169,73-IB$169+SwaptionShift):INDEX($FK$245:$ID$316,$FJ193-IB$169,72-IB$169+SwaptionMonthsToGo+SwaptionShift))/SQRT(SUM(INDEX($FK348:$ID348,1+SwaptionShift):INDEX($FK348:$ID348,SwaptionMonthsToGo+SwaptionShift))*SUM(INDEX($FK$325:$ID$396,IB$169,1+SwaptionShift):INDEX($FK$325:$ID$396,IB$169,SwaptionMonthsToGo+SwaptionShift))))))</f>
        <v/>
      </c>
      <c r="IC193" s="479" t="str">
        <f ca="1">IF(OR(IC$169&lt;SwaptionFirstMonthPosition+1,$FJ193&lt;SwaptionFirstMonthPosition+1,IC$169&gt;SwaptionFirstMonthPosition+SwaptionNumOfMonths+1,$FJ193&gt;SwaptionFirstMonthPosition+SwaptionNumOfMonths+1),"",IF($FJ193=IC$169,1,IF($FJ193&lt;IC$169,INDEX($FK$170:$ID$241,IC$169,$FJ193),SUMPRODUCT(INDEX($FK$325:$ID$396,IC$169,1+SwaptionShift):INDEX($FK$325:$ID$396,IC$169,SwaptionMonthsToGo+SwaptionShift),INDEX($FK$245:$ID$316,$FJ193-IC$169,73-IC$169+SwaptionShift):INDEX($FK$245:$ID$316,$FJ193-IC$169,72-IC$169+SwaptionMonthsToGo+SwaptionShift))/SQRT(SUM(INDEX($FK348:$ID348,1+SwaptionShift):INDEX($FK348:$ID348,SwaptionMonthsToGo+SwaptionShift))*SUM(INDEX($FK$325:$ID$396,IC$169,1+SwaptionShift):INDEX($FK$325:$ID$396,IC$169,SwaptionMonthsToGo+SwaptionShift))))))</f>
        <v/>
      </c>
      <c r="ID193" s="678" t="str">
        <f ca="1">IF(OR(ID$169&lt;SwaptionFirstMonthPosition+1,$FJ193&lt;SwaptionFirstMonthPosition+1,ID$169&gt;SwaptionFirstMonthPosition+SwaptionNumOfMonths+1,$FJ193&gt;SwaptionFirstMonthPosition+SwaptionNumOfMonths+1),"",IF($FJ193=ID$169,1,IF($FJ193&lt;ID$169,INDEX($FK$170:$ID$241,ID$169,$FJ193),SUMPRODUCT(INDEX($FK$325:$ID$396,ID$169,1+SwaptionShift):INDEX($FK$325:$ID$396,ID$169,SwaptionMonthsToGo+SwaptionShift),INDEX($FK$245:$ID$316,$FJ193-ID$169,73-ID$169+SwaptionShift):INDEX($FK$245:$ID$316,$FJ193-ID$169,72-ID$169+SwaptionMonthsToGo+SwaptionShift))/SQRT(SUM(INDEX($FK348:$ID348,1+SwaptionShift):INDEX($FK348:$ID348,SwaptionMonthsToGo+SwaptionShift))*SUM(INDEX($FK$325:$ID$396,ID$169,1+SwaptionShift):INDEX($FK$325:$ID$396,ID$169,SwaptionMonthsToGo+SwaptionShift))))))</f>
        <v/>
      </c>
      <c r="IE193" s="250"/>
    </row>
    <row r="194" spans="8:239">
      <c r="H194" s="51">
        <f t="shared" ca="1" si="527"/>
        <v>0</v>
      </c>
      <c r="I194" s="379">
        <f t="shared" si="528"/>
        <v>42064</v>
      </c>
      <c r="J194" s="377"/>
      <c r="K194" s="104" t="s">
        <v>268</v>
      </c>
      <c r="L194" s="392">
        <f t="shared" si="529"/>
        <v>3.675000000000006</v>
      </c>
      <c r="M194" s="171"/>
      <c r="N194" s="382">
        <v>0</v>
      </c>
      <c r="O194" s="171">
        <f t="shared" si="490"/>
        <v>0</v>
      </c>
      <c r="P194" s="377"/>
      <c r="Q194" s="104" t="s">
        <v>268</v>
      </c>
      <c r="R194" s="377">
        <f t="shared" ca="1" si="547"/>
        <v>2.5148728346642613</v>
      </c>
      <c r="S194" s="832">
        <f t="shared" si="564"/>
        <v>0.3600000000000001</v>
      </c>
      <c r="T194" s="831">
        <f t="shared" si="548"/>
        <v>0.9999999999998368</v>
      </c>
      <c r="U194" s="545">
        <f t="shared" si="549"/>
        <v>0.99999999999999978</v>
      </c>
      <c r="V194" s="389">
        <v>0</v>
      </c>
      <c r="W194" s="434">
        <f t="shared" si="578"/>
        <v>0</v>
      </c>
      <c r="X194" s="415">
        <f t="shared" si="579"/>
        <v>3.7244318181818246</v>
      </c>
      <c r="Y194" s="322">
        <f t="shared" si="580"/>
        <v>-1.1684999999999999</v>
      </c>
      <c r="Z194" s="322">
        <f t="shared" ca="1" si="581"/>
        <v>2.5559318181818247</v>
      </c>
      <c r="AA194" s="429">
        <f t="shared" si="495"/>
        <v>1.1684999999999999</v>
      </c>
      <c r="AB194" s="433">
        <f t="shared" ca="1" si="496"/>
        <v>1.1684999999999999</v>
      </c>
      <c r="AC194" s="229">
        <v>42055</v>
      </c>
      <c r="AD194" s="229">
        <v>42051</v>
      </c>
      <c r="AE194" s="229">
        <v>42050</v>
      </c>
      <c r="AF194" s="229">
        <v>42046</v>
      </c>
      <c r="AG194" s="249" t="s">
        <v>499</v>
      </c>
      <c r="AH194" s="247" t="s">
        <v>499</v>
      </c>
      <c r="AI194" s="146">
        <v>22</v>
      </c>
      <c r="AJ194" s="41">
        <v>15</v>
      </c>
      <c r="AK194" s="41">
        <v>7</v>
      </c>
      <c r="AL194" s="293">
        <v>22</v>
      </c>
      <c r="AM194" s="41">
        <v>10</v>
      </c>
      <c r="AN194" s="147">
        <v>12</v>
      </c>
      <c r="AO194" s="374"/>
      <c r="AP194" s="153">
        <f t="shared" ca="1" si="530"/>
        <v>1</v>
      </c>
      <c r="AQ194" s="374"/>
      <c r="AR194" s="153">
        <f t="shared" ca="1" si="550"/>
        <v>1</v>
      </c>
      <c r="AS194" s="272">
        <f t="shared" si="582"/>
        <v>0</v>
      </c>
      <c r="AT194" s="157">
        <f t="shared" si="531"/>
        <v>0</v>
      </c>
      <c r="AU194" s="157">
        <f t="shared" si="498"/>
        <v>0</v>
      </c>
      <c r="AV194" s="271">
        <f t="shared" ca="1" si="558"/>
        <v>9.9999999999999995E-7</v>
      </c>
      <c r="AW194" s="158" t="str">
        <f t="shared" ca="1" si="583"/>
        <v/>
      </c>
      <c r="AX194" s="157">
        <f t="shared" ca="1" si="551"/>
        <v>7.1622720924148761E-5</v>
      </c>
      <c r="AY194" s="157">
        <f t="shared" ca="1" si="552"/>
        <v>1.7373800980879375E-5</v>
      </c>
      <c r="AZ194" s="157">
        <f t="shared" ca="1" si="553"/>
        <v>6.3078870358094957E-7</v>
      </c>
      <c r="BA194" s="157">
        <f t="shared" ca="1" si="554"/>
        <v>7.8848587947618696E-8</v>
      </c>
      <c r="BB194" s="157">
        <f t="shared" ca="1" si="555"/>
        <v>4.7061253415292777E-10</v>
      </c>
      <c r="BC194" s="157">
        <f t="shared" ca="1" si="556"/>
        <v>1.243419964266538E-11</v>
      </c>
      <c r="BD194" s="151">
        <f t="shared" ca="1" si="584"/>
        <v>0</v>
      </c>
      <c r="BE194" s="152">
        <f t="shared" ca="1" si="585"/>
        <v>0</v>
      </c>
      <c r="BF194" s="40">
        <f t="shared" si="586"/>
        <v>2015</v>
      </c>
      <c r="BG194" s="144">
        <f t="shared" si="587"/>
        <v>3</v>
      </c>
      <c r="BH194" s="145">
        <f t="shared" ca="1" si="588"/>
        <v>5306</v>
      </c>
      <c r="BI194" s="313">
        <f t="shared" ca="1" si="568"/>
        <v>14.562628336755647</v>
      </c>
      <c r="BJ194" s="42">
        <f t="shared" ca="1" si="505"/>
        <v>14.618629830128803</v>
      </c>
      <c r="BK194" s="42">
        <f t="shared" ca="1" si="506"/>
        <v>14.621367680915936</v>
      </c>
      <c r="BL194" s="42">
        <f t="shared" ca="1" si="569"/>
        <v>14.64476386036961</v>
      </c>
      <c r="BM194" s="150" t="e">
        <f t="shared" ca="1" si="507"/>
        <v>#DIV/0!</v>
      </c>
      <c r="BN194" s="42" t="e">
        <f t="shared" ca="1" si="508"/>
        <v>#DIV/0!</v>
      </c>
      <c r="BO194" s="293">
        <f t="shared" si="570"/>
        <v>22</v>
      </c>
      <c r="BP194" s="41">
        <f t="shared" si="571"/>
        <v>15</v>
      </c>
      <c r="BQ194" s="41">
        <f t="shared" si="572"/>
        <v>7</v>
      </c>
      <c r="BR194" s="305" t="str">
        <f t="shared" ca="1" si="509"/>
        <v/>
      </c>
      <c r="BS194" s="305" t="str">
        <f t="shared" ca="1" si="573"/>
        <v/>
      </c>
      <c r="BT194" s="307" t="str">
        <f t="shared" ca="1" si="574"/>
        <v/>
      </c>
      <c r="BU194" s="161" t="str">
        <f t="shared" ca="1" si="510"/>
        <v/>
      </c>
      <c r="BV194" s="161" t="str">
        <f t="shared" ca="1" si="511"/>
        <v/>
      </c>
      <c r="BW194" s="308" t="str">
        <f t="shared" ca="1" si="512"/>
        <v/>
      </c>
      <c r="BX194" s="309" t="str">
        <f t="shared" ca="1" si="513"/>
        <v/>
      </c>
      <c r="BY194" s="308" t="str">
        <f t="shared" ca="1" si="575"/>
        <v/>
      </c>
      <c r="BZ194" s="309" t="str">
        <f t="shared" ca="1" si="576"/>
        <v/>
      </c>
      <c r="CA194" s="154" t="str">
        <f t="shared" ca="1" si="514"/>
        <v/>
      </c>
      <c r="CB194" s="154" t="str">
        <f t="shared" ca="1" si="515"/>
        <v/>
      </c>
      <c r="CC194" s="154" t="str">
        <f t="shared" ca="1" si="516"/>
        <v/>
      </c>
      <c r="CD194" s="154" t="str">
        <f t="shared" ca="1" si="517"/>
        <v/>
      </c>
      <c r="CE194" s="310">
        <v>1</v>
      </c>
      <c r="CF194" s="162">
        <f ca="1">IF(BD194,_xll.xCrudeAPO(BU194,BV194,CA194,CB194,S195,S196,BI194,BL194,BP194,BQ194,0,Strike1,AO194,CE194,0,BL194,IF(OptControl=4,0,1),0,1),0)</f>
        <v>0</v>
      </c>
      <c r="CG194" s="163">
        <f ca="1">IF(BD194,_xll.xCrudeAPO(BU194,BV194,CA194,CB194,S195,S196,BI194,BL194,BP194,BQ194,0,Strike1,AO194,CE194,0,BL194,IF(OptControl=4,0,1),1,1)+_xll.xCrudeAPO(BU194,BV194,CA194,CB194,S195,S196,BI194,BL194,BP194,BQ194,0,Strike1,AO194,CE194,0,BL194,IF(OptControl=4,0,1),1,2)+IF(OR(VolSkewFlag=2,ABS(BS194)&lt;0.0001),0,IF(BS194&gt;0,-1,1)*CH194*Strike1/BR194^2*BY194/10%),0)</f>
        <v>0</v>
      </c>
      <c r="CH194" s="163">
        <f ca="1">IF(BD194,(_xll.xCrudeAPO(BU194,BV194,CA194,CB194,S195,S196,BI194,BL194,BP194,BQ194,0,Strike1,AO194,CE194,0,BL194,IF(OptControl=4,0,1),3,1)+_xll.xCrudeAPO(BU194,BV194,CA194,CB194,S195,S196,BI194,BL194,BP194,BQ194,0,Strike1,AO194,CE194,0,BL194,IF(OptControl=4,0,1),3,2))/100,0)</f>
        <v>0</v>
      </c>
      <c r="CI194" s="163">
        <f ca="1">IF(BD194,_xll.xCrudeAPO(BU194,BV194,CA194,CB194,S195,S196,BI194-DaysForThetaCalculation/365.25,BL194-DaysForThetaCalculation/365.25,BP194,BQ194,0,Strike1,AO194,CE194,0,BL194,IF(OptControl=4,0,1),0,1)-_xll.xCrudeAPO(BU194,BV194,CA194,CB194,S195,S196,BI194,BL194,BP194,BQ194,0,Strike1,AO194,CE194,0,BL194,IF(OptControl=4,0,1),0,1),0)</f>
        <v>0</v>
      </c>
      <c r="CJ194" s="311">
        <f ca="1">IF(BD194,_xll.xCrudeAPO(BU194,BV194,CC194,CD194,S195,S196,BI194,BL194,BP194,BQ194,0,Strike2,AO194,CE194,0,BL194,IF(OptControl=3,1,0),0,1),0)</f>
        <v>0</v>
      </c>
      <c r="CK194" s="163">
        <f ca="1">IF(BD194,_xll.xCrudeAPO(BU194,BV194,CC194,CD194,S195,S196,BI194,BL194,BP194,BQ194,0,Strike2,AO194,CE194,0,BL194,IF(OptControl=3,1,0),1,1)+_xll.xCrudeAPO(BU194,BV194,CC194,CD194,S195,S196,BI194,BL194,BP194,BQ194,0,Strike2,AO194,CE194,0,BL194,IF(OptControl=3,1,0),1,2)+IF(OR(VolSkewFlag=2,ABS(BT194)&lt;0.0001),0,IF(BT194&gt;0,-1,1)*CL194*Strike2/BR194^2*BZ194/10%),0)</f>
        <v>0</v>
      </c>
      <c r="CL194" s="163">
        <f ca="1">IF(BD194,(_xll.xCrudeAPO(BU194,BV194,CC194,CD194,S195,S196,BI194,BL194,BP194,BQ194,0,Strike2,AO194,CE194,0,BL194,IF(OptControl=3,1,0),3,1)+_xll.xCrudeAPO(BU194,BV194,CC194,CD194,S195,S196,BI194,BL194,BP194,BQ194,0,Strike2,AO194,CE194,0,BL194,IF(OptControl=3,1,0),3,2))/100,0)</f>
        <v>0</v>
      </c>
      <c r="CM194" s="164">
        <f ca="1">IF(BD194,_xll.xCrudeAPO(BU194,BV194,CC194,CD194,S195,S196,BI194-DaysForThetaCalculation/365.25,BL194-DaysForThetaCalculation/365.25,BP194,BQ194,0,Strike2,AO194,CE194,0,BL194,IF(OptControl=3,1,0),0,1)-_xll.xCrudeAPO(BU194,BV194,CC194,CD194,S195,S196,BI194,BL194,BP194,BQ194,0,Strike2,AO194,CE194,0,BL194,IF(OptControl=3,1,0),0,1),0)</f>
        <v>0</v>
      </c>
      <c r="CN194" s="53"/>
      <c r="CO194" s="796" t="str">
        <f t="shared" ca="1" si="532"/>
        <v/>
      </c>
      <c r="CP194" s="800" t="str">
        <f t="shared" ca="1" si="533"/>
        <v/>
      </c>
      <c r="CQ194" s="797" t="str">
        <f t="shared" ca="1" si="534"/>
        <v/>
      </c>
      <c r="CR194" s="797" t="str">
        <f t="shared" ca="1" si="535"/>
        <v/>
      </c>
      <c r="CS194" s="797" t="str">
        <f t="shared" ca="1" si="536"/>
        <v/>
      </c>
      <c r="CT194" s="797" t="str">
        <f t="shared" ca="1" si="537"/>
        <v/>
      </c>
      <c r="CU194" s="798" t="str">
        <f t="shared" ca="1" si="538"/>
        <v/>
      </c>
      <c r="CV194" s="799" t="str">
        <f t="shared" ca="1" si="539"/>
        <v/>
      </c>
      <c r="CW194" s="799" t="str">
        <f t="shared" ca="1" si="540"/>
        <v/>
      </c>
      <c r="CX194" s="163">
        <f ca="1">IF(BD194,_xll.EURO(CP194,Strike1,AO194,AO194,CV194,CO194,IF(OptControl=4,0,1),0),0)</f>
        <v>0</v>
      </c>
      <c r="CY194" s="163">
        <f ca="1">IF(BD194,_xll.EURO(CP194,Strike1,AO194,AO194,CV194,CO194,IF(OptControl=4,0,1),1)+IF(OR(VolSkewFlag=2,ABS(CQ194)&lt;0.0001),0,IF(CQ194&gt;0,-1,1)*CZ194*100*Strike1/CP194^2*CS194/10%),0)</f>
        <v>0</v>
      </c>
      <c r="CZ194" s="163">
        <f ca="1">IF(BD194,_xll.EURO(CP194,Strike1,AO194,AO194,CV194,CO194,IF(OptControl=4,0,1),3)/100,0)</f>
        <v>0</v>
      </c>
      <c r="DA194" s="163">
        <f ca="1">IF(BD194,_xll.EURO(CP194,Strike1,AO194,AO194,CV194,CO194,IF(OptControl=4,0,1),0)-_xll.EURO(CP194,Strike1,AO194,AO194,CV194,CO194-1,IF(OptControl=4,0,1),0),0)</f>
        <v>0</v>
      </c>
      <c r="DB194" s="163">
        <f ca="1">IF(BD194,_xll.EURO(CP194,Strike2,AO194,AO194,CW194,CO194,IF(OptControl=3,1,0),0),0)</f>
        <v>0</v>
      </c>
      <c r="DC194" s="163">
        <f ca="1">IF(BD194,_xll.EURO(CP194,Strike2,AO194,AO194,CW194,CO194,IF(OptControl=3,1,0),1)+IF(OR(VolSkewFlag=2,ABS(CR194)&lt;0.0001),0,IF(CR194&gt;0,-1,1)*DD194*100*Strike2/CP194^2*CT194/10%),0)</f>
        <v>0</v>
      </c>
      <c r="DD194" s="163">
        <f ca="1">IF(BD194,_xll.EURO(CP194,Strike2,AO194,AO194,CW194,CO194,IF(OptControl=3,1,0),3)/100,0)</f>
        <v>0</v>
      </c>
      <c r="DE194" s="164">
        <f ca="1">IF(BD194,_xll.EURO(CP194,Strike2,AO194,AO194,CW194,CO194,IF(OptControl=3,1,0),0)-_xll.EURO(CP194,Strike2,AO194,AO194,CW194,CO194-1,IF(OptControl=3,1,0),0),0)</f>
        <v>0</v>
      </c>
      <c r="DG194" s="667">
        <f t="shared" ca="1" si="541"/>
        <v>41852</v>
      </c>
      <c r="DH194" s="475">
        <v>22.86000000000007</v>
      </c>
      <c r="DI194" s="665">
        <v>22.92666666666674</v>
      </c>
      <c r="DJ194" s="666">
        <f t="shared" ca="1" si="589"/>
        <v>41852</v>
      </c>
      <c r="DK194" s="475">
        <v>21.467135497655949</v>
      </c>
      <c r="DL194" s="665">
        <v>21.659766666666741</v>
      </c>
      <c r="DM194" s="667">
        <f t="shared" ca="1" si="590"/>
        <v>41852</v>
      </c>
      <c r="DN194" s="668">
        <f t="shared" si="591"/>
        <v>21.51713549765595</v>
      </c>
      <c r="DO194" s="667">
        <f t="shared" ca="1" si="542"/>
        <v>41852</v>
      </c>
      <c r="DP194" s="579">
        <f t="shared" si="543"/>
        <v>21.659766666666741</v>
      </c>
      <c r="DQ194" s="821">
        <v>0</v>
      </c>
      <c r="DR194" s="666">
        <f t="shared" ca="1" si="592"/>
        <v>41852</v>
      </c>
      <c r="DS194" s="669">
        <v>0.12019999999999803</v>
      </c>
      <c r="DT194" s="606">
        <v>0.11939999999999804</v>
      </c>
      <c r="DU194" s="666">
        <f t="shared" ca="1" si="593"/>
        <v>41852</v>
      </c>
      <c r="DV194" s="669">
        <v>0.12019999999999803</v>
      </c>
      <c r="DW194" s="606">
        <v>0.11939999999999804</v>
      </c>
      <c r="DX194" s="667">
        <f t="shared" ca="1" si="594"/>
        <v>41852</v>
      </c>
      <c r="DY194" s="606">
        <v>0.35</v>
      </c>
      <c r="DZ194" s="667">
        <f t="shared" ca="1" si="544"/>
        <v>41852</v>
      </c>
      <c r="EA194" s="606">
        <f t="shared" si="545"/>
        <v>0.11939999999999804</v>
      </c>
      <c r="EB194" s="1"/>
      <c r="EC194" s="118" t="str">
        <f t="shared" ca="1" si="595"/>
        <v/>
      </c>
      <c r="ED194" s="119" t="str">
        <f t="shared" ca="1" si="525"/>
        <v/>
      </c>
      <c r="EE194" s="112" t="str">
        <f t="shared" ca="1" si="526"/>
        <v/>
      </c>
      <c r="EF194" s="120">
        <f ca="1">IF(BD194,_xll.xASN(BR194,Strike1,AO194,ED194,0,BO194,0,BI194,BL194,IF(OptControl=4,0,1),0),0)</f>
        <v>0</v>
      </c>
      <c r="EG194" s="111">
        <f ca="1">IF(BD194,_xll.xASN(BR194,Strike2,AO194,EE194,0,BO194,0,BI194,BL194,IF(OptControl=3,1,0),0),0)</f>
        <v>0</v>
      </c>
      <c r="EL194" s="55"/>
      <c r="EM194" s="1"/>
      <c r="EN194" s="106"/>
      <c r="EO194" s="106"/>
      <c r="EP194" s="1"/>
      <c r="EQ194" s="683" t="s">
        <v>407</v>
      </c>
      <c r="ES194" s="455"/>
      <c r="ET194" s="36"/>
      <c r="EU194" s="107"/>
      <c r="EV194" s="475"/>
      <c r="EW194" s="456"/>
      <c r="EX194" s="456"/>
      <c r="EY194" s="250"/>
      <c r="EZ194" s="250"/>
      <c r="FA194" s="250"/>
      <c r="FB194" s="250"/>
      <c r="FC194" s="250"/>
      <c r="FD194" s="250"/>
      <c r="FE194" s="250"/>
      <c r="FF194" s="250"/>
      <c r="FG194" s="250"/>
      <c r="FH194" s="250"/>
      <c r="FI194" s="250"/>
      <c r="FJ194" s="673">
        <v>25</v>
      </c>
      <c r="FK194" s="479" t="str">
        <f ca="1">IF(OR(FK$169&lt;SwaptionFirstMonthPosition+1,$FJ194&lt;SwaptionFirstMonthPosition+1,FK$169&gt;SwaptionFirstMonthPosition+SwaptionNumOfMonths+1,$FJ194&gt;SwaptionFirstMonthPosition+SwaptionNumOfMonths+1),"",IF($FJ194=FK$169,1,IF($FJ194&lt;FK$169,INDEX($FK$170:$ID$241,FK$169,$FJ194),SUMPRODUCT(INDEX($FK$325:$ID$396,FK$169,1+SwaptionShift):INDEX($FK$325:$ID$396,FK$169,SwaptionMonthsToGo+SwaptionShift),INDEX($FK$245:$ID$316,$FJ194-FK$169,73-FK$169+SwaptionShift):INDEX($FK$245:$ID$316,$FJ194-FK$169,72-FK$169+SwaptionMonthsToGo+SwaptionShift))/SQRT(SUM(INDEX($FK349:$ID349,1+SwaptionShift):INDEX($FK349:$ID349,SwaptionMonthsToGo+SwaptionShift))*SUM(INDEX($FK$325:$ID$396,FK$169,1+SwaptionShift):INDEX($FK$325:$ID$396,FK$169,SwaptionMonthsToGo+SwaptionShift))))))</f>
        <v/>
      </c>
      <c r="FL194" s="479" t="str">
        <f ca="1">IF(OR(FL$169&lt;SwaptionFirstMonthPosition+1,$FJ194&lt;SwaptionFirstMonthPosition+1,FL$169&gt;SwaptionFirstMonthPosition+SwaptionNumOfMonths+1,$FJ194&gt;SwaptionFirstMonthPosition+SwaptionNumOfMonths+1),"",IF($FJ194=FL$169,1,IF($FJ194&lt;FL$169,INDEX($FK$170:$ID$241,FL$169,$FJ194),SUMPRODUCT(INDEX($FK$325:$ID$396,FL$169,1+SwaptionShift):INDEX($FK$325:$ID$396,FL$169,SwaptionMonthsToGo+SwaptionShift),INDEX($FK$245:$ID$316,$FJ194-FL$169,73-FL$169+SwaptionShift):INDEX($FK$245:$ID$316,$FJ194-FL$169,72-FL$169+SwaptionMonthsToGo+SwaptionShift))/SQRT(SUM(INDEX($FK349:$ID349,1+SwaptionShift):INDEX($FK349:$ID349,SwaptionMonthsToGo+SwaptionShift))*SUM(INDEX($FK$325:$ID$396,FL$169,1+SwaptionShift):INDEX($FK$325:$ID$396,FL$169,SwaptionMonthsToGo+SwaptionShift))))))</f>
        <v/>
      </c>
      <c r="FM194" s="479" t="str">
        <f ca="1">IF(OR(FM$169&lt;SwaptionFirstMonthPosition+1,$FJ194&lt;SwaptionFirstMonthPosition+1,FM$169&gt;SwaptionFirstMonthPosition+SwaptionNumOfMonths+1,$FJ194&gt;SwaptionFirstMonthPosition+SwaptionNumOfMonths+1),"",IF($FJ194=FM$169,1,IF($FJ194&lt;FM$169,INDEX($FK$170:$ID$241,FM$169,$FJ194),SUMPRODUCT(INDEX($FK$325:$ID$396,FM$169,1+SwaptionShift):INDEX($FK$325:$ID$396,FM$169,SwaptionMonthsToGo+SwaptionShift),INDEX($FK$245:$ID$316,$FJ194-FM$169,73-FM$169+SwaptionShift):INDEX($FK$245:$ID$316,$FJ194-FM$169,72-FM$169+SwaptionMonthsToGo+SwaptionShift))/SQRT(SUM(INDEX($FK349:$ID349,1+SwaptionShift):INDEX($FK349:$ID349,SwaptionMonthsToGo+SwaptionShift))*SUM(INDEX($FK$325:$ID$396,FM$169,1+SwaptionShift):INDEX($FK$325:$ID$396,FM$169,SwaptionMonthsToGo+SwaptionShift))))))</f>
        <v/>
      </c>
      <c r="FN194" s="479" t="str">
        <f ca="1">IF(OR(FN$169&lt;SwaptionFirstMonthPosition+1,$FJ194&lt;SwaptionFirstMonthPosition+1,FN$169&gt;SwaptionFirstMonthPosition+SwaptionNumOfMonths+1,$FJ194&gt;SwaptionFirstMonthPosition+SwaptionNumOfMonths+1),"",IF($FJ194=FN$169,1,IF($FJ194&lt;FN$169,INDEX($FK$170:$ID$241,FN$169,$FJ194),SUMPRODUCT(INDEX($FK$325:$ID$396,FN$169,1+SwaptionShift):INDEX($FK$325:$ID$396,FN$169,SwaptionMonthsToGo+SwaptionShift),INDEX($FK$245:$ID$316,$FJ194-FN$169,73-FN$169+SwaptionShift):INDEX($FK$245:$ID$316,$FJ194-FN$169,72-FN$169+SwaptionMonthsToGo+SwaptionShift))/SQRT(SUM(INDEX($FK349:$ID349,1+SwaptionShift):INDEX($FK349:$ID349,SwaptionMonthsToGo+SwaptionShift))*SUM(INDEX($FK$325:$ID$396,FN$169,1+SwaptionShift):INDEX($FK$325:$ID$396,FN$169,SwaptionMonthsToGo+SwaptionShift))))))</f>
        <v/>
      </c>
      <c r="FO194" s="479" t="str">
        <f ca="1">IF(OR(FO$169&lt;SwaptionFirstMonthPosition+1,$FJ194&lt;SwaptionFirstMonthPosition+1,FO$169&gt;SwaptionFirstMonthPosition+SwaptionNumOfMonths+1,$FJ194&gt;SwaptionFirstMonthPosition+SwaptionNumOfMonths+1),"",IF($FJ194=FO$169,1,IF($FJ194&lt;FO$169,INDEX($FK$170:$ID$241,FO$169,$FJ194),SUMPRODUCT(INDEX($FK$325:$ID$396,FO$169,1+SwaptionShift):INDEX($FK$325:$ID$396,FO$169,SwaptionMonthsToGo+SwaptionShift),INDEX($FK$245:$ID$316,$FJ194-FO$169,73-FO$169+SwaptionShift):INDEX($FK$245:$ID$316,$FJ194-FO$169,72-FO$169+SwaptionMonthsToGo+SwaptionShift))/SQRT(SUM(INDEX($FK349:$ID349,1+SwaptionShift):INDEX($FK349:$ID349,SwaptionMonthsToGo+SwaptionShift))*SUM(INDEX($FK$325:$ID$396,FO$169,1+SwaptionShift):INDEX($FK$325:$ID$396,FO$169,SwaptionMonthsToGo+SwaptionShift))))))</f>
        <v/>
      </c>
      <c r="FP194" s="479" t="str">
        <f ca="1">IF(OR(FP$169&lt;SwaptionFirstMonthPosition+1,$FJ194&lt;SwaptionFirstMonthPosition+1,FP$169&gt;SwaptionFirstMonthPosition+SwaptionNumOfMonths+1,$FJ194&gt;SwaptionFirstMonthPosition+SwaptionNumOfMonths+1),"",IF($FJ194=FP$169,1,IF($FJ194&lt;FP$169,INDEX($FK$170:$ID$241,FP$169,$FJ194),SUMPRODUCT(INDEX($FK$325:$ID$396,FP$169,1+SwaptionShift):INDEX($FK$325:$ID$396,FP$169,SwaptionMonthsToGo+SwaptionShift),INDEX($FK$245:$ID$316,$FJ194-FP$169,73-FP$169+SwaptionShift):INDEX($FK$245:$ID$316,$FJ194-FP$169,72-FP$169+SwaptionMonthsToGo+SwaptionShift))/SQRT(SUM(INDEX($FK349:$ID349,1+SwaptionShift):INDEX($FK349:$ID349,SwaptionMonthsToGo+SwaptionShift))*SUM(INDEX($FK$325:$ID$396,FP$169,1+SwaptionShift):INDEX($FK$325:$ID$396,FP$169,SwaptionMonthsToGo+SwaptionShift))))))</f>
        <v/>
      </c>
      <c r="FQ194" s="479" t="str">
        <f ca="1">IF(OR(FQ$169&lt;SwaptionFirstMonthPosition+1,$FJ194&lt;SwaptionFirstMonthPosition+1,FQ$169&gt;SwaptionFirstMonthPosition+SwaptionNumOfMonths+1,$FJ194&gt;SwaptionFirstMonthPosition+SwaptionNumOfMonths+1),"",IF($FJ194=FQ$169,1,IF($FJ194&lt;FQ$169,INDEX($FK$170:$ID$241,FQ$169,$FJ194),SUMPRODUCT(INDEX($FK$325:$ID$396,FQ$169,1+SwaptionShift):INDEX($FK$325:$ID$396,FQ$169,SwaptionMonthsToGo+SwaptionShift),INDEX($FK$245:$ID$316,$FJ194-FQ$169,73-FQ$169+SwaptionShift):INDEX($FK$245:$ID$316,$FJ194-FQ$169,72-FQ$169+SwaptionMonthsToGo+SwaptionShift))/SQRT(SUM(INDEX($FK349:$ID349,1+SwaptionShift):INDEX($FK349:$ID349,SwaptionMonthsToGo+SwaptionShift))*SUM(INDEX($FK$325:$ID$396,FQ$169,1+SwaptionShift):INDEX($FK$325:$ID$396,FQ$169,SwaptionMonthsToGo+SwaptionShift))))))</f>
        <v/>
      </c>
      <c r="FR194" s="479" t="str">
        <f ca="1">IF(OR(FR$169&lt;SwaptionFirstMonthPosition+1,$FJ194&lt;SwaptionFirstMonthPosition+1,FR$169&gt;SwaptionFirstMonthPosition+SwaptionNumOfMonths+1,$FJ194&gt;SwaptionFirstMonthPosition+SwaptionNumOfMonths+1),"",IF($FJ194=FR$169,1,IF($FJ194&lt;FR$169,INDEX($FK$170:$ID$241,FR$169,$FJ194),SUMPRODUCT(INDEX($FK$325:$ID$396,FR$169,1+SwaptionShift):INDEX($FK$325:$ID$396,FR$169,SwaptionMonthsToGo+SwaptionShift),INDEX($FK$245:$ID$316,$FJ194-FR$169,73-FR$169+SwaptionShift):INDEX($FK$245:$ID$316,$FJ194-FR$169,72-FR$169+SwaptionMonthsToGo+SwaptionShift))/SQRT(SUM(INDEX($FK349:$ID349,1+SwaptionShift):INDEX($FK349:$ID349,SwaptionMonthsToGo+SwaptionShift))*SUM(INDEX($FK$325:$ID$396,FR$169,1+SwaptionShift):INDEX($FK$325:$ID$396,FR$169,SwaptionMonthsToGo+SwaptionShift))))))</f>
        <v/>
      </c>
      <c r="FS194" s="479" t="str">
        <f ca="1">IF(OR(FS$169&lt;SwaptionFirstMonthPosition+1,$FJ194&lt;SwaptionFirstMonthPosition+1,FS$169&gt;SwaptionFirstMonthPosition+SwaptionNumOfMonths+1,$FJ194&gt;SwaptionFirstMonthPosition+SwaptionNumOfMonths+1),"",IF($FJ194=FS$169,1,IF($FJ194&lt;FS$169,INDEX($FK$170:$ID$241,FS$169,$FJ194),SUMPRODUCT(INDEX($FK$325:$ID$396,FS$169,1+SwaptionShift):INDEX($FK$325:$ID$396,FS$169,SwaptionMonthsToGo+SwaptionShift),INDEX($FK$245:$ID$316,$FJ194-FS$169,73-FS$169+SwaptionShift):INDEX($FK$245:$ID$316,$FJ194-FS$169,72-FS$169+SwaptionMonthsToGo+SwaptionShift))/SQRT(SUM(INDEX($FK349:$ID349,1+SwaptionShift):INDEX($FK349:$ID349,SwaptionMonthsToGo+SwaptionShift))*SUM(INDEX($FK$325:$ID$396,FS$169,1+SwaptionShift):INDEX($FK$325:$ID$396,FS$169,SwaptionMonthsToGo+SwaptionShift))))))</f>
        <v/>
      </c>
      <c r="FT194" s="479" t="str">
        <f ca="1">IF(OR(FT$169&lt;SwaptionFirstMonthPosition+1,$FJ194&lt;SwaptionFirstMonthPosition+1,FT$169&gt;SwaptionFirstMonthPosition+SwaptionNumOfMonths+1,$FJ194&gt;SwaptionFirstMonthPosition+SwaptionNumOfMonths+1),"",IF($FJ194=FT$169,1,IF($FJ194&lt;FT$169,INDEX($FK$170:$ID$241,FT$169,$FJ194),SUMPRODUCT(INDEX($FK$325:$ID$396,FT$169,1+SwaptionShift):INDEX($FK$325:$ID$396,FT$169,SwaptionMonthsToGo+SwaptionShift),INDEX($FK$245:$ID$316,$FJ194-FT$169,73-FT$169+SwaptionShift):INDEX($FK$245:$ID$316,$FJ194-FT$169,72-FT$169+SwaptionMonthsToGo+SwaptionShift))/SQRT(SUM(INDEX($FK349:$ID349,1+SwaptionShift):INDEX($FK349:$ID349,SwaptionMonthsToGo+SwaptionShift))*SUM(INDEX($FK$325:$ID$396,FT$169,1+SwaptionShift):INDEX($FK$325:$ID$396,FT$169,SwaptionMonthsToGo+SwaptionShift))))))</f>
        <v/>
      </c>
      <c r="FU194" s="479" t="str">
        <f ca="1">IF(OR(FU$169&lt;SwaptionFirstMonthPosition+1,$FJ194&lt;SwaptionFirstMonthPosition+1,FU$169&gt;SwaptionFirstMonthPosition+SwaptionNumOfMonths+1,$FJ194&gt;SwaptionFirstMonthPosition+SwaptionNumOfMonths+1),"",IF($FJ194=FU$169,1,IF($FJ194&lt;FU$169,INDEX($FK$170:$ID$241,FU$169,$FJ194),SUMPRODUCT(INDEX($FK$325:$ID$396,FU$169,1+SwaptionShift):INDEX($FK$325:$ID$396,FU$169,SwaptionMonthsToGo+SwaptionShift),INDEX($FK$245:$ID$316,$FJ194-FU$169,73-FU$169+SwaptionShift):INDEX($FK$245:$ID$316,$FJ194-FU$169,72-FU$169+SwaptionMonthsToGo+SwaptionShift))/SQRT(SUM(INDEX($FK349:$ID349,1+SwaptionShift):INDEX($FK349:$ID349,SwaptionMonthsToGo+SwaptionShift))*SUM(INDEX($FK$325:$ID$396,FU$169,1+SwaptionShift):INDEX($FK$325:$ID$396,FU$169,SwaptionMonthsToGo+SwaptionShift))))))</f>
        <v/>
      </c>
      <c r="FV194" s="479" t="str">
        <f ca="1">IF(OR(FV$169&lt;SwaptionFirstMonthPosition+1,$FJ194&lt;SwaptionFirstMonthPosition+1,FV$169&gt;SwaptionFirstMonthPosition+SwaptionNumOfMonths+1,$FJ194&gt;SwaptionFirstMonthPosition+SwaptionNumOfMonths+1),"",IF($FJ194=FV$169,1,IF($FJ194&lt;FV$169,INDEX($FK$170:$ID$241,FV$169,$FJ194),SUMPRODUCT(INDEX($FK$325:$ID$396,FV$169,1+SwaptionShift):INDEX($FK$325:$ID$396,FV$169,SwaptionMonthsToGo+SwaptionShift),INDEX($FK$245:$ID$316,$FJ194-FV$169,73-FV$169+SwaptionShift):INDEX($FK$245:$ID$316,$FJ194-FV$169,72-FV$169+SwaptionMonthsToGo+SwaptionShift))/SQRT(SUM(INDEX($FK349:$ID349,1+SwaptionShift):INDEX($FK349:$ID349,SwaptionMonthsToGo+SwaptionShift))*SUM(INDEX($FK$325:$ID$396,FV$169,1+SwaptionShift):INDEX($FK$325:$ID$396,FV$169,SwaptionMonthsToGo+SwaptionShift))))))</f>
        <v/>
      </c>
      <c r="FW194" s="479" t="str">
        <f ca="1">IF(OR(FW$169&lt;SwaptionFirstMonthPosition+1,$FJ194&lt;SwaptionFirstMonthPosition+1,FW$169&gt;SwaptionFirstMonthPosition+SwaptionNumOfMonths+1,$FJ194&gt;SwaptionFirstMonthPosition+SwaptionNumOfMonths+1),"",IF($FJ194=FW$169,1,IF($FJ194&lt;FW$169,INDEX($FK$170:$ID$241,FW$169,$FJ194),SUMPRODUCT(INDEX($FK$325:$ID$396,FW$169,1+SwaptionShift):INDEX($FK$325:$ID$396,FW$169,SwaptionMonthsToGo+SwaptionShift),INDEX($FK$245:$ID$316,$FJ194-FW$169,73-FW$169+SwaptionShift):INDEX($FK$245:$ID$316,$FJ194-FW$169,72-FW$169+SwaptionMonthsToGo+SwaptionShift))/SQRT(SUM(INDEX($FK349:$ID349,1+SwaptionShift):INDEX($FK349:$ID349,SwaptionMonthsToGo+SwaptionShift))*SUM(INDEX($FK$325:$ID$396,FW$169,1+SwaptionShift):INDEX($FK$325:$ID$396,FW$169,SwaptionMonthsToGo+SwaptionShift))))))</f>
        <v/>
      </c>
      <c r="FX194" s="479" t="str">
        <f ca="1">IF(OR(FX$169&lt;SwaptionFirstMonthPosition+1,$FJ194&lt;SwaptionFirstMonthPosition+1,FX$169&gt;SwaptionFirstMonthPosition+SwaptionNumOfMonths+1,$FJ194&gt;SwaptionFirstMonthPosition+SwaptionNumOfMonths+1),"",IF($FJ194=FX$169,1,IF($FJ194&lt;FX$169,INDEX($FK$170:$ID$241,FX$169,$FJ194),SUMPRODUCT(INDEX($FK$325:$ID$396,FX$169,1+SwaptionShift):INDEX($FK$325:$ID$396,FX$169,SwaptionMonthsToGo+SwaptionShift),INDEX($FK$245:$ID$316,$FJ194-FX$169,73-FX$169+SwaptionShift):INDEX($FK$245:$ID$316,$FJ194-FX$169,72-FX$169+SwaptionMonthsToGo+SwaptionShift))/SQRT(SUM(INDEX($FK349:$ID349,1+SwaptionShift):INDEX($FK349:$ID349,SwaptionMonthsToGo+SwaptionShift))*SUM(INDEX($FK$325:$ID$396,FX$169,1+SwaptionShift):INDEX($FK$325:$ID$396,FX$169,SwaptionMonthsToGo+SwaptionShift))))))</f>
        <v/>
      </c>
      <c r="FY194" s="479" t="str">
        <f ca="1">IF(OR(FY$169&lt;SwaptionFirstMonthPosition+1,$FJ194&lt;SwaptionFirstMonthPosition+1,FY$169&gt;SwaptionFirstMonthPosition+SwaptionNumOfMonths+1,$FJ194&gt;SwaptionFirstMonthPosition+SwaptionNumOfMonths+1),"",IF($FJ194=FY$169,1,IF($FJ194&lt;FY$169,INDEX($FK$170:$ID$241,FY$169,$FJ194),SUMPRODUCT(INDEX($FK$325:$ID$396,FY$169,1+SwaptionShift):INDEX($FK$325:$ID$396,FY$169,SwaptionMonthsToGo+SwaptionShift),INDEX($FK$245:$ID$316,$FJ194-FY$169,73-FY$169+SwaptionShift):INDEX($FK$245:$ID$316,$FJ194-FY$169,72-FY$169+SwaptionMonthsToGo+SwaptionShift))/SQRT(SUM(INDEX($FK349:$ID349,1+SwaptionShift):INDEX($FK349:$ID349,SwaptionMonthsToGo+SwaptionShift))*SUM(INDEX($FK$325:$ID$396,FY$169,1+SwaptionShift):INDEX($FK$325:$ID$396,FY$169,SwaptionMonthsToGo+SwaptionShift))))))</f>
        <v/>
      </c>
      <c r="FZ194" s="479" t="str">
        <f ca="1">IF(OR(FZ$169&lt;SwaptionFirstMonthPosition+1,$FJ194&lt;SwaptionFirstMonthPosition+1,FZ$169&gt;SwaptionFirstMonthPosition+SwaptionNumOfMonths+1,$FJ194&gt;SwaptionFirstMonthPosition+SwaptionNumOfMonths+1),"",IF($FJ194=FZ$169,1,IF($FJ194&lt;FZ$169,INDEX($FK$170:$ID$241,FZ$169,$FJ194),SUMPRODUCT(INDEX($FK$325:$ID$396,FZ$169,1+SwaptionShift):INDEX($FK$325:$ID$396,FZ$169,SwaptionMonthsToGo+SwaptionShift),INDEX($FK$245:$ID$316,$FJ194-FZ$169,73-FZ$169+SwaptionShift):INDEX($FK$245:$ID$316,$FJ194-FZ$169,72-FZ$169+SwaptionMonthsToGo+SwaptionShift))/SQRT(SUM(INDEX($FK349:$ID349,1+SwaptionShift):INDEX($FK349:$ID349,SwaptionMonthsToGo+SwaptionShift))*SUM(INDEX($FK$325:$ID$396,FZ$169,1+SwaptionShift):INDEX($FK$325:$ID$396,FZ$169,SwaptionMonthsToGo+SwaptionShift))))))</f>
        <v/>
      </c>
      <c r="GA194" s="479" t="str">
        <f ca="1">IF(OR(GA$169&lt;SwaptionFirstMonthPosition+1,$FJ194&lt;SwaptionFirstMonthPosition+1,GA$169&gt;SwaptionFirstMonthPosition+SwaptionNumOfMonths+1,$FJ194&gt;SwaptionFirstMonthPosition+SwaptionNumOfMonths+1),"",IF($FJ194=GA$169,1,IF($FJ194&lt;GA$169,INDEX($FK$170:$ID$241,GA$169,$FJ194),SUMPRODUCT(INDEX($FK$325:$ID$396,GA$169,1+SwaptionShift):INDEX($FK$325:$ID$396,GA$169,SwaptionMonthsToGo+SwaptionShift),INDEX($FK$245:$ID$316,$FJ194-GA$169,73-GA$169+SwaptionShift):INDEX($FK$245:$ID$316,$FJ194-GA$169,72-GA$169+SwaptionMonthsToGo+SwaptionShift))/SQRT(SUM(INDEX($FK349:$ID349,1+SwaptionShift):INDEX($FK349:$ID349,SwaptionMonthsToGo+SwaptionShift))*SUM(INDEX($FK$325:$ID$396,GA$169,1+SwaptionShift):INDEX($FK$325:$ID$396,GA$169,SwaptionMonthsToGo+SwaptionShift))))))</f>
        <v/>
      </c>
      <c r="GB194" s="479" t="str">
        <f ca="1">IF(OR(GB$169&lt;SwaptionFirstMonthPosition+1,$FJ194&lt;SwaptionFirstMonthPosition+1,GB$169&gt;SwaptionFirstMonthPosition+SwaptionNumOfMonths+1,$FJ194&gt;SwaptionFirstMonthPosition+SwaptionNumOfMonths+1),"",IF($FJ194=GB$169,1,IF($FJ194&lt;GB$169,INDEX($FK$170:$ID$241,GB$169,$FJ194),SUMPRODUCT(INDEX($FK$325:$ID$396,GB$169,1+SwaptionShift):INDEX($FK$325:$ID$396,GB$169,SwaptionMonthsToGo+SwaptionShift),INDEX($FK$245:$ID$316,$FJ194-GB$169,73-GB$169+SwaptionShift):INDEX($FK$245:$ID$316,$FJ194-GB$169,72-GB$169+SwaptionMonthsToGo+SwaptionShift))/SQRT(SUM(INDEX($FK349:$ID349,1+SwaptionShift):INDEX($FK349:$ID349,SwaptionMonthsToGo+SwaptionShift))*SUM(INDEX($FK$325:$ID$396,GB$169,1+SwaptionShift):INDEX($FK$325:$ID$396,GB$169,SwaptionMonthsToGo+SwaptionShift))))))</f>
        <v/>
      </c>
      <c r="GC194" s="479" t="str">
        <f ca="1">IF(OR(GC$169&lt;SwaptionFirstMonthPosition+1,$FJ194&lt;SwaptionFirstMonthPosition+1,GC$169&gt;SwaptionFirstMonthPosition+SwaptionNumOfMonths+1,$FJ194&gt;SwaptionFirstMonthPosition+SwaptionNumOfMonths+1),"",IF($FJ194=GC$169,1,IF($FJ194&lt;GC$169,INDEX($FK$170:$ID$241,GC$169,$FJ194),SUMPRODUCT(INDEX($FK$325:$ID$396,GC$169,1+SwaptionShift):INDEX($FK$325:$ID$396,GC$169,SwaptionMonthsToGo+SwaptionShift),INDEX($FK$245:$ID$316,$FJ194-GC$169,73-GC$169+SwaptionShift):INDEX($FK$245:$ID$316,$FJ194-GC$169,72-GC$169+SwaptionMonthsToGo+SwaptionShift))/SQRT(SUM(INDEX($FK349:$ID349,1+SwaptionShift):INDEX($FK349:$ID349,SwaptionMonthsToGo+SwaptionShift))*SUM(INDEX($FK$325:$ID$396,GC$169,1+SwaptionShift):INDEX($FK$325:$ID$396,GC$169,SwaptionMonthsToGo+SwaptionShift))))))</f>
        <v/>
      </c>
      <c r="GD194" s="479" t="str">
        <f ca="1">IF(OR(GD$169&lt;SwaptionFirstMonthPosition+1,$FJ194&lt;SwaptionFirstMonthPosition+1,GD$169&gt;SwaptionFirstMonthPosition+SwaptionNumOfMonths+1,$FJ194&gt;SwaptionFirstMonthPosition+SwaptionNumOfMonths+1),"",IF($FJ194=GD$169,1,IF($FJ194&lt;GD$169,INDEX($FK$170:$ID$241,GD$169,$FJ194),SUMPRODUCT(INDEX($FK$325:$ID$396,GD$169,1+SwaptionShift):INDEX($FK$325:$ID$396,GD$169,SwaptionMonthsToGo+SwaptionShift),INDEX($FK$245:$ID$316,$FJ194-GD$169,73-GD$169+SwaptionShift):INDEX($FK$245:$ID$316,$FJ194-GD$169,72-GD$169+SwaptionMonthsToGo+SwaptionShift))/SQRT(SUM(INDEX($FK349:$ID349,1+SwaptionShift):INDEX($FK349:$ID349,SwaptionMonthsToGo+SwaptionShift))*SUM(INDEX($FK$325:$ID$396,GD$169,1+SwaptionShift):INDEX($FK$325:$ID$396,GD$169,SwaptionMonthsToGo+SwaptionShift))))))</f>
        <v/>
      </c>
      <c r="GE194" s="479" t="str">
        <f ca="1">IF(OR(GE$169&lt;SwaptionFirstMonthPosition+1,$FJ194&lt;SwaptionFirstMonthPosition+1,GE$169&gt;SwaptionFirstMonthPosition+SwaptionNumOfMonths+1,$FJ194&gt;SwaptionFirstMonthPosition+SwaptionNumOfMonths+1),"",IF($FJ194=GE$169,1,IF($FJ194&lt;GE$169,INDEX($FK$170:$ID$241,GE$169,$FJ194),SUMPRODUCT(INDEX($FK$325:$ID$396,GE$169,1+SwaptionShift):INDEX($FK$325:$ID$396,GE$169,SwaptionMonthsToGo+SwaptionShift),INDEX($FK$245:$ID$316,$FJ194-GE$169,73-GE$169+SwaptionShift):INDEX($FK$245:$ID$316,$FJ194-GE$169,72-GE$169+SwaptionMonthsToGo+SwaptionShift))/SQRT(SUM(INDEX($FK349:$ID349,1+SwaptionShift):INDEX($FK349:$ID349,SwaptionMonthsToGo+SwaptionShift))*SUM(INDEX($FK$325:$ID$396,GE$169,1+SwaptionShift):INDEX($FK$325:$ID$396,GE$169,SwaptionMonthsToGo+SwaptionShift))))))</f>
        <v/>
      </c>
      <c r="GF194" s="479" t="str">
        <f ca="1">IF(OR(GF$169&lt;SwaptionFirstMonthPosition+1,$FJ194&lt;SwaptionFirstMonthPosition+1,GF$169&gt;SwaptionFirstMonthPosition+SwaptionNumOfMonths+1,$FJ194&gt;SwaptionFirstMonthPosition+SwaptionNumOfMonths+1),"",IF($FJ194=GF$169,1,IF($FJ194&lt;GF$169,INDEX($FK$170:$ID$241,GF$169,$FJ194),SUMPRODUCT(INDEX($FK$325:$ID$396,GF$169,1+SwaptionShift):INDEX($FK$325:$ID$396,GF$169,SwaptionMonthsToGo+SwaptionShift),INDEX($FK$245:$ID$316,$FJ194-GF$169,73-GF$169+SwaptionShift):INDEX($FK$245:$ID$316,$FJ194-GF$169,72-GF$169+SwaptionMonthsToGo+SwaptionShift))/SQRT(SUM(INDEX($FK349:$ID349,1+SwaptionShift):INDEX($FK349:$ID349,SwaptionMonthsToGo+SwaptionShift))*SUM(INDEX($FK$325:$ID$396,GF$169,1+SwaptionShift):INDEX($FK$325:$ID$396,GF$169,SwaptionMonthsToGo+SwaptionShift))))))</f>
        <v/>
      </c>
      <c r="GG194" s="479" t="str">
        <f ca="1">IF(OR(GG$169&lt;SwaptionFirstMonthPosition+1,$FJ194&lt;SwaptionFirstMonthPosition+1,GG$169&gt;SwaptionFirstMonthPosition+SwaptionNumOfMonths+1,$FJ194&gt;SwaptionFirstMonthPosition+SwaptionNumOfMonths+1),"",IF($FJ194=GG$169,1,IF($FJ194&lt;GG$169,INDEX($FK$170:$ID$241,GG$169,$FJ194),SUMPRODUCT(INDEX($FK$325:$ID$396,GG$169,1+SwaptionShift):INDEX($FK$325:$ID$396,GG$169,SwaptionMonthsToGo+SwaptionShift),INDEX($FK$245:$ID$316,$FJ194-GG$169,73-GG$169+SwaptionShift):INDEX($FK$245:$ID$316,$FJ194-GG$169,72-GG$169+SwaptionMonthsToGo+SwaptionShift))/SQRT(SUM(INDEX($FK349:$ID349,1+SwaptionShift):INDEX($FK349:$ID349,SwaptionMonthsToGo+SwaptionShift))*SUM(INDEX($FK$325:$ID$396,GG$169,1+SwaptionShift):INDEX($FK$325:$ID$396,GG$169,SwaptionMonthsToGo+SwaptionShift))))))</f>
        <v/>
      </c>
      <c r="GH194" s="479" t="str">
        <f ca="1">IF(OR(GH$169&lt;SwaptionFirstMonthPosition+1,$FJ194&lt;SwaptionFirstMonthPosition+1,GH$169&gt;SwaptionFirstMonthPosition+SwaptionNumOfMonths+1,$FJ194&gt;SwaptionFirstMonthPosition+SwaptionNumOfMonths+1),"",IF($FJ194=GH$169,1,IF($FJ194&lt;GH$169,INDEX($FK$170:$ID$241,GH$169,$FJ194),SUMPRODUCT(INDEX($FK$325:$ID$396,GH$169,1+SwaptionShift):INDEX($FK$325:$ID$396,GH$169,SwaptionMonthsToGo+SwaptionShift),INDEX($FK$245:$ID$316,$FJ194-GH$169,73-GH$169+SwaptionShift):INDEX($FK$245:$ID$316,$FJ194-GH$169,72-GH$169+SwaptionMonthsToGo+SwaptionShift))/SQRT(SUM(INDEX($FK349:$ID349,1+SwaptionShift):INDEX($FK349:$ID349,SwaptionMonthsToGo+SwaptionShift))*SUM(INDEX($FK$325:$ID$396,GH$169,1+SwaptionShift):INDEX($FK$325:$ID$396,GH$169,SwaptionMonthsToGo+SwaptionShift))))))</f>
        <v/>
      </c>
      <c r="GI194" s="479" t="str">
        <f ca="1">IF(OR(GI$169&lt;SwaptionFirstMonthPosition+1,$FJ194&lt;SwaptionFirstMonthPosition+1,GI$169&gt;SwaptionFirstMonthPosition+SwaptionNumOfMonths+1,$FJ194&gt;SwaptionFirstMonthPosition+SwaptionNumOfMonths+1),"",IF($FJ194=GI$169,1,IF($FJ194&lt;GI$169,INDEX($FK$170:$ID$241,GI$169,$FJ194),SUMPRODUCT(INDEX($FK$325:$ID$396,GI$169,1+SwaptionShift):INDEX($FK$325:$ID$396,GI$169,SwaptionMonthsToGo+SwaptionShift),INDEX($FK$245:$ID$316,$FJ194-GI$169,73-GI$169+SwaptionShift):INDEX($FK$245:$ID$316,$FJ194-GI$169,72-GI$169+SwaptionMonthsToGo+SwaptionShift))/SQRT(SUM(INDEX($FK349:$ID349,1+SwaptionShift):INDEX($FK349:$ID349,SwaptionMonthsToGo+SwaptionShift))*SUM(INDEX($FK$325:$ID$396,GI$169,1+SwaptionShift):INDEX($FK$325:$ID$396,GI$169,SwaptionMonthsToGo+SwaptionShift))))))</f>
        <v/>
      </c>
      <c r="GJ194" s="479" t="str">
        <f ca="1">IF(OR(GJ$169&lt;SwaptionFirstMonthPosition+1,$FJ194&lt;SwaptionFirstMonthPosition+1,GJ$169&gt;SwaptionFirstMonthPosition+SwaptionNumOfMonths+1,$FJ194&gt;SwaptionFirstMonthPosition+SwaptionNumOfMonths+1),"",IF($FJ194=GJ$169,1,IF($FJ194&lt;GJ$169,INDEX($FK$170:$ID$241,GJ$169,$FJ194),SUMPRODUCT(INDEX($FK$325:$ID$396,GJ$169,1+SwaptionShift):INDEX($FK$325:$ID$396,GJ$169,SwaptionMonthsToGo+SwaptionShift),INDEX($FK$245:$ID$316,$FJ194-GJ$169,73-GJ$169+SwaptionShift):INDEX($FK$245:$ID$316,$FJ194-GJ$169,72-GJ$169+SwaptionMonthsToGo+SwaptionShift))/SQRT(SUM(INDEX($FK349:$ID349,1+SwaptionShift):INDEX($FK349:$ID349,SwaptionMonthsToGo+SwaptionShift))*SUM(INDEX($FK$325:$ID$396,GJ$169,1+SwaptionShift):INDEX($FK$325:$ID$396,GJ$169,SwaptionMonthsToGo+SwaptionShift))))))</f>
        <v/>
      </c>
      <c r="GK194" s="479" t="str">
        <f ca="1">IF(OR(GK$169&lt;SwaptionFirstMonthPosition+1,$FJ194&lt;SwaptionFirstMonthPosition+1,GK$169&gt;SwaptionFirstMonthPosition+SwaptionNumOfMonths+1,$FJ194&gt;SwaptionFirstMonthPosition+SwaptionNumOfMonths+1),"",IF($FJ194=GK$169,1,IF($FJ194&lt;GK$169,INDEX($FK$170:$ID$241,GK$169,$FJ194),SUMPRODUCT(INDEX($FK$325:$ID$396,GK$169,1+SwaptionShift):INDEX($FK$325:$ID$396,GK$169,SwaptionMonthsToGo+SwaptionShift),INDEX($FK$245:$ID$316,$FJ194-GK$169,73-GK$169+SwaptionShift):INDEX($FK$245:$ID$316,$FJ194-GK$169,72-GK$169+SwaptionMonthsToGo+SwaptionShift))/SQRT(SUM(INDEX($FK349:$ID349,1+SwaptionShift):INDEX($FK349:$ID349,SwaptionMonthsToGo+SwaptionShift))*SUM(INDEX($FK$325:$ID$396,GK$169,1+SwaptionShift):INDEX($FK$325:$ID$396,GK$169,SwaptionMonthsToGo+SwaptionShift))))))</f>
        <v/>
      </c>
      <c r="GL194" s="479" t="str">
        <f ca="1">IF(OR(GL$169&lt;SwaptionFirstMonthPosition+1,$FJ194&lt;SwaptionFirstMonthPosition+1,GL$169&gt;SwaptionFirstMonthPosition+SwaptionNumOfMonths+1,$FJ194&gt;SwaptionFirstMonthPosition+SwaptionNumOfMonths+1),"",IF($FJ194=GL$169,1,IF($FJ194&lt;GL$169,INDEX($FK$170:$ID$241,GL$169,$FJ194),SUMPRODUCT(INDEX($FK$325:$ID$396,GL$169,1+SwaptionShift):INDEX($FK$325:$ID$396,GL$169,SwaptionMonthsToGo+SwaptionShift),INDEX($FK$245:$ID$316,$FJ194-GL$169,73-GL$169+SwaptionShift):INDEX($FK$245:$ID$316,$FJ194-GL$169,72-GL$169+SwaptionMonthsToGo+SwaptionShift))/SQRT(SUM(INDEX($FK349:$ID349,1+SwaptionShift):INDEX($FK349:$ID349,SwaptionMonthsToGo+SwaptionShift))*SUM(INDEX($FK$325:$ID$396,GL$169,1+SwaptionShift):INDEX($FK$325:$ID$396,GL$169,SwaptionMonthsToGo+SwaptionShift))))))</f>
        <v/>
      </c>
      <c r="GM194" s="479" t="str">
        <f ca="1">IF(OR(GM$169&lt;SwaptionFirstMonthPosition+1,$FJ194&lt;SwaptionFirstMonthPosition+1,GM$169&gt;SwaptionFirstMonthPosition+SwaptionNumOfMonths+1,$FJ194&gt;SwaptionFirstMonthPosition+SwaptionNumOfMonths+1),"",IF($FJ194=GM$169,1,IF($FJ194&lt;GM$169,INDEX($FK$170:$ID$241,GM$169,$FJ194),SUMPRODUCT(INDEX($FK$325:$ID$396,GM$169,1+SwaptionShift):INDEX($FK$325:$ID$396,GM$169,SwaptionMonthsToGo+SwaptionShift),INDEX($FK$245:$ID$316,$FJ194-GM$169,73-GM$169+SwaptionShift):INDEX($FK$245:$ID$316,$FJ194-GM$169,72-GM$169+SwaptionMonthsToGo+SwaptionShift))/SQRT(SUM(INDEX($FK349:$ID349,1+SwaptionShift):INDEX($FK349:$ID349,SwaptionMonthsToGo+SwaptionShift))*SUM(INDEX($FK$325:$ID$396,GM$169,1+SwaptionShift):INDEX($FK$325:$ID$396,GM$169,SwaptionMonthsToGo+SwaptionShift))))))</f>
        <v/>
      </c>
      <c r="GN194" s="479" t="str">
        <f ca="1">IF(OR(GN$169&lt;SwaptionFirstMonthPosition+1,$FJ194&lt;SwaptionFirstMonthPosition+1,GN$169&gt;SwaptionFirstMonthPosition+SwaptionNumOfMonths+1,$FJ194&gt;SwaptionFirstMonthPosition+SwaptionNumOfMonths+1),"",IF($FJ194=GN$169,1,IF($FJ194&lt;GN$169,INDEX($FK$170:$ID$241,GN$169,$FJ194),SUMPRODUCT(INDEX($FK$325:$ID$396,GN$169,1+SwaptionShift):INDEX($FK$325:$ID$396,GN$169,SwaptionMonthsToGo+SwaptionShift),INDEX($FK$245:$ID$316,$FJ194-GN$169,73-GN$169+SwaptionShift):INDEX($FK$245:$ID$316,$FJ194-GN$169,72-GN$169+SwaptionMonthsToGo+SwaptionShift))/SQRT(SUM(INDEX($FK349:$ID349,1+SwaptionShift):INDEX($FK349:$ID349,SwaptionMonthsToGo+SwaptionShift))*SUM(INDEX($FK$325:$ID$396,GN$169,1+SwaptionShift):INDEX($FK$325:$ID$396,GN$169,SwaptionMonthsToGo+SwaptionShift))))))</f>
        <v/>
      </c>
      <c r="GO194" s="479" t="str">
        <f ca="1">IF(OR(GO$169&lt;SwaptionFirstMonthPosition+1,$FJ194&lt;SwaptionFirstMonthPosition+1,GO$169&gt;SwaptionFirstMonthPosition+SwaptionNumOfMonths+1,$FJ194&gt;SwaptionFirstMonthPosition+SwaptionNumOfMonths+1),"",IF($FJ194=GO$169,1,IF($FJ194&lt;GO$169,INDEX($FK$170:$ID$241,GO$169,$FJ194),SUMPRODUCT(INDEX($FK$325:$ID$396,GO$169,1+SwaptionShift):INDEX($FK$325:$ID$396,GO$169,SwaptionMonthsToGo+SwaptionShift),INDEX($FK$245:$ID$316,$FJ194-GO$169,73-GO$169+SwaptionShift):INDEX($FK$245:$ID$316,$FJ194-GO$169,72-GO$169+SwaptionMonthsToGo+SwaptionShift))/SQRT(SUM(INDEX($FK349:$ID349,1+SwaptionShift):INDEX($FK349:$ID349,SwaptionMonthsToGo+SwaptionShift))*SUM(INDEX($FK$325:$ID$396,GO$169,1+SwaptionShift):INDEX($FK$325:$ID$396,GO$169,SwaptionMonthsToGo+SwaptionShift))))))</f>
        <v/>
      </c>
      <c r="GP194" s="479" t="str">
        <f ca="1">IF(OR(GP$169&lt;SwaptionFirstMonthPosition+1,$FJ194&lt;SwaptionFirstMonthPosition+1,GP$169&gt;SwaptionFirstMonthPosition+SwaptionNumOfMonths+1,$FJ194&gt;SwaptionFirstMonthPosition+SwaptionNumOfMonths+1),"",IF($FJ194=GP$169,1,IF($FJ194&lt;GP$169,INDEX($FK$170:$ID$241,GP$169,$FJ194),SUMPRODUCT(INDEX($FK$325:$ID$396,GP$169,1+SwaptionShift):INDEX($FK$325:$ID$396,GP$169,SwaptionMonthsToGo+SwaptionShift),INDEX($FK$245:$ID$316,$FJ194-GP$169,73-GP$169+SwaptionShift):INDEX($FK$245:$ID$316,$FJ194-GP$169,72-GP$169+SwaptionMonthsToGo+SwaptionShift))/SQRT(SUM(INDEX($FK349:$ID349,1+SwaptionShift):INDEX($FK349:$ID349,SwaptionMonthsToGo+SwaptionShift))*SUM(INDEX($FK$325:$ID$396,GP$169,1+SwaptionShift):INDEX($FK$325:$ID$396,GP$169,SwaptionMonthsToGo+SwaptionShift))))))</f>
        <v/>
      </c>
      <c r="GQ194" s="479" t="str">
        <f ca="1">IF(OR(GQ$169&lt;SwaptionFirstMonthPosition+1,$FJ194&lt;SwaptionFirstMonthPosition+1,GQ$169&gt;SwaptionFirstMonthPosition+SwaptionNumOfMonths+1,$FJ194&gt;SwaptionFirstMonthPosition+SwaptionNumOfMonths+1),"",IF($FJ194=GQ$169,1,IF($FJ194&lt;GQ$169,INDEX($FK$170:$ID$241,GQ$169,$FJ194),SUMPRODUCT(INDEX($FK$325:$ID$396,GQ$169,1+SwaptionShift):INDEX($FK$325:$ID$396,GQ$169,SwaptionMonthsToGo+SwaptionShift),INDEX($FK$245:$ID$316,$FJ194-GQ$169,73-GQ$169+SwaptionShift):INDEX($FK$245:$ID$316,$FJ194-GQ$169,72-GQ$169+SwaptionMonthsToGo+SwaptionShift))/SQRT(SUM(INDEX($FK349:$ID349,1+SwaptionShift):INDEX($FK349:$ID349,SwaptionMonthsToGo+SwaptionShift))*SUM(INDEX($FK$325:$ID$396,GQ$169,1+SwaptionShift):INDEX($FK$325:$ID$396,GQ$169,SwaptionMonthsToGo+SwaptionShift))))))</f>
        <v/>
      </c>
      <c r="GR194" s="479" t="str">
        <f ca="1">IF(OR(GR$169&lt;SwaptionFirstMonthPosition+1,$FJ194&lt;SwaptionFirstMonthPosition+1,GR$169&gt;SwaptionFirstMonthPosition+SwaptionNumOfMonths+1,$FJ194&gt;SwaptionFirstMonthPosition+SwaptionNumOfMonths+1),"",IF($FJ194=GR$169,1,IF($FJ194&lt;GR$169,INDEX($FK$170:$ID$241,GR$169,$FJ194),SUMPRODUCT(INDEX($FK$325:$ID$396,GR$169,1+SwaptionShift):INDEX($FK$325:$ID$396,GR$169,SwaptionMonthsToGo+SwaptionShift),INDEX($FK$245:$ID$316,$FJ194-GR$169,73-GR$169+SwaptionShift):INDEX($FK$245:$ID$316,$FJ194-GR$169,72-GR$169+SwaptionMonthsToGo+SwaptionShift))/SQRT(SUM(INDEX($FK349:$ID349,1+SwaptionShift):INDEX($FK349:$ID349,SwaptionMonthsToGo+SwaptionShift))*SUM(INDEX($FK$325:$ID$396,GR$169,1+SwaptionShift):INDEX($FK$325:$ID$396,GR$169,SwaptionMonthsToGo+SwaptionShift))))))</f>
        <v/>
      </c>
      <c r="GS194" s="479" t="str">
        <f ca="1">IF(OR(GS$169&lt;SwaptionFirstMonthPosition+1,$FJ194&lt;SwaptionFirstMonthPosition+1,GS$169&gt;SwaptionFirstMonthPosition+SwaptionNumOfMonths+1,$FJ194&gt;SwaptionFirstMonthPosition+SwaptionNumOfMonths+1),"",IF($FJ194=GS$169,1,IF($FJ194&lt;GS$169,INDEX($FK$170:$ID$241,GS$169,$FJ194),SUMPRODUCT(INDEX($FK$325:$ID$396,GS$169,1+SwaptionShift):INDEX($FK$325:$ID$396,GS$169,SwaptionMonthsToGo+SwaptionShift),INDEX($FK$245:$ID$316,$FJ194-GS$169,73-GS$169+SwaptionShift):INDEX($FK$245:$ID$316,$FJ194-GS$169,72-GS$169+SwaptionMonthsToGo+SwaptionShift))/SQRT(SUM(INDEX($FK349:$ID349,1+SwaptionShift):INDEX($FK349:$ID349,SwaptionMonthsToGo+SwaptionShift))*SUM(INDEX($FK$325:$ID$396,GS$169,1+SwaptionShift):INDEX($FK$325:$ID$396,GS$169,SwaptionMonthsToGo+SwaptionShift))))))</f>
        <v/>
      </c>
      <c r="GT194" s="479" t="str">
        <f ca="1">IF(OR(GT$169&lt;SwaptionFirstMonthPosition+1,$FJ194&lt;SwaptionFirstMonthPosition+1,GT$169&gt;SwaptionFirstMonthPosition+SwaptionNumOfMonths+1,$FJ194&gt;SwaptionFirstMonthPosition+SwaptionNumOfMonths+1),"",IF($FJ194=GT$169,1,IF($FJ194&lt;GT$169,INDEX($FK$170:$ID$241,GT$169,$FJ194),SUMPRODUCT(INDEX($FK$325:$ID$396,GT$169,1+SwaptionShift):INDEX($FK$325:$ID$396,GT$169,SwaptionMonthsToGo+SwaptionShift),INDEX($FK$245:$ID$316,$FJ194-GT$169,73-GT$169+SwaptionShift):INDEX($FK$245:$ID$316,$FJ194-GT$169,72-GT$169+SwaptionMonthsToGo+SwaptionShift))/SQRT(SUM(INDEX($FK349:$ID349,1+SwaptionShift):INDEX($FK349:$ID349,SwaptionMonthsToGo+SwaptionShift))*SUM(INDEX($FK$325:$ID$396,GT$169,1+SwaptionShift):INDEX($FK$325:$ID$396,GT$169,SwaptionMonthsToGo+SwaptionShift))))))</f>
        <v/>
      </c>
      <c r="GU194" s="479" t="str">
        <f ca="1">IF(OR(GU$169&lt;SwaptionFirstMonthPosition+1,$FJ194&lt;SwaptionFirstMonthPosition+1,GU$169&gt;SwaptionFirstMonthPosition+SwaptionNumOfMonths+1,$FJ194&gt;SwaptionFirstMonthPosition+SwaptionNumOfMonths+1),"",IF($FJ194=GU$169,1,IF($FJ194&lt;GU$169,INDEX($FK$170:$ID$241,GU$169,$FJ194),SUMPRODUCT(INDEX($FK$325:$ID$396,GU$169,1+SwaptionShift):INDEX($FK$325:$ID$396,GU$169,SwaptionMonthsToGo+SwaptionShift),INDEX($FK$245:$ID$316,$FJ194-GU$169,73-GU$169+SwaptionShift):INDEX($FK$245:$ID$316,$FJ194-GU$169,72-GU$169+SwaptionMonthsToGo+SwaptionShift))/SQRT(SUM(INDEX($FK349:$ID349,1+SwaptionShift):INDEX($FK349:$ID349,SwaptionMonthsToGo+SwaptionShift))*SUM(INDEX($FK$325:$ID$396,GU$169,1+SwaptionShift):INDEX($FK$325:$ID$396,GU$169,SwaptionMonthsToGo+SwaptionShift))))))</f>
        <v/>
      </c>
      <c r="GV194" s="479" t="str">
        <f ca="1">IF(OR(GV$169&lt;SwaptionFirstMonthPosition+1,$FJ194&lt;SwaptionFirstMonthPosition+1,GV$169&gt;SwaptionFirstMonthPosition+SwaptionNumOfMonths+1,$FJ194&gt;SwaptionFirstMonthPosition+SwaptionNumOfMonths+1),"",IF($FJ194=GV$169,1,IF($FJ194&lt;GV$169,INDEX($FK$170:$ID$241,GV$169,$FJ194),SUMPRODUCT(INDEX($FK$325:$ID$396,GV$169,1+SwaptionShift):INDEX($FK$325:$ID$396,GV$169,SwaptionMonthsToGo+SwaptionShift),INDEX($FK$245:$ID$316,$FJ194-GV$169,73-GV$169+SwaptionShift):INDEX($FK$245:$ID$316,$FJ194-GV$169,72-GV$169+SwaptionMonthsToGo+SwaptionShift))/SQRT(SUM(INDEX($FK349:$ID349,1+SwaptionShift):INDEX($FK349:$ID349,SwaptionMonthsToGo+SwaptionShift))*SUM(INDEX($FK$325:$ID$396,GV$169,1+SwaptionShift):INDEX($FK$325:$ID$396,GV$169,SwaptionMonthsToGo+SwaptionShift))))))</f>
        <v/>
      </c>
      <c r="GW194" s="479" t="str">
        <f ca="1">IF(OR(GW$169&lt;SwaptionFirstMonthPosition+1,$FJ194&lt;SwaptionFirstMonthPosition+1,GW$169&gt;SwaptionFirstMonthPosition+SwaptionNumOfMonths+1,$FJ194&gt;SwaptionFirstMonthPosition+SwaptionNumOfMonths+1),"",IF($FJ194=GW$169,1,IF($FJ194&lt;GW$169,INDEX($FK$170:$ID$241,GW$169,$FJ194),SUMPRODUCT(INDEX($FK$325:$ID$396,GW$169,1+SwaptionShift):INDEX($FK$325:$ID$396,GW$169,SwaptionMonthsToGo+SwaptionShift),INDEX($FK$245:$ID$316,$FJ194-GW$169,73-GW$169+SwaptionShift):INDEX($FK$245:$ID$316,$FJ194-GW$169,72-GW$169+SwaptionMonthsToGo+SwaptionShift))/SQRT(SUM(INDEX($FK349:$ID349,1+SwaptionShift):INDEX($FK349:$ID349,SwaptionMonthsToGo+SwaptionShift))*SUM(INDEX($FK$325:$ID$396,GW$169,1+SwaptionShift):INDEX($FK$325:$ID$396,GW$169,SwaptionMonthsToGo+SwaptionShift))))))</f>
        <v/>
      </c>
      <c r="GX194" s="479" t="str">
        <f ca="1">IF(OR(GX$169&lt;SwaptionFirstMonthPosition+1,$FJ194&lt;SwaptionFirstMonthPosition+1,GX$169&gt;SwaptionFirstMonthPosition+SwaptionNumOfMonths+1,$FJ194&gt;SwaptionFirstMonthPosition+SwaptionNumOfMonths+1),"",IF($FJ194=GX$169,1,IF($FJ194&lt;GX$169,INDEX($FK$170:$ID$241,GX$169,$FJ194),SUMPRODUCT(INDEX($FK$325:$ID$396,GX$169,1+SwaptionShift):INDEX($FK$325:$ID$396,GX$169,SwaptionMonthsToGo+SwaptionShift),INDEX($FK$245:$ID$316,$FJ194-GX$169,73-GX$169+SwaptionShift):INDEX($FK$245:$ID$316,$FJ194-GX$169,72-GX$169+SwaptionMonthsToGo+SwaptionShift))/SQRT(SUM(INDEX($FK349:$ID349,1+SwaptionShift):INDEX($FK349:$ID349,SwaptionMonthsToGo+SwaptionShift))*SUM(INDEX($FK$325:$ID$396,GX$169,1+SwaptionShift):INDEX($FK$325:$ID$396,GX$169,SwaptionMonthsToGo+SwaptionShift))))))</f>
        <v/>
      </c>
      <c r="GY194" s="479" t="str">
        <f ca="1">IF(OR(GY$169&lt;SwaptionFirstMonthPosition+1,$FJ194&lt;SwaptionFirstMonthPosition+1,GY$169&gt;SwaptionFirstMonthPosition+SwaptionNumOfMonths+1,$FJ194&gt;SwaptionFirstMonthPosition+SwaptionNumOfMonths+1),"",IF($FJ194=GY$169,1,IF($FJ194&lt;GY$169,INDEX($FK$170:$ID$241,GY$169,$FJ194),SUMPRODUCT(INDEX($FK$325:$ID$396,GY$169,1+SwaptionShift):INDEX($FK$325:$ID$396,GY$169,SwaptionMonthsToGo+SwaptionShift),INDEX($FK$245:$ID$316,$FJ194-GY$169,73-GY$169+SwaptionShift):INDEX($FK$245:$ID$316,$FJ194-GY$169,72-GY$169+SwaptionMonthsToGo+SwaptionShift))/SQRT(SUM(INDEX($FK349:$ID349,1+SwaptionShift):INDEX($FK349:$ID349,SwaptionMonthsToGo+SwaptionShift))*SUM(INDEX($FK$325:$ID$396,GY$169,1+SwaptionShift):INDEX($FK$325:$ID$396,GY$169,SwaptionMonthsToGo+SwaptionShift))))))</f>
        <v/>
      </c>
      <c r="GZ194" s="479" t="str">
        <f ca="1">IF(OR(GZ$169&lt;SwaptionFirstMonthPosition+1,$FJ194&lt;SwaptionFirstMonthPosition+1,GZ$169&gt;SwaptionFirstMonthPosition+SwaptionNumOfMonths+1,$FJ194&gt;SwaptionFirstMonthPosition+SwaptionNumOfMonths+1),"",IF($FJ194=GZ$169,1,IF($FJ194&lt;GZ$169,INDEX($FK$170:$ID$241,GZ$169,$FJ194),SUMPRODUCT(INDEX($FK$325:$ID$396,GZ$169,1+SwaptionShift):INDEX($FK$325:$ID$396,GZ$169,SwaptionMonthsToGo+SwaptionShift),INDEX($FK$245:$ID$316,$FJ194-GZ$169,73-GZ$169+SwaptionShift):INDEX($FK$245:$ID$316,$FJ194-GZ$169,72-GZ$169+SwaptionMonthsToGo+SwaptionShift))/SQRT(SUM(INDEX($FK349:$ID349,1+SwaptionShift):INDEX($FK349:$ID349,SwaptionMonthsToGo+SwaptionShift))*SUM(INDEX($FK$325:$ID$396,GZ$169,1+SwaptionShift):INDEX($FK$325:$ID$396,GZ$169,SwaptionMonthsToGo+SwaptionShift))))))</f>
        <v/>
      </c>
      <c r="HA194" s="479" t="str">
        <f ca="1">IF(OR(HA$169&lt;SwaptionFirstMonthPosition+1,$FJ194&lt;SwaptionFirstMonthPosition+1,HA$169&gt;SwaptionFirstMonthPosition+SwaptionNumOfMonths+1,$FJ194&gt;SwaptionFirstMonthPosition+SwaptionNumOfMonths+1),"",IF($FJ194=HA$169,1,IF($FJ194&lt;HA$169,INDEX($FK$170:$ID$241,HA$169,$FJ194),SUMPRODUCT(INDEX($FK$325:$ID$396,HA$169,1+SwaptionShift):INDEX($FK$325:$ID$396,HA$169,SwaptionMonthsToGo+SwaptionShift),INDEX($FK$245:$ID$316,$FJ194-HA$169,73-HA$169+SwaptionShift):INDEX($FK$245:$ID$316,$FJ194-HA$169,72-HA$169+SwaptionMonthsToGo+SwaptionShift))/SQRT(SUM(INDEX($FK349:$ID349,1+SwaptionShift):INDEX($FK349:$ID349,SwaptionMonthsToGo+SwaptionShift))*SUM(INDEX($FK$325:$ID$396,HA$169,1+SwaptionShift):INDEX($FK$325:$ID$396,HA$169,SwaptionMonthsToGo+SwaptionShift))))))</f>
        <v/>
      </c>
      <c r="HB194" s="479" t="str">
        <f ca="1">IF(OR(HB$169&lt;SwaptionFirstMonthPosition+1,$FJ194&lt;SwaptionFirstMonthPosition+1,HB$169&gt;SwaptionFirstMonthPosition+SwaptionNumOfMonths+1,$FJ194&gt;SwaptionFirstMonthPosition+SwaptionNumOfMonths+1),"",IF($FJ194=HB$169,1,IF($FJ194&lt;HB$169,INDEX($FK$170:$ID$241,HB$169,$FJ194),SUMPRODUCT(INDEX($FK$325:$ID$396,HB$169,1+SwaptionShift):INDEX($FK$325:$ID$396,HB$169,SwaptionMonthsToGo+SwaptionShift),INDEX($FK$245:$ID$316,$FJ194-HB$169,73-HB$169+SwaptionShift):INDEX($FK$245:$ID$316,$FJ194-HB$169,72-HB$169+SwaptionMonthsToGo+SwaptionShift))/SQRT(SUM(INDEX($FK349:$ID349,1+SwaptionShift):INDEX($FK349:$ID349,SwaptionMonthsToGo+SwaptionShift))*SUM(INDEX($FK$325:$ID$396,HB$169,1+SwaptionShift):INDEX($FK$325:$ID$396,HB$169,SwaptionMonthsToGo+SwaptionShift))))))</f>
        <v/>
      </c>
      <c r="HC194" s="479" t="str">
        <f ca="1">IF(OR(HC$169&lt;SwaptionFirstMonthPosition+1,$FJ194&lt;SwaptionFirstMonthPosition+1,HC$169&gt;SwaptionFirstMonthPosition+SwaptionNumOfMonths+1,$FJ194&gt;SwaptionFirstMonthPosition+SwaptionNumOfMonths+1),"",IF($FJ194=HC$169,1,IF($FJ194&lt;HC$169,INDEX($FK$170:$ID$241,HC$169,$FJ194),SUMPRODUCT(INDEX($FK$325:$ID$396,HC$169,1+SwaptionShift):INDEX($FK$325:$ID$396,HC$169,SwaptionMonthsToGo+SwaptionShift),INDEX($FK$245:$ID$316,$FJ194-HC$169,73-HC$169+SwaptionShift):INDEX($FK$245:$ID$316,$FJ194-HC$169,72-HC$169+SwaptionMonthsToGo+SwaptionShift))/SQRT(SUM(INDEX($FK349:$ID349,1+SwaptionShift):INDEX($FK349:$ID349,SwaptionMonthsToGo+SwaptionShift))*SUM(INDEX($FK$325:$ID$396,HC$169,1+SwaptionShift):INDEX($FK$325:$ID$396,HC$169,SwaptionMonthsToGo+SwaptionShift))))))</f>
        <v/>
      </c>
      <c r="HD194" s="479" t="str">
        <f ca="1">IF(OR(HD$169&lt;SwaptionFirstMonthPosition+1,$FJ194&lt;SwaptionFirstMonthPosition+1,HD$169&gt;SwaptionFirstMonthPosition+SwaptionNumOfMonths+1,$FJ194&gt;SwaptionFirstMonthPosition+SwaptionNumOfMonths+1),"",IF($FJ194=HD$169,1,IF($FJ194&lt;HD$169,INDEX($FK$170:$ID$241,HD$169,$FJ194),SUMPRODUCT(INDEX($FK$325:$ID$396,HD$169,1+SwaptionShift):INDEX($FK$325:$ID$396,HD$169,SwaptionMonthsToGo+SwaptionShift),INDEX($FK$245:$ID$316,$FJ194-HD$169,73-HD$169+SwaptionShift):INDEX($FK$245:$ID$316,$FJ194-HD$169,72-HD$169+SwaptionMonthsToGo+SwaptionShift))/SQRT(SUM(INDEX($FK349:$ID349,1+SwaptionShift):INDEX($FK349:$ID349,SwaptionMonthsToGo+SwaptionShift))*SUM(INDEX($FK$325:$ID$396,HD$169,1+SwaptionShift):INDEX($FK$325:$ID$396,HD$169,SwaptionMonthsToGo+SwaptionShift))))))</f>
        <v/>
      </c>
      <c r="HE194" s="479" t="str">
        <f ca="1">IF(OR(HE$169&lt;SwaptionFirstMonthPosition+1,$FJ194&lt;SwaptionFirstMonthPosition+1,HE$169&gt;SwaptionFirstMonthPosition+SwaptionNumOfMonths+1,$FJ194&gt;SwaptionFirstMonthPosition+SwaptionNumOfMonths+1),"",IF($FJ194=HE$169,1,IF($FJ194&lt;HE$169,INDEX($FK$170:$ID$241,HE$169,$FJ194),SUMPRODUCT(INDEX($FK$325:$ID$396,HE$169,1+SwaptionShift):INDEX($FK$325:$ID$396,HE$169,SwaptionMonthsToGo+SwaptionShift),INDEX($FK$245:$ID$316,$FJ194-HE$169,73-HE$169+SwaptionShift):INDEX($FK$245:$ID$316,$FJ194-HE$169,72-HE$169+SwaptionMonthsToGo+SwaptionShift))/SQRT(SUM(INDEX($FK349:$ID349,1+SwaptionShift):INDEX($FK349:$ID349,SwaptionMonthsToGo+SwaptionShift))*SUM(INDEX($FK$325:$ID$396,HE$169,1+SwaptionShift):INDEX($FK$325:$ID$396,HE$169,SwaptionMonthsToGo+SwaptionShift))))))</f>
        <v/>
      </c>
      <c r="HF194" s="479" t="str">
        <f ca="1">IF(OR(HF$169&lt;SwaptionFirstMonthPosition+1,$FJ194&lt;SwaptionFirstMonthPosition+1,HF$169&gt;SwaptionFirstMonthPosition+SwaptionNumOfMonths+1,$FJ194&gt;SwaptionFirstMonthPosition+SwaptionNumOfMonths+1),"",IF($FJ194=HF$169,1,IF($FJ194&lt;HF$169,INDEX($FK$170:$ID$241,HF$169,$FJ194),SUMPRODUCT(INDEX($FK$325:$ID$396,HF$169,1+SwaptionShift):INDEX($FK$325:$ID$396,HF$169,SwaptionMonthsToGo+SwaptionShift),INDEX($FK$245:$ID$316,$FJ194-HF$169,73-HF$169+SwaptionShift):INDEX($FK$245:$ID$316,$FJ194-HF$169,72-HF$169+SwaptionMonthsToGo+SwaptionShift))/SQRT(SUM(INDEX($FK349:$ID349,1+SwaptionShift):INDEX($FK349:$ID349,SwaptionMonthsToGo+SwaptionShift))*SUM(INDEX($FK$325:$ID$396,HF$169,1+SwaptionShift):INDEX($FK$325:$ID$396,HF$169,SwaptionMonthsToGo+SwaptionShift))))))</f>
        <v/>
      </c>
      <c r="HG194" s="479" t="str">
        <f ca="1">IF(OR(HG$169&lt;SwaptionFirstMonthPosition+1,$FJ194&lt;SwaptionFirstMonthPosition+1,HG$169&gt;SwaptionFirstMonthPosition+SwaptionNumOfMonths+1,$FJ194&gt;SwaptionFirstMonthPosition+SwaptionNumOfMonths+1),"",IF($FJ194=HG$169,1,IF($FJ194&lt;HG$169,INDEX($FK$170:$ID$241,HG$169,$FJ194),SUMPRODUCT(INDEX($FK$325:$ID$396,HG$169,1+SwaptionShift):INDEX($FK$325:$ID$396,HG$169,SwaptionMonthsToGo+SwaptionShift),INDEX($FK$245:$ID$316,$FJ194-HG$169,73-HG$169+SwaptionShift):INDEX($FK$245:$ID$316,$FJ194-HG$169,72-HG$169+SwaptionMonthsToGo+SwaptionShift))/SQRT(SUM(INDEX($FK349:$ID349,1+SwaptionShift):INDEX($FK349:$ID349,SwaptionMonthsToGo+SwaptionShift))*SUM(INDEX($FK$325:$ID$396,HG$169,1+SwaptionShift):INDEX($FK$325:$ID$396,HG$169,SwaptionMonthsToGo+SwaptionShift))))))</f>
        <v/>
      </c>
      <c r="HH194" s="479" t="str">
        <f ca="1">IF(OR(HH$169&lt;SwaptionFirstMonthPosition+1,$FJ194&lt;SwaptionFirstMonthPosition+1,HH$169&gt;SwaptionFirstMonthPosition+SwaptionNumOfMonths+1,$FJ194&gt;SwaptionFirstMonthPosition+SwaptionNumOfMonths+1),"",IF($FJ194=HH$169,1,IF($FJ194&lt;HH$169,INDEX($FK$170:$ID$241,HH$169,$FJ194),SUMPRODUCT(INDEX($FK$325:$ID$396,HH$169,1+SwaptionShift):INDEX($FK$325:$ID$396,HH$169,SwaptionMonthsToGo+SwaptionShift),INDEX($FK$245:$ID$316,$FJ194-HH$169,73-HH$169+SwaptionShift):INDEX($FK$245:$ID$316,$FJ194-HH$169,72-HH$169+SwaptionMonthsToGo+SwaptionShift))/SQRT(SUM(INDEX($FK349:$ID349,1+SwaptionShift):INDEX($FK349:$ID349,SwaptionMonthsToGo+SwaptionShift))*SUM(INDEX($FK$325:$ID$396,HH$169,1+SwaptionShift):INDEX($FK$325:$ID$396,HH$169,SwaptionMonthsToGo+SwaptionShift))))))</f>
        <v/>
      </c>
      <c r="HI194" s="479" t="str">
        <f ca="1">IF(OR(HI$169&lt;SwaptionFirstMonthPosition+1,$FJ194&lt;SwaptionFirstMonthPosition+1,HI$169&gt;SwaptionFirstMonthPosition+SwaptionNumOfMonths+1,$FJ194&gt;SwaptionFirstMonthPosition+SwaptionNumOfMonths+1),"",IF($FJ194=HI$169,1,IF($FJ194&lt;HI$169,INDEX($FK$170:$ID$241,HI$169,$FJ194),SUMPRODUCT(INDEX($FK$325:$ID$396,HI$169,1+SwaptionShift):INDEX($FK$325:$ID$396,HI$169,SwaptionMonthsToGo+SwaptionShift),INDEX($FK$245:$ID$316,$FJ194-HI$169,73-HI$169+SwaptionShift):INDEX($FK$245:$ID$316,$FJ194-HI$169,72-HI$169+SwaptionMonthsToGo+SwaptionShift))/SQRT(SUM(INDEX($FK349:$ID349,1+SwaptionShift):INDEX($FK349:$ID349,SwaptionMonthsToGo+SwaptionShift))*SUM(INDEX($FK$325:$ID$396,HI$169,1+SwaptionShift):INDEX($FK$325:$ID$396,HI$169,SwaptionMonthsToGo+SwaptionShift))))))</f>
        <v/>
      </c>
      <c r="HJ194" s="479" t="str">
        <f ca="1">IF(OR(HJ$169&lt;SwaptionFirstMonthPosition+1,$FJ194&lt;SwaptionFirstMonthPosition+1,HJ$169&gt;SwaptionFirstMonthPosition+SwaptionNumOfMonths+1,$FJ194&gt;SwaptionFirstMonthPosition+SwaptionNumOfMonths+1),"",IF($FJ194=HJ$169,1,IF($FJ194&lt;HJ$169,INDEX($FK$170:$ID$241,HJ$169,$FJ194),SUMPRODUCT(INDEX($FK$325:$ID$396,HJ$169,1+SwaptionShift):INDEX($FK$325:$ID$396,HJ$169,SwaptionMonthsToGo+SwaptionShift),INDEX($FK$245:$ID$316,$FJ194-HJ$169,73-HJ$169+SwaptionShift):INDEX($FK$245:$ID$316,$FJ194-HJ$169,72-HJ$169+SwaptionMonthsToGo+SwaptionShift))/SQRT(SUM(INDEX($FK349:$ID349,1+SwaptionShift):INDEX($FK349:$ID349,SwaptionMonthsToGo+SwaptionShift))*SUM(INDEX($FK$325:$ID$396,HJ$169,1+SwaptionShift):INDEX($FK$325:$ID$396,HJ$169,SwaptionMonthsToGo+SwaptionShift))))))</f>
        <v/>
      </c>
      <c r="HK194" s="479" t="str">
        <f ca="1">IF(OR(HK$169&lt;SwaptionFirstMonthPosition+1,$FJ194&lt;SwaptionFirstMonthPosition+1,HK$169&gt;SwaptionFirstMonthPosition+SwaptionNumOfMonths+1,$FJ194&gt;SwaptionFirstMonthPosition+SwaptionNumOfMonths+1),"",IF($FJ194=HK$169,1,IF($FJ194&lt;HK$169,INDEX($FK$170:$ID$241,HK$169,$FJ194),SUMPRODUCT(INDEX($FK$325:$ID$396,HK$169,1+SwaptionShift):INDEX($FK$325:$ID$396,HK$169,SwaptionMonthsToGo+SwaptionShift),INDEX($FK$245:$ID$316,$FJ194-HK$169,73-HK$169+SwaptionShift):INDEX($FK$245:$ID$316,$FJ194-HK$169,72-HK$169+SwaptionMonthsToGo+SwaptionShift))/SQRT(SUM(INDEX($FK349:$ID349,1+SwaptionShift):INDEX($FK349:$ID349,SwaptionMonthsToGo+SwaptionShift))*SUM(INDEX($FK$325:$ID$396,HK$169,1+SwaptionShift):INDEX($FK$325:$ID$396,HK$169,SwaptionMonthsToGo+SwaptionShift))))))</f>
        <v/>
      </c>
      <c r="HL194" s="479" t="str">
        <f ca="1">IF(OR(HL$169&lt;SwaptionFirstMonthPosition+1,$FJ194&lt;SwaptionFirstMonthPosition+1,HL$169&gt;SwaptionFirstMonthPosition+SwaptionNumOfMonths+1,$FJ194&gt;SwaptionFirstMonthPosition+SwaptionNumOfMonths+1),"",IF($FJ194=HL$169,1,IF($FJ194&lt;HL$169,INDEX($FK$170:$ID$241,HL$169,$FJ194),SUMPRODUCT(INDEX($FK$325:$ID$396,HL$169,1+SwaptionShift):INDEX($FK$325:$ID$396,HL$169,SwaptionMonthsToGo+SwaptionShift),INDEX($FK$245:$ID$316,$FJ194-HL$169,73-HL$169+SwaptionShift):INDEX($FK$245:$ID$316,$FJ194-HL$169,72-HL$169+SwaptionMonthsToGo+SwaptionShift))/SQRT(SUM(INDEX($FK349:$ID349,1+SwaptionShift):INDEX($FK349:$ID349,SwaptionMonthsToGo+SwaptionShift))*SUM(INDEX($FK$325:$ID$396,HL$169,1+SwaptionShift):INDEX($FK$325:$ID$396,HL$169,SwaptionMonthsToGo+SwaptionShift))))))</f>
        <v/>
      </c>
      <c r="HM194" s="479" t="str">
        <f ca="1">IF(OR(HM$169&lt;SwaptionFirstMonthPosition+1,$FJ194&lt;SwaptionFirstMonthPosition+1,HM$169&gt;SwaptionFirstMonthPosition+SwaptionNumOfMonths+1,$FJ194&gt;SwaptionFirstMonthPosition+SwaptionNumOfMonths+1),"",IF($FJ194=HM$169,1,IF($FJ194&lt;HM$169,INDEX($FK$170:$ID$241,HM$169,$FJ194),SUMPRODUCT(INDEX($FK$325:$ID$396,HM$169,1+SwaptionShift):INDEX($FK$325:$ID$396,HM$169,SwaptionMonthsToGo+SwaptionShift),INDEX($FK$245:$ID$316,$FJ194-HM$169,73-HM$169+SwaptionShift):INDEX($FK$245:$ID$316,$FJ194-HM$169,72-HM$169+SwaptionMonthsToGo+SwaptionShift))/SQRT(SUM(INDEX($FK349:$ID349,1+SwaptionShift):INDEX($FK349:$ID349,SwaptionMonthsToGo+SwaptionShift))*SUM(INDEX($FK$325:$ID$396,HM$169,1+SwaptionShift):INDEX($FK$325:$ID$396,HM$169,SwaptionMonthsToGo+SwaptionShift))))))</f>
        <v/>
      </c>
      <c r="HN194" s="479" t="str">
        <f ca="1">IF(OR(HN$169&lt;SwaptionFirstMonthPosition+1,$FJ194&lt;SwaptionFirstMonthPosition+1,HN$169&gt;SwaptionFirstMonthPosition+SwaptionNumOfMonths+1,$FJ194&gt;SwaptionFirstMonthPosition+SwaptionNumOfMonths+1),"",IF($FJ194=HN$169,1,IF($FJ194&lt;HN$169,INDEX($FK$170:$ID$241,HN$169,$FJ194),SUMPRODUCT(INDEX($FK$325:$ID$396,HN$169,1+SwaptionShift):INDEX($FK$325:$ID$396,HN$169,SwaptionMonthsToGo+SwaptionShift),INDEX($FK$245:$ID$316,$FJ194-HN$169,73-HN$169+SwaptionShift):INDEX($FK$245:$ID$316,$FJ194-HN$169,72-HN$169+SwaptionMonthsToGo+SwaptionShift))/SQRT(SUM(INDEX($FK349:$ID349,1+SwaptionShift):INDEX($FK349:$ID349,SwaptionMonthsToGo+SwaptionShift))*SUM(INDEX($FK$325:$ID$396,HN$169,1+SwaptionShift):INDEX($FK$325:$ID$396,HN$169,SwaptionMonthsToGo+SwaptionShift))))))</f>
        <v/>
      </c>
      <c r="HO194" s="479" t="str">
        <f ca="1">IF(OR(HO$169&lt;SwaptionFirstMonthPosition+1,$FJ194&lt;SwaptionFirstMonthPosition+1,HO$169&gt;SwaptionFirstMonthPosition+SwaptionNumOfMonths+1,$FJ194&gt;SwaptionFirstMonthPosition+SwaptionNumOfMonths+1),"",IF($FJ194=HO$169,1,IF($FJ194&lt;HO$169,INDEX($FK$170:$ID$241,HO$169,$FJ194),SUMPRODUCT(INDEX($FK$325:$ID$396,HO$169,1+SwaptionShift):INDEX($FK$325:$ID$396,HO$169,SwaptionMonthsToGo+SwaptionShift),INDEX($FK$245:$ID$316,$FJ194-HO$169,73-HO$169+SwaptionShift):INDEX($FK$245:$ID$316,$FJ194-HO$169,72-HO$169+SwaptionMonthsToGo+SwaptionShift))/SQRT(SUM(INDEX($FK349:$ID349,1+SwaptionShift):INDEX($FK349:$ID349,SwaptionMonthsToGo+SwaptionShift))*SUM(INDEX($FK$325:$ID$396,HO$169,1+SwaptionShift):INDEX($FK$325:$ID$396,HO$169,SwaptionMonthsToGo+SwaptionShift))))))</f>
        <v/>
      </c>
      <c r="HP194" s="479" t="str">
        <f ca="1">IF(OR(HP$169&lt;SwaptionFirstMonthPosition+1,$FJ194&lt;SwaptionFirstMonthPosition+1,HP$169&gt;SwaptionFirstMonthPosition+SwaptionNumOfMonths+1,$FJ194&gt;SwaptionFirstMonthPosition+SwaptionNumOfMonths+1),"",IF($FJ194=HP$169,1,IF($FJ194&lt;HP$169,INDEX($FK$170:$ID$241,HP$169,$FJ194),SUMPRODUCT(INDEX($FK$325:$ID$396,HP$169,1+SwaptionShift):INDEX($FK$325:$ID$396,HP$169,SwaptionMonthsToGo+SwaptionShift),INDEX($FK$245:$ID$316,$FJ194-HP$169,73-HP$169+SwaptionShift):INDEX($FK$245:$ID$316,$FJ194-HP$169,72-HP$169+SwaptionMonthsToGo+SwaptionShift))/SQRT(SUM(INDEX($FK349:$ID349,1+SwaptionShift):INDEX($FK349:$ID349,SwaptionMonthsToGo+SwaptionShift))*SUM(INDEX($FK$325:$ID$396,HP$169,1+SwaptionShift):INDEX($FK$325:$ID$396,HP$169,SwaptionMonthsToGo+SwaptionShift))))))</f>
        <v/>
      </c>
      <c r="HQ194" s="479" t="str">
        <f ca="1">IF(OR(HQ$169&lt;SwaptionFirstMonthPosition+1,$FJ194&lt;SwaptionFirstMonthPosition+1,HQ$169&gt;SwaptionFirstMonthPosition+SwaptionNumOfMonths+1,$FJ194&gt;SwaptionFirstMonthPosition+SwaptionNumOfMonths+1),"",IF($FJ194=HQ$169,1,IF($FJ194&lt;HQ$169,INDEX($FK$170:$ID$241,HQ$169,$FJ194),SUMPRODUCT(INDEX($FK$325:$ID$396,HQ$169,1+SwaptionShift):INDEX($FK$325:$ID$396,HQ$169,SwaptionMonthsToGo+SwaptionShift),INDEX($FK$245:$ID$316,$FJ194-HQ$169,73-HQ$169+SwaptionShift):INDEX($FK$245:$ID$316,$FJ194-HQ$169,72-HQ$169+SwaptionMonthsToGo+SwaptionShift))/SQRT(SUM(INDEX($FK349:$ID349,1+SwaptionShift):INDEX($FK349:$ID349,SwaptionMonthsToGo+SwaptionShift))*SUM(INDEX($FK$325:$ID$396,HQ$169,1+SwaptionShift):INDEX($FK$325:$ID$396,HQ$169,SwaptionMonthsToGo+SwaptionShift))))))</f>
        <v/>
      </c>
      <c r="HR194" s="479" t="str">
        <f ca="1">IF(OR(HR$169&lt;SwaptionFirstMonthPosition+1,$FJ194&lt;SwaptionFirstMonthPosition+1,HR$169&gt;SwaptionFirstMonthPosition+SwaptionNumOfMonths+1,$FJ194&gt;SwaptionFirstMonthPosition+SwaptionNumOfMonths+1),"",IF($FJ194=HR$169,1,IF($FJ194&lt;HR$169,INDEX($FK$170:$ID$241,HR$169,$FJ194),SUMPRODUCT(INDEX($FK$325:$ID$396,HR$169,1+SwaptionShift):INDEX($FK$325:$ID$396,HR$169,SwaptionMonthsToGo+SwaptionShift),INDEX($FK$245:$ID$316,$FJ194-HR$169,73-HR$169+SwaptionShift):INDEX($FK$245:$ID$316,$FJ194-HR$169,72-HR$169+SwaptionMonthsToGo+SwaptionShift))/SQRT(SUM(INDEX($FK349:$ID349,1+SwaptionShift):INDEX($FK349:$ID349,SwaptionMonthsToGo+SwaptionShift))*SUM(INDEX($FK$325:$ID$396,HR$169,1+SwaptionShift):INDEX($FK$325:$ID$396,HR$169,SwaptionMonthsToGo+SwaptionShift))))))</f>
        <v/>
      </c>
      <c r="HS194" s="479" t="str">
        <f ca="1">IF(OR(HS$169&lt;SwaptionFirstMonthPosition+1,$FJ194&lt;SwaptionFirstMonthPosition+1,HS$169&gt;SwaptionFirstMonthPosition+SwaptionNumOfMonths+1,$FJ194&gt;SwaptionFirstMonthPosition+SwaptionNumOfMonths+1),"",IF($FJ194=HS$169,1,IF($FJ194&lt;HS$169,INDEX($FK$170:$ID$241,HS$169,$FJ194),SUMPRODUCT(INDEX($FK$325:$ID$396,HS$169,1+SwaptionShift):INDEX($FK$325:$ID$396,HS$169,SwaptionMonthsToGo+SwaptionShift),INDEX($FK$245:$ID$316,$FJ194-HS$169,73-HS$169+SwaptionShift):INDEX($FK$245:$ID$316,$FJ194-HS$169,72-HS$169+SwaptionMonthsToGo+SwaptionShift))/SQRT(SUM(INDEX($FK349:$ID349,1+SwaptionShift):INDEX($FK349:$ID349,SwaptionMonthsToGo+SwaptionShift))*SUM(INDEX($FK$325:$ID$396,HS$169,1+SwaptionShift):INDEX($FK$325:$ID$396,HS$169,SwaptionMonthsToGo+SwaptionShift))))))</f>
        <v/>
      </c>
      <c r="HT194" s="479" t="str">
        <f ca="1">IF(OR(HT$169&lt;SwaptionFirstMonthPosition+1,$FJ194&lt;SwaptionFirstMonthPosition+1,HT$169&gt;SwaptionFirstMonthPosition+SwaptionNumOfMonths+1,$FJ194&gt;SwaptionFirstMonthPosition+SwaptionNumOfMonths+1),"",IF($FJ194=HT$169,1,IF($FJ194&lt;HT$169,INDEX($FK$170:$ID$241,HT$169,$FJ194),SUMPRODUCT(INDEX($FK$325:$ID$396,HT$169,1+SwaptionShift):INDEX($FK$325:$ID$396,HT$169,SwaptionMonthsToGo+SwaptionShift),INDEX($FK$245:$ID$316,$FJ194-HT$169,73-HT$169+SwaptionShift):INDEX($FK$245:$ID$316,$FJ194-HT$169,72-HT$169+SwaptionMonthsToGo+SwaptionShift))/SQRT(SUM(INDEX($FK349:$ID349,1+SwaptionShift):INDEX($FK349:$ID349,SwaptionMonthsToGo+SwaptionShift))*SUM(INDEX($FK$325:$ID$396,HT$169,1+SwaptionShift):INDEX($FK$325:$ID$396,HT$169,SwaptionMonthsToGo+SwaptionShift))))))</f>
        <v/>
      </c>
      <c r="HU194" s="479" t="str">
        <f ca="1">IF(OR(HU$169&lt;SwaptionFirstMonthPosition+1,$FJ194&lt;SwaptionFirstMonthPosition+1,HU$169&gt;SwaptionFirstMonthPosition+SwaptionNumOfMonths+1,$FJ194&gt;SwaptionFirstMonthPosition+SwaptionNumOfMonths+1),"",IF($FJ194=HU$169,1,IF($FJ194&lt;HU$169,INDEX($FK$170:$ID$241,HU$169,$FJ194),SUMPRODUCT(INDEX($FK$325:$ID$396,HU$169,1+SwaptionShift):INDEX($FK$325:$ID$396,HU$169,SwaptionMonthsToGo+SwaptionShift),INDEX($FK$245:$ID$316,$FJ194-HU$169,73-HU$169+SwaptionShift):INDEX($FK$245:$ID$316,$FJ194-HU$169,72-HU$169+SwaptionMonthsToGo+SwaptionShift))/SQRT(SUM(INDEX($FK349:$ID349,1+SwaptionShift):INDEX($FK349:$ID349,SwaptionMonthsToGo+SwaptionShift))*SUM(INDEX($FK$325:$ID$396,HU$169,1+SwaptionShift):INDEX($FK$325:$ID$396,HU$169,SwaptionMonthsToGo+SwaptionShift))))))</f>
        <v/>
      </c>
      <c r="HV194" s="479" t="str">
        <f ca="1">IF(OR(HV$169&lt;SwaptionFirstMonthPosition+1,$FJ194&lt;SwaptionFirstMonthPosition+1,HV$169&gt;SwaptionFirstMonthPosition+SwaptionNumOfMonths+1,$FJ194&gt;SwaptionFirstMonthPosition+SwaptionNumOfMonths+1),"",IF($FJ194=HV$169,1,IF($FJ194&lt;HV$169,INDEX($FK$170:$ID$241,HV$169,$FJ194),SUMPRODUCT(INDEX($FK$325:$ID$396,HV$169,1+SwaptionShift):INDEX($FK$325:$ID$396,HV$169,SwaptionMonthsToGo+SwaptionShift),INDEX($FK$245:$ID$316,$FJ194-HV$169,73-HV$169+SwaptionShift):INDEX($FK$245:$ID$316,$FJ194-HV$169,72-HV$169+SwaptionMonthsToGo+SwaptionShift))/SQRT(SUM(INDEX($FK349:$ID349,1+SwaptionShift):INDEX($FK349:$ID349,SwaptionMonthsToGo+SwaptionShift))*SUM(INDEX($FK$325:$ID$396,HV$169,1+SwaptionShift):INDEX($FK$325:$ID$396,HV$169,SwaptionMonthsToGo+SwaptionShift))))))</f>
        <v/>
      </c>
      <c r="HW194" s="479" t="str">
        <f ca="1">IF(OR(HW$169&lt;SwaptionFirstMonthPosition+1,$FJ194&lt;SwaptionFirstMonthPosition+1,HW$169&gt;SwaptionFirstMonthPosition+SwaptionNumOfMonths+1,$FJ194&gt;SwaptionFirstMonthPosition+SwaptionNumOfMonths+1),"",IF($FJ194=HW$169,1,IF($FJ194&lt;HW$169,INDEX($FK$170:$ID$241,HW$169,$FJ194),SUMPRODUCT(INDEX($FK$325:$ID$396,HW$169,1+SwaptionShift):INDEX($FK$325:$ID$396,HW$169,SwaptionMonthsToGo+SwaptionShift),INDEX($FK$245:$ID$316,$FJ194-HW$169,73-HW$169+SwaptionShift):INDEX($FK$245:$ID$316,$FJ194-HW$169,72-HW$169+SwaptionMonthsToGo+SwaptionShift))/SQRT(SUM(INDEX($FK349:$ID349,1+SwaptionShift):INDEX($FK349:$ID349,SwaptionMonthsToGo+SwaptionShift))*SUM(INDEX($FK$325:$ID$396,HW$169,1+SwaptionShift):INDEX($FK$325:$ID$396,HW$169,SwaptionMonthsToGo+SwaptionShift))))))</f>
        <v/>
      </c>
      <c r="HX194" s="479" t="str">
        <f ca="1">IF(OR(HX$169&lt;SwaptionFirstMonthPosition+1,$FJ194&lt;SwaptionFirstMonthPosition+1,HX$169&gt;SwaptionFirstMonthPosition+SwaptionNumOfMonths+1,$FJ194&gt;SwaptionFirstMonthPosition+SwaptionNumOfMonths+1),"",IF($FJ194=HX$169,1,IF($FJ194&lt;HX$169,INDEX($FK$170:$ID$241,HX$169,$FJ194),SUMPRODUCT(INDEX($FK$325:$ID$396,HX$169,1+SwaptionShift):INDEX($FK$325:$ID$396,HX$169,SwaptionMonthsToGo+SwaptionShift),INDEX($FK$245:$ID$316,$FJ194-HX$169,73-HX$169+SwaptionShift):INDEX($FK$245:$ID$316,$FJ194-HX$169,72-HX$169+SwaptionMonthsToGo+SwaptionShift))/SQRT(SUM(INDEX($FK349:$ID349,1+SwaptionShift):INDEX($FK349:$ID349,SwaptionMonthsToGo+SwaptionShift))*SUM(INDEX($FK$325:$ID$396,HX$169,1+SwaptionShift):INDEX($FK$325:$ID$396,HX$169,SwaptionMonthsToGo+SwaptionShift))))))</f>
        <v/>
      </c>
      <c r="HY194" s="479" t="str">
        <f ca="1">IF(OR(HY$169&lt;SwaptionFirstMonthPosition+1,$FJ194&lt;SwaptionFirstMonthPosition+1,HY$169&gt;SwaptionFirstMonthPosition+SwaptionNumOfMonths+1,$FJ194&gt;SwaptionFirstMonthPosition+SwaptionNumOfMonths+1),"",IF($FJ194=HY$169,1,IF($FJ194&lt;HY$169,INDEX($FK$170:$ID$241,HY$169,$FJ194),SUMPRODUCT(INDEX($FK$325:$ID$396,HY$169,1+SwaptionShift):INDEX($FK$325:$ID$396,HY$169,SwaptionMonthsToGo+SwaptionShift),INDEX($FK$245:$ID$316,$FJ194-HY$169,73-HY$169+SwaptionShift):INDEX($FK$245:$ID$316,$FJ194-HY$169,72-HY$169+SwaptionMonthsToGo+SwaptionShift))/SQRT(SUM(INDEX($FK349:$ID349,1+SwaptionShift):INDEX($FK349:$ID349,SwaptionMonthsToGo+SwaptionShift))*SUM(INDEX($FK$325:$ID$396,HY$169,1+SwaptionShift):INDEX($FK$325:$ID$396,HY$169,SwaptionMonthsToGo+SwaptionShift))))))</f>
        <v/>
      </c>
      <c r="HZ194" s="479" t="str">
        <f ca="1">IF(OR(HZ$169&lt;SwaptionFirstMonthPosition+1,$FJ194&lt;SwaptionFirstMonthPosition+1,HZ$169&gt;SwaptionFirstMonthPosition+SwaptionNumOfMonths+1,$FJ194&gt;SwaptionFirstMonthPosition+SwaptionNumOfMonths+1),"",IF($FJ194=HZ$169,1,IF($FJ194&lt;HZ$169,INDEX($FK$170:$ID$241,HZ$169,$FJ194),SUMPRODUCT(INDEX($FK$325:$ID$396,HZ$169,1+SwaptionShift):INDEX($FK$325:$ID$396,HZ$169,SwaptionMonthsToGo+SwaptionShift),INDEX($FK$245:$ID$316,$FJ194-HZ$169,73-HZ$169+SwaptionShift):INDEX($FK$245:$ID$316,$FJ194-HZ$169,72-HZ$169+SwaptionMonthsToGo+SwaptionShift))/SQRT(SUM(INDEX($FK349:$ID349,1+SwaptionShift):INDEX($FK349:$ID349,SwaptionMonthsToGo+SwaptionShift))*SUM(INDEX($FK$325:$ID$396,HZ$169,1+SwaptionShift):INDEX($FK$325:$ID$396,HZ$169,SwaptionMonthsToGo+SwaptionShift))))))</f>
        <v/>
      </c>
      <c r="IA194" s="479" t="str">
        <f ca="1">IF(OR(IA$169&lt;SwaptionFirstMonthPosition+1,$FJ194&lt;SwaptionFirstMonthPosition+1,IA$169&gt;SwaptionFirstMonthPosition+SwaptionNumOfMonths+1,$FJ194&gt;SwaptionFirstMonthPosition+SwaptionNumOfMonths+1),"",IF($FJ194=IA$169,1,IF($FJ194&lt;IA$169,INDEX($FK$170:$ID$241,IA$169,$FJ194),SUMPRODUCT(INDEX($FK$325:$ID$396,IA$169,1+SwaptionShift):INDEX($FK$325:$ID$396,IA$169,SwaptionMonthsToGo+SwaptionShift),INDEX($FK$245:$ID$316,$FJ194-IA$169,73-IA$169+SwaptionShift):INDEX($FK$245:$ID$316,$FJ194-IA$169,72-IA$169+SwaptionMonthsToGo+SwaptionShift))/SQRT(SUM(INDEX($FK349:$ID349,1+SwaptionShift):INDEX($FK349:$ID349,SwaptionMonthsToGo+SwaptionShift))*SUM(INDEX($FK$325:$ID$396,IA$169,1+SwaptionShift):INDEX($FK$325:$ID$396,IA$169,SwaptionMonthsToGo+SwaptionShift))))))</f>
        <v/>
      </c>
      <c r="IB194" s="479" t="str">
        <f ca="1">IF(OR(IB$169&lt;SwaptionFirstMonthPosition+1,$FJ194&lt;SwaptionFirstMonthPosition+1,IB$169&gt;SwaptionFirstMonthPosition+SwaptionNumOfMonths+1,$FJ194&gt;SwaptionFirstMonthPosition+SwaptionNumOfMonths+1),"",IF($FJ194=IB$169,1,IF($FJ194&lt;IB$169,INDEX($FK$170:$ID$241,IB$169,$FJ194),SUMPRODUCT(INDEX($FK$325:$ID$396,IB$169,1+SwaptionShift):INDEX($FK$325:$ID$396,IB$169,SwaptionMonthsToGo+SwaptionShift),INDEX($FK$245:$ID$316,$FJ194-IB$169,73-IB$169+SwaptionShift):INDEX($FK$245:$ID$316,$FJ194-IB$169,72-IB$169+SwaptionMonthsToGo+SwaptionShift))/SQRT(SUM(INDEX($FK349:$ID349,1+SwaptionShift):INDEX($FK349:$ID349,SwaptionMonthsToGo+SwaptionShift))*SUM(INDEX($FK$325:$ID$396,IB$169,1+SwaptionShift):INDEX($FK$325:$ID$396,IB$169,SwaptionMonthsToGo+SwaptionShift))))))</f>
        <v/>
      </c>
      <c r="IC194" s="479" t="str">
        <f ca="1">IF(OR(IC$169&lt;SwaptionFirstMonthPosition+1,$FJ194&lt;SwaptionFirstMonthPosition+1,IC$169&gt;SwaptionFirstMonthPosition+SwaptionNumOfMonths+1,$FJ194&gt;SwaptionFirstMonthPosition+SwaptionNumOfMonths+1),"",IF($FJ194=IC$169,1,IF($FJ194&lt;IC$169,INDEX($FK$170:$ID$241,IC$169,$FJ194),SUMPRODUCT(INDEX($FK$325:$ID$396,IC$169,1+SwaptionShift):INDEX($FK$325:$ID$396,IC$169,SwaptionMonthsToGo+SwaptionShift),INDEX($FK$245:$ID$316,$FJ194-IC$169,73-IC$169+SwaptionShift):INDEX($FK$245:$ID$316,$FJ194-IC$169,72-IC$169+SwaptionMonthsToGo+SwaptionShift))/SQRT(SUM(INDEX($FK349:$ID349,1+SwaptionShift):INDEX($FK349:$ID349,SwaptionMonthsToGo+SwaptionShift))*SUM(INDEX($FK$325:$ID$396,IC$169,1+SwaptionShift):INDEX($FK$325:$ID$396,IC$169,SwaptionMonthsToGo+SwaptionShift))))))</f>
        <v/>
      </c>
      <c r="ID194" s="678" t="str">
        <f ca="1">IF(OR(ID$169&lt;SwaptionFirstMonthPosition+1,$FJ194&lt;SwaptionFirstMonthPosition+1,ID$169&gt;SwaptionFirstMonthPosition+SwaptionNumOfMonths+1,$FJ194&gt;SwaptionFirstMonthPosition+SwaptionNumOfMonths+1),"",IF($FJ194=ID$169,1,IF($FJ194&lt;ID$169,INDEX($FK$170:$ID$241,ID$169,$FJ194),SUMPRODUCT(INDEX($FK$325:$ID$396,ID$169,1+SwaptionShift):INDEX($FK$325:$ID$396,ID$169,SwaptionMonthsToGo+SwaptionShift),INDEX($FK$245:$ID$316,$FJ194-ID$169,73-ID$169+SwaptionShift):INDEX($FK$245:$ID$316,$FJ194-ID$169,72-ID$169+SwaptionMonthsToGo+SwaptionShift))/SQRT(SUM(INDEX($FK349:$ID349,1+SwaptionShift):INDEX($FK349:$ID349,SwaptionMonthsToGo+SwaptionShift))*SUM(INDEX($FK$325:$ID$396,ID$169,1+SwaptionShift):INDEX($FK$325:$ID$396,ID$169,SwaptionMonthsToGo+SwaptionShift))))))</f>
        <v/>
      </c>
      <c r="IE194" s="250"/>
    </row>
    <row r="195" spans="8:239">
      <c r="H195" s="51">
        <f t="shared" ca="1" si="527"/>
        <v>0</v>
      </c>
      <c r="I195" s="379">
        <f t="shared" si="528"/>
        <v>42095</v>
      </c>
      <c r="J195" s="377"/>
      <c r="K195" s="104" t="s">
        <v>268</v>
      </c>
      <c r="L195" s="392">
        <f t="shared" si="529"/>
        <v>3.7125000000000061</v>
      </c>
      <c r="M195" s="171"/>
      <c r="N195" s="382">
        <v>0</v>
      </c>
      <c r="O195" s="171">
        <f t="shared" si="490"/>
        <v>0</v>
      </c>
      <c r="P195" s="377"/>
      <c r="Q195" s="104" t="s">
        <v>268</v>
      </c>
      <c r="R195" s="377">
        <f t="shared" ca="1" si="547"/>
        <v>2.5168771653357518</v>
      </c>
      <c r="S195" s="832">
        <f t="shared" si="564"/>
        <v>0.3600000000000001</v>
      </c>
      <c r="T195" s="831">
        <f t="shared" si="548"/>
        <v>0.99999999999986044</v>
      </c>
      <c r="U195" s="545">
        <f t="shared" si="549"/>
        <v>0.99999999999999978</v>
      </c>
      <c r="V195" s="389">
        <v>0</v>
      </c>
      <c r="W195" s="434">
        <f t="shared" si="578"/>
        <v>0</v>
      </c>
      <c r="X195" s="415">
        <f t="shared" si="579"/>
        <v>3.7636363636363699</v>
      </c>
      <c r="Y195" s="322">
        <f t="shared" si="580"/>
        <v>-1.2915000000000001</v>
      </c>
      <c r="Z195" s="322">
        <f t="shared" ca="1" si="581"/>
        <v>2.4721363636363698</v>
      </c>
      <c r="AA195" s="429">
        <f t="shared" si="495"/>
        <v>1.2915000000000001</v>
      </c>
      <c r="AB195" s="433">
        <f t="shared" ca="1" si="496"/>
        <v>1.2915000000000001</v>
      </c>
      <c r="AC195" s="229">
        <v>42083</v>
      </c>
      <c r="AD195" s="229">
        <v>42079</v>
      </c>
      <c r="AE195" s="229">
        <v>42078</v>
      </c>
      <c r="AF195" s="229">
        <v>42074</v>
      </c>
      <c r="AG195" s="249" t="s">
        <v>499</v>
      </c>
      <c r="AH195" s="247" t="s">
        <v>499</v>
      </c>
      <c r="AI195" s="146">
        <v>22</v>
      </c>
      <c r="AJ195" s="41">
        <v>14</v>
      </c>
      <c r="AK195" s="41">
        <v>8</v>
      </c>
      <c r="AL195" s="293">
        <v>22</v>
      </c>
      <c r="AM195" s="41">
        <v>10</v>
      </c>
      <c r="AN195" s="147">
        <v>12</v>
      </c>
      <c r="AO195" s="374"/>
      <c r="AP195" s="153">
        <f t="shared" ca="1" si="530"/>
        <v>1</v>
      </c>
      <c r="AQ195" s="374"/>
      <c r="AR195" s="153">
        <f t="shared" ca="1" si="550"/>
        <v>1</v>
      </c>
      <c r="AS195" s="272">
        <f t="shared" si="582"/>
        <v>0</v>
      </c>
      <c r="AT195" s="157">
        <f t="shared" si="531"/>
        <v>0</v>
      </c>
      <c r="AU195" s="157">
        <f t="shared" si="498"/>
        <v>0</v>
      </c>
      <c r="AV195" s="271">
        <f t="shared" ca="1" si="558"/>
        <v>9.9999999999999995E-7</v>
      </c>
      <c r="AW195" s="158" t="str">
        <f t="shared" ca="1" si="583"/>
        <v/>
      </c>
      <c r="AX195" s="157">
        <f t="shared" ca="1" si="551"/>
        <v>6.9243106567536602E-5</v>
      </c>
      <c r="AY195" s="157">
        <f t="shared" ca="1" si="552"/>
        <v>1.6684904627530357E-5</v>
      </c>
      <c r="AZ195" s="157">
        <f t="shared" ca="1" si="553"/>
        <v>5.953852540398452E-7</v>
      </c>
      <c r="BA195" s="157">
        <f t="shared" ca="1" si="554"/>
        <v>7.442315675498065E-8</v>
      </c>
      <c r="BB195" s="157">
        <f t="shared" ca="1" si="555"/>
        <v>4.2944088118977281E-10</v>
      </c>
      <c r="BC195" s="157">
        <f t="shared" ca="1" si="556"/>
        <v>1.1077612522751645E-11</v>
      </c>
      <c r="BD195" s="151">
        <f t="shared" ca="1" si="584"/>
        <v>0</v>
      </c>
      <c r="BE195" s="152">
        <f t="shared" ca="1" si="585"/>
        <v>0</v>
      </c>
      <c r="BF195" s="40">
        <f t="shared" si="586"/>
        <v>2015</v>
      </c>
      <c r="BG195" s="144">
        <f t="shared" si="587"/>
        <v>4</v>
      </c>
      <c r="BH195" s="145">
        <f t="shared" ca="1" si="588"/>
        <v>5334</v>
      </c>
      <c r="BI195" s="313">
        <f t="shared" ca="1" si="568"/>
        <v>14.647501711156742</v>
      </c>
      <c r="BJ195" s="42">
        <f t="shared" ca="1" si="505"/>
        <v>14.698027502955634</v>
      </c>
      <c r="BK195" s="42">
        <f t="shared" ca="1" si="506"/>
        <v>14.700765353742767</v>
      </c>
      <c r="BL195" s="42">
        <f t="shared" ca="1" si="569"/>
        <v>14.726899383983573</v>
      </c>
      <c r="BM195" s="150" t="e">
        <f t="shared" ca="1" si="507"/>
        <v>#DIV/0!</v>
      </c>
      <c r="BN195" s="42" t="e">
        <f t="shared" ca="1" si="508"/>
        <v>#DIV/0!</v>
      </c>
      <c r="BO195" s="293">
        <f t="shared" si="570"/>
        <v>22</v>
      </c>
      <c r="BP195" s="41">
        <f t="shared" si="571"/>
        <v>14</v>
      </c>
      <c r="BQ195" s="41">
        <f t="shared" si="572"/>
        <v>8</v>
      </c>
      <c r="BR195" s="305" t="str">
        <f t="shared" ca="1" si="509"/>
        <v/>
      </c>
      <c r="BS195" s="305" t="str">
        <f t="shared" ca="1" si="573"/>
        <v/>
      </c>
      <c r="BT195" s="307" t="str">
        <f t="shared" ca="1" si="574"/>
        <v/>
      </c>
      <c r="BU195" s="161" t="str">
        <f t="shared" ca="1" si="510"/>
        <v/>
      </c>
      <c r="BV195" s="161" t="str">
        <f t="shared" ca="1" si="511"/>
        <v/>
      </c>
      <c r="BW195" s="308" t="str">
        <f t="shared" ca="1" si="512"/>
        <v/>
      </c>
      <c r="BX195" s="309" t="str">
        <f t="shared" ca="1" si="513"/>
        <v/>
      </c>
      <c r="BY195" s="308" t="str">
        <f t="shared" ca="1" si="575"/>
        <v/>
      </c>
      <c r="BZ195" s="309" t="str">
        <f t="shared" ca="1" si="576"/>
        <v/>
      </c>
      <c r="CA195" s="154" t="str">
        <f t="shared" ca="1" si="514"/>
        <v/>
      </c>
      <c r="CB195" s="154" t="str">
        <f t="shared" ca="1" si="515"/>
        <v/>
      </c>
      <c r="CC195" s="154" t="str">
        <f t="shared" ca="1" si="516"/>
        <v/>
      </c>
      <c r="CD195" s="154" t="str">
        <f t="shared" ca="1" si="517"/>
        <v/>
      </c>
      <c r="CE195" s="310">
        <v>1</v>
      </c>
      <c r="CF195" s="162">
        <f ca="1">IF(BD195,_xll.xCrudeAPO(BU195,BV195,CA195,CB195,S196,S197,BI195,BL195,BP195,BQ195,0,Strike1,AO195,CE195,0,BL195,IF(OptControl=4,0,1),0,1),0)</f>
        <v>0</v>
      </c>
      <c r="CG195" s="163">
        <f ca="1">IF(BD195,_xll.xCrudeAPO(BU195,BV195,CA195,CB195,S196,S197,BI195,BL195,BP195,BQ195,0,Strike1,AO195,CE195,0,BL195,IF(OptControl=4,0,1),1,1)+_xll.xCrudeAPO(BU195,BV195,CA195,CB195,S196,S197,BI195,BL195,BP195,BQ195,0,Strike1,AO195,CE195,0,BL195,IF(OptControl=4,0,1),1,2)+IF(OR(VolSkewFlag=2,ABS(BS195)&lt;0.0001),0,IF(BS195&gt;0,-1,1)*CH195*Strike1/BR195^2*BY195/10%),0)</f>
        <v>0</v>
      </c>
      <c r="CH195" s="163">
        <f ca="1">IF(BD195,(_xll.xCrudeAPO(BU195,BV195,CA195,CB195,S196,S197,BI195,BL195,BP195,BQ195,0,Strike1,AO195,CE195,0,BL195,IF(OptControl=4,0,1),3,1)+_xll.xCrudeAPO(BU195,BV195,CA195,CB195,S196,S197,BI195,BL195,BP195,BQ195,0,Strike1,AO195,CE195,0,BL195,IF(OptControl=4,0,1),3,2))/100,0)</f>
        <v>0</v>
      </c>
      <c r="CI195" s="163">
        <f ca="1">IF(BD195,_xll.xCrudeAPO(BU195,BV195,CA195,CB195,S196,S197,BI195-DaysForThetaCalculation/365.25,BL195-DaysForThetaCalculation/365.25,BP195,BQ195,0,Strike1,AO195,CE195,0,BL195,IF(OptControl=4,0,1),0,1)-_xll.xCrudeAPO(BU195,BV195,CA195,CB195,S196,S197,BI195,BL195,BP195,BQ195,0,Strike1,AO195,CE195,0,BL195,IF(OptControl=4,0,1),0,1),0)</f>
        <v>0</v>
      </c>
      <c r="CJ195" s="311">
        <f ca="1">IF(BD195,_xll.xCrudeAPO(BU195,BV195,CC195,CD195,S196,S197,BI195,BL195,BP195,BQ195,0,Strike2,AO195,CE195,0,BL195,IF(OptControl=3,1,0),0,1),0)</f>
        <v>0</v>
      </c>
      <c r="CK195" s="163">
        <f ca="1">IF(BD195,_xll.xCrudeAPO(BU195,BV195,CC195,CD195,S196,S197,BI195,BL195,BP195,BQ195,0,Strike2,AO195,CE195,0,BL195,IF(OptControl=3,1,0),1,1)+_xll.xCrudeAPO(BU195,BV195,CC195,CD195,S196,S197,BI195,BL195,BP195,BQ195,0,Strike2,AO195,CE195,0,BL195,IF(OptControl=3,1,0),1,2)+IF(OR(VolSkewFlag=2,ABS(BT195)&lt;0.0001),0,IF(BT195&gt;0,-1,1)*CL195*Strike2/BR195^2*BZ195/10%),0)</f>
        <v>0</v>
      </c>
      <c r="CL195" s="163">
        <f ca="1">IF(BD195,(_xll.xCrudeAPO(BU195,BV195,CC195,CD195,S196,S197,BI195,BL195,BP195,BQ195,0,Strike2,AO195,CE195,0,BL195,IF(OptControl=3,1,0),3,1)+_xll.xCrudeAPO(BU195,BV195,CC195,CD195,S196,S197,BI195,BL195,BP195,BQ195,0,Strike2,AO195,CE195,0,BL195,IF(OptControl=3,1,0),3,2))/100,0)</f>
        <v>0</v>
      </c>
      <c r="CM195" s="164">
        <f ca="1">IF(BD195,_xll.xCrudeAPO(BU195,BV195,CC195,CD195,S196,S197,BI195-DaysForThetaCalculation/365.25,BL195-DaysForThetaCalculation/365.25,BP195,BQ195,0,Strike2,AO195,CE195,0,BL195,IF(OptControl=3,1,0),0,1)-_xll.xCrudeAPO(BU195,BV195,CC195,CD195,S196,S197,BI195,BL195,BP195,BQ195,0,Strike2,AO195,CE195,0,BL195,IF(OptControl=3,1,0),0,1),0)</f>
        <v>0</v>
      </c>
      <c r="CN195" s="53"/>
      <c r="CO195" s="796" t="str">
        <f t="shared" ca="1" si="532"/>
        <v/>
      </c>
      <c r="CP195" s="800" t="str">
        <f t="shared" ca="1" si="533"/>
        <v/>
      </c>
      <c r="CQ195" s="797" t="str">
        <f t="shared" ca="1" si="534"/>
        <v/>
      </c>
      <c r="CR195" s="797" t="str">
        <f t="shared" ca="1" si="535"/>
        <v/>
      </c>
      <c r="CS195" s="797" t="str">
        <f t="shared" ca="1" si="536"/>
        <v/>
      </c>
      <c r="CT195" s="797" t="str">
        <f t="shared" ca="1" si="537"/>
        <v/>
      </c>
      <c r="CU195" s="798" t="str">
        <f t="shared" ca="1" si="538"/>
        <v/>
      </c>
      <c r="CV195" s="799" t="str">
        <f t="shared" ca="1" si="539"/>
        <v/>
      </c>
      <c r="CW195" s="799" t="str">
        <f t="shared" ca="1" si="540"/>
        <v/>
      </c>
      <c r="CX195" s="163">
        <f ca="1">IF(BD195,_xll.EURO(CP195,Strike1,AO195,AO195,CV195,CO195,IF(OptControl=4,0,1),0),0)</f>
        <v>0</v>
      </c>
      <c r="CY195" s="163">
        <f ca="1">IF(BD195,_xll.EURO(CP195,Strike1,AO195,AO195,CV195,CO195,IF(OptControl=4,0,1),1)+IF(OR(VolSkewFlag=2,ABS(CQ195)&lt;0.0001),0,IF(CQ195&gt;0,-1,1)*CZ195*100*Strike1/CP195^2*CS195/10%),0)</f>
        <v>0</v>
      </c>
      <c r="CZ195" s="163">
        <f ca="1">IF(BD195,_xll.EURO(CP195,Strike1,AO195,AO195,CV195,CO195,IF(OptControl=4,0,1),3)/100,0)</f>
        <v>0</v>
      </c>
      <c r="DA195" s="163">
        <f ca="1">IF(BD195,_xll.EURO(CP195,Strike1,AO195,AO195,CV195,CO195,IF(OptControl=4,0,1),0)-_xll.EURO(CP195,Strike1,AO195,AO195,CV195,CO195-1,IF(OptControl=4,0,1),0),0)</f>
        <v>0</v>
      </c>
      <c r="DB195" s="163">
        <f ca="1">IF(BD195,_xll.EURO(CP195,Strike2,AO195,AO195,CW195,CO195,IF(OptControl=3,1,0),0),0)</f>
        <v>0</v>
      </c>
      <c r="DC195" s="163">
        <f ca="1">IF(BD195,_xll.EURO(CP195,Strike2,AO195,AO195,CW195,CO195,IF(OptControl=3,1,0),1)+IF(OR(VolSkewFlag=2,ABS(CR195)&lt;0.0001),0,IF(CR195&gt;0,-1,1)*DD195*100*Strike2/CP195^2*CT195/10%),0)</f>
        <v>0</v>
      </c>
      <c r="DD195" s="163">
        <f ca="1">IF(BD195,_xll.EURO(CP195,Strike2,AO195,AO195,CW195,CO195,IF(OptControl=3,1,0),3)/100,0)</f>
        <v>0</v>
      </c>
      <c r="DE195" s="164">
        <f ca="1">IF(BD195,_xll.EURO(CP195,Strike2,AO195,AO195,CW195,CO195,IF(OptControl=3,1,0),0)-_xll.EURO(CP195,Strike2,AO195,AO195,CW195,CO195-1,IF(OptControl=3,1,0),0),0)</f>
        <v>0</v>
      </c>
      <c r="DG195" s="667">
        <f t="shared" ca="1" si="541"/>
        <v>41883</v>
      </c>
      <c r="DH195" s="475">
        <v>22.910000000000071</v>
      </c>
      <c r="DI195" s="665">
        <v>22.975909090909163</v>
      </c>
      <c r="DJ195" s="666">
        <f t="shared" ca="1" si="589"/>
        <v>41883</v>
      </c>
      <c r="DK195" s="475">
        <v>21.726184582222825</v>
      </c>
      <c r="DL195" s="665">
        <v>21.709009090909163</v>
      </c>
      <c r="DM195" s="667">
        <f t="shared" ca="1" si="590"/>
        <v>41883</v>
      </c>
      <c r="DN195" s="668">
        <f t="shared" si="591"/>
        <v>21.776184582222825</v>
      </c>
      <c r="DO195" s="667">
        <f t="shared" ca="1" si="542"/>
        <v>41883</v>
      </c>
      <c r="DP195" s="579">
        <f t="shared" si="543"/>
        <v>21.709009090909163</v>
      </c>
      <c r="DQ195" s="821">
        <v>0</v>
      </c>
      <c r="DR195" s="666">
        <f t="shared" ca="1" si="592"/>
        <v>41883</v>
      </c>
      <c r="DS195" s="669">
        <v>0.11959999999999803</v>
      </c>
      <c r="DT195" s="606">
        <v>0.11880909090908895</v>
      </c>
      <c r="DU195" s="666">
        <f t="shared" ca="1" si="593"/>
        <v>41883</v>
      </c>
      <c r="DV195" s="669">
        <v>0.11959999999999803</v>
      </c>
      <c r="DW195" s="606">
        <v>0.11880909090908895</v>
      </c>
      <c r="DX195" s="667">
        <f t="shared" ca="1" si="594"/>
        <v>41883</v>
      </c>
      <c r="DY195" s="606">
        <v>0.35</v>
      </c>
      <c r="DZ195" s="667">
        <f t="shared" ca="1" si="544"/>
        <v>41883</v>
      </c>
      <c r="EA195" s="606">
        <f t="shared" si="545"/>
        <v>0.11880909090908895</v>
      </c>
      <c r="EB195" s="1"/>
      <c r="EC195" s="118" t="str">
        <f t="shared" ca="1" si="595"/>
        <v/>
      </c>
      <c r="ED195" s="119" t="str">
        <f t="shared" ca="1" si="525"/>
        <v/>
      </c>
      <c r="EE195" s="112" t="str">
        <f t="shared" ca="1" si="526"/>
        <v/>
      </c>
      <c r="EF195" s="120">
        <f ca="1">IF(BD195,_xll.xASN(BR195,Strike1,AO195,ED195,0,BO195,0,BI195,BL195,IF(OptControl=4,0,1),0),0)</f>
        <v>0</v>
      </c>
      <c r="EG195" s="111">
        <f ca="1">IF(BD195,_xll.xASN(BR195,Strike2,AO195,EE195,0,BO195,0,BI195,BL195,IF(OptControl=3,1,0),0),0)</f>
        <v>0</v>
      </c>
      <c r="EL195" s="55"/>
      <c r="EM195" s="1"/>
      <c r="EN195" s="106"/>
      <c r="EO195" s="106"/>
      <c r="EP195" s="1"/>
      <c r="EQ195" s="683" t="s">
        <v>408</v>
      </c>
      <c r="ES195" s="455"/>
      <c r="ET195" s="36"/>
      <c r="EU195" s="107"/>
      <c r="EV195" s="475"/>
      <c r="EW195" s="456"/>
      <c r="EX195" s="456"/>
      <c r="EY195" s="250"/>
      <c r="EZ195" s="250"/>
      <c r="FA195" s="250"/>
      <c r="FB195" s="250"/>
      <c r="FC195" s="250"/>
      <c r="FD195" s="250"/>
      <c r="FE195" s="250"/>
      <c r="FF195" s="250"/>
      <c r="FG195" s="250"/>
      <c r="FH195" s="250"/>
      <c r="FI195" s="250"/>
      <c r="FJ195" s="673">
        <v>26</v>
      </c>
      <c r="FK195" s="479" t="str">
        <f ca="1">IF(OR(FK$169&lt;SwaptionFirstMonthPosition+1,$FJ195&lt;SwaptionFirstMonthPosition+1,FK$169&gt;SwaptionFirstMonthPosition+SwaptionNumOfMonths+1,$FJ195&gt;SwaptionFirstMonthPosition+SwaptionNumOfMonths+1),"",IF($FJ195=FK$169,1,IF($FJ195&lt;FK$169,INDEX($FK$170:$ID$241,FK$169,$FJ195),SUMPRODUCT(INDEX($FK$325:$ID$396,FK$169,1+SwaptionShift):INDEX($FK$325:$ID$396,FK$169,SwaptionMonthsToGo+SwaptionShift),INDEX($FK$245:$ID$316,$FJ195-FK$169,73-FK$169+SwaptionShift):INDEX($FK$245:$ID$316,$FJ195-FK$169,72-FK$169+SwaptionMonthsToGo+SwaptionShift))/SQRT(SUM(INDEX($FK350:$ID350,1+SwaptionShift):INDEX($FK350:$ID350,SwaptionMonthsToGo+SwaptionShift))*SUM(INDEX($FK$325:$ID$396,FK$169,1+SwaptionShift):INDEX($FK$325:$ID$396,FK$169,SwaptionMonthsToGo+SwaptionShift))))))</f>
        <v/>
      </c>
      <c r="FL195" s="479" t="str">
        <f ca="1">IF(OR(FL$169&lt;SwaptionFirstMonthPosition+1,$FJ195&lt;SwaptionFirstMonthPosition+1,FL$169&gt;SwaptionFirstMonthPosition+SwaptionNumOfMonths+1,$FJ195&gt;SwaptionFirstMonthPosition+SwaptionNumOfMonths+1),"",IF($FJ195=FL$169,1,IF($FJ195&lt;FL$169,INDEX($FK$170:$ID$241,FL$169,$FJ195),SUMPRODUCT(INDEX($FK$325:$ID$396,FL$169,1+SwaptionShift):INDEX($FK$325:$ID$396,FL$169,SwaptionMonthsToGo+SwaptionShift),INDEX($FK$245:$ID$316,$FJ195-FL$169,73-FL$169+SwaptionShift):INDEX($FK$245:$ID$316,$FJ195-FL$169,72-FL$169+SwaptionMonthsToGo+SwaptionShift))/SQRT(SUM(INDEX($FK350:$ID350,1+SwaptionShift):INDEX($FK350:$ID350,SwaptionMonthsToGo+SwaptionShift))*SUM(INDEX($FK$325:$ID$396,FL$169,1+SwaptionShift):INDEX($FK$325:$ID$396,FL$169,SwaptionMonthsToGo+SwaptionShift))))))</f>
        <v/>
      </c>
      <c r="FM195" s="479" t="str">
        <f ca="1">IF(OR(FM$169&lt;SwaptionFirstMonthPosition+1,$FJ195&lt;SwaptionFirstMonthPosition+1,FM$169&gt;SwaptionFirstMonthPosition+SwaptionNumOfMonths+1,$FJ195&gt;SwaptionFirstMonthPosition+SwaptionNumOfMonths+1),"",IF($FJ195=FM$169,1,IF($FJ195&lt;FM$169,INDEX($FK$170:$ID$241,FM$169,$FJ195),SUMPRODUCT(INDEX($FK$325:$ID$396,FM$169,1+SwaptionShift):INDEX($FK$325:$ID$396,FM$169,SwaptionMonthsToGo+SwaptionShift),INDEX($FK$245:$ID$316,$FJ195-FM$169,73-FM$169+SwaptionShift):INDEX($FK$245:$ID$316,$FJ195-FM$169,72-FM$169+SwaptionMonthsToGo+SwaptionShift))/SQRT(SUM(INDEX($FK350:$ID350,1+SwaptionShift):INDEX($FK350:$ID350,SwaptionMonthsToGo+SwaptionShift))*SUM(INDEX($FK$325:$ID$396,FM$169,1+SwaptionShift):INDEX($FK$325:$ID$396,FM$169,SwaptionMonthsToGo+SwaptionShift))))))</f>
        <v/>
      </c>
      <c r="FN195" s="479" t="str">
        <f ca="1">IF(OR(FN$169&lt;SwaptionFirstMonthPosition+1,$FJ195&lt;SwaptionFirstMonthPosition+1,FN$169&gt;SwaptionFirstMonthPosition+SwaptionNumOfMonths+1,$FJ195&gt;SwaptionFirstMonthPosition+SwaptionNumOfMonths+1),"",IF($FJ195=FN$169,1,IF($FJ195&lt;FN$169,INDEX($FK$170:$ID$241,FN$169,$FJ195),SUMPRODUCT(INDEX($FK$325:$ID$396,FN$169,1+SwaptionShift):INDEX($FK$325:$ID$396,FN$169,SwaptionMonthsToGo+SwaptionShift),INDEX($FK$245:$ID$316,$FJ195-FN$169,73-FN$169+SwaptionShift):INDEX($FK$245:$ID$316,$FJ195-FN$169,72-FN$169+SwaptionMonthsToGo+SwaptionShift))/SQRT(SUM(INDEX($FK350:$ID350,1+SwaptionShift):INDEX($FK350:$ID350,SwaptionMonthsToGo+SwaptionShift))*SUM(INDEX($FK$325:$ID$396,FN$169,1+SwaptionShift):INDEX($FK$325:$ID$396,FN$169,SwaptionMonthsToGo+SwaptionShift))))))</f>
        <v/>
      </c>
      <c r="FO195" s="479" t="str">
        <f ca="1">IF(OR(FO$169&lt;SwaptionFirstMonthPosition+1,$FJ195&lt;SwaptionFirstMonthPosition+1,FO$169&gt;SwaptionFirstMonthPosition+SwaptionNumOfMonths+1,$FJ195&gt;SwaptionFirstMonthPosition+SwaptionNumOfMonths+1),"",IF($FJ195=FO$169,1,IF($FJ195&lt;FO$169,INDEX($FK$170:$ID$241,FO$169,$FJ195),SUMPRODUCT(INDEX($FK$325:$ID$396,FO$169,1+SwaptionShift):INDEX($FK$325:$ID$396,FO$169,SwaptionMonthsToGo+SwaptionShift),INDEX($FK$245:$ID$316,$FJ195-FO$169,73-FO$169+SwaptionShift):INDEX($FK$245:$ID$316,$FJ195-FO$169,72-FO$169+SwaptionMonthsToGo+SwaptionShift))/SQRT(SUM(INDEX($FK350:$ID350,1+SwaptionShift):INDEX($FK350:$ID350,SwaptionMonthsToGo+SwaptionShift))*SUM(INDEX($FK$325:$ID$396,FO$169,1+SwaptionShift):INDEX($FK$325:$ID$396,FO$169,SwaptionMonthsToGo+SwaptionShift))))))</f>
        <v/>
      </c>
      <c r="FP195" s="479" t="str">
        <f ca="1">IF(OR(FP$169&lt;SwaptionFirstMonthPosition+1,$FJ195&lt;SwaptionFirstMonthPosition+1,FP$169&gt;SwaptionFirstMonthPosition+SwaptionNumOfMonths+1,$FJ195&gt;SwaptionFirstMonthPosition+SwaptionNumOfMonths+1),"",IF($FJ195=FP$169,1,IF($FJ195&lt;FP$169,INDEX($FK$170:$ID$241,FP$169,$FJ195),SUMPRODUCT(INDEX($FK$325:$ID$396,FP$169,1+SwaptionShift):INDEX($FK$325:$ID$396,FP$169,SwaptionMonthsToGo+SwaptionShift),INDEX($FK$245:$ID$316,$FJ195-FP$169,73-FP$169+SwaptionShift):INDEX($FK$245:$ID$316,$FJ195-FP$169,72-FP$169+SwaptionMonthsToGo+SwaptionShift))/SQRT(SUM(INDEX($FK350:$ID350,1+SwaptionShift):INDEX($FK350:$ID350,SwaptionMonthsToGo+SwaptionShift))*SUM(INDEX($FK$325:$ID$396,FP$169,1+SwaptionShift):INDEX($FK$325:$ID$396,FP$169,SwaptionMonthsToGo+SwaptionShift))))))</f>
        <v/>
      </c>
      <c r="FQ195" s="479" t="str">
        <f ca="1">IF(OR(FQ$169&lt;SwaptionFirstMonthPosition+1,$FJ195&lt;SwaptionFirstMonthPosition+1,FQ$169&gt;SwaptionFirstMonthPosition+SwaptionNumOfMonths+1,$FJ195&gt;SwaptionFirstMonthPosition+SwaptionNumOfMonths+1),"",IF($FJ195=FQ$169,1,IF($FJ195&lt;FQ$169,INDEX($FK$170:$ID$241,FQ$169,$FJ195),SUMPRODUCT(INDEX($FK$325:$ID$396,FQ$169,1+SwaptionShift):INDEX($FK$325:$ID$396,FQ$169,SwaptionMonthsToGo+SwaptionShift),INDEX($FK$245:$ID$316,$FJ195-FQ$169,73-FQ$169+SwaptionShift):INDEX($FK$245:$ID$316,$FJ195-FQ$169,72-FQ$169+SwaptionMonthsToGo+SwaptionShift))/SQRT(SUM(INDEX($FK350:$ID350,1+SwaptionShift):INDEX($FK350:$ID350,SwaptionMonthsToGo+SwaptionShift))*SUM(INDEX($FK$325:$ID$396,FQ$169,1+SwaptionShift):INDEX($FK$325:$ID$396,FQ$169,SwaptionMonthsToGo+SwaptionShift))))))</f>
        <v/>
      </c>
      <c r="FR195" s="479" t="str">
        <f ca="1">IF(OR(FR$169&lt;SwaptionFirstMonthPosition+1,$FJ195&lt;SwaptionFirstMonthPosition+1,FR$169&gt;SwaptionFirstMonthPosition+SwaptionNumOfMonths+1,$FJ195&gt;SwaptionFirstMonthPosition+SwaptionNumOfMonths+1),"",IF($FJ195=FR$169,1,IF($FJ195&lt;FR$169,INDEX($FK$170:$ID$241,FR$169,$FJ195),SUMPRODUCT(INDEX($FK$325:$ID$396,FR$169,1+SwaptionShift):INDEX($FK$325:$ID$396,FR$169,SwaptionMonthsToGo+SwaptionShift),INDEX($FK$245:$ID$316,$FJ195-FR$169,73-FR$169+SwaptionShift):INDEX($FK$245:$ID$316,$FJ195-FR$169,72-FR$169+SwaptionMonthsToGo+SwaptionShift))/SQRT(SUM(INDEX($FK350:$ID350,1+SwaptionShift):INDEX($FK350:$ID350,SwaptionMonthsToGo+SwaptionShift))*SUM(INDEX($FK$325:$ID$396,FR$169,1+SwaptionShift):INDEX($FK$325:$ID$396,FR$169,SwaptionMonthsToGo+SwaptionShift))))))</f>
        <v/>
      </c>
      <c r="FS195" s="479" t="str">
        <f ca="1">IF(OR(FS$169&lt;SwaptionFirstMonthPosition+1,$FJ195&lt;SwaptionFirstMonthPosition+1,FS$169&gt;SwaptionFirstMonthPosition+SwaptionNumOfMonths+1,$FJ195&gt;SwaptionFirstMonthPosition+SwaptionNumOfMonths+1),"",IF($FJ195=FS$169,1,IF($FJ195&lt;FS$169,INDEX($FK$170:$ID$241,FS$169,$FJ195),SUMPRODUCT(INDEX($FK$325:$ID$396,FS$169,1+SwaptionShift):INDEX($FK$325:$ID$396,FS$169,SwaptionMonthsToGo+SwaptionShift),INDEX($FK$245:$ID$316,$FJ195-FS$169,73-FS$169+SwaptionShift):INDEX($FK$245:$ID$316,$FJ195-FS$169,72-FS$169+SwaptionMonthsToGo+SwaptionShift))/SQRT(SUM(INDEX($FK350:$ID350,1+SwaptionShift):INDEX($FK350:$ID350,SwaptionMonthsToGo+SwaptionShift))*SUM(INDEX($FK$325:$ID$396,FS$169,1+SwaptionShift):INDEX($FK$325:$ID$396,FS$169,SwaptionMonthsToGo+SwaptionShift))))))</f>
        <v/>
      </c>
      <c r="FT195" s="479" t="str">
        <f ca="1">IF(OR(FT$169&lt;SwaptionFirstMonthPosition+1,$FJ195&lt;SwaptionFirstMonthPosition+1,FT$169&gt;SwaptionFirstMonthPosition+SwaptionNumOfMonths+1,$FJ195&gt;SwaptionFirstMonthPosition+SwaptionNumOfMonths+1),"",IF($FJ195=FT$169,1,IF($FJ195&lt;FT$169,INDEX($FK$170:$ID$241,FT$169,$FJ195),SUMPRODUCT(INDEX($FK$325:$ID$396,FT$169,1+SwaptionShift):INDEX($FK$325:$ID$396,FT$169,SwaptionMonthsToGo+SwaptionShift),INDEX($FK$245:$ID$316,$FJ195-FT$169,73-FT$169+SwaptionShift):INDEX($FK$245:$ID$316,$FJ195-FT$169,72-FT$169+SwaptionMonthsToGo+SwaptionShift))/SQRT(SUM(INDEX($FK350:$ID350,1+SwaptionShift):INDEX($FK350:$ID350,SwaptionMonthsToGo+SwaptionShift))*SUM(INDEX($FK$325:$ID$396,FT$169,1+SwaptionShift):INDEX($FK$325:$ID$396,FT$169,SwaptionMonthsToGo+SwaptionShift))))))</f>
        <v/>
      </c>
      <c r="FU195" s="479" t="str">
        <f ca="1">IF(OR(FU$169&lt;SwaptionFirstMonthPosition+1,$FJ195&lt;SwaptionFirstMonthPosition+1,FU$169&gt;SwaptionFirstMonthPosition+SwaptionNumOfMonths+1,$FJ195&gt;SwaptionFirstMonthPosition+SwaptionNumOfMonths+1),"",IF($FJ195=FU$169,1,IF($FJ195&lt;FU$169,INDEX($FK$170:$ID$241,FU$169,$FJ195),SUMPRODUCT(INDEX($FK$325:$ID$396,FU$169,1+SwaptionShift):INDEX($FK$325:$ID$396,FU$169,SwaptionMonthsToGo+SwaptionShift),INDEX($FK$245:$ID$316,$FJ195-FU$169,73-FU$169+SwaptionShift):INDEX($FK$245:$ID$316,$FJ195-FU$169,72-FU$169+SwaptionMonthsToGo+SwaptionShift))/SQRT(SUM(INDEX($FK350:$ID350,1+SwaptionShift):INDEX($FK350:$ID350,SwaptionMonthsToGo+SwaptionShift))*SUM(INDEX($FK$325:$ID$396,FU$169,1+SwaptionShift):INDEX($FK$325:$ID$396,FU$169,SwaptionMonthsToGo+SwaptionShift))))))</f>
        <v/>
      </c>
      <c r="FV195" s="479" t="str">
        <f ca="1">IF(OR(FV$169&lt;SwaptionFirstMonthPosition+1,$FJ195&lt;SwaptionFirstMonthPosition+1,FV$169&gt;SwaptionFirstMonthPosition+SwaptionNumOfMonths+1,$FJ195&gt;SwaptionFirstMonthPosition+SwaptionNumOfMonths+1),"",IF($FJ195=FV$169,1,IF($FJ195&lt;FV$169,INDEX($FK$170:$ID$241,FV$169,$FJ195),SUMPRODUCT(INDEX($FK$325:$ID$396,FV$169,1+SwaptionShift):INDEX($FK$325:$ID$396,FV$169,SwaptionMonthsToGo+SwaptionShift),INDEX($FK$245:$ID$316,$FJ195-FV$169,73-FV$169+SwaptionShift):INDEX($FK$245:$ID$316,$FJ195-FV$169,72-FV$169+SwaptionMonthsToGo+SwaptionShift))/SQRT(SUM(INDEX($FK350:$ID350,1+SwaptionShift):INDEX($FK350:$ID350,SwaptionMonthsToGo+SwaptionShift))*SUM(INDEX($FK$325:$ID$396,FV$169,1+SwaptionShift):INDEX($FK$325:$ID$396,FV$169,SwaptionMonthsToGo+SwaptionShift))))))</f>
        <v/>
      </c>
      <c r="FW195" s="479" t="str">
        <f ca="1">IF(OR(FW$169&lt;SwaptionFirstMonthPosition+1,$FJ195&lt;SwaptionFirstMonthPosition+1,FW$169&gt;SwaptionFirstMonthPosition+SwaptionNumOfMonths+1,$FJ195&gt;SwaptionFirstMonthPosition+SwaptionNumOfMonths+1),"",IF($FJ195=FW$169,1,IF($FJ195&lt;FW$169,INDEX($FK$170:$ID$241,FW$169,$FJ195),SUMPRODUCT(INDEX($FK$325:$ID$396,FW$169,1+SwaptionShift):INDEX($FK$325:$ID$396,FW$169,SwaptionMonthsToGo+SwaptionShift),INDEX($FK$245:$ID$316,$FJ195-FW$169,73-FW$169+SwaptionShift):INDEX($FK$245:$ID$316,$FJ195-FW$169,72-FW$169+SwaptionMonthsToGo+SwaptionShift))/SQRT(SUM(INDEX($FK350:$ID350,1+SwaptionShift):INDEX($FK350:$ID350,SwaptionMonthsToGo+SwaptionShift))*SUM(INDEX($FK$325:$ID$396,FW$169,1+SwaptionShift):INDEX($FK$325:$ID$396,FW$169,SwaptionMonthsToGo+SwaptionShift))))))</f>
        <v/>
      </c>
      <c r="FX195" s="479" t="str">
        <f ca="1">IF(OR(FX$169&lt;SwaptionFirstMonthPosition+1,$FJ195&lt;SwaptionFirstMonthPosition+1,FX$169&gt;SwaptionFirstMonthPosition+SwaptionNumOfMonths+1,$FJ195&gt;SwaptionFirstMonthPosition+SwaptionNumOfMonths+1),"",IF($FJ195=FX$169,1,IF($FJ195&lt;FX$169,INDEX($FK$170:$ID$241,FX$169,$FJ195),SUMPRODUCT(INDEX($FK$325:$ID$396,FX$169,1+SwaptionShift):INDEX($FK$325:$ID$396,FX$169,SwaptionMonthsToGo+SwaptionShift),INDEX($FK$245:$ID$316,$FJ195-FX$169,73-FX$169+SwaptionShift):INDEX($FK$245:$ID$316,$FJ195-FX$169,72-FX$169+SwaptionMonthsToGo+SwaptionShift))/SQRT(SUM(INDEX($FK350:$ID350,1+SwaptionShift):INDEX($FK350:$ID350,SwaptionMonthsToGo+SwaptionShift))*SUM(INDEX($FK$325:$ID$396,FX$169,1+SwaptionShift):INDEX($FK$325:$ID$396,FX$169,SwaptionMonthsToGo+SwaptionShift))))))</f>
        <v/>
      </c>
      <c r="FY195" s="479" t="str">
        <f ca="1">IF(OR(FY$169&lt;SwaptionFirstMonthPosition+1,$FJ195&lt;SwaptionFirstMonthPosition+1,FY$169&gt;SwaptionFirstMonthPosition+SwaptionNumOfMonths+1,$FJ195&gt;SwaptionFirstMonthPosition+SwaptionNumOfMonths+1),"",IF($FJ195=FY$169,1,IF($FJ195&lt;FY$169,INDEX($FK$170:$ID$241,FY$169,$FJ195),SUMPRODUCT(INDEX($FK$325:$ID$396,FY$169,1+SwaptionShift):INDEX($FK$325:$ID$396,FY$169,SwaptionMonthsToGo+SwaptionShift),INDEX($FK$245:$ID$316,$FJ195-FY$169,73-FY$169+SwaptionShift):INDEX($FK$245:$ID$316,$FJ195-FY$169,72-FY$169+SwaptionMonthsToGo+SwaptionShift))/SQRT(SUM(INDEX($FK350:$ID350,1+SwaptionShift):INDEX($FK350:$ID350,SwaptionMonthsToGo+SwaptionShift))*SUM(INDEX($FK$325:$ID$396,FY$169,1+SwaptionShift):INDEX($FK$325:$ID$396,FY$169,SwaptionMonthsToGo+SwaptionShift))))))</f>
        <v/>
      </c>
      <c r="FZ195" s="479" t="str">
        <f ca="1">IF(OR(FZ$169&lt;SwaptionFirstMonthPosition+1,$FJ195&lt;SwaptionFirstMonthPosition+1,FZ$169&gt;SwaptionFirstMonthPosition+SwaptionNumOfMonths+1,$FJ195&gt;SwaptionFirstMonthPosition+SwaptionNumOfMonths+1),"",IF($FJ195=FZ$169,1,IF($FJ195&lt;FZ$169,INDEX($FK$170:$ID$241,FZ$169,$FJ195),SUMPRODUCT(INDEX($FK$325:$ID$396,FZ$169,1+SwaptionShift):INDEX($FK$325:$ID$396,FZ$169,SwaptionMonthsToGo+SwaptionShift),INDEX($FK$245:$ID$316,$FJ195-FZ$169,73-FZ$169+SwaptionShift):INDEX($FK$245:$ID$316,$FJ195-FZ$169,72-FZ$169+SwaptionMonthsToGo+SwaptionShift))/SQRT(SUM(INDEX($FK350:$ID350,1+SwaptionShift):INDEX($FK350:$ID350,SwaptionMonthsToGo+SwaptionShift))*SUM(INDEX($FK$325:$ID$396,FZ$169,1+SwaptionShift):INDEX($FK$325:$ID$396,FZ$169,SwaptionMonthsToGo+SwaptionShift))))))</f>
        <v/>
      </c>
      <c r="GA195" s="479" t="str">
        <f ca="1">IF(OR(GA$169&lt;SwaptionFirstMonthPosition+1,$FJ195&lt;SwaptionFirstMonthPosition+1,GA$169&gt;SwaptionFirstMonthPosition+SwaptionNumOfMonths+1,$FJ195&gt;SwaptionFirstMonthPosition+SwaptionNumOfMonths+1),"",IF($FJ195=GA$169,1,IF($FJ195&lt;GA$169,INDEX($FK$170:$ID$241,GA$169,$FJ195),SUMPRODUCT(INDEX($FK$325:$ID$396,GA$169,1+SwaptionShift):INDEX($FK$325:$ID$396,GA$169,SwaptionMonthsToGo+SwaptionShift),INDEX($FK$245:$ID$316,$FJ195-GA$169,73-GA$169+SwaptionShift):INDEX($FK$245:$ID$316,$FJ195-GA$169,72-GA$169+SwaptionMonthsToGo+SwaptionShift))/SQRT(SUM(INDEX($FK350:$ID350,1+SwaptionShift):INDEX($FK350:$ID350,SwaptionMonthsToGo+SwaptionShift))*SUM(INDEX($FK$325:$ID$396,GA$169,1+SwaptionShift):INDEX($FK$325:$ID$396,GA$169,SwaptionMonthsToGo+SwaptionShift))))))</f>
        <v/>
      </c>
      <c r="GB195" s="479" t="str">
        <f ca="1">IF(OR(GB$169&lt;SwaptionFirstMonthPosition+1,$FJ195&lt;SwaptionFirstMonthPosition+1,GB$169&gt;SwaptionFirstMonthPosition+SwaptionNumOfMonths+1,$FJ195&gt;SwaptionFirstMonthPosition+SwaptionNumOfMonths+1),"",IF($FJ195=GB$169,1,IF($FJ195&lt;GB$169,INDEX($FK$170:$ID$241,GB$169,$FJ195),SUMPRODUCT(INDEX($FK$325:$ID$396,GB$169,1+SwaptionShift):INDEX($FK$325:$ID$396,GB$169,SwaptionMonthsToGo+SwaptionShift),INDEX($FK$245:$ID$316,$FJ195-GB$169,73-GB$169+SwaptionShift):INDEX($FK$245:$ID$316,$FJ195-GB$169,72-GB$169+SwaptionMonthsToGo+SwaptionShift))/SQRT(SUM(INDEX($FK350:$ID350,1+SwaptionShift):INDEX($FK350:$ID350,SwaptionMonthsToGo+SwaptionShift))*SUM(INDEX($FK$325:$ID$396,GB$169,1+SwaptionShift):INDEX($FK$325:$ID$396,GB$169,SwaptionMonthsToGo+SwaptionShift))))))</f>
        <v/>
      </c>
      <c r="GC195" s="479" t="str">
        <f ca="1">IF(OR(GC$169&lt;SwaptionFirstMonthPosition+1,$FJ195&lt;SwaptionFirstMonthPosition+1,GC$169&gt;SwaptionFirstMonthPosition+SwaptionNumOfMonths+1,$FJ195&gt;SwaptionFirstMonthPosition+SwaptionNumOfMonths+1),"",IF($FJ195=GC$169,1,IF($FJ195&lt;GC$169,INDEX($FK$170:$ID$241,GC$169,$FJ195),SUMPRODUCT(INDEX($FK$325:$ID$396,GC$169,1+SwaptionShift):INDEX($FK$325:$ID$396,GC$169,SwaptionMonthsToGo+SwaptionShift),INDEX($FK$245:$ID$316,$FJ195-GC$169,73-GC$169+SwaptionShift):INDEX($FK$245:$ID$316,$FJ195-GC$169,72-GC$169+SwaptionMonthsToGo+SwaptionShift))/SQRT(SUM(INDEX($FK350:$ID350,1+SwaptionShift):INDEX($FK350:$ID350,SwaptionMonthsToGo+SwaptionShift))*SUM(INDEX($FK$325:$ID$396,GC$169,1+SwaptionShift):INDEX($FK$325:$ID$396,GC$169,SwaptionMonthsToGo+SwaptionShift))))))</f>
        <v/>
      </c>
      <c r="GD195" s="479" t="str">
        <f ca="1">IF(OR(GD$169&lt;SwaptionFirstMonthPosition+1,$FJ195&lt;SwaptionFirstMonthPosition+1,GD$169&gt;SwaptionFirstMonthPosition+SwaptionNumOfMonths+1,$FJ195&gt;SwaptionFirstMonthPosition+SwaptionNumOfMonths+1),"",IF($FJ195=GD$169,1,IF($FJ195&lt;GD$169,INDEX($FK$170:$ID$241,GD$169,$FJ195),SUMPRODUCT(INDEX($FK$325:$ID$396,GD$169,1+SwaptionShift):INDEX($FK$325:$ID$396,GD$169,SwaptionMonthsToGo+SwaptionShift),INDEX($FK$245:$ID$316,$FJ195-GD$169,73-GD$169+SwaptionShift):INDEX($FK$245:$ID$316,$FJ195-GD$169,72-GD$169+SwaptionMonthsToGo+SwaptionShift))/SQRT(SUM(INDEX($FK350:$ID350,1+SwaptionShift):INDEX($FK350:$ID350,SwaptionMonthsToGo+SwaptionShift))*SUM(INDEX($FK$325:$ID$396,GD$169,1+SwaptionShift):INDEX($FK$325:$ID$396,GD$169,SwaptionMonthsToGo+SwaptionShift))))))</f>
        <v/>
      </c>
      <c r="GE195" s="479" t="str">
        <f ca="1">IF(OR(GE$169&lt;SwaptionFirstMonthPosition+1,$FJ195&lt;SwaptionFirstMonthPosition+1,GE$169&gt;SwaptionFirstMonthPosition+SwaptionNumOfMonths+1,$FJ195&gt;SwaptionFirstMonthPosition+SwaptionNumOfMonths+1),"",IF($FJ195=GE$169,1,IF($FJ195&lt;GE$169,INDEX($FK$170:$ID$241,GE$169,$FJ195),SUMPRODUCT(INDEX($FK$325:$ID$396,GE$169,1+SwaptionShift):INDEX($FK$325:$ID$396,GE$169,SwaptionMonthsToGo+SwaptionShift),INDEX($FK$245:$ID$316,$FJ195-GE$169,73-GE$169+SwaptionShift):INDEX($FK$245:$ID$316,$FJ195-GE$169,72-GE$169+SwaptionMonthsToGo+SwaptionShift))/SQRT(SUM(INDEX($FK350:$ID350,1+SwaptionShift):INDEX($FK350:$ID350,SwaptionMonthsToGo+SwaptionShift))*SUM(INDEX($FK$325:$ID$396,GE$169,1+SwaptionShift):INDEX($FK$325:$ID$396,GE$169,SwaptionMonthsToGo+SwaptionShift))))))</f>
        <v/>
      </c>
      <c r="GF195" s="479" t="str">
        <f ca="1">IF(OR(GF$169&lt;SwaptionFirstMonthPosition+1,$FJ195&lt;SwaptionFirstMonthPosition+1,GF$169&gt;SwaptionFirstMonthPosition+SwaptionNumOfMonths+1,$FJ195&gt;SwaptionFirstMonthPosition+SwaptionNumOfMonths+1),"",IF($FJ195=GF$169,1,IF($FJ195&lt;GF$169,INDEX($FK$170:$ID$241,GF$169,$FJ195),SUMPRODUCT(INDEX($FK$325:$ID$396,GF$169,1+SwaptionShift):INDEX($FK$325:$ID$396,GF$169,SwaptionMonthsToGo+SwaptionShift),INDEX($FK$245:$ID$316,$FJ195-GF$169,73-GF$169+SwaptionShift):INDEX($FK$245:$ID$316,$FJ195-GF$169,72-GF$169+SwaptionMonthsToGo+SwaptionShift))/SQRT(SUM(INDEX($FK350:$ID350,1+SwaptionShift):INDEX($FK350:$ID350,SwaptionMonthsToGo+SwaptionShift))*SUM(INDEX($FK$325:$ID$396,GF$169,1+SwaptionShift):INDEX($FK$325:$ID$396,GF$169,SwaptionMonthsToGo+SwaptionShift))))))</f>
        <v/>
      </c>
      <c r="GG195" s="479" t="str">
        <f ca="1">IF(OR(GG$169&lt;SwaptionFirstMonthPosition+1,$FJ195&lt;SwaptionFirstMonthPosition+1,GG$169&gt;SwaptionFirstMonthPosition+SwaptionNumOfMonths+1,$FJ195&gt;SwaptionFirstMonthPosition+SwaptionNumOfMonths+1),"",IF($FJ195=GG$169,1,IF($FJ195&lt;GG$169,INDEX($FK$170:$ID$241,GG$169,$FJ195),SUMPRODUCT(INDEX($FK$325:$ID$396,GG$169,1+SwaptionShift):INDEX($FK$325:$ID$396,GG$169,SwaptionMonthsToGo+SwaptionShift),INDEX($FK$245:$ID$316,$FJ195-GG$169,73-GG$169+SwaptionShift):INDEX($FK$245:$ID$316,$FJ195-GG$169,72-GG$169+SwaptionMonthsToGo+SwaptionShift))/SQRT(SUM(INDEX($FK350:$ID350,1+SwaptionShift):INDEX($FK350:$ID350,SwaptionMonthsToGo+SwaptionShift))*SUM(INDEX($FK$325:$ID$396,GG$169,1+SwaptionShift):INDEX($FK$325:$ID$396,GG$169,SwaptionMonthsToGo+SwaptionShift))))))</f>
        <v/>
      </c>
      <c r="GH195" s="479" t="str">
        <f ca="1">IF(OR(GH$169&lt;SwaptionFirstMonthPosition+1,$FJ195&lt;SwaptionFirstMonthPosition+1,GH$169&gt;SwaptionFirstMonthPosition+SwaptionNumOfMonths+1,$FJ195&gt;SwaptionFirstMonthPosition+SwaptionNumOfMonths+1),"",IF($FJ195=GH$169,1,IF($FJ195&lt;GH$169,INDEX($FK$170:$ID$241,GH$169,$FJ195),SUMPRODUCT(INDEX($FK$325:$ID$396,GH$169,1+SwaptionShift):INDEX($FK$325:$ID$396,GH$169,SwaptionMonthsToGo+SwaptionShift),INDEX($FK$245:$ID$316,$FJ195-GH$169,73-GH$169+SwaptionShift):INDEX($FK$245:$ID$316,$FJ195-GH$169,72-GH$169+SwaptionMonthsToGo+SwaptionShift))/SQRT(SUM(INDEX($FK350:$ID350,1+SwaptionShift):INDEX($FK350:$ID350,SwaptionMonthsToGo+SwaptionShift))*SUM(INDEX($FK$325:$ID$396,GH$169,1+SwaptionShift):INDEX($FK$325:$ID$396,GH$169,SwaptionMonthsToGo+SwaptionShift))))))</f>
        <v/>
      </c>
      <c r="GI195" s="479" t="str">
        <f ca="1">IF(OR(GI$169&lt;SwaptionFirstMonthPosition+1,$FJ195&lt;SwaptionFirstMonthPosition+1,GI$169&gt;SwaptionFirstMonthPosition+SwaptionNumOfMonths+1,$FJ195&gt;SwaptionFirstMonthPosition+SwaptionNumOfMonths+1),"",IF($FJ195=GI$169,1,IF($FJ195&lt;GI$169,INDEX($FK$170:$ID$241,GI$169,$FJ195),SUMPRODUCT(INDEX($FK$325:$ID$396,GI$169,1+SwaptionShift):INDEX($FK$325:$ID$396,GI$169,SwaptionMonthsToGo+SwaptionShift),INDEX($FK$245:$ID$316,$FJ195-GI$169,73-GI$169+SwaptionShift):INDEX($FK$245:$ID$316,$FJ195-GI$169,72-GI$169+SwaptionMonthsToGo+SwaptionShift))/SQRT(SUM(INDEX($FK350:$ID350,1+SwaptionShift):INDEX($FK350:$ID350,SwaptionMonthsToGo+SwaptionShift))*SUM(INDEX($FK$325:$ID$396,GI$169,1+SwaptionShift):INDEX($FK$325:$ID$396,GI$169,SwaptionMonthsToGo+SwaptionShift))))))</f>
        <v/>
      </c>
      <c r="GJ195" s="479" t="str">
        <f ca="1">IF(OR(GJ$169&lt;SwaptionFirstMonthPosition+1,$FJ195&lt;SwaptionFirstMonthPosition+1,GJ$169&gt;SwaptionFirstMonthPosition+SwaptionNumOfMonths+1,$FJ195&gt;SwaptionFirstMonthPosition+SwaptionNumOfMonths+1),"",IF($FJ195=GJ$169,1,IF($FJ195&lt;GJ$169,INDEX($FK$170:$ID$241,GJ$169,$FJ195),SUMPRODUCT(INDEX($FK$325:$ID$396,GJ$169,1+SwaptionShift):INDEX($FK$325:$ID$396,GJ$169,SwaptionMonthsToGo+SwaptionShift),INDEX($FK$245:$ID$316,$FJ195-GJ$169,73-GJ$169+SwaptionShift):INDEX($FK$245:$ID$316,$FJ195-GJ$169,72-GJ$169+SwaptionMonthsToGo+SwaptionShift))/SQRT(SUM(INDEX($FK350:$ID350,1+SwaptionShift):INDEX($FK350:$ID350,SwaptionMonthsToGo+SwaptionShift))*SUM(INDEX($FK$325:$ID$396,GJ$169,1+SwaptionShift):INDEX($FK$325:$ID$396,GJ$169,SwaptionMonthsToGo+SwaptionShift))))))</f>
        <v/>
      </c>
      <c r="GK195" s="479" t="str">
        <f ca="1">IF(OR(GK$169&lt;SwaptionFirstMonthPosition+1,$FJ195&lt;SwaptionFirstMonthPosition+1,GK$169&gt;SwaptionFirstMonthPosition+SwaptionNumOfMonths+1,$FJ195&gt;SwaptionFirstMonthPosition+SwaptionNumOfMonths+1),"",IF($FJ195=GK$169,1,IF($FJ195&lt;GK$169,INDEX($FK$170:$ID$241,GK$169,$FJ195),SUMPRODUCT(INDEX($FK$325:$ID$396,GK$169,1+SwaptionShift):INDEX($FK$325:$ID$396,GK$169,SwaptionMonthsToGo+SwaptionShift),INDEX($FK$245:$ID$316,$FJ195-GK$169,73-GK$169+SwaptionShift):INDEX($FK$245:$ID$316,$FJ195-GK$169,72-GK$169+SwaptionMonthsToGo+SwaptionShift))/SQRT(SUM(INDEX($FK350:$ID350,1+SwaptionShift):INDEX($FK350:$ID350,SwaptionMonthsToGo+SwaptionShift))*SUM(INDEX($FK$325:$ID$396,GK$169,1+SwaptionShift):INDEX($FK$325:$ID$396,GK$169,SwaptionMonthsToGo+SwaptionShift))))))</f>
        <v/>
      </c>
      <c r="GL195" s="479" t="str">
        <f ca="1">IF(OR(GL$169&lt;SwaptionFirstMonthPosition+1,$FJ195&lt;SwaptionFirstMonthPosition+1,GL$169&gt;SwaptionFirstMonthPosition+SwaptionNumOfMonths+1,$FJ195&gt;SwaptionFirstMonthPosition+SwaptionNumOfMonths+1),"",IF($FJ195=GL$169,1,IF($FJ195&lt;GL$169,INDEX($FK$170:$ID$241,GL$169,$FJ195),SUMPRODUCT(INDEX($FK$325:$ID$396,GL$169,1+SwaptionShift):INDEX($FK$325:$ID$396,GL$169,SwaptionMonthsToGo+SwaptionShift),INDEX($FK$245:$ID$316,$FJ195-GL$169,73-GL$169+SwaptionShift):INDEX($FK$245:$ID$316,$FJ195-GL$169,72-GL$169+SwaptionMonthsToGo+SwaptionShift))/SQRT(SUM(INDEX($FK350:$ID350,1+SwaptionShift):INDEX($FK350:$ID350,SwaptionMonthsToGo+SwaptionShift))*SUM(INDEX($FK$325:$ID$396,GL$169,1+SwaptionShift):INDEX($FK$325:$ID$396,GL$169,SwaptionMonthsToGo+SwaptionShift))))))</f>
        <v/>
      </c>
      <c r="GM195" s="479" t="str">
        <f ca="1">IF(OR(GM$169&lt;SwaptionFirstMonthPosition+1,$FJ195&lt;SwaptionFirstMonthPosition+1,GM$169&gt;SwaptionFirstMonthPosition+SwaptionNumOfMonths+1,$FJ195&gt;SwaptionFirstMonthPosition+SwaptionNumOfMonths+1),"",IF($FJ195=GM$169,1,IF($FJ195&lt;GM$169,INDEX($FK$170:$ID$241,GM$169,$FJ195),SUMPRODUCT(INDEX($FK$325:$ID$396,GM$169,1+SwaptionShift):INDEX($FK$325:$ID$396,GM$169,SwaptionMonthsToGo+SwaptionShift),INDEX($FK$245:$ID$316,$FJ195-GM$169,73-GM$169+SwaptionShift):INDEX($FK$245:$ID$316,$FJ195-GM$169,72-GM$169+SwaptionMonthsToGo+SwaptionShift))/SQRT(SUM(INDEX($FK350:$ID350,1+SwaptionShift):INDEX($FK350:$ID350,SwaptionMonthsToGo+SwaptionShift))*SUM(INDEX($FK$325:$ID$396,GM$169,1+SwaptionShift):INDEX($FK$325:$ID$396,GM$169,SwaptionMonthsToGo+SwaptionShift))))))</f>
        <v/>
      </c>
      <c r="GN195" s="479" t="str">
        <f ca="1">IF(OR(GN$169&lt;SwaptionFirstMonthPosition+1,$FJ195&lt;SwaptionFirstMonthPosition+1,GN$169&gt;SwaptionFirstMonthPosition+SwaptionNumOfMonths+1,$FJ195&gt;SwaptionFirstMonthPosition+SwaptionNumOfMonths+1),"",IF($FJ195=GN$169,1,IF($FJ195&lt;GN$169,INDEX($FK$170:$ID$241,GN$169,$FJ195),SUMPRODUCT(INDEX($FK$325:$ID$396,GN$169,1+SwaptionShift):INDEX($FK$325:$ID$396,GN$169,SwaptionMonthsToGo+SwaptionShift),INDEX($FK$245:$ID$316,$FJ195-GN$169,73-GN$169+SwaptionShift):INDEX($FK$245:$ID$316,$FJ195-GN$169,72-GN$169+SwaptionMonthsToGo+SwaptionShift))/SQRT(SUM(INDEX($FK350:$ID350,1+SwaptionShift):INDEX($FK350:$ID350,SwaptionMonthsToGo+SwaptionShift))*SUM(INDEX($FK$325:$ID$396,GN$169,1+SwaptionShift):INDEX($FK$325:$ID$396,GN$169,SwaptionMonthsToGo+SwaptionShift))))))</f>
        <v/>
      </c>
      <c r="GO195" s="479" t="str">
        <f ca="1">IF(OR(GO$169&lt;SwaptionFirstMonthPosition+1,$FJ195&lt;SwaptionFirstMonthPosition+1,GO$169&gt;SwaptionFirstMonthPosition+SwaptionNumOfMonths+1,$FJ195&gt;SwaptionFirstMonthPosition+SwaptionNumOfMonths+1),"",IF($FJ195=GO$169,1,IF($FJ195&lt;GO$169,INDEX($FK$170:$ID$241,GO$169,$FJ195),SUMPRODUCT(INDEX($FK$325:$ID$396,GO$169,1+SwaptionShift):INDEX($FK$325:$ID$396,GO$169,SwaptionMonthsToGo+SwaptionShift),INDEX($FK$245:$ID$316,$FJ195-GO$169,73-GO$169+SwaptionShift):INDEX($FK$245:$ID$316,$FJ195-GO$169,72-GO$169+SwaptionMonthsToGo+SwaptionShift))/SQRT(SUM(INDEX($FK350:$ID350,1+SwaptionShift):INDEX($FK350:$ID350,SwaptionMonthsToGo+SwaptionShift))*SUM(INDEX($FK$325:$ID$396,GO$169,1+SwaptionShift):INDEX($FK$325:$ID$396,GO$169,SwaptionMonthsToGo+SwaptionShift))))))</f>
        <v/>
      </c>
      <c r="GP195" s="479" t="str">
        <f ca="1">IF(OR(GP$169&lt;SwaptionFirstMonthPosition+1,$FJ195&lt;SwaptionFirstMonthPosition+1,GP$169&gt;SwaptionFirstMonthPosition+SwaptionNumOfMonths+1,$FJ195&gt;SwaptionFirstMonthPosition+SwaptionNumOfMonths+1),"",IF($FJ195=GP$169,1,IF($FJ195&lt;GP$169,INDEX($FK$170:$ID$241,GP$169,$FJ195),SUMPRODUCT(INDEX($FK$325:$ID$396,GP$169,1+SwaptionShift):INDEX($FK$325:$ID$396,GP$169,SwaptionMonthsToGo+SwaptionShift),INDEX($FK$245:$ID$316,$FJ195-GP$169,73-GP$169+SwaptionShift):INDEX($FK$245:$ID$316,$FJ195-GP$169,72-GP$169+SwaptionMonthsToGo+SwaptionShift))/SQRT(SUM(INDEX($FK350:$ID350,1+SwaptionShift):INDEX($FK350:$ID350,SwaptionMonthsToGo+SwaptionShift))*SUM(INDEX($FK$325:$ID$396,GP$169,1+SwaptionShift):INDEX($FK$325:$ID$396,GP$169,SwaptionMonthsToGo+SwaptionShift))))))</f>
        <v/>
      </c>
      <c r="GQ195" s="479" t="str">
        <f ca="1">IF(OR(GQ$169&lt;SwaptionFirstMonthPosition+1,$FJ195&lt;SwaptionFirstMonthPosition+1,GQ$169&gt;SwaptionFirstMonthPosition+SwaptionNumOfMonths+1,$FJ195&gt;SwaptionFirstMonthPosition+SwaptionNumOfMonths+1),"",IF($FJ195=GQ$169,1,IF($FJ195&lt;GQ$169,INDEX($FK$170:$ID$241,GQ$169,$FJ195),SUMPRODUCT(INDEX($FK$325:$ID$396,GQ$169,1+SwaptionShift):INDEX($FK$325:$ID$396,GQ$169,SwaptionMonthsToGo+SwaptionShift),INDEX($FK$245:$ID$316,$FJ195-GQ$169,73-GQ$169+SwaptionShift):INDEX($FK$245:$ID$316,$FJ195-GQ$169,72-GQ$169+SwaptionMonthsToGo+SwaptionShift))/SQRT(SUM(INDEX($FK350:$ID350,1+SwaptionShift):INDEX($FK350:$ID350,SwaptionMonthsToGo+SwaptionShift))*SUM(INDEX($FK$325:$ID$396,GQ$169,1+SwaptionShift):INDEX($FK$325:$ID$396,GQ$169,SwaptionMonthsToGo+SwaptionShift))))))</f>
        <v/>
      </c>
      <c r="GR195" s="479" t="str">
        <f ca="1">IF(OR(GR$169&lt;SwaptionFirstMonthPosition+1,$FJ195&lt;SwaptionFirstMonthPosition+1,GR$169&gt;SwaptionFirstMonthPosition+SwaptionNumOfMonths+1,$FJ195&gt;SwaptionFirstMonthPosition+SwaptionNumOfMonths+1),"",IF($FJ195=GR$169,1,IF($FJ195&lt;GR$169,INDEX($FK$170:$ID$241,GR$169,$FJ195),SUMPRODUCT(INDEX($FK$325:$ID$396,GR$169,1+SwaptionShift):INDEX($FK$325:$ID$396,GR$169,SwaptionMonthsToGo+SwaptionShift),INDEX($FK$245:$ID$316,$FJ195-GR$169,73-GR$169+SwaptionShift):INDEX($FK$245:$ID$316,$FJ195-GR$169,72-GR$169+SwaptionMonthsToGo+SwaptionShift))/SQRT(SUM(INDEX($FK350:$ID350,1+SwaptionShift):INDEX($FK350:$ID350,SwaptionMonthsToGo+SwaptionShift))*SUM(INDEX($FK$325:$ID$396,GR$169,1+SwaptionShift):INDEX($FK$325:$ID$396,GR$169,SwaptionMonthsToGo+SwaptionShift))))))</f>
        <v/>
      </c>
      <c r="GS195" s="479" t="str">
        <f ca="1">IF(OR(GS$169&lt;SwaptionFirstMonthPosition+1,$FJ195&lt;SwaptionFirstMonthPosition+1,GS$169&gt;SwaptionFirstMonthPosition+SwaptionNumOfMonths+1,$FJ195&gt;SwaptionFirstMonthPosition+SwaptionNumOfMonths+1),"",IF($FJ195=GS$169,1,IF($FJ195&lt;GS$169,INDEX($FK$170:$ID$241,GS$169,$FJ195),SUMPRODUCT(INDEX($FK$325:$ID$396,GS$169,1+SwaptionShift):INDEX($FK$325:$ID$396,GS$169,SwaptionMonthsToGo+SwaptionShift),INDEX($FK$245:$ID$316,$FJ195-GS$169,73-GS$169+SwaptionShift):INDEX($FK$245:$ID$316,$FJ195-GS$169,72-GS$169+SwaptionMonthsToGo+SwaptionShift))/SQRT(SUM(INDEX($FK350:$ID350,1+SwaptionShift):INDEX($FK350:$ID350,SwaptionMonthsToGo+SwaptionShift))*SUM(INDEX($FK$325:$ID$396,GS$169,1+SwaptionShift):INDEX($FK$325:$ID$396,GS$169,SwaptionMonthsToGo+SwaptionShift))))))</f>
        <v/>
      </c>
      <c r="GT195" s="479" t="str">
        <f ca="1">IF(OR(GT$169&lt;SwaptionFirstMonthPosition+1,$FJ195&lt;SwaptionFirstMonthPosition+1,GT$169&gt;SwaptionFirstMonthPosition+SwaptionNumOfMonths+1,$FJ195&gt;SwaptionFirstMonthPosition+SwaptionNumOfMonths+1),"",IF($FJ195=GT$169,1,IF($FJ195&lt;GT$169,INDEX($FK$170:$ID$241,GT$169,$FJ195),SUMPRODUCT(INDEX($FK$325:$ID$396,GT$169,1+SwaptionShift):INDEX($FK$325:$ID$396,GT$169,SwaptionMonthsToGo+SwaptionShift),INDEX($FK$245:$ID$316,$FJ195-GT$169,73-GT$169+SwaptionShift):INDEX($FK$245:$ID$316,$FJ195-GT$169,72-GT$169+SwaptionMonthsToGo+SwaptionShift))/SQRT(SUM(INDEX($FK350:$ID350,1+SwaptionShift):INDEX($FK350:$ID350,SwaptionMonthsToGo+SwaptionShift))*SUM(INDEX($FK$325:$ID$396,GT$169,1+SwaptionShift):INDEX($FK$325:$ID$396,GT$169,SwaptionMonthsToGo+SwaptionShift))))))</f>
        <v/>
      </c>
      <c r="GU195" s="479" t="str">
        <f ca="1">IF(OR(GU$169&lt;SwaptionFirstMonthPosition+1,$FJ195&lt;SwaptionFirstMonthPosition+1,GU$169&gt;SwaptionFirstMonthPosition+SwaptionNumOfMonths+1,$FJ195&gt;SwaptionFirstMonthPosition+SwaptionNumOfMonths+1),"",IF($FJ195=GU$169,1,IF($FJ195&lt;GU$169,INDEX($FK$170:$ID$241,GU$169,$FJ195),SUMPRODUCT(INDEX($FK$325:$ID$396,GU$169,1+SwaptionShift):INDEX($FK$325:$ID$396,GU$169,SwaptionMonthsToGo+SwaptionShift),INDEX($FK$245:$ID$316,$FJ195-GU$169,73-GU$169+SwaptionShift):INDEX($FK$245:$ID$316,$FJ195-GU$169,72-GU$169+SwaptionMonthsToGo+SwaptionShift))/SQRT(SUM(INDEX($FK350:$ID350,1+SwaptionShift):INDEX($FK350:$ID350,SwaptionMonthsToGo+SwaptionShift))*SUM(INDEX($FK$325:$ID$396,GU$169,1+SwaptionShift):INDEX($FK$325:$ID$396,GU$169,SwaptionMonthsToGo+SwaptionShift))))))</f>
        <v/>
      </c>
      <c r="GV195" s="479" t="str">
        <f ca="1">IF(OR(GV$169&lt;SwaptionFirstMonthPosition+1,$FJ195&lt;SwaptionFirstMonthPosition+1,GV$169&gt;SwaptionFirstMonthPosition+SwaptionNumOfMonths+1,$FJ195&gt;SwaptionFirstMonthPosition+SwaptionNumOfMonths+1),"",IF($FJ195=GV$169,1,IF($FJ195&lt;GV$169,INDEX($FK$170:$ID$241,GV$169,$FJ195),SUMPRODUCT(INDEX($FK$325:$ID$396,GV$169,1+SwaptionShift):INDEX($FK$325:$ID$396,GV$169,SwaptionMonthsToGo+SwaptionShift),INDEX($FK$245:$ID$316,$FJ195-GV$169,73-GV$169+SwaptionShift):INDEX($FK$245:$ID$316,$FJ195-GV$169,72-GV$169+SwaptionMonthsToGo+SwaptionShift))/SQRT(SUM(INDEX($FK350:$ID350,1+SwaptionShift):INDEX($FK350:$ID350,SwaptionMonthsToGo+SwaptionShift))*SUM(INDEX($FK$325:$ID$396,GV$169,1+SwaptionShift):INDEX($FK$325:$ID$396,GV$169,SwaptionMonthsToGo+SwaptionShift))))))</f>
        <v/>
      </c>
      <c r="GW195" s="479" t="str">
        <f ca="1">IF(OR(GW$169&lt;SwaptionFirstMonthPosition+1,$FJ195&lt;SwaptionFirstMonthPosition+1,GW$169&gt;SwaptionFirstMonthPosition+SwaptionNumOfMonths+1,$FJ195&gt;SwaptionFirstMonthPosition+SwaptionNumOfMonths+1),"",IF($FJ195=GW$169,1,IF($FJ195&lt;GW$169,INDEX($FK$170:$ID$241,GW$169,$FJ195),SUMPRODUCT(INDEX($FK$325:$ID$396,GW$169,1+SwaptionShift):INDEX($FK$325:$ID$396,GW$169,SwaptionMonthsToGo+SwaptionShift),INDEX($FK$245:$ID$316,$FJ195-GW$169,73-GW$169+SwaptionShift):INDEX($FK$245:$ID$316,$FJ195-GW$169,72-GW$169+SwaptionMonthsToGo+SwaptionShift))/SQRT(SUM(INDEX($FK350:$ID350,1+SwaptionShift):INDEX($FK350:$ID350,SwaptionMonthsToGo+SwaptionShift))*SUM(INDEX($FK$325:$ID$396,GW$169,1+SwaptionShift):INDEX($FK$325:$ID$396,GW$169,SwaptionMonthsToGo+SwaptionShift))))))</f>
        <v/>
      </c>
      <c r="GX195" s="479" t="str">
        <f ca="1">IF(OR(GX$169&lt;SwaptionFirstMonthPosition+1,$FJ195&lt;SwaptionFirstMonthPosition+1,GX$169&gt;SwaptionFirstMonthPosition+SwaptionNumOfMonths+1,$FJ195&gt;SwaptionFirstMonthPosition+SwaptionNumOfMonths+1),"",IF($FJ195=GX$169,1,IF($FJ195&lt;GX$169,INDEX($FK$170:$ID$241,GX$169,$FJ195),SUMPRODUCT(INDEX($FK$325:$ID$396,GX$169,1+SwaptionShift):INDEX($FK$325:$ID$396,GX$169,SwaptionMonthsToGo+SwaptionShift),INDEX($FK$245:$ID$316,$FJ195-GX$169,73-GX$169+SwaptionShift):INDEX($FK$245:$ID$316,$FJ195-GX$169,72-GX$169+SwaptionMonthsToGo+SwaptionShift))/SQRT(SUM(INDEX($FK350:$ID350,1+SwaptionShift):INDEX($FK350:$ID350,SwaptionMonthsToGo+SwaptionShift))*SUM(INDEX($FK$325:$ID$396,GX$169,1+SwaptionShift):INDEX($FK$325:$ID$396,GX$169,SwaptionMonthsToGo+SwaptionShift))))))</f>
        <v/>
      </c>
      <c r="GY195" s="479" t="str">
        <f ca="1">IF(OR(GY$169&lt;SwaptionFirstMonthPosition+1,$FJ195&lt;SwaptionFirstMonthPosition+1,GY$169&gt;SwaptionFirstMonthPosition+SwaptionNumOfMonths+1,$FJ195&gt;SwaptionFirstMonthPosition+SwaptionNumOfMonths+1),"",IF($FJ195=GY$169,1,IF($FJ195&lt;GY$169,INDEX($FK$170:$ID$241,GY$169,$FJ195),SUMPRODUCT(INDEX($FK$325:$ID$396,GY$169,1+SwaptionShift):INDEX($FK$325:$ID$396,GY$169,SwaptionMonthsToGo+SwaptionShift),INDEX($FK$245:$ID$316,$FJ195-GY$169,73-GY$169+SwaptionShift):INDEX($FK$245:$ID$316,$FJ195-GY$169,72-GY$169+SwaptionMonthsToGo+SwaptionShift))/SQRT(SUM(INDEX($FK350:$ID350,1+SwaptionShift):INDEX($FK350:$ID350,SwaptionMonthsToGo+SwaptionShift))*SUM(INDEX($FK$325:$ID$396,GY$169,1+SwaptionShift):INDEX($FK$325:$ID$396,GY$169,SwaptionMonthsToGo+SwaptionShift))))))</f>
        <v/>
      </c>
      <c r="GZ195" s="479" t="str">
        <f ca="1">IF(OR(GZ$169&lt;SwaptionFirstMonthPosition+1,$FJ195&lt;SwaptionFirstMonthPosition+1,GZ$169&gt;SwaptionFirstMonthPosition+SwaptionNumOfMonths+1,$FJ195&gt;SwaptionFirstMonthPosition+SwaptionNumOfMonths+1),"",IF($FJ195=GZ$169,1,IF($FJ195&lt;GZ$169,INDEX($FK$170:$ID$241,GZ$169,$FJ195),SUMPRODUCT(INDEX($FK$325:$ID$396,GZ$169,1+SwaptionShift):INDEX($FK$325:$ID$396,GZ$169,SwaptionMonthsToGo+SwaptionShift),INDEX($FK$245:$ID$316,$FJ195-GZ$169,73-GZ$169+SwaptionShift):INDEX($FK$245:$ID$316,$FJ195-GZ$169,72-GZ$169+SwaptionMonthsToGo+SwaptionShift))/SQRT(SUM(INDEX($FK350:$ID350,1+SwaptionShift):INDEX($FK350:$ID350,SwaptionMonthsToGo+SwaptionShift))*SUM(INDEX($FK$325:$ID$396,GZ$169,1+SwaptionShift):INDEX($FK$325:$ID$396,GZ$169,SwaptionMonthsToGo+SwaptionShift))))))</f>
        <v/>
      </c>
      <c r="HA195" s="479" t="str">
        <f ca="1">IF(OR(HA$169&lt;SwaptionFirstMonthPosition+1,$FJ195&lt;SwaptionFirstMonthPosition+1,HA$169&gt;SwaptionFirstMonthPosition+SwaptionNumOfMonths+1,$FJ195&gt;SwaptionFirstMonthPosition+SwaptionNumOfMonths+1),"",IF($FJ195=HA$169,1,IF($FJ195&lt;HA$169,INDEX($FK$170:$ID$241,HA$169,$FJ195),SUMPRODUCT(INDEX($FK$325:$ID$396,HA$169,1+SwaptionShift):INDEX($FK$325:$ID$396,HA$169,SwaptionMonthsToGo+SwaptionShift),INDEX($FK$245:$ID$316,$FJ195-HA$169,73-HA$169+SwaptionShift):INDEX($FK$245:$ID$316,$FJ195-HA$169,72-HA$169+SwaptionMonthsToGo+SwaptionShift))/SQRT(SUM(INDEX($FK350:$ID350,1+SwaptionShift):INDEX($FK350:$ID350,SwaptionMonthsToGo+SwaptionShift))*SUM(INDEX($FK$325:$ID$396,HA$169,1+SwaptionShift):INDEX($FK$325:$ID$396,HA$169,SwaptionMonthsToGo+SwaptionShift))))))</f>
        <v/>
      </c>
      <c r="HB195" s="479" t="str">
        <f ca="1">IF(OR(HB$169&lt;SwaptionFirstMonthPosition+1,$FJ195&lt;SwaptionFirstMonthPosition+1,HB$169&gt;SwaptionFirstMonthPosition+SwaptionNumOfMonths+1,$FJ195&gt;SwaptionFirstMonthPosition+SwaptionNumOfMonths+1),"",IF($FJ195=HB$169,1,IF($FJ195&lt;HB$169,INDEX($FK$170:$ID$241,HB$169,$FJ195),SUMPRODUCT(INDEX($FK$325:$ID$396,HB$169,1+SwaptionShift):INDEX($FK$325:$ID$396,HB$169,SwaptionMonthsToGo+SwaptionShift),INDEX($FK$245:$ID$316,$FJ195-HB$169,73-HB$169+SwaptionShift):INDEX($FK$245:$ID$316,$FJ195-HB$169,72-HB$169+SwaptionMonthsToGo+SwaptionShift))/SQRT(SUM(INDEX($FK350:$ID350,1+SwaptionShift):INDEX($FK350:$ID350,SwaptionMonthsToGo+SwaptionShift))*SUM(INDEX($FK$325:$ID$396,HB$169,1+SwaptionShift):INDEX($FK$325:$ID$396,HB$169,SwaptionMonthsToGo+SwaptionShift))))))</f>
        <v/>
      </c>
      <c r="HC195" s="479" t="str">
        <f ca="1">IF(OR(HC$169&lt;SwaptionFirstMonthPosition+1,$FJ195&lt;SwaptionFirstMonthPosition+1,HC$169&gt;SwaptionFirstMonthPosition+SwaptionNumOfMonths+1,$FJ195&gt;SwaptionFirstMonthPosition+SwaptionNumOfMonths+1),"",IF($FJ195=HC$169,1,IF($FJ195&lt;HC$169,INDEX($FK$170:$ID$241,HC$169,$FJ195),SUMPRODUCT(INDEX($FK$325:$ID$396,HC$169,1+SwaptionShift):INDEX($FK$325:$ID$396,HC$169,SwaptionMonthsToGo+SwaptionShift),INDEX($FK$245:$ID$316,$FJ195-HC$169,73-HC$169+SwaptionShift):INDEX($FK$245:$ID$316,$FJ195-HC$169,72-HC$169+SwaptionMonthsToGo+SwaptionShift))/SQRT(SUM(INDEX($FK350:$ID350,1+SwaptionShift):INDEX($FK350:$ID350,SwaptionMonthsToGo+SwaptionShift))*SUM(INDEX($FK$325:$ID$396,HC$169,1+SwaptionShift):INDEX($FK$325:$ID$396,HC$169,SwaptionMonthsToGo+SwaptionShift))))))</f>
        <v/>
      </c>
      <c r="HD195" s="479" t="str">
        <f ca="1">IF(OR(HD$169&lt;SwaptionFirstMonthPosition+1,$FJ195&lt;SwaptionFirstMonthPosition+1,HD$169&gt;SwaptionFirstMonthPosition+SwaptionNumOfMonths+1,$FJ195&gt;SwaptionFirstMonthPosition+SwaptionNumOfMonths+1),"",IF($FJ195=HD$169,1,IF($FJ195&lt;HD$169,INDEX($FK$170:$ID$241,HD$169,$FJ195),SUMPRODUCT(INDEX($FK$325:$ID$396,HD$169,1+SwaptionShift):INDEX($FK$325:$ID$396,HD$169,SwaptionMonthsToGo+SwaptionShift),INDEX($FK$245:$ID$316,$FJ195-HD$169,73-HD$169+SwaptionShift):INDEX($FK$245:$ID$316,$FJ195-HD$169,72-HD$169+SwaptionMonthsToGo+SwaptionShift))/SQRT(SUM(INDEX($FK350:$ID350,1+SwaptionShift):INDEX($FK350:$ID350,SwaptionMonthsToGo+SwaptionShift))*SUM(INDEX($FK$325:$ID$396,HD$169,1+SwaptionShift):INDEX($FK$325:$ID$396,HD$169,SwaptionMonthsToGo+SwaptionShift))))))</f>
        <v/>
      </c>
      <c r="HE195" s="479" t="str">
        <f ca="1">IF(OR(HE$169&lt;SwaptionFirstMonthPosition+1,$FJ195&lt;SwaptionFirstMonthPosition+1,HE$169&gt;SwaptionFirstMonthPosition+SwaptionNumOfMonths+1,$FJ195&gt;SwaptionFirstMonthPosition+SwaptionNumOfMonths+1),"",IF($FJ195=HE$169,1,IF($FJ195&lt;HE$169,INDEX($FK$170:$ID$241,HE$169,$FJ195),SUMPRODUCT(INDEX($FK$325:$ID$396,HE$169,1+SwaptionShift):INDEX($FK$325:$ID$396,HE$169,SwaptionMonthsToGo+SwaptionShift),INDEX($FK$245:$ID$316,$FJ195-HE$169,73-HE$169+SwaptionShift):INDEX($FK$245:$ID$316,$FJ195-HE$169,72-HE$169+SwaptionMonthsToGo+SwaptionShift))/SQRT(SUM(INDEX($FK350:$ID350,1+SwaptionShift):INDEX($FK350:$ID350,SwaptionMonthsToGo+SwaptionShift))*SUM(INDEX($FK$325:$ID$396,HE$169,1+SwaptionShift):INDEX($FK$325:$ID$396,HE$169,SwaptionMonthsToGo+SwaptionShift))))))</f>
        <v/>
      </c>
      <c r="HF195" s="479" t="str">
        <f ca="1">IF(OR(HF$169&lt;SwaptionFirstMonthPosition+1,$FJ195&lt;SwaptionFirstMonthPosition+1,HF$169&gt;SwaptionFirstMonthPosition+SwaptionNumOfMonths+1,$FJ195&gt;SwaptionFirstMonthPosition+SwaptionNumOfMonths+1),"",IF($FJ195=HF$169,1,IF($FJ195&lt;HF$169,INDEX($FK$170:$ID$241,HF$169,$FJ195),SUMPRODUCT(INDEX($FK$325:$ID$396,HF$169,1+SwaptionShift):INDEX($FK$325:$ID$396,HF$169,SwaptionMonthsToGo+SwaptionShift),INDEX($FK$245:$ID$316,$FJ195-HF$169,73-HF$169+SwaptionShift):INDEX($FK$245:$ID$316,$FJ195-HF$169,72-HF$169+SwaptionMonthsToGo+SwaptionShift))/SQRT(SUM(INDEX($FK350:$ID350,1+SwaptionShift):INDEX($FK350:$ID350,SwaptionMonthsToGo+SwaptionShift))*SUM(INDEX($FK$325:$ID$396,HF$169,1+SwaptionShift):INDEX($FK$325:$ID$396,HF$169,SwaptionMonthsToGo+SwaptionShift))))))</f>
        <v/>
      </c>
      <c r="HG195" s="479" t="str">
        <f ca="1">IF(OR(HG$169&lt;SwaptionFirstMonthPosition+1,$FJ195&lt;SwaptionFirstMonthPosition+1,HG$169&gt;SwaptionFirstMonthPosition+SwaptionNumOfMonths+1,$FJ195&gt;SwaptionFirstMonthPosition+SwaptionNumOfMonths+1),"",IF($FJ195=HG$169,1,IF($FJ195&lt;HG$169,INDEX($FK$170:$ID$241,HG$169,$FJ195),SUMPRODUCT(INDEX($FK$325:$ID$396,HG$169,1+SwaptionShift):INDEX($FK$325:$ID$396,HG$169,SwaptionMonthsToGo+SwaptionShift),INDEX($FK$245:$ID$316,$FJ195-HG$169,73-HG$169+SwaptionShift):INDEX($FK$245:$ID$316,$FJ195-HG$169,72-HG$169+SwaptionMonthsToGo+SwaptionShift))/SQRT(SUM(INDEX($FK350:$ID350,1+SwaptionShift):INDEX($FK350:$ID350,SwaptionMonthsToGo+SwaptionShift))*SUM(INDEX($FK$325:$ID$396,HG$169,1+SwaptionShift):INDEX($FK$325:$ID$396,HG$169,SwaptionMonthsToGo+SwaptionShift))))))</f>
        <v/>
      </c>
      <c r="HH195" s="479" t="str">
        <f ca="1">IF(OR(HH$169&lt;SwaptionFirstMonthPosition+1,$FJ195&lt;SwaptionFirstMonthPosition+1,HH$169&gt;SwaptionFirstMonthPosition+SwaptionNumOfMonths+1,$FJ195&gt;SwaptionFirstMonthPosition+SwaptionNumOfMonths+1),"",IF($FJ195=HH$169,1,IF($FJ195&lt;HH$169,INDEX($FK$170:$ID$241,HH$169,$FJ195),SUMPRODUCT(INDEX($FK$325:$ID$396,HH$169,1+SwaptionShift):INDEX($FK$325:$ID$396,HH$169,SwaptionMonthsToGo+SwaptionShift),INDEX($FK$245:$ID$316,$FJ195-HH$169,73-HH$169+SwaptionShift):INDEX($FK$245:$ID$316,$FJ195-HH$169,72-HH$169+SwaptionMonthsToGo+SwaptionShift))/SQRT(SUM(INDEX($FK350:$ID350,1+SwaptionShift):INDEX($FK350:$ID350,SwaptionMonthsToGo+SwaptionShift))*SUM(INDEX($FK$325:$ID$396,HH$169,1+SwaptionShift):INDEX($FK$325:$ID$396,HH$169,SwaptionMonthsToGo+SwaptionShift))))))</f>
        <v/>
      </c>
      <c r="HI195" s="479" t="str">
        <f ca="1">IF(OR(HI$169&lt;SwaptionFirstMonthPosition+1,$FJ195&lt;SwaptionFirstMonthPosition+1,HI$169&gt;SwaptionFirstMonthPosition+SwaptionNumOfMonths+1,$FJ195&gt;SwaptionFirstMonthPosition+SwaptionNumOfMonths+1),"",IF($FJ195=HI$169,1,IF($FJ195&lt;HI$169,INDEX($FK$170:$ID$241,HI$169,$FJ195),SUMPRODUCT(INDEX($FK$325:$ID$396,HI$169,1+SwaptionShift):INDEX($FK$325:$ID$396,HI$169,SwaptionMonthsToGo+SwaptionShift),INDEX($FK$245:$ID$316,$FJ195-HI$169,73-HI$169+SwaptionShift):INDEX($FK$245:$ID$316,$FJ195-HI$169,72-HI$169+SwaptionMonthsToGo+SwaptionShift))/SQRT(SUM(INDEX($FK350:$ID350,1+SwaptionShift):INDEX($FK350:$ID350,SwaptionMonthsToGo+SwaptionShift))*SUM(INDEX($FK$325:$ID$396,HI$169,1+SwaptionShift):INDEX($FK$325:$ID$396,HI$169,SwaptionMonthsToGo+SwaptionShift))))))</f>
        <v/>
      </c>
      <c r="HJ195" s="479" t="str">
        <f ca="1">IF(OR(HJ$169&lt;SwaptionFirstMonthPosition+1,$FJ195&lt;SwaptionFirstMonthPosition+1,HJ$169&gt;SwaptionFirstMonthPosition+SwaptionNumOfMonths+1,$FJ195&gt;SwaptionFirstMonthPosition+SwaptionNumOfMonths+1),"",IF($FJ195=HJ$169,1,IF($FJ195&lt;HJ$169,INDEX($FK$170:$ID$241,HJ$169,$FJ195),SUMPRODUCT(INDEX($FK$325:$ID$396,HJ$169,1+SwaptionShift):INDEX($FK$325:$ID$396,HJ$169,SwaptionMonthsToGo+SwaptionShift),INDEX($FK$245:$ID$316,$FJ195-HJ$169,73-HJ$169+SwaptionShift):INDEX($FK$245:$ID$316,$FJ195-HJ$169,72-HJ$169+SwaptionMonthsToGo+SwaptionShift))/SQRT(SUM(INDEX($FK350:$ID350,1+SwaptionShift):INDEX($FK350:$ID350,SwaptionMonthsToGo+SwaptionShift))*SUM(INDEX($FK$325:$ID$396,HJ$169,1+SwaptionShift):INDEX($FK$325:$ID$396,HJ$169,SwaptionMonthsToGo+SwaptionShift))))))</f>
        <v/>
      </c>
      <c r="HK195" s="479" t="str">
        <f ca="1">IF(OR(HK$169&lt;SwaptionFirstMonthPosition+1,$FJ195&lt;SwaptionFirstMonthPosition+1,HK$169&gt;SwaptionFirstMonthPosition+SwaptionNumOfMonths+1,$FJ195&gt;SwaptionFirstMonthPosition+SwaptionNumOfMonths+1),"",IF($FJ195=HK$169,1,IF($FJ195&lt;HK$169,INDEX($FK$170:$ID$241,HK$169,$FJ195),SUMPRODUCT(INDEX($FK$325:$ID$396,HK$169,1+SwaptionShift):INDEX($FK$325:$ID$396,HK$169,SwaptionMonthsToGo+SwaptionShift),INDEX($FK$245:$ID$316,$FJ195-HK$169,73-HK$169+SwaptionShift):INDEX($FK$245:$ID$316,$FJ195-HK$169,72-HK$169+SwaptionMonthsToGo+SwaptionShift))/SQRT(SUM(INDEX($FK350:$ID350,1+SwaptionShift):INDEX($FK350:$ID350,SwaptionMonthsToGo+SwaptionShift))*SUM(INDEX($FK$325:$ID$396,HK$169,1+SwaptionShift):INDEX($FK$325:$ID$396,HK$169,SwaptionMonthsToGo+SwaptionShift))))))</f>
        <v/>
      </c>
      <c r="HL195" s="479" t="str">
        <f ca="1">IF(OR(HL$169&lt;SwaptionFirstMonthPosition+1,$FJ195&lt;SwaptionFirstMonthPosition+1,HL$169&gt;SwaptionFirstMonthPosition+SwaptionNumOfMonths+1,$FJ195&gt;SwaptionFirstMonthPosition+SwaptionNumOfMonths+1),"",IF($FJ195=HL$169,1,IF($FJ195&lt;HL$169,INDEX($FK$170:$ID$241,HL$169,$FJ195),SUMPRODUCT(INDEX($FK$325:$ID$396,HL$169,1+SwaptionShift):INDEX($FK$325:$ID$396,HL$169,SwaptionMonthsToGo+SwaptionShift),INDEX($FK$245:$ID$316,$FJ195-HL$169,73-HL$169+SwaptionShift):INDEX($FK$245:$ID$316,$FJ195-HL$169,72-HL$169+SwaptionMonthsToGo+SwaptionShift))/SQRT(SUM(INDEX($FK350:$ID350,1+SwaptionShift):INDEX($FK350:$ID350,SwaptionMonthsToGo+SwaptionShift))*SUM(INDEX($FK$325:$ID$396,HL$169,1+SwaptionShift):INDEX($FK$325:$ID$396,HL$169,SwaptionMonthsToGo+SwaptionShift))))))</f>
        <v/>
      </c>
      <c r="HM195" s="479" t="str">
        <f ca="1">IF(OR(HM$169&lt;SwaptionFirstMonthPosition+1,$FJ195&lt;SwaptionFirstMonthPosition+1,HM$169&gt;SwaptionFirstMonthPosition+SwaptionNumOfMonths+1,$FJ195&gt;SwaptionFirstMonthPosition+SwaptionNumOfMonths+1),"",IF($FJ195=HM$169,1,IF($FJ195&lt;HM$169,INDEX($FK$170:$ID$241,HM$169,$FJ195),SUMPRODUCT(INDEX($FK$325:$ID$396,HM$169,1+SwaptionShift):INDEX($FK$325:$ID$396,HM$169,SwaptionMonthsToGo+SwaptionShift),INDEX($FK$245:$ID$316,$FJ195-HM$169,73-HM$169+SwaptionShift):INDEX($FK$245:$ID$316,$FJ195-HM$169,72-HM$169+SwaptionMonthsToGo+SwaptionShift))/SQRT(SUM(INDEX($FK350:$ID350,1+SwaptionShift):INDEX($FK350:$ID350,SwaptionMonthsToGo+SwaptionShift))*SUM(INDEX($FK$325:$ID$396,HM$169,1+SwaptionShift):INDEX($FK$325:$ID$396,HM$169,SwaptionMonthsToGo+SwaptionShift))))))</f>
        <v/>
      </c>
      <c r="HN195" s="479" t="str">
        <f ca="1">IF(OR(HN$169&lt;SwaptionFirstMonthPosition+1,$FJ195&lt;SwaptionFirstMonthPosition+1,HN$169&gt;SwaptionFirstMonthPosition+SwaptionNumOfMonths+1,$FJ195&gt;SwaptionFirstMonthPosition+SwaptionNumOfMonths+1),"",IF($FJ195=HN$169,1,IF($FJ195&lt;HN$169,INDEX($FK$170:$ID$241,HN$169,$FJ195),SUMPRODUCT(INDEX($FK$325:$ID$396,HN$169,1+SwaptionShift):INDEX($FK$325:$ID$396,HN$169,SwaptionMonthsToGo+SwaptionShift),INDEX($FK$245:$ID$316,$FJ195-HN$169,73-HN$169+SwaptionShift):INDEX($FK$245:$ID$316,$FJ195-HN$169,72-HN$169+SwaptionMonthsToGo+SwaptionShift))/SQRT(SUM(INDEX($FK350:$ID350,1+SwaptionShift):INDEX($FK350:$ID350,SwaptionMonthsToGo+SwaptionShift))*SUM(INDEX($FK$325:$ID$396,HN$169,1+SwaptionShift):INDEX($FK$325:$ID$396,HN$169,SwaptionMonthsToGo+SwaptionShift))))))</f>
        <v/>
      </c>
      <c r="HO195" s="479" t="str">
        <f ca="1">IF(OR(HO$169&lt;SwaptionFirstMonthPosition+1,$FJ195&lt;SwaptionFirstMonthPosition+1,HO$169&gt;SwaptionFirstMonthPosition+SwaptionNumOfMonths+1,$FJ195&gt;SwaptionFirstMonthPosition+SwaptionNumOfMonths+1),"",IF($FJ195=HO$169,1,IF($FJ195&lt;HO$169,INDEX($FK$170:$ID$241,HO$169,$FJ195),SUMPRODUCT(INDEX($FK$325:$ID$396,HO$169,1+SwaptionShift):INDEX($FK$325:$ID$396,HO$169,SwaptionMonthsToGo+SwaptionShift),INDEX($FK$245:$ID$316,$FJ195-HO$169,73-HO$169+SwaptionShift):INDEX($FK$245:$ID$316,$FJ195-HO$169,72-HO$169+SwaptionMonthsToGo+SwaptionShift))/SQRT(SUM(INDEX($FK350:$ID350,1+SwaptionShift):INDEX($FK350:$ID350,SwaptionMonthsToGo+SwaptionShift))*SUM(INDEX($FK$325:$ID$396,HO$169,1+SwaptionShift):INDEX($FK$325:$ID$396,HO$169,SwaptionMonthsToGo+SwaptionShift))))))</f>
        <v/>
      </c>
      <c r="HP195" s="479" t="str">
        <f ca="1">IF(OR(HP$169&lt;SwaptionFirstMonthPosition+1,$FJ195&lt;SwaptionFirstMonthPosition+1,HP$169&gt;SwaptionFirstMonthPosition+SwaptionNumOfMonths+1,$FJ195&gt;SwaptionFirstMonthPosition+SwaptionNumOfMonths+1),"",IF($FJ195=HP$169,1,IF($FJ195&lt;HP$169,INDEX($FK$170:$ID$241,HP$169,$FJ195),SUMPRODUCT(INDEX($FK$325:$ID$396,HP$169,1+SwaptionShift):INDEX($FK$325:$ID$396,HP$169,SwaptionMonthsToGo+SwaptionShift),INDEX($FK$245:$ID$316,$FJ195-HP$169,73-HP$169+SwaptionShift):INDEX($FK$245:$ID$316,$FJ195-HP$169,72-HP$169+SwaptionMonthsToGo+SwaptionShift))/SQRT(SUM(INDEX($FK350:$ID350,1+SwaptionShift):INDEX($FK350:$ID350,SwaptionMonthsToGo+SwaptionShift))*SUM(INDEX($FK$325:$ID$396,HP$169,1+SwaptionShift):INDEX($FK$325:$ID$396,HP$169,SwaptionMonthsToGo+SwaptionShift))))))</f>
        <v/>
      </c>
      <c r="HQ195" s="479" t="str">
        <f ca="1">IF(OR(HQ$169&lt;SwaptionFirstMonthPosition+1,$FJ195&lt;SwaptionFirstMonthPosition+1,HQ$169&gt;SwaptionFirstMonthPosition+SwaptionNumOfMonths+1,$FJ195&gt;SwaptionFirstMonthPosition+SwaptionNumOfMonths+1),"",IF($FJ195=HQ$169,1,IF($FJ195&lt;HQ$169,INDEX($FK$170:$ID$241,HQ$169,$FJ195),SUMPRODUCT(INDEX($FK$325:$ID$396,HQ$169,1+SwaptionShift):INDEX($FK$325:$ID$396,HQ$169,SwaptionMonthsToGo+SwaptionShift),INDEX($FK$245:$ID$316,$FJ195-HQ$169,73-HQ$169+SwaptionShift):INDEX($FK$245:$ID$316,$FJ195-HQ$169,72-HQ$169+SwaptionMonthsToGo+SwaptionShift))/SQRT(SUM(INDEX($FK350:$ID350,1+SwaptionShift):INDEX($FK350:$ID350,SwaptionMonthsToGo+SwaptionShift))*SUM(INDEX($FK$325:$ID$396,HQ$169,1+SwaptionShift):INDEX($FK$325:$ID$396,HQ$169,SwaptionMonthsToGo+SwaptionShift))))))</f>
        <v/>
      </c>
      <c r="HR195" s="479" t="str">
        <f ca="1">IF(OR(HR$169&lt;SwaptionFirstMonthPosition+1,$FJ195&lt;SwaptionFirstMonthPosition+1,HR$169&gt;SwaptionFirstMonthPosition+SwaptionNumOfMonths+1,$FJ195&gt;SwaptionFirstMonthPosition+SwaptionNumOfMonths+1),"",IF($FJ195=HR$169,1,IF($FJ195&lt;HR$169,INDEX($FK$170:$ID$241,HR$169,$FJ195),SUMPRODUCT(INDEX($FK$325:$ID$396,HR$169,1+SwaptionShift):INDEX($FK$325:$ID$396,HR$169,SwaptionMonthsToGo+SwaptionShift),INDEX($FK$245:$ID$316,$FJ195-HR$169,73-HR$169+SwaptionShift):INDEX($FK$245:$ID$316,$FJ195-HR$169,72-HR$169+SwaptionMonthsToGo+SwaptionShift))/SQRT(SUM(INDEX($FK350:$ID350,1+SwaptionShift):INDEX($FK350:$ID350,SwaptionMonthsToGo+SwaptionShift))*SUM(INDEX($FK$325:$ID$396,HR$169,1+SwaptionShift):INDEX($FK$325:$ID$396,HR$169,SwaptionMonthsToGo+SwaptionShift))))))</f>
        <v/>
      </c>
      <c r="HS195" s="479" t="str">
        <f ca="1">IF(OR(HS$169&lt;SwaptionFirstMonthPosition+1,$FJ195&lt;SwaptionFirstMonthPosition+1,HS$169&gt;SwaptionFirstMonthPosition+SwaptionNumOfMonths+1,$FJ195&gt;SwaptionFirstMonthPosition+SwaptionNumOfMonths+1),"",IF($FJ195=HS$169,1,IF($FJ195&lt;HS$169,INDEX($FK$170:$ID$241,HS$169,$FJ195),SUMPRODUCT(INDEX($FK$325:$ID$396,HS$169,1+SwaptionShift):INDEX($FK$325:$ID$396,HS$169,SwaptionMonthsToGo+SwaptionShift),INDEX($FK$245:$ID$316,$FJ195-HS$169,73-HS$169+SwaptionShift):INDEX($FK$245:$ID$316,$FJ195-HS$169,72-HS$169+SwaptionMonthsToGo+SwaptionShift))/SQRT(SUM(INDEX($FK350:$ID350,1+SwaptionShift):INDEX($FK350:$ID350,SwaptionMonthsToGo+SwaptionShift))*SUM(INDEX($FK$325:$ID$396,HS$169,1+SwaptionShift):INDEX($FK$325:$ID$396,HS$169,SwaptionMonthsToGo+SwaptionShift))))))</f>
        <v/>
      </c>
      <c r="HT195" s="479" t="str">
        <f ca="1">IF(OR(HT$169&lt;SwaptionFirstMonthPosition+1,$FJ195&lt;SwaptionFirstMonthPosition+1,HT$169&gt;SwaptionFirstMonthPosition+SwaptionNumOfMonths+1,$FJ195&gt;SwaptionFirstMonthPosition+SwaptionNumOfMonths+1),"",IF($FJ195=HT$169,1,IF($FJ195&lt;HT$169,INDEX($FK$170:$ID$241,HT$169,$FJ195),SUMPRODUCT(INDEX($FK$325:$ID$396,HT$169,1+SwaptionShift):INDEX($FK$325:$ID$396,HT$169,SwaptionMonthsToGo+SwaptionShift),INDEX($FK$245:$ID$316,$FJ195-HT$169,73-HT$169+SwaptionShift):INDEX($FK$245:$ID$316,$FJ195-HT$169,72-HT$169+SwaptionMonthsToGo+SwaptionShift))/SQRT(SUM(INDEX($FK350:$ID350,1+SwaptionShift):INDEX($FK350:$ID350,SwaptionMonthsToGo+SwaptionShift))*SUM(INDEX($FK$325:$ID$396,HT$169,1+SwaptionShift):INDEX($FK$325:$ID$396,HT$169,SwaptionMonthsToGo+SwaptionShift))))))</f>
        <v/>
      </c>
      <c r="HU195" s="479" t="str">
        <f ca="1">IF(OR(HU$169&lt;SwaptionFirstMonthPosition+1,$FJ195&lt;SwaptionFirstMonthPosition+1,HU$169&gt;SwaptionFirstMonthPosition+SwaptionNumOfMonths+1,$FJ195&gt;SwaptionFirstMonthPosition+SwaptionNumOfMonths+1),"",IF($FJ195=HU$169,1,IF($FJ195&lt;HU$169,INDEX($FK$170:$ID$241,HU$169,$FJ195),SUMPRODUCT(INDEX($FK$325:$ID$396,HU$169,1+SwaptionShift):INDEX($FK$325:$ID$396,HU$169,SwaptionMonthsToGo+SwaptionShift),INDEX($FK$245:$ID$316,$FJ195-HU$169,73-HU$169+SwaptionShift):INDEX($FK$245:$ID$316,$FJ195-HU$169,72-HU$169+SwaptionMonthsToGo+SwaptionShift))/SQRT(SUM(INDEX($FK350:$ID350,1+SwaptionShift):INDEX($FK350:$ID350,SwaptionMonthsToGo+SwaptionShift))*SUM(INDEX($FK$325:$ID$396,HU$169,1+SwaptionShift):INDEX($FK$325:$ID$396,HU$169,SwaptionMonthsToGo+SwaptionShift))))))</f>
        <v/>
      </c>
      <c r="HV195" s="479" t="str">
        <f ca="1">IF(OR(HV$169&lt;SwaptionFirstMonthPosition+1,$FJ195&lt;SwaptionFirstMonthPosition+1,HV$169&gt;SwaptionFirstMonthPosition+SwaptionNumOfMonths+1,$FJ195&gt;SwaptionFirstMonthPosition+SwaptionNumOfMonths+1),"",IF($FJ195=HV$169,1,IF($FJ195&lt;HV$169,INDEX($FK$170:$ID$241,HV$169,$FJ195),SUMPRODUCT(INDEX($FK$325:$ID$396,HV$169,1+SwaptionShift):INDEX($FK$325:$ID$396,HV$169,SwaptionMonthsToGo+SwaptionShift),INDEX($FK$245:$ID$316,$FJ195-HV$169,73-HV$169+SwaptionShift):INDEX($FK$245:$ID$316,$FJ195-HV$169,72-HV$169+SwaptionMonthsToGo+SwaptionShift))/SQRT(SUM(INDEX($FK350:$ID350,1+SwaptionShift):INDEX($FK350:$ID350,SwaptionMonthsToGo+SwaptionShift))*SUM(INDEX($FK$325:$ID$396,HV$169,1+SwaptionShift):INDEX($FK$325:$ID$396,HV$169,SwaptionMonthsToGo+SwaptionShift))))))</f>
        <v/>
      </c>
      <c r="HW195" s="479" t="str">
        <f ca="1">IF(OR(HW$169&lt;SwaptionFirstMonthPosition+1,$FJ195&lt;SwaptionFirstMonthPosition+1,HW$169&gt;SwaptionFirstMonthPosition+SwaptionNumOfMonths+1,$FJ195&gt;SwaptionFirstMonthPosition+SwaptionNumOfMonths+1),"",IF($FJ195=HW$169,1,IF($FJ195&lt;HW$169,INDEX($FK$170:$ID$241,HW$169,$FJ195),SUMPRODUCT(INDEX($FK$325:$ID$396,HW$169,1+SwaptionShift):INDEX($FK$325:$ID$396,HW$169,SwaptionMonthsToGo+SwaptionShift),INDEX($FK$245:$ID$316,$FJ195-HW$169,73-HW$169+SwaptionShift):INDEX($FK$245:$ID$316,$FJ195-HW$169,72-HW$169+SwaptionMonthsToGo+SwaptionShift))/SQRT(SUM(INDEX($FK350:$ID350,1+SwaptionShift):INDEX($FK350:$ID350,SwaptionMonthsToGo+SwaptionShift))*SUM(INDEX($FK$325:$ID$396,HW$169,1+SwaptionShift):INDEX($FK$325:$ID$396,HW$169,SwaptionMonthsToGo+SwaptionShift))))))</f>
        <v/>
      </c>
      <c r="HX195" s="479" t="str">
        <f ca="1">IF(OR(HX$169&lt;SwaptionFirstMonthPosition+1,$FJ195&lt;SwaptionFirstMonthPosition+1,HX$169&gt;SwaptionFirstMonthPosition+SwaptionNumOfMonths+1,$FJ195&gt;SwaptionFirstMonthPosition+SwaptionNumOfMonths+1),"",IF($FJ195=HX$169,1,IF($FJ195&lt;HX$169,INDEX($FK$170:$ID$241,HX$169,$FJ195),SUMPRODUCT(INDEX($FK$325:$ID$396,HX$169,1+SwaptionShift):INDEX($FK$325:$ID$396,HX$169,SwaptionMonthsToGo+SwaptionShift),INDEX($FK$245:$ID$316,$FJ195-HX$169,73-HX$169+SwaptionShift):INDEX($FK$245:$ID$316,$FJ195-HX$169,72-HX$169+SwaptionMonthsToGo+SwaptionShift))/SQRT(SUM(INDEX($FK350:$ID350,1+SwaptionShift):INDEX($FK350:$ID350,SwaptionMonthsToGo+SwaptionShift))*SUM(INDEX($FK$325:$ID$396,HX$169,1+SwaptionShift):INDEX($FK$325:$ID$396,HX$169,SwaptionMonthsToGo+SwaptionShift))))))</f>
        <v/>
      </c>
      <c r="HY195" s="479" t="str">
        <f ca="1">IF(OR(HY$169&lt;SwaptionFirstMonthPosition+1,$FJ195&lt;SwaptionFirstMonthPosition+1,HY$169&gt;SwaptionFirstMonthPosition+SwaptionNumOfMonths+1,$FJ195&gt;SwaptionFirstMonthPosition+SwaptionNumOfMonths+1),"",IF($FJ195=HY$169,1,IF($FJ195&lt;HY$169,INDEX($FK$170:$ID$241,HY$169,$FJ195),SUMPRODUCT(INDEX($FK$325:$ID$396,HY$169,1+SwaptionShift):INDEX($FK$325:$ID$396,HY$169,SwaptionMonthsToGo+SwaptionShift),INDEX($FK$245:$ID$316,$FJ195-HY$169,73-HY$169+SwaptionShift):INDEX($FK$245:$ID$316,$FJ195-HY$169,72-HY$169+SwaptionMonthsToGo+SwaptionShift))/SQRT(SUM(INDEX($FK350:$ID350,1+SwaptionShift):INDEX($FK350:$ID350,SwaptionMonthsToGo+SwaptionShift))*SUM(INDEX($FK$325:$ID$396,HY$169,1+SwaptionShift):INDEX($FK$325:$ID$396,HY$169,SwaptionMonthsToGo+SwaptionShift))))))</f>
        <v/>
      </c>
      <c r="HZ195" s="479" t="str">
        <f ca="1">IF(OR(HZ$169&lt;SwaptionFirstMonthPosition+1,$FJ195&lt;SwaptionFirstMonthPosition+1,HZ$169&gt;SwaptionFirstMonthPosition+SwaptionNumOfMonths+1,$FJ195&gt;SwaptionFirstMonthPosition+SwaptionNumOfMonths+1),"",IF($FJ195=HZ$169,1,IF($FJ195&lt;HZ$169,INDEX($FK$170:$ID$241,HZ$169,$FJ195),SUMPRODUCT(INDEX($FK$325:$ID$396,HZ$169,1+SwaptionShift):INDEX($FK$325:$ID$396,HZ$169,SwaptionMonthsToGo+SwaptionShift),INDEX($FK$245:$ID$316,$FJ195-HZ$169,73-HZ$169+SwaptionShift):INDEX($FK$245:$ID$316,$FJ195-HZ$169,72-HZ$169+SwaptionMonthsToGo+SwaptionShift))/SQRT(SUM(INDEX($FK350:$ID350,1+SwaptionShift):INDEX($FK350:$ID350,SwaptionMonthsToGo+SwaptionShift))*SUM(INDEX($FK$325:$ID$396,HZ$169,1+SwaptionShift):INDEX($FK$325:$ID$396,HZ$169,SwaptionMonthsToGo+SwaptionShift))))))</f>
        <v/>
      </c>
      <c r="IA195" s="479" t="str">
        <f ca="1">IF(OR(IA$169&lt;SwaptionFirstMonthPosition+1,$FJ195&lt;SwaptionFirstMonthPosition+1,IA$169&gt;SwaptionFirstMonthPosition+SwaptionNumOfMonths+1,$FJ195&gt;SwaptionFirstMonthPosition+SwaptionNumOfMonths+1),"",IF($FJ195=IA$169,1,IF($FJ195&lt;IA$169,INDEX($FK$170:$ID$241,IA$169,$FJ195),SUMPRODUCT(INDEX($FK$325:$ID$396,IA$169,1+SwaptionShift):INDEX($FK$325:$ID$396,IA$169,SwaptionMonthsToGo+SwaptionShift),INDEX($FK$245:$ID$316,$FJ195-IA$169,73-IA$169+SwaptionShift):INDEX($FK$245:$ID$316,$FJ195-IA$169,72-IA$169+SwaptionMonthsToGo+SwaptionShift))/SQRT(SUM(INDEX($FK350:$ID350,1+SwaptionShift):INDEX($FK350:$ID350,SwaptionMonthsToGo+SwaptionShift))*SUM(INDEX($FK$325:$ID$396,IA$169,1+SwaptionShift):INDEX($FK$325:$ID$396,IA$169,SwaptionMonthsToGo+SwaptionShift))))))</f>
        <v/>
      </c>
      <c r="IB195" s="479" t="str">
        <f ca="1">IF(OR(IB$169&lt;SwaptionFirstMonthPosition+1,$FJ195&lt;SwaptionFirstMonthPosition+1,IB$169&gt;SwaptionFirstMonthPosition+SwaptionNumOfMonths+1,$FJ195&gt;SwaptionFirstMonthPosition+SwaptionNumOfMonths+1),"",IF($FJ195=IB$169,1,IF($FJ195&lt;IB$169,INDEX($FK$170:$ID$241,IB$169,$FJ195),SUMPRODUCT(INDEX($FK$325:$ID$396,IB$169,1+SwaptionShift):INDEX($FK$325:$ID$396,IB$169,SwaptionMonthsToGo+SwaptionShift),INDEX($FK$245:$ID$316,$FJ195-IB$169,73-IB$169+SwaptionShift):INDEX($FK$245:$ID$316,$FJ195-IB$169,72-IB$169+SwaptionMonthsToGo+SwaptionShift))/SQRT(SUM(INDEX($FK350:$ID350,1+SwaptionShift):INDEX($FK350:$ID350,SwaptionMonthsToGo+SwaptionShift))*SUM(INDEX($FK$325:$ID$396,IB$169,1+SwaptionShift):INDEX($FK$325:$ID$396,IB$169,SwaptionMonthsToGo+SwaptionShift))))))</f>
        <v/>
      </c>
      <c r="IC195" s="479" t="str">
        <f ca="1">IF(OR(IC$169&lt;SwaptionFirstMonthPosition+1,$FJ195&lt;SwaptionFirstMonthPosition+1,IC$169&gt;SwaptionFirstMonthPosition+SwaptionNumOfMonths+1,$FJ195&gt;SwaptionFirstMonthPosition+SwaptionNumOfMonths+1),"",IF($FJ195=IC$169,1,IF($FJ195&lt;IC$169,INDEX($FK$170:$ID$241,IC$169,$FJ195),SUMPRODUCT(INDEX($FK$325:$ID$396,IC$169,1+SwaptionShift):INDEX($FK$325:$ID$396,IC$169,SwaptionMonthsToGo+SwaptionShift),INDEX($FK$245:$ID$316,$FJ195-IC$169,73-IC$169+SwaptionShift):INDEX($FK$245:$ID$316,$FJ195-IC$169,72-IC$169+SwaptionMonthsToGo+SwaptionShift))/SQRT(SUM(INDEX($FK350:$ID350,1+SwaptionShift):INDEX($FK350:$ID350,SwaptionMonthsToGo+SwaptionShift))*SUM(INDEX($FK$325:$ID$396,IC$169,1+SwaptionShift):INDEX($FK$325:$ID$396,IC$169,SwaptionMonthsToGo+SwaptionShift))))))</f>
        <v/>
      </c>
      <c r="ID195" s="678" t="str">
        <f ca="1">IF(OR(ID$169&lt;SwaptionFirstMonthPosition+1,$FJ195&lt;SwaptionFirstMonthPosition+1,ID$169&gt;SwaptionFirstMonthPosition+SwaptionNumOfMonths+1,$FJ195&gt;SwaptionFirstMonthPosition+SwaptionNumOfMonths+1),"",IF($FJ195=ID$169,1,IF($FJ195&lt;ID$169,INDEX($FK$170:$ID$241,ID$169,$FJ195),SUMPRODUCT(INDEX($FK$325:$ID$396,ID$169,1+SwaptionShift):INDEX($FK$325:$ID$396,ID$169,SwaptionMonthsToGo+SwaptionShift),INDEX($FK$245:$ID$316,$FJ195-ID$169,73-ID$169+SwaptionShift):INDEX($FK$245:$ID$316,$FJ195-ID$169,72-ID$169+SwaptionMonthsToGo+SwaptionShift))/SQRT(SUM(INDEX($FK350:$ID350,1+SwaptionShift):INDEX($FK350:$ID350,SwaptionMonthsToGo+SwaptionShift))*SUM(INDEX($FK$325:$ID$396,ID$169,1+SwaptionShift):INDEX($FK$325:$ID$396,ID$169,SwaptionMonthsToGo+SwaptionShift))))))</f>
        <v/>
      </c>
      <c r="IE195" s="250"/>
    </row>
    <row r="196" spans="8:239">
      <c r="H196" s="51">
        <f t="shared" ca="1" si="527"/>
        <v>0</v>
      </c>
      <c r="I196" s="379">
        <f t="shared" si="528"/>
        <v>42125</v>
      </c>
      <c r="J196" s="377"/>
      <c r="K196" s="104" t="s">
        <v>268</v>
      </c>
      <c r="L196" s="392">
        <f t="shared" si="529"/>
        <v>3.7500000000000062</v>
      </c>
      <c r="M196" s="171"/>
      <c r="N196" s="382">
        <v>0</v>
      </c>
      <c r="O196" s="171">
        <f t="shared" ref="O196:O259" si="596">M196+N196</f>
        <v>0</v>
      </c>
      <c r="P196" s="377"/>
      <c r="Q196" s="104" t="s">
        <v>268</v>
      </c>
      <c r="R196" s="377">
        <f t="shared" ref="R196:R259" ca="1" si="597">IF(ISNUMBER(Q196),P196+Q196/100,IF(Q196="extra",(Z194*AL194-R195*AM194)/AN194,IF(Q196="inter",interpolateprices($Q$19:$R$260,ROW(Q196)-ROW(FirstPricingMonth)+1),interpolatechanges($P$19:$Q$260,ROW(Q196)-ROW(FirstPricingMonth)+1))))</f>
        <v>2.5884773622202188</v>
      </c>
      <c r="S196" s="832">
        <f t="shared" si="564"/>
        <v>0.3600000000000001</v>
      </c>
      <c r="T196" s="831">
        <f t="shared" si="548"/>
        <v>0.99999999999988065</v>
      </c>
      <c r="U196" s="545">
        <f t="shared" si="549"/>
        <v>0.99999999999999978</v>
      </c>
      <c r="V196" s="389">
        <v>0</v>
      </c>
      <c r="W196" s="434">
        <f t="shared" si="578"/>
        <v>0</v>
      </c>
      <c r="X196" s="415">
        <f t="shared" si="579"/>
        <v>3.8000000000000065</v>
      </c>
      <c r="Y196" s="322">
        <f t="shared" si="580"/>
        <v>-1.2915000000000001</v>
      </c>
      <c r="Z196" s="322">
        <f t="shared" ca="1" si="581"/>
        <v>2.5085000000000064</v>
      </c>
      <c r="AA196" s="429">
        <f t="shared" si="495"/>
        <v>1.2915000000000001</v>
      </c>
      <c r="AB196" s="433">
        <f t="shared" ca="1" si="496"/>
        <v>1.2915000000000001</v>
      </c>
      <c r="AC196" s="229">
        <v>42114</v>
      </c>
      <c r="AD196" s="229">
        <v>42110</v>
      </c>
      <c r="AE196" s="229">
        <v>42109</v>
      </c>
      <c r="AF196" s="229">
        <v>42105</v>
      </c>
      <c r="AG196" s="249" t="s">
        <v>499</v>
      </c>
      <c r="AH196" s="247" t="s">
        <v>499</v>
      </c>
      <c r="AI196" s="146">
        <v>21</v>
      </c>
      <c r="AJ196" s="41">
        <v>14</v>
      </c>
      <c r="AK196" s="41">
        <v>7</v>
      </c>
      <c r="AL196" s="293">
        <v>21</v>
      </c>
      <c r="AM196" s="41">
        <v>10</v>
      </c>
      <c r="AN196" s="147">
        <v>11</v>
      </c>
      <c r="AO196" s="374"/>
      <c r="AP196" s="153">
        <f t="shared" ca="1" si="530"/>
        <v>1</v>
      </c>
      <c r="AQ196" s="374"/>
      <c r="AR196" s="153">
        <f t="shared" ca="1" si="550"/>
        <v>1</v>
      </c>
      <c r="AS196" s="272">
        <f t="shared" si="582"/>
        <v>0</v>
      </c>
      <c r="AT196" s="157">
        <f t="shared" si="531"/>
        <v>0</v>
      </c>
      <c r="AU196" s="157">
        <f t="shared" si="498"/>
        <v>0</v>
      </c>
      <c r="AV196" s="271">
        <f t="shared" ca="1" si="558"/>
        <v>9.9999999999999995E-7</v>
      </c>
      <c r="AW196" s="158" t="str">
        <f t="shared" ca="1" si="583"/>
        <v/>
      </c>
      <c r="AX196" s="157">
        <f t="shared" ca="1" si="551"/>
        <v>6.6942553218564624E-5</v>
      </c>
      <c r="AY196" s="157">
        <f t="shared" ca="1" si="552"/>
        <v>1.6023324011605742E-5</v>
      </c>
      <c r="AZ196" s="157">
        <f t="shared" ca="1" si="553"/>
        <v>5.6196884743767436E-7</v>
      </c>
      <c r="BA196" s="157">
        <f t="shared" ca="1" si="554"/>
        <v>7.0246105929709295E-8</v>
      </c>
      <c r="BB196" s="157">
        <f t="shared" ca="1" si="555"/>
        <v>3.9187114038301536E-10</v>
      </c>
      <c r="BC196" s="157">
        <f t="shared" ca="1" si="556"/>
        <v>9.8690307965748051E-12</v>
      </c>
      <c r="BD196" s="151">
        <f t="shared" ca="1" si="584"/>
        <v>0</v>
      </c>
      <c r="BE196" s="152">
        <f t="shared" ca="1" si="585"/>
        <v>0</v>
      </c>
      <c r="BF196" s="40">
        <f t="shared" si="586"/>
        <v>2015</v>
      </c>
      <c r="BG196" s="144">
        <f t="shared" si="587"/>
        <v>5</v>
      </c>
      <c r="BH196" s="145">
        <f t="shared" ca="1" si="588"/>
        <v>5365</v>
      </c>
      <c r="BI196" s="313">
        <f t="shared" ca="1" si="568"/>
        <v>14.729637234770705</v>
      </c>
      <c r="BJ196" s="42">
        <f t="shared" ca="1" si="505"/>
        <v>14.784394250513348</v>
      </c>
      <c r="BK196" s="42">
        <f t="shared" ca="1" si="506"/>
        <v>14.787132101300481</v>
      </c>
      <c r="BL196" s="42">
        <f t="shared" ca="1" si="569"/>
        <v>14.811772758384668</v>
      </c>
      <c r="BM196" s="150" t="e">
        <f t="shared" ca="1" si="507"/>
        <v>#DIV/0!</v>
      </c>
      <c r="BN196" s="42" t="e">
        <f t="shared" ca="1" si="508"/>
        <v>#DIV/0!</v>
      </c>
      <c r="BO196" s="293">
        <f t="shared" si="570"/>
        <v>21</v>
      </c>
      <c r="BP196" s="41">
        <f t="shared" si="571"/>
        <v>14</v>
      </c>
      <c r="BQ196" s="41">
        <f t="shared" si="572"/>
        <v>7</v>
      </c>
      <c r="BR196" s="305" t="str">
        <f t="shared" ca="1" si="509"/>
        <v/>
      </c>
      <c r="BS196" s="305" t="str">
        <f t="shared" ca="1" si="573"/>
        <v/>
      </c>
      <c r="BT196" s="307" t="str">
        <f t="shared" ca="1" si="574"/>
        <v/>
      </c>
      <c r="BU196" s="161" t="str">
        <f t="shared" ca="1" si="510"/>
        <v/>
      </c>
      <c r="BV196" s="161" t="str">
        <f t="shared" ca="1" si="511"/>
        <v/>
      </c>
      <c r="BW196" s="308" t="str">
        <f t="shared" ca="1" si="512"/>
        <v/>
      </c>
      <c r="BX196" s="309" t="str">
        <f t="shared" ca="1" si="513"/>
        <v/>
      </c>
      <c r="BY196" s="308" t="str">
        <f t="shared" ca="1" si="575"/>
        <v/>
      </c>
      <c r="BZ196" s="309" t="str">
        <f t="shared" ca="1" si="576"/>
        <v/>
      </c>
      <c r="CA196" s="154" t="str">
        <f t="shared" ca="1" si="514"/>
        <v/>
      </c>
      <c r="CB196" s="154" t="str">
        <f t="shared" ca="1" si="515"/>
        <v/>
      </c>
      <c r="CC196" s="154" t="str">
        <f t="shared" ca="1" si="516"/>
        <v/>
      </c>
      <c r="CD196" s="154" t="str">
        <f t="shared" ca="1" si="517"/>
        <v/>
      </c>
      <c r="CE196" s="310">
        <v>1</v>
      </c>
      <c r="CF196" s="162">
        <f ca="1">IF(BD196,_xll.xCrudeAPO(BU196,BV196,CA196,CB196,S197,S198,BI196,BL196,BP196,BQ196,0,Strike1,AO196,CE196,0,BL196,IF(OptControl=4,0,1),0,1),0)</f>
        <v>0</v>
      </c>
      <c r="CG196" s="163">
        <f ca="1">IF(BD196,_xll.xCrudeAPO(BU196,BV196,CA196,CB196,S197,S198,BI196,BL196,BP196,BQ196,0,Strike1,AO196,CE196,0,BL196,IF(OptControl=4,0,1),1,1)+_xll.xCrudeAPO(BU196,BV196,CA196,CB196,S197,S198,BI196,BL196,BP196,BQ196,0,Strike1,AO196,CE196,0,BL196,IF(OptControl=4,0,1),1,2)+IF(OR(VolSkewFlag=2,ABS(BS196)&lt;0.0001),0,IF(BS196&gt;0,-1,1)*CH196*Strike1/BR196^2*BY196/10%),0)</f>
        <v>0</v>
      </c>
      <c r="CH196" s="163">
        <f ca="1">IF(BD196,(_xll.xCrudeAPO(BU196,BV196,CA196,CB196,S197,S198,BI196,BL196,BP196,BQ196,0,Strike1,AO196,CE196,0,BL196,IF(OptControl=4,0,1),3,1)+_xll.xCrudeAPO(BU196,BV196,CA196,CB196,S197,S198,BI196,BL196,BP196,BQ196,0,Strike1,AO196,CE196,0,BL196,IF(OptControl=4,0,1),3,2))/100,0)</f>
        <v>0</v>
      </c>
      <c r="CI196" s="163">
        <f ca="1">IF(BD196,_xll.xCrudeAPO(BU196,BV196,CA196,CB196,S197,S198,BI196-DaysForThetaCalculation/365.25,BL196-DaysForThetaCalculation/365.25,BP196,BQ196,0,Strike1,AO196,CE196,0,BL196,IF(OptControl=4,0,1),0,1)-_xll.xCrudeAPO(BU196,BV196,CA196,CB196,S197,S198,BI196,BL196,BP196,BQ196,0,Strike1,AO196,CE196,0,BL196,IF(OptControl=4,0,1),0,1),0)</f>
        <v>0</v>
      </c>
      <c r="CJ196" s="311">
        <f ca="1">IF(BD196,_xll.xCrudeAPO(BU196,BV196,CC196,CD196,S197,S198,BI196,BL196,BP196,BQ196,0,Strike2,AO196,CE196,0,BL196,IF(OptControl=3,1,0),0,1),0)</f>
        <v>0</v>
      </c>
      <c r="CK196" s="163">
        <f ca="1">IF(BD196,_xll.xCrudeAPO(BU196,BV196,CC196,CD196,S197,S198,BI196,BL196,BP196,BQ196,0,Strike2,AO196,CE196,0,BL196,IF(OptControl=3,1,0),1,1)+_xll.xCrudeAPO(BU196,BV196,CC196,CD196,S197,S198,BI196,BL196,BP196,BQ196,0,Strike2,AO196,CE196,0,BL196,IF(OptControl=3,1,0),1,2)+IF(OR(VolSkewFlag=2,ABS(BT196)&lt;0.0001),0,IF(BT196&gt;0,-1,1)*CL196*Strike2/BR196^2*BZ196/10%),0)</f>
        <v>0</v>
      </c>
      <c r="CL196" s="163">
        <f ca="1">IF(BD196,(_xll.xCrudeAPO(BU196,BV196,CC196,CD196,S197,S198,BI196,BL196,BP196,BQ196,0,Strike2,AO196,CE196,0,BL196,IF(OptControl=3,1,0),3,1)+_xll.xCrudeAPO(BU196,BV196,CC196,CD196,S197,S198,BI196,BL196,BP196,BQ196,0,Strike2,AO196,CE196,0,BL196,IF(OptControl=3,1,0),3,2))/100,0)</f>
        <v>0</v>
      </c>
      <c r="CM196" s="164">
        <f ca="1">IF(BD196,_xll.xCrudeAPO(BU196,BV196,CC196,CD196,S197,S198,BI196-DaysForThetaCalculation/365.25,BL196-DaysForThetaCalculation/365.25,BP196,BQ196,0,Strike2,AO196,CE196,0,BL196,IF(OptControl=3,1,0),0,1)-_xll.xCrudeAPO(BU196,BV196,CC196,CD196,S197,S198,BI196,BL196,BP196,BQ196,0,Strike2,AO196,CE196,0,BL196,IF(OptControl=3,1,0),0,1),0)</f>
        <v>0</v>
      </c>
      <c r="CN196" s="53"/>
      <c r="CO196" s="796" t="str">
        <f t="shared" ca="1" si="532"/>
        <v/>
      </c>
      <c r="CP196" s="800" t="str">
        <f t="shared" ca="1" si="533"/>
        <v/>
      </c>
      <c r="CQ196" s="797" t="str">
        <f t="shared" ca="1" si="534"/>
        <v/>
      </c>
      <c r="CR196" s="797" t="str">
        <f t="shared" ca="1" si="535"/>
        <v/>
      </c>
      <c r="CS196" s="797" t="str">
        <f t="shared" ca="1" si="536"/>
        <v/>
      </c>
      <c r="CT196" s="797" t="str">
        <f t="shared" ca="1" si="537"/>
        <v/>
      </c>
      <c r="CU196" s="798" t="str">
        <f t="shared" ca="1" si="538"/>
        <v/>
      </c>
      <c r="CV196" s="799" t="str">
        <f t="shared" ca="1" si="539"/>
        <v/>
      </c>
      <c r="CW196" s="799" t="str">
        <f t="shared" ca="1" si="540"/>
        <v/>
      </c>
      <c r="CX196" s="163">
        <f ca="1">IF(BD196,_xll.EURO(CP196,Strike1,AO196,AO196,CV196,CO196,IF(OptControl=4,0,1),0),0)</f>
        <v>0</v>
      </c>
      <c r="CY196" s="163">
        <f ca="1">IF(BD196,_xll.EURO(CP196,Strike1,AO196,AO196,CV196,CO196,IF(OptControl=4,0,1),1)+IF(OR(VolSkewFlag=2,ABS(CQ196)&lt;0.0001),0,IF(CQ196&gt;0,-1,1)*CZ196*100*Strike1/CP196^2*CS196/10%),0)</f>
        <v>0</v>
      </c>
      <c r="CZ196" s="163">
        <f ca="1">IF(BD196,_xll.EURO(CP196,Strike1,AO196,AO196,CV196,CO196,IF(OptControl=4,0,1),3)/100,0)</f>
        <v>0</v>
      </c>
      <c r="DA196" s="163">
        <f ca="1">IF(BD196,_xll.EURO(CP196,Strike1,AO196,AO196,CV196,CO196,IF(OptControl=4,0,1),0)-_xll.EURO(CP196,Strike1,AO196,AO196,CV196,CO196-1,IF(OptControl=4,0,1),0),0)</f>
        <v>0</v>
      </c>
      <c r="DB196" s="163">
        <f ca="1">IF(BD196,_xll.EURO(CP196,Strike2,AO196,AO196,CW196,CO196,IF(OptControl=3,1,0),0),0)</f>
        <v>0</v>
      </c>
      <c r="DC196" s="163">
        <f ca="1">IF(BD196,_xll.EURO(CP196,Strike2,AO196,AO196,CW196,CO196,IF(OptControl=3,1,0),1)+IF(OR(VolSkewFlag=2,ABS(CR196)&lt;0.0001),0,IF(CR196&gt;0,-1,1)*DD196*100*Strike2/CP196^2*CT196/10%),0)</f>
        <v>0</v>
      </c>
      <c r="DD196" s="163">
        <f ca="1">IF(BD196,_xll.EURO(CP196,Strike2,AO196,AO196,CW196,CO196,IF(OptControl=3,1,0),3)/100,0)</f>
        <v>0</v>
      </c>
      <c r="DE196" s="164">
        <f ca="1">IF(BD196,_xll.EURO(CP196,Strike2,AO196,AO196,CW196,CO196,IF(OptControl=3,1,0),0)-_xll.EURO(CP196,Strike2,AO196,AO196,CW196,CO196-1,IF(OptControl=3,1,0),0),0)</f>
        <v>0</v>
      </c>
      <c r="DG196" s="667">
        <f t="shared" ca="1" si="541"/>
        <v>41913</v>
      </c>
      <c r="DH196" s="475">
        <v>22.960000000000072</v>
      </c>
      <c r="DI196" s="665">
        <v>23.029565217391376</v>
      </c>
      <c r="DJ196" s="666">
        <f t="shared" ca="1" si="589"/>
        <v>41913</v>
      </c>
      <c r="DK196" s="475">
        <v>21.599386743433939</v>
      </c>
      <c r="DL196" s="665">
        <v>21.836465217391375</v>
      </c>
      <c r="DM196" s="667">
        <f t="shared" ca="1" si="590"/>
        <v>41913</v>
      </c>
      <c r="DN196" s="668">
        <f t="shared" si="591"/>
        <v>21.64938674343394</v>
      </c>
      <c r="DO196" s="667">
        <f t="shared" ca="1" si="542"/>
        <v>41913</v>
      </c>
      <c r="DP196" s="579">
        <f t="shared" si="543"/>
        <v>21.836465217391375</v>
      </c>
      <c r="DQ196" s="821">
        <v>0</v>
      </c>
      <c r="DR196" s="666">
        <f t="shared" ca="1" si="592"/>
        <v>41913</v>
      </c>
      <c r="DS196" s="669">
        <v>0.11899999999999804</v>
      </c>
      <c r="DT196" s="606">
        <v>0.11816521739130238</v>
      </c>
      <c r="DU196" s="666">
        <f t="shared" ca="1" si="593"/>
        <v>41913</v>
      </c>
      <c r="DV196" s="669">
        <v>0.11899999999999804</v>
      </c>
      <c r="DW196" s="606">
        <v>0.11816521739130238</v>
      </c>
      <c r="DX196" s="667">
        <f t="shared" ca="1" si="594"/>
        <v>41913</v>
      </c>
      <c r="DY196" s="606">
        <v>0.35</v>
      </c>
      <c r="DZ196" s="667">
        <f t="shared" ca="1" si="544"/>
        <v>41913</v>
      </c>
      <c r="EA196" s="606">
        <f t="shared" si="545"/>
        <v>0.11816521739130238</v>
      </c>
      <c r="EB196" s="1"/>
      <c r="EC196" s="118" t="str">
        <f t="shared" ca="1" si="595"/>
        <v/>
      </c>
      <c r="ED196" s="119" t="str">
        <f t="shared" ca="1" si="525"/>
        <v/>
      </c>
      <c r="EE196" s="112" t="str">
        <f t="shared" ca="1" si="526"/>
        <v/>
      </c>
      <c r="EF196" s="120">
        <f ca="1">IF(BD196,_xll.xASN(BR196,Strike1,AO196,ED196,0,BO196,0,BI196,BL196,IF(OptControl=4,0,1),0),0)</f>
        <v>0</v>
      </c>
      <c r="EG196" s="111">
        <f ca="1">IF(BD196,_xll.xASN(BR196,Strike2,AO196,EE196,0,BO196,0,BI196,BL196,IF(OptControl=3,1,0),0),0)</f>
        <v>0</v>
      </c>
      <c r="EL196" s="55"/>
      <c r="EM196" s="1"/>
      <c r="EN196" s="106"/>
      <c r="EO196" s="106"/>
      <c r="EP196" s="1"/>
      <c r="EQ196" s="683" t="s">
        <v>409</v>
      </c>
      <c r="ES196" s="455"/>
      <c r="ET196" s="36"/>
      <c r="EU196" s="107"/>
      <c r="EV196" s="475"/>
      <c r="EW196" s="456"/>
      <c r="EX196" s="456"/>
      <c r="EY196" s="250"/>
      <c r="EZ196" s="250"/>
      <c r="FA196" s="250"/>
      <c r="FB196" s="250"/>
      <c r="FC196" s="250"/>
      <c r="FD196" s="250"/>
      <c r="FE196" s="250"/>
      <c r="FF196" s="250"/>
      <c r="FG196" s="250"/>
      <c r="FH196" s="250"/>
      <c r="FI196" s="250"/>
      <c r="FJ196" s="673">
        <v>27</v>
      </c>
      <c r="FK196" s="479" t="str">
        <f ca="1">IF(OR(FK$169&lt;SwaptionFirstMonthPosition+1,$FJ196&lt;SwaptionFirstMonthPosition+1,FK$169&gt;SwaptionFirstMonthPosition+SwaptionNumOfMonths+1,$FJ196&gt;SwaptionFirstMonthPosition+SwaptionNumOfMonths+1),"",IF($FJ196=FK$169,1,IF($FJ196&lt;FK$169,INDEX($FK$170:$ID$241,FK$169,$FJ196),SUMPRODUCT(INDEX($FK$325:$ID$396,FK$169,1+SwaptionShift):INDEX($FK$325:$ID$396,FK$169,SwaptionMonthsToGo+SwaptionShift),INDEX($FK$245:$ID$316,$FJ196-FK$169,73-FK$169+SwaptionShift):INDEX($FK$245:$ID$316,$FJ196-FK$169,72-FK$169+SwaptionMonthsToGo+SwaptionShift))/SQRT(SUM(INDEX($FK351:$ID351,1+SwaptionShift):INDEX($FK351:$ID351,SwaptionMonthsToGo+SwaptionShift))*SUM(INDEX($FK$325:$ID$396,FK$169,1+SwaptionShift):INDEX($FK$325:$ID$396,FK$169,SwaptionMonthsToGo+SwaptionShift))))))</f>
        <v/>
      </c>
      <c r="FL196" s="479" t="str">
        <f ca="1">IF(OR(FL$169&lt;SwaptionFirstMonthPosition+1,$FJ196&lt;SwaptionFirstMonthPosition+1,FL$169&gt;SwaptionFirstMonthPosition+SwaptionNumOfMonths+1,$FJ196&gt;SwaptionFirstMonthPosition+SwaptionNumOfMonths+1),"",IF($FJ196=FL$169,1,IF($FJ196&lt;FL$169,INDEX($FK$170:$ID$241,FL$169,$FJ196),SUMPRODUCT(INDEX($FK$325:$ID$396,FL$169,1+SwaptionShift):INDEX($FK$325:$ID$396,FL$169,SwaptionMonthsToGo+SwaptionShift),INDEX($FK$245:$ID$316,$FJ196-FL$169,73-FL$169+SwaptionShift):INDEX($FK$245:$ID$316,$FJ196-FL$169,72-FL$169+SwaptionMonthsToGo+SwaptionShift))/SQRT(SUM(INDEX($FK351:$ID351,1+SwaptionShift):INDEX($FK351:$ID351,SwaptionMonthsToGo+SwaptionShift))*SUM(INDEX($FK$325:$ID$396,FL$169,1+SwaptionShift):INDEX($FK$325:$ID$396,FL$169,SwaptionMonthsToGo+SwaptionShift))))))</f>
        <v/>
      </c>
      <c r="FM196" s="479" t="str">
        <f ca="1">IF(OR(FM$169&lt;SwaptionFirstMonthPosition+1,$FJ196&lt;SwaptionFirstMonthPosition+1,FM$169&gt;SwaptionFirstMonthPosition+SwaptionNumOfMonths+1,$FJ196&gt;SwaptionFirstMonthPosition+SwaptionNumOfMonths+1),"",IF($FJ196=FM$169,1,IF($FJ196&lt;FM$169,INDEX($FK$170:$ID$241,FM$169,$FJ196),SUMPRODUCT(INDEX($FK$325:$ID$396,FM$169,1+SwaptionShift):INDEX($FK$325:$ID$396,FM$169,SwaptionMonthsToGo+SwaptionShift),INDEX($FK$245:$ID$316,$FJ196-FM$169,73-FM$169+SwaptionShift):INDEX($FK$245:$ID$316,$FJ196-FM$169,72-FM$169+SwaptionMonthsToGo+SwaptionShift))/SQRT(SUM(INDEX($FK351:$ID351,1+SwaptionShift):INDEX($FK351:$ID351,SwaptionMonthsToGo+SwaptionShift))*SUM(INDEX($FK$325:$ID$396,FM$169,1+SwaptionShift):INDEX($FK$325:$ID$396,FM$169,SwaptionMonthsToGo+SwaptionShift))))))</f>
        <v/>
      </c>
      <c r="FN196" s="479" t="str">
        <f ca="1">IF(OR(FN$169&lt;SwaptionFirstMonthPosition+1,$FJ196&lt;SwaptionFirstMonthPosition+1,FN$169&gt;SwaptionFirstMonthPosition+SwaptionNumOfMonths+1,$FJ196&gt;SwaptionFirstMonthPosition+SwaptionNumOfMonths+1),"",IF($FJ196=FN$169,1,IF($FJ196&lt;FN$169,INDEX($FK$170:$ID$241,FN$169,$FJ196),SUMPRODUCT(INDEX($FK$325:$ID$396,FN$169,1+SwaptionShift):INDEX($FK$325:$ID$396,FN$169,SwaptionMonthsToGo+SwaptionShift),INDEX($FK$245:$ID$316,$FJ196-FN$169,73-FN$169+SwaptionShift):INDEX($FK$245:$ID$316,$FJ196-FN$169,72-FN$169+SwaptionMonthsToGo+SwaptionShift))/SQRT(SUM(INDEX($FK351:$ID351,1+SwaptionShift):INDEX($FK351:$ID351,SwaptionMonthsToGo+SwaptionShift))*SUM(INDEX($FK$325:$ID$396,FN$169,1+SwaptionShift):INDEX($FK$325:$ID$396,FN$169,SwaptionMonthsToGo+SwaptionShift))))))</f>
        <v/>
      </c>
      <c r="FO196" s="479" t="str">
        <f ca="1">IF(OR(FO$169&lt;SwaptionFirstMonthPosition+1,$FJ196&lt;SwaptionFirstMonthPosition+1,FO$169&gt;SwaptionFirstMonthPosition+SwaptionNumOfMonths+1,$FJ196&gt;SwaptionFirstMonthPosition+SwaptionNumOfMonths+1),"",IF($FJ196=FO$169,1,IF($FJ196&lt;FO$169,INDEX($FK$170:$ID$241,FO$169,$FJ196),SUMPRODUCT(INDEX($FK$325:$ID$396,FO$169,1+SwaptionShift):INDEX($FK$325:$ID$396,FO$169,SwaptionMonthsToGo+SwaptionShift),INDEX($FK$245:$ID$316,$FJ196-FO$169,73-FO$169+SwaptionShift):INDEX($FK$245:$ID$316,$FJ196-FO$169,72-FO$169+SwaptionMonthsToGo+SwaptionShift))/SQRT(SUM(INDEX($FK351:$ID351,1+SwaptionShift):INDEX($FK351:$ID351,SwaptionMonthsToGo+SwaptionShift))*SUM(INDEX($FK$325:$ID$396,FO$169,1+SwaptionShift):INDEX($FK$325:$ID$396,FO$169,SwaptionMonthsToGo+SwaptionShift))))))</f>
        <v/>
      </c>
      <c r="FP196" s="479" t="str">
        <f ca="1">IF(OR(FP$169&lt;SwaptionFirstMonthPosition+1,$FJ196&lt;SwaptionFirstMonthPosition+1,FP$169&gt;SwaptionFirstMonthPosition+SwaptionNumOfMonths+1,$FJ196&gt;SwaptionFirstMonthPosition+SwaptionNumOfMonths+1),"",IF($FJ196=FP$169,1,IF($FJ196&lt;FP$169,INDEX($FK$170:$ID$241,FP$169,$FJ196),SUMPRODUCT(INDEX($FK$325:$ID$396,FP$169,1+SwaptionShift):INDEX($FK$325:$ID$396,FP$169,SwaptionMonthsToGo+SwaptionShift),INDEX($FK$245:$ID$316,$FJ196-FP$169,73-FP$169+SwaptionShift):INDEX($FK$245:$ID$316,$FJ196-FP$169,72-FP$169+SwaptionMonthsToGo+SwaptionShift))/SQRT(SUM(INDEX($FK351:$ID351,1+SwaptionShift):INDEX($FK351:$ID351,SwaptionMonthsToGo+SwaptionShift))*SUM(INDEX($FK$325:$ID$396,FP$169,1+SwaptionShift):INDEX($FK$325:$ID$396,FP$169,SwaptionMonthsToGo+SwaptionShift))))))</f>
        <v/>
      </c>
      <c r="FQ196" s="479" t="str">
        <f ca="1">IF(OR(FQ$169&lt;SwaptionFirstMonthPosition+1,$FJ196&lt;SwaptionFirstMonthPosition+1,FQ$169&gt;SwaptionFirstMonthPosition+SwaptionNumOfMonths+1,$FJ196&gt;SwaptionFirstMonthPosition+SwaptionNumOfMonths+1),"",IF($FJ196=FQ$169,1,IF($FJ196&lt;FQ$169,INDEX($FK$170:$ID$241,FQ$169,$FJ196),SUMPRODUCT(INDEX($FK$325:$ID$396,FQ$169,1+SwaptionShift):INDEX($FK$325:$ID$396,FQ$169,SwaptionMonthsToGo+SwaptionShift),INDEX($FK$245:$ID$316,$FJ196-FQ$169,73-FQ$169+SwaptionShift):INDEX($FK$245:$ID$316,$FJ196-FQ$169,72-FQ$169+SwaptionMonthsToGo+SwaptionShift))/SQRT(SUM(INDEX($FK351:$ID351,1+SwaptionShift):INDEX($FK351:$ID351,SwaptionMonthsToGo+SwaptionShift))*SUM(INDEX($FK$325:$ID$396,FQ$169,1+SwaptionShift):INDEX($FK$325:$ID$396,FQ$169,SwaptionMonthsToGo+SwaptionShift))))))</f>
        <v/>
      </c>
      <c r="FR196" s="479" t="str">
        <f ca="1">IF(OR(FR$169&lt;SwaptionFirstMonthPosition+1,$FJ196&lt;SwaptionFirstMonthPosition+1,FR$169&gt;SwaptionFirstMonthPosition+SwaptionNumOfMonths+1,$FJ196&gt;SwaptionFirstMonthPosition+SwaptionNumOfMonths+1),"",IF($FJ196=FR$169,1,IF($FJ196&lt;FR$169,INDEX($FK$170:$ID$241,FR$169,$FJ196),SUMPRODUCT(INDEX($FK$325:$ID$396,FR$169,1+SwaptionShift):INDEX($FK$325:$ID$396,FR$169,SwaptionMonthsToGo+SwaptionShift),INDEX($FK$245:$ID$316,$FJ196-FR$169,73-FR$169+SwaptionShift):INDEX($FK$245:$ID$316,$FJ196-FR$169,72-FR$169+SwaptionMonthsToGo+SwaptionShift))/SQRT(SUM(INDEX($FK351:$ID351,1+SwaptionShift):INDEX($FK351:$ID351,SwaptionMonthsToGo+SwaptionShift))*SUM(INDEX($FK$325:$ID$396,FR$169,1+SwaptionShift):INDEX($FK$325:$ID$396,FR$169,SwaptionMonthsToGo+SwaptionShift))))))</f>
        <v/>
      </c>
      <c r="FS196" s="479" t="str">
        <f ca="1">IF(OR(FS$169&lt;SwaptionFirstMonthPosition+1,$FJ196&lt;SwaptionFirstMonthPosition+1,FS$169&gt;SwaptionFirstMonthPosition+SwaptionNumOfMonths+1,$FJ196&gt;SwaptionFirstMonthPosition+SwaptionNumOfMonths+1),"",IF($FJ196=FS$169,1,IF($FJ196&lt;FS$169,INDEX($FK$170:$ID$241,FS$169,$FJ196),SUMPRODUCT(INDEX($FK$325:$ID$396,FS$169,1+SwaptionShift):INDEX($FK$325:$ID$396,FS$169,SwaptionMonthsToGo+SwaptionShift),INDEX($FK$245:$ID$316,$FJ196-FS$169,73-FS$169+SwaptionShift):INDEX($FK$245:$ID$316,$FJ196-FS$169,72-FS$169+SwaptionMonthsToGo+SwaptionShift))/SQRT(SUM(INDEX($FK351:$ID351,1+SwaptionShift):INDEX($FK351:$ID351,SwaptionMonthsToGo+SwaptionShift))*SUM(INDEX($FK$325:$ID$396,FS$169,1+SwaptionShift):INDEX($FK$325:$ID$396,FS$169,SwaptionMonthsToGo+SwaptionShift))))))</f>
        <v/>
      </c>
      <c r="FT196" s="479" t="str">
        <f ca="1">IF(OR(FT$169&lt;SwaptionFirstMonthPosition+1,$FJ196&lt;SwaptionFirstMonthPosition+1,FT$169&gt;SwaptionFirstMonthPosition+SwaptionNumOfMonths+1,$FJ196&gt;SwaptionFirstMonthPosition+SwaptionNumOfMonths+1),"",IF($FJ196=FT$169,1,IF($FJ196&lt;FT$169,INDEX($FK$170:$ID$241,FT$169,$FJ196),SUMPRODUCT(INDEX($FK$325:$ID$396,FT$169,1+SwaptionShift):INDEX($FK$325:$ID$396,FT$169,SwaptionMonthsToGo+SwaptionShift),INDEX($FK$245:$ID$316,$FJ196-FT$169,73-FT$169+SwaptionShift):INDEX($FK$245:$ID$316,$FJ196-FT$169,72-FT$169+SwaptionMonthsToGo+SwaptionShift))/SQRT(SUM(INDEX($FK351:$ID351,1+SwaptionShift):INDEX($FK351:$ID351,SwaptionMonthsToGo+SwaptionShift))*SUM(INDEX($FK$325:$ID$396,FT$169,1+SwaptionShift):INDEX($FK$325:$ID$396,FT$169,SwaptionMonthsToGo+SwaptionShift))))))</f>
        <v/>
      </c>
      <c r="FU196" s="479" t="str">
        <f ca="1">IF(OR(FU$169&lt;SwaptionFirstMonthPosition+1,$FJ196&lt;SwaptionFirstMonthPosition+1,FU$169&gt;SwaptionFirstMonthPosition+SwaptionNumOfMonths+1,$FJ196&gt;SwaptionFirstMonthPosition+SwaptionNumOfMonths+1),"",IF($FJ196=FU$169,1,IF($FJ196&lt;FU$169,INDEX($FK$170:$ID$241,FU$169,$FJ196),SUMPRODUCT(INDEX($FK$325:$ID$396,FU$169,1+SwaptionShift):INDEX($FK$325:$ID$396,FU$169,SwaptionMonthsToGo+SwaptionShift),INDEX($FK$245:$ID$316,$FJ196-FU$169,73-FU$169+SwaptionShift):INDEX($FK$245:$ID$316,$FJ196-FU$169,72-FU$169+SwaptionMonthsToGo+SwaptionShift))/SQRT(SUM(INDEX($FK351:$ID351,1+SwaptionShift):INDEX($FK351:$ID351,SwaptionMonthsToGo+SwaptionShift))*SUM(INDEX($FK$325:$ID$396,FU$169,1+SwaptionShift):INDEX($FK$325:$ID$396,FU$169,SwaptionMonthsToGo+SwaptionShift))))))</f>
        <v/>
      </c>
      <c r="FV196" s="479" t="str">
        <f ca="1">IF(OR(FV$169&lt;SwaptionFirstMonthPosition+1,$FJ196&lt;SwaptionFirstMonthPosition+1,FV$169&gt;SwaptionFirstMonthPosition+SwaptionNumOfMonths+1,$FJ196&gt;SwaptionFirstMonthPosition+SwaptionNumOfMonths+1),"",IF($FJ196=FV$169,1,IF($FJ196&lt;FV$169,INDEX($FK$170:$ID$241,FV$169,$FJ196),SUMPRODUCT(INDEX($FK$325:$ID$396,FV$169,1+SwaptionShift):INDEX($FK$325:$ID$396,FV$169,SwaptionMonthsToGo+SwaptionShift),INDEX($FK$245:$ID$316,$FJ196-FV$169,73-FV$169+SwaptionShift):INDEX($FK$245:$ID$316,$FJ196-FV$169,72-FV$169+SwaptionMonthsToGo+SwaptionShift))/SQRT(SUM(INDEX($FK351:$ID351,1+SwaptionShift):INDEX($FK351:$ID351,SwaptionMonthsToGo+SwaptionShift))*SUM(INDEX($FK$325:$ID$396,FV$169,1+SwaptionShift):INDEX($FK$325:$ID$396,FV$169,SwaptionMonthsToGo+SwaptionShift))))))</f>
        <v/>
      </c>
      <c r="FW196" s="479" t="str">
        <f ca="1">IF(OR(FW$169&lt;SwaptionFirstMonthPosition+1,$FJ196&lt;SwaptionFirstMonthPosition+1,FW$169&gt;SwaptionFirstMonthPosition+SwaptionNumOfMonths+1,$FJ196&gt;SwaptionFirstMonthPosition+SwaptionNumOfMonths+1),"",IF($FJ196=FW$169,1,IF($FJ196&lt;FW$169,INDEX($FK$170:$ID$241,FW$169,$FJ196),SUMPRODUCT(INDEX($FK$325:$ID$396,FW$169,1+SwaptionShift):INDEX($FK$325:$ID$396,FW$169,SwaptionMonthsToGo+SwaptionShift),INDEX($FK$245:$ID$316,$FJ196-FW$169,73-FW$169+SwaptionShift):INDEX($FK$245:$ID$316,$FJ196-FW$169,72-FW$169+SwaptionMonthsToGo+SwaptionShift))/SQRT(SUM(INDEX($FK351:$ID351,1+SwaptionShift):INDEX($FK351:$ID351,SwaptionMonthsToGo+SwaptionShift))*SUM(INDEX($FK$325:$ID$396,FW$169,1+SwaptionShift):INDEX($FK$325:$ID$396,FW$169,SwaptionMonthsToGo+SwaptionShift))))))</f>
        <v/>
      </c>
      <c r="FX196" s="479" t="str">
        <f ca="1">IF(OR(FX$169&lt;SwaptionFirstMonthPosition+1,$FJ196&lt;SwaptionFirstMonthPosition+1,FX$169&gt;SwaptionFirstMonthPosition+SwaptionNumOfMonths+1,$FJ196&gt;SwaptionFirstMonthPosition+SwaptionNumOfMonths+1),"",IF($FJ196=FX$169,1,IF($FJ196&lt;FX$169,INDEX($FK$170:$ID$241,FX$169,$FJ196),SUMPRODUCT(INDEX($FK$325:$ID$396,FX$169,1+SwaptionShift):INDEX($FK$325:$ID$396,FX$169,SwaptionMonthsToGo+SwaptionShift),INDEX($FK$245:$ID$316,$FJ196-FX$169,73-FX$169+SwaptionShift):INDEX($FK$245:$ID$316,$FJ196-FX$169,72-FX$169+SwaptionMonthsToGo+SwaptionShift))/SQRT(SUM(INDEX($FK351:$ID351,1+SwaptionShift):INDEX($FK351:$ID351,SwaptionMonthsToGo+SwaptionShift))*SUM(INDEX($FK$325:$ID$396,FX$169,1+SwaptionShift):INDEX($FK$325:$ID$396,FX$169,SwaptionMonthsToGo+SwaptionShift))))))</f>
        <v/>
      </c>
      <c r="FY196" s="479" t="str">
        <f ca="1">IF(OR(FY$169&lt;SwaptionFirstMonthPosition+1,$FJ196&lt;SwaptionFirstMonthPosition+1,FY$169&gt;SwaptionFirstMonthPosition+SwaptionNumOfMonths+1,$FJ196&gt;SwaptionFirstMonthPosition+SwaptionNumOfMonths+1),"",IF($FJ196=FY$169,1,IF($FJ196&lt;FY$169,INDEX($FK$170:$ID$241,FY$169,$FJ196),SUMPRODUCT(INDEX($FK$325:$ID$396,FY$169,1+SwaptionShift):INDEX($FK$325:$ID$396,FY$169,SwaptionMonthsToGo+SwaptionShift),INDEX($FK$245:$ID$316,$FJ196-FY$169,73-FY$169+SwaptionShift):INDEX($FK$245:$ID$316,$FJ196-FY$169,72-FY$169+SwaptionMonthsToGo+SwaptionShift))/SQRT(SUM(INDEX($FK351:$ID351,1+SwaptionShift):INDEX($FK351:$ID351,SwaptionMonthsToGo+SwaptionShift))*SUM(INDEX($FK$325:$ID$396,FY$169,1+SwaptionShift):INDEX($FK$325:$ID$396,FY$169,SwaptionMonthsToGo+SwaptionShift))))))</f>
        <v/>
      </c>
      <c r="FZ196" s="479" t="str">
        <f ca="1">IF(OR(FZ$169&lt;SwaptionFirstMonthPosition+1,$FJ196&lt;SwaptionFirstMonthPosition+1,FZ$169&gt;SwaptionFirstMonthPosition+SwaptionNumOfMonths+1,$FJ196&gt;SwaptionFirstMonthPosition+SwaptionNumOfMonths+1),"",IF($FJ196=FZ$169,1,IF($FJ196&lt;FZ$169,INDEX($FK$170:$ID$241,FZ$169,$FJ196),SUMPRODUCT(INDEX($FK$325:$ID$396,FZ$169,1+SwaptionShift):INDEX($FK$325:$ID$396,FZ$169,SwaptionMonthsToGo+SwaptionShift),INDEX($FK$245:$ID$316,$FJ196-FZ$169,73-FZ$169+SwaptionShift):INDEX($FK$245:$ID$316,$FJ196-FZ$169,72-FZ$169+SwaptionMonthsToGo+SwaptionShift))/SQRT(SUM(INDEX($FK351:$ID351,1+SwaptionShift):INDEX($FK351:$ID351,SwaptionMonthsToGo+SwaptionShift))*SUM(INDEX($FK$325:$ID$396,FZ$169,1+SwaptionShift):INDEX($FK$325:$ID$396,FZ$169,SwaptionMonthsToGo+SwaptionShift))))))</f>
        <v/>
      </c>
      <c r="GA196" s="479" t="str">
        <f ca="1">IF(OR(GA$169&lt;SwaptionFirstMonthPosition+1,$FJ196&lt;SwaptionFirstMonthPosition+1,GA$169&gt;SwaptionFirstMonthPosition+SwaptionNumOfMonths+1,$FJ196&gt;SwaptionFirstMonthPosition+SwaptionNumOfMonths+1),"",IF($FJ196=GA$169,1,IF($FJ196&lt;GA$169,INDEX($FK$170:$ID$241,GA$169,$FJ196),SUMPRODUCT(INDEX($FK$325:$ID$396,GA$169,1+SwaptionShift):INDEX($FK$325:$ID$396,GA$169,SwaptionMonthsToGo+SwaptionShift),INDEX($FK$245:$ID$316,$FJ196-GA$169,73-GA$169+SwaptionShift):INDEX($FK$245:$ID$316,$FJ196-GA$169,72-GA$169+SwaptionMonthsToGo+SwaptionShift))/SQRT(SUM(INDEX($FK351:$ID351,1+SwaptionShift):INDEX($FK351:$ID351,SwaptionMonthsToGo+SwaptionShift))*SUM(INDEX($FK$325:$ID$396,GA$169,1+SwaptionShift):INDEX($FK$325:$ID$396,GA$169,SwaptionMonthsToGo+SwaptionShift))))))</f>
        <v/>
      </c>
      <c r="GB196" s="479" t="str">
        <f ca="1">IF(OR(GB$169&lt;SwaptionFirstMonthPosition+1,$FJ196&lt;SwaptionFirstMonthPosition+1,GB$169&gt;SwaptionFirstMonthPosition+SwaptionNumOfMonths+1,$FJ196&gt;SwaptionFirstMonthPosition+SwaptionNumOfMonths+1),"",IF($FJ196=GB$169,1,IF($FJ196&lt;GB$169,INDEX($FK$170:$ID$241,GB$169,$FJ196),SUMPRODUCT(INDEX($FK$325:$ID$396,GB$169,1+SwaptionShift):INDEX($FK$325:$ID$396,GB$169,SwaptionMonthsToGo+SwaptionShift),INDEX($FK$245:$ID$316,$FJ196-GB$169,73-GB$169+SwaptionShift):INDEX($FK$245:$ID$316,$FJ196-GB$169,72-GB$169+SwaptionMonthsToGo+SwaptionShift))/SQRT(SUM(INDEX($FK351:$ID351,1+SwaptionShift):INDEX($FK351:$ID351,SwaptionMonthsToGo+SwaptionShift))*SUM(INDEX($FK$325:$ID$396,GB$169,1+SwaptionShift):INDEX($FK$325:$ID$396,GB$169,SwaptionMonthsToGo+SwaptionShift))))))</f>
        <v/>
      </c>
      <c r="GC196" s="479" t="str">
        <f ca="1">IF(OR(GC$169&lt;SwaptionFirstMonthPosition+1,$FJ196&lt;SwaptionFirstMonthPosition+1,GC$169&gt;SwaptionFirstMonthPosition+SwaptionNumOfMonths+1,$FJ196&gt;SwaptionFirstMonthPosition+SwaptionNumOfMonths+1),"",IF($FJ196=GC$169,1,IF($FJ196&lt;GC$169,INDEX($FK$170:$ID$241,GC$169,$FJ196),SUMPRODUCT(INDEX($FK$325:$ID$396,GC$169,1+SwaptionShift):INDEX($FK$325:$ID$396,GC$169,SwaptionMonthsToGo+SwaptionShift),INDEX($FK$245:$ID$316,$FJ196-GC$169,73-GC$169+SwaptionShift):INDEX($FK$245:$ID$316,$FJ196-GC$169,72-GC$169+SwaptionMonthsToGo+SwaptionShift))/SQRT(SUM(INDEX($FK351:$ID351,1+SwaptionShift):INDEX($FK351:$ID351,SwaptionMonthsToGo+SwaptionShift))*SUM(INDEX($FK$325:$ID$396,GC$169,1+SwaptionShift):INDEX($FK$325:$ID$396,GC$169,SwaptionMonthsToGo+SwaptionShift))))))</f>
        <v/>
      </c>
      <c r="GD196" s="479" t="str">
        <f ca="1">IF(OR(GD$169&lt;SwaptionFirstMonthPosition+1,$FJ196&lt;SwaptionFirstMonthPosition+1,GD$169&gt;SwaptionFirstMonthPosition+SwaptionNumOfMonths+1,$FJ196&gt;SwaptionFirstMonthPosition+SwaptionNumOfMonths+1),"",IF($FJ196=GD$169,1,IF($FJ196&lt;GD$169,INDEX($FK$170:$ID$241,GD$169,$FJ196),SUMPRODUCT(INDEX($FK$325:$ID$396,GD$169,1+SwaptionShift):INDEX($FK$325:$ID$396,GD$169,SwaptionMonthsToGo+SwaptionShift),INDEX($FK$245:$ID$316,$FJ196-GD$169,73-GD$169+SwaptionShift):INDEX($FK$245:$ID$316,$FJ196-GD$169,72-GD$169+SwaptionMonthsToGo+SwaptionShift))/SQRT(SUM(INDEX($FK351:$ID351,1+SwaptionShift):INDEX($FK351:$ID351,SwaptionMonthsToGo+SwaptionShift))*SUM(INDEX($FK$325:$ID$396,GD$169,1+SwaptionShift):INDEX($FK$325:$ID$396,GD$169,SwaptionMonthsToGo+SwaptionShift))))))</f>
        <v/>
      </c>
      <c r="GE196" s="479" t="str">
        <f ca="1">IF(OR(GE$169&lt;SwaptionFirstMonthPosition+1,$FJ196&lt;SwaptionFirstMonthPosition+1,GE$169&gt;SwaptionFirstMonthPosition+SwaptionNumOfMonths+1,$FJ196&gt;SwaptionFirstMonthPosition+SwaptionNumOfMonths+1),"",IF($FJ196=GE$169,1,IF($FJ196&lt;GE$169,INDEX($FK$170:$ID$241,GE$169,$FJ196),SUMPRODUCT(INDEX($FK$325:$ID$396,GE$169,1+SwaptionShift):INDEX($FK$325:$ID$396,GE$169,SwaptionMonthsToGo+SwaptionShift),INDEX($FK$245:$ID$316,$FJ196-GE$169,73-GE$169+SwaptionShift):INDEX($FK$245:$ID$316,$FJ196-GE$169,72-GE$169+SwaptionMonthsToGo+SwaptionShift))/SQRT(SUM(INDEX($FK351:$ID351,1+SwaptionShift):INDEX($FK351:$ID351,SwaptionMonthsToGo+SwaptionShift))*SUM(INDEX($FK$325:$ID$396,GE$169,1+SwaptionShift):INDEX($FK$325:$ID$396,GE$169,SwaptionMonthsToGo+SwaptionShift))))))</f>
        <v/>
      </c>
      <c r="GF196" s="479" t="str">
        <f ca="1">IF(OR(GF$169&lt;SwaptionFirstMonthPosition+1,$FJ196&lt;SwaptionFirstMonthPosition+1,GF$169&gt;SwaptionFirstMonthPosition+SwaptionNumOfMonths+1,$FJ196&gt;SwaptionFirstMonthPosition+SwaptionNumOfMonths+1),"",IF($FJ196=GF$169,1,IF($FJ196&lt;GF$169,INDEX($FK$170:$ID$241,GF$169,$FJ196),SUMPRODUCT(INDEX($FK$325:$ID$396,GF$169,1+SwaptionShift):INDEX($FK$325:$ID$396,GF$169,SwaptionMonthsToGo+SwaptionShift),INDEX($FK$245:$ID$316,$FJ196-GF$169,73-GF$169+SwaptionShift):INDEX($FK$245:$ID$316,$FJ196-GF$169,72-GF$169+SwaptionMonthsToGo+SwaptionShift))/SQRT(SUM(INDEX($FK351:$ID351,1+SwaptionShift):INDEX($FK351:$ID351,SwaptionMonthsToGo+SwaptionShift))*SUM(INDEX($FK$325:$ID$396,GF$169,1+SwaptionShift):INDEX($FK$325:$ID$396,GF$169,SwaptionMonthsToGo+SwaptionShift))))))</f>
        <v/>
      </c>
      <c r="GG196" s="479" t="str">
        <f ca="1">IF(OR(GG$169&lt;SwaptionFirstMonthPosition+1,$FJ196&lt;SwaptionFirstMonthPosition+1,GG$169&gt;SwaptionFirstMonthPosition+SwaptionNumOfMonths+1,$FJ196&gt;SwaptionFirstMonthPosition+SwaptionNumOfMonths+1),"",IF($FJ196=GG$169,1,IF($FJ196&lt;GG$169,INDEX($FK$170:$ID$241,GG$169,$FJ196),SUMPRODUCT(INDEX($FK$325:$ID$396,GG$169,1+SwaptionShift):INDEX($FK$325:$ID$396,GG$169,SwaptionMonthsToGo+SwaptionShift),INDEX($FK$245:$ID$316,$FJ196-GG$169,73-GG$169+SwaptionShift):INDEX($FK$245:$ID$316,$FJ196-GG$169,72-GG$169+SwaptionMonthsToGo+SwaptionShift))/SQRT(SUM(INDEX($FK351:$ID351,1+SwaptionShift):INDEX($FK351:$ID351,SwaptionMonthsToGo+SwaptionShift))*SUM(INDEX($FK$325:$ID$396,GG$169,1+SwaptionShift):INDEX($FK$325:$ID$396,GG$169,SwaptionMonthsToGo+SwaptionShift))))))</f>
        <v/>
      </c>
      <c r="GH196" s="479" t="str">
        <f ca="1">IF(OR(GH$169&lt;SwaptionFirstMonthPosition+1,$FJ196&lt;SwaptionFirstMonthPosition+1,GH$169&gt;SwaptionFirstMonthPosition+SwaptionNumOfMonths+1,$FJ196&gt;SwaptionFirstMonthPosition+SwaptionNumOfMonths+1),"",IF($FJ196=GH$169,1,IF($FJ196&lt;GH$169,INDEX($FK$170:$ID$241,GH$169,$FJ196),SUMPRODUCT(INDEX($FK$325:$ID$396,GH$169,1+SwaptionShift):INDEX($FK$325:$ID$396,GH$169,SwaptionMonthsToGo+SwaptionShift),INDEX($FK$245:$ID$316,$FJ196-GH$169,73-GH$169+SwaptionShift):INDEX($FK$245:$ID$316,$FJ196-GH$169,72-GH$169+SwaptionMonthsToGo+SwaptionShift))/SQRT(SUM(INDEX($FK351:$ID351,1+SwaptionShift):INDEX($FK351:$ID351,SwaptionMonthsToGo+SwaptionShift))*SUM(INDEX($FK$325:$ID$396,GH$169,1+SwaptionShift):INDEX($FK$325:$ID$396,GH$169,SwaptionMonthsToGo+SwaptionShift))))))</f>
        <v/>
      </c>
      <c r="GI196" s="479" t="str">
        <f ca="1">IF(OR(GI$169&lt;SwaptionFirstMonthPosition+1,$FJ196&lt;SwaptionFirstMonthPosition+1,GI$169&gt;SwaptionFirstMonthPosition+SwaptionNumOfMonths+1,$FJ196&gt;SwaptionFirstMonthPosition+SwaptionNumOfMonths+1),"",IF($FJ196=GI$169,1,IF($FJ196&lt;GI$169,INDEX($FK$170:$ID$241,GI$169,$FJ196),SUMPRODUCT(INDEX($FK$325:$ID$396,GI$169,1+SwaptionShift):INDEX($FK$325:$ID$396,GI$169,SwaptionMonthsToGo+SwaptionShift),INDEX($FK$245:$ID$316,$FJ196-GI$169,73-GI$169+SwaptionShift):INDEX($FK$245:$ID$316,$FJ196-GI$169,72-GI$169+SwaptionMonthsToGo+SwaptionShift))/SQRT(SUM(INDEX($FK351:$ID351,1+SwaptionShift):INDEX($FK351:$ID351,SwaptionMonthsToGo+SwaptionShift))*SUM(INDEX($FK$325:$ID$396,GI$169,1+SwaptionShift):INDEX($FK$325:$ID$396,GI$169,SwaptionMonthsToGo+SwaptionShift))))))</f>
        <v/>
      </c>
      <c r="GJ196" s="479" t="str">
        <f ca="1">IF(OR(GJ$169&lt;SwaptionFirstMonthPosition+1,$FJ196&lt;SwaptionFirstMonthPosition+1,GJ$169&gt;SwaptionFirstMonthPosition+SwaptionNumOfMonths+1,$FJ196&gt;SwaptionFirstMonthPosition+SwaptionNumOfMonths+1),"",IF($FJ196=GJ$169,1,IF($FJ196&lt;GJ$169,INDEX($FK$170:$ID$241,GJ$169,$FJ196),SUMPRODUCT(INDEX($FK$325:$ID$396,GJ$169,1+SwaptionShift):INDEX($FK$325:$ID$396,GJ$169,SwaptionMonthsToGo+SwaptionShift),INDEX($FK$245:$ID$316,$FJ196-GJ$169,73-GJ$169+SwaptionShift):INDEX($FK$245:$ID$316,$FJ196-GJ$169,72-GJ$169+SwaptionMonthsToGo+SwaptionShift))/SQRT(SUM(INDEX($FK351:$ID351,1+SwaptionShift):INDEX($FK351:$ID351,SwaptionMonthsToGo+SwaptionShift))*SUM(INDEX($FK$325:$ID$396,GJ$169,1+SwaptionShift):INDEX($FK$325:$ID$396,GJ$169,SwaptionMonthsToGo+SwaptionShift))))))</f>
        <v/>
      </c>
      <c r="GK196" s="479" t="str">
        <f ca="1">IF(OR(GK$169&lt;SwaptionFirstMonthPosition+1,$FJ196&lt;SwaptionFirstMonthPosition+1,GK$169&gt;SwaptionFirstMonthPosition+SwaptionNumOfMonths+1,$FJ196&gt;SwaptionFirstMonthPosition+SwaptionNumOfMonths+1),"",IF($FJ196=GK$169,1,IF($FJ196&lt;GK$169,INDEX($FK$170:$ID$241,GK$169,$FJ196),SUMPRODUCT(INDEX($FK$325:$ID$396,GK$169,1+SwaptionShift):INDEX($FK$325:$ID$396,GK$169,SwaptionMonthsToGo+SwaptionShift),INDEX($FK$245:$ID$316,$FJ196-GK$169,73-GK$169+SwaptionShift):INDEX($FK$245:$ID$316,$FJ196-GK$169,72-GK$169+SwaptionMonthsToGo+SwaptionShift))/SQRT(SUM(INDEX($FK351:$ID351,1+SwaptionShift):INDEX($FK351:$ID351,SwaptionMonthsToGo+SwaptionShift))*SUM(INDEX($FK$325:$ID$396,GK$169,1+SwaptionShift):INDEX($FK$325:$ID$396,GK$169,SwaptionMonthsToGo+SwaptionShift))))))</f>
        <v/>
      </c>
      <c r="GL196" s="479" t="str">
        <f ca="1">IF(OR(GL$169&lt;SwaptionFirstMonthPosition+1,$FJ196&lt;SwaptionFirstMonthPosition+1,GL$169&gt;SwaptionFirstMonthPosition+SwaptionNumOfMonths+1,$FJ196&gt;SwaptionFirstMonthPosition+SwaptionNumOfMonths+1),"",IF($FJ196=GL$169,1,IF($FJ196&lt;GL$169,INDEX($FK$170:$ID$241,GL$169,$FJ196),SUMPRODUCT(INDEX($FK$325:$ID$396,GL$169,1+SwaptionShift):INDEX($FK$325:$ID$396,GL$169,SwaptionMonthsToGo+SwaptionShift),INDEX($FK$245:$ID$316,$FJ196-GL$169,73-GL$169+SwaptionShift):INDEX($FK$245:$ID$316,$FJ196-GL$169,72-GL$169+SwaptionMonthsToGo+SwaptionShift))/SQRT(SUM(INDEX($FK351:$ID351,1+SwaptionShift):INDEX($FK351:$ID351,SwaptionMonthsToGo+SwaptionShift))*SUM(INDEX($FK$325:$ID$396,GL$169,1+SwaptionShift):INDEX($FK$325:$ID$396,GL$169,SwaptionMonthsToGo+SwaptionShift))))))</f>
        <v/>
      </c>
      <c r="GM196" s="479" t="str">
        <f ca="1">IF(OR(GM$169&lt;SwaptionFirstMonthPosition+1,$FJ196&lt;SwaptionFirstMonthPosition+1,GM$169&gt;SwaptionFirstMonthPosition+SwaptionNumOfMonths+1,$FJ196&gt;SwaptionFirstMonthPosition+SwaptionNumOfMonths+1),"",IF($FJ196=GM$169,1,IF($FJ196&lt;GM$169,INDEX($FK$170:$ID$241,GM$169,$FJ196),SUMPRODUCT(INDEX($FK$325:$ID$396,GM$169,1+SwaptionShift):INDEX($FK$325:$ID$396,GM$169,SwaptionMonthsToGo+SwaptionShift),INDEX($FK$245:$ID$316,$FJ196-GM$169,73-GM$169+SwaptionShift):INDEX($FK$245:$ID$316,$FJ196-GM$169,72-GM$169+SwaptionMonthsToGo+SwaptionShift))/SQRT(SUM(INDEX($FK351:$ID351,1+SwaptionShift):INDEX($FK351:$ID351,SwaptionMonthsToGo+SwaptionShift))*SUM(INDEX($FK$325:$ID$396,GM$169,1+SwaptionShift):INDEX($FK$325:$ID$396,GM$169,SwaptionMonthsToGo+SwaptionShift))))))</f>
        <v/>
      </c>
      <c r="GN196" s="479" t="str">
        <f ca="1">IF(OR(GN$169&lt;SwaptionFirstMonthPosition+1,$FJ196&lt;SwaptionFirstMonthPosition+1,GN$169&gt;SwaptionFirstMonthPosition+SwaptionNumOfMonths+1,$FJ196&gt;SwaptionFirstMonthPosition+SwaptionNumOfMonths+1),"",IF($FJ196=GN$169,1,IF($FJ196&lt;GN$169,INDEX($FK$170:$ID$241,GN$169,$FJ196),SUMPRODUCT(INDEX($FK$325:$ID$396,GN$169,1+SwaptionShift):INDEX($FK$325:$ID$396,GN$169,SwaptionMonthsToGo+SwaptionShift),INDEX($FK$245:$ID$316,$FJ196-GN$169,73-GN$169+SwaptionShift):INDEX($FK$245:$ID$316,$FJ196-GN$169,72-GN$169+SwaptionMonthsToGo+SwaptionShift))/SQRT(SUM(INDEX($FK351:$ID351,1+SwaptionShift):INDEX($FK351:$ID351,SwaptionMonthsToGo+SwaptionShift))*SUM(INDEX($FK$325:$ID$396,GN$169,1+SwaptionShift):INDEX($FK$325:$ID$396,GN$169,SwaptionMonthsToGo+SwaptionShift))))))</f>
        <v/>
      </c>
      <c r="GO196" s="479" t="str">
        <f ca="1">IF(OR(GO$169&lt;SwaptionFirstMonthPosition+1,$FJ196&lt;SwaptionFirstMonthPosition+1,GO$169&gt;SwaptionFirstMonthPosition+SwaptionNumOfMonths+1,$FJ196&gt;SwaptionFirstMonthPosition+SwaptionNumOfMonths+1),"",IF($FJ196=GO$169,1,IF($FJ196&lt;GO$169,INDEX($FK$170:$ID$241,GO$169,$FJ196),SUMPRODUCT(INDEX($FK$325:$ID$396,GO$169,1+SwaptionShift):INDEX($FK$325:$ID$396,GO$169,SwaptionMonthsToGo+SwaptionShift),INDEX($FK$245:$ID$316,$FJ196-GO$169,73-GO$169+SwaptionShift):INDEX($FK$245:$ID$316,$FJ196-GO$169,72-GO$169+SwaptionMonthsToGo+SwaptionShift))/SQRT(SUM(INDEX($FK351:$ID351,1+SwaptionShift):INDEX($FK351:$ID351,SwaptionMonthsToGo+SwaptionShift))*SUM(INDEX($FK$325:$ID$396,GO$169,1+SwaptionShift):INDEX($FK$325:$ID$396,GO$169,SwaptionMonthsToGo+SwaptionShift))))))</f>
        <v/>
      </c>
      <c r="GP196" s="479" t="str">
        <f ca="1">IF(OR(GP$169&lt;SwaptionFirstMonthPosition+1,$FJ196&lt;SwaptionFirstMonthPosition+1,GP$169&gt;SwaptionFirstMonthPosition+SwaptionNumOfMonths+1,$FJ196&gt;SwaptionFirstMonthPosition+SwaptionNumOfMonths+1),"",IF($FJ196=GP$169,1,IF($FJ196&lt;GP$169,INDEX($FK$170:$ID$241,GP$169,$FJ196),SUMPRODUCT(INDEX($FK$325:$ID$396,GP$169,1+SwaptionShift):INDEX($FK$325:$ID$396,GP$169,SwaptionMonthsToGo+SwaptionShift),INDEX($FK$245:$ID$316,$FJ196-GP$169,73-GP$169+SwaptionShift):INDEX($FK$245:$ID$316,$FJ196-GP$169,72-GP$169+SwaptionMonthsToGo+SwaptionShift))/SQRT(SUM(INDEX($FK351:$ID351,1+SwaptionShift):INDEX($FK351:$ID351,SwaptionMonthsToGo+SwaptionShift))*SUM(INDEX($FK$325:$ID$396,GP$169,1+SwaptionShift):INDEX($FK$325:$ID$396,GP$169,SwaptionMonthsToGo+SwaptionShift))))))</f>
        <v/>
      </c>
      <c r="GQ196" s="479" t="str">
        <f ca="1">IF(OR(GQ$169&lt;SwaptionFirstMonthPosition+1,$FJ196&lt;SwaptionFirstMonthPosition+1,GQ$169&gt;SwaptionFirstMonthPosition+SwaptionNumOfMonths+1,$FJ196&gt;SwaptionFirstMonthPosition+SwaptionNumOfMonths+1),"",IF($FJ196=GQ$169,1,IF($FJ196&lt;GQ$169,INDEX($FK$170:$ID$241,GQ$169,$FJ196),SUMPRODUCT(INDEX($FK$325:$ID$396,GQ$169,1+SwaptionShift):INDEX($FK$325:$ID$396,GQ$169,SwaptionMonthsToGo+SwaptionShift),INDEX($FK$245:$ID$316,$FJ196-GQ$169,73-GQ$169+SwaptionShift):INDEX($FK$245:$ID$316,$FJ196-GQ$169,72-GQ$169+SwaptionMonthsToGo+SwaptionShift))/SQRT(SUM(INDEX($FK351:$ID351,1+SwaptionShift):INDEX($FK351:$ID351,SwaptionMonthsToGo+SwaptionShift))*SUM(INDEX($FK$325:$ID$396,GQ$169,1+SwaptionShift):INDEX($FK$325:$ID$396,GQ$169,SwaptionMonthsToGo+SwaptionShift))))))</f>
        <v/>
      </c>
      <c r="GR196" s="479" t="str">
        <f ca="1">IF(OR(GR$169&lt;SwaptionFirstMonthPosition+1,$FJ196&lt;SwaptionFirstMonthPosition+1,GR$169&gt;SwaptionFirstMonthPosition+SwaptionNumOfMonths+1,$FJ196&gt;SwaptionFirstMonthPosition+SwaptionNumOfMonths+1),"",IF($FJ196=GR$169,1,IF($FJ196&lt;GR$169,INDEX($FK$170:$ID$241,GR$169,$FJ196),SUMPRODUCT(INDEX($FK$325:$ID$396,GR$169,1+SwaptionShift):INDEX($FK$325:$ID$396,GR$169,SwaptionMonthsToGo+SwaptionShift),INDEX($FK$245:$ID$316,$FJ196-GR$169,73-GR$169+SwaptionShift):INDEX($FK$245:$ID$316,$FJ196-GR$169,72-GR$169+SwaptionMonthsToGo+SwaptionShift))/SQRT(SUM(INDEX($FK351:$ID351,1+SwaptionShift):INDEX($FK351:$ID351,SwaptionMonthsToGo+SwaptionShift))*SUM(INDEX($FK$325:$ID$396,GR$169,1+SwaptionShift):INDEX($FK$325:$ID$396,GR$169,SwaptionMonthsToGo+SwaptionShift))))))</f>
        <v/>
      </c>
      <c r="GS196" s="479" t="str">
        <f ca="1">IF(OR(GS$169&lt;SwaptionFirstMonthPosition+1,$FJ196&lt;SwaptionFirstMonthPosition+1,GS$169&gt;SwaptionFirstMonthPosition+SwaptionNumOfMonths+1,$FJ196&gt;SwaptionFirstMonthPosition+SwaptionNumOfMonths+1),"",IF($FJ196=GS$169,1,IF($FJ196&lt;GS$169,INDEX($FK$170:$ID$241,GS$169,$FJ196),SUMPRODUCT(INDEX($FK$325:$ID$396,GS$169,1+SwaptionShift):INDEX($FK$325:$ID$396,GS$169,SwaptionMonthsToGo+SwaptionShift),INDEX($FK$245:$ID$316,$FJ196-GS$169,73-GS$169+SwaptionShift):INDEX($FK$245:$ID$316,$FJ196-GS$169,72-GS$169+SwaptionMonthsToGo+SwaptionShift))/SQRT(SUM(INDEX($FK351:$ID351,1+SwaptionShift):INDEX($FK351:$ID351,SwaptionMonthsToGo+SwaptionShift))*SUM(INDEX($FK$325:$ID$396,GS$169,1+SwaptionShift):INDEX($FK$325:$ID$396,GS$169,SwaptionMonthsToGo+SwaptionShift))))))</f>
        <v/>
      </c>
      <c r="GT196" s="479" t="str">
        <f ca="1">IF(OR(GT$169&lt;SwaptionFirstMonthPosition+1,$FJ196&lt;SwaptionFirstMonthPosition+1,GT$169&gt;SwaptionFirstMonthPosition+SwaptionNumOfMonths+1,$FJ196&gt;SwaptionFirstMonthPosition+SwaptionNumOfMonths+1),"",IF($FJ196=GT$169,1,IF($FJ196&lt;GT$169,INDEX($FK$170:$ID$241,GT$169,$FJ196),SUMPRODUCT(INDEX($FK$325:$ID$396,GT$169,1+SwaptionShift):INDEX($FK$325:$ID$396,GT$169,SwaptionMonthsToGo+SwaptionShift),INDEX($FK$245:$ID$316,$FJ196-GT$169,73-GT$169+SwaptionShift):INDEX($FK$245:$ID$316,$FJ196-GT$169,72-GT$169+SwaptionMonthsToGo+SwaptionShift))/SQRT(SUM(INDEX($FK351:$ID351,1+SwaptionShift):INDEX($FK351:$ID351,SwaptionMonthsToGo+SwaptionShift))*SUM(INDEX($FK$325:$ID$396,GT$169,1+SwaptionShift):INDEX($FK$325:$ID$396,GT$169,SwaptionMonthsToGo+SwaptionShift))))))</f>
        <v/>
      </c>
      <c r="GU196" s="479" t="str">
        <f ca="1">IF(OR(GU$169&lt;SwaptionFirstMonthPosition+1,$FJ196&lt;SwaptionFirstMonthPosition+1,GU$169&gt;SwaptionFirstMonthPosition+SwaptionNumOfMonths+1,$FJ196&gt;SwaptionFirstMonthPosition+SwaptionNumOfMonths+1),"",IF($FJ196=GU$169,1,IF($FJ196&lt;GU$169,INDEX($FK$170:$ID$241,GU$169,$FJ196),SUMPRODUCT(INDEX($FK$325:$ID$396,GU$169,1+SwaptionShift):INDEX($FK$325:$ID$396,GU$169,SwaptionMonthsToGo+SwaptionShift),INDEX($FK$245:$ID$316,$FJ196-GU$169,73-GU$169+SwaptionShift):INDEX($FK$245:$ID$316,$FJ196-GU$169,72-GU$169+SwaptionMonthsToGo+SwaptionShift))/SQRT(SUM(INDEX($FK351:$ID351,1+SwaptionShift):INDEX($FK351:$ID351,SwaptionMonthsToGo+SwaptionShift))*SUM(INDEX($FK$325:$ID$396,GU$169,1+SwaptionShift):INDEX($FK$325:$ID$396,GU$169,SwaptionMonthsToGo+SwaptionShift))))))</f>
        <v/>
      </c>
      <c r="GV196" s="479" t="str">
        <f ca="1">IF(OR(GV$169&lt;SwaptionFirstMonthPosition+1,$FJ196&lt;SwaptionFirstMonthPosition+1,GV$169&gt;SwaptionFirstMonthPosition+SwaptionNumOfMonths+1,$FJ196&gt;SwaptionFirstMonthPosition+SwaptionNumOfMonths+1),"",IF($FJ196=GV$169,1,IF($FJ196&lt;GV$169,INDEX($FK$170:$ID$241,GV$169,$FJ196),SUMPRODUCT(INDEX($FK$325:$ID$396,GV$169,1+SwaptionShift):INDEX($FK$325:$ID$396,GV$169,SwaptionMonthsToGo+SwaptionShift),INDEX($FK$245:$ID$316,$FJ196-GV$169,73-GV$169+SwaptionShift):INDEX($FK$245:$ID$316,$FJ196-GV$169,72-GV$169+SwaptionMonthsToGo+SwaptionShift))/SQRT(SUM(INDEX($FK351:$ID351,1+SwaptionShift):INDEX($FK351:$ID351,SwaptionMonthsToGo+SwaptionShift))*SUM(INDEX($FK$325:$ID$396,GV$169,1+SwaptionShift):INDEX($FK$325:$ID$396,GV$169,SwaptionMonthsToGo+SwaptionShift))))))</f>
        <v/>
      </c>
      <c r="GW196" s="479" t="str">
        <f ca="1">IF(OR(GW$169&lt;SwaptionFirstMonthPosition+1,$FJ196&lt;SwaptionFirstMonthPosition+1,GW$169&gt;SwaptionFirstMonthPosition+SwaptionNumOfMonths+1,$FJ196&gt;SwaptionFirstMonthPosition+SwaptionNumOfMonths+1),"",IF($FJ196=GW$169,1,IF($FJ196&lt;GW$169,INDEX($FK$170:$ID$241,GW$169,$FJ196),SUMPRODUCT(INDEX($FK$325:$ID$396,GW$169,1+SwaptionShift):INDEX($FK$325:$ID$396,GW$169,SwaptionMonthsToGo+SwaptionShift),INDEX($FK$245:$ID$316,$FJ196-GW$169,73-GW$169+SwaptionShift):INDEX($FK$245:$ID$316,$FJ196-GW$169,72-GW$169+SwaptionMonthsToGo+SwaptionShift))/SQRT(SUM(INDEX($FK351:$ID351,1+SwaptionShift):INDEX($FK351:$ID351,SwaptionMonthsToGo+SwaptionShift))*SUM(INDEX($FK$325:$ID$396,GW$169,1+SwaptionShift):INDEX($FK$325:$ID$396,GW$169,SwaptionMonthsToGo+SwaptionShift))))))</f>
        <v/>
      </c>
      <c r="GX196" s="479" t="str">
        <f ca="1">IF(OR(GX$169&lt;SwaptionFirstMonthPosition+1,$FJ196&lt;SwaptionFirstMonthPosition+1,GX$169&gt;SwaptionFirstMonthPosition+SwaptionNumOfMonths+1,$FJ196&gt;SwaptionFirstMonthPosition+SwaptionNumOfMonths+1),"",IF($FJ196=GX$169,1,IF($FJ196&lt;GX$169,INDEX($FK$170:$ID$241,GX$169,$FJ196),SUMPRODUCT(INDEX($FK$325:$ID$396,GX$169,1+SwaptionShift):INDEX($FK$325:$ID$396,GX$169,SwaptionMonthsToGo+SwaptionShift),INDEX($FK$245:$ID$316,$FJ196-GX$169,73-GX$169+SwaptionShift):INDEX($FK$245:$ID$316,$FJ196-GX$169,72-GX$169+SwaptionMonthsToGo+SwaptionShift))/SQRT(SUM(INDEX($FK351:$ID351,1+SwaptionShift):INDEX($FK351:$ID351,SwaptionMonthsToGo+SwaptionShift))*SUM(INDEX($FK$325:$ID$396,GX$169,1+SwaptionShift):INDEX($FK$325:$ID$396,GX$169,SwaptionMonthsToGo+SwaptionShift))))))</f>
        <v/>
      </c>
      <c r="GY196" s="479" t="str">
        <f ca="1">IF(OR(GY$169&lt;SwaptionFirstMonthPosition+1,$FJ196&lt;SwaptionFirstMonthPosition+1,GY$169&gt;SwaptionFirstMonthPosition+SwaptionNumOfMonths+1,$FJ196&gt;SwaptionFirstMonthPosition+SwaptionNumOfMonths+1),"",IF($FJ196=GY$169,1,IF($FJ196&lt;GY$169,INDEX($FK$170:$ID$241,GY$169,$FJ196),SUMPRODUCT(INDEX($FK$325:$ID$396,GY$169,1+SwaptionShift):INDEX($FK$325:$ID$396,GY$169,SwaptionMonthsToGo+SwaptionShift),INDEX($FK$245:$ID$316,$FJ196-GY$169,73-GY$169+SwaptionShift):INDEX($FK$245:$ID$316,$FJ196-GY$169,72-GY$169+SwaptionMonthsToGo+SwaptionShift))/SQRT(SUM(INDEX($FK351:$ID351,1+SwaptionShift):INDEX($FK351:$ID351,SwaptionMonthsToGo+SwaptionShift))*SUM(INDEX($FK$325:$ID$396,GY$169,1+SwaptionShift):INDEX($FK$325:$ID$396,GY$169,SwaptionMonthsToGo+SwaptionShift))))))</f>
        <v/>
      </c>
      <c r="GZ196" s="479" t="str">
        <f ca="1">IF(OR(GZ$169&lt;SwaptionFirstMonthPosition+1,$FJ196&lt;SwaptionFirstMonthPosition+1,GZ$169&gt;SwaptionFirstMonthPosition+SwaptionNumOfMonths+1,$FJ196&gt;SwaptionFirstMonthPosition+SwaptionNumOfMonths+1),"",IF($FJ196=GZ$169,1,IF($FJ196&lt;GZ$169,INDEX($FK$170:$ID$241,GZ$169,$FJ196),SUMPRODUCT(INDEX($FK$325:$ID$396,GZ$169,1+SwaptionShift):INDEX($FK$325:$ID$396,GZ$169,SwaptionMonthsToGo+SwaptionShift),INDEX($FK$245:$ID$316,$FJ196-GZ$169,73-GZ$169+SwaptionShift):INDEX($FK$245:$ID$316,$FJ196-GZ$169,72-GZ$169+SwaptionMonthsToGo+SwaptionShift))/SQRT(SUM(INDEX($FK351:$ID351,1+SwaptionShift):INDEX($FK351:$ID351,SwaptionMonthsToGo+SwaptionShift))*SUM(INDEX($FK$325:$ID$396,GZ$169,1+SwaptionShift):INDEX($FK$325:$ID$396,GZ$169,SwaptionMonthsToGo+SwaptionShift))))))</f>
        <v/>
      </c>
      <c r="HA196" s="479" t="str">
        <f ca="1">IF(OR(HA$169&lt;SwaptionFirstMonthPosition+1,$FJ196&lt;SwaptionFirstMonthPosition+1,HA$169&gt;SwaptionFirstMonthPosition+SwaptionNumOfMonths+1,$FJ196&gt;SwaptionFirstMonthPosition+SwaptionNumOfMonths+1),"",IF($FJ196=HA$169,1,IF($FJ196&lt;HA$169,INDEX($FK$170:$ID$241,HA$169,$FJ196),SUMPRODUCT(INDEX($FK$325:$ID$396,HA$169,1+SwaptionShift):INDEX($FK$325:$ID$396,HA$169,SwaptionMonthsToGo+SwaptionShift),INDEX($FK$245:$ID$316,$FJ196-HA$169,73-HA$169+SwaptionShift):INDEX($FK$245:$ID$316,$FJ196-HA$169,72-HA$169+SwaptionMonthsToGo+SwaptionShift))/SQRT(SUM(INDEX($FK351:$ID351,1+SwaptionShift):INDEX($FK351:$ID351,SwaptionMonthsToGo+SwaptionShift))*SUM(INDEX($FK$325:$ID$396,HA$169,1+SwaptionShift):INDEX($FK$325:$ID$396,HA$169,SwaptionMonthsToGo+SwaptionShift))))))</f>
        <v/>
      </c>
      <c r="HB196" s="479" t="str">
        <f ca="1">IF(OR(HB$169&lt;SwaptionFirstMonthPosition+1,$FJ196&lt;SwaptionFirstMonthPosition+1,HB$169&gt;SwaptionFirstMonthPosition+SwaptionNumOfMonths+1,$FJ196&gt;SwaptionFirstMonthPosition+SwaptionNumOfMonths+1),"",IF($FJ196=HB$169,1,IF($FJ196&lt;HB$169,INDEX($FK$170:$ID$241,HB$169,$FJ196),SUMPRODUCT(INDEX($FK$325:$ID$396,HB$169,1+SwaptionShift):INDEX($FK$325:$ID$396,HB$169,SwaptionMonthsToGo+SwaptionShift),INDEX($FK$245:$ID$316,$FJ196-HB$169,73-HB$169+SwaptionShift):INDEX($FK$245:$ID$316,$FJ196-HB$169,72-HB$169+SwaptionMonthsToGo+SwaptionShift))/SQRT(SUM(INDEX($FK351:$ID351,1+SwaptionShift):INDEX($FK351:$ID351,SwaptionMonthsToGo+SwaptionShift))*SUM(INDEX($FK$325:$ID$396,HB$169,1+SwaptionShift):INDEX($FK$325:$ID$396,HB$169,SwaptionMonthsToGo+SwaptionShift))))))</f>
        <v/>
      </c>
      <c r="HC196" s="479" t="str">
        <f ca="1">IF(OR(HC$169&lt;SwaptionFirstMonthPosition+1,$FJ196&lt;SwaptionFirstMonthPosition+1,HC$169&gt;SwaptionFirstMonthPosition+SwaptionNumOfMonths+1,$FJ196&gt;SwaptionFirstMonthPosition+SwaptionNumOfMonths+1),"",IF($FJ196=HC$169,1,IF($FJ196&lt;HC$169,INDEX($FK$170:$ID$241,HC$169,$FJ196),SUMPRODUCT(INDEX($FK$325:$ID$396,HC$169,1+SwaptionShift):INDEX($FK$325:$ID$396,HC$169,SwaptionMonthsToGo+SwaptionShift),INDEX($FK$245:$ID$316,$FJ196-HC$169,73-HC$169+SwaptionShift):INDEX($FK$245:$ID$316,$FJ196-HC$169,72-HC$169+SwaptionMonthsToGo+SwaptionShift))/SQRT(SUM(INDEX($FK351:$ID351,1+SwaptionShift):INDEX($FK351:$ID351,SwaptionMonthsToGo+SwaptionShift))*SUM(INDEX($FK$325:$ID$396,HC$169,1+SwaptionShift):INDEX($FK$325:$ID$396,HC$169,SwaptionMonthsToGo+SwaptionShift))))))</f>
        <v/>
      </c>
      <c r="HD196" s="479" t="str">
        <f ca="1">IF(OR(HD$169&lt;SwaptionFirstMonthPosition+1,$FJ196&lt;SwaptionFirstMonthPosition+1,HD$169&gt;SwaptionFirstMonthPosition+SwaptionNumOfMonths+1,$FJ196&gt;SwaptionFirstMonthPosition+SwaptionNumOfMonths+1),"",IF($FJ196=HD$169,1,IF($FJ196&lt;HD$169,INDEX($FK$170:$ID$241,HD$169,$FJ196),SUMPRODUCT(INDEX($FK$325:$ID$396,HD$169,1+SwaptionShift):INDEX($FK$325:$ID$396,HD$169,SwaptionMonthsToGo+SwaptionShift),INDEX($FK$245:$ID$316,$FJ196-HD$169,73-HD$169+SwaptionShift):INDEX($FK$245:$ID$316,$FJ196-HD$169,72-HD$169+SwaptionMonthsToGo+SwaptionShift))/SQRT(SUM(INDEX($FK351:$ID351,1+SwaptionShift):INDEX($FK351:$ID351,SwaptionMonthsToGo+SwaptionShift))*SUM(INDEX($FK$325:$ID$396,HD$169,1+SwaptionShift):INDEX($FK$325:$ID$396,HD$169,SwaptionMonthsToGo+SwaptionShift))))))</f>
        <v/>
      </c>
      <c r="HE196" s="479" t="str">
        <f ca="1">IF(OR(HE$169&lt;SwaptionFirstMonthPosition+1,$FJ196&lt;SwaptionFirstMonthPosition+1,HE$169&gt;SwaptionFirstMonthPosition+SwaptionNumOfMonths+1,$FJ196&gt;SwaptionFirstMonthPosition+SwaptionNumOfMonths+1),"",IF($FJ196=HE$169,1,IF($FJ196&lt;HE$169,INDEX($FK$170:$ID$241,HE$169,$FJ196),SUMPRODUCT(INDEX($FK$325:$ID$396,HE$169,1+SwaptionShift):INDEX($FK$325:$ID$396,HE$169,SwaptionMonthsToGo+SwaptionShift),INDEX($FK$245:$ID$316,$FJ196-HE$169,73-HE$169+SwaptionShift):INDEX($FK$245:$ID$316,$FJ196-HE$169,72-HE$169+SwaptionMonthsToGo+SwaptionShift))/SQRT(SUM(INDEX($FK351:$ID351,1+SwaptionShift):INDEX($FK351:$ID351,SwaptionMonthsToGo+SwaptionShift))*SUM(INDEX($FK$325:$ID$396,HE$169,1+SwaptionShift):INDEX($FK$325:$ID$396,HE$169,SwaptionMonthsToGo+SwaptionShift))))))</f>
        <v/>
      </c>
      <c r="HF196" s="479" t="str">
        <f ca="1">IF(OR(HF$169&lt;SwaptionFirstMonthPosition+1,$FJ196&lt;SwaptionFirstMonthPosition+1,HF$169&gt;SwaptionFirstMonthPosition+SwaptionNumOfMonths+1,$FJ196&gt;SwaptionFirstMonthPosition+SwaptionNumOfMonths+1),"",IF($FJ196=HF$169,1,IF($FJ196&lt;HF$169,INDEX($FK$170:$ID$241,HF$169,$FJ196),SUMPRODUCT(INDEX($FK$325:$ID$396,HF$169,1+SwaptionShift):INDEX($FK$325:$ID$396,HF$169,SwaptionMonthsToGo+SwaptionShift),INDEX($FK$245:$ID$316,$FJ196-HF$169,73-HF$169+SwaptionShift):INDEX($FK$245:$ID$316,$FJ196-HF$169,72-HF$169+SwaptionMonthsToGo+SwaptionShift))/SQRT(SUM(INDEX($FK351:$ID351,1+SwaptionShift):INDEX($FK351:$ID351,SwaptionMonthsToGo+SwaptionShift))*SUM(INDEX($FK$325:$ID$396,HF$169,1+SwaptionShift):INDEX($FK$325:$ID$396,HF$169,SwaptionMonthsToGo+SwaptionShift))))))</f>
        <v/>
      </c>
      <c r="HG196" s="479" t="str">
        <f ca="1">IF(OR(HG$169&lt;SwaptionFirstMonthPosition+1,$FJ196&lt;SwaptionFirstMonthPosition+1,HG$169&gt;SwaptionFirstMonthPosition+SwaptionNumOfMonths+1,$FJ196&gt;SwaptionFirstMonthPosition+SwaptionNumOfMonths+1),"",IF($FJ196=HG$169,1,IF($FJ196&lt;HG$169,INDEX($FK$170:$ID$241,HG$169,$FJ196),SUMPRODUCT(INDEX($FK$325:$ID$396,HG$169,1+SwaptionShift):INDEX($FK$325:$ID$396,HG$169,SwaptionMonthsToGo+SwaptionShift),INDEX($FK$245:$ID$316,$FJ196-HG$169,73-HG$169+SwaptionShift):INDEX($FK$245:$ID$316,$FJ196-HG$169,72-HG$169+SwaptionMonthsToGo+SwaptionShift))/SQRT(SUM(INDEX($FK351:$ID351,1+SwaptionShift):INDEX($FK351:$ID351,SwaptionMonthsToGo+SwaptionShift))*SUM(INDEX($FK$325:$ID$396,HG$169,1+SwaptionShift):INDEX($FK$325:$ID$396,HG$169,SwaptionMonthsToGo+SwaptionShift))))))</f>
        <v/>
      </c>
      <c r="HH196" s="479" t="str">
        <f ca="1">IF(OR(HH$169&lt;SwaptionFirstMonthPosition+1,$FJ196&lt;SwaptionFirstMonthPosition+1,HH$169&gt;SwaptionFirstMonthPosition+SwaptionNumOfMonths+1,$FJ196&gt;SwaptionFirstMonthPosition+SwaptionNumOfMonths+1),"",IF($FJ196=HH$169,1,IF($FJ196&lt;HH$169,INDEX($FK$170:$ID$241,HH$169,$FJ196),SUMPRODUCT(INDEX($FK$325:$ID$396,HH$169,1+SwaptionShift):INDEX($FK$325:$ID$396,HH$169,SwaptionMonthsToGo+SwaptionShift),INDEX($FK$245:$ID$316,$FJ196-HH$169,73-HH$169+SwaptionShift):INDEX($FK$245:$ID$316,$FJ196-HH$169,72-HH$169+SwaptionMonthsToGo+SwaptionShift))/SQRT(SUM(INDEX($FK351:$ID351,1+SwaptionShift):INDEX($FK351:$ID351,SwaptionMonthsToGo+SwaptionShift))*SUM(INDEX($FK$325:$ID$396,HH$169,1+SwaptionShift):INDEX($FK$325:$ID$396,HH$169,SwaptionMonthsToGo+SwaptionShift))))))</f>
        <v/>
      </c>
      <c r="HI196" s="479" t="str">
        <f ca="1">IF(OR(HI$169&lt;SwaptionFirstMonthPosition+1,$FJ196&lt;SwaptionFirstMonthPosition+1,HI$169&gt;SwaptionFirstMonthPosition+SwaptionNumOfMonths+1,$FJ196&gt;SwaptionFirstMonthPosition+SwaptionNumOfMonths+1),"",IF($FJ196=HI$169,1,IF($FJ196&lt;HI$169,INDEX($FK$170:$ID$241,HI$169,$FJ196),SUMPRODUCT(INDEX($FK$325:$ID$396,HI$169,1+SwaptionShift):INDEX($FK$325:$ID$396,HI$169,SwaptionMonthsToGo+SwaptionShift),INDEX($FK$245:$ID$316,$FJ196-HI$169,73-HI$169+SwaptionShift):INDEX($FK$245:$ID$316,$FJ196-HI$169,72-HI$169+SwaptionMonthsToGo+SwaptionShift))/SQRT(SUM(INDEX($FK351:$ID351,1+SwaptionShift):INDEX($FK351:$ID351,SwaptionMonthsToGo+SwaptionShift))*SUM(INDEX($FK$325:$ID$396,HI$169,1+SwaptionShift):INDEX($FK$325:$ID$396,HI$169,SwaptionMonthsToGo+SwaptionShift))))))</f>
        <v/>
      </c>
      <c r="HJ196" s="479" t="str">
        <f ca="1">IF(OR(HJ$169&lt;SwaptionFirstMonthPosition+1,$FJ196&lt;SwaptionFirstMonthPosition+1,HJ$169&gt;SwaptionFirstMonthPosition+SwaptionNumOfMonths+1,$FJ196&gt;SwaptionFirstMonthPosition+SwaptionNumOfMonths+1),"",IF($FJ196=HJ$169,1,IF($FJ196&lt;HJ$169,INDEX($FK$170:$ID$241,HJ$169,$FJ196),SUMPRODUCT(INDEX($FK$325:$ID$396,HJ$169,1+SwaptionShift):INDEX($FK$325:$ID$396,HJ$169,SwaptionMonthsToGo+SwaptionShift),INDEX($FK$245:$ID$316,$FJ196-HJ$169,73-HJ$169+SwaptionShift):INDEX($FK$245:$ID$316,$FJ196-HJ$169,72-HJ$169+SwaptionMonthsToGo+SwaptionShift))/SQRT(SUM(INDEX($FK351:$ID351,1+SwaptionShift):INDEX($FK351:$ID351,SwaptionMonthsToGo+SwaptionShift))*SUM(INDEX($FK$325:$ID$396,HJ$169,1+SwaptionShift):INDEX($FK$325:$ID$396,HJ$169,SwaptionMonthsToGo+SwaptionShift))))))</f>
        <v/>
      </c>
      <c r="HK196" s="479" t="str">
        <f ca="1">IF(OR(HK$169&lt;SwaptionFirstMonthPosition+1,$FJ196&lt;SwaptionFirstMonthPosition+1,HK$169&gt;SwaptionFirstMonthPosition+SwaptionNumOfMonths+1,$FJ196&gt;SwaptionFirstMonthPosition+SwaptionNumOfMonths+1),"",IF($FJ196=HK$169,1,IF($FJ196&lt;HK$169,INDEX($FK$170:$ID$241,HK$169,$FJ196),SUMPRODUCT(INDEX($FK$325:$ID$396,HK$169,1+SwaptionShift):INDEX($FK$325:$ID$396,HK$169,SwaptionMonthsToGo+SwaptionShift),INDEX($FK$245:$ID$316,$FJ196-HK$169,73-HK$169+SwaptionShift):INDEX($FK$245:$ID$316,$FJ196-HK$169,72-HK$169+SwaptionMonthsToGo+SwaptionShift))/SQRT(SUM(INDEX($FK351:$ID351,1+SwaptionShift):INDEX($FK351:$ID351,SwaptionMonthsToGo+SwaptionShift))*SUM(INDEX($FK$325:$ID$396,HK$169,1+SwaptionShift):INDEX($FK$325:$ID$396,HK$169,SwaptionMonthsToGo+SwaptionShift))))))</f>
        <v/>
      </c>
      <c r="HL196" s="479" t="str">
        <f ca="1">IF(OR(HL$169&lt;SwaptionFirstMonthPosition+1,$FJ196&lt;SwaptionFirstMonthPosition+1,HL$169&gt;SwaptionFirstMonthPosition+SwaptionNumOfMonths+1,$FJ196&gt;SwaptionFirstMonthPosition+SwaptionNumOfMonths+1),"",IF($FJ196=HL$169,1,IF($FJ196&lt;HL$169,INDEX($FK$170:$ID$241,HL$169,$FJ196),SUMPRODUCT(INDEX($FK$325:$ID$396,HL$169,1+SwaptionShift):INDEX($FK$325:$ID$396,HL$169,SwaptionMonthsToGo+SwaptionShift),INDEX($FK$245:$ID$316,$FJ196-HL$169,73-HL$169+SwaptionShift):INDEX($FK$245:$ID$316,$FJ196-HL$169,72-HL$169+SwaptionMonthsToGo+SwaptionShift))/SQRT(SUM(INDEX($FK351:$ID351,1+SwaptionShift):INDEX($FK351:$ID351,SwaptionMonthsToGo+SwaptionShift))*SUM(INDEX($FK$325:$ID$396,HL$169,1+SwaptionShift):INDEX($FK$325:$ID$396,HL$169,SwaptionMonthsToGo+SwaptionShift))))))</f>
        <v/>
      </c>
      <c r="HM196" s="479" t="str">
        <f ca="1">IF(OR(HM$169&lt;SwaptionFirstMonthPosition+1,$FJ196&lt;SwaptionFirstMonthPosition+1,HM$169&gt;SwaptionFirstMonthPosition+SwaptionNumOfMonths+1,$FJ196&gt;SwaptionFirstMonthPosition+SwaptionNumOfMonths+1),"",IF($FJ196=HM$169,1,IF($FJ196&lt;HM$169,INDEX($FK$170:$ID$241,HM$169,$FJ196),SUMPRODUCT(INDEX($FK$325:$ID$396,HM$169,1+SwaptionShift):INDEX($FK$325:$ID$396,HM$169,SwaptionMonthsToGo+SwaptionShift),INDEX($FK$245:$ID$316,$FJ196-HM$169,73-HM$169+SwaptionShift):INDEX($FK$245:$ID$316,$FJ196-HM$169,72-HM$169+SwaptionMonthsToGo+SwaptionShift))/SQRT(SUM(INDEX($FK351:$ID351,1+SwaptionShift):INDEX($FK351:$ID351,SwaptionMonthsToGo+SwaptionShift))*SUM(INDEX($FK$325:$ID$396,HM$169,1+SwaptionShift):INDEX($FK$325:$ID$396,HM$169,SwaptionMonthsToGo+SwaptionShift))))))</f>
        <v/>
      </c>
      <c r="HN196" s="479" t="str">
        <f ca="1">IF(OR(HN$169&lt;SwaptionFirstMonthPosition+1,$FJ196&lt;SwaptionFirstMonthPosition+1,HN$169&gt;SwaptionFirstMonthPosition+SwaptionNumOfMonths+1,$FJ196&gt;SwaptionFirstMonthPosition+SwaptionNumOfMonths+1),"",IF($FJ196=HN$169,1,IF($FJ196&lt;HN$169,INDEX($FK$170:$ID$241,HN$169,$FJ196),SUMPRODUCT(INDEX($FK$325:$ID$396,HN$169,1+SwaptionShift):INDEX($FK$325:$ID$396,HN$169,SwaptionMonthsToGo+SwaptionShift),INDEX($FK$245:$ID$316,$FJ196-HN$169,73-HN$169+SwaptionShift):INDEX($FK$245:$ID$316,$FJ196-HN$169,72-HN$169+SwaptionMonthsToGo+SwaptionShift))/SQRT(SUM(INDEX($FK351:$ID351,1+SwaptionShift):INDEX($FK351:$ID351,SwaptionMonthsToGo+SwaptionShift))*SUM(INDEX($FK$325:$ID$396,HN$169,1+SwaptionShift):INDEX($FK$325:$ID$396,HN$169,SwaptionMonthsToGo+SwaptionShift))))))</f>
        <v/>
      </c>
      <c r="HO196" s="479" t="str">
        <f ca="1">IF(OR(HO$169&lt;SwaptionFirstMonthPosition+1,$FJ196&lt;SwaptionFirstMonthPosition+1,HO$169&gt;SwaptionFirstMonthPosition+SwaptionNumOfMonths+1,$FJ196&gt;SwaptionFirstMonthPosition+SwaptionNumOfMonths+1),"",IF($FJ196=HO$169,1,IF($FJ196&lt;HO$169,INDEX($FK$170:$ID$241,HO$169,$FJ196),SUMPRODUCT(INDEX($FK$325:$ID$396,HO$169,1+SwaptionShift):INDEX($FK$325:$ID$396,HO$169,SwaptionMonthsToGo+SwaptionShift),INDEX($FK$245:$ID$316,$FJ196-HO$169,73-HO$169+SwaptionShift):INDEX($FK$245:$ID$316,$FJ196-HO$169,72-HO$169+SwaptionMonthsToGo+SwaptionShift))/SQRT(SUM(INDEX($FK351:$ID351,1+SwaptionShift):INDEX($FK351:$ID351,SwaptionMonthsToGo+SwaptionShift))*SUM(INDEX($FK$325:$ID$396,HO$169,1+SwaptionShift):INDEX($FK$325:$ID$396,HO$169,SwaptionMonthsToGo+SwaptionShift))))))</f>
        <v/>
      </c>
      <c r="HP196" s="479" t="str">
        <f ca="1">IF(OR(HP$169&lt;SwaptionFirstMonthPosition+1,$FJ196&lt;SwaptionFirstMonthPosition+1,HP$169&gt;SwaptionFirstMonthPosition+SwaptionNumOfMonths+1,$FJ196&gt;SwaptionFirstMonthPosition+SwaptionNumOfMonths+1),"",IF($FJ196=HP$169,1,IF($FJ196&lt;HP$169,INDEX($FK$170:$ID$241,HP$169,$FJ196),SUMPRODUCT(INDEX($FK$325:$ID$396,HP$169,1+SwaptionShift):INDEX($FK$325:$ID$396,HP$169,SwaptionMonthsToGo+SwaptionShift),INDEX($FK$245:$ID$316,$FJ196-HP$169,73-HP$169+SwaptionShift):INDEX($FK$245:$ID$316,$FJ196-HP$169,72-HP$169+SwaptionMonthsToGo+SwaptionShift))/SQRT(SUM(INDEX($FK351:$ID351,1+SwaptionShift):INDEX($FK351:$ID351,SwaptionMonthsToGo+SwaptionShift))*SUM(INDEX($FK$325:$ID$396,HP$169,1+SwaptionShift):INDEX($FK$325:$ID$396,HP$169,SwaptionMonthsToGo+SwaptionShift))))))</f>
        <v/>
      </c>
      <c r="HQ196" s="479" t="str">
        <f ca="1">IF(OR(HQ$169&lt;SwaptionFirstMonthPosition+1,$FJ196&lt;SwaptionFirstMonthPosition+1,HQ$169&gt;SwaptionFirstMonthPosition+SwaptionNumOfMonths+1,$FJ196&gt;SwaptionFirstMonthPosition+SwaptionNumOfMonths+1),"",IF($FJ196=HQ$169,1,IF($FJ196&lt;HQ$169,INDEX($FK$170:$ID$241,HQ$169,$FJ196),SUMPRODUCT(INDEX($FK$325:$ID$396,HQ$169,1+SwaptionShift):INDEX($FK$325:$ID$396,HQ$169,SwaptionMonthsToGo+SwaptionShift),INDEX($FK$245:$ID$316,$FJ196-HQ$169,73-HQ$169+SwaptionShift):INDEX($FK$245:$ID$316,$FJ196-HQ$169,72-HQ$169+SwaptionMonthsToGo+SwaptionShift))/SQRT(SUM(INDEX($FK351:$ID351,1+SwaptionShift):INDEX($FK351:$ID351,SwaptionMonthsToGo+SwaptionShift))*SUM(INDEX($FK$325:$ID$396,HQ$169,1+SwaptionShift):INDEX($FK$325:$ID$396,HQ$169,SwaptionMonthsToGo+SwaptionShift))))))</f>
        <v/>
      </c>
      <c r="HR196" s="479" t="str">
        <f ca="1">IF(OR(HR$169&lt;SwaptionFirstMonthPosition+1,$FJ196&lt;SwaptionFirstMonthPosition+1,HR$169&gt;SwaptionFirstMonthPosition+SwaptionNumOfMonths+1,$FJ196&gt;SwaptionFirstMonthPosition+SwaptionNumOfMonths+1),"",IF($FJ196=HR$169,1,IF($FJ196&lt;HR$169,INDEX($FK$170:$ID$241,HR$169,$FJ196),SUMPRODUCT(INDEX($FK$325:$ID$396,HR$169,1+SwaptionShift):INDEX($FK$325:$ID$396,HR$169,SwaptionMonthsToGo+SwaptionShift),INDEX($FK$245:$ID$316,$FJ196-HR$169,73-HR$169+SwaptionShift):INDEX($FK$245:$ID$316,$FJ196-HR$169,72-HR$169+SwaptionMonthsToGo+SwaptionShift))/SQRT(SUM(INDEX($FK351:$ID351,1+SwaptionShift):INDEX($FK351:$ID351,SwaptionMonthsToGo+SwaptionShift))*SUM(INDEX($FK$325:$ID$396,HR$169,1+SwaptionShift):INDEX($FK$325:$ID$396,HR$169,SwaptionMonthsToGo+SwaptionShift))))))</f>
        <v/>
      </c>
      <c r="HS196" s="479" t="str">
        <f ca="1">IF(OR(HS$169&lt;SwaptionFirstMonthPosition+1,$FJ196&lt;SwaptionFirstMonthPosition+1,HS$169&gt;SwaptionFirstMonthPosition+SwaptionNumOfMonths+1,$FJ196&gt;SwaptionFirstMonthPosition+SwaptionNumOfMonths+1),"",IF($FJ196=HS$169,1,IF($FJ196&lt;HS$169,INDEX($FK$170:$ID$241,HS$169,$FJ196),SUMPRODUCT(INDEX($FK$325:$ID$396,HS$169,1+SwaptionShift):INDEX($FK$325:$ID$396,HS$169,SwaptionMonthsToGo+SwaptionShift),INDEX($FK$245:$ID$316,$FJ196-HS$169,73-HS$169+SwaptionShift):INDEX($FK$245:$ID$316,$FJ196-HS$169,72-HS$169+SwaptionMonthsToGo+SwaptionShift))/SQRT(SUM(INDEX($FK351:$ID351,1+SwaptionShift):INDEX($FK351:$ID351,SwaptionMonthsToGo+SwaptionShift))*SUM(INDEX($FK$325:$ID$396,HS$169,1+SwaptionShift):INDEX($FK$325:$ID$396,HS$169,SwaptionMonthsToGo+SwaptionShift))))))</f>
        <v/>
      </c>
      <c r="HT196" s="479" t="str">
        <f ca="1">IF(OR(HT$169&lt;SwaptionFirstMonthPosition+1,$FJ196&lt;SwaptionFirstMonthPosition+1,HT$169&gt;SwaptionFirstMonthPosition+SwaptionNumOfMonths+1,$FJ196&gt;SwaptionFirstMonthPosition+SwaptionNumOfMonths+1),"",IF($FJ196=HT$169,1,IF($FJ196&lt;HT$169,INDEX($FK$170:$ID$241,HT$169,$FJ196),SUMPRODUCT(INDEX($FK$325:$ID$396,HT$169,1+SwaptionShift):INDEX($FK$325:$ID$396,HT$169,SwaptionMonthsToGo+SwaptionShift),INDEX($FK$245:$ID$316,$FJ196-HT$169,73-HT$169+SwaptionShift):INDEX($FK$245:$ID$316,$FJ196-HT$169,72-HT$169+SwaptionMonthsToGo+SwaptionShift))/SQRT(SUM(INDEX($FK351:$ID351,1+SwaptionShift):INDEX($FK351:$ID351,SwaptionMonthsToGo+SwaptionShift))*SUM(INDEX($FK$325:$ID$396,HT$169,1+SwaptionShift):INDEX($FK$325:$ID$396,HT$169,SwaptionMonthsToGo+SwaptionShift))))))</f>
        <v/>
      </c>
      <c r="HU196" s="479" t="str">
        <f ca="1">IF(OR(HU$169&lt;SwaptionFirstMonthPosition+1,$FJ196&lt;SwaptionFirstMonthPosition+1,HU$169&gt;SwaptionFirstMonthPosition+SwaptionNumOfMonths+1,$FJ196&gt;SwaptionFirstMonthPosition+SwaptionNumOfMonths+1),"",IF($FJ196=HU$169,1,IF($FJ196&lt;HU$169,INDEX($FK$170:$ID$241,HU$169,$FJ196),SUMPRODUCT(INDEX($FK$325:$ID$396,HU$169,1+SwaptionShift):INDEX($FK$325:$ID$396,HU$169,SwaptionMonthsToGo+SwaptionShift),INDEX($FK$245:$ID$316,$FJ196-HU$169,73-HU$169+SwaptionShift):INDEX($FK$245:$ID$316,$FJ196-HU$169,72-HU$169+SwaptionMonthsToGo+SwaptionShift))/SQRT(SUM(INDEX($FK351:$ID351,1+SwaptionShift):INDEX($FK351:$ID351,SwaptionMonthsToGo+SwaptionShift))*SUM(INDEX($FK$325:$ID$396,HU$169,1+SwaptionShift):INDEX($FK$325:$ID$396,HU$169,SwaptionMonthsToGo+SwaptionShift))))))</f>
        <v/>
      </c>
      <c r="HV196" s="479" t="str">
        <f ca="1">IF(OR(HV$169&lt;SwaptionFirstMonthPosition+1,$FJ196&lt;SwaptionFirstMonthPosition+1,HV$169&gt;SwaptionFirstMonthPosition+SwaptionNumOfMonths+1,$FJ196&gt;SwaptionFirstMonthPosition+SwaptionNumOfMonths+1),"",IF($FJ196=HV$169,1,IF($FJ196&lt;HV$169,INDEX($FK$170:$ID$241,HV$169,$FJ196),SUMPRODUCT(INDEX($FK$325:$ID$396,HV$169,1+SwaptionShift):INDEX($FK$325:$ID$396,HV$169,SwaptionMonthsToGo+SwaptionShift),INDEX($FK$245:$ID$316,$FJ196-HV$169,73-HV$169+SwaptionShift):INDEX($FK$245:$ID$316,$FJ196-HV$169,72-HV$169+SwaptionMonthsToGo+SwaptionShift))/SQRT(SUM(INDEX($FK351:$ID351,1+SwaptionShift):INDEX($FK351:$ID351,SwaptionMonthsToGo+SwaptionShift))*SUM(INDEX($FK$325:$ID$396,HV$169,1+SwaptionShift):INDEX($FK$325:$ID$396,HV$169,SwaptionMonthsToGo+SwaptionShift))))))</f>
        <v/>
      </c>
      <c r="HW196" s="479" t="str">
        <f ca="1">IF(OR(HW$169&lt;SwaptionFirstMonthPosition+1,$FJ196&lt;SwaptionFirstMonthPosition+1,HW$169&gt;SwaptionFirstMonthPosition+SwaptionNumOfMonths+1,$FJ196&gt;SwaptionFirstMonthPosition+SwaptionNumOfMonths+1),"",IF($FJ196=HW$169,1,IF($FJ196&lt;HW$169,INDEX($FK$170:$ID$241,HW$169,$FJ196),SUMPRODUCT(INDEX($FK$325:$ID$396,HW$169,1+SwaptionShift):INDEX($FK$325:$ID$396,HW$169,SwaptionMonthsToGo+SwaptionShift),INDEX($FK$245:$ID$316,$FJ196-HW$169,73-HW$169+SwaptionShift):INDEX($FK$245:$ID$316,$FJ196-HW$169,72-HW$169+SwaptionMonthsToGo+SwaptionShift))/SQRT(SUM(INDEX($FK351:$ID351,1+SwaptionShift):INDEX($FK351:$ID351,SwaptionMonthsToGo+SwaptionShift))*SUM(INDEX($FK$325:$ID$396,HW$169,1+SwaptionShift):INDEX($FK$325:$ID$396,HW$169,SwaptionMonthsToGo+SwaptionShift))))))</f>
        <v/>
      </c>
      <c r="HX196" s="479" t="str">
        <f ca="1">IF(OR(HX$169&lt;SwaptionFirstMonthPosition+1,$FJ196&lt;SwaptionFirstMonthPosition+1,HX$169&gt;SwaptionFirstMonthPosition+SwaptionNumOfMonths+1,$FJ196&gt;SwaptionFirstMonthPosition+SwaptionNumOfMonths+1),"",IF($FJ196=HX$169,1,IF($FJ196&lt;HX$169,INDEX($FK$170:$ID$241,HX$169,$FJ196),SUMPRODUCT(INDEX($FK$325:$ID$396,HX$169,1+SwaptionShift):INDEX($FK$325:$ID$396,HX$169,SwaptionMonthsToGo+SwaptionShift),INDEX($FK$245:$ID$316,$FJ196-HX$169,73-HX$169+SwaptionShift):INDEX($FK$245:$ID$316,$FJ196-HX$169,72-HX$169+SwaptionMonthsToGo+SwaptionShift))/SQRT(SUM(INDEX($FK351:$ID351,1+SwaptionShift):INDEX($FK351:$ID351,SwaptionMonthsToGo+SwaptionShift))*SUM(INDEX($FK$325:$ID$396,HX$169,1+SwaptionShift):INDEX($FK$325:$ID$396,HX$169,SwaptionMonthsToGo+SwaptionShift))))))</f>
        <v/>
      </c>
      <c r="HY196" s="479" t="str">
        <f ca="1">IF(OR(HY$169&lt;SwaptionFirstMonthPosition+1,$FJ196&lt;SwaptionFirstMonthPosition+1,HY$169&gt;SwaptionFirstMonthPosition+SwaptionNumOfMonths+1,$FJ196&gt;SwaptionFirstMonthPosition+SwaptionNumOfMonths+1),"",IF($FJ196=HY$169,1,IF($FJ196&lt;HY$169,INDEX($FK$170:$ID$241,HY$169,$FJ196),SUMPRODUCT(INDEX($FK$325:$ID$396,HY$169,1+SwaptionShift):INDEX($FK$325:$ID$396,HY$169,SwaptionMonthsToGo+SwaptionShift),INDEX($FK$245:$ID$316,$FJ196-HY$169,73-HY$169+SwaptionShift):INDEX($FK$245:$ID$316,$FJ196-HY$169,72-HY$169+SwaptionMonthsToGo+SwaptionShift))/SQRT(SUM(INDEX($FK351:$ID351,1+SwaptionShift):INDEX($FK351:$ID351,SwaptionMonthsToGo+SwaptionShift))*SUM(INDEX($FK$325:$ID$396,HY$169,1+SwaptionShift):INDEX($FK$325:$ID$396,HY$169,SwaptionMonthsToGo+SwaptionShift))))))</f>
        <v/>
      </c>
      <c r="HZ196" s="479" t="str">
        <f ca="1">IF(OR(HZ$169&lt;SwaptionFirstMonthPosition+1,$FJ196&lt;SwaptionFirstMonthPosition+1,HZ$169&gt;SwaptionFirstMonthPosition+SwaptionNumOfMonths+1,$FJ196&gt;SwaptionFirstMonthPosition+SwaptionNumOfMonths+1),"",IF($FJ196=HZ$169,1,IF($FJ196&lt;HZ$169,INDEX($FK$170:$ID$241,HZ$169,$FJ196),SUMPRODUCT(INDEX($FK$325:$ID$396,HZ$169,1+SwaptionShift):INDEX($FK$325:$ID$396,HZ$169,SwaptionMonthsToGo+SwaptionShift),INDEX($FK$245:$ID$316,$FJ196-HZ$169,73-HZ$169+SwaptionShift):INDEX($FK$245:$ID$316,$FJ196-HZ$169,72-HZ$169+SwaptionMonthsToGo+SwaptionShift))/SQRT(SUM(INDEX($FK351:$ID351,1+SwaptionShift):INDEX($FK351:$ID351,SwaptionMonthsToGo+SwaptionShift))*SUM(INDEX($FK$325:$ID$396,HZ$169,1+SwaptionShift):INDEX($FK$325:$ID$396,HZ$169,SwaptionMonthsToGo+SwaptionShift))))))</f>
        <v/>
      </c>
      <c r="IA196" s="479" t="str">
        <f ca="1">IF(OR(IA$169&lt;SwaptionFirstMonthPosition+1,$FJ196&lt;SwaptionFirstMonthPosition+1,IA$169&gt;SwaptionFirstMonthPosition+SwaptionNumOfMonths+1,$FJ196&gt;SwaptionFirstMonthPosition+SwaptionNumOfMonths+1),"",IF($FJ196=IA$169,1,IF($FJ196&lt;IA$169,INDEX($FK$170:$ID$241,IA$169,$FJ196),SUMPRODUCT(INDEX($FK$325:$ID$396,IA$169,1+SwaptionShift):INDEX($FK$325:$ID$396,IA$169,SwaptionMonthsToGo+SwaptionShift),INDEX($FK$245:$ID$316,$FJ196-IA$169,73-IA$169+SwaptionShift):INDEX($FK$245:$ID$316,$FJ196-IA$169,72-IA$169+SwaptionMonthsToGo+SwaptionShift))/SQRT(SUM(INDEX($FK351:$ID351,1+SwaptionShift):INDEX($FK351:$ID351,SwaptionMonthsToGo+SwaptionShift))*SUM(INDEX($FK$325:$ID$396,IA$169,1+SwaptionShift):INDEX($FK$325:$ID$396,IA$169,SwaptionMonthsToGo+SwaptionShift))))))</f>
        <v/>
      </c>
      <c r="IB196" s="479" t="str">
        <f ca="1">IF(OR(IB$169&lt;SwaptionFirstMonthPosition+1,$FJ196&lt;SwaptionFirstMonthPosition+1,IB$169&gt;SwaptionFirstMonthPosition+SwaptionNumOfMonths+1,$FJ196&gt;SwaptionFirstMonthPosition+SwaptionNumOfMonths+1),"",IF($FJ196=IB$169,1,IF($FJ196&lt;IB$169,INDEX($FK$170:$ID$241,IB$169,$FJ196),SUMPRODUCT(INDEX($FK$325:$ID$396,IB$169,1+SwaptionShift):INDEX($FK$325:$ID$396,IB$169,SwaptionMonthsToGo+SwaptionShift),INDEX($FK$245:$ID$316,$FJ196-IB$169,73-IB$169+SwaptionShift):INDEX($FK$245:$ID$316,$FJ196-IB$169,72-IB$169+SwaptionMonthsToGo+SwaptionShift))/SQRT(SUM(INDEX($FK351:$ID351,1+SwaptionShift):INDEX($FK351:$ID351,SwaptionMonthsToGo+SwaptionShift))*SUM(INDEX($FK$325:$ID$396,IB$169,1+SwaptionShift):INDEX($FK$325:$ID$396,IB$169,SwaptionMonthsToGo+SwaptionShift))))))</f>
        <v/>
      </c>
      <c r="IC196" s="479" t="str">
        <f ca="1">IF(OR(IC$169&lt;SwaptionFirstMonthPosition+1,$FJ196&lt;SwaptionFirstMonthPosition+1,IC$169&gt;SwaptionFirstMonthPosition+SwaptionNumOfMonths+1,$FJ196&gt;SwaptionFirstMonthPosition+SwaptionNumOfMonths+1),"",IF($FJ196=IC$169,1,IF($FJ196&lt;IC$169,INDEX($FK$170:$ID$241,IC$169,$FJ196),SUMPRODUCT(INDEX($FK$325:$ID$396,IC$169,1+SwaptionShift):INDEX($FK$325:$ID$396,IC$169,SwaptionMonthsToGo+SwaptionShift),INDEX($FK$245:$ID$316,$FJ196-IC$169,73-IC$169+SwaptionShift):INDEX($FK$245:$ID$316,$FJ196-IC$169,72-IC$169+SwaptionMonthsToGo+SwaptionShift))/SQRT(SUM(INDEX($FK351:$ID351,1+SwaptionShift):INDEX($FK351:$ID351,SwaptionMonthsToGo+SwaptionShift))*SUM(INDEX($FK$325:$ID$396,IC$169,1+SwaptionShift):INDEX($FK$325:$ID$396,IC$169,SwaptionMonthsToGo+SwaptionShift))))))</f>
        <v/>
      </c>
      <c r="ID196" s="678" t="str">
        <f ca="1">IF(OR(ID$169&lt;SwaptionFirstMonthPosition+1,$FJ196&lt;SwaptionFirstMonthPosition+1,ID$169&gt;SwaptionFirstMonthPosition+SwaptionNumOfMonths+1,$FJ196&gt;SwaptionFirstMonthPosition+SwaptionNumOfMonths+1),"",IF($FJ196=ID$169,1,IF($FJ196&lt;ID$169,INDEX($FK$170:$ID$241,ID$169,$FJ196),SUMPRODUCT(INDEX($FK$325:$ID$396,ID$169,1+SwaptionShift):INDEX($FK$325:$ID$396,ID$169,SwaptionMonthsToGo+SwaptionShift),INDEX($FK$245:$ID$316,$FJ196-ID$169,73-ID$169+SwaptionShift):INDEX($FK$245:$ID$316,$FJ196-ID$169,72-ID$169+SwaptionMonthsToGo+SwaptionShift))/SQRT(SUM(INDEX($FK351:$ID351,1+SwaptionShift):INDEX($FK351:$ID351,SwaptionMonthsToGo+SwaptionShift))*SUM(INDEX($FK$325:$ID$396,ID$169,1+SwaptionShift):INDEX($FK$325:$ID$396,ID$169,SwaptionMonthsToGo+SwaptionShift))))))</f>
        <v/>
      </c>
      <c r="IE196" s="250"/>
    </row>
    <row r="197" spans="8:239">
      <c r="H197" s="51">
        <f t="shared" ca="1" si="527"/>
        <v>0</v>
      </c>
      <c r="I197" s="379">
        <f t="shared" si="528"/>
        <v>42156</v>
      </c>
      <c r="J197" s="377"/>
      <c r="K197" s="104" t="s">
        <v>268</v>
      </c>
      <c r="L197" s="392">
        <f t="shared" si="529"/>
        <v>3.7875000000000063</v>
      </c>
      <c r="M197" s="171"/>
      <c r="N197" s="382">
        <v>0</v>
      </c>
      <c r="O197" s="171">
        <f t="shared" si="596"/>
        <v>0</v>
      </c>
      <c r="P197" s="377"/>
      <c r="Q197" s="104" t="s">
        <v>268</v>
      </c>
      <c r="R197" s="377">
        <f t="shared" ca="1" si="597"/>
        <v>2.375185531483162</v>
      </c>
      <c r="S197" s="832">
        <f t="shared" si="564"/>
        <v>0.3600000000000001</v>
      </c>
      <c r="T197" s="831">
        <f t="shared" si="548"/>
        <v>0.99999999999989786</v>
      </c>
      <c r="U197" s="545">
        <f t="shared" si="549"/>
        <v>0.99999999999999978</v>
      </c>
      <c r="V197" s="389">
        <v>0</v>
      </c>
      <c r="W197" s="434">
        <f t="shared" ref="W197:W258" si="598">(J198*AJ197+J199*AK197)/AI197</f>
        <v>0</v>
      </c>
      <c r="X197" s="415">
        <f t="shared" ref="X197:X258" si="599">(L198*AJ197+L199*AK197)/AI197</f>
        <v>3.8369318181818244</v>
      </c>
      <c r="Y197" s="322">
        <f t="shared" ref="Y197:Y258" si="600">IF(Q199="extra",W197-AA197,(P198*AM197+P199*AN197)/AL197)</f>
        <v>-1.2915000000000001</v>
      </c>
      <c r="Z197" s="322">
        <f t="shared" ref="Z197:Z258" ca="1" si="601">IF(Q199="extra",X197-AB197,(R198*AM197+R199*AN197)/AL197)</f>
        <v>2.5454318181818243</v>
      </c>
      <c r="AA197" s="429">
        <f t="shared" si="495"/>
        <v>1.2915000000000001</v>
      </c>
      <c r="AB197" s="433">
        <f t="shared" ca="1" si="496"/>
        <v>1.2915000000000001</v>
      </c>
      <c r="AC197" s="229">
        <v>42144</v>
      </c>
      <c r="AD197" s="229">
        <v>42140</v>
      </c>
      <c r="AE197" s="229">
        <v>42139</v>
      </c>
      <c r="AF197" s="229">
        <v>42135</v>
      </c>
      <c r="AG197" s="249" t="s">
        <v>499</v>
      </c>
      <c r="AH197" s="247" t="s">
        <v>499</v>
      </c>
      <c r="AI197" s="146">
        <v>22</v>
      </c>
      <c r="AJ197" s="41">
        <v>15</v>
      </c>
      <c r="AK197" s="41">
        <v>7</v>
      </c>
      <c r="AL197" s="293">
        <v>22</v>
      </c>
      <c r="AM197" s="41">
        <v>10</v>
      </c>
      <c r="AN197" s="147">
        <v>12</v>
      </c>
      <c r="AO197" s="374"/>
      <c r="AP197" s="153">
        <f t="shared" ca="1" si="530"/>
        <v>1</v>
      </c>
      <c r="AQ197" s="374"/>
      <c r="AR197" s="153">
        <f t="shared" ca="1" si="550"/>
        <v>1</v>
      </c>
      <c r="AS197" s="272">
        <f t="shared" ref="AS197:AS260" si="602">(O198*AJ197+O199*AK197)/AI197</f>
        <v>0</v>
      </c>
      <c r="AT197" s="157">
        <f t="shared" si="531"/>
        <v>0</v>
      </c>
      <c r="AU197" s="157">
        <f t="shared" si="498"/>
        <v>0</v>
      </c>
      <c r="AV197" s="271">
        <f t="shared" ca="1" si="558"/>
        <v>9.9999999999999995E-7</v>
      </c>
      <c r="AW197" s="158" t="str">
        <f t="shared" ca="1" si="583"/>
        <v/>
      </c>
      <c r="AX197" s="157">
        <f t="shared" ca="1" si="551"/>
        <v>6.4718434131049468E-5</v>
      </c>
      <c r="AY197" s="157">
        <f t="shared" ca="1" si="552"/>
        <v>1.5387976024583603E-5</v>
      </c>
      <c r="AZ197" s="157">
        <f t="shared" ca="1" si="553"/>
        <v>5.3042795962375837E-7</v>
      </c>
      <c r="BA197" s="157">
        <f t="shared" ca="1" si="554"/>
        <v>6.6303494952969796E-8</v>
      </c>
      <c r="BB197" s="157">
        <f t="shared" ca="1" si="555"/>
        <v>3.5758819756432181E-10</v>
      </c>
      <c r="BC197" s="157">
        <f t="shared" ca="1" si="556"/>
        <v>8.7923068859560209E-12</v>
      </c>
      <c r="BD197" s="151">
        <f t="shared" ref="BD197:BD260" ca="1" si="603">IF(OR(DateStart&gt;=I198,DateEnd&lt;I197),0,IF(VolumeOverrideFlag,V197,Volume))</f>
        <v>0</v>
      </c>
      <c r="BE197" s="152">
        <f t="shared" ref="BE197:BE260" ca="1" si="604">IF(OR(DateStart2&gt;=I198,DateEnd2&lt;I197),0,IF(VolumeOverrideFlag,V197,VolumeSwaption))</f>
        <v>0</v>
      </c>
      <c r="BF197" s="40">
        <f t="shared" ref="BF197:BF260" si="605">YEAR(I197)</f>
        <v>2015</v>
      </c>
      <c r="BG197" s="144">
        <f t="shared" ref="BG197:BG260" si="606">MONTH(I197)</f>
        <v>6</v>
      </c>
      <c r="BH197" s="145">
        <f t="shared" ref="BH197:BH260" ca="1" si="607">AD197-DateToday+1</f>
        <v>5395</v>
      </c>
      <c r="BI197" s="313">
        <f t="shared" ref="BI197:BI260" ca="1" si="608">(I197-DateToday+1)/365.25</f>
        <v>14.8145106091718</v>
      </c>
      <c r="BJ197" s="42">
        <f t="shared" ca="1" si="505"/>
        <v>14.868645386099184</v>
      </c>
      <c r="BK197" s="42">
        <f t="shared" ca="1" si="506"/>
        <v>14.871383236886317</v>
      </c>
      <c r="BL197" s="42">
        <f t="shared" ref="BL197:BL260" ca="1" si="609">(I198-DateToday)/365.25</f>
        <v>14.89390828199863</v>
      </c>
      <c r="BM197" s="150" t="e">
        <f t="shared" ca="1" si="507"/>
        <v>#DIV/0!</v>
      </c>
      <c r="BN197" s="42" t="e">
        <f t="shared" ca="1" si="508"/>
        <v>#DIV/0!</v>
      </c>
      <c r="BO197" s="293">
        <f t="shared" ref="BO197:BO260" si="610">CHOOSE(Underlying,AI197,AL197)</f>
        <v>22</v>
      </c>
      <c r="BP197" s="41">
        <f t="shared" ref="BP197:BP260" si="611">CHOOSE(Underlying,AJ197,AM197)</f>
        <v>15</v>
      </c>
      <c r="BQ197" s="41">
        <f t="shared" ref="BQ197:BQ260" si="612">CHOOSE(Underlying,AK197,AN197)</f>
        <v>7</v>
      </c>
      <c r="BR197" s="305" t="str">
        <f t="shared" ca="1" si="509"/>
        <v/>
      </c>
      <c r="BS197" s="305" t="str">
        <f t="shared" ref="BS197:BS260" ca="1" si="613">IF(BD197,Strike1/BR197-1,"")</f>
        <v/>
      </c>
      <c r="BT197" s="307" t="str">
        <f t="shared" ref="BT197:BT260" ca="1" si="614">IF(BD197,Strike2/BR197-1,"")</f>
        <v/>
      </c>
      <c r="BU197" s="161" t="str">
        <f t="shared" ca="1" si="510"/>
        <v/>
      </c>
      <c r="BV197" s="161" t="str">
        <f t="shared" ca="1" si="511"/>
        <v/>
      </c>
      <c r="BW197" s="308" t="str">
        <f t="shared" ca="1" si="512"/>
        <v/>
      </c>
      <c r="BX197" s="309" t="str">
        <f t="shared" ca="1" si="513"/>
        <v/>
      </c>
      <c r="BY197" s="308" t="str">
        <f t="shared" ref="BY197:BY260" ca="1" si="615">IF(BD197,IF(BS197&gt;0,IF(BS197&gt;0.2,BC197-BB197,IF(BS197&gt;0.1,BB197-BA197,BA197)),IF(BS197&lt;-0.2,AX197-AY197,IF(BS197&lt;-0.1,AY197-AZ197,AZ197))),"")</f>
        <v/>
      </c>
      <c r="BZ197" s="309" t="str">
        <f t="shared" ref="BZ197:BZ260" ca="1" si="616">IF(BD197,IF(BT197&gt;0,IF(BT197&gt;0.2,BC197-BB197,IF(BT197&gt;0.1,BB197-BA197,BA197)),IF(BT197&lt;-0.2,AX197-AY197,IF(BT197&lt;-0.1,AY197-AZ197,AZ197))),"")</f>
        <v/>
      </c>
      <c r="CA197" s="154" t="str">
        <f t="shared" ca="1" si="514"/>
        <v/>
      </c>
      <c r="CB197" s="154" t="str">
        <f t="shared" ca="1" si="515"/>
        <v/>
      </c>
      <c r="CC197" s="154" t="str">
        <f t="shared" ca="1" si="516"/>
        <v/>
      </c>
      <c r="CD197" s="154" t="str">
        <f t="shared" ca="1" si="517"/>
        <v/>
      </c>
      <c r="CE197" s="310">
        <v>1</v>
      </c>
      <c r="CF197" s="162">
        <f ca="1">IF(BD197,_xll.xCrudeAPO(BU197,BV197,CA197,CB197,S198,S199,BI197,BL197,BP197,BQ197,0,Strike1,AO197,CE197,0,BL197,IF(OptControl=4,0,1),0,1),0)</f>
        <v>0</v>
      </c>
      <c r="CG197" s="163">
        <f ca="1">IF(BD197,_xll.xCrudeAPO(BU197,BV197,CA197,CB197,S198,S199,BI197,BL197,BP197,BQ197,0,Strike1,AO197,CE197,0,BL197,IF(OptControl=4,0,1),1,1)+_xll.xCrudeAPO(BU197,BV197,CA197,CB197,S198,S199,BI197,BL197,BP197,BQ197,0,Strike1,AO197,CE197,0,BL197,IF(OptControl=4,0,1),1,2)+IF(OR(VolSkewFlag=2,ABS(BS197)&lt;0.0001),0,IF(BS197&gt;0,-1,1)*CH197*Strike1/BR197^2*BY197/10%),0)</f>
        <v>0</v>
      </c>
      <c r="CH197" s="163">
        <f ca="1">IF(BD197,(_xll.xCrudeAPO(BU197,BV197,CA197,CB197,S198,S199,BI197,BL197,BP197,BQ197,0,Strike1,AO197,CE197,0,BL197,IF(OptControl=4,0,1),3,1)+_xll.xCrudeAPO(BU197,BV197,CA197,CB197,S198,S199,BI197,BL197,BP197,BQ197,0,Strike1,AO197,CE197,0,BL197,IF(OptControl=4,0,1),3,2))/100,0)</f>
        <v>0</v>
      </c>
      <c r="CI197" s="163">
        <f ca="1">IF(BD197,_xll.xCrudeAPO(BU197,BV197,CA197,CB197,S198,S199,BI197-DaysForThetaCalculation/365.25,BL197-DaysForThetaCalculation/365.25,BP197,BQ197,0,Strike1,AO197,CE197,0,BL197,IF(OptControl=4,0,1),0,1)-_xll.xCrudeAPO(BU197,BV197,CA197,CB197,S198,S199,BI197,BL197,BP197,BQ197,0,Strike1,AO197,CE197,0,BL197,IF(OptControl=4,0,1),0,1),0)</f>
        <v>0</v>
      </c>
      <c r="CJ197" s="311">
        <f ca="1">IF(BD197,_xll.xCrudeAPO(BU197,BV197,CC197,CD197,S198,S199,BI197,BL197,BP197,BQ197,0,Strike2,AO197,CE197,0,BL197,IF(OptControl=3,1,0),0,1),0)</f>
        <v>0</v>
      </c>
      <c r="CK197" s="163">
        <f ca="1">IF(BD197,_xll.xCrudeAPO(BU197,BV197,CC197,CD197,S198,S199,BI197,BL197,BP197,BQ197,0,Strike2,AO197,CE197,0,BL197,IF(OptControl=3,1,0),1,1)+_xll.xCrudeAPO(BU197,BV197,CC197,CD197,S198,S199,BI197,BL197,BP197,BQ197,0,Strike2,AO197,CE197,0,BL197,IF(OptControl=3,1,0),1,2)+IF(OR(VolSkewFlag=2,ABS(BT197)&lt;0.0001),0,IF(BT197&gt;0,-1,1)*CL197*Strike2/BR197^2*BZ197/10%),0)</f>
        <v>0</v>
      </c>
      <c r="CL197" s="163">
        <f ca="1">IF(BD197,(_xll.xCrudeAPO(BU197,BV197,CC197,CD197,S198,S199,BI197,BL197,BP197,BQ197,0,Strike2,AO197,CE197,0,BL197,IF(OptControl=3,1,0),3,1)+_xll.xCrudeAPO(BU197,BV197,CC197,CD197,S198,S199,BI197,BL197,BP197,BQ197,0,Strike2,AO197,CE197,0,BL197,IF(OptControl=3,1,0),3,2))/100,0)</f>
        <v>0</v>
      </c>
      <c r="CM197" s="164">
        <f ca="1">IF(BD197,_xll.xCrudeAPO(BU197,BV197,CC197,CD197,S198,S199,BI197-DaysForThetaCalculation/365.25,BL197-DaysForThetaCalculation/365.25,BP197,BQ197,0,Strike2,AO197,CE197,0,BL197,IF(OptControl=3,1,0),0,1)-_xll.xCrudeAPO(BU197,BV197,CC197,CD197,S198,S199,BI197,BL197,BP197,BQ197,0,Strike2,AO197,CE197,0,BL197,IF(OptControl=3,1,0),0,1),0)</f>
        <v>0</v>
      </c>
      <c r="CN197" s="53"/>
      <c r="CO197" s="796" t="str">
        <f t="shared" ca="1" si="532"/>
        <v/>
      </c>
      <c r="CP197" s="800" t="str">
        <f t="shared" ca="1" si="533"/>
        <v/>
      </c>
      <c r="CQ197" s="797" t="str">
        <f t="shared" ca="1" si="534"/>
        <v/>
      </c>
      <c r="CR197" s="797" t="str">
        <f t="shared" ca="1" si="535"/>
        <v/>
      </c>
      <c r="CS197" s="797" t="str">
        <f t="shared" ca="1" si="536"/>
        <v/>
      </c>
      <c r="CT197" s="797" t="str">
        <f t="shared" ca="1" si="537"/>
        <v/>
      </c>
      <c r="CU197" s="798" t="str">
        <f t="shared" ca="1" si="538"/>
        <v/>
      </c>
      <c r="CV197" s="799" t="str">
        <f t="shared" ca="1" si="539"/>
        <v/>
      </c>
      <c r="CW197" s="799" t="str">
        <f t="shared" ca="1" si="540"/>
        <v/>
      </c>
      <c r="CX197" s="163">
        <f ca="1">IF(BD197,_xll.EURO(CP197,Strike1,AO197,AO197,CV197,CO197,IF(OptControl=4,0,1),0),0)</f>
        <v>0</v>
      </c>
      <c r="CY197" s="163">
        <f ca="1">IF(BD197,_xll.EURO(CP197,Strike1,AO197,AO197,CV197,CO197,IF(OptControl=4,0,1),1)+IF(OR(VolSkewFlag=2,ABS(CQ197)&lt;0.0001),0,IF(CQ197&gt;0,-1,1)*CZ197*100*Strike1/CP197^2*CS197/10%),0)</f>
        <v>0</v>
      </c>
      <c r="CZ197" s="163">
        <f ca="1">IF(BD197,_xll.EURO(CP197,Strike1,AO197,AO197,CV197,CO197,IF(OptControl=4,0,1),3)/100,0)</f>
        <v>0</v>
      </c>
      <c r="DA197" s="163">
        <f ca="1">IF(BD197,_xll.EURO(CP197,Strike1,AO197,AO197,CV197,CO197,IF(OptControl=4,0,1),0)-_xll.EURO(CP197,Strike1,AO197,AO197,CV197,CO197-1,IF(OptControl=4,0,1),0),0)</f>
        <v>0</v>
      </c>
      <c r="DB197" s="163">
        <f ca="1">IF(BD197,_xll.EURO(CP197,Strike2,AO197,AO197,CW197,CO197,IF(OptControl=3,1,0),0),0)</f>
        <v>0</v>
      </c>
      <c r="DC197" s="163">
        <f ca="1">IF(BD197,_xll.EURO(CP197,Strike2,AO197,AO197,CW197,CO197,IF(OptControl=3,1,0),1)+IF(OR(VolSkewFlag=2,ABS(CR197)&lt;0.0001),0,IF(CR197&gt;0,-1,1)*DD197*100*Strike2/CP197^2*CT197/10%),0)</f>
        <v>0</v>
      </c>
      <c r="DD197" s="163">
        <f ca="1">IF(BD197,_xll.EURO(CP197,Strike2,AO197,AO197,CW197,CO197,IF(OptControl=3,1,0),3)/100,0)</f>
        <v>0</v>
      </c>
      <c r="DE197" s="164">
        <f ca="1">IF(BD197,_xll.EURO(CP197,Strike2,AO197,AO197,CW197,CO197,IF(OptControl=3,1,0),0)-_xll.EURO(CP197,Strike2,AO197,AO197,CW197,CO197-1,IF(OptControl=3,1,0),0),0)</f>
        <v>0</v>
      </c>
      <c r="DG197" s="667">
        <f t="shared" ca="1" si="541"/>
        <v>41944</v>
      </c>
      <c r="DH197" s="475">
        <v>23.010000000000073</v>
      </c>
      <c r="DI197" s="665">
        <v>23.075000000000074</v>
      </c>
      <c r="DJ197" s="666">
        <f t="shared" ref="DJ197:DJ260" ca="1" si="617">DG197</f>
        <v>41944</v>
      </c>
      <c r="DK197" s="475">
        <v>21.800361047138519</v>
      </c>
      <c r="DL197" s="665">
        <v>21.881900000000073</v>
      </c>
      <c r="DM197" s="667">
        <f t="shared" ref="DM197:DM260" ca="1" si="618">DG197</f>
        <v>41944</v>
      </c>
      <c r="DN197" s="668">
        <f t="shared" ref="DN197:DN260" si="619">DK197+BrentPhyBrentSpread</f>
        <v>21.85036104713852</v>
      </c>
      <c r="DO197" s="667">
        <f t="shared" ref="DO197:DO260" ca="1" si="620">DG197</f>
        <v>41944</v>
      </c>
      <c r="DP197" s="579">
        <f t="shared" ref="DP197:DP260" si="621">DL197+DQ197</f>
        <v>21.881900000000073</v>
      </c>
      <c r="DQ197" s="821">
        <v>0</v>
      </c>
      <c r="DR197" s="666">
        <f t="shared" ref="DR197:DR260" ca="1" si="622">DG197</f>
        <v>41944</v>
      </c>
      <c r="DS197" s="669">
        <v>0.11839999999999803</v>
      </c>
      <c r="DT197" s="606">
        <v>0.11761999999999802</v>
      </c>
      <c r="DU197" s="666">
        <f t="shared" ref="DU197:DU260" ca="1" si="623">DG197</f>
        <v>41944</v>
      </c>
      <c r="DV197" s="669">
        <v>0.11839999999999803</v>
      </c>
      <c r="DW197" s="606">
        <v>0.11761999999999802</v>
      </c>
      <c r="DX197" s="667">
        <f t="shared" ref="DX197:DX260" ca="1" si="624">DG197</f>
        <v>41944</v>
      </c>
      <c r="DY197" s="606">
        <v>0.35</v>
      </c>
      <c r="DZ197" s="667">
        <f t="shared" ref="DZ197:DZ260" ca="1" si="625">DR197</f>
        <v>41944</v>
      </c>
      <c r="EA197" s="606">
        <f t="shared" ref="EA197:EA260" si="626">DT197</f>
        <v>0.11761999999999802</v>
      </c>
      <c r="EB197" s="1"/>
      <c r="EC197" s="118" t="str">
        <f t="shared" ref="EC197:EC260" ca="1" si="627">IF(BD197,IF(Underlying=1,AS197,AU197),"")</f>
        <v/>
      </c>
      <c r="ED197" s="119" t="str">
        <f t="shared" ca="1" si="525"/>
        <v/>
      </c>
      <c r="EE197" s="112" t="str">
        <f t="shared" ca="1" si="526"/>
        <v/>
      </c>
      <c r="EF197" s="120">
        <f ca="1">IF(BD197,_xll.xASN(BR197,Strike1,AO197,ED197,0,BO197,0,BI197,BL197,IF(OptControl=4,0,1),0),0)</f>
        <v>0</v>
      </c>
      <c r="EG197" s="111">
        <f ca="1">IF(BD197,_xll.xASN(BR197,Strike2,AO197,EE197,0,BO197,0,BI197,BL197,IF(OptControl=3,1,0),0),0)</f>
        <v>0</v>
      </c>
      <c r="EL197" s="55"/>
      <c r="EM197" s="1"/>
      <c r="EN197" s="106"/>
      <c r="EO197" s="106"/>
      <c r="EP197" s="1"/>
      <c r="EQ197" s="683" t="s">
        <v>411</v>
      </c>
      <c r="ES197" s="455"/>
      <c r="ET197" s="36"/>
      <c r="EU197" s="107"/>
      <c r="EV197" s="475"/>
      <c r="EW197" s="456"/>
      <c r="EX197" s="456"/>
      <c r="EY197" s="250"/>
      <c r="EZ197" s="250"/>
      <c r="FA197" s="250"/>
      <c r="FB197" s="250"/>
      <c r="FC197" s="250"/>
      <c r="FD197" s="250"/>
      <c r="FE197" s="250"/>
      <c r="FF197" s="250"/>
      <c r="FG197" s="250"/>
      <c r="FH197" s="250"/>
      <c r="FI197" s="250"/>
      <c r="FJ197" s="673">
        <v>28</v>
      </c>
      <c r="FK197" s="479" t="str">
        <f ca="1">IF(OR(FK$169&lt;SwaptionFirstMonthPosition+1,$FJ197&lt;SwaptionFirstMonthPosition+1,FK$169&gt;SwaptionFirstMonthPosition+SwaptionNumOfMonths+1,$FJ197&gt;SwaptionFirstMonthPosition+SwaptionNumOfMonths+1),"",IF($FJ197=FK$169,1,IF($FJ197&lt;FK$169,INDEX($FK$170:$ID$241,FK$169,$FJ197),SUMPRODUCT(INDEX($FK$325:$ID$396,FK$169,1+SwaptionShift):INDEX($FK$325:$ID$396,FK$169,SwaptionMonthsToGo+SwaptionShift),INDEX($FK$245:$ID$316,$FJ197-FK$169,73-FK$169+SwaptionShift):INDEX($FK$245:$ID$316,$FJ197-FK$169,72-FK$169+SwaptionMonthsToGo+SwaptionShift))/SQRT(SUM(INDEX($FK352:$ID352,1+SwaptionShift):INDEX($FK352:$ID352,SwaptionMonthsToGo+SwaptionShift))*SUM(INDEX($FK$325:$ID$396,FK$169,1+SwaptionShift):INDEX($FK$325:$ID$396,FK$169,SwaptionMonthsToGo+SwaptionShift))))))</f>
        <v/>
      </c>
      <c r="FL197" s="479" t="str">
        <f ca="1">IF(OR(FL$169&lt;SwaptionFirstMonthPosition+1,$FJ197&lt;SwaptionFirstMonthPosition+1,FL$169&gt;SwaptionFirstMonthPosition+SwaptionNumOfMonths+1,$FJ197&gt;SwaptionFirstMonthPosition+SwaptionNumOfMonths+1),"",IF($FJ197=FL$169,1,IF($FJ197&lt;FL$169,INDEX($FK$170:$ID$241,FL$169,$FJ197),SUMPRODUCT(INDEX($FK$325:$ID$396,FL$169,1+SwaptionShift):INDEX($FK$325:$ID$396,FL$169,SwaptionMonthsToGo+SwaptionShift),INDEX($FK$245:$ID$316,$FJ197-FL$169,73-FL$169+SwaptionShift):INDEX($FK$245:$ID$316,$FJ197-FL$169,72-FL$169+SwaptionMonthsToGo+SwaptionShift))/SQRT(SUM(INDEX($FK352:$ID352,1+SwaptionShift):INDEX($FK352:$ID352,SwaptionMonthsToGo+SwaptionShift))*SUM(INDEX($FK$325:$ID$396,FL$169,1+SwaptionShift):INDEX($FK$325:$ID$396,FL$169,SwaptionMonthsToGo+SwaptionShift))))))</f>
        <v/>
      </c>
      <c r="FM197" s="479" t="str">
        <f ca="1">IF(OR(FM$169&lt;SwaptionFirstMonthPosition+1,$FJ197&lt;SwaptionFirstMonthPosition+1,FM$169&gt;SwaptionFirstMonthPosition+SwaptionNumOfMonths+1,$FJ197&gt;SwaptionFirstMonthPosition+SwaptionNumOfMonths+1),"",IF($FJ197=FM$169,1,IF($FJ197&lt;FM$169,INDEX($FK$170:$ID$241,FM$169,$FJ197),SUMPRODUCT(INDEX($FK$325:$ID$396,FM$169,1+SwaptionShift):INDEX($FK$325:$ID$396,FM$169,SwaptionMonthsToGo+SwaptionShift),INDEX($FK$245:$ID$316,$FJ197-FM$169,73-FM$169+SwaptionShift):INDEX($FK$245:$ID$316,$FJ197-FM$169,72-FM$169+SwaptionMonthsToGo+SwaptionShift))/SQRT(SUM(INDEX($FK352:$ID352,1+SwaptionShift):INDEX($FK352:$ID352,SwaptionMonthsToGo+SwaptionShift))*SUM(INDEX($FK$325:$ID$396,FM$169,1+SwaptionShift):INDEX($FK$325:$ID$396,FM$169,SwaptionMonthsToGo+SwaptionShift))))))</f>
        <v/>
      </c>
      <c r="FN197" s="479" t="str">
        <f ca="1">IF(OR(FN$169&lt;SwaptionFirstMonthPosition+1,$FJ197&lt;SwaptionFirstMonthPosition+1,FN$169&gt;SwaptionFirstMonthPosition+SwaptionNumOfMonths+1,$FJ197&gt;SwaptionFirstMonthPosition+SwaptionNumOfMonths+1),"",IF($FJ197=FN$169,1,IF($FJ197&lt;FN$169,INDEX($FK$170:$ID$241,FN$169,$FJ197),SUMPRODUCT(INDEX($FK$325:$ID$396,FN$169,1+SwaptionShift):INDEX($FK$325:$ID$396,FN$169,SwaptionMonthsToGo+SwaptionShift),INDEX($FK$245:$ID$316,$FJ197-FN$169,73-FN$169+SwaptionShift):INDEX($FK$245:$ID$316,$FJ197-FN$169,72-FN$169+SwaptionMonthsToGo+SwaptionShift))/SQRT(SUM(INDEX($FK352:$ID352,1+SwaptionShift):INDEX($FK352:$ID352,SwaptionMonthsToGo+SwaptionShift))*SUM(INDEX($FK$325:$ID$396,FN$169,1+SwaptionShift):INDEX($FK$325:$ID$396,FN$169,SwaptionMonthsToGo+SwaptionShift))))))</f>
        <v/>
      </c>
      <c r="FO197" s="479" t="str">
        <f ca="1">IF(OR(FO$169&lt;SwaptionFirstMonthPosition+1,$FJ197&lt;SwaptionFirstMonthPosition+1,FO$169&gt;SwaptionFirstMonthPosition+SwaptionNumOfMonths+1,$FJ197&gt;SwaptionFirstMonthPosition+SwaptionNumOfMonths+1),"",IF($FJ197=FO$169,1,IF($FJ197&lt;FO$169,INDEX($FK$170:$ID$241,FO$169,$FJ197),SUMPRODUCT(INDEX($FK$325:$ID$396,FO$169,1+SwaptionShift):INDEX($FK$325:$ID$396,FO$169,SwaptionMonthsToGo+SwaptionShift),INDEX($FK$245:$ID$316,$FJ197-FO$169,73-FO$169+SwaptionShift):INDEX($FK$245:$ID$316,$FJ197-FO$169,72-FO$169+SwaptionMonthsToGo+SwaptionShift))/SQRT(SUM(INDEX($FK352:$ID352,1+SwaptionShift):INDEX($FK352:$ID352,SwaptionMonthsToGo+SwaptionShift))*SUM(INDEX($FK$325:$ID$396,FO$169,1+SwaptionShift):INDEX($FK$325:$ID$396,FO$169,SwaptionMonthsToGo+SwaptionShift))))))</f>
        <v/>
      </c>
      <c r="FP197" s="479" t="str">
        <f ca="1">IF(OR(FP$169&lt;SwaptionFirstMonthPosition+1,$FJ197&lt;SwaptionFirstMonthPosition+1,FP$169&gt;SwaptionFirstMonthPosition+SwaptionNumOfMonths+1,$FJ197&gt;SwaptionFirstMonthPosition+SwaptionNumOfMonths+1),"",IF($FJ197=FP$169,1,IF($FJ197&lt;FP$169,INDEX($FK$170:$ID$241,FP$169,$FJ197),SUMPRODUCT(INDEX($FK$325:$ID$396,FP$169,1+SwaptionShift):INDEX($FK$325:$ID$396,FP$169,SwaptionMonthsToGo+SwaptionShift),INDEX($FK$245:$ID$316,$FJ197-FP$169,73-FP$169+SwaptionShift):INDEX($FK$245:$ID$316,$FJ197-FP$169,72-FP$169+SwaptionMonthsToGo+SwaptionShift))/SQRT(SUM(INDEX($FK352:$ID352,1+SwaptionShift):INDEX($FK352:$ID352,SwaptionMonthsToGo+SwaptionShift))*SUM(INDEX($FK$325:$ID$396,FP$169,1+SwaptionShift):INDEX($FK$325:$ID$396,FP$169,SwaptionMonthsToGo+SwaptionShift))))))</f>
        <v/>
      </c>
      <c r="FQ197" s="479" t="str">
        <f ca="1">IF(OR(FQ$169&lt;SwaptionFirstMonthPosition+1,$FJ197&lt;SwaptionFirstMonthPosition+1,FQ$169&gt;SwaptionFirstMonthPosition+SwaptionNumOfMonths+1,$FJ197&gt;SwaptionFirstMonthPosition+SwaptionNumOfMonths+1),"",IF($FJ197=FQ$169,1,IF($FJ197&lt;FQ$169,INDEX($FK$170:$ID$241,FQ$169,$FJ197),SUMPRODUCT(INDEX($FK$325:$ID$396,FQ$169,1+SwaptionShift):INDEX($FK$325:$ID$396,FQ$169,SwaptionMonthsToGo+SwaptionShift),INDEX($FK$245:$ID$316,$FJ197-FQ$169,73-FQ$169+SwaptionShift):INDEX($FK$245:$ID$316,$FJ197-FQ$169,72-FQ$169+SwaptionMonthsToGo+SwaptionShift))/SQRT(SUM(INDEX($FK352:$ID352,1+SwaptionShift):INDEX($FK352:$ID352,SwaptionMonthsToGo+SwaptionShift))*SUM(INDEX($FK$325:$ID$396,FQ$169,1+SwaptionShift):INDEX($FK$325:$ID$396,FQ$169,SwaptionMonthsToGo+SwaptionShift))))))</f>
        <v/>
      </c>
      <c r="FR197" s="479" t="str">
        <f ca="1">IF(OR(FR$169&lt;SwaptionFirstMonthPosition+1,$FJ197&lt;SwaptionFirstMonthPosition+1,FR$169&gt;SwaptionFirstMonthPosition+SwaptionNumOfMonths+1,$FJ197&gt;SwaptionFirstMonthPosition+SwaptionNumOfMonths+1),"",IF($FJ197=FR$169,1,IF($FJ197&lt;FR$169,INDEX($FK$170:$ID$241,FR$169,$FJ197),SUMPRODUCT(INDEX($FK$325:$ID$396,FR$169,1+SwaptionShift):INDEX($FK$325:$ID$396,FR$169,SwaptionMonthsToGo+SwaptionShift),INDEX($FK$245:$ID$316,$FJ197-FR$169,73-FR$169+SwaptionShift):INDEX($FK$245:$ID$316,$FJ197-FR$169,72-FR$169+SwaptionMonthsToGo+SwaptionShift))/SQRT(SUM(INDEX($FK352:$ID352,1+SwaptionShift):INDEX($FK352:$ID352,SwaptionMonthsToGo+SwaptionShift))*SUM(INDEX($FK$325:$ID$396,FR$169,1+SwaptionShift):INDEX($FK$325:$ID$396,FR$169,SwaptionMonthsToGo+SwaptionShift))))))</f>
        <v/>
      </c>
      <c r="FS197" s="479" t="str">
        <f ca="1">IF(OR(FS$169&lt;SwaptionFirstMonthPosition+1,$FJ197&lt;SwaptionFirstMonthPosition+1,FS$169&gt;SwaptionFirstMonthPosition+SwaptionNumOfMonths+1,$FJ197&gt;SwaptionFirstMonthPosition+SwaptionNumOfMonths+1),"",IF($FJ197=FS$169,1,IF($FJ197&lt;FS$169,INDEX($FK$170:$ID$241,FS$169,$FJ197),SUMPRODUCT(INDEX($FK$325:$ID$396,FS$169,1+SwaptionShift):INDEX($FK$325:$ID$396,FS$169,SwaptionMonthsToGo+SwaptionShift),INDEX($FK$245:$ID$316,$FJ197-FS$169,73-FS$169+SwaptionShift):INDEX($FK$245:$ID$316,$FJ197-FS$169,72-FS$169+SwaptionMonthsToGo+SwaptionShift))/SQRT(SUM(INDEX($FK352:$ID352,1+SwaptionShift):INDEX($FK352:$ID352,SwaptionMonthsToGo+SwaptionShift))*SUM(INDEX($FK$325:$ID$396,FS$169,1+SwaptionShift):INDEX($FK$325:$ID$396,FS$169,SwaptionMonthsToGo+SwaptionShift))))))</f>
        <v/>
      </c>
      <c r="FT197" s="479" t="str">
        <f ca="1">IF(OR(FT$169&lt;SwaptionFirstMonthPosition+1,$FJ197&lt;SwaptionFirstMonthPosition+1,FT$169&gt;SwaptionFirstMonthPosition+SwaptionNumOfMonths+1,$FJ197&gt;SwaptionFirstMonthPosition+SwaptionNumOfMonths+1),"",IF($FJ197=FT$169,1,IF($FJ197&lt;FT$169,INDEX($FK$170:$ID$241,FT$169,$FJ197),SUMPRODUCT(INDEX($FK$325:$ID$396,FT$169,1+SwaptionShift):INDEX($FK$325:$ID$396,FT$169,SwaptionMonthsToGo+SwaptionShift),INDEX($FK$245:$ID$316,$FJ197-FT$169,73-FT$169+SwaptionShift):INDEX($FK$245:$ID$316,$FJ197-FT$169,72-FT$169+SwaptionMonthsToGo+SwaptionShift))/SQRT(SUM(INDEX($FK352:$ID352,1+SwaptionShift):INDEX($FK352:$ID352,SwaptionMonthsToGo+SwaptionShift))*SUM(INDEX($FK$325:$ID$396,FT$169,1+SwaptionShift):INDEX($FK$325:$ID$396,FT$169,SwaptionMonthsToGo+SwaptionShift))))))</f>
        <v/>
      </c>
      <c r="FU197" s="479" t="str">
        <f ca="1">IF(OR(FU$169&lt;SwaptionFirstMonthPosition+1,$FJ197&lt;SwaptionFirstMonthPosition+1,FU$169&gt;SwaptionFirstMonthPosition+SwaptionNumOfMonths+1,$FJ197&gt;SwaptionFirstMonthPosition+SwaptionNumOfMonths+1),"",IF($FJ197=FU$169,1,IF($FJ197&lt;FU$169,INDEX($FK$170:$ID$241,FU$169,$FJ197),SUMPRODUCT(INDEX($FK$325:$ID$396,FU$169,1+SwaptionShift):INDEX($FK$325:$ID$396,FU$169,SwaptionMonthsToGo+SwaptionShift),INDEX($FK$245:$ID$316,$FJ197-FU$169,73-FU$169+SwaptionShift):INDEX($FK$245:$ID$316,$FJ197-FU$169,72-FU$169+SwaptionMonthsToGo+SwaptionShift))/SQRT(SUM(INDEX($FK352:$ID352,1+SwaptionShift):INDEX($FK352:$ID352,SwaptionMonthsToGo+SwaptionShift))*SUM(INDEX($FK$325:$ID$396,FU$169,1+SwaptionShift):INDEX($FK$325:$ID$396,FU$169,SwaptionMonthsToGo+SwaptionShift))))))</f>
        <v/>
      </c>
      <c r="FV197" s="479" t="str">
        <f ca="1">IF(OR(FV$169&lt;SwaptionFirstMonthPosition+1,$FJ197&lt;SwaptionFirstMonthPosition+1,FV$169&gt;SwaptionFirstMonthPosition+SwaptionNumOfMonths+1,$FJ197&gt;SwaptionFirstMonthPosition+SwaptionNumOfMonths+1),"",IF($FJ197=FV$169,1,IF($FJ197&lt;FV$169,INDEX($FK$170:$ID$241,FV$169,$FJ197),SUMPRODUCT(INDEX($FK$325:$ID$396,FV$169,1+SwaptionShift):INDEX($FK$325:$ID$396,FV$169,SwaptionMonthsToGo+SwaptionShift),INDEX($FK$245:$ID$316,$FJ197-FV$169,73-FV$169+SwaptionShift):INDEX($FK$245:$ID$316,$FJ197-FV$169,72-FV$169+SwaptionMonthsToGo+SwaptionShift))/SQRT(SUM(INDEX($FK352:$ID352,1+SwaptionShift):INDEX($FK352:$ID352,SwaptionMonthsToGo+SwaptionShift))*SUM(INDEX($FK$325:$ID$396,FV$169,1+SwaptionShift):INDEX($FK$325:$ID$396,FV$169,SwaptionMonthsToGo+SwaptionShift))))))</f>
        <v/>
      </c>
      <c r="FW197" s="479" t="str">
        <f ca="1">IF(OR(FW$169&lt;SwaptionFirstMonthPosition+1,$FJ197&lt;SwaptionFirstMonthPosition+1,FW$169&gt;SwaptionFirstMonthPosition+SwaptionNumOfMonths+1,$FJ197&gt;SwaptionFirstMonthPosition+SwaptionNumOfMonths+1),"",IF($FJ197=FW$169,1,IF($FJ197&lt;FW$169,INDEX($FK$170:$ID$241,FW$169,$FJ197),SUMPRODUCT(INDEX($FK$325:$ID$396,FW$169,1+SwaptionShift):INDEX($FK$325:$ID$396,FW$169,SwaptionMonthsToGo+SwaptionShift),INDEX($FK$245:$ID$316,$FJ197-FW$169,73-FW$169+SwaptionShift):INDEX($FK$245:$ID$316,$FJ197-FW$169,72-FW$169+SwaptionMonthsToGo+SwaptionShift))/SQRT(SUM(INDEX($FK352:$ID352,1+SwaptionShift):INDEX($FK352:$ID352,SwaptionMonthsToGo+SwaptionShift))*SUM(INDEX($FK$325:$ID$396,FW$169,1+SwaptionShift):INDEX($FK$325:$ID$396,FW$169,SwaptionMonthsToGo+SwaptionShift))))))</f>
        <v/>
      </c>
      <c r="FX197" s="479" t="str">
        <f ca="1">IF(OR(FX$169&lt;SwaptionFirstMonthPosition+1,$FJ197&lt;SwaptionFirstMonthPosition+1,FX$169&gt;SwaptionFirstMonthPosition+SwaptionNumOfMonths+1,$FJ197&gt;SwaptionFirstMonthPosition+SwaptionNumOfMonths+1),"",IF($FJ197=FX$169,1,IF($FJ197&lt;FX$169,INDEX($FK$170:$ID$241,FX$169,$FJ197),SUMPRODUCT(INDEX($FK$325:$ID$396,FX$169,1+SwaptionShift):INDEX($FK$325:$ID$396,FX$169,SwaptionMonthsToGo+SwaptionShift),INDEX($FK$245:$ID$316,$FJ197-FX$169,73-FX$169+SwaptionShift):INDEX($FK$245:$ID$316,$FJ197-FX$169,72-FX$169+SwaptionMonthsToGo+SwaptionShift))/SQRT(SUM(INDEX($FK352:$ID352,1+SwaptionShift):INDEX($FK352:$ID352,SwaptionMonthsToGo+SwaptionShift))*SUM(INDEX($FK$325:$ID$396,FX$169,1+SwaptionShift):INDEX($FK$325:$ID$396,FX$169,SwaptionMonthsToGo+SwaptionShift))))))</f>
        <v/>
      </c>
      <c r="FY197" s="479" t="str">
        <f ca="1">IF(OR(FY$169&lt;SwaptionFirstMonthPosition+1,$FJ197&lt;SwaptionFirstMonthPosition+1,FY$169&gt;SwaptionFirstMonthPosition+SwaptionNumOfMonths+1,$FJ197&gt;SwaptionFirstMonthPosition+SwaptionNumOfMonths+1),"",IF($FJ197=FY$169,1,IF($FJ197&lt;FY$169,INDEX($FK$170:$ID$241,FY$169,$FJ197),SUMPRODUCT(INDEX($FK$325:$ID$396,FY$169,1+SwaptionShift):INDEX($FK$325:$ID$396,FY$169,SwaptionMonthsToGo+SwaptionShift),INDEX($FK$245:$ID$316,$FJ197-FY$169,73-FY$169+SwaptionShift):INDEX($FK$245:$ID$316,$FJ197-FY$169,72-FY$169+SwaptionMonthsToGo+SwaptionShift))/SQRT(SUM(INDEX($FK352:$ID352,1+SwaptionShift):INDEX($FK352:$ID352,SwaptionMonthsToGo+SwaptionShift))*SUM(INDEX($FK$325:$ID$396,FY$169,1+SwaptionShift):INDEX($FK$325:$ID$396,FY$169,SwaptionMonthsToGo+SwaptionShift))))))</f>
        <v/>
      </c>
      <c r="FZ197" s="479" t="str">
        <f ca="1">IF(OR(FZ$169&lt;SwaptionFirstMonthPosition+1,$FJ197&lt;SwaptionFirstMonthPosition+1,FZ$169&gt;SwaptionFirstMonthPosition+SwaptionNumOfMonths+1,$FJ197&gt;SwaptionFirstMonthPosition+SwaptionNumOfMonths+1),"",IF($FJ197=FZ$169,1,IF($FJ197&lt;FZ$169,INDEX($FK$170:$ID$241,FZ$169,$FJ197),SUMPRODUCT(INDEX($FK$325:$ID$396,FZ$169,1+SwaptionShift):INDEX($FK$325:$ID$396,FZ$169,SwaptionMonthsToGo+SwaptionShift),INDEX($FK$245:$ID$316,$FJ197-FZ$169,73-FZ$169+SwaptionShift):INDEX($FK$245:$ID$316,$FJ197-FZ$169,72-FZ$169+SwaptionMonthsToGo+SwaptionShift))/SQRT(SUM(INDEX($FK352:$ID352,1+SwaptionShift):INDEX($FK352:$ID352,SwaptionMonthsToGo+SwaptionShift))*SUM(INDEX($FK$325:$ID$396,FZ$169,1+SwaptionShift):INDEX($FK$325:$ID$396,FZ$169,SwaptionMonthsToGo+SwaptionShift))))))</f>
        <v/>
      </c>
      <c r="GA197" s="479" t="str">
        <f ca="1">IF(OR(GA$169&lt;SwaptionFirstMonthPosition+1,$FJ197&lt;SwaptionFirstMonthPosition+1,GA$169&gt;SwaptionFirstMonthPosition+SwaptionNumOfMonths+1,$FJ197&gt;SwaptionFirstMonthPosition+SwaptionNumOfMonths+1),"",IF($FJ197=GA$169,1,IF($FJ197&lt;GA$169,INDEX($FK$170:$ID$241,GA$169,$FJ197),SUMPRODUCT(INDEX($FK$325:$ID$396,GA$169,1+SwaptionShift):INDEX($FK$325:$ID$396,GA$169,SwaptionMonthsToGo+SwaptionShift),INDEX($FK$245:$ID$316,$FJ197-GA$169,73-GA$169+SwaptionShift):INDEX($FK$245:$ID$316,$FJ197-GA$169,72-GA$169+SwaptionMonthsToGo+SwaptionShift))/SQRT(SUM(INDEX($FK352:$ID352,1+SwaptionShift):INDEX($FK352:$ID352,SwaptionMonthsToGo+SwaptionShift))*SUM(INDEX($FK$325:$ID$396,GA$169,1+SwaptionShift):INDEX($FK$325:$ID$396,GA$169,SwaptionMonthsToGo+SwaptionShift))))))</f>
        <v/>
      </c>
      <c r="GB197" s="479" t="str">
        <f ca="1">IF(OR(GB$169&lt;SwaptionFirstMonthPosition+1,$FJ197&lt;SwaptionFirstMonthPosition+1,GB$169&gt;SwaptionFirstMonthPosition+SwaptionNumOfMonths+1,$FJ197&gt;SwaptionFirstMonthPosition+SwaptionNumOfMonths+1),"",IF($FJ197=GB$169,1,IF($FJ197&lt;GB$169,INDEX($FK$170:$ID$241,GB$169,$FJ197),SUMPRODUCT(INDEX($FK$325:$ID$396,GB$169,1+SwaptionShift):INDEX($FK$325:$ID$396,GB$169,SwaptionMonthsToGo+SwaptionShift),INDEX($FK$245:$ID$316,$FJ197-GB$169,73-GB$169+SwaptionShift):INDEX($FK$245:$ID$316,$FJ197-GB$169,72-GB$169+SwaptionMonthsToGo+SwaptionShift))/SQRT(SUM(INDEX($FK352:$ID352,1+SwaptionShift):INDEX($FK352:$ID352,SwaptionMonthsToGo+SwaptionShift))*SUM(INDEX($FK$325:$ID$396,GB$169,1+SwaptionShift):INDEX($FK$325:$ID$396,GB$169,SwaptionMonthsToGo+SwaptionShift))))))</f>
        <v/>
      </c>
      <c r="GC197" s="479" t="str">
        <f ca="1">IF(OR(GC$169&lt;SwaptionFirstMonthPosition+1,$FJ197&lt;SwaptionFirstMonthPosition+1,GC$169&gt;SwaptionFirstMonthPosition+SwaptionNumOfMonths+1,$FJ197&gt;SwaptionFirstMonthPosition+SwaptionNumOfMonths+1),"",IF($FJ197=GC$169,1,IF($FJ197&lt;GC$169,INDEX($FK$170:$ID$241,GC$169,$FJ197),SUMPRODUCT(INDEX($FK$325:$ID$396,GC$169,1+SwaptionShift):INDEX($FK$325:$ID$396,GC$169,SwaptionMonthsToGo+SwaptionShift),INDEX($FK$245:$ID$316,$FJ197-GC$169,73-GC$169+SwaptionShift):INDEX($FK$245:$ID$316,$FJ197-GC$169,72-GC$169+SwaptionMonthsToGo+SwaptionShift))/SQRT(SUM(INDEX($FK352:$ID352,1+SwaptionShift):INDEX($FK352:$ID352,SwaptionMonthsToGo+SwaptionShift))*SUM(INDEX($FK$325:$ID$396,GC$169,1+SwaptionShift):INDEX($FK$325:$ID$396,GC$169,SwaptionMonthsToGo+SwaptionShift))))))</f>
        <v/>
      </c>
      <c r="GD197" s="479" t="str">
        <f ca="1">IF(OR(GD$169&lt;SwaptionFirstMonthPosition+1,$FJ197&lt;SwaptionFirstMonthPosition+1,GD$169&gt;SwaptionFirstMonthPosition+SwaptionNumOfMonths+1,$FJ197&gt;SwaptionFirstMonthPosition+SwaptionNumOfMonths+1),"",IF($FJ197=GD$169,1,IF($FJ197&lt;GD$169,INDEX($FK$170:$ID$241,GD$169,$FJ197),SUMPRODUCT(INDEX($FK$325:$ID$396,GD$169,1+SwaptionShift):INDEX($FK$325:$ID$396,GD$169,SwaptionMonthsToGo+SwaptionShift),INDEX($FK$245:$ID$316,$FJ197-GD$169,73-GD$169+SwaptionShift):INDEX($FK$245:$ID$316,$FJ197-GD$169,72-GD$169+SwaptionMonthsToGo+SwaptionShift))/SQRT(SUM(INDEX($FK352:$ID352,1+SwaptionShift):INDEX($FK352:$ID352,SwaptionMonthsToGo+SwaptionShift))*SUM(INDEX($FK$325:$ID$396,GD$169,1+SwaptionShift):INDEX($FK$325:$ID$396,GD$169,SwaptionMonthsToGo+SwaptionShift))))))</f>
        <v/>
      </c>
      <c r="GE197" s="479" t="str">
        <f ca="1">IF(OR(GE$169&lt;SwaptionFirstMonthPosition+1,$FJ197&lt;SwaptionFirstMonthPosition+1,GE$169&gt;SwaptionFirstMonthPosition+SwaptionNumOfMonths+1,$FJ197&gt;SwaptionFirstMonthPosition+SwaptionNumOfMonths+1),"",IF($FJ197=GE$169,1,IF($FJ197&lt;GE$169,INDEX($FK$170:$ID$241,GE$169,$FJ197),SUMPRODUCT(INDEX($FK$325:$ID$396,GE$169,1+SwaptionShift):INDEX($FK$325:$ID$396,GE$169,SwaptionMonthsToGo+SwaptionShift),INDEX($FK$245:$ID$316,$FJ197-GE$169,73-GE$169+SwaptionShift):INDEX($FK$245:$ID$316,$FJ197-GE$169,72-GE$169+SwaptionMonthsToGo+SwaptionShift))/SQRT(SUM(INDEX($FK352:$ID352,1+SwaptionShift):INDEX($FK352:$ID352,SwaptionMonthsToGo+SwaptionShift))*SUM(INDEX($FK$325:$ID$396,GE$169,1+SwaptionShift):INDEX($FK$325:$ID$396,GE$169,SwaptionMonthsToGo+SwaptionShift))))))</f>
        <v/>
      </c>
      <c r="GF197" s="479" t="str">
        <f ca="1">IF(OR(GF$169&lt;SwaptionFirstMonthPosition+1,$FJ197&lt;SwaptionFirstMonthPosition+1,GF$169&gt;SwaptionFirstMonthPosition+SwaptionNumOfMonths+1,$FJ197&gt;SwaptionFirstMonthPosition+SwaptionNumOfMonths+1),"",IF($FJ197=GF$169,1,IF($FJ197&lt;GF$169,INDEX($FK$170:$ID$241,GF$169,$FJ197),SUMPRODUCT(INDEX($FK$325:$ID$396,GF$169,1+SwaptionShift):INDEX($FK$325:$ID$396,GF$169,SwaptionMonthsToGo+SwaptionShift),INDEX($FK$245:$ID$316,$FJ197-GF$169,73-GF$169+SwaptionShift):INDEX($FK$245:$ID$316,$FJ197-GF$169,72-GF$169+SwaptionMonthsToGo+SwaptionShift))/SQRT(SUM(INDEX($FK352:$ID352,1+SwaptionShift):INDEX($FK352:$ID352,SwaptionMonthsToGo+SwaptionShift))*SUM(INDEX($FK$325:$ID$396,GF$169,1+SwaptionShift):INDEX($FK$325:$ID$396,GF$169,SwaptionMonthsToGo+SwaptionShift))))))</f>
        <v/>
      </c>
      <c r="GG197" s="479" t="str">
        <f ca="1">IF(OR(GG$169&lt;SwaptionFirstMonthPosition+1,$FJ197&lt;SwaptionFirstMonthPosition+1,GG$169&gt;SwaptionFirstMonthPosition+SwaptionNumOfMonths+1,$FJ197&gt;SwaptionFirstMonthPosition+SwaptionNumOfMonths+1),"",IF($FJ197=GG$169,1,IF($FJ197&lt;GG$169,INDEX($FK$170:$ID$241,GG$169,$FJ197),SUMPRODUCT(INDEX($FK$325:$ID$396,GG$169,1+SwaptionShift):INDEX($FK$325:$ID$396,GG$169,SwaptionMonthsToGo+SwaptionShift),INDEX($FK$245:$ID$316,$FJ197-GG$169,73-GG$169+SwaptionShift):INDEX($FK$245:$ID$316,$FJ197-GG$169,72-GG$169+SwaptionMonthsToGo+SwaptionShift))/SQRT(SUM(INDEX($FK352:$ID352,1+SwaptionShift):INDEX($FK352:$ID352,SwaptionMonthsToGo+SwaptionShift))*SUM(INDEX($FK$325:$ID$396,GG$169,1+SwaptionShift):INDEX($FK$325:$ID$396,GG$169,SwaptionMonthsToGo+SwaptionShift))))))</f>
        <v/>
      </c>
      <c r="GH197" s="479" t="str">
        <f ca="1">IF(OR(GH$169&lt;SwaptionFirstMonthPosition+1,$FJ197&lt;SwaptionFirstMonthPosition+1,GH$169&gt;SwaptionFirstMonthPosition+SwaptionNumOfMonths+1,$FJ197&gt;SwaptionFirstMonthPosition+SwaptionNumOfMonths+1),"",IF($FJ197=GH$169,1,IF($FJ197&lt;GH$169,INDEX($FK$170:$ID$241,GH$169,$FJ197),SUMPRODUCT(INDEX($FK$325:$ID$396,GH$169,1+SwaptionShift):INDEX($FK$325:$ID$396,GH$169,SwaptionMonthsToGo+SwaptionShift),INDEX($FK$245:$ID$316,$FJ197-GH$169,73-GH$169+SwaptionShift):INDEX($FK$245:$ID$316,$FJ197-GH$169,72-GH$169+SwaptionMonthsToGo+SwaptionShift))/SQRT(SUM(INDEX($FK352:$ID352,1+SwaptionShift):INDEX($FK352:$ID352,SwaptionMonthsToGo+SwaptionShift))*SUM(INDEX($FK$325:$ID$396,GH$169,1+SwaptionShift):INDEX($FK$325:$ID$396,GH$169,SwaptionMonthsToGo+SwaptionShift))))))</f>
        <v/>
      </c>
      <c r="GI197" s="479" t="str">
        <f ca="1">IF(OR(GI$169&lt;SwaptionFirstMonthPosition+1,$FJ197&lt;SwaptionFirstMonthPosition+1,GI$169&gt;SwaptionFirstMonthPosition+SwaptionNumOfMonths+1,$FJ197&gt;SwaptionFirstMonthPosition+SwaptionNumOfMonths+1),"",IF($FJ197=GI$169,1,IF($FJ197&lt;GI$169,INDEX($FK$170:$ID$241,GI$169,$FJ197),SUMPRODUCT(INDEX($FK$325:$ID$396,GI$169,1+SwaptionShift):INDEX($FK$325:$ID$396,GI$169,SwaptionMonthsToGo+SwaptionShift),INDEX($FK$245:$ID$316,$FJ197-GI$169,73-GI$169+SwaptionShift):INDEX($FK$245:$ID$316,$FJ197-GI$169,72-GI$169+SwaptionMonthsToGo+SwaptionShift))/SQRT(SUM(INDEX($FK352:$ID352,1+SwaptionShift):INDEX($FK352:$ID352,SwaptionMonthsToGo+SwaptionShift))*SUM(INDEX($FK$325:$ID$396,GI$169,1+SwaptionShift):INDEX($FK$325:$ID$396,GI$169,SwaptionMonthsToGo+SwaptionShift))))))</f>
        <v/>
      </c>
      <c r="GJ197" s="479" t="str">
        <f ca="1">IF(OR(GJ$169&lt;SwaptionFirstMonthPosition+1,$FJ197&lt;SwaptionFirstMonthPosition+1,GJ$169&gt;SwaptionFirstMonthPosition+SwaptionNumOfMonths+1,$FJ197&gt;SwaptionFirstMonthPosition+SwaptionNumOfMonths+1),"",IF($FJ197=GJ$169,1,IF($FJ197&lt;GJ$169,INDEX($FK$170:$ID$241,GJ$169,$FJ197),SUMPRODUCT(INDEX($FK$325:$ID$396,GJ$169,1+SwaptionShift):INDEX($FK$325:$ID$396,GJ$169,SwaptionMonthsToGo+SwaptionShift),INDEX($FK$245:$ID$316,$FJ197-GJ$169,73-GJ$169+SwaptionShift):INDEX($FK$245:$ID$316,$FJ197-GJ$169,72-GJ$169+SwaptionMonthsToGo+SwaptionShift))/SQRT(SUM(INDEX($FK352:$ID352,1+SwaptionShift):INDEX($FK352:$ID352,SwaptionMonthsToGo+SwaptionShift))*SUM(INDEX($FK$325:$ID$396,GJ$169,1+SwaptionShift):INDEX($FK$325:$ID$396,GJ$169,SwaptionMonthsToGo+SwaptionShift))))))</f>
        <v/>
      </c>
      <c r="GK197" s="479" t="str">
        <f ca="1">IF(OR(GK$169&lt;SwaptionFirstMonthPosition+1,$FJ197&lt;SwaptionFirstMonthPosition+1,GK$169&gt;SwaptionFirstMonthPosition+SwaptionNumOfMonths+1,$FJ197&gt;SwaptionFirstMonthPosition+SwaptionNumOfMonths+1),"",IF($FJ197=GK$169,1,IF($FJ197&lt;GK$169,INDEX($FK$170:$ID$241,GK$169,$FJ197),SUMPRODUCT(INDEX($FK$325:$ID$396,GK$169,1+SwaptionShift):INDEX($FK$325:$ID$396,GK$169,SwaptionMonthsToGo+SwaptionShift),INDEX($FK$245:$ID$316,$FJ197-GK$169,73-GK$169+SwaptionShift):INDEX($FK$245:$ID$316,$FJ197-GK$169,72-GK$169+SwaptionMonthsToGo+SwaptionShift))/SQRT(SUM(INDEX($FK352:$ID352,1+SwaptionShift):INDEX($FK352:$ID352,SwaptionMonthsToGo+SwaptionShift))*SUM(INDEX($FK$325:$ID$396,GK$169,1+SwaptionShift):INDEX($FK$325:$ID$396,GK$169,SwaptionMonthsToGo+SwaptionShift))))))</f>
        <v/>
      </c>
      <c r="GL197" s="479" t="str">
        <f ca="1">IF(OR(GL$169&lt;SwaptionFirstMonthPosition+1,$FJ197&lt;SwaptionFirstMonthPosition+1,GL$169&gt;SwaptionFirstMonthPosition+SwaptionNumOfMonths+1,$FJ197&gt;SwaptionFirstMonthPosition+SwaptionNumOfMonths+1),"",IF($FJ197=GL$169,1,IF($FJ197&lt;GL$169,INDEX($FK$170:$ID$241,GL$169,$FJ197),SUMPRODUCT(INDEX($FK$325:$ID$396,GL$169,1+SwaptionShift):INDEX($FK$325:$ID$396,GL$169,SwaptionMonthsToGo+SwaptionShift),INDEX($FK$245:$ID$316,$FJ197-GL$169,73-GL$169+SwaptionShift):INDEX($FK$245:$ID$316,$FJ197-GL$169,72-GL$169+SwaptionMonthsToGo+SwaptionShift))/SQRT(SUM(INDEX($FK352:$ID352,1+SwaptionShift):INDEX($FK352:$ID352,SwaptionMonthsToGo+SwaptionShift))*SUM(INDEX($FK$325:$ID$396,GL$169,1+SwaptionShift):INDEX($FK$325:$ID$396,GL$169,SwaptionMonthsToGo+SwaptionShift))))))</f>
        <v/>
      </c>
      <c r="GM197" s="479" t="str">
        <f ca="1">IF(OR(GM$169&lt;SwaptionFirstMonthPosition+1,$FJ197&lt;SwaptionFirstMonthPosition+1,GM$169&gt;SwaptionFirstMonthPosition+SwaptionNumOfMonths+1,$FJ197&gt;SwaptionFirstMonthPosition+SwaptionNumOfMonths+1),"",IF($FJ197=GM$169,1,IF($FJ197&lt;GM$169,INDEX($FK$170:$ID$241,GM$169,$FJ197),SUMPRODUCT(INDEX($FK$325:$ID$396,GM$169,1+SwaptionShift):INDEX($FK$325:$ID$396,GM$169,SwaptionMonthsToGo+SwaptionShift),INDEX($FK$245:$ID$316,$FJ197-GM$169,73-GM$169+SwaptionShift):INDEX($FK$245:$ID$316,$FJ197-GM$169,72-GM$169+SwaptionMonthsToGo+SwaptionShift))/SQRT(SUM(INDEX($FK352:$ID352,1+SwaptionShift):INDEX($FK352:$ID352,SwaptionMonthsToGo+SwaptionShift))*SUM(INDEX($FK$325:$ID$396,GM$169,1+SwaptionShift):INDEX($FK$325:$ID$396,GM$169,SwaptionMonthsToGo+SwaptionShift))))))</f>
        <v/>
      </c>
      <c r="GN197" s="479" t="str">
        <f ca="1">IF(OR(GN$169&lt;SwaptionFirstMonthPosition+1,$FJ197&lt;SwaptionFirstMonthPosition+1,GN$169&gt;SwaptionFirstMonthPosition+SwaptionNumOfMonths+1,$FJ197&gt;SwaptionFirstMonthPosition+SwaptionNumOfMonths+1),"",IF($FJ197=GN$169,1,IF($FJ197&lt;GN$169,INDEX($FK$170:$ID$241,GN$169,$FJ197),SUMPRODUCT(INDEX($FK$325:$ID$396,GN$169,1+SwaptionShift):INDEX($FK$325:$ID$396,GN$169,SwaptionMonthsToGo+SwaptionShift),INDEX($FK$245:$ID$316,$FJ197-GN$169,73-GN$169+SwaptionShift):INDEX($FK$245:$ID$316,$FJ197-GN$169,72-GN$169+SwaptionMonthsToGo+SwaptionShift))/SQRT(SUM(INDEX($FK352:$ID352,1+SwaptionShift):INDEX($FK352:$ID352,SwaptionMonthsToGo+SwaptionShift))*SUM(INDEX($FK$325:$ID$396,GN$169,1+SwaptionShift):INDEX($FK$325:$ID$396,GN$169,SwaptionMonthsToGo+SwaptionShift))))))</f>
        <v/>
      </c>
      <c r="GO197" s="479" t="str">
        <f ca="1">IF(OR(GO$169&lt;SwaptionFirstMonthPosition+1,$FJ197&lt;SwaptionFirstMonthPosition+1,GO$169&gt;SwaptionFirstMonthPosition+SwaptionNumOfMonths+1,$FJ197&gt;SwaptionFirstMonthPosition+SwaptionNumOfMonths+1),"",IF($FJ197=GO$169,1,IF($FJ197&lt;GO$169,INDEX($FK$170:$ID$241,GO$169,$FJ197),SUMPRODUCT(INDEX($FK$325:$ID$396,GO$169,1+SwaptionShift):INDEX($FK$325:$ID$396,GO$169,SwaptionMonthsToGo+SwaptionShift),INDEX($FK$245:$ID$316,$FJ197-GO$169,73-GO$169+SwaptionShift):INDEX($FK$245:$ID$316,$FJ197-GO$169,72-GO$169+SwaptionMonthsToGo+SwaptionShift))/SQRT(SUM(INDEX($FK352:$ID352,1+SwaptionShift):INDEX($FK352:$ID352,SwaptionMonthsToGo+SwaptionShift))*SUM(INDEX($FK$325:$ID$396,GO$169,1+SwaptionShift):INDEX($FK$325:$ID$396,GO$169,SwaptionMonthsToGo+SwaptionShift))))))</f>
        <v/>
      </c>
      <c r="GP197" s="479" t="str">
        <f ca="1">IF(OR(GP$169&lt;SwaptionFirstMonthPosition+1,$FJ197&lt;SwaptionFirstMonthPosition+1,GP$169&gt;SwaptionFirstMonthPosition+SwaptionNumOfMonths+1,$FJ197&gt;SwaptionFirstMonthPosition+SwaptionNumOfMonths+1),"",IF($FJ197=GP$169,1,IF($FJ197&lt;GP$169,INDEX($FK$170:$ID$241,GP$169,$FJ197),SUMPRODUCT(INDEX($FK$325:$ID$396,GP$169,1+SwaptionShift):INDEX($FK$325:$ID$396,GP$169,SwaptionMonthsToGo+SwaptionShift),INDEX($FK$245:$ID$316,$FJ197-GP$169,73-GP$169+SwaptionShift):INDEX($FK$245:$ID$316,$FJ197-GP$169,72-GP$169+SwaptionMonthsToGo+SwaptionShift))/SQRT(SUM(INDEX($FK352:$ID352,1+SwaptionShift):INDEX($FK352:$ID352,SwaptionMonthsToGo+SwaptionShift))*SUM(INDEX($FK$325:$ID$396,GP$169,1+SwaptionShift):INDEX($FK$325:$ID$396,GP$169,SwaptionMonthsToGo+SwaptionShift))))))</f>
        <v/>
      </c>
      <c r="GQ197" s="479" t="str">
        <f ca="1">IF(OR(GQ$169&lt;SwaptionFirstMonthPosition+1,$FJ197&lt;SwaptionFirstMonthPosition+1,GQ$169&gt;SwaptionFirstMonthPosition+SwaptionNumOfMonths+1,$FJ197&gt;SwaptionFirstMonthPosition+SwaptionNumOfMonths+1),"",IF($FJ197=GQ$169,1,IF($FJ197&lt;GQ$169,INDEX($FK$170:$ID$241,GQ$169,$FJ197),SUMPRODUCT(INDEX($FK$325:$ID$396,GQ$169,1+SwaptionShift):INDEX($FK$325:$ID$396,GQ$169,SwaptionMonthsToGo+SwaptionShift),INDEX($FK$245:$ID$316,$FJ197-GQ$169,73-GQ$169+SwaptionShift):INDEX($FK$245:$ID$316,$FJ197-GQ$169,72-GQ$169+SwaptionMonthsToGo+SwaptionShift))/SQRT(SUM(INDEX($FK352:$ID352,1+SwaptionShift):INDEX($FK352:$ID352,SwaptionMonthsToGo+SwaptionShift))*SUM(INDEX($FK$325:$ID$396,GQ$169,1+SwaptionShift):INDEX($FK$325:$ID$396,GQ$169,SwaptionMonthsToGo+SwaptionShift))))))</f>
        <v/>
      </c>
      <c r="GR197" s="479" t="str">
        <f ca="1">IF(OR(GR$169&lt;SwaptionFirstMonthPosition+1,$FJ197&lt;SwaptionFirstMonthPosition+1,GR$169&gt;SwaptionFirstMonthPosition+SwaptionNumOfMonths+1,$FJ197&gt;SwaptionFirstMonthPosition+SwaptionNumOfMonths+1),"",IF($FJ197=GR$169,1,IF($FJ197&lt;GR$169,INDEX($FK$170:$ID$241,GR$169,$FJ197),SUMPRODUCT(INDEX($FK$325:$ID$396,GR$169,1+SwaptionShift):INDEX($FK$325:$ID$396,GR$169,SwaptionMonthsToGo+SwaptionShift),INDEX($FK$245:$ID$316,$FJ197-GR$169,73-GR$169+SwaptionShift):INDEX($FK$245:$ID$316,$FJ197-GR$169,72-GR$169+SwaptionMonthsToGo+SwaptionShift))/SQRT(SUM(INDEX($FK352:$ID352,1+SwaptionShift):INDEX($FK352:$ID352,SwaptionMonthsToGo+SwaptionShift))*SUM(INDEX($FK$325:$ID$396,GR$169,1+SwaptionShift):INDEX($FK$325:$ID$396,GR$169,SwaptionMonthsToGo+SwaptionShift))))))</f>
        <v/>
      </c>
      <c r="GS197" s="479" t="str">
        <f ca="1">IF(OR(GS$169&lt;SwaptionFirstMonthPosition+1,$FJ197&lt;SwaptionFirstMonthPosition+1,GS$169&gt;SwaptionFirstMonthPosition+SwaptionNumOfMonths+1,$FJ197&gt;SwaptionFirstMonthPosition+SwaptionNumOfMonths+1),"",IF($FJ197=GS$169,1,IF($FJ197&lt;GS$169,INDEX($FK$170:$ID$241,GS$169,$FJ197),SUMPRODUCT(INDEX($FK$325:$ID$396,GS$169,1+SwaptionShift):INDEX($FK$325:$ID$396,GS$169,SwaptionMonthsToGo+SwaptionShift),INDEX($FK$245:$ID$316,$FJ197-GS$169,73-GS$169+SwaptionShift):INDEX($FK$245:$ID$316,$FJ197-GS$169,72-GS$169+SwaptionMonthsToGo+SwaptionShift))/SQRT(SUM(INDEX($FK352:$ID352,1+SwaptionShift):INDEX($FK352:$ID352,SwaptionMonthsToGo+SwaptionShift))*SUM(INDEX($FK$325:$ID$396,GS$169,1+SwaptionShift):INDEX($FK$325:$ID$396,GS$169,SwaptionMonthsToGo+SwaptionShift))))))</f>
        <v/>
      </c>
      <c r="GT197" s="479" t="str">
        <f ca="1">IF(OR(GT$169&lt;SwaptionFirstMonthPosition+1,$FJ197&lt;SwaptionFirstMonthPosition+1,GT$169&gt;SwaptionFirstMonthPosition+SwaptionNumOfMonths+1,$FJ197&gt;SwaptionFirstMonthPosition+SwaptionNumOfMonths+1),"",IF($FJ197=GT$169,1,IF($FJ197&lt;GT$169,INDEX($FK$170:$ID$241,GT$169,$FJ197),SUMPRODUCT(INDEX($FK$325:$ID$396,GT$169,1+SwaptionShift):INDEX($FK$325:$ID$396,GT$169,SwaptionMonthsToGo+SwaptionShift),INDEX($FK$245:$ID$316,$FJ197-GT$169,73-GT$169+SwaptionShift):INDEX($FK$245:$ID$316,$FJ197-GT$169,72-GT$169+SwaptionMonthsToGo+SwaptionShift))/SQRT(SUM(INDEX($FK352:$ID352,1+SwaptionShift):INDEX($FK352:$ID352,SwaptionMonthsToGo+SwaptionShift))*SUM(INDEX($FK$325:$ID$396,GT$169,1+SwaptionShift):INDEX($FK$325:$ID$396,GT$169,SwaptionMonthsToGo+SwaptionShift))))))</f>
        <v/>
      </c>
      <c r="GU197" s="479" t="str">
        <f ca="1">IF(OR(GU$169&lt;SwaptionFirstMonthPosition+1,$FJ197&lt;SwaptionFirstMonthPosition+1,GU$169&gt;SwaptionFirstMonthPosition+SwaptionNumOfMonths+1,$FJ197&gt;SwaptionFirstMonthPosition+SwaptionNumOfMonths+1),"",IF($FJ197=GU$169,1,IF($FJ197&lt;GU$169,INDEX($FK$170:$ID$241,GU$169,$FJ197),SUMPRODUCT(INDEX($FK$325:$ID$396,GU$169,1+SwaptionShift):INDEX($FK$325:$ID$396,GU$169,SwaptionMonthsToGo+SwaptionShift),INDEX($FK$245:$ID$316,$FJ197-GU$169,73-GU$169+SwaptionShift):INDEX($FK$245:$ID$316,$FJ197-GU$169,72-GU$169+SwaptionMonthsToGo+SwaptionShift))/SQRT(SUM(INDEX($FK352:$ID352,1+SwaptionShift):INDEX($FK352:$ID352,SwaptionMonthsToGo+SwaptionShift))*SUM(INDEX($FK$325:$ID$396,GU$169,1+SwaptionShift):INDEX($FK$325:$ID$396,GU$169,SwaptionMonthsToGo+SwaptionShift))))))</f>
        <v/>
      </c>
      <c r="GV197" s="479" t="str">
        <f ca="1">IF(OR(GV$169&lt;SwaptionFirstMonthPosition+1,$FJ197&lt;SwaptionFirstMonthPosition+1,GV$169&gt;SwaptionFirstMonthPosition+SwaptionNumOfMonths+1,$FJ197&gt;SwaptionFirstMonthPosition+SwaptionNumOfMonths+1),"",IF($FJ197=GV$169,1,IF($FJ197&lt;GV$169,INDEX($FK$170:$ID$241,GV$169,$FJ197),SUMPRODUCT(INDEX($FK$325:$ID$396,GV$169,1+SwaptionShift):INDEX($FK$325:$ID$396,GV$169,SwaptionMonthsToGo+SwaptionShift),INDEX($FK$245:$ID$316,$FJ197-GV$169,73-GV$169+SwaptionShift):INDEX($FK$245:$ID$316,$FJ197-GV$169,72-GV$169+SwaptionMonthsToGo+SwaptionShift))/SQRT(SUM(INDEX($FK352:$ID352,1+SwaptionShift):INDEX($FK352:$ID352,SwaptionMonthsToGo+SwaptionShift))*SUM(INDEX($FK$325:$ID$396,GV$169,1+SwaptionShift):INDEX($FK$325:$ID$396,GV$169,SwaptionMonthsToGo+SwaptionShift))))))</f>
        <v/>
      </c>
      <c r="GW197" s="479" t="str">
        <f ca="1">IF(OR(GW$169&lt;SwaptionFirstMonthPosition+1,$FJ197&lt;SwaptionFirstMonthPosition+1,GW$169&gt;SwaptionFirstMonthPosition+SwaptionNumOfMonths+1,$FJ197&gt;SwaptionFirstMonthPosition+SwaptionNumOfMonths+1),"",IF($FJ197=GW$169,1,IF($FJ197&lt;GW$169,INDEX($FK$170:$ID$241,GW$169,$FJ197),SUMPRODUCT(INDEX($FK$325:$ID$396,GW$169,1+SwaptionShift):INDEX($FK$325:$ID$396,GW$169,SwaptionMonthsToGo+SwaptionShift),INDEX($FK$245:$ID$316,$FJ197-GW$169,73-GW$169+SwaptionShift):INDEX($FK$245:$ID$316,$FJ197-GW$169,72-GW$169+SwaptionMonthsToGo+SwaptionShift))/SQRT(SUM(INDEX($FK352:$ID352,1+SwaptionShift):INDEX($FK352:$ID352,SwaptionMonthsToGo+SwaptionShift))*SUM(INDEX($FK$325:$ID$396,GW$169,1+SwaptionShift):INDEX($FK$325:$ID$396,GW$169,SwaptionMonthsToGo+SwaptionShift))))))</f>
        <v/>
      </c>
      <c r="GX197" s="479" t="str">
        <f ca="1">IF(OR(GX$169&lt;SwaptionFirstMonthPosition+1,$FJ197&lt;SwaptionFirstMonthPosition+1,GX$169&gt;SwaptionFirstMonthPosition+SwaptionNumOfMonths+1,$FJ197&gt;SwaptionFirstMonthPosition+SwaptionNumOfMonths+1),"",IF($FJ197=GX$169,1,IF($FJ197&lt;GX$169,INDEX($FK$170:$ID$241,GX$169,$FJ197),SUMPRODUCT(INDEX($FK$325:$ID$396,GX$169,1+SwaptionShift):INDEX($FK$325:$ID$396,GX$169,SwaptionMonthsToGo+SwaptionShift),INDEX($FK$245:$ID$316,$FJ197-GX$169,73-GX$169+SwaptionShift):INDEX($FK$245:$ID$316,$FJ197-GX$169,72-GX$169+SwaptionMonthsToGo+SwaptionShift))/SQRT(SUM(INDEX($FK352:$ID352,1+SwaptionShift):INDEX($FK352:$ID352,SwaptionMonthsToGo+SwaptionShift))*SUM(INDEX($FK$325:$ID$396,GX$169,1+SwaptionShift):INDEX($FK$325:$ID$396,GX$169,SwaptionMonthsToGo+SwaptionShift))))))</f>
        <v/>
      </c>
      <c r="GY197" s="479" t="str">
        <f ca="1">IF(OR(GY$169&lt;SwaptionFirstMonthPosition+1,$FJ197&lt;SwaptionFirstMonthPosition+1,GY$169&gt;SwaptionFirstMonthPosition+SwaptionNumOfMonths+1,$FJ197&gt;SwaptionFirstMonthPosition+SwaptionNumOfMonths+1),"",IF($FJ197=GY$169,1,IF($FJ197&lt;GY$169,INDEX($FK$170:$ID$241,GY$169,$FJ197),SUMPRODUCT(INDEX($FK$325:$ID$396,GY$169,1+SwaptionShift):INDEX($FK$325:$ID$396,GY$169,SwaptionMonthsToGo+SwaptionShift),INDEX($FK$245:$ID$316,$FJ197-GY$169,73-GY$169+SwaptionShift):INDEX($FK$245:$ID$316,$FJ197-GY$169,72-GY$169+SwaptionMonthsToGo+SwaptionShift))/SQRT(SUM(INDEX($FK352:$ID352,1+SwaptionShift):INDEX($FK352:$ID352,SwaptionMonthsToGo+SwaptionShift))*SUM(INDEX($FK$325:$ID$396,GY$169,1+SwaptionShift):INDEX($FK$325:$ID$396,GY$169,SwaptionMonthsToGo+SwaptionShift))))))</f>
        <v/>
      </c>
      <c r="GZ197" s="479" t="str">
        <f ca="1">IF(OR(GZ$169&lt;SwaptionFirstMonthPosition+1,$FJ197&lt;SwaptionFirstMonthPosition+1,GZ$169&gt;SwaptionFirstMonthPosition+SwaptionNumOfMonths+1,$FJ197&gt;SwaptionFirstMonthPosition+SwaptionNumOfMonths+1),"",IF($FJ197=GZ$169,1,IF($FJ197&lt;GZ$169,INDEX($FK$170:$ID$241,GZ$169,$FJ197),SUMPRODUCT(INDEX($FK$325:$ID$396,GZ$169,1+SwaptionShift):INDEX($FK$325:$ID$396,GZ$169,SwaptionMonthsToGo+SwaptionShift),INDEX($FK$245:$ID$316,$FJ197-GZ$169,73-GZ$169+SwaptionShift):INDEX($FK$245:$ID$316,$FJ197-GZ$169,72-GZ$169+SwaptionMonthsToGo+SwaptionShift))/SQRT(SUM(INDEX($FK352:$ID352,1+SwaptionShift):INDEX($FK352:$ID352,SwaptionMonthsToGo+SwaptionShift))*SUM(INDEX($FK$325:$ID$396,GZ$169,1+SwaptionShift):INDEX($FK$325:$ID$396,GZ$169,SwaptionMonthsToGo+SwaptionShift))))))</f>
        <v/>
      </c>
      <c r="HA197" s="479" t="str">
        <f ca="1">IF(OR(HA$169&lt;SwaptionFirstMonthPosition+1,$FJ197&lt;SwaptionFirstMonthPosition+1,HA$169&gt;SwaptionFirstMonthPosition+SwaptionNumOfMonths+1,$FJ197&gt;SwaptionFirstMonthPosition+SwaptionNumOfMonths+1),"",IF($FJ197=HA$169,1,IF($FJ197&lt;HA$169,INDEX($FK$170:$ID$241,HA$169,$FJ197),SUMPRODUCT(INDEX($FK$325:$ID$396,HA$169,1+SwaptionShift):INDEX($FK$325:$ID$396,HA$169,SwaptionMonthsToGo+SwaptionShift),INDEX($FK$245:$ID$316,$FJ197-HA$169,73-HA$169+SwaptionShift):INDEX($FK$245:$ID$316,$FJ197-HA$169,72-HA$169+SwaptionMonthsToGo+SwaptionShift))/SQRT(SUM(INDEX($FK352:$ID352,1+SwaptionShift):INDEX($FK352:$ID352,SwaptionMonthsToGo+SwaptionShift))*SUM(INDEX($FK$325:$ID$396,HA$169,1+SwaptionShift):INDEX($FK$325:$ID$396,HA$169,SwaptionMonthsToGo+SwaptionShift))))))</f>
        <v/>
      </c>
      <c r="HB197" s="479" t="str">
        <f ca="1">IF(OR(HB$169&lt;SwaptionFirstMonthPosition+1,$FJ197&lt;SwaptionFirstMonthPosition+1,HB$169&gt;SwaptionFirstMonthPosition+SwaptionNumOfMonths+1,$FJ197&gt;SwaptionFirstMonthPosition+SwaptionNumOfMonths+1),"",IF($FJ197=HB$169,1,IF($FJ197&lt;HB$169,INDEX($FK$170:$ID$241,HB$169,$FJ197),SUMPRODUCT(INDEX($FK$325:$ID$396,HB$169,1+SwaptionShift):INDEX($FK$325:$ID$396,HB$169,SwaptionMonthsToGo+SwaptionShift),INDEX($FK$245:$ID$316,$FJ197-HB$169,73-HB$169+SwaptionShift):INDEX($FK$245:$ID$316,$FJ197-HB$169,72-HB$169+SwaptionMonthsToGo+SwaptionShift))/SQRT(SUM(INDEX($FK352:$ID352,1+SwaptionShift):INDEX($FK352:$ID352,SwaptionMonthsToGo+SwaptionShift))*SUM(INDEX($FK$325:$ID$396,HB$169,1+SwaptionShift):INDEX($FK$325:$ID$396,HB$169,SwaptionMonthsToGo+SwaptionShift))))))</f>
        <v/>
      </c>
      <c r="HC197" s="479" t="str">
        <f ca="1">IF(OR(HC$169&lt;SwaptionFirstMonthPosition+1,$FJ197&lt;SwaptionFirstMonthPosition+1,HC$169&gt;SwaptionFirstMonthPosition+SwaptionNumOfMonths+1,$FJ197&gt;SwaptionFirstMonthPosition+SwaptionNumOfMonths+1),"",IF($FJ197=HC$169,1,IF($FJ197&lt;HC$169,INDEX($FK$170:$ID$241,HC$169,$FJ197),SUMPRODUCT(INDEX($FK$325:$ID$396,HC$169,1+SwaptionShift):INDEX($FK$325:$ID$396,HC$169,SwaptionMonthsToGo+SwaptionShift),INDEX($FK$245:$ID$316,$FJ197-HC$169,73-HC$169+SwaptionShift):INDEX($FK$245:$ID$316,$FJ197-HC$169,72-HC$169+SwaptionMonthsToGo+SwaptionShift))/SQRT(SUM(INDEX($FK352:$ID352,1+SwaptionShift):INDEX($FK352:$ID352,SwaptionMonthsToGo+SwaptionShift))*SUM(INDEX($FK$325:$ID$396,HC$169,1+SwaptionShift):INDEX($FK$325:$ID$396,HC$169,SwaptionMonthsToGo+SwaptionShift))))))</f>
        <v/>
      </c>
      <c r="HD197" s="479" t="str">
        <f ca="1">IF(OR(HD$169&lt;SwaptionFirstMonthPosition+1,$FJ197&lt;SwaptionFirstMonthPosition+1,HD$169&gt;SwaptionFirstMonthPosition+SwaptionNumOfMonths+1,$FJ197&gt;SwaptionFirstMonthPosition+SwaptionNumOfMonths+1),"",IF($FJ197=HD$169,1,IF($FJ197&lt;HD$169,INDEX($FK$170:$ID$241,HD$169,$FJ197),SUMPRODUCT(INDEX($FK$325:$ID$396,HD$169,1+SwaptionShift):INDEX($FK$325:$ID$396,HD$169,SwaptionMonthsToGo+SwaptionShift),INDEX($FK$245:$ID$316,$FJ197-HD$169,73-HD$169+SwaptionShift):INDEX($FK$245:$ID$316,$FJ197-HD$169,72-HD$169+SwaptionMonthsToGo+SwaptionShift))/SQRT(SUM(INDEX($FK352:$ID352,1+SwaptionShift):INDEX($FK352:$ID352,SwaptionMonthsToGo+SwaptionShift))*SUM(INDEX($FK$325:$ID$396,HD$169,1+SwaptionShift):INDEX($FK$325:$ID$396,HD$169,SwaptionMonthsToGo+SwaptionShift))))))</f>
        <v/>
      </c>
      <c r="HE197" s="479" t="str">
        <f ca="1">IF(OR(HE$169&lt;SwaptionFirstMonthPosition+1,$FJ197&lt;SwaptionFirstMonthPosition+1,HE$169&gt;SwaptionFirstMonthPosition+SwaptionNumOfMonths+1,$FJ197&gt;SwaptionFirstMonthPosition+SwaptionNumOfMonths+1),"",IF($FJ197=HE$169,1,IF($FJ197&lt;HE$169,INDEX($FK$170:$ID$241,HE$169,$FJ197),SUMPRODUCT(INDEX($FK$325:$ID$396,HE$169,1+SwaptionShift):INDEX($FK$325:$ID$396,HE$169,SwaptionMonthsToGo+SwaptionShift),INDEX($FK$245:$ID$316,$FJ197-HE$169,73-HE$169+SwaptionShift):INDEX($FK$245:$ID$316,$FJ197-HE$169,72-HE$169+SwaptionMonthsToGo+SwaptionShift))/SQRT(SUM(INDEX($FK352:$ID352,1+SwaptionShift):INDEX($FK352:$ID352,SwaptionMonthsToGo+SwaptionShift))*SUM(INDEX($FK$325:$ID$396,HE$169,1+SwaptionShift):INDEX($FK$325:$ID$396,HE$169,SwaptionMonthsToGo+SwaptionShift))))))</f>
        <v/>
      </c>
      <c r="HF197" s="479" t="str">
        <f ca="1">IF(OR(HF$169&lt;SwaptionFirstMonthPosition+1,$FJ197&lt;SwaptionFirstMonthPosition+1,HF$169&gt;SwaptionFirstMonthPosition+SwaptionNumOfMonths+1,$FJ197&gt;SwaptionFirstMonthPosition+SwaptionNumOfMonths+1),"",IF($FJ197=HF$169,1,IF($FJ197&lt;HF$169,INDEX($FK$170:$ID$241,HF$169,$FJ197),SUMPRODUCT(INDEX($FK$325:$ID$396,HF$169,1+SwaptionShift):INDEX($FK$325:$ID$396,HF$169,SwaptionMonthsToGo+SwaptionShift),INDEX($FK$245:$ID$316,$FJ197-HF$169,73-HF$169+SwaptionShift):INDEX($FK$245:$ID$316,$FJ197-HF$169,72-HF$169+SwaptionMonthsToGo+SwaptionShift))/SQRT(SUM(INDEX($FK352:$ID352,1+SwaptionShift):INDEX($FK352:$ID352,SwaptionMonthsToGo+SwaptionShift))*SUM(INDEX($FK$325:$ID$396,HF$169,1+SwaptionShift):INDEX($FK$325:$ID$396,HF$169,SwaptionMonthsToGo+SwaptionShift))))))</f>
        <v/>
      </c>
      <c r="HG197" s="479" t="str">
        <f ca="1">IF(OR(HG$169&lt;SwaptionFirstMonthPosition+1,$FJ197&lt;SwaptionFirstMonthPosition+1,HG$169&gt;SwaptionFirstMonthPosition+SwaptionNumOfMonths+1,$FJ197&gt;SwaptionFirstMonthPosition+SwaptionNumOfMonths+1),"",IF($FJ197=HG$169,1,IF($FJ197&lt;HG$169,INDEX($FK$170:$ID$241,HG$169,$FJ197),SUMPRODUCT(INDEX($FK$325:$ID$396,HG$169,1+SwaptionShift):INDEX($FK$325:$ID$396,HG$169,SwaptionMonthsToGo+SwaptionShift),INDEX($FK$245:$ID$316,$FJ197-HG$169,73-HG$169+SwaptionShift):INDEX($FK$245:$ID$316,$FJ197-HG$169,72-HG$169+SwaptionMonthsToGo+SwaptionShift))/SQRT(SUM(INDEX($FK352:$ID352,1+SwaptionShift):INDEX($FK352:$ID352,SwaptionMonthsToGo+SwaptionShift))*SUM(INDEX($FK$325:$ID$396,HG$169,1+SwaptionShift):INDEX($FK$325:$ID$396,HG$169,SwaptionMonthsToGo+SwaptionShift))))))</f>
        <v/>
      </c>
      <c r="HH197" s="479" t="str">
        <f ca="1">IF(OR(HH$169&lt;SwaptionFirstMonthPosition+1,$FJ197&lt;SwaptionFirstMonthPosition+1,HH$169&gt;SwaptionFirstMonthPosition+SwaptionNumOfMonths+1,$FJ197&gt;SwaptionFirstMonthPosition+SwaptionNumOfMonths+1),"",IF($FJ197=HH$169,1,IF($FJ197&lt;HH$169,INDEX($FK$170:$ID$241,HH$169,$FJ197),SUMPRODUCT(INDEX($FK$325:$ID$396,HH$169,1+SwaptionShift):INDEX($FK$325:$ID$396,HH$169,SwaptionMonthsToGo+SwaptionShift),INDEX($FK$245:$ID$316,$FJ197-HH$169,73-HH$169+SwaptionShift):INDEX($FK$245:$ID$316,$FJ197-HH$169,72-HH$169+SwaptionMonthsToGo+SwaptionShift))/SQRT(SUM(INDEX($FK352:$ID352,1+SwaptionShift):INDEX($FK352:$ID352,SwaptionMonthsToGo+SwaptionShift))*SUM(INDEX($FK$325:$ID$396,HH$169,1+SwaptionShift):INDEX($FK$325:$ID$396,HH$169,SwaptionMonthsToGo+SwaptionShift))))))</f>
        <v/>
      </c>
      <c r="HI197" s="479" t="str">
        <f ca="1">IF(OR(HI$169&lt;SwaptionFirstMonthPosition+1,$FJ197&lt;SwaptionFirstMonthPosition+1,HI$169&gt;SwaptionFirstMonthPosition+SwaptionNumOfMonths+1,$FJ197&gt;SwaptionFirstMonthPosition+SwaptionNumOfMonths+1),"",IF($FJ197=HI$169,1,IF($FJ197&lt;HI$169,INDEX($FK$170:$ID$241,HI$169,$FJ197),SUMPRODUCT(INDEX($FK$325:$ID$396,HI$169,1+SwaptionShift):INDEX($FK$325:$ID$396,HI$169,SwaptionMonthsToGo+SwaptionShift),INDEX($FK$245:$ID$316,$FJ197-HI$169,73-HI$169+SwaptionShift):INDEX($FK$245:$ID$316,$FJ197-HI$169,72-HI$169+SwaptionMonthsToGo+SwaptionShift))/SQRT(SUM(INDEX($FK352:$ID352,1+SwaptionShift):INDEX($FK352:$ID352,SwaptionMonthsToGo+SwaptionShift))*SUM(INDEX($FK$325:$ID$396,HI$169,1+SwaptionShift):INDEX($FK$325:$ID$396,HI$169,SwaptionMonthsToGo+SwaptionShift))))))</f>
        <v/>
      </c>
      <c r="HJ197" s="479" t="str">
        <f ca="1">IF(OR(HJ$169&lt;SwaptionFirstMonthPosition+1,$FJ197&lt;SwaptionFirstMonthPosition+1,HJ$169&gt;SwaptionFirstMonthPosition+SwaptionNumOfMonths+1,$FJ197&gt;SwaptionFirstMonthPosition+SwaptionNumOfMonths+1),"",IF($FJ197=HJ$169,1,IF($FJ197&lt;HJ$169,INDEX($FK$170:$ID$241,HJ$169,$FJ197),SUMPRODUCT(INDEX($FK$325:$ID$396,HJ$169,1+SwaptionShift):INDEX($FK$325:$ID$396,HJ$169,SwaptionMonthsToGo+SwaptionShift),INDEX($FK$245:$ID$316,$FJ197-HJ$169,73-HJ$169+SwaptionShift):INDEX($FK$245:$ID$316,$FJ197-HJ$169,72-HJ$169+SwaptionMonthsToGo+SwaptionShift))/SQRT(SUM(INDEX($FK352:$ID352,1+SwaptionShift):INDEX($FK352:$ID352,SwaptionMonthsToGo+SwaptionShift))*SUM(INDEX($FK$325:$ID$396,HJ$169,1+SwaptionShift):INDEX($FK$325:$ID$396,HJ$169,SwaptionMonthsToGo+SwaptionShift))))))</f>
        <v/>
      </c>
      <c r="HK197" s="479" t="str">
        <f ca="1">IF(OR(HK$169&lt;SwaptionFirstMonthPosition+1,$FJ197&lt;SwaptionFirstMonthPosition+1,HK$169&gt;SwaptionFirstMonthPosition+SwaptionNumOfMonths+1,$FJ197&gt;SwaptionFirstMonthPosition+SwaptionNumOfMonths+1),"",IF($FJ197=HK$169,1,IF($FJ197&lt;HK$169,INDEX($FK$170:$ID$241,HK$169,$FJ197),SUMPRODUCT(INDEX($FK$325:$ID$396,HK$169,1+SwaptionShift):INDEX($FK$325:$ID$396,HK$169,SwaptionMonthsToGo+SwaptionShift),INDEX($FK$245:$ID$316,$FJ197-HK$169,73-HK$169+SwaptionShift):INDEX($FK$245:$ID$316,$FJ197-HK$169,72-HK$169+SwaptionMonthsToGo+SwaptionShift))/SQRT(SUM(INDEX($FK352:$ID352,1+SwaptionShift):INDEX($FK352:$ID352,SwaptionMonthsToGo+SwaptionShift))*SUM(INDEX($FK$325:$ID$396,HK$169,1+SwaptionShift):INDEX($FK$325:$ID$396,HK$169,SwaptionMonthsToGo+SwaptionShift))))))</f>
        <v/>
      </c>
      <c r="HL197" s="479" t="str">
        <f ca="1">IF(OR(HL$169&lt;SwaptionFirstMonthPosition+1,$FJ197&lt;SwaptionFirstMonthPosition+1,HL$169&gt;SwaptionFirstMonthPosition+SwaptionNumOfMonths+1,$FJ197&gt;SwaptionFirstMonthPosition+SwaptionNumOfMonths+1),"",IF($FJ197=HL$169,1,IF($FJ197&lt;HL$169,INDEX($FK$170:$ID$241,HL$169,$FJ197),SUMPRODUCT(INDEX($FK$325:$ID$396,HL$169,1+SwaptionShift):INDEX($FK$325:$ID$396,HL$169,SwaptionMonthsToGo+SwaptionShift),INDEX($FK$245:$ID$316,$FJ197-HL$169,73-HL$169+SwaptionShift):INDEX($FK$245:$ID$316,$FJ197-HL$169,72-HL$169+SwaptionMonthsToGo+SwaptionShift))/SQRT(SUM(INDEX($FK352:$ID352,1+SwaptionShift):INDEX($FK352:$ID352,SwaptionMonthsToGo+SwaptionShift))*SUM(INDEX($FK$325:$ID$396,HL$169,1+SwaptionShift):INDEX($FK$325:$ID$396,HL$169,SwaptionMonthsToGo+SwaptionShift))))))</f>
        <v/>
      </c>
      <c r="HM197" s="479" t="str">
        <f ca="1">IF(OR(HM$169&lt;SwaptionFirstMonthPosition+1,$FJ197&lt;SwaptionFirstMonthPosition+1,HM$169&gt;SwaptionFirstMonthPosition+SwaptionNumOfMonths+1,$FJ197&gt;SwaptionFirstMonthPosition+SwaptionNumOfMonths+1),"",IF($FJ197=HM$169,1,IF($FJ197&lt;HM$169,INDEX($FK$170:$ID$241,HM$169,$FJ197),SUMPRODUCT(INDEX($FK$325:$ID$396,HM$169,1+SwaptionShift):INDEX($FK$325:$ID$396,HM$169,SwaptionMonthsToGo+SwaptionShift),INDEX($FK$245:$ID$316,$FJ197-HM$169,73-HM$169+SwaptionShift):INDEX($FK$245:$ID$316,$FJ197-HM$169,72-HM$169+SwaptionMonthsToGo+SwaptionShift))/SQRT(SUM(INDEX($FK352:$ID352,1+SwaptionShift):INDEX($FK352:$ID352,SwaptionMonthsToGo+SwaptionShift))*SUM(INDEX($FK$325:$ID$396,HM$169,1+SwaptionShift):INDEX($FK$325:$ID$396,HM$169,SwaptionMonthsToGo+SwaptionShift))))))</f>
        <v/>
      </c>
      <c r="HN197" s="479" t="str">
        <f ca="1">IF(OR(HN$169&lt;SwaptionFirstMonthPosition+1,$FJ197&lt;SwaptionFirstMonthPosition+1,HN$169&gt;SwaptionFirstMonthPosition+SwaptionNumOfMonths+1,$FJ197&gt;SwaptionFirstMonthPosition+SwaptionNumOfMonths+1),"",IF($FJ197=HN$169,1,IF($FJ197&lt;HN$169,INDEX($FK$170:$ID$241,HN$169,$FJ197),SUMPRODUCT(INDEX($FK$325:$ID$396,HN$169,1+SwaptionShift):INDEX($FK$325:$ID$396,HN$169,SwaptionMonthsToGo+SwaptionShift),INDEX($FK$245:$ID$316,$FJ197-HN$169,73-HN$169+SwaptionShift):INDEX($FK$245:$ID$316,$FJ197-HN$169,72-HN$169+SwaptionMonthsToGo+SwaptionShift))/SQRT(SUM(INDEX($FK352:$ID352,1+SwaptionShift):INDEX($FK352:$ID352,SwaptionMonthsToGo+SwaptionShift))*SUM(INDEX($FK$325:$ID$396,HN$169,1+SwaptionShift):INDEX($FK$325:$ID$396,HN$169,SwaptionMonthsToGo+SwaptionShift))))))</f>
        <v/>
      </c>
      <c r="HO197" s="479" t="str">
        <f ca="1">IF(OR(HO$169&lt;SwaptionFirstMonthPosition+1,$FJ197&lt;SwaptionFirstMonthPosition+1,HO$169&gt;SwaptionFirstMonthPosition+SwaptionNumOfMonths+1,$FJ197&gt;SwaptionFirstMonthPosition+SwaptionNumOfMonths+1),"",IF($FJ197=HO$169,1,IF($FJ197&lt;HO$169,INDEX($FK$170:$ID$241,HO$169,$FJ197),SUMPRODUCT(INDEX($FK$325:$ID$396,HO$169,1+SwaptionShift):INDEX($FK$325:$ID$396,HO$169,SwaptionMonthsToGo+SwaptionShift),INDEX($FK$245:$ID$316,$FJ197-HO$169,73-HO$169+SwaptionShift):INDEX($FK$245:$ID$316,$FJ197-HO$169,72-HO$169+SwaptionMonthsToGo+SwaptionShift))/SQRT(SUM(INDEX($FK352:$ID352,1+SwaptionShift):INDEX($FK352:$ID352,SwaptionMonthsToGo+SwaptionShift))*SUM(INDEX($FK$325:$ID$396,HO$169,1+SwaptionShift):INDEX($FK$325:$ID$396,HO$169,SwaptionMonthsToGo+SwaptionShift))))))</f>
        <v/>
      </c>
      <c r="HP197" s="479" t="str">
        <f ca="1">IF(OR(HP$169&lt;SwaptionFirstMonthPosition+1,$FJ197&lt;SwaptionFirstMonthPosition+1,HP$169&gt;SwaptionFirstMonthPosition+SwaptionNumOfMonths+1,$FJ197&gt;SwaptionFirstMonthPosition+SwaptionNumOfMonths+1),"",IF($FJ197=HP$169,1,IF($FJ197&lt;HP$169,INDEX($FK$170:$ID$241,HP$169,$FJ197),SUMPRODUCT(INDEX($FK$325:$ID$396,HP$169,1+SwaptionShift):INDEX($FK$325:$ID$396,HP$169,SwaptionMonthsToGo+SwaptionShift),INDEX($FK$245:$ID$316,$FJ197-HP$169,73-HP$169+SwaptionShift):INDEX($FK$245:$ID$316,$FJ197-HP$169,72-HP$169+SwaptionMonthsToGo+SwaptionShift))/SQRT(SUM(INDEX($FK352:$ID352,1+SwaptionShift):INDEX($FK352:$ID352,SwaptionMonthsToGo+SwaptionShift))*SUM(INDEX($FK$325:$ID$396,HP$169,1+SwaptionShift):INDEX($FK$325:$ID$396,HP$169,SwaptionMonthsToGo+SwaptionShift))))))</f>
        <v/>
      </c>
      <c r="HQ197" s="479" t="str">
        <f ca="1">IF(OR(HQ$169&lt;SwaptionFirstMonthPosition+1,$FJ197&lt;SwaptionFirstMonthPosition+1,HQ$169&gt;SwaptionFirstMonthPosition+SwaptionNumOfMonths+1,$FJ197&gt;SwaptionFirstMonthPosition+SwaptionNumOfMonths+1),"",IF($FJ197=HQ$169,1,IF($FJ197&lt;HQ$169,INDEX($FK$170:$ID$241,HQ$169,$FJ197),SUMPRODUCT(INDEX($FK$325:$ID$396,HQ$169,1+SwaptionShift):INDEX($FK$325:$ID$396,HQ$169,SwaptionMonthsToGo+SwaptionShift),INDEX($FK$245:$ID$316,$FJ197-HQ$169,73-HQ$169+SwaptionShift):INDEX($FK$245:$ID$316,$FJ197-HQ$169,72-HQ$169+SwaptionMonthsToGo+SwaptionShift))/SQRT(SUM(INDEX($FK352:$ID352,1+SwaptionShift):INDEX($FK352:$ID352,SwaptionMonthsToGo+SwaptionShift))*SUM(INDEX($FK$325:$ID$396,HQ$169,1+SwaptionShift):INDEX($FK$325:$ID$396,HQ$169,SwaptionMonthsToGo+SwaptionShift))))))</f>
        <v/>
      </c>
      <c r="HR197" s="479" t="str">
        <f ca="1">IF(OR(HR$169&lt;SwaptionFirstMonthPosition+1,$FJ197&lt;SwaptionFirstMonthPosition+1,HR$169&gt;SwaptionFirstMonthPosition+SwaptionNumOfMonths+1,$FJ197&gt;SwaptionFirstMonthPosition+SwaptionNumOfMonths+1),"",IF($FJ197=HR$169,1,IF($FJ197&lt;HR$169,INDEX($FK$170:$ID$241,HR$169,$FJ197),SUMPRODUCT(INDEX($FK$325:$ID$396,HR$169,1+SwaptionShift):INDEX($FK$325:$ID$396,HR$169,SwaptionMonthsToGo+SwaptionShift),INDEX($FK$245:$ID$316,$FJ197-HR$169,73-HR$169+SwaptionShift):INDEX($FK$245:$ID$316,$FJ197-HR$169,72-HR$169+SwaptionMonthsToGo+SwaptionShift))/SQRT(SUM(INDEX($FK352:$ID352,1+SwaptionShift):INDEX($FK352:$ID352,SwaptionMonthsToGo+SwaptionShift))*SUM(INDEX($FK$325:$ID$396,HR$169,1+SwaptionShift):INDEX($FK$325:$ID$396,HR$169,SwaptionMonthsToGo+SwaptionShift))))))</f>
        <v/>
      </c>
      <c r="HS197" s="479" t="str">
        <f ca="1">IF(OR(HS$169&lt;SwaptionFirstMonthPosition+1,$FJ197&lt;SwaptionFirstMonthPosition+1,HS$169&gt;SwaptionFirstMonthPosition+SwaptionNumOfMonths+1,$FJ197&gt;SwaptionFirstMonthPosition+SwaptionNumOfMonths+1),"",IF($FJ197=HS$169,1,IF($FJ197&lt;HS$169,INDEX($FK$170:$ID$241,HS$169,$FJ197),SUMPRODUCT(INDEX($FK$325:$ID$396,HS$169,1+SwaptionShift):INDEX($FK$325:$ID$396,HS$169,SwaptionMonthsToGo+SwaptionShift),INDEX($FK$245:$ID$316,$FJ197-HS$169,73-HS$169+SwaptionShift):INDEX($FK$245:$ID$316,$FJ197-HS$169,72-HS$169+SwaptionMonthsToGo+SwaptionShift))/SQRT(SUM(INDEX($FK352:$ID352,1+SwaptionShift):INDEX($FK352:$ID352,SwaptionMonthsToGo+SwaptionShift))*SUM(INDEX($FK$325:$ID$396,HS$169,1+SwaptionShift):INDEX($FK$325:$ID$396,HS$169,SwaptionMonthsToGo+SwaptionShift))))))</f>
        <v/>
      </c>
      <c r="HT197" s="479" t="str">
        <f ca="1">IF(OR(HT$169&lt;SwaptionFirstMonthPosition+1,$FJ197&lt;SwaptionFirstMonthPosition+1,HT$169&gt;SwaptionFirstMonthPosition+SwaptionNumOfMonths+1,$FJ197&gt;SwaptionFirstMonthPosition+SwaptionNumOfMonths+1),"",IF($FJ197=HT$169,1,IF($FJ197&lt;HT$169,INDEX($FK$170:$ID$241,HT$169,$FJ197),SUMPRODUCT(INDEX($FK$325:$ID$396,HT$169,1+SwaptionShift):INDEX($FK$325:$ID$396,HT$169,SwaptionMonthsToGo+SwaptionShift),INDEX($FK$245:$ID$316,$FJ197-HT$169,73-HT$169+SwaptionShift):INDEX($FK$245:$ID$316,$FJ197-HT$169,72-HT$169+SwaptionMonthsToGo+SwaptionShift))/SQRT(SUM(INDEX($FK352:$ID352,1+SwaptionShift):INDEX($FK352:$ID352,SwaptionMonthsToGo+SwaptionShift))*SUM(INDEX($FK$325:$ID$396,HT$169,1+SwaptionShift):INDEX($FK$325:$ID$396,HT$169,SwaptionMonthsToGo+SwaptionShift))))))</f>
        <v/>
      </c>
      <c r="HU197" s="479" t="str">
        <f ca="1">IF(OR(HU$169&lt;SwaptionFirstMonthPosition+1,$FJ197&lt;SwaptionFirstMonthPosition+1,HU$169&gt;SwaptionFirstMonthPosition+SwaptionNumOfMonths+1,$FJ197&gt;SwaptionFirstMonthPosition+SwaptionNumOfMonths+1),"",IF($FJ197=HU$169,1,IF($FJ197&lt;HU$169,INDEX($FK$170:$ID$241,HU$169,$FJ197),SUMPRODUCT(INDEX($FK$325:$ID$396,HU$169,1+SwaptionShift):INDEX($FK$325:$ID$396,HU$169,SwaptionMonthsToGo+SwaptionShift),INDEX($FK$245:$ID$316,$FJ197-HU$169,73-HU$169+SwaptionShift):INDEX($FK$245:$ID$316,$FJ197-HU$169,72-HU$169+SwaptionMonthsToGo+SwaptionShift))/SQRT(SUM(INDEX($FK352:$ID352,1+SwaptionShift):INDEX($FK352:$ID352,SwaptionMonthsToGo+SwaptionShift))*SUM(INDEX($FK$325:$ID$396,HU$169,1+SwaptionShift):INDEX($FK$325:$ID$396,HU$169,SwaptionMonthsToGo+SwaptionShift))))))</f>
        <v/>
      </c>
      <c r="HV197" s="479" t="str">
        <f ca="1">IF(OR(HV$169&lt;SwaptionFirstMonthPosition+1,$FJ197&lt;SwaptionFirstMonthPosition+1,HV$169&gt;SwaptionFirstMonthPosition+SwaptionNumOfMonths+1,$FJ197&gt;SwaptionFirstMonthPosition+SwaptionNumOfMonths+1),"",IF($FJ197=HV$169,1,IF($FJ197&lt;HV$169,INDEX($FK$170:$ID$241,HV$169,$FJ197),SUMPRODUCT(INDEX($FK$325:$ID$396,HV$169,1+SwaptionShift):INDEX($FK$325:$ID$396,HV$169,SwaptionMonthsToGo+SwaptionShift),INDEX($FK$245:$ID$316,$FJ197-HV$169,73-HV$169+SwaptionShift):INDEX($FK$245:$ID$316,$FJ197-HV$169,72-HV$169+SwaptionMonthsToGo+SwaptionShift))/SQRT(SUM(INDEX($FK352:$ID352,1+SwaptionShift):INDEX($FK352:$ID352,SwaptionMonthsToGo+SwaptionShift))*SUM(INDEX($FK$325:$ID$396,HV$169,1+SwaptionShift):INDEX($FK$325:$ID$396,HV$169,SwaptionMonthsToGo+SwaptionShift))))))</f>
        <v/>
      </c>
      <c r="HW197" s="479" t="str">
        <f ca="1">IF(OR(HW$169&lt;SwaptionFirstMonthPosition+1,$FJ197&lt;SwaptionFirstMonthPosition+1,HW$169&gt;SwaptionFirstMonthPosition+SwaptionNumOfMonths+1,$FJ197&gt;SwaptionFirstMonthPosition+SwaptionNumOfMonths+1),"",IF($FJ197=HW$169,1,IF($FJ197&lt;HW$169,INDEX($FK$170:$ID$241,HW$169,$FJ197),SUMPRODUCT(INDEX($FK$325:$ID$396,HW$169,1+SwaptionShift):INDEX($FK$325:$ID$396,HW$169,SwaptionMonthsToGo+SwaptionShift),INDEX($FK$245:$ID$316,$FJ197-HW$169,73-HW$169+SwaptionShift):INDEX($FK$245:$ID$316,$FJ197-HW$169,72-HW$169+SwaptionMonthsToGo+SwaptionShift))/SQRT(SUM(INDEX($FK352:$ID352,1+SwaptionShift):INDEX($FK352:$ID352,SwaptionMonthsToGo+SwaptionShift))*SUM(INDEX($FK$325:$ID$396,HW$169,1+SwaptionShift):INDEX($FK$325:$ID$396,HW$169,SwaptionMonthsToGo+SwaptionShift))))))</f>
        <v/>
      </c>
      <c r="HX197" s="479" t="str">
        <f ca="1">IF(OR(HX$169&lt;SwaptionFirstMonthPosition+1,$FJ197&lt;SwaptionFirstMonthPosition+1,HX$169&gt;SwaptionFirstMonthPosition+SwaptionNumOfMonths+1,$FJ197&gt;SwaptionFirstMonthPosition+SwaptionNumOfMonths+1),"",IF($FJ197=HX$169,1,IF($FJ197&lt;HX$169,INDEX($FK$170:$ID$241,HX$169,$FJ197),SUMPRODUCT(INDEX($FK$325:$ID$396,HX$169,1+SwaptionShift):INDEX($FK$325:$ID$396,HX$169,SwaptionMonthsToGo+SwaptionShift),INDEX($FK$245:$ID$316,$FJ197-HX$169,73-HX$169+SwaptionShift):INDEX($FK$245:$ID$316,$FJ197-HX$169,72-HX$169+SwaptionMonthsToGo+SwaptionShift))/SQRT(SUM(INDEX($FK352:$ID352,1+SwaptionShift):INDEX($FK352:$ID352,SwaptionMonthsToGo+SwaptionShift))*SUM(INDEX($FK$325:$ID$396,HX$169,1+SwaptionShift):INDEX($FK$325:$ID$396,HX$169,SwaptionMonthsToGo+SwaptionShift))))))</f>
        <v/>
      </c>
      <c r="HY197" s="479" t="str">
        <f ca="1">IF(OR(HY$169&lt;SwaptionFirstMonthPosition+1,$FJ197&lt;SwaptionFirstMonthPosition+1,HY$169&gt;SwaptionFirstMonthPosition+SwaptionNumOfMonths+1,$FJ197&gt;SwaptionFirstMonthPosition+SwaptionNumOfMonths+1),"",IF($FJ197=HY$169,1,IF($FJ197&lt;HY$169,INDEX($FK$170:$ID$241,HY$169,$FJ197),SUMPRODUCT(INDEX($FK$325:$ID$396,HY$169,1+SwaptionShift):INDEX($FK$325:$ID$396,HY$169,SwaptionMonthsToGo+SwaptionShift),INDEX($FK$245:$ID$316,$FJ197-HY$169,73-HY$169+SwaptionShift):INDEX($FK$245:$ID$316,$FJ197-HY$169,72-HY$169+SwaptionMonthsToGo+SwaptionShift))/SQRT(SUM(INDEX($FK352:$ID352,1+SwaptionShift):INDEX($FK352:$ID352,SwaptionMonthsToGo+SwaptionShift))*SUM(INDEX($FK$325:$ID$396,HY$169,1+SwaptionShift):INDEX($FK$325:$ID$396,HY$169,SwaptionMonthsToGo+SwaptionShift))))))</f>
        <v/>
      </c>
      <c r="HZ197" s="479" t="str">
        <f ca="1">IF(OR(HZ$169&lt;SwaptionFirstMonthPosition+1,$FJ197&lt;SwaptionFirstMonthPosition+1,HZ$169&gt;SwaptionFirstMonthPosition+SwaptionNumOfMonths+1,$FJ197&gt;SwaptionFirstMonthPosition+SwaptionNumOfMonths+1),"",IF($FJ197=HZ$169,1,IF($FJ197&lt;HZ$169,INDEX($FK$170:$ID$241,HZ$169,$FJ197),SUMPRODUCT(INDEX($FK$325:$ID$396,HZ$169,1+SwaptionShift):INDEX($FK$325:$ID$396,HZ$169,SwaptionMonthsToGo+SwaptionShift),INDEX($FK$245:$ID$316,$FJ197-HZ$169,73-HZ$169+SwaptionShift):INDEX($FK$245:$ID$316,$FJ197-HZ$169,72-HZ$169+SwaptionMonthsToGo+SwaptionShift))/SQRT(SUM(INDEX($FK352:$ID352,1+SwaptionShift):INDEX($FK352:$ID352,SwaptionMonthsToGo+SwaptionShift))*SUM(INDEX($FK$325:$ID$396,HZ$169,1+SwaptionShift):INDEX($FK$325:$ID$396,HZ$169,SwaptionMonthsToGo+SwaptionShift))))))</f>
        <v/>
      </c>
      <c r="IA197" s="479" t="str">
        <f ca="1">IF(OR(IA$169&lt;SwaptionFirstMonthPosition+1,$FJ197&lt;SwaptionFirstMonthPosition+1,IA$169&gt;SwaptionFirstMonthPosition+SwaptionNumOfMonths+1,$FJ197&gt;SwaptionFirstMonthPosition+SwaptionNumOfMonths+1),"",IF($FJ197=IA$169,1,IF($FJ197&lt;IA$169,INDEX($FK$170:$ID$241,IA$169,$FJ197),SUMPRODUCT(INDEX($FK$325:$ID$396,IA$169,1+SwaptionShift):INDEX($FK$325:$ID$396,IA$169,SwaptionMonthsToGo+SwaptionShift),INDEX($FK$245:$ID$316,$FJ197-IA$169,73-IA$169+SwaptionShift):INDEX($FK$245:$ID$316,$FJ197-IA$169,72-IA$169+SwaptionMonthsToGo+SwaptionShift))/SQRT(SUM(INDEX($FK352:$ID352,1+SwaptionShift):INDEX($FK352:$ID352,SwaptionMonthsToGo+SwaptionShift))*SUM(INDEX($FK$325:$ID$396,IA$169,1+SwaptionShift):INDEX($FK$325:$ID$396,IA$169,SwaptionMonthsToGo+SwaptionShift))))))</f>
        <v/>
      </c>
      <c r="IB197" s="479" t="str">
        <f ca="1">IF(OR(IB$169&lt;SwaptionFirstMonthPosition+1,$FJ197&lt;SwaptionFirstMonthPosition+1,IB$169&gt;SwaptionFirstMonthPosition+SwaptionNumOfMonths+1,$FJ197&gt;SwaptionFirstMonthPosition+SwaptionNumOfMonths+1),"",IF($FJ197=IB$169,1,IF($FJ197&lt;IB$169,INDEX($FK$170:$ID$241,IB$169,$FJ197),SUMPRODUCT(INDEX($FK$325:$ID$396,IB$169,1+SwaptionShift):INDEX($FK$325:$ID$396,IB$169,SwaptionMonthsToGo+SwaptionShift),INDEX($FK$245:$ID$316,$FJ197-IB$169,73-IB$169+SwaptionShift):INDEX($FK$245:$ID$316,$FJ197-IB$169,72-IB$169+SwaptionMonthsToGo+SwaptionShift))/SQRT(SUM(INDEX($FK352:$ID352,1+SwaptionShift):INDEX($FK352:$ID352,SwaptionMonthsToGo+SwaptionShift))*SUM(INDEX($FK$325:$ID$396,IB$169,1+SwaptionShift):INDEX($FK$325:$ID$396,IB$169,SwaptionMonthsToGo+SwaptionShift))))))</f>
        <v/>
      </c>
      <c r="IC197" s="479" t="str">
        <f ca="1">IF(OR(IC$169&lt;SwaptionFirstMonthPosition+1,$FJ197&lt;SwaptionFirstMonthPosition+1,IC$169&gt;SwaptionFirstMonthPosition+SwaptionNumOfMonths+1,$FJ197&gt;SwaptionFirstMonthPosition+SwaptionNumOfMonths+1),"",IF($FJ197=IC$169,1,IF($FJ197&lt;IC$169,INDEX($FK$170:$ID$241,IC$169,$FJ197),SUMPRODUCT(INDEX($FK$325:$ID$396,IC$169,1+SwaptionShift):INDEX($FK$325:$ID$396,IC$169,SwaptionMonthsToGo+SwaptionShift),INDEX($FK$245:$ID$316,$FJ197-IC$169,73-IC$169+SwaptionShift):INDEX($FK$245:$ID$316,$FJ197-IC$169,72-IC$169+SwaptionMonthsToGo+SwaptionShift))/SQRT(SUM(INDEX($FK352:$ID352,1+SwaptionShift):INDEX($FK352:$ID352,SwaptionMonthsToGo+SwaptionShift))*SUM(INDEX($FK$325:$ID$396,IC$169,1+SwaptionShift):INDEX($FK$325:$ID$396,IC$169,SwaptionMonthsToGo+SwaptionShift))))))</f>
        <v/>
      </c>
      <c r="ID197" s="678" t="str">
        <f ca="1">IF(OR(ID$169&lt;SwaptionFirstMonthPosition+1,$FJ197&lt;SwaptionFirstMonthPosition+1,ID$169&gt;SwaptionFirstMonthPosition+SwaptionNumOfMonths+1,$FJ197&gt;SwaptionFirstMonthPosition+SwaptionNumOfMonths+1),"",IF($FJ197=ID$169,1,IF($FJ197&lt;ID$169,INDEX($FK$170:$ID$241,ID$169,$FJ197),SUMPRODUCT(INDEX($FK$325:$ID$396,ID$169,1+SwaptionShift):INDEX($FK$325:$ID$396,ID$169,SwaptionMonthsToGo+SwaptionShift),INDEX($FK$245:$ID$316,$FJ197-ID$169,73-ID$169+SwaptionShift):INDEX($FK$245:$ID$316,$FJ197-ID$169,72-ID$169+SwaptionMonthsToGo+SwaptionShift))/SQRT(SUM(INDEX($FK352:$ID352,1+SwaptionShift):INDEX($FK352:$ID352,SwaptionMonthsToGo+SwaptionShift))*SUM(INDEX($FK$325:$ID$396,ID$169,1+SwaptionShift):INDEX($FK$325:$ID$396,ID$169,SwaptionMonthsToGo+SwaptionShift))))))</f>
        <v/>
      </c>
      <c r="IE197" s="250"/>
    </row>
    <row r="198" spans="8:239">
      <c r="H198" s="51">
        <f t="shared" ca="1" si="527"/>
        <v>0</v>
      </c>
      <c r="I198" s="379">
        <f t="shared" si="528"/>
        <v>42186</v>
      </c>
      <c r="J198" s="377"/>
      <c r="K198" s="104" t="s">
        <v>268</v>
      </c>
      <c r="L198" s="392">
        <f t="shared" si="529"/>
        <v>3.8250000000000064</v>
      </c>
      <c r="M198" s="171"/>
      <c r="N198" s="382">
        <v>0</v>
      </c>
      <c r="O198" s="171">
        <f t="shared" si="596"/>
        <v>0</v>
      </c>
      <c r="P198" s="377"/>
      <c r="Q198" s="104" t="s">
        <v>268</v>
      </c>
      <c r="R198" s="377">
        <f t="shared" ca="1" si="597"/>
        <v>2.6296949713789561</v>
      </c>
      <c r="S198" s="832">
        <f t="shared" si="564"/>
        <v>0.3600000000000001</v>
      </c>
      <c r="T198" s="831">
        <f t="shared" si="548"/>
        <v>0.99999999999991274</v>
      </c>
      <c r="U198" s="545">
        <f t="shared" si="549"/>
        <v>0.99999999999999978</v>
      </c>
      <c r="V198" s="389">
        <v>0</v>
      </c>
      <c r="W198" s="434">
        <f t="shared" si="598"/>
        <v>0</v>
      </c>
      <c r="X198" s="415">
        <f t="shared" si="599"/>
        <v>3.8771739130434848</v>
      </c>
      <c r="Y198" s="322">
        <f t="shared" si="600"/>
        <v>-1.2668999999999999</v>
      </c>
      <c r="Z198" s="322">
        <f t="shared" ca="1" si="601"/>
        <v>2.6102739130434847</v>
      </c>
      <c r="AA198" s="429">
        <f t="shared" si="495"/>
        <v>1.2668999999999999</v>
      </c>
      <c r="AB198" s="433">
        <f t="shared" ca="1" si="496"/>
        <v>1.2668999999999999</v>
      </c>
      <c r="AC198" s="229">
        <v>42175</v>
      </c>
      <c r="AD198" s="229">
        <v>42171</v>
      </c>
      <c r="AE198" s="229">
        <v>42170</v>
      </c>
      <c r="AF198" s="229">
        <v>42166</v>
      </c>
      <c r="AG198" s="249" t="s">
        <v>499</v>
      </c>
      <c r="AH198" s="247" t="s">
        <v>499</v>
      </c>
      <c r="AI198" s="146">
        <v>23</v>
      </c>
      <c r="AJ198" s="41">
        <v>14</v>
      </c>
      <c r="AK198" s="41">
        <v>9</v>
      </c>
      <c r="AL198" s="293">
        <v>23</v>
      </c>
      <c r="AM198" s="41">
        <v>10</v>
      </c>
      <c r="AN198" s="147">
        <v>13</v>
      </c>
      <c r="AO198" s="374"/>
      <c r="AP198" s="153">
        <f t="shared" ca="1" si="530"/>
        <v>1</v>
      </c>
      <c r="AQ198" s="374"/>
      <c r="AR198" s="153">
        <f t="shared" ca="1" si="550"/>
        <v>1</v>
      </c>
      <c r="AS198" s="272">
        <f t="shared" si="602"/>
        <v>0</v>
      </c>
      <c r="AT198" s="157">
        <f t="shared" si="531"/>
        <v>0</v>
      </c>
      <c r="AU198" s="157">
        <f t="shared" si="498"/>
        <v>0</v>
      </c>
      <c r="AV198" s="271">
        <f t="shared" ca="1" si="558"/>
        <v>9.9999999999999995E-7</v>
      </c>
      <c r="AW198" s="158" t="str">
        <f t="shared" ca="1" si="583"/>
        <v/>
      </c>
      <c r="AX198" s="157">
        <f t="shared" ca="1" si="551"/>
        <v>6.2568209830595961E-5</v>
      </c>
      <c r="AY198" s="157">
        <f t="shared" ca="1" si="552"/>
        <v>1.4777820504762447E-5</v>
      </c>
      <c r="AZ198" s="157">
        <f t="shared" ca="1" si="553"/>
        <v>5.0065732581702799E-7</v>
      </c>
      <c r="BA198" s="157">
        <f t="shared" ca="1" si="554"/>
        <v>6.2582165727128499E-8</v>
      </c>
      <c r="BB198" s="157">
        <f t="shared" ca="1" si="555"/>
        <v>3.2630450640565367E-10</v>
      </c>
      <c r="BC198" s="157">
        <f t="shared" ca="1" si="556"/>
        <v>7.833054934194693E-12</v>
      </c>
      <c r="BD198" s="151">
        <f t="shared" ca="1" si="603"/>
        <v>0</v>
      </c>
      <c r="BE198" s="152">
        <f t="shared" ca="1" si="604"/>
        <v>0</v>
      </c>
      <c r="BF198" s="40">
        <f t="shared" si="605"/>
        <v>2015</v>
      </c>
      <c r="BG198" s="144">
        <f t="shared" si="606"/>
        <v>7</v>
      </c>
      <c r="BH198" s="145">
        <f t="shared" ca="1" si="607"/>
        <v>5426</v>
      </c>
      <c r="BI198" s="313">
        <f t="shared" ca="1" si="608"/>
        <v>14.896646132785763</v>
      </c>
      <c r="BJ198" s="42">
        <f t="shared" ca="1" si="505"/>
        <v>14.946641668898609</v>
      </c>
      <c r="BK198" s="42">
        <f t="shared" ca="1" si="506"/>
        <v>14.949379519685742</v>
      </c>
      <c r="BL198" s="42">
        <f t="shared" ca="1" si="609"/>
        <v>14.978781656399725</v>
      </c>
      <c r="BM198" s="150" t="e">
        <f t="shared" ca="1" si="507"/>
        <v>#DIV/0!</v>
      </c>
      <c r="BN198" s="42" t="e">
        <f t="shared" ca="1" si="508"/>
        <v>#DIV/0!</v>
      </c>
      <c r="BO198" s="293">
        <f t="shared" si="610"/>
        <v>23</v>
      </c>
      <c r="BP198" s="41">
        <f t="shared" si="611"/>
        <v>14</v>
      </c>
      <c r="BQ198" s="41">
        <f t="shared" si="612"/>
        <v>9</v>
      </c>
      <c r="BR198" s="305" t="str">
        <f t="shared" ca="1" si="509"/>
        <v/>
      </c>
      <c r="BS198" s="305" t="str">
        <f t="shared" ca="1" si="613"/>
        <v/>
      </c>
      <c r="BT198" s="307" t="str">
        <f t="shared" ca="1" si="614"/>
        <v/>
      </c>
      <c r="BU198" s="161" t="str">
        <f t="shared" ca="1" si="510"/>
        <v/>
      </c>
      <c r="BV198" s="161" t="str">
        <f t="shared" ca="1" si="511"/>
        <v/>
      </c>
      <c r="BW198" s="308" t="str">
        <f t="shared" ca="1" si="512"/>
        <v/>
      </c>
      <c r="BX198" s="309" t="str">
        <f t="shared" ca="1" si="513"/>
        <v/>
      </c>
      <c r="BY198" s="308" t="str">
        <f t="shared" ca="1" si="615"/>
        <v/>
      </c>
      <c r="BZ198" s="309" t="str">
        <f t="shared" ca="1" si="616"/>
        <v/>
      </c>
      <c r="CA198" s="154" t="str">
        <f t="shared" ca="1" si="514"/>
        <v/>
      </c>
      <c r="CB198" s="154" t="str">
        <f t="shared" ca="1" si="515"/>
        <v/>
      </c>
      <c r="CC198" s="154" t="str">
        <f t="shared" ca="1" si="516"/>
        <v/>
      </c>
      <c r="CD198" s="154" t="str">
        <f t="shared" ca="1" si="517"/>
        <v/>
      </c>
      <c r="CE198" s="310">
        <v>1</v>
      </c>
      <c r="CF198" s="162">
        <f ca="1">IF(BD198,_xll.xCrudeAPO(BU198,BV198,CA198,CB198,S199,S200,BI198,BL198,BP198,BQ198,0,Strike1,AO198,CE198,0,BL198,IF(OptControl=4,0,1),0,1),0)</f>
        <v>0</v>
      </c>
      <c r="CG198" s="163">
        <f ca="1">IF(BD198,_xll.xCrudeAPO(BU198,BV198,CA198,CB198,S199,S200,BI198,BL198,BP198,BQ198,0,Strike1,AO198,CE198,0,BL198,IF(OptControl=4,0,1),1,1)+_xll.xCrudeAPO(BU198,BV198,CA198,CB198,S199,S200,BI198,BL198,BP198,BQ198,0,Strike1,AO198,CE198,0,BL198,IF(OptControl=4,0,1),1,2)+IF(OR(VolSkewFlag=2,ABS(BS198)&lt;0.0001),0,IF(BS198&gt;0,-1,1)*CH198*Strike1/BR198^2*BY198/10%),0)</f>
        <v>0</v>
      </c>
      <c r="CH198" s="163">
        <f ca="1">IF(BD198,(_xll.xCrudeAPO(BU198,BV198,CA198,CB198,S199,S200,BI198,BL198,BP198,BQ198,0,Strike1,AO198,CE198,0,BL198,IF(OptControl=4,0,1),3,1)+_xll.xCrudeAPO(BU198,BV198,CA198,CB198,S199,S200,BI198,BL198,BP198,BQ198,0,Strike1,AO198,CE198,0,BL198,IF(OptControl=4,0,1),3,2))/100,0)</f>
        <v>0</v>
      </c>
      <c r="CI198" s="163">
        <f ca="1">IF(BD198,_xll.xCrudeAPO(BU198,BV198,CA198,CB198,S199,S200,BI198-DaysForThetaCalculation/365.25,BL198-DaysForThetaCalculation/365.25,BP198,BQ198,0,Strike1,AO198,CE198,0,BL198,IF(OptControl=4,0,1),0,1)-_xll.xCrudeAPO(BU198,BV198,CA198,CB198,S199,S200,BI198,BL198,BP198,BQ198,0,Strike1,AO198,CE198,0,BL198,IF(OptControl=4,0,1),0,1),0)</f>
        <v>0</v>
      </c>
      <c r="CJ198" s="311">
        <f ca="1">IF(BD198,_xll.xCrudeAPO(BU198,BV198,CC198,CD198,S199,S200,BI198,BL198,BP198,BQ198,0,Strike2,AO198,CE198,0,BL198,IF(OptControl=3,1,0),0,1),0)</f>
        <v>0</v>
      </c>
      <c r="CK198" s="163">
        <f ca="1">IF(BD198,_xll.xCrudeAPO(BU198,BV198,CC198,CD198,S199,S200,BI198,BL198,BP198,BQ198,0,Strike2,AO198,CE198,0,BL198,IF(OptControl=3,1,0),1,1)+_xll.xCrudeAPO(BU198,BV198,CC198,CD198,S199,S200,BI198,BL198,BP198,BQ198,0,Strike2,AO198,CE198,0,BL198,IF(OptControl=3,1,0),1,2)+IF(OR(VolSkewFlag=2,ABS(BT198)&lt;0.0001),0,IF(BT198&gt;0,-1,1)*CL198*Strike2/BR198^2*BZ198/10%),0)</f>
        <v>0</v>
      </c>
      <c r="CL198" s="163">
        <f ca="1">IF(BD198,(_xll.xCrudeAPO(BU198,BV198,CC198,CD198,S199,S200,BI198,BL198,BP198,BQ198,0,Strike2,AO198,CE198,0,BL198,IF(OptControl=3,1,0),3,1)+_xll.xCrudeAPO(BU198,BV198,CC198,CD198,S199,S200,BI198,BL198,BP198,BQ198,0,Strike2,AO198,CE198,0,BL198,IF(OptControl=3,1,0),3,2))/100,0)</f>
        <v>0</v>
      </c>
      <c r="CM198" s="164">
        <f ca="1">IF(BD198,_xll.xCrudeAPO(BU198,BV198,CC198,CD198,S199,S200,BI198-DaysForThetaCalculation/365.25,BL198-DaysForThetaCalculation/365.25,BP198,BQ198,0,Strike2,AO198,CE198,0,BL198,IF(OptControl=3,1,0),0,1)-_xll.xCrudeAPO(BU198,BV198,CC198,CD198,S199,S200,BI198,BL198,BP198,BQ198,0,Strike2,AO198,CE198,0,BL198,IF(OptControl=3,1,0),0,1),0)</f>
        <v>0</v>
      </c>
      <c r="CN198" s="53"/>
      <c r="CO198" s="796" t="str">
        <f t="shared" ca="1" si="532"/>
        <v/>
      </c>
      <c r="CP198" s="800" t="str">
        <f t="shared" ca="1" si="533"/>
        <v/>
      </c>
      <c r="CQ198" s="797" t="str">
        <f t="shared" ca="1" si="534"/>
        <v/>
      </c>
      <c r="CR198" s="797" t="str">
        <f t="shared" ca="1" si="535"/>
        <v/>
      </c>
      <c r="CS198" s="797" t="str">
        <f t="shared" ca="1" si="536"/>
        <v/>
      </c>
      <c r="CT198" s="797" t="str">
        <f t="shared" ca="1" si="537"/>
        <v/>
      </c>
      <c r="CU198" s="798" t="str">
        <f t="shared" ca="1" si="538"/>
        <v/>
      </c>
      <c r="CV198" s="799" t="str">
        <f t="shared" ca="1" si="539"/>
        <v/>
      </c>
      <c r="CW198" s="799" t="str">
        <f t="shared" ca="1" si="540"/>
        <v/>
      </c>
      <c r="CX198" s="163">
        <f ca="1">IF(BD198,_xll.EURO(CP198,Strike1,AO198,AO198,CV198,CO198,IF(OptControl=4,0,1),0),0)</f>
        <v>0</v>
      </c>
      <c r="CY198" s="163">
        <f ca="1">IF(BD198,_xll.EURO(CP198,Strike1,AO198,AO198,CV198,CO198,IF(OptControl=4,0,1),1)+IF(OR(VolSkewFlag=2,ABS(CQ198)&lt;0.0001),0,IF(CQ198&gt;0,-1,1)*CZ198*100*Strike1/CP198^2*CS198/10%),0)</f>
        <v>0</v>
      </c>
      <c r="CZ198" s="163">
        <f ca="1">IF(BD198,_xll.EURO(CP198,Strike1,AO198,AO198,CV198,CO198,IF(OptControl=4,0,1),3)/100,0)</f>
        <v>0</v>
      </c>
      <c r="DA198" s="163">
        <f ca="1">IF(BD198,_xll.EURO(CP198,Strike1,AO198,AO198,CV198,CO198,IF(OptControl=4,0,1),0)-_xll.EURO(CP198,Strike1,AO198,AO198,CV198,CO198-1,IF(OptControl=4,0,1),0),0)</f>
        <v>0</v>
      </c>
      <c r="DB198" s="163">
        <f ca="1">IF(BD198,_xll.EURO(CP198,Strike2,AO198,AO198,CW198,CO198,IF(OptControl=3,1,0),0),0)</f>
        <v>0</v>
      </c>
      <c r="DC198" s="163">
        <f ca="1">IF(BD198,_xll.EURO(CP198,Strike2,AO198,AO198,CW198,CO198,IF(OptControl=3,1,0),1)+IF(OR(VolSkewFlag=2,ABS(CR198)&lt;0.0001),0,IF(CR198&gt;0,-1,1)*DD198*100*Strike2/CP198^2*CT198/10%),0)</f>
        <v>0</v>
      </c>
      <c r="DD198" s="163">
        <f ca="1">IF(BD198,_xll.EURO(CP198,Strike2,AO198,AO198,CW198,CO198,IF(OptControl=3,1,0),3)/100,0)</f>
        <v>0</v>
      </c>
      <c r="DE198" s="164">
        <f ca="1">IF(BD198,_xll.EURO(CP198,Strike2,AO198,AO198,CW198,CO198,IF(OptControl=3,1,0),0)-_xll.EURO(CP198,Strike2,AO198,AO198,CW198,CO198-1,IF(OptControl=3,1,0),0),0)</f>
        <v>0</v>
      </c>
      <c r="DG198" s="667">
        <f t="shared" ca="1" si="541"/>
        <v>41974</v>
      </c>
      <c r="DH198" s="475">
        <v>23.060000000000073</v>
      </c>
      <c r="DI198" s="665">
        <v>23.125909090909165</v>
      </c>
      <c r="DJ198" s="666">
        <f t="shared" ca="1" si="617"/>
        <v>41974</v>
      </c>
      <c r="DK198" s="475">
        <v>21.864237656047415</v>
      </c>
      <c r="DL198" s="665">
        <v>21.932809090909164</v>
      </c>
      <c r="DM198" s="667">
        <f t="shared" ca="1" si="618"/>
        <v>41974</v>
      </c>
      <c r="DN198" s="668">
        <f t="shared" si="619"/>
        <v>21.914237656047415</v>
      </c>
      <c r="DO198" s="667">
        <f t="shared" ca="1" si="620"/>
        <v>41974</v>
      </c>
      <c r="DP198" s="579">
        <f t="shared" si="621"/>
        <v>21.932809090909164</v>
      </c>
      <c r="DQ198" s="821">
        <v>0</v>
      </c>
      <c r="DR198" s="666">
        <f t="shared" ca="1" si="622"/>
        <v>41974</v>
      </c>
      <c r="DS198" s="669">
        <v>0.11779999999999802</v>
      </c>
      <c r="DT198" s="606">
        <v>0.11700909090908894</v>
      </c>
      <c r="DU198" s="666">
        <f t="shared" ca="1" si="623"/>
        <v>41974</v>
      </c>
      <c r="DV198" s="669">
        <v>0.11779999999999802</v>
      </c>
      <c r="DW198" s="606">
        <v>0.11700909090908894</v>
      </c>
      <c r="DX198" s="667">
        <f t="shared" ca="1" si="624"/>
        <v>41974</v>
      </c>
      <c r="DY198" s="606">
        <v>0.35</v>
      </c>
      <c r="DZ198" s="667">
        <f t="shared" ca="1" si="625"/>
        <v>41974</v>
      </c>
      <c r="EA198" s="606">
        <f t="shared" si="626"/>
        <v>0.11700909090908894</v>
      </c>
      <c r="EB198" s="1"/>
      <c r="EC198" s="118" t="str">
        <f t="shared" ca="1" si="627"/>
        <v/>
      </c>
      <c r="ED198" s="119" t="str">
        <f t="shared" ca="1" si="525"/>
        <v/>
      </c>
      <c r="EE198" s="112" t="str">
        <f t="shared" ca="1" si="526"/>
        <v/>
      </c>
      <c r="EF198" s="120">
        <f ca="1">IF(BD198,_xll.xASN(BR198,Strike1,AO198,ED198,0,BO198,0,BI198,BL198,IF(OptControl=4,0,1),0),0)</f>
        <v>0</v>
      </c>
      <c r="EG198" s="111">
        <f ca="1">IF(BD198,_xll.xASN(BR198,Strike2,AO198,EE198,0,BO198,0,BI198,BL198,IF(OptControl=3,1,0),0),0)</f>
        <v>0</v>
      </c>
      <c r="EL198" s="55"/>
      <c r="EM198" s="1"/>
      <c r="EN198" s="106"/>
      <c r="EO198" s="106"/>
      <c r="EP198" s="1"/>
      <c r="EQ198" s="683" t="s">
        <v>412</v>
      </c>
      <c r="ES198" s="455"/>
      <c r="ET198" s="36"/>
      <c r="EU198" s="107"/>
      <c r="EV198" s="475"/>
      <c r="EW198" s="456"/>
      <c r="EX198" s="456"/>
      <c r="EY198" s="250"/>
      <c r="EZ198" s="250"/>
      <c r="FA198" s="250"/>
      <c r="FB198" s="250"/>
      <c r="FC198" s="250"/>
      <c r="FD198" s="250"/>
      <c r="FE198" s="250"/>
      <c r="FF198" s="250"/>
      <c r="FG198" s="250"/>
      <c r="FH198" s="250"/>
      <c r="FI198" s="250"/>
      <c r="FJ198" s="673">
        <v>29</v>
      </c>
      <c r="FK198" s="479" t="str">
        <f ca="1">IF(OR(FK$169&lt;SwaptionFirstMonthPosition+1,$FJ198&lt;SwaptionFirstMonthPosition+1,FK$169&gt;SwaptionFirstMonthPosition+SwaptionNumOfMonths+1,$FJ198&gt;SwaptionFirstMonthPosition+SwaptionNumOfMonths+1),"",IF($FJ198=FK$169,1,IF($FJ198&lt;FK$169,INDEX($FK$170:$ID$241,FK$169,$FJ198),SUMPRODUCT(INDEX($FK$325:$ID$396,FK$169,1+SwaptionShift):INDEX($FK$325:$ID$396,FK$169,SwaptionMonthsToGo+SwaptionShift),INDEX($FK$245:$ID$316,$FJ198-FK$169,73-FK$169+SwaptionShift):INDEX($FK$245:$ID$316,$FJ198-FK$169,72-FK$169+SwaptionMonthsToGo+SwaptionShift))/SQRT(SUM(INDEX($FK353:$ID353,1+SwaptionShift):INDEX($FK353:$ID353,SwaptionMonthsToGo+SwaptionShift))*SUM(INDEX($FK$325:$ID$396,FK$169,1+SwaptionShift):INDEX($FK$325:$ID$396,FK$169,SwaptionMonthsToGo+SwaptionShift))))))</f>
        <v/>
      </c>
      <c r="FL198" s="479" t="str">
        <f ca="1">IF(OR(FL$169&lt;SwaptionFirstMonthPosition+1,$FJ198&lt;SwaptionFirstMonthPosition+1,FL$169&gt;SwaptionFirstMonthPosition+SwaptionNumOfMonths+1,$FJ198&gt;SwaptionFirstMonthPosition+SwaptionNumOfMonths+1),"",IF($FJ198=FL$169,1,IF($FJ198&lt;FL$169,INDEX($FK$170:$ID$241,FL$169,$FJ198),SUMPRODUCT(INDEX($FK$325:$ID$396,FL$169,1+SwaptionShift):INDEX($FK$325:$ID$396,FL$169,SwaptionMonthsToGo+SwaptionShift),INDEX($FK$245:$ID$316,$FJ198-FL$169,73-FL$169+SwaptionShift):INDEX($FK$245:$ID$316,$FJ198-FL$169,72-FL$169+SwaptionMonthsToGo+SwaptionShift))/SQRT(SUM(INDEX($FK353:$ID353,1+SwaptionShift):INDEX($FK353:$ID353,SwaptionMonthsToGo+SwaptionShift))*SUM(INDEX($FK$325:$ID$396,FL$169,1+SwaptionShift):INDEX($FK$325:$ID$396,FL$169,SwaptionMonthsToGo+SwaptionShift))))))</f>
        <v/>
      </c>
      <c r="FM198" s="479" t="str">
        <f ca="1">IF(OR(FM$169&lt;SwaptionFirstMonthPosition+1,$FJ198&lt;SwaptionFirstMonthPosition+1,FM$169&gt;SwaptionFirstMonthPosition+SwaptionNumOfMonths+1,$FJ198&gt;SwaptionFirstMonthPosition+SwaptionNumOfMonths+1),"",IF($FJ198=FM$169,1,IF($FJ198&lt;FM$169,INDEX($FK$170:$ID$241,FM$169,$FJ198),SUMPRODUCT(INDEX($FK$325:$ID$396,FM$169,1+SwaptionShift):INDEX($FK$325:$ID$396,FM$169,SwaptionMonthsToGo+SwaptionShift),INDEX($FK$245:$ID$316,$FJ198-FM$169,73-FM$169+SwaptionShift):INDEX($FK$245:$ID$316,$FJ198-FM$169,72-FM$169+SwaptionMonthsToGo+SwaptionShift))/SQRT(SUM(INDEX($FK353:$ID353,1+SwaptionShift):INDEX($FK353:$ID353,SwaptionMonthsToGo+SwaptionShift))*SUM(INDEX($FK$325:$ID$396,FM$169,1+SwaptionShift):INDEX($FK$325:$ID$396,FM$169,SwaptionMonthsToGo+SwaptionShift))))))</f>
        <v/>
      </c>
      <c r="FN198" s="479" t="str">
        <f ca="1">IF(OR(FN$169&lt;SwaptionFirstMonthPosition+1,$FJ198&lt;SwaptionFirstMonthPosition+1,FN$169&gt;SwaptionFirstMonthPosition+SwaptionNumOfMonths+1,$FJ198&gt;SwaptionFirstMonthPosition+SwaptionNumOfMonths+1),"",IF($FJ198=FN$169,1,IF($FJ198&lt;FN$169,INDEX($FK$170:$ID$241,FN$169,$FJ198),SUMPRODUCT(INDEX($FK$325:$ID$396,FN$169,1+SwaptionShift):INDEX($FK$325:$ID$396,FN$169,SwaptionMonthsToGo+SwaptionShift),INDEX($FK$245:$ID$316,$FJ198-FN$169,73-FN$169+SwaptionShift):INDEX($FK$245:$ID$316,$FJ198-FN$169,72-FN$169+SwaptionMonthsToGo+SwaptionShift))/SQRT(SUM(INDEX($FK353:$ID353,1+SwaptionShift):INDEX($FK353:$ID353,SwaptionMonthsToGo+SwaptionShift))*SUM(INDEX($FK$325:$ID$396,FN$169,1+SwaptionShift):INDEX($FK$325:$ID$396,FN$169,SwaptionMonthsToGo+SwaptionShift))))))</f>
        <v/>
      </c>
      <c r="FO198" s="479" t="str">
        <f ca="1">IF(OR(FO$169&lt;SwaptionFirstMonthPosition+1,$FJ198&lt;SwaptionFirstMonthPosition+1,FO$169&gt;SwaptionFirstMonthPosition+SwaptionNumOfMonths+1,$FJ198&gt;SwaptionFirstMonthPosition+SwaptionNumOfMonths+1),"",IF($FJ198=FO$169,1,IF($FJ198&lt;FO$169,INDEX($FK$170:$ID$241,FO$169,$FJ198),SUMPRODUCT(INDEX($FK$325:$ID$396,FO$169,1+SwaptionShift):INDEX($FK$325:$ID$396,FO$169,SwaptionMonthsToGo+SwaptionShift),INDEX($FK$245:$ID$316,$FJ198-FO$169,73-FO$169+SwaptionShift):INDEX($FK$245:$ID$316,$FJ198-FO$169,72-FO$169+SwaptionMonthsToGo+SwaptionShift))/SQRT(SUM(INDEX($FK353:$ID353,1+SwaptionShift):INDEX($FK353:$ID353,SwaptionMonthsToGo+SwaptionShift))*SUM(INDEX($FK$325:$ID$396,FO$169,1+SwaptionShift):INDEX($FK$325:$ID$396,FO$169,SwaptionMonthsToGo+SwaptionShift))))))</f>
        <v/>
      </c>
      <c r="FP198" s="479" t="str">
        <f ca="1">IF(OR(FP$169&lt;SwaptionFirstMonthPosition+1,$FJ198&lt;SwaptionFirstMonthPosition+1,FP$169&gt;SwaptionFirstMonthPosition+SwaptionNumOfMonths+1,$FJ198&gt;SwaptionFirstMonthPosition+SwaptionNumOfMonths+1),"",IF($FJ198=FP$169,1,IF($FJ198&lt;FP$169,INDEX($FK$170:$ID$241,FP$169,$FJ198),SUMPRODUCT(INDEX($FK$325:$ID$396,FP$169,1+SwaptionShift):INDEX($FK$325:$ID$396,FP$169,SwaptionMonthsToGo+SwaptionShift),INDEX($FK$245:$ID$316,$FJ198-FP$169,73-FP$169+SwaptionShift):INDEX($FK$245:$ID$316,$FJ198-FP$169,72-FP$169+SwaptionMonthsToGo+SwaptionShift))/SQRT(SUM(INDEX($FK353:$ID353,1+SwaptionShift):INDEX($FK353:$ID353,SwaptionMonthsToGo+SwaptionShift))*SUM(INDEX($FK$325:$ID$396,FP$169,1+SwaptionShift):INDEX($FK$325:$ID$396,FP$169,SwaptionMonthsToGo+SwaptionShift))))))</f>
        <v/>
      </c>
      <c r="FQ198" s="479" t="str">
        <f ca="1">IF(OR(FQ$169&lt;SwaptionFirstMonthPosition+1,$FJ198&lt;SwaptionFirstMonthPosition+1,FQ$169&gt;SwaptionFirstMonthPosition+SwaptionNumOfMonths+1,$FJ198&gt;SwaptionFirstMonthPosition+SwaptionNumOfMonths+1),"",IF($FJ198=FQ$169,1,IF($FJ198&lt;FQ$169,INDEX($FK$170:$ID$241,FQ$169,$FJ198),SUMPRODUCT(INDEX($FK$325:$ID$396,FQ$169,1+SwaptionShift):INDEX($FK$325:$ID$396,FQ$169,SwaptionMonthsToGo+SwaptionShift),INDEX($FK$245:$ID$316,$FJ198-FQ$169,73-FQ$169+SwaptionShift):INDEX($FK$245:$ID$316,$FJ198-FQ$169,72-FQ$169+SwaptionMonthsToGo+SwaptionShift))/SQRT(SUM(INDEX($FK353:$ID353,1+SwaptionShift):INDEX($FK353:$ID353,SwaptionMonthsToGo+SwaptionShift))*SUM(INDEX($FK$325:$ID$396,FQ$169,1+SwaptionShift):INDEX($FK$325:$ID$396,FQ$169,SwaptionMonthsToGo+SwaptionShift))))))</f>
        <v/>
      </c>
      <c r="FR198" s="479" t="str">
        <f ca="1">IF(OR(FR$169&lt;SwaptionFirstMonthPosition+1,$FJ198&lt;SwaptionFirstMonthPosition+1,FR$169&gt;SwaptionFirstMonthPosition+SwaptionNumOfMonths+1,$FJ198&gt;SwaptionFirstMonthPosition+SwaptionNumOfMonths+1),"",IF($FJ198=FR$169,1,IF($FJ198&lt;FR$169,INDEX($FK$170:$ID$241,FR$169,$FJ198),SUMPRODUCT(INDEX($FK$325:$ID$396,FR$169,1+SwaptionShift):INDEX($FK$325:$ID$396,FR$169,SwaptionMonthsToGo+SwaptionShift),INDEX($FK$245:$ID$316,$FJ198-FR$169,73-FR$169+SwaptionShift):INDEX($FK$245:$ID$316,$FJ198-FR$169,72-FR$169+SwaptionMonthsToGo+SwaptionShift))/SQRT(SUM(INDEX($FK353:$ID353,1+SwaptionShift):INDEX($FK353:$ID353,SwaptionMonthsToGo+SwaptionShift))*SUM(INDEX($FK$325:$ID$396,FR$169,1+SwaptionShift):INDEX($FK$325:$ID$396,FR$169,SwaptionMonthsToGo+SwaptionShift))))))</f>
        <v/>
      </c>
      <c r="FS198" s="479" t="str">
        <f ca="1">IF(OR(FS$169&lt;SwaptionFirstMonthPosition+1,$FJ198&lt;SwaptionFirstMonthPosition+1,FS$169&gt;SwaptionFirstMonthPosition+SwaptionNumOfMonths+1,$FJ198&gt;SwaptionFirstMonthPosition+SwaptionNumOfMonths+1),"",IF($FJ198=FS$169,1,IF($FJ198&lt;FS$169,INDEX($FK$170:$ID$241,FS$169,$FJ198),SUMPRODUCT(INDEX($FK$325:$ID$396,FS$169,1+SwaptionShift):INDEX($FK$325:$ID$396,FS$169,SwaptionMonthsToGo+SwaptionShift),INDEX($FK$245:$ID$316,$FJ198-FS$169,73-FS$169+SwaptionShift):INDEX($FK$245:$ID$316,$FJ198-FS$169,72-FS$169+SwaptionMonthsToGo+SwaptionShift))/SQRT(SUM(INDEX($FK353:$ID353,1+SwaptionShift):INDEX($FK353:$ID353,SwaptionMonthsToGo+SwaptionShift))*SUM(INDEX($FK$325:$ID$396,FS$169,1+SwaptionShift):INDEX($FK$325:$ID$396,FS$169,SwaptionMonthsToGo+SwaptionShift))))))</f>
        <v/>
      </c>
      <c r="FT198" s="479" t="str">
        <f ca="1">IF(OR(FT$169&lt;SwaptionFirstMonthPosition+1,$FJ198&lt;SwaptionFirstMonthPosition+1,FT$169&gt;SwaptionFirstMonthPosition+SwaptionNumOfMonths+1,$FJ198&gt;SwaptionFirstMonthPosition+SwaptionNumOfMonths+1),"",IF($FJ198=FT$169,1,IF($FJ198&lt;FT$169,INDEX($FK$170:$ID$241,FT$169,$FJ198),SUMPRODUCT(INDEX($FK$325:$ID$396,FT$169,1+SwaptionShift):INDEX($FK$325:$ID$396,FT$169,SwaptionMonthsToGo+SwaptionShift),INDEX($FK$245:$ID$316,$FJ198-FT$169,73-FT$169+SwaptionShift):INDEX($FK$245:$ID$316,$FJ198-FT$169,72-FT$169+SwaptionMonthsToGo+SwaptionShift))/SQRT(SUM(INDEX($FK353:$ID353,1+SwaptionShift):INDEX($FK353:$ID353,SwaptionMonthsToGo+SwaptionShift))*SUM(INDEX($FK$325:$ID$396,FT$169,1+SwaptionShift):INDEX($FK$325:$ID$396,FT$169,SwaptionMonthsToGo+SwaptionShift))))))</f>
        <v/>
      </c>
      <c r="FU198" s="479" t="str">
        <f ca="1">IF(OR(FU$169&lt;SwaptionFirstMonthPosition+1,$FJ198&lt;SwaptionFirstMonthPosition+1,FU$169&gt;SwaptionFirstMonthPosition+SwaptionNumOfMonths+1,$FJ198&gt;SwaptionFirstMonthPosition+SwaptionNumOfMonths+1),"",IF($FJ198=FU$169,1,IF($FJ198&lt;FU$169,INDEX($FK$170:$ID$241,FU$169,$FJ198),SUMPRODUCT(INDEX($FK$325:$ID$396,FU$169,1+SwaptionShift):INDEX($FK$325:$ID$396,FU$169,SwaptionMonthsToGo+SwaptionShift),INDEX($FK$245:$ID$316,$FJ198-FU$169,73-FU$169+SwaptionShift):INDEX($FK$245:$ID$316,$FJ198-FU$169,72-FU$169+SwaptionMonthsToGo+SwaptionShift))/SQRT(SUM(INDEX($FK353:$ID353,1+SwaptionShift):INDEX($FK353:$ID353,SwaptionMonthsToGo+SwaptionShift))*SUM(INDEX($FK$325:$ID$396,FU$169,1+SwaptionShift):INDEX($FK$325:$ID$396,FU$169,SwaptionMonthsToGo+SwaptionShift))))))</f>
        <v/>
      </c>
      <c r="FV198" s="479" t="str">
        <f ca="1">IF(OR(FV$169&lt;SwaptionFirstMonthPosition+1,$FJ198&lt;SwaptionFirstMonthPosition+1,FV$169&gt;SwaptionFirstMonthPosition+SwaptionNumOfMonths+1,$FJ198&gt;SwaptionFirstMonthPosition+SwaptionNumOfMonths+1),"",IF($FJ198=FV$169,1,IF($FJ198&lt;FV$169,INDEX($FK$170:$ID$241,FV$169,$FJ198),SUMPRODUCT(INDEX($FK$325:$ID$396,FV$169,1+SwaptionShift):INDEX($FK$325:$ID$396,FV$169,SwaptionMonthsToGo+SwaptionShift),INDEX($FK$245:$ID$316,$FJ198-FV$169,73-FV$169+SwaptionShift):INDEX($FK$245:$ID$316,$FJ198-FV$169,72-FV$169+SwaptionMonthsToGo+SwaptionShift))/SQRT(SUM(INDEX($FK353:$ID353,1+SwaptionShift):INDEX($FK353:$ID353,SwaptionMonthsToGo+SwaptionShift))*SUM(INDEX($FK$325:$ID$396,FV$169,1+SwaptionShift):INDEX($FK$325:$ID$396,FV$169,SwaptionMonthsToGo+SwaptionShift))))))</f>
        <v/>
      </c>
      <c r="FW198" s="479" t="str">
        <f ca="1">IF(OR(FW$169&lt;SwaptionFirstMonthPosition+1,$FJ198&lt;SwaptionFirstMonthPosition+1,FW$169&gt;SwaptionFirstMonthPosition+SwaptionNumOfMonths+1,$FJ198&gt;SwaptionFirstMonthPosition+SwaptionNumOfMonths+1),"",IF($FJ198=FW$169,1,IF($FJ198&lt;FW$169,INDEX($FK$170:$ID$241,FW$169,$FJ198),SUMPRODUCT(INDEX($FK$325:$ID$396,FW$169,1+SwaptionShift):INDEX($FK$325:$ID$396,FW$169,SwaptionMonthsToGo+SwaptionShift),INDEX($FK$245:$ID$316,$FJ198-FW$169,73-FW$169+SwaptionShift):INDEX($FK$245:$ID$316,$FJ198-FW$169,72-FW$169+SwaptionMonthsToGo+SwaptionShift))/SQRT(SUM(INDEX($FK353:$ID353,1+SwaptionShift):INDEX($FK353:$ID353,SwaptionMonthsToGo+SwaptionShift))*SUM(INDEX($FK$325:$ID$396,FW$169,1+SwaptionShift):INDEX($FK$325:$ID$396,FW$169,SwaptionMonthsToGo+SwaptionShift))))))</f>
        <v/>
      </c>
      <c r="FX198" s="479" t="str">
        <f ca="1">IF(OR(FX$169&lt;SwaptionFirstMonthPosition+1,$FJ198&lt;SwaptionFirstMonthPosition+1,FX$169&gt;SwaptionFirstMonthPosition+SwaptionNumOfMonths+1,$FJ198&gt;SwaptionFirstMonthPosition+SwaptionNumOfMonths+1),"",IF($FJ198=FX$169,1,IF($FJ198&lt;FX$169,INDEX($FK$170:$ID$241,FX$169,$FJ198),SUMPRODUCT(INDEX($FK$325:$ID$396,FX$169,1+SwaptionShift):INDEX($FK$325:$ID$396,FX$169,SwaptionMonthsToGo+SwaptionShift),INDEX($FK$245:$ID$316,$FJ198-FX$169,73-FX$169+SwaptionShift):INDEX($FK$245:$ID$316,$FJ198-FX$169,72-FX$169+SwaptionMonthsToGo+SwaptionShift))/SQRT(SUM(INDEX($FK353:$ID353,1+SwaptionShift):INDEX($FK353:$ID353,SwaptionMonthsToGo+SwaptionShift))*SUM(INDEX($FK$325:$ID$396,FX$169,1+SwaptionShift):INDEX($FK$325:$ID$396,FX$169,SwaptionMonthsToGo+SwaptionShift))))))</f>
        <v/>
      </c>
      <c r="FY198" s="479" t="str">
        <f ca="1">IF(OR(FY$169&lt;SwaptionFirstMonthPosition+1,$FJ198&lt;SwaptionFirstMonthPosition+1,FY$169&gt;SwaptionFirstMonthPosition+SwaptionNumOfMonths+1,$FJ198&gt;SwaptionFirstMonthPosition+SwaptionNumOfMonths+1),"",IF($FJ198=FY$169,1,IF($FJ198&lt;FY$169,INDEX($FK$170:$ID$241,FY$169,$FJ198),SUMPRODUCT(INDEX($FK$325:$ID$396,FY$169,1+SwaptionShift):INDEX($FK$325:$ID$396,FY$169,SwaptionMonthsToGo+SwaptionShift),INDEX($FK$245:$ID$316,$FJ198-FY$169,73-FY$169+SwaptionShift):INDEX($FK$245:$ID$316,$FJ198-FY$169,72-FY$169+SwaptionMonthsToGo+SwaptionShift))/SQRT(SUM(INDEX($FK353:$ID353,1+SwaptionShift):INDEX($FK353:$ID353,SwaptionMonthsToGo+SwaptionShift))*SUM(INDEX($FK$325:$ID$396,FY$169,1+SwaptionShift):INDEX($FK$325:$ID$396,FY$169,SwaptionMonthsToGo+SwaptionShift))))))</f>
        <v/>
      </c>
      <c r="FZ198" s="479" t="str">
        <f ca="1">IF(OR(FZ$169&lt;SwaptionFirstMonthPosition+1,$FJ198&lt;SwaptionFirstMonthPosition+1,FZ$169&gt;SwaptionFirstMonthPosition+SwaptionNumOfMonths+1,$FJ198&gt;SwaptionFirstMonthPosition+SwaptionNumOfMonths+1),"",IF($FJ198=FZ$169,1,IF($FJ198&lt;FZ$169,INDEX($FK$170:$ID$241,FZ$169,$FJ198),SUMPRODUCT(INDEX($FK$325:$ID$396,FZ$169,1+SwaptionShift):INDEX($FK$325:$ID$396,FZ$169,SwaptionMonthsToGo+SwaptionShift),INDEX($FK$245:$ID$316,$FJ198-FZ$169,73-FZ$169+SwaptionShift):INDEX($FK$245:$ID$316,$FJ198-FZ$169,72-FZ$169+SwaptionMonthsToGo+SwaptionShift))/SQRT(SUM(INDEX($FK353:$ID353,1+SwaptionShift):INDEX($FK353:$ID353,SwaptionMonthsToGo+SwaptionShift))*SUM(INDEX($FK$325:$ID$396,FZ$169,1+SwaptionShift):INDEX($FK$325:$ID$396,FZ$169,SwaptionMonthsToGo+SwaptionShift))))))</f>
        <v/>
      </c>
      <c r="GA198" s="479" t="str">
        <f ca="1">IF(OR(GA$169&lt;SwaptionFirstMonthPosition+1,$FJ198&lt;SwaptionFirstMonthPosition+1,GA$169&gt;SwaptionFirstMonthPosition+SwaptionNumOfMonths+1,$FJ198&gt;SwaptionFirstMonthPosition+SwaptionNumOfMonths+1),"",IF($FJ198=GA$169,1,IF($FJ198&lt;GA$169,INDEX($FK$170:$ID$241,GA$169,$FJ198),SUMPRODUCT(INDEX($FK$325:$ID$396,GA$169,1+SwaptionShift):INDEX($FK$325:$ID$396,GA$169,SwaptionMonthsToGo+SwaptionShift),INDEX($FK$245:$ID$316,$FJ198-GA$169,73-GA$169+SwaptionShift):INDEX($FK$245:$ID$316,$FJ198-GA$169,72-GA$169+SwaptionMonthsToGo+SwaptionShift))/SQRT(SUM(INDEX($FK353:$ID353,1+SwaptionShift):INDEX($FK353:$ID353,SwaptionMonthsToGo+SwaptionShift))*SUM(INDEX($FK$325:$ID$396,GA$169,1+SwaptionShift):INDEX($FK$325:$ID$396,GA$169,SwaptionMonthsToGo+SwaptionShift))))))</f>
        <v/>
      </c>
      <c r="GB198" s="479" t="str">
        <f ca="1">IF(OR(GB$169&lt;SwaptionFirstMonthPosition+1,$FJ198&lt;SwaptionFirstMonthPosition+1,GB$169&gt;SwaptionFirstMonthPosition+SwaptionNumOfMonths+1,$FJ198&gt;SwaptionFirstMonthPosition+SwaptionNumOfMonths+1),"",IF($FJ198=GB$169,1,IF($FJ198&lt;GB$169,INDEX($FK$170:$ID$241,GB$169,$FJ198),SUMPRODUCT(INDEX($FK$325:$ID$396,GB$169,1+SwaptionShift):INDEX($FK$325:$ID$396,GB$169,SwaptionMonthsToGo+SwaptionShift),INDEX($FK$245:$ID$316,$FJ198-GB$169,73-GB$169+SwaptionShift):INDEX($FK$245:$ID$316,$FJ198-GB$169,72-GB$169+SwaptionMonthsToGo+SwaptionShift))/SQRT(SUM(INDEX($FK353:$ID353,1+SwaptionShift):INDEX($FK353:$ID353,SwaptionMonthsToGo+SwaptionShift))*SUM(INDEX($FK$325:$ID$396,GB$169,1+SwaptionShift):INDEX($FK$325:$ID$396,GB$169,SwaptionMonthsToGo+SwaptionShift))))))</f>
        <v/>
      </c>
      <c r="GC198" s="479" t="str">
        <f ca="1">IF(OR(GC$169&lt;SwaptionFirstMonthPosition+1,$FJ198&lt;SwaptionFirstMonthPosition+1,GC$169&gt;SwaptionFirstMonthPosition+SwaptionNumOfMonths+1,$FJ198&gt;SwaptionFirstMonthPosition+SwaptionNumOfMonths+1),"",IF($FJ198=GC$169,1,IF($FJ198&lt;GC$169,INDEX($FK$170:$ID$241,GC$169,$FJ198),SUMPRODUCT(INDEX($FK$325:$ID$396,GC$169,1+SwaptionShift):INDEX($FK$325:$ID$396,GC$169,SwaptionMonthsToGo+SwaptionShift),INDEX($FK$245:$ID$316,$FJ198-GC$169,73-GC$169+SwaptionShift):INDEX($FK$245:$ID$316,$FJ198-GC$169,72-GC$169+SwaptionMonthsToGo+SwaptionShift))/SQRT(SUM(INDEX($FK353:$ID353,1+SwaptionShift):INDEX($FK353:$ID353,SwaptionMonthsToGo+SwaptionShift))*SUM(INDEX($FK$325:$ID$396,GC$169,1+SwaptionShift):INDEX($FK$325:$ID$396,GC$169,SwaptionMonthsToGo+SwaptionShift))))))</f>
        <v/>
      </c>
      <c r="GD198" s="479" t="str">
        <f ca="1">IF(OR(GD$169&lt;SwaptionFirstMonthPosition+1,$FJ198&lt;SwaptionFirstMonthPosition+1,GD$169&gt;SwaptionFirstMonthPosition+SwaptionNumOfMonths+1,$FJ198&gt;SwaptionFirstMonthPosition+SwaptionNumOfMonths+1),"",IF($FJ198=GD$169,1,IF($FJ198&lt;GD$169,INDEX($FK$170:$ID$241,GD$169,$FJ198),SUMPRODUCT(INDEX($FK$325:$ID$396,GD$169,1+SwaptionShift):INDEX($FK$325:$ID$396,GD$169,SwaptionMonthsToGo+SwaptionShift),INDEX($FK$245:$ID$316,$FJ198-GD$169,73-GD$169+SwaptionShift):INDEX($FK$245:$ID$316,$FJ198-GD$169,72-GD$169+SwaptionMonthsToGo+SwaptionShift))/SQRT(SUM(INDEX($FK353:$ID353,1+SwaptionShift):INDEX($FK353:$ID353,SwaptionMonthsToGo+SwaptionShift))*SUM(INDEX($FK$325:$ID$396,GD$169,1+SwaptionShift):INDEX($FK$325:$ID$396,GD$169,SwaptionMonthsToGo+SwaptionShift))))))</f>
        <v/>
      </c>
      <c r="GE198" s="479" t="str">
        <f ca="1">IF(OR(GE$169&lt;SwaptionFirstMonthPosition+1,$FJ198&lt;SwaptionFirstMonthPosition+1,GE$169&gt;SwaptionFirstMonthPosition+SwaptionNumOfMonths+1,$FJ198&gt;SwaptionFirstMonthPosition+SwaptionNumOfMonths+1),"",IF($FJ198=GE$169,1,IF($FJ198&lt;GE$169,INDEX($FK$170:$ID$241,GE$169,$FJ198),SUMPRODUCT(INDEX($FK$325:$ID$396,GE$169,1+SwaptionShift):INDEX($FK$325:$ID$396,GE$169,SwaptionMonthsToGo+SwaptionShift),INDEX($FK$245:$ID$316,$FJ198-GE$169,73-GE$169+SwaptionShift):INDEX($FK$245:$ID$316,$FJ198-GE$169,72-GE$169+SwaptionMonthsToGo+SwaptionShift))/SQRT(SUM(INDEX($FK353:$ID353,1+SwaptionShift):INDEX($FK353:$ID353,SwaptionMonthsToGo+SwaptionShift))*SUM(INDEX($FK$325:$ID$396,GE$169,1+SwaptionShift):INDEX($FK$325:$ID$396,GE$169,SwaptionMonthsToGo+SwaptionShift))))))</f>
        <v/>
      </c>
      <c r="GF198" s="479" t="str">
        <f ca="1">IF(OR(GF$169&lt;SwaptionFirstMonthPosition+1,$FJ198&lt;SwaptionFirstMonthPosition+1,GF$169&gt;SwaptionFirstMonthPosition+SwaptionNumOfMonths+1,$FJ198&gt;SwaptionFirstMonthPosition+SwaptionNumOfMonths+1),"",IF($FJ198=GF$169,1,IF($FJ198&lt;GF$169,INDEX($FK$170:$ID$241,GF$169,$FJ198),SUMPRODUCT(INDEX($FK$325:$ID$396,GF$169,1+SwaptionShift):INDEX($FK$325:$ID$396,GF$169,SwaptionMonthsToGo+SwaptionShift),INDEX($FK$245:$ID$316,$FJ198-GF$169,73-GF$169+SwaptionShift):INDEX($FK$245:$ID$316,$FJ198-GF$169,72-GF$169+SwaptionMonthsToGo+SwaptionShift))/SQRT(SUM(INDEX($FK353:$ID353,1+SwaptionShift):INDEX($FK353:$ID353,SwaptionMonthsToGo+SwaptionShift))*SUM(INDEX($FK$325:$ID$396,GF$169,1+SwaptionShift):INDEX($FK$325:$ID$396,GF$169,SwaptionMonthsToGo+SwaptionShift))))))</f>
        <v/>
      </c>
      <c r="GG198" s="479" t="str">
        <f ca="1">IF(OR(GG$169&lt;SwaptionFirstMonthPosition+1,$FJ198&lt;SwaptionFirstMonthPosition+1,GG$169&gt;SwaptionFirstMonthPosition+SwaptionNumOfMonths+1,$FJ198&gt;SwaptionFirstMonthPosition+SwaptionNumOfMonths+1),"",IF($FJ198=GG$169,1,IF($FJ198&lt;GG$169,INDEX($FK$170:$ID$241,GG$169,$FJ198),SUMPRODUCT(INDEX($FK$325:$ID$396,GG$169,1+SwaptionShift):INDEX($FK$325:$ID$396,GG$169,SwaptionMonthsToGo+SwaptionShift),INDEX($FK$245:$ID$316,$FJ198-GG$169,73-GG$169+SwaptionShift):INDEX($FK$245:$ID$316,$FJ198-GG$169,72-GG$169+SwaptionMonthsToGo+SwaptionShift))/SQRT(SUM(INDEX($FK353:$ID353,1+SwaptionShift):INDEX($FK353:$ID353,SwaptionMonthsToGo+SwaptionShift))*SUM(INDEX($FK$325:$ID$396,GG$169,1+SwaptionShift):INDEX($FK$325:$ID$396,GG$169,SwaptionMonthsToGo+SwaptionShift))))))</f>
        <v/>
      </c>
      <c r="GH198" s="479" t="str">
        <f ca="1">IF(OR(GH$169&lt;SwaptionFirstMonthPosition+1,$FJ198&lt;SwaptionFirstMonthPosition+1,GH$169&gt;SwaptionFirstMonthPosition+SwaptionNumOfMonths+1,$FJ198&gt;SwaptionFirstMonthPosition+SwaptionNumOfMonths+1),"",IF($FJ198=GH$169,1,IF($FJ198&lt;GH$169,INDEX($FK$170:$ID$241,GH$169,$FJ198),SUMPRODUCT(INDEX($FK$325:$ID$396,GH$169,1+SwaptionShift):INDEX($FK$325:$ID$396,GH$169,SwaptionMonthsToGo+SwaptionShift),INDEX($FK$245:$ID$316,$FJ198-GH$169,73-GH$169+SwaptionShift):INDEX($FK$245:$ID$316,$FJ198-GH$169,72-GH$169+SwaptionMonthsToGo+SwaptionShift))/SQRT(SUM(INDEX($FK353:$ID353,1+SwaptionShift):INDEX($FK353:$ID353,SwaptionMonthsToGo+SwaptionShift))*SUM(INDEX($FK$325:$ID$396,GH$169,1+SwaptionShift):INDEX($FK$325:$ID$396,GH$169,SwaptionMonthsToGo+SwaptionShift))))))</f>
        <v/>
      </c>
      <c r="GI198" s="479" t="str">
        <f ca="1">IF(OR(GI$169&lt;SwaptionFirstMonthPosition+1,$FJ198&lt;SwaptionFirstMonthPosition+1,GI$169&gt;SwaptionFirstMonthPosition+SwaptionNumOfMonths+1,$FJ198&gt;SwaptionFirstMonthPosition+SwaptionNumOfMonths+1),"",IF($FJ198=GI$169,1,IF($FJ198&lt;GI$169,INDEX($FK$170:$ID$241,GI$169,$FJ198),SUMPRODUCT(INDEX($FK$325:$ID$396,GI$169,1+SwaptionShift):INDEX($FK$325:$ID$396,GI$169,SwaptionMonthsToGo+SwaptionShift),INDEX($FK$245:$ID$316,$FJ198-GI$169,73-GI$169+SwaptionShift):INDEX($FK$245:$ID$316,$FJ198-GI$169,72-GI$169+SwaptionMonthsToGo+SwaptionShift))/SQRT(SUM(INDEX($FK353:$ID353,1+SwaptionShift):INDEX($FK353:$ID353,SwaptionMonthsToGo+SwaptionShift))*SUM(INDEX($FK$325:$ID$396,GI$169,1+SwaptionShift):INDEX($FK$325:$ID$396,GI$169,SwaptionMonthsToGo+SwaptionShift))))))</f>
        <v/>
      </c>
      <c r="GJ198" s="479" t="str">
        <f ca="1">IF(OR(GJ$169&lt;SwaptionFirstMonthPosition+1,$FJ198&lt;SwaptionFirstMonthPosition+1,GJ$169&gt;SwaptionFirstMonthPosition+SwaptionNumOfMonths+1,$FJ198&gt;SwaptionFirstMonthPosition+SwaptionNumOfMonths+1),"",IF($FJ198=GJ$169,1,IF($FJ198&lt;GJ$169,INDEX($FK$170:$ID$241,GJ$169,$FJ198),SUMPRODUCT(INDEX($FK$325:$ID$396,GJ$169,1+SwaptionShift):INDEX($FK$325:$ID$396,GJ$169,SwaptionMonthsToGo+SwaptionShift),INDEX($FK$245:$ID$316,$FJ198-GJ$169,73-GJ$169+SwaptionShift):INDEX($FK$245:$ID$316,$FJ198-GJ$169,72-GJ$169+SwaptionMonthsToGo+SwaptionShift))/SQRT(SUM(INDEX($FK353:$ID353,1+SwaptionShift):INDEX($FK353:$ID353,SwaptionMonthsToGo+SwaptionShift))*SUM(INDEX($FK$325:$ID$396,GJ$169,1+SwaptionShift):INDEX($FK$325:$ID$396,GJ$169,SwaptionMonthsToGo+SwaptionShift))))))</f>
        <v/>
      </c>
      <c r="GK198" s="479" t="str">
        <f ca="1">IF(OR(GK$169&lt;SwaptionFirstMonthPosition+1,$FJ198&lt;SwaptionFirstMonthPosition+1,GK$169&gt;SwaptionFirstMonthPosition+SwaptionNumOfMonths+1,$FJ198&gt;SwaptionFirstMonthPosition+SwaptionNumOfMonths+1),"",IF($FJ198=GK$169,1,IF($FJ198&lt;GK$169,INDEX($FK$170:$ID$241,GK$169,$FJ198),SUMPRODUCT(INDEX($FK$325:$ID$396,GK$169,1+SwaptionShift):INDEX($FK$325:$ID$396,GK$169,SwaptionMonthsToGo+SwaptionShift),INDEX($FK$245:$ID$316,$FJ198-GK$169,73-GK$169+SwaptionShift):INDEX($FK$245:$ID$316,$FJ198-GK$169,72-GK$169+SwaptionMonthsToGo+SwaptionShift))/SQRT(SUM(INDEX($FK353:$ID353,1+SwaptionShift):INDEX($FK353:$ID353,SwaptionMonthsToGo+SwaptionShift))*SUM(INDEX($FK$325:$ID$396,GK$169,1+SwaptionShift):INDEX($FK$325:$ID$396,GK$169,SwaptionMonthsToGo+SwaptionShift))))))</f>
        <v/>
      </c>
      <c r="GL198" s="479" t="str">
        <f ca="1">IF(OR(GL$169&lt;SwaptionFirstMonthPosition+1,$FJ198&lt;SwaptionFirstMonthPosition+1,GL$169&gt;SwaptionFirstMonthPosition+SwaptionNumOfMonths+1,$FJ198&gt;SwaptionFirstMonthPosition+SwaptionNumOfMonths+1),"",IF($FJ198=GL$169,1,IF($FJ198&lt;GL$169,INDEX($FK$170:$ID$241,GL$169,$FJ198),SUMPRODUCT(INDEX($FK$325:$ID$396,GL$169,1+SwaptionShift):INDEX($FK$325:$ID$396,GL$169,SwaptionMonthsToGo+SwaptionShift),INDEX($FK$245:$ID$316,$FJ198-GL$169,73-GL$169+SwaptionShift):INDEX($FK$245:$ID$316,$FJ198-GL$169,72-GL$169+SwaptionMonthsToGo+SwaptionShift))/SQRT(SUM(INDEX($FK353:$ID353,1+SwaptionShift):INDEX($FK353:$ID353,SwaptionMonthsToGo+SwaptionShift))*SUM(INDEX($FK$325:$ID$396,GL$169,1+SwaptionShift):INDEX($FK$325:$ID$396,GL$169,SwaptionMonthsToGo+SwaptionShift))))))</f>
        <v/>
      </c>
      <c r="GM198" s="479" t="str">
        <f ca="1">IF(OR(GM$169&lt;SwaptionFirstMonthPosition+1,$FJ198&lt;SwaptionFirstMonthPosition+1,GM$169&gt;SwaptionFirstMonthPosition+SwaptionNumOfMonths+1,$FJ198&gt;SwaptionFirstMonthPosition+SwaptionNumOfMonths+1),"",IF($FJ198=GM$169,1,IF($FJ198&lt;GM$169,INDEX($FK$170:$ID$241,GM$169,$FJ198),SUMPRODUCT(INDEX($FK$325:$ID$396,GM$169,1+SwaptionShift):INDEX($FK$325:$ID$396,GM$169,SwaptionMonthsToGo+SwaptionShift),INDEX($FK$245:$ID$316,$FJ198-GM$169,73-GM$169+SwaptionShift):INDEX($FK$245:$ID$316,$FJ198-GM$169,72-GM$169+SwaptionMonthsToGo+SwaptionShift))/SQRT(SUM(INDEX($FK353:$ID353,1+SwaptionShift):INDEX($FK353:$ID353,SwaptionMonthsToGo+SwaptionShift))*SUM(INDEX($FK$325:$ID$396,GM$169,1+SwaptionShift):INDEX($FK$325:$ID$396,GM$169,SwaptionMonthsToGo+SwaptionShift))))))</f>
        <v/>
      </c>
      <c r="GN198" s="479" t="str">
        <f ca="1">IF(OR(GN$169&lt;SwaptionFirstMonthPosition+1,$FJ198&lt;SwaptionFirstMonthPosition+1,GN$169&gt;SwaptionFirstMonthPosition+SwaptionNumOfMonths+1,$FJ198&gt;SwaptionFirstMonthPosition+SwaptionNumOfMonths+1),"",IF($FJ198=GN$169,1,IF($FJ198&lt;GN$169,INDEX($FK$170:$ID$241,GN$169,$FJ198),SUMPRODUCT(INDEX($FK$325:$ID$396,GN$169,1+SwaptionShift):INDEX($FK$325:$ID$396,GN$169,SwaptionMonthsToGo+SwaptionShift),INDEX($FK$245:$ID$316,$FJ198-GN$169,73-GN$169+SwaptionShift):INDEX($FK$245:$ID$316,$FJ198-GN$169,72-GN$169+SwaptionMonthsToGo+SwaptionShift))/SQRT(SUM(INDEX($FK353:$ID353,1+SwaptionShift):INDEX($FK353:$ID353,SwaptionMonthsToGo+SwaptionShift))*SUM(INDEX($FK$325:$ID$396,GN$169,1+SwaptionShift):INDEX($FK$325:$ID$396,GN$169,SwaptionMonthsToGo+SwaptionShift))))))</f>
        <v/>
      </c>
      <c r="GO198" s="479" t="str">
        <f ca="1">IF(OR(GO$169&lt;SwaptionFirstMonthPosition+1,$FJ198&lt;SwaptionFirstMonthPosition+1,GO$169&gt;SwaptionFirstMonthPosition+SwaptionNumOfMonths+1,$FJ198&gt;SwaptionFirstMonthPosition+SwaptionNumOfMonths+1),"",IF($FJ198=GO$169,1,IF($FJ198&lt;GO$169,INDEX($FK$170:$ID$241,GO$169,$FJ198),SUMPRODUCT(INDEX($FK$325:$ID$396,GO$169,1+SwaptionShift):INDEX($FK$325:$ID$396,GO$169,SwaptionMonthsToGo+SwaptionShift),INDEX($FK$245:$ID$316,$FJ198-GO$169,73-GO$169+SwaptionShift):INDEX($FK$245:$ID$316,$FJ198-GO$169,72-GO$169+SwaptionMonthsToGo+SwaptionShift))/SQRT(SUM(INDEX($FK353:$ID353,1+SwaptionShift):INDEX($FK353:$ID353,SwaptionMonthsToGo+SwaptionShift))*SUM(INDEX($FK$325:$ID$396,GO$169,1+SwaptionShift):INDEX($FK$325:$ID$396,GO$169,SwaptionMonthsToGo+SwaptionShift))))))</f>
        <v/>
      </c>
      <c r="GP198" s="479" t="str">
        <f ca="1">IF(OR(GP$169&lt;SwaptionFirstMonthPosition+1,$FJ198&lt;SwaptionFirstMonthPosition+1,GP$169&gt;SwaptionFirstMonthPosition+SwaptionNumOfMonths+1,$FJ198&gt;SwaptionFirstMonthPosition+SwaptionNumOfMonths+1),"",IF($FJ198=GP$169,1,IF($FJ198&lt;GP$169,INDEX($FK$170:$ID$241,GP$169,$FJ198),SUMPRODUCT(INDEX($FK$325:$ID$396,GP$169,1+SwaptionShift):INDEX($FK$325:$ID$396,GP$169,SwaptionMonthsToGo+SwaptionShift),INDEX($FK$245:$ID$316,$FJ198-GP$169,73-GP$169+SwaptionShift):INDEX($FK$245:$ID$316,$FJ198-GP$169,72-GP$169+SwaptionMonthsToGo+SwaptionShift))/SQRT(SUM(INDEX($FK353:$ID353,1+SwaptionShift):INDEX($FK353:$ID353,SwaptionMonthsToGo+SwaptionShift))*SUM(INDEX($FK$325:$ID$396,GP$169,1+SwaptionShift):INDEX($FK$325:$ID$396,GP$169,SwaptionMonthsToGo+SwaptionShift))))))</f>
        <v/>
      </c>
      <c r="GQ198" s="479" t="str">
        <f ca="1">IF(OR(GQ$169&lt;SwaptionFirstMonthPosition+1,$FJ198&lt;SwaptionFirstMonthPosition+1,GQ$169&gt;SwaptionFirstMonthPosition+SwaptionNumOfMonths+1,$FJ198&gt;SwaptionFirstMonthPosition+SwaptionNumOfMonths+1),"",IF($FJ198=GQ$169,1,IF($FJ198&lt;GQ$169,INDEX($FK$170:$ID$241,GQ$169,$FJ198),SUMPRODUCT(INDEX($FK$325:$ID$396,GQ$169,1+SwaptionShift):INDEX($FK$325:$ID$396,GQ$169,SwaptionMonthsToGo+SwaptionShift),INDEX($FK$245:$ID$316,$FJ198-GQ$169,73-GQ$169+SwaptionShift):INDEX($FK$245:$ID$316,$FJ198-GQ$169,72-GQ$169+SwaptionMonthsToGo+SwaptionShift))/SQRT(SUM(INDEX($FK353:$ID353,1+SwaptionShift):INDEX($FK353:$ID353,SwaptionMonthsToGo+SwaptionShift))*SUM(INDEX($FK$325:$ID$396,GQ$169,1+SwaptionShift):INDEX($FK$325:$ID$396,GQ$169,SwaptionMonthsToGo+SwaptionShift))))))</f>
        <v/>
      </c>
      <c r="GR198" s="479" t="str">
        <f ca="1">IF(OR(GR$169&lt;SwaptionFirstMonthPosition+1,$FJ198&lt;SwaptionFirstMonthPosition+1,GR$169&gt;SwaptionFirstMonthPosition+SwaptionNumOfMonths+1,$FJ198&gt;SwaptionFirstMonthPosition+SwaptionNumOfMonths+1),"",IF($FJ198=GR$169,1,IF($FJ198&lt;GR$169,INDEX($FK$170:$ID$241,GR$169,$FJ198),SUMPRODUCT(INDEX($FK$325:$ID$396,GR$169,1+SwaptionShift):INDEX($FK$325:$ID$396,GR$169,SwaptionMonthsToGo+SwaptionShift),INDEX($FK$245:$ID$316,$FJ198-GR$169,73-GR$169+SwaptionShift):INDEX($FK$245:$ID$316,$FJ198-GR$169,72-GR$169+SwaptionMonthsToGo+SwaptionShift))/SQRT(SUM(INDEX($FK353:$ID353,1+SwaptionShift):INDEX($FK353:$ID353,SwaptionMonthsToGo+SwaptionShift))*SUM(INDEX($FK$325:$ID$396,GR$169,1+SwaptionShift):INDEX($FK$325:$ID$396,GR$169,SwaptionMonthsToGo+SwaptionShift))))))</f>
        <v/>
      </c>
      <c r="GS198" s="479" t="str">
        <f ca="1">IF(OR(GS$169&lt;SwaptionFirstMonthPosition+1,$FJ198&lt;SwaptionFirstMonthPosition+1,GS$169&gt;SwaptionFirstMonthPosition+SwaptionNumOfMonths+1,$FJ198&gt;SwaptionFirstMonthPosition+SwaptionNumOfMonths+1),"",IF($FJ198=GS$169,1,IF($FJ198&lt;GS$169,INDEX($FK$170:$ID$241,GS$169,$FJ198),SUMPRODUCT(INDEX($FK$325:$ID$396,GS$169,1+SwaptionShift):INDEX($FK$325:$ID$396,GS$169,SwaptionMonthsToGo+SwaptionShift),INDEX($FK$245:$ID$316,$FJ198-GS$169,73-GS$169+SwaptionShift):INDEX($FK$245:$ID$316,$FJ198-GS$169,72-GS$169+SwaptionMonthsToGo+SwaptionShift))/SQRT(SUM(INDEX($FK353:$ID353,1+SwaptionShift):INDEX($FK353:$ID353,SwaptionMonthsToGo+SwaptionShift))*SUM(INDEX($FK$325:$ID$396,GS$169,1+SwaptionShift):INDEX($FK$325:$ID$396,GS$169,SwaptionMonthsToGo+SwaptionShift))))))</f>
        <v/>
      </c>
      <c r="GT198" s="479" t="str">
        <f ca="1">IF(OR(GT$169&lt;SwaptionFirstMonthPosition+1,$FJ198&lt;SwaptionFirstMonthPosition+1,GT$169&gt;SwaptionFirstMonthPosition+SwaptionNumOfMonths+1,$FJ198&gt;SwaptionFirstMonthPosition+SwaptionNumOfMonths+1),"",IF($FJ198=GT$169,1,IF($FJ198&lt;GT$169,INDEX($FK$170:$ID$241,GT$169,$FJ198),SUMPRODUCT(INDEX($FK$325:$ID$396,GT$169,1+SwaptionShift):INDEX($FK$325:$ID$396,GT$169,SwaptionMonthsToGo+SwaptionShift),INDEX($FK$245:$ID$316,$FJ198-GT$169,73-GT$169+SwaptionShift):INDEX($FK$245:$ID$316,$FJ198-GT$169,72-GT$169+SwaptionMonthsToGo+SwaptionShift))/SQRT(SUM(INDEX($FK353:$ID353,1+SwaptionShift):INDEX($FK353:$ID353,SwaptionMonthsToGo+SwaptionShift))*SUM(INDEX($FK$325:$ID$396,GT$169,1+SwaptionShift):INDEX($FK$325:$ID$396,GT$169,SwaptionMonthsToGo+SwaptionShift))))))</f>
        <v/>
      </c>
      <c r="GU198" s="479" t="str">
        <f ca="1">IF(OR(GU$169&lt;SwaptionFirstMonthPosition+1,$FJ198&lt;SwaptionFirstMonthPosition+1,GU$169&gt;SwaptionFirstMonthPosition+SwaptionNumOfMonths+1,$FJ198&gt;SwaptionFirstMonthPosition+SwaptionNumOfMonths+1),"",IF($FJ198=GU$169,1,IF($FJ198&lt;GU$169,INDEX($FK$170:$ID$241,GU$169,$FJ198),SUMPRODUCT(INDEX($FK$325:$ID$396,GU$169,1+SwaptionShift):INDEX($FK$325:$ID$396,GU$169,SwaptionMonthsToGo+SwaptionShift),INDEX($FK$245:$ID$316,$FJ198-GU$169,73-GU$169+SwaptionShift):INDEX($FK$245:$ID$316,$FJ198-GU$169,72-GU$169+SwaptionMonthsToGo+SwaptionShift))/SQRT(SUM(INDEX($FK353:$ID353,1+SwaptionShift):INDEX($FK353:$ID353,SwaptionMonthsToGo+SwaptionShift))*SUM(INDEX($FK$325:$ID$396,GU$169,1+SwaptionShift):INDEX($FK$325:$ID$396,GU$169,SwaptionMonthsToGo+SwaptionShift))))))</f>
        <v/>
      </c>
      <c r="GV198" s="479" t="str">
        <f ca="1">IF(OR(GV$169&lt;SwaptionFirstMonthPosition+1,$FJ198&lt;SwaptionFirstMonthPosition+1,GV$169&gt;SwaptionFirstMonthPosition+SwaptionNumOfMonths+1,$FJ198&gt;SwaptionFirstMonthPosition+SwaptionNumOfMonths+1),"",IF($FJ198=GV$169,1,IF($FJ198&lt;GV$169,INDEX($FK$170:$ID$241,GV$169,$FJ198),SUMPRODUCT(INDEX($FK$325:$ID$396,GV$169,1+SwaptionShift):INDEX($FK$325:$ID$396,GV$169,SwaptionMonthsToGo+SwaptionShift),INDEX($FK$245:$ID$316,$FJ198-GV$169,73-GV$169+SwaptionShift):INDEX($FK$245:$ID$316,$FJ198-GV$169,72-GV$169+SwaptionMonthsToGo+SwaptionShift))/SQRT(SUM(INDEX($FK353:$ID353,1+SwaptionShift):INDEX($FK353:$ID353,SwaptionMonthsToGo+SwaptionShift))*SUM(INDEX($FK$325:$ID$396,GV$169,1+SwaptionShift):INDEX($FK$325:$ID$396,GV$169,SwaptionMonthsToGo+SwaptionShift))))))</f>
        <v/>
      </c>
      <c r="GW198" s="479" t="str">
        <f ca="1">IF(OR(GW$169&lt;SwaptionFirstMonthPosition+1,$FJ198&lt;SwaptionFirstMonthPosition+1,GW$169&gt;SwaptionFirstMonthPosition+SwaptionNumOfMonths+1,$FJ198&gt;SwaptionFirstMonthPosition+SwaptionNumOfMonths+1),"",IF($FJ198=GW$169,1,IF($FJ198&lt;GW$169,INDEX($FK$170:$ID$241,GW$169,$FJ198),SUMPRODUCT(INDEX($FK$325:$ID$396,GW$169,1+SwaptionShift):INDEX($FK$325:$ID$396,GW$169,SwaptionMonthsToGo+SwaptionShift),INDEX($FK$245:$ID$316,$FJ198-GW$169,73-GW$169+SwaptionShift):INDEX($FK$245:$ID$316,$FJ198-GW$169,72-GW$169+SwaptionMonthsToGo+SwaptionShift))/SQRT(SUM(INDEX($FK353:$ID353,1+SwaptionShift):INDEX($FK353:$ID353,SwaptionMonthsToGo+SwaptionShift))*SUM(INDEX($FK$325:$ID$396,GW$169,1+SwaptionShift):INDEX($FK$325:$ID$396,GW$169,SwaptionMonthsToGo+SwaptionShift))))))</f>
        <v/>
      </c>
      <c r="GX198" s="479" t="str">
        <f ca="1">IF(OR(GX$169&lt;SwaptionFirstMonthPosition+1,$FJ198&lt;SwaptionFirstMonthPosition+1,GX$169&gt;SwaptionFirstMonthPosition+SwaptionNumOfMonths+1,$FJ198&gt;SwaptionFirstMonthPosition+SwaptionNumOfMonths+1),"",IF($FJ198=GX$169,1,IF($FJ198&lt;GX$169,INDEX($FK$170:$ID$241,GX$169,$FJ198),SUMPRODUCT(INDEX($FK$325:$ID$396,GX$169,1+SwaptionShift):INDEX($FK$325:$ID$396,GX$169,SwaptionMonthsToGo+SwaptionShift),INDEX($FK$245:$ID$316,$FJ198-GX$169,73-GX$169+SwaptionShift):INDEX($FK$245:$ID$316,$FJ198-GX$169,72-GX$169+SwaptionMonthsToGo+SwaptionShift))/SQRT(SUM(INDEX($FK353:$ID353,1+SwaptionShift):INDEX($FK353:$ID353,SwaptionMonthsToGo+SwaptionShift))*SUM(INDEX($FK$325:$ID$396,GX$169,1+SwaptionShift):INDEX($FK$325:$ID$396,GX$169,SwaptionMonthsToGo+SwaptionShift))))))</f>
        <v/>
      </c>
      <c r="GY198" s="479" t="str">
        <f ca="1">IF(OR(GY$169&lt;SwaptionFirstMonthPosition+1,$FJ198&lt;SwaptionFirstMonthPosition+1,GY$169&gt;SwaptionFirstMonthPosition+SwaptionNumOfMonths+1,$FJ198&gt;SwaptionFirstMonthPosition+SwaptionNumOfMonths+1),"",IF($FJ198=GY$169,1,IF($FJ198&lt;GY$169,INDEX($FK$170:$ID$241,GY$169,$FJ198),SUMPRODUCT(INDEX($FK$325:$ID$396,GY$169,1+SwaptionShift):INDEX($FK$325:$ID$396,GY$169,SwaptionMonthsToGo+SwaptionShift),INDEX($FK$245:$ID$316,$FJ198-GY$169,73-GY$169+SwaptionShift):INDEX($FK$245:$ID$316,$FJ198-GY$169,72-GY$169+SwaptionMonthsToGo+SwaptionShift))/SQRT(SUM(INDEX($FK353:$ID353,1+SwaptionShift):INDEX($FK353:$ID353,SwaptionMonthsToGo+SwaptionShift))*SUM(INDEX($FK$325:$ID$396,GY$169,1+SwaptionShift):INDEX($FK$325:$ID$396,GY$169,SwaptionMonthsToGo+SwaptionShift))))))</f>
        <v/>
      </c>
      <c r="GZ198" s="479" t="str">
        <f ca="1">IF(OR(GZ$169&lt;SwaptionFirstMonthPosition+1,$FJ198&lt;SwaptionFirstMonthPosition+1,GZ$169&gt;SwaptionFirstMonthPosition+SwaptionNumOfMonths+1,$FJ198&gt;SwaptionFirstMonthPosition+SwaptionNumOfMonths+1),"",IF($FJ198=GZ$169,1,IF($FJ198&lt;GZ$169,INDEX($FK$170:$ID$241,GZ$169,$FJ198),SUMPRODUCT(INDEX($FK$325:$ID$396,GZ$169,1+SwaptionShift):INDEX($FK$325:$ID$396,GZ$169,SwaptionMonthsToGo+SwaptionShift),INDEX($FK$245:$ID$316,$FJ198-GZ$169,73-GZ$169+SwaptionShift):INDEX($FK$245:$ID$316,$FJ198-GZ$169,72-GZ$169+SwaptionMonthsToGo+SwaptionShift))/SQRT(SUM(INDEX($FK353:$ID353,1+SwaptionShift):INDEX($FK353:$ID353,SwaptionMonthsToGo+SwaptionShift))*SUM(INDEX($FK$325:$ID$396,GZ$169,1+SwaptionShift):INDEX($FK$325:$ID$396,GZ$169,SwaptionMonthsToGo+SwaptionShift))))))</f>
        <v/>
      </c>
      <c r="HA198" s="479" t="str">
        <f ca="1">IF(OR(HA$169&lt;SwaptionFirstMonthPosition+1,$FJ198&lt;SwaptionFirstMonthPosition+1,HA$169&gt;SwaptionFirstMonthPosition+SwaptionNumOfMonths+1,$FJ198&gt;SwaptionFirstMonthPosition+SwaptionNumOfMonths+1),"",IF($FJ198=HA$169,1,IF($FJ198&lt;HA$169,INDEX($FK$170:$ID$241,HA$169,$FJ198),SUMPRODUCT(INDEX($FK$325:$ID$396,HA$169,1+SwaptionShift):INDEX($FK$325:$ID$396,HA$169,SwaptionMonthsToGo+SwaptionShift),INDEX($FK$245:$ID$316,$FJ198-HA$169,73-HA$169+SwaptionShift):INDEX($FK$245:$ID$316,$FJ198-HA$169,72-HA$169+SwaptionMonthsToGo+SwaptionShift))/SQRT(SUM(INDEX($FK353:$ID353,1+SwaptionShift):INDEX($FK353:$ID353,SwaptionMonthsToGo+SwaptionShift))*SUM(INDEX($FK$325:$ID$396,HA$169,1+SwaptionShift):INDEX($FK$325:$ID$396,HA$169,SwaptionMonthsToGo+SwaptionShift))))))</f>
        <v/>
      </c>
      <c r="HB198" s="479" t="str">
        <f ca="1">IF(OR(HB$169&lt;SwaptionFirstMonthPosition+1,$FJ198&lt;SwaptionFirstMonthPosition+1,HB$169&gt;SwaptionFirstMonthPosition+SwaptionNumOfMonths+1,$FJ198&gt;SwaptionFirstMonthPosition+SwaptionNumOfMonths+1),"",IF($FJ198=HB$169,1,IF($FJ198&lt;HB$169,INDEX($FK$170:$ID$241,HB$169,$FJ198),SUMPRODUCT(INDEX($FK$325:$ID$396,HB$169,1+SwaptionShift):INDEX($FK$325:$ID$396,HB$169,SwaptionMonthsToGo+SwaptionShift),INDEX($FK$245:$ID$316,$FJ198-HB$169,73-HB$169+SwaptionShift):INDEX($FK$245:$ID$316,$FJ198-HB$169,72-HB$169+SwaptionMonthsToGo+SwaptionShift))/SQRT(SUM(INDEX($FK353:$ID353,1+SwaptionShift):INDEX($FK353:$ID353,SwaptionMonthsToGo+SwaptionShift))*SUM(INDEX($FK$325:$ID$396,HB$169,1+SwaptionShift):INDEX($FK$325:$ID$396,HB$169,SwaptionMonthsToGo+SwaptionShift))))))</f>
        <v/>
      </c>
      <c r="HC198" s="479" t="str">
        <f ca="1">IF(OR(HC$169&lt;SwaptionFirstMonthPosition+1,$FJ198&lt;SwaptionFirstMonthPosition+1,HC$169&gt;SwaptionFirstMonthPosition+SwaptionNumOfMonths+1,$FJ198&gt;SwaptionFirstMonthPosition+SwaptionNumOfMonths+1),"",IF($FJ198=HC$169,1,IF($FJ198&lt;HC$169,INDEX($FK$170:$ID$241,HC$169,$FJ198),SUMPRODUCT(INDEX($FK$325:$ID$396,HC$169,1+SwaptionShift):INDEX($FK$325:$ID$396,HC$169,SwaptionMonthsToGo+SwaptionShift),INDEX($FK$245:$ID$316,$FJ198-HC$169,73-HC$169+SwaptionShift):INDEX($FK$245:$ID$316,$FJ198-HC$169,72-HC$169+SwaptionMonthsToGo+SwaptionShift))/SQRT(SUM(INDEX($FK353:$ID353,1+SwaptionShift):INDEX($FK353:$ID353,SwaptionMonthsToGo+SwaptionShift))*SUM(INDEX($FK$325:$ID$396,HC$169,1+SwaptionShift):INDEX($FK$325:$ID$396,HC$169,SwaptionMonthsToGo+SwaptionShift))))))</f>
        <v/>
      </c>
      <c r="HD198" s="479" t="str">
        <f ca="1">IF(OR(HD$169&lt;SwaptionFirstMonthPosition+1,$FJ198&lt;SwaptionFirstMonthPosition+1,HD$169&gt;SwaptionFirstMonthPosition+SwaptionNumOfMonths+1,$FJ198&gt;SwaptionFirstMonthPosition+SwaptionNumOfMonths+1),"",IF($FJ198=HD$169,1,IF($FJ198&lt;HD$169,INDEX($FK$170:$ID$241,HD$169,$FJ198),SUMPRODUCT(INDEX($FK$325:$ID$396,HD$169,1+SwaptionShift):INDEX($FK$325:$ID$396,HD$169,SwaptionMonthsToGo+SwaptionShift),INDEX($FK$245:$ID$316,$FJ198-HD$169,73-HD$169+SwaptionShift):INDEX($FK$245:$ID$316,$FJ198-HD$169,72-HD$169+SwaptionMonthsToGo+SwaptionShift))/SQRT(SUM(INDEX($FK353:$ID353,1+SwaptionShift):INDEX($FK353:$ID353,SwaptionMonthsToGo+SwaptionShift))*SUM(INDEX($FK$325:$ID$396,HD$169,1+SwaptionShift):INDEX($FK$325:$ID$396,HD$169,SwaptionMonthsToGo+SwaptionShift))))))</f>
        <v/>
      </c>
      <c r="HE198" s="479" t="str">
        <f ca="1">IF(OR(HE$169&lt;SwaptionFirstMonthPosition+1,$FJ198&lt;SwaptionFirstMonthPosition+1,HE$169&gt;SwaptionFirstMonthPosition+SwaptionNumOfMonths+1,$FJ198&gt;SwaptionFirstMonthPosition+SwaptionNumOfMonths+1),"",IF($FJ198=HE$169,1,IF($FJ198&lt;HE$169,INDEX($FK$170:$ID$241,HE$169,$FJ198),SUMPRODUCT(INDEX($FK$325:$ID$396,HE$169,1+SwaptionShift):INDEX($FK$325:$ID$396,HE$169,SwaptionMonthsToGo+SwaptionShift),INDEX($FK$245:$ID$316,$FJ198-HE$169,73-HE$169+SwaptionShift):INDEX($FK$245:$ID$316,$FJ198-HE$169,72-HE$169+SwaptionMonthsToGo+SwaptionShift))/SQRT(SUM(INDEX($FK353:$ID353,1+SwaptionShift):INDEX($FK353:$ID353,SwaptionMonthsToGo+SwaptionShift))*SUM(INDEX($FK$325:$ID$396,HE$169,1+SwaptionShift):INDEX($FK$325:$ID$396,HE$169,SwaptionMonthsToGo+SwaptionShift))))))</f>
        <v/>
      </c>
      <c r="HF198" s="479" t="str">
        <f ca="1">IF(OR(HF$169&lt;SwaptionFirstMonthPosition+1,$FJ198&lt;SwaptionFirstMonthPosition+1,HF$169&gt;SwaptionFirstMonthPosition+SwaptionNumOfMonths+1,$FJ198&gt;SwaptionFirstMonthPosition+SwaptionNumOfMonths+1),"",IF($FJ198=HF$169,1,IF($FJ198&lt;HF$169,INDEX($FK$170:$ID$241,HF$169,$FJ198),SUMPRODUCT(INDEX($FK$325:$ID$396,HF$169,1+SwaptionShift):INDEX($FK$325:$ID$396,HF$169,SwaptionMonthsToGo+SwaptionShift),INDEX($FK$245:$ID$316,$FJ198-HF$169,73-HF$169+SwaptionShift):INDEX($FK$245:$ID$316,$FJ198-HF$169,72-HF$169+SwaptionMonthsToGo+SwaptionShift))/SQRT(SUM(INDEX($FK353:$ID353,1+SwaptionShift):INDEX($FK353:$ID353,SwaptionMonthsToGo+SwaptionShift))*SUM(INDEX($FK$325:$ID$396,HF$169,1+SwaptionShift):INDEX($FK$325:$ID$396,HF$169,SwaptionMonthsToGo+SwaptionShift))))))</f>
        <v/>
      </c>
      <c r="HG198" s="479" t="str">
        <f ca="1">IF(OR(HG$169&lt;SwaptionFirstMonthPosition+1,$FJ198&lt;SwaptionFirstMonthPosition+1,HG$169&gt;SwaptionFirstMonthPosition+SwaptionNumOfMonths+1,$FJ198&gt;SwaptionFirstMonthPosition+SwaptionNumOfMonths+1),"",IF($FJ198=HG$169,1,IF($FJ198&lt;HG$169,INDEX($FK$170:$ID$241,HG$169,$FJ198),SUMPRODUCT(INDEX($FK$325:$ID$396,HG$169,1+SwaptionShift):INDEX($FK$325:$ID$396,HG$169,SwaptionMonthsToGo+SwaptionShift),INDEX($FK$245:$ID$316,$FJ198-HG$169,73-HG$169+SwaptionShift):INDEX($FK$245:$ID$316,$FJ198-HG$169,72-HG$169+SwaptionMonthsToGo+SwaptionShift))/SQRT(SUM(INDEX($FK353:$ID353,1+SwaptionShift):INDEX($FK353:$ID353,SwaptionMonthsToGo+SwaptionShift))*SUM(INDEX($FK$325:$ID$396,HG$169,1+SwaptionShift):INDEX($FK$325:$ID$396,HG$169,SwaptionMonthsToGo+SwaptionShift))))))</f>
        <v/>
      </c>
      <c r="HH198" s="479" t="str">
        <f ca="1">IF(OR(HH$169&lt;SwaptionFirstMonthPosition+1,$FJ198&lt;SwaptionFirstMonthPosition+1,HH$169&gt;SwaptionFirstMonthPosition+SwaptionNumOfMonths+1,$FJ198&gt;SwaptionFirstMonthPosition+SwaptionNumOfMonths+1),"",IF($FJ198=HH$169,1,IF($FJ198&lt;HH$169,INDEX($FK$170:$ID$241,HH$169,$FJ198),SUMPRODUCT(INDEX($FK$325:$ID$396,HH$169,1+SwaptionShift):INDEX($FK$325:$ID$396,HH$169,SwaptionMonthsToGo+SwaptionShift),INDEX($FK$245:$ID$316,$FJ198-HH$169,73-HH$169+SwaptionShift):INDEX($FK$245:$ID$316,$FJ198-HH$169,72-HH$169+SwaptionMonthsToGo+SwaptionShift))/SQRT(SUM(INDEX($FK353:$ID353,1+SwaptionShift):INDEX($FK353:$ID353,SwaptionMonthsToGo+SwaptionShift))*SUM(INDEX($FK$325:$ID$396,HH$169,1+SwaptionShift):INDEX($FK$325:$ID$396,HH$169,SwaptionMonthsToGo+SwaptionShift))))))</f>
        <v/>
      </c>
      <c r="HI198" s="479" t="str">
        <f ca="1">IF(OR(HI$169&lt;SwaptionFirstMonthPosition+1,$FJ198&lt;SwaptionFirstMonthPosition+1,HI$169&gt;SwaptionFirstMonthPosition+SwaptionNumOfMonths+1,$FJ198&gt;SwaptionFirstMonthPosition+SwaptionNumOfMonths+1),"",IF($FJ198=HI$169,1,IF($FJ198&lt;HI$169,INDEX($FK$170:$ID$241,HI$169,$FJ198),SUMPRODUCT(INDEX($FK$325:$ID$396,HI$169,1+SwaptionShift):INDEX($FK$325:$ID$396,HI$169,SwaptionMonthsToGo+SwaptionShift),INDEX($FK$245:$ID$316,$FJ198-HI$169,73-HI$169+SwaptionShift):INDEX($FK$245:$ID$316,$FJ198-HI$169,72-HI$169+SwaptionMonthsToGo+SwaptionShift))/SQRT(SUM(INDEX($FK353:$ID353,1+SwaptionShift):INDEX($FK353:$ID353,SwaptionMonthsToGo+SwaptionShift))*SUM(INDEX($FK$325:$ID$396,HI$169,1+SwaptionShift):INDEX($FK$325:$ID$396,HI$169,SwaptionMonthsToGo+SwaptionShift))))))</f>
        <v/>
      </c>
      <c r="HJ198" s="479" t="str">
        <f ca="1">IF(OR(HJ$169&lt;SwaptionFirstMonthPosition+1,$FJ198&lt;SwaptionFirstMonthPosition+1,HJ$169&gt;SwaptionFirstMonthPosition+SwaptionNumOfMonths+1,$FJ198&gt;SwaptionFirstMonthPosition+SwaptionNumOfMonths+1),"",IF($FJ198=HJ$169,1,IF($FJ198&lt;HJ$169,INDEX($FK$170:$ID$241,HJ$169,$FJ198),SUMPRODUCT(INDEX($FK$325:$ID$396,HJ$169,1+SwaptionShift):INDEX($FK$325:$ID$396,HJ$169,SwaptionMonthsToGo+SwaptionShift),INDEX($FK$245:$ID$316,$FJ198-HJ$169,73-HJ$169+SwaptionShift):INDEX($FK$245:$ID$316,$FJ198-HJ$169,72-HJ$169+SwaptionMonthsToGo+SwaptionShift))/SQRT(SUM(INDEX($FK353:$ID353,1+SwaptionShift):INDEX($FK353:$ID353,SwaptionMonthsToGo+SwaptionShift))*SUM(INDEX($FK$325:$ID$396,HJ$169,1+SwaptionShift):INDEX($FK$325:$ID$396,HJ$169,SwaptionMonthsToGo+SwaptionShift))))))</f>
        <v/>
      </c>
      <c r="HK198" s="479" t="str">
        <f ca="1">IF(OR(HK$169&lt;SwaptionFirstMonthPosition+1,$FJ198&lt;SwaptionFirstMonthPosition+1,HK$169&gt;SwaptionFirstMonthPosition+SwaptionNumOfMonths+1,$FJ198&gt;SwaptionFirstMonthPosition+SwaptionNumOfMonths+1),"",IF($FJ198=HK$169,1,IF($FJ198&lt;HK$169,INDEX($FK$170:$ID$241,HK$169,$FJ198),SUMPRODUCT(INDEX($FK$325:$ID$396,HK$169,1+SwaptionShift):INDEX($FK$325:$ID$396,HK$169,SwaptionMonthsToGo+SwaptionShift),INDEX($FK$245:$ID$316,$FJ198-HK$169,73-HK$169+SwaptionShift):INDEX($FK$245:$ID$316,$FJ198-HK$169,72-HK$169+SwaptionMonthsToGo+SwaptionShift))/SQRT(SUM(INDEX($FK353:$ID353,1+SwaptionShift):INDEX($FK353:$ID353,SwaptionMonthsToGo+SwaptionShift))*SUM(INDEX($FK$325:$ID$396,HK$169,1+SwaptionShift):INDEX($FK$325:$ID$396,HK$169,SwaptionMonthsToGo+SwaptionShift))))))</f>
        <v/>
      </c>
      <c r="HL198" s="479" t="str">
        <f ca="1">IF(OR(HL$169&lt;SwaptionFirstMonthPosition+1,$FJ198&lt;SwaptionFirstMonthPosition+1,HL$169&gt;SwaptionFirstMonthPosition+SwaptionNumOfMonths+1,$FJ198&gt;SwaptionFirstMonthPosition+SwaptionNumOfMonths+1),"",IF($FJ198=HL$169,1,IF($FJ198&lt;HL$169,INDEX($FK$170:$ID$241,HL$169,$FJ198),SUMPRODUCT(INDEX($FK$325:$ID$396,HL$169,1+SwaptionShift):INDEX($FK$325:$ID$396,HL$169,SwaptionMonthsToGo+SwaptionShift),INDEX($FK$245:$ID$316,$FJ198-HL$169,73-HL$169+SwaptionShift):INDEX($FK$245:$ID$316,$FJ198-HL$169,72-HL$169+SwaptionMonthsToGo+SwaptionShift))/SQRT(SUM(INDEX($FK353:$ID353,1+SwaptionShift):INDEX($FK353:$ID353,SwaptionMonthsToGo+SwaptionShift))*SUM(INDEX($FK$325:$ID$396,HL$169,1+SwaptionShift):INDEX($FK$325:$ID$396,HL$169,SwaptionMonthsToGo+SwaptionShift))))))</f>
        <v/>
      </c>
      <c r="HM198" s="479" t="str">
        <f ca="1">IF(OR(HM$169&lt;SwaptionFirstMonthPosition+1,$FJ198&lt;SwaptionFirstMonthPosition+1,HM$169&gt;SwaptionFirstMonthPosition+SwaptionNumOfMonths+1,$FJ198&gt;SwaptionFirstMonthPosition+SwaptionNumOfMonths+1),"",IF($FJ198=HM$169,1,IF($FJ198&lt;HM$169,INDEX($FK$170:$ID$241,HM$169,$FJ198),SUMPRODUCT(INDEX($FK$325:$ID$396,HM$169,1+SwaptionShift):INDEX($FK$325:$ID$396,HM$169,SwaptionMonthsToGo+SwaptionShift),INDEX($FK$245:$ID$316,$FJ198-HM$169,73-HM$169+SwaptionShift):INDEX($FK$245:$ID$316,$FJ198-HM$169,72-HM$169+SwaptionMonthsToGo+SwaptionShift))/SQRT(SUM(INDEX($FK353:$ID353,1+SwaptionShift):INDEX($FK353:$ID353,SwaptionMonthsToGo+SwaptionShift))*SUM(INDEX($FK$325:$ID$396,HM$169,1+SwaptionShift):INDEX($FK$325:$ID$396,HM$169,SwaptionMonthsToGo+SwaptionShift))))))</f>
        <v/>
      </c>
      <c r="HN198" s="479" t="str">
        <f ca="1">IF(OR(HN$169&lt;SwaptionFirstMonthPosition+1,$FJ198&lt;SwaptionFirstMonthPosition+1,HN$169&gt;SwaptionFirstMonthPosition+SwaptionNumOfMonths+1,$FJ198&gt;SwaptionFirstMonthPosition+SwaptionNumOfMonths+1),"",IF($FJ198=HN$169,1,IF($FJ198&lt;HN$169,INDEX($FK$170:$ID$241,HN$169,$FJ198),SUMPRODUCT(INDEX($FK$325:$ID$396,HN$169,1+SwaptionShift):INDEX($FK$325:$ID$396,HN$169,SwaptionMonthsToGo+SwaptionShift),INDEX($FK$245:$ID$316,$FJ198-HN$169,73-HN$169+SwaptionShift):INDEX($FK$245:$ID$316,$FJ198-HN$169,72-HN$169+SwaptionMonthsToGo+SwaptionShift))/SQRT(SUM(INDEX($FK353:$ID353,1+SwaptionShift):INDEX($FK353:$ID353,SwaptionMonthsToGo+SwaptionShift))*SUM(INDEX($FK$325:$ID$396,HN$169,1+SwaptionShift):INDEX($FK$325:$ID$396,HN$169,SwaptionMonthsToGo+SwaptionShift))))))</f>
        <v/>
      </c>
      <c r="HO198" s="479" t="str">
        <f ca="1">IF(OR(HO$169&lt;SwaptionFirstMonthPosition+1,$FJ198&lt;SwaptionFirstMonthPosition+1,HO$169&gt;SwaptionFirstMonthPosition+SwaptionNumOfMonths+1,$FJ198&gt;SwaptionFirstMonthPosition+SwaptionNumOfMonths+1),"",IF($FJ198=HO$169,1,IF($FJ198&lt;HO$169,INDEX($FK$170:$ID$241,HO$169,$FJ198),SUMPRODUCT(INDEX($FK$325:$ID$396,HO$169,1+SwaptionShift):INDEX($FK$325:$ID$396,HO$169,SwaptionMonthsToGo+SwaptionShift),INDEX($FK$245:$ID$316,$FJ198-HO$169,73-HO$169+SwaptionShift):INDEX($FK$245:$ID$316,$FJ198-HO$169,72-HO$169+SwaptionMonthsToGo+SwaptionShift))/SQRT(SUM(INDEX($FK353:$ID353,1+SwaptionShift):INDEX($FK353:$ID353,SwaptionMonthsToGo+SwaptionShift))*SUM(INDEX($FK$325:$ID$396,HO$169,1+SwaptionShift):INDEX($FK$325:$ID$396,HO$169,SwaptionMonthsToGo+SwaptionShift))))))</f>
        <v/>
      </c>
      <c r="HP198" s="479" t="str">
        <f ca="1">IF(OR(HP$169&lt;SwaptionFirstMonthPosition+1,$FJ198&lt;SwaptionFirstMonthPosition+1,HP$169&gt;SwaptionFirstMonthPosition+SwaptionNumOfMonths+1,$FJ198&gt;SwaptionFirstMonthPosition+SwaptionNumOfMonths+1),"",IF($FJ198=HP$169,1,IF($FJ198&lt;HP$169,INDEX($FK$170:$ID$241,HP$169,$FJ198),SUMPRODUCT(INDEX($FK$325:$ID$396,HP$169,1+SwaptionShift):INDEX($FK$325:$ID$396,HP$169,SwaptionMonthsToGo+SwaptionShift),INDEX($FK$245:$ID$316,$FJ198-HP$169,73-HP$169+SwaptionShift):INDEX($FK$245:$ID$316,$FJ198-HP$169,72-HP$169+SwaptionMonthsToGo+SwaptionShift))/SQRT(SUM(INDEX($FK353:$ID353,1+SwaptionShift):INDEX($FK353:$ID353,SwaptionMonthsToGo+SwaptionShift))*SUM(INDEX($FK$325:$ID$396,HP$169,1+SwaptionShift):INDEX($FK$325:$ID$396,HP$169,SwaptionMonthsToGo+SwaptionShift))))))</f>
        <v/>
      </c>
      <c r="HQ198" s="479" t="str">
        <f ca="1">IF(OR(HQ$169&lt;SwaptionFirstMonthPosition+1,$FJ198&lt;SwaptionFirstMonthPosition+1,HQ$169&gt;SwaptionFirstMonthPosition+SwaptionNumOfMonths+1,$FJ198&gt;SwaptionFirstMonthPosition+SwaptionNumOfMonths+1),"",IF($FJ198=HQ$169,1,IF($FJ198&lt;HQ$169,INDEX($FK$170:$ID$241,HQ$169,$FJ198),SUMPRODUCT(INDEX($FK$325:$ID$396,HQ$169,1+SwaptionShift):INDEX($FK$325:$ID$396,HQ$169,SwaptionMonthsToGo+SwaptionShift),INDEX($FK$245:$ID$316,$FJ198-HQ$169,73-HQ$169+SwaptionShift):INDEX($FK$245:$ID$316,$FJ198-HQ$169,72-HQ$169+SwaptionMonthsToGo+SwaptionShift))/SQRT(SUM(INDEX($FK353:$ID353,1+SwaptionShift):INDEX($FK353:$ID353,SwaptionMonthsToGo+SwaptionShift))*SUM(INDEX($FK$325:$ID$396,HQ$169,1+SwaptionShift):INDEX($FK$325:$ID$396,HQ$169,SwaptionMonthsToGo+SwaptionShift))))))</f>
        <v/>
      </c>
      <c r="HR198" s="479" t="str">
        <f ca="1">IF(OR(HR$169&lt;SwaptionFirstMonthPosition+1,$FJ198&lt;SwaptionFirstMonthPosition+1,HR$169&gt;SwaptionFirstMonthPosition+SwaptionNumOfMonths+1,$FJ198&gt;SwaptionFirstMonthPosition+SwaptionNumOfMonths+1),"",IF($FJ198=HR$169,1,IF($FJ198&lt;HR$169,INDEX($FK$170:$ID$241,HR$169,$FJ198),SUMPRODUCT(INDEX($FK$325:$ID$396,HR$169,1+SwaptionShift):INDEX($FK$325:$ID$396,HR$169,SwaptionMonthsToGo+SwaptionShift),INDEX($FK$245:$ID$316,$FJ198-HR$169,73-HR$169+SwaptionShift):INDEX($FK$245:$ID$316,$FJ198-HR$169,72-HR$169+SwaptionMonthsToGo+SwaptionShift))/SQRT(SUM(INDEX($FK353:$ID353,1+SwaptionShift):INDEX($FK353:$ID353,SwaptionMonthsToGo+SwaptionShift))*SUM(INDEX($FK$325:$ID$396,HR$169,1+SwaptionShift):INDEX($FK$325:$ID$396,HR$169,SwaptionMonthsToGo+SwaptionShift))))))</f>
        <v/>
      </c>
      <c r="HS198" s="479" t="str">
        <f ca="1">IF(OR(HS$169&lt;SwaptionFirstMonthPosition+1,$FJ198&lt;SwaptionFirstMonthPosition+1,HS$169&gt;SwaptionFirstMonthPosition+SwaptionNumOfMonths+1,$FJ198&gt;SwaptionFirstMonthPosition+SwaptionNumOfMonths+1),"",IF($FJ198=HS$169,1,IF($FJ198&lt;HS$169,INDEX($FK$170:$ID$241,HS$169,$FJ198),SUMPRODUCT(INDEX($FK$325:$ID$396,HS$169,1+SwaptionShift):INDEX($FK$325:$ID$396,HS$169,SwaptionMonthsToGo+SwaptionShift),INDEX($FK$245:$ID$316,$FJ198-HS$169,73-HS$169+SwaptionShift):INDEX($FK$245:$ID$316,$FJ198-HS$169,72-HS$169+SwaptionMonthsToGo+SwaptionShift))/SQRT(SUM(INDEX($FK353:$ID353,1+SwaptionShift):INDEX($FK353:$ID353,SwaptionMonthsToGo+SwaptionShift))*SUM(INDEX($FK$325:$ID$396,HS$169,1+SwaptionShift):INDEX($FK$325:$ID$396,HS$169,SwaptionMonthsToGo+SwaptionShift))))))</f>
        <v/>
      </c>
      <c r="HT198" s="479" t="str">
        <f ca="1">IF(OR(HT$169&lt;SwaptionFirstMonthPosition+1,$FJ198&lt;SwaptionFirstMonthPosition+1,HT$169&gt;SwaptionFirstMonthPosition+SwaptionNumOfMonths+1,$FJ198&gt;SwaptionFirstMonthPosition+SwaptionNumOfMonths+1),"",IF($FJ198=HT$169,1,IF($FJ198&lt;HT$169,INDEX($FK$170:$ID$241,HT$169,$FJ198),SUMPRODUCT(INDEX($FK$325:$ID$396,HT$169,1+SwaptionShift):INDEX($FK$325:$ID$396,HT$169,SwaptionMonthsToGo+SwaptionShift),INDEX($FK$245:$ID$316,$FJ198-HT$169,73-HT$169+SwaptionShift):INDEX($FK$245:$ID$316,$FJ198-HT$169,72-HT$169+SwaptionMonthsToGo+SwaptionShift))/SQRT(SUM(INDEX($FK353:$ID353,1+SwaptionShift):INDEX($FK353:$ID353,SwaptionMonthsToGo+SwaptionShift))*SUM(INDEX($FK$325:$ID$396,HT$169,1+SwaptionShift):INDEX($FK$325:$ID$396,HT$169,SwaptionMonthsToGo+SwaptionShift))))))</f>
        <v/>
      </c>
      <c r="HU198" s="479" t="str">
        <f ca="1">IF(OR(HU$169&lt;SwaptionFirstMonthPosition+1,$FJ198&lt;SwaptionFirstMonthPosition+1,HU$169&gt;SwaptionFirstMonthPosition+SwaptionNumOfMonths+1,$FJ198&gt;SwaptionFirstMonthPosition+SwaptionNumOfMonths+1),"",IF($FJ198=HU$169,1,IF($FJ198&lt;HU$169,INDEX($FK$170:$ID$241,HU$169,$FJ198),SUMPRODUCT(INDEX($FK$325:$ID$396,HU$169,1+SwaptionShift):INDEX($FK$325:$ID$396,HU$169,SwaptionMonthsToGo+SwaptionShift),INDEX($FK$245:$ID$316,$FJ198-HU$169,73-HU$169+SwaptionShift):INDEX($FK$245:$ID$316,$FJ198-HU$169,72-HU$169+SwaptionMonthsToGo+SwaptionShift))/SQRT(SUM(INDEX($FK353:$ID353,1+SwaptionShift):INDEX($FK353:$ID353,SwaptionMonthsToGo+SwaptionShift))*SUM(INDEX($FK$325:$ID$396,HU$169,1+SwaptionShift):INDEX($FK$325:$ID$396,HU$169,SwaptionMonthsToGo+SwaptionShift))))))</f>
        <v/>
      </c>
      <c r="HV198" s="479" t="str">
        <f ca="1">IF(OR(HV$169&lt;SwaptionFirstMonthPosition+1,$FJ198&lt;SwaptionFirstMonthPosition+1,HV$169&gt;SwaptionFirstMonthPosition+SwaptionNumOfMonths+1,$FJ198&gt;SwaptionFirstMonthPosition+SwaptionNumOfMonths+1),"",IF($FJ198=HV$169,1,IF($FJ198&lt;HV$169,INDEX($FK$170:$ID$241,HV$169,$FJ198),SUMPRODUCT(INDEX($FK$325:$ID$396,HV$169,1+SwaptionShift):INDEX($FK$325:$ID$396,HV$169,SwaptionMonthsToGo+SwaptionShift),INDEX($FK$245:$ID$316,$FJ198-HV$169,73-HV$169+SwaptionShift):INDEX($FK$245:$ID$316,$FJ198-HV$169,72-HV$169+SwaptionMonthsToGo+SwaptionShift))/SQRT(SUM(INDEX($FK353:$ID353,1+SwaptionShift):INDEX($FK353:$ID353,SwaptionMonthsToGo+SwaptionShift))*SUM(INDEX($FK$325:$ID$396,HV$169,1+SwaptionShift):INDEX($FK$325:$ID$396,HV$169,SwaptionMonthsToGo+SwaptionShift))))))</f>
        <v/>
      </c>
      <c r="HW198" s="479" t="str">
        <f ca="1">IF(OR(HW$169&lt;SwaptionFirstMonthPosition+1,$FJ198&lt;SwaptionFirstMonthPosition+1,HW$169&gt;SwaptionFirstMonthPosition+SwaptionNumOfMonths+1,$FJ198&gt;SwaptionFirstMonthPosition+SwaptionNumOfMonths+1),"",IF($FJ198=HW$169,1,IF($FJ198&lt;HW$169,INDEX($FK$170:$ID$241,HW$169,$FJ198),SUMPRODUCT(INDEX($FK$325:$ID$396,HW$169,1+SwaptionShift):INDEX($FK$325:$ID$396,HW$169,SwaptionMonthsToGo+SwaptionShift),INDEX($FK$245:$ID$316,$FJ198-HW$169,73-HW$169+SwaptionShift):INDEX($FK$245:$ID$316,$FJ198-HW$169,72-HW$169+SwaptionMonthsToGo+SwaptionShift))/SQRT(SUM(INDEX($FK353:$ID353,1+SwaptionShift):INDEX($FK353:$ID353,SwaptionMonthsToGo+SwaptionShift))*SUM(INDEX($FK$325:$ID$396,HW$169,1+SwaptionShift):INDEX($FK$325:$ID$396,HW$169,SwaptionMonthsToGo+SwaptionShift))))))</f>
        <v/>
      </c>
      <c r="HX198" s="479" t="str">
        <f ca="1">IF(OR(HX$169&lt;SwaptionFirstMonthPosition+1,$FJ198&lt;SwaptionFirstMonthPosition+1,HX$169&gt;SwaptionFirstMonthPosition+SwaptionNumOfMonths+1,$FJ198&gt;SwaptionFirstMonthPosition+SwaptionNumOfMonths+1),"",IF($FJ198=HX$169,1,IF($FJ198&lt;HX$169,INDEX($FK$170:$ID$241,HX$169,$FJ198),SUMPRODUCT(INDEX($FK$325:$ID$396,HX$169,1+SwaptionShift):INDEX($FK$325:$ID$396,HX$169,SwaptionMonthsToGo+SwaptionShift),INDEX($FK$245:$ID$316,$FJ198-HX$169,73-HX$169+SwaptionShift):INDEX($FK$245:$ID$316,$FJ198-HX$169,72-HX$169+SwaptionMonthsToGo+SwaptionShift))/SQRT(SUM(INDEX($FK353:$ID353,1+SwaptionShift):INDEX($FK353:$ID353,SwaptionMonthsToGo+SwaptionShift))*SUM(INDEX($FK$325:$ID$396,HX$169,1+SwaptionShift):INDEX($FK$325:$ID$396,HX$169,SwaptionMonthsToGo+SwaptionShift))))))</f>
        <v/>
      </c>
      <c r="HY198" s="479" t="str">
        <f ca="1">IF(OR(HY$169&lt;SwaptionFirstMonthPosition+1,$FJ198&lt;SwaptionFirstMonthPosition+1,HY$169&gt;SwaptionFirstMonthPosition+SwaptionNumOfMonths+1,$FJ198&gt;SwaptionFirstMonthPosition+SwaptionNumOfMonths+1),"",IF($FJ198=HY$169,1,IF($FJ198&lt;HY$169,INDEX($FK$170:$ID$241,HY$169,$FJ198),SUMPRODUCT(INDEX($FK$325:$ID$396,HY$169,1+SwaptionShift):INDEX($FK$325:$ID$396,HY$169,SwaptionMonthsToGo+SwaptionShift),INDEX($FK$245:$ID$316,$FJ198-HY$169,73-HY$169+SwaptionShift):INDEX($FK$245:$ID$316,$FJ198-HY$169,72-HY$169+SwaptionMonthsToGo+SwaptionShift))/SQRT(SUM(INDEX($FK353:$ID353,1+SwaptionShift):INDEX($FK353:$ID353,SwaptionMonthsToGo+SwaptionShift))*SUM(INDEX($FK$325:$ID$396,HY$169,1+SwaptionShift):INDEX($FK$325:$ID$396,HY$169,SwaptionMonthsToGo+SwaptionShift))))))</f>
        <v/>
      </c>
      <c r="HZ198" s="479" t="str">
        <f ca="1">IF(OR(HZ$169&lt;SwaptionFirstMonthPosition+1,$FJ198&lt;SwaptionFirstMonthPosition+1,HZ$169&gt;SwaptionFirstMonthPosition+SwaptionNumOfMonths+1,$FJ198&gt;SwaptionFirstMonthPosition+SwaptionNumOfMonths+1),"",IF($FJ198=HZ$169,1,IF($FJ198&lt;HZ$169,INDEX($FK$170:$ID$241,HZ$169,$FJ198),SUMPRODUCT(INDEX($FK$325:$ID$396,HZ$169,1+SwaptionShift):INDEX($FK$325:$ID$396,HZ$169,SwaptionMonthsToGo+SwaptionShift),INDEX($FK$245:$ID$316,$FJ198-HZ$169,73-HZ$169+SwaptionShift):INDEX($FK$245:$ID$316,$FJ198-HZ$169,72-HZ$169+SwaptionMonthsToGo+SwaptionShift))/SQRT(SUM(INDEX($FK353:$ID353,1+SwaptionShift):INDEX($FK353:$ID353,SwaptionMonthsToGo+SwaptionShift))*SUM(INDEX($FK$325:$ID$396,HZ$169,1+SwaptionShift):INDEX($FK$325:$ID$396,HZ$169,SwaptionMonthsToGo+SwaptionShift))))))</f>
        <v/>
      </c>
      <c r="IA198" s="479" t="str">
        <f ca="1">IF(OR(IA$169&lt;SwaptionFirstMonthPosition+1,$FJ198&lt;SwaptionFirstMonthPosition+1,IA$169&gt;SwaptionFirstMonthPosition+SwaptionNumOfMonths+1,$FJ198&gt;SwaptionFirstMonthPosition+SwaptionNumOfMonths+1),"",IF($FJ198=IA$169,1,IF($FJ198&lt;IA$169,INDEX($FK$170:$ID$241,IA$169,$FJ198),SUMPRODUCT(INDEX($FK$325:$ID$396,IA$169,1+SwaptionShift):INDEX($FK$325:$ID$396,IA$169,SwaptionMonthsToGo+SwaptionShift),INDEX($FK$245:$ID$316,$FJ198-IA$169,73-IA$169+SwaptionShift):INDEX($FK$245:$ID$316,$FJ198-IA$169,72-IA$169+SwaptionMonthsToGo+SwaptionShift))/SQRT(SUM(INDEX($FK353:$ID353,1+SwaptionShift):INDEX($FK353:$ID353,SwaptionMonthsToGo+SwaptionShift))*SUM(INDEX($FK$325:$ID$396,IA$169,1+SwaptionShift):INDEX($FK$325:$ID$396,IA$169,SwaptionMonthsToGo+SwaptionShift))))))</f>
        <v/>
      </c>
      <c r="IB198" s="479" t="str">
        <f ca="1">IF(OR(IB$169&lt;SwaptionFirstMonthPosition+1,$FJ198&lt;SwaptionFirstMonthPosition+1,IB$169&gt;SwaptionFirstMonthPosition+SwaptionNumOfMonths+1,$FJ198&gt;SwaptionFirstMonthPosition+SwaptionNumOfMonths+1),"",IF($FJ198=IB$169,1,IF($FJ198&lt;IB$169,INDEX($FK$170:$ID$241,IB$169,$FJ198),SUMPRODUCT(INDEX($FK$325:$ID$396,IB$169,1+SwaptionShift):INDEX($FK$325:$ID$396,IB$169,SwaptionMonthsToGo+SwaptionShift),INDEX($FK$245:$ID$316,$FJ198-IB$169,73-IB$169+SwaptionShift):INDEX($FK$245:$ID$316,$FJ198-IB$169,72-IB$169+SwaptionMonthsToGo+SwaptionShift))/SQRT(SUM(INDEX($FK353:$ID353,1+SwaptionShift):INDEX($FK353:$ID353,SwaptionMonthsToGo+SwaptionShift))*SUM(INDEX($FK$325:$ID$396,IB$169,1+SwaptionShift):INDEX($FK$325:$ID$396,IB$169,SwaptionMonthsToGo+SwaptionShift))))))</f>
        <v/>
      </c>
      <c r="IC198" s="479" t="str">
        <f ca="1">IF(OR(IC$169&lt;SwaptionFirstMonthPosition+1,$FJ198&lt;SwaptionFirstMonthPosition+1,IC$169&gt;SwaptionFirstMonthPosition+SwaptionNumOfMonths+1,$FJ198&gt;SwaptionFirstMonthPosition+SwaptionNumOfMonths+1),"",IF($FJ198=IC$169,1,IF($FJ198&lt;IC$169,INDEX($FK$170:$ID$241,IC$169,$FJ198),SUMPRODUCT(INDEX($FK$325:$ID$396,IC$169,1+SwaptionShift):INDEX($FK$325:$ID$396,IC$169,SwaptionMonthsToGo+SwaptionShift),INDEX($FK$245:$ID$316,$FJ198-IC$169,73-IC$169+SwaptionShift):INDEX($FK$245:$ID$316,$FJ198-IC$169,72-IC$169+SwaptionMonthsToGo+SwaptionShift))/SQRT(SUM(INDEX($FK353:$ID353,1+SwaptionShift):INDEX($FK353:$ID353,SwaptionMonthsToGo+SwaptionShift))*SUM(INDEX($FK$325:$ID$396,IC$169,1+SwaptionShift):INDEX($FK$325:$ID$396,IC$169,SwaptionMonthsToGo+SwaptionShift))))))</f>
        <v/>
      </c>
      <c r="ID198" s="678" t="str">
        <f ca="1">IF(OR(ID$169&lt;SwaptionFirstMonthPosition+1,$FJ198&lt;SwaptionFirstMonthPosition+1,ID$169&gt;SwaptionFirstMonthPosition+SwaptionNumOfMonths+1,$FJ198&gt;SwaptionFirstMonthPosition+SwaptionNumOfMonths+1),"",IF($FJ198=ID$169,1,IF($FJ198&lt;ID$169,INDEX($FK$170:$ID$241,ID$169,$FJ198),SUMPRODUCT(INDEX($FK$325:$ID$396,ID$169,1+SwaptionShift):INDEX($FK$325:$ID$396,ID$169,SwaptionMonthsToGo+SwaptionShift),INDEX($FK$245:$ID$316,$FJ198-ID$169,73-ID$169+SwaptionShift):INDEX($FK$245:$ID$316,$FJ198-ID$169,72-ID$169+SwaptionMonthsToGo+SwaptionShift))/SQRT(SUM(INDEX($FK353:$ID353,1+SwaptionShift):INDEX($FK353:$ID353,SwaptionMonthsToGo+SwaptionShift))*SUM(INDEX($FK$325:$ID$396,ID$169,1+SwaptionShift):INDEX($FK$325:$ID$396,ID$169,SwaptionMonthsToGo+SwaptionShift))))))</f>
        <v/>
      </c>
      <c r="IE198" s="250"/>
    </row>
    <row r="199" spans="8:239">
      <c r="H199" s="51">
        <f t="shared" ca="1" si="527"/>
        <v>0</v>
      </c>
      <c r="I199" s="379">
        <f t="shared" si="528"/>
        <v>42217</v>
      </c>
      <c r="J199" s="377"/>
      <c r="K199" s="104" t="s">
        <v>268</v>
      </c>
      <c r="L199" s="392">
        <f t="shared" si="529"/>
        <v>3.8625000000000065</v>
      </c>
      <c r="M199" s="171"/>
      <c r="N199" s="382">
        <v>0</v>
      </c>
      <c r="O199" s="171">
        <f t="shared" si="596"/>
        <v>0</v>
      </c>
      <c r="P199" s="377"/>
      <c r="Q199" s="104" t="s">
        <v>268</v>
      </c>
      <c r="R199" s="377">
        <f t="shared" ca="1" si="597"/>
        <v>2.4752125238508809</v>
      </c>
      <c r="S199" s="832">
        <f t="shared" si="564"/>
        <v>0.3600000000000001</v>
      </c>
      <c r="T199" s="831">
        <f t="shared" si="548"/>
        <v>0.99999999999992539</v>
      </c>
      <c r="U199" s="545">
        <f t="shared" si="549"/>
        <v>0.99999999999999978</v>
      </c>
      <c r="V199" s="389">
        <v>0</v>
      </c>
      <c r="W199" s="434">
        <f t="shared" si="598"/>
        <v>0</v>
      </c>
      <c r="X199" s="415">
        <f t="shared" si="599"/>
        <v>3.9125000000000063</v>
      </c>
      <c r="Y199" s="322">
        <f t="shared" si="600"/>
        <v>-1.2668999999999999</v>
      </c>
      <c r="Z199" s="322">
        <f t="shared" ca="1" si="601"/>
        <v>2.6456000000000062</v>
      </c>
      <c r="AA199" s="429">
        <f t="shared" si="495"/>
        <v>1.2668999999999999</v>
      </c>
      <c r="AB199" s="433">
        <f t="shared" ca="1" si="496"/>
        <v>1.2668999999999999</v>
      </c>
      <c r="AC199" s="229">
        <v>42205</v>
      </c>
      <c r="AD199" s="229">
        <v>42201</v>
      </c>
      <c r="AE199" s="229">
        <v>42200</v>
      </c>
      <c r="AF199" s="229">
        <v>42196</v>
      </c>
      <c r="AG199" s="249" t="s">
        <v>499</v>
      </c>
      <c r="AH199" s="247" t="s">
        <v>499</v>
      </c>
      <c r="AI199" s="146">
        <v>21</v>
      </c>
      <c r="AJ199" s="41">
        <v>14</v>
      </c>
      <c r="AK199" s="41">
        <v>7</v>
      </c>
      <c r="AL199" s="293">
        <v>21</v>
      </c>
      <c r="AM199" s="41">
        <v>10</v>
      </c>
      <c r="AN199" s="147">
        <v>11</v>
      </c>
      <c r="AO199" s="374"/>
      <c r="AP199" s="153">
        <f t="shared" ca="1" si="530"/>
        <v>1</v>
      </c>
      <c r="AQ199" s="374"/>
      <c r="AR199" s="153">
        <f t="shared" ca="1" si="550"/>
        <v>1</v>
      </c>
      <c r="AS199" s="272">
        <f t="shared" si="602"/>
        <v>0</v>
      </c>
      <c r="AT199" s="157">
        <f t="shared" si="531"/>
        <v>0</v>
      </c>
      <c r="AU199" s="157">
        <f t="shared" si="498"/>
        <v>0</v>
      </c>
      <c r="AV199" s="271">
        <f t="shared" ca="1" si="558"/>
        <v>9.9999999999999995E-7</v>
      </c>
      <c r="AW199" s="158" t="str">
        <f t="shared" ca="1" si="583"/>
        <v/>
      </c>
      <c r="AX199" s="157">
        <f t="shared" ca="1" si="551"/>
        <v>6.0489425215053533E-5</v>
      </c>
      <c r="AY199" s="157">
        <f t="shared" ca="1" si="552"/>
        <v>1.419185853435763E-5</v>
      </c>
      <c r="AZ199" s="157">
        <f t="shared" ca="1" si="553"/>
        <v>4.7255758929460196E-7</v>
      </c>
      <c r="BA199" s="157">
        <f t="shared" ca="1" si="554"/>
        <v>5.9069698661825245E-8</v>
      </c>
      <c r="BB199" s="157">
        <f t="shared" ca="1" si="555"/>
        <v>2.9775767663999863E-10</v>
      </c>
      <c r="BC199" s="157">
        <f t="shared" ca="1" si="556"/>
        <v>6.9784585999969071E-12</v>
      </c>
      <c r="BD199" s="151">
        <f t="shared" ca="1" si="603"/>
        <v>0</v>
      </c>
      <c r="BE199" s="152">
        <f t="shared" ca="1" si="604"/>
        <v>0</v>
      </c>
      <c r="BF199" s="40">
        <f t="shared" si="605"/>
        <v>2015</v>
      </c>
      <c r="BG199" s="144">
        <f t="shared" si="606"/>
        <v>8</v>
      </c>
      <c r="BH199" s="145">
        <f t="shared" ca="1" si="607"/>
        <v>5456</v>
      </c>
      <c r="BI199" s="313">
        <f t="shared" ca="1" si="608"/>
        <v>14.981519507186858</v>
      </c>
      <c r="BJ199" s="42">
        <f t="shared" ca="1" si="505"/>
        <v>15.036276522929501</v>
      </c>
      <c r="BK199" s="42">
        <f t="shared" ca="1" si="506"/>
        <v>15.039014373716634</v>
      </c>
      <c r="BL199" s="42">
        <f t="shared" ca="1" si="609"/>
        <v>15.063655030800822</v>
      </c>
      <c r="BM199" s="150" t="e">
        <f t="shared" ca="1" si="507"/>
        <v>#DIV/0!</v>
      </c>
      <c r="BN199" s="42" t="e">
        <f t="shared" ca="1" si="508"/>
        <v>#DIV/0!</v>
      </c>
      <c r="BO199" s="293">
        <f t="shared" si="610"/>
        <v>21</v>
      </c>
      <c r="BP199" s="41">
        <f t="shared" si="611"/>
        <v>14</v>
      </c>
      <c r="BQ199" s="41">
        <f t="shared" si="612"/>
        <v>7</v>
      </c>
      <c r="BR199" s="305" t="str">
        <f t="shared" ca="1" si="509"/>
        <v/>
      </c>
      <c r="BS199" s="305" t="str">
        <f t="shared" ca="1" si="613"/>
        <v/>
      </c>
      <c r="BT199" s="307" t="str">
        <f t="shared" ca="1" si="614"/>
        <v/>
      </c>
      <c r="BU199" s="161" t="str">
        <f t="shared" ca="1" si="510"/>
        <v/>
      </c>
      <c r="BV199" s="161" t="str">
        <f t="shared" ca="1" si="511"/>
        <v/>
      </c>
      <c r="BW199" s="308" t="str">
        <f t="shared" ca="1" si="512"/>
        <v/>
      </c>
      <c r="BX199" s="309" t="str">
        <f t="shared" ca="1" si="513"/>
        <v/>
      </c>
      <c r="BY199" s="308" t="str">
        <f t="shared" ca="1" si="615"/>
        <v/>
      </c>
      <c r="BZ199" s="309" t="str">
        <f t="shared" ca="1" si="616"/>
        <v/>
      </c>
      <c r="CA199" s="154" t="str">
        <f t="shared" ca="1" si="514"/>
        <v/>
      </c>
      <c r="CB199" s="154" t="str">
        <f t="shared" ca="1" si="515"/>
        <v/>
      </c>
      <c r="CC199" s="154" t="str">
        <f t="shared" ca="1" si="516"/>
        <v/>
      </c>
      <c r="CD199" s="154" t="str">
        <f t="shared" ca="1" si="517"/>
        <v/>
      </c>
      <c r="CE199" s="310">
        <v>1</v>
      </c>
      <c r="CF199" s="162">
        <f ca="1">IF(BD199,_xll.xCrudeAPO(BU199,BV199,CA199,CB199,S200,S201,BI199,BL199,BP199,BQ199,0,Strike1,AO199,CE199,0,BL199,IF(OptControl=4,0,1),0,1),0)</f>
        <v>0</v>
      </c>
      <c r="CG199" s="163">
        <f ca="1">IF(BD199,_xll.xCrudeAPO(BU199,BV199,CA199,CB199,S200,S201,BI199,BL199,BP199,BQ199,0,Strike1,AO199,CE199,0,BL199,IF(OptControl=4,0,1),1,1)+_xll.xCrudeAPO(BU199,BV199,CA199,CB199,S200,S201,BI199,BL199,BP199,BQ199,0,Strike1,AO199,CE199,0,BL199,IF(OptControl=4,0,1),1,2)+IF(OR(VolSkewFlag=2,ABS(BS199)&lt;0.0001),0,IF(BS199&gt;0,-1,1)*CH199*Strike1/BR199^2*BY199/10%),0)</f>
        <v>0</v>
      </c>
      <c r="CH199" s="163">
        <f ca="1">IF(BD199,(_xll.xCrudeAPO(BU199,BV199,CA199,CB199,S200,S201,BI199,BL199,BP199,BQ199,0,Strike1,AO199,CE199,0,BL199,IF(OptControl=4,0,1),3,1)+_xll.xCrudeAPO(BU199,BV199,CA199,CB199,S200,S201,BI199,BL199,BP199,BQ199,0,Strike1,AO199,CE199,0,BL199,IF(OptControl=4,0,1),3,2))/100,0)</f>
        <v>0</v>
      </c>
      <c r="CI199" s="163">
        <f ca="1">IF(BD199,_xll.xCrudeAPO(BU199,BV199,CA199,CB199,S200,S201,BI199-DaysForThetaCalculation/365.25,BL199-DaysForThetaCalculation/365.25,BP199,BQ199,0,Strike1,AO199,CE199,0,BL199,IF(OptControl=4,0,1),0,1)-_xll.xCrudeAPO(BU199,BV199,CA199,CB199,S200,S201,BI199,BL199,BP199,BQ199,0,Strike1,AO199,CE199,0,BL199,IF(OptControl=4,0,1),0,1),0)</f>
        <v>0</v>
      </c>
      <c r="CJ199" s="311">
        <f ca="1">IF(BD199,_xll.xCrudeAPO(BU199,BV199,CC199,CD199,S200,S201,BI199,BL199,BP199,BQ199,0,Strike2,AO199,CE199,0,BL199,IF(OptControl=3,1,0),0,1),0)</f>
        <v>0</v>
      </c>
      <c r="CK199" s="163">
        <f ca="1">IF(BD199,_xll.xCrudeAPO(BU199,BV199,CC199,CD199,S200,S201,BI199,BL199,BP199,BQ199,0,Strike2,AO199,CE199,0,BL199,IF(OptControl=3,1,0),1,1)+_xll.xCrudeAPO(BU199,BV199,CC199,CD199,S200,S201,BI199,BL199,BP199,BQ199,0,Strike2,AO199,CE199,0,BL199,IF(OptControl=3,1,0),1,2)+IF(OR(VolSkewFlag=2,ABS(BT199)&lt;0.0001),0,IF(BT199&gt;0,-1,1)*CL199*Strike2/BR199^2*BZ199/10%),0)</f>
        <v>0</v>
      </c>
      <c r="CL199" s="163">
        <f ca="1">IF(BD199,(_xll.xCrudeAPO(BU199,BV199,CC199,CD199,S200,S201,BI199,BL199,BP199,BQ199,0,Strike2,AO199,CE199,0,BL199,IF(OptControl=3,1,0),3,1)+_xll.xCrudeAPO(BU199,BV199,CC199,CD199,S200,S201,BI199,BL199,BP199,BQ199,0,Strike2,AO199,CE199,0,BL199,IF(OptControl=3,1,0),3,2))/100,0)</f>
        <v>0</v>
      </c>
      <c r="CM199" s="164">
        <f ca="1">IF(BD199,_xll.xCrudeAPO(BU199,BV199,CC199,CD199,S200,S201,BI199-DaysForThetaCalculation/365.25,BL199-DaysForThetaCalculation/365.25,BP199,BQ199,0,Strike2,AO199,CE199,0,BL199,IF(OptControl=3,1,0),0,1)-_xll.xCrudeAPO(BU199,BV199,CC199,CD199,S200,S201,BI199,BL199,BP199,BQ199,0,Strike2,AO199,CE199,0,BL199,IF(OptControl=3,1,0),0,1),0)</f>
        <v>0</v>
      </c>
      <c r="CN199" s="53"/>
      <c r="CO199" s="796" t="str">
        <f t="shared" ca="1" si="532"/>
        <v/>
      </c>
      <c r="CP199" s="800" t="str">
        <f t="shared" ca="1" si="533"/>
        <v/>
      </c>
      <c r="CQ199" s="797" t="str">
        <f t="shared" ca="1" si="534"/>
        <v/>
      </c>
      <c r="CR199" s="797" t="str">
        <f t="shared" ca="1" si="535"/>
        <v/>
      </c>
      <c r="CS199" s="797" t="str">
        <f t="shared" ca="1" si="536"/>
        <v/>
      </c>
      <c r="CT199" s="797" t="str">
        <f t="shared" ca="1" si="537"/>
        <v/>
      </c>
      <c r="CU199" s="798" t="str">
        <f t="shared" ca="1" si="538"/>
        <v/>
      </c>
      <c r="CV199" s="799" t="str">
        <f t="shared" ca="1" si="539"/>
        <v/>
      </c>
      <c r="CW199" s="799" t="str">
        <f t="shared" ca="1" si="540"/>
        <v/>
      </c>
      <c r="CX199" s="163">
        <f ca="1">IF(BD199,_xll.EURO(CP199,Strike1,AO199,AO199,CV199,CO199,IF(OptControl=4,0,1),0),0)</f>
        <v>0</v>
      </c>
      <c r="CY199" s="163">
        <f ca="1">IF(BD199,_xll.EURO(CP199,Strike1,AO199,AO199,CV199,CO199,IF(OptControl=4,0,1),1)+IF(OR(VolSkewFlag=2,ABS(CQ199)&lt;0.0001),0,IF(CQ199&gt;0,-1,1)*CZ199*100*Strike1/CP199^2*CS199/10%),0)</f>
        <v>0</v>
      </c>
      <c r="CZ199" s="163">
        <f ca="1">IF(BD199,_xll.EURO(CP199,Strike1,AO199,AO199,CV199,CO199,IF(OptControl=4,0,1),3)/100,0)</f>
        <v>0</v>
      </c>
      <c r="DA199" s="163">
        <f ca="1">IF(BD199,_xll.EURO(CP199,Strike1,AO199,AO199,CV199,CO199,IF(OptControl=4,0,1),0)-_xll.EURO(CP199,Strike1,AO199,AO199,CV199,CO199-1,IF(OptControl=4,0,1),0),0)</f>
        <v>0</v>
      </c>
      <c r="DB199" s="163">
        <f ca="1">IF(BD199,_xll.EURO(CP199,Strike2,AO199,AO199,CW199,CO199,IF(OptControl=3,1,0),0),0)</f>
        <v>0</v>
      </c>
      <c r="DC199" s="163">
        <f ca="1">IF(BD199,_xll.EURO(CP199,Strike2,AO199,AO199,CW199,CO199,IF(OptControl=3,1,0),1)+IF(OR(VolSkewFlag=2,ABS(CR199)&lt;0.0001),0,IF(CR199&gt;0,-1,1)*DD199*100*Strike2/CP199^2*CT199/10%),0)</f>
        <v>0</v>
      </c>
      <c r="DD199" s="163">
        <f ca="1">IF(BD199,_xll.EURO(CP199,Strike2,AO199,AO199,CW199,CO199,IF(OptControl=3,1,0),3)/100,0)</f>
        <v>0</v>
      </c>
      <c r="DE199" s="164">
        <f ca="1">IF(BD199,_xll.EURO(CP199,Strike2,AO199,AO199,CW199,CO199,IF(OptControl=3,1,0),0)-_xll.EURO(CP199,Strike2,AO199,AO199,CW199,CO199-1,IF(OptControl=3,1,0),0),0)</f>
        <v>0</v>
      </c>
      <c r="DG199" s="667">
        <f t="shared" ca="1" si="541"/>
        <v>42005</v>
      </c>
      <c r="DH199" s="475">
        <v>23.110000000000074</v>
      </c>
      <c r="DI199" s="665">
        <v>23.179047619047694</v>
      </c>
      <c r="DJ199" s="666">
        <f t="shared" ca="1" si="617"/>
        <v>42005</v>
      </c>
      <c r="DK199" s="475">
        <v>21.899562343952731</v>
      </c>
      <c r="DL199" s="665">
        <v>22.010547619047692</v>
      </c>
      <c r="DM199" s="667">
        <f t="shared" ca="1" si="618"/>
        <v>42005</v>
      </c>
      <c r="DN199" s="668">
        <f t="shared" si="619"/>
        <v>21.949562343952731</v>
      </c>
      <c r="DO199" s="667">
        <f t="shared" ca="1" si="620"/>
        <v>42005</v>
      </c>
      <c r="DP199" s="579">
        <f t="shared" si="621"/>
        <v>22.010547619047692</v>
      </c>
      <c r="DQ199" s="821">
        <v>0</v>
      </c>
      <c r="DR199" s="666">
        <f t="shared" ca="1" si="622"/>
        <v>42005</v>
      </c>
      <c r="DS199" s="669">
        <v>0.11719999999999801</v>
      </c>
      <c r="DT199" s="606">
        <v>0.1163714285714266</v>
      </c>
      <c r="DU199" s="666">
        <f t="shared" ca="1" si="623"/>
        <v>42005</v>
      </c>
      <c r="DV199" s="669">
        <v>0.11719999999999801</v>
      </c>
      <c r="DW199" s="606">
        <v>0.1163714285714266</v>
      </c>
      <c r="DX199" s="667">
        <f t="shared" ca="1" si="624"/>
        <v>42005</v>
      </c>
      <c r="DY199" s="606">
        <v>0.35</v>
      </c>
      <c r="DZ199" s="667">
        <f t="shared" ca="1" si="625"/>
        <v>42005</v>
      </c>
      <c r="EA199" s="606">
        <f t="shared" si="626"/>
        <v>0.1163714285714266</v>
      </c>
      <c r="EB199" s="1"/>
      <c r="EC199" s="118" t="str">
        <f t="shared" ca="1" si="627"/>
        <v/>
      </c>
      <c r="ED199" s="119" t="str">
        <f t="shared" ca="1" si="525"/>
        <v/>
      </c>
      <c r="EE199" s="112" t="str">
        <f t="shared" ca="1" si="526"/>
        <v/>
      </c>
      <c r="EF199" s="120">
        <f ca="1">IF(BD199,_xll.xASN(BR199,Strike1,AO199,ED199,0,BO199,0,BI199,BL199,IF(OptControl=4,0,1),0),0)</f>
        <v>0</v>
      </c>
      <c r="EG199" s="111">
        <f ca="1">IF(BD199,_xll.xASN(BR199,Strike2,AO199,EE199,0,BO199,0,BI199,BL199,IF(OptControl=3,1,0),0),0)</f>
        <v>0</v>
      </c>
      <c r="EL199" s="55"/>
      <c r="EM199" s="1"/>
      <c r="EN199" s="106"/>
      <c r="EO199" s="106"/>
      <c r="EP199" s="1"/>
      <c r="EQ199" s="683" t="s">
        <v>413</v>
      </c>
      <c r="ES199" s="455"/>
      <c r="ET199" s="36"/>
      <c r="EU199" s="107"/>
      <c r="EV199" s="475"/>
      <c r="EW199" s="456"/>
      <c r="EX199" s="456"/>
      <c r="EY199" s="250"/>
      <c r="EZ199" s="250"/>
      <c r="FA199" s="250"/>
      <c r="FB199" s="250"/>
      <c r="FC199" s="250"/>
      <c r="FD199" s="250"/>
      <c r="FE199" s="250"/>
      <c r="FF199" s="250"/>
      <c r="FG199" s="250"/>
      <c r="FH199" s="250"/>
      <c r="FI199" s="250"/>
      <c r="FJ199" s="673">
        <v>30</v>
      </c>
      <c r="FK199" s="479" t="str">
        <f ca="1">IF(OR(FK$169&lt;SwaptionFirstMonthPosition+1,$FJ199&lt;SwaptionFirstMonthPosition+1,FK$169&gt;SwaptionFirstMonthPosition+SwaptionNumOfMonths+1,$FJ199&gt;SwaptionFirstMonthPosition+SwaptionNumOfMonths+1),"",IF($FJ199=FK$169,1,IF($FJ199&lt;FK$169,INDEX($FK$170:$ID$241,FK$169,$FJ199),SUMPRODUCT(INDEX($FK$325:$ID$396,FK$169,1+SwaptionShift):INDEX($FK$325:$ID$396,FK$169,SwaptionMonthsToGo+SwaptionShift),INDEX($FK$245:$ID$316,$FJ199-FK$169,73-FK$169+SwaptionShift):INDEX($FK$245:$ID$316,$FJ199-FK$169,72-FK$169+SwaptionMonthsToGo+SwaptionShift))/SQRT(SUM(INDEX($FK354:$ID354,1+SwaptionShift):INDEX($FK354:$ID354,SwaptionMonthsToGo+SwaptionShift))*SUM(INDEX($FK$325:$ID$396,FK$169,1+SwaptionShift):INDEX($FK$325:$ID$396,FK$169,SwaptionMonthsToGo+SwaptionShift))))))</f>
        <v/>
      </c>
      <c r="FL199" s="479" t="str">
        <f ca="1">IF(OR(FL$169&lt;SwaptionFirstMonthPosition+1,$FJ199&lt;SwaptionFirstMonthPosition+1,FL$169&gt;SwaptionFirstMonthPosition+SwaptionNumOfMonths+1,$FJ199&gt;SwaptionFirstMonthPosition+SwaptionNumOfMonths+1),"",IF($FJ199=FL$169,1,IF($FJ199&lt;FL$169,INDEX($FK$170:$ID$241,FL$169,$FJ199),SUMPRODUCT(INDEX($FK$325:$ID$396,FL$169,1+SwaptionShift):INDEX($FK$325:$ID$396,FL$169,SwaptionMonthsToGo+SwaptionShift),INDEX($FK$245:$ID$316,$FJ199-FL$169,73-FL$169+SwaptionShift):INDEX($FK$245:$ID$316,$FJ199-FL$169,72-FL$169+SwaptionMonthsToGo+SwaptionShift))/SQRT(SUM(INDEX($FK354:$ID354,1+SwaptionShift):INDEX($FK354:$ID354,SwaptionMonthsToGo+SwaptionShift))*SUM(INDEX($FK$325:$ID$396,FL$169,1+SwaptionShift):INDEX($FK$325:$ID$396,FL$169,SwaptionMonthsToGo+SwaptionShift))))))</f>
        <v/>
      </c>
      <c r="FM199" s="479" t="str">
        <f ca="1">IF(OR(FM$169&lt;SwaptionFirstMonthPosition+1,$FJ199&lt;SwaptionFirstMonthPosition+1,FM$169&gt;SwaptionFirstMonthPosition+SwaptionNumOfMonths+1,$FJ199&gt;SwaptionFirstMonthPosition+SwaptionNumOfMonths+1),"",IF($FJ199=FM$169,1,IF($FJ199&lt;FM$169,INDEX($FK$170:$ID$241,FM$169,$FJ199),SUMPRODUCT(INDEX($FK$325:$ID$396,FM$169,1+SwaptionShift):INDEX($FK$325:$ID$396,FM$169,SwaptionMonthsToGo+SwaptionShift),INDEX($FK$245:$ID$316,$FJ199-FM$169,73-FM$169+SwaptionShift):INDEX($FK$245:$ID$316,$FJ199-FM$169,72-FM$169+SwaptionMonthsToGo+SwaptionShift))/SQRT(SUM(INDEX($FK354:$ID354,1+SwaptionShift):INDEX($FK354:$ID354,SwaptionMonthsToGo+SwaptionShift))*SUM(INDEX($FK$325:$ID$396,FM$169,1+SwaptionShift):INDEX($FK$325:$ID$396,FM$169,SwaptionMonthsToGo+SwaptionShift))))))</f>
        <v/>
      </c>
      <c r="FN199" s="479" t="str">
        <f ca="1">IF(OR(FN$169&lt;SwaptionFirstMonthPosition+1,$FJ199&lt;SwaptionFirstMonthPosition+1,FN$169&gt;SwaptionFirstMonthPosition+SwaptionNumOfMonths+1,$FJ199&gt;SwaptionFirstMonthPosition+SwaptionNumOfMonths+1),"",IF($FJ199=FN$169,1,IF($FJ199&lt;FN$169,INDEX($FK$170:$ID$241,FN$169,$FJ199),SUMPRODUCT(INDEX($FK$325:$ID$396,FN$169,1+SwaptionShift):INDEX($FK$325:$ID$396,FN$169,SwaptionMonthsToGo+SwaptionShift),INDEX($FK$245:$ID$316,$FJ199-FN$169,73-FN$169+SwaptionShift):INDEX($FK$245:$ID$316,$FJ199-FN$169,72-FN$169+SwaptionMonthsToGo+SwaptionShift))/SQRT(SUM(INDEX($FK354:$ID354,1+SwaptionShift):INDEX($FK354:$ID354,SwaptionMonthsToGo+SwaptionShift))*SUM(INDEX($FK$325:$ID$396,FN$169,1+SwaptionShift):INDEX($FK$325:$ID$396,FN$169,SwaptionMonthsToGo+SwaptionShift))))))</f>
        <v/>
      </c>
      <c r="FO199" s="479" t="str">
        <f ca="1">IF(OR(FO$169&lt;SwaptionFirstMonthPosition+1,$FJ199&lt;SwaptionFirstMonthPosition+1,FO$169&gt;SwaptionFirstMonthPosition+SwaptionNumOfMonths+1,$FJ199&gt;SwaptionFirstMonthPosition+SwaptionNumOfMonths+1),"",IF($FJ199=FO$169,1,IF($FJ199&lt;FO$169,INDEX($FK$170:$ID$241,FO$169,$FJ199),SUMPRODUCT(INDEX($FK$325:$ID$396,FO$169,1+SwaptionShift):INDEX($FK$325:$ID$396,FO$169,SwaptionMonthsToGo+SwaptionShift),INDEX($FK$245:$ID$316,$FJ199-FO$169,73-FO$169+SwaptionShift):INDEX($FK$245:$ID$316,$FJ199-FO$169,72-FO$169+SwaptionMonthsToGo+SwaptionShift))/SQRT(SUM(INDEX($FK354:$ID354,1+SwaptionShift):INDEX($FK354:$ID354,SwaptionMonthsToGo+SwaptionShift))*SUM(INDEX($FK$325:$ID$396,FO$169,1+SwaptionShift):INDEX($FK$325:$ID$396,FO$169,SwaptionMonthsToGo+SwaptionShift))))))</f>
        <v/>
      </c>
      <c r="FP199" s="479" t="str">
        <f ca="1">IF(OR(FP$169&lt;SwaptionFirstMonthPosition+1,$FJ199&lt;SwaptionFirstMonthPosition+1,FP$169&gt;SwaptionFirstMonthPosition+SwaptionNumOfMonths+1,$FJ199&gt;SwaptionFirstMonthPosition+SwaptionNumOfMonths+1),"",IF($FJ199=FP$169,1,IF($FJ199&lt;FP$169,INDEX($FK$170:$ID$241,FP$169,$FJ199),SUMPRODUCT(INDEX($FK$325:$ID$396,FP$169,1+SwaptionShift):INDEX($FK$325:$ID$396,FP$169,SwaptionMonthsToGo+SwaptionShift),INDEX($FK$245:$ID$316,$FJ199-FP$169,73-FP$169+SwaptionShift):INDEX($FK$245:$ID$316,$FJ199-FP$169,72-FP$169+SwaptionMonthsToGo+SwaptionShift))/SQRT(SUM(INDEX($FK354:$ID354,1+SwaptionShift):INDEX($FK354:$ID354,SwaptionMonthsToGo+SwaptionShift))*SUM(INDEX($FK$325:$ID$396,FP$169,1+SwaptionShift):INDEX($FK$325:$ID$396,FP$169,SwaptionMonthsToGo+SwaptionShift))))))</f>
        <v/>
      </c>
      <c r="FQ199" s="479" t="str">
        <f ca="1">IF(OR(FQ$169&lt;SwaptionFirstMonthPosition+1,$FJ199&lt;SwaptionFirstMonthPosition+1,FQ$169&gt;SwaptionFirstMonthPosition+SwaptionNumOfMonths+1,$FJ199&gt;SwaptionFirstMonthPosition+SwaptionNumOfMonths+1),"",IF($FJ199=FQ$169,1,IF($FJ199&lt;FQ$169,INDEX($FK$170:$ID$241,FQ$169,$FJ199),SUMPRODUCT(INDEX($FK$325:$ID$396,FQ$169,1+SwaptionShift):INDEX($FK$325:$ID$396,FQ$169,SwaptionMonthsToGo+SwaptionShift),INDEX($FK$245:$ID$316,$FJ199-FQ$169,73-FQ$169+SwaptionShift):INDEX($FK$245:$ID$316,$FJ199-FQ$169,72-FQ$169+SwaptionMonthsToGo+SwaptionShift))/SQRT(SUM(INDEX($FK354:$ID354,1+SwaptionShift):INDEX($FK354:$ID354,SwaptionMonthsToGo+SwaptionShift))*SUM(INDEX($FK$325:$ID$396,FQ$169,1+SwaptionShift):INDEX($FK$325:$ID$396,FQ$169,SwaptionMonthsToGo+SwaptionShift))))))</f>
        <v/>
      </c>
      <c r="FR199" s="479" t="str">
        <f ca="1">IF(OR(FR$169&lt;SwaptionFirstMonthPosition+1,$FJ199&lt;SwaptionFirstMonthPosition+1,FR$169&gt;SwaptionFirstMonthPosition+SwaptionNumOfMonths+1,$FJ199&gt;SwaptionFirstMonthPosition+SwaptionNumOfMonths+1),"",IF($FJ199=FR$169,1,IF($FJ199&lt;FR$169,INDEX($FK$170:$ID$241,FR$169,$FJ199),SUMPRODUCT(INDEX($FK$325:$ID$396,FR$169,1+SwaptionShift):INDEX($FK$325:$ID$396,FR$169,SwaptionMonthsToGo+SwaptionShift),INDEX($FK$245:$ID$316,$FJ199-FR$169,73-FR$169+SwaptionShift):INDEX($FK$245:$ID$316,$FJ199-FR$169,72-FR$169+SwaptionMonthsToGo+SwaptionShift))/SQRT(SUM(INDEX($FK354:$ID354,1+SwaptionShift):INDEX($FK354:$ID354,SwaptionMonthsToGo+SwaptionShift))*SUM(INDEX($FK$325:$ID$396,FR$169,1+SwaptionShift):INDEX($FK$325:$ID$396,FR$169,SwaptionMonthsToGo+SwaptionShift))))))</f>
        <v/>
      </c>
      <c r="FS199" s="479" t="str">
        <f ca="1">IF(OR(FS$169&lt;SwaptionFirstMonthPosition+1,$FJ199&lt;SwaptionFirstMonthPosition+1,FS$169&gt;SwaptionFirstMonthPosition+SwaptionNumOfMonths+1,$FJ199&gt;SwaptionFirstMonthPosition+SwaptionNumOfMonths+1),"",IF($FJ199=FS$169,1,IF($FJ199&lt;FS$169,INDEX($FK$170:$ID$241,FS$169,$FJ199),SUMPRODUCT(INDEX($FK$325:$ID$396,FS$169,1+SwaptionShift):INDEX($FK$325:$ID$396,FS$169,SwaptionMonthsToGo+SwaptionShift),INDEX($FK$245:$ID$316,$FJ199-FS$169,73-FS$169+SwaptionShift):INDEX($FK$245:$ID$316,$FJ199-FS$169,72-FS$169+SwaptionMonthsToGo+SwaptionShift))/SQRT(SUM(INDEX($FK354:$ID354,1+SwaptionShift):INDEX($FK354:$ID354,SwaptionMonthsToGo+SwaptionShift))*SUM(INDEX($FK$325:$ID$396,FS$169,1+SwaptionShift):INDEX($FK$325:$ID$396,FS$169,SwaptionMonthsToGo+SwaptionShift))))))</f>
        <v/>
      </c>
      <c r="FT199" s="479" t="str">
        <f ca="1">IF(OR(FT$169&lt;SwaptionFirstMonthPosition+1,$FJ199&lt;SwaptionFirstMonthPosition+1,FT$169&gt;SwaptionFirstMonthPosition+SwaptionNumOfMonths+1,$FJ199&gt;SwaptionFirstMonthPosition+SwaptionNumOfMonths+1),"",IF($FJ199=FT$169,1,IF($FJ199&lt;FT$169,INDEX($FK$170:$ID$241,FT$169,$FJ199),SUMPRODUCT(INDEX($FK$325:$ID$396,FT$169,1+SwaptionShift):INDEX($FK$325:$ID$396,FT$169,SwaptionMonthsToGo+SwaptionShift),INDEX($FK$245:$ID$316,$FJ199-FT$169,73-FT$169+SwaptionShift):INDEX($FK$245:$ID$316,$FJ199-FT$169,72-FT$169+SwaptionMonthsToGo+SwaptionShift))/SQRT(SUM(INDEX($FK354:$ID354,1+SwaptionShift):INDEX($FK354:$ID354,SwaptionMonthsToGo+SwaptionShift))*SUM(INDEX($FK$325:$ID$396,FT$169,1+SwaptionShift):INDEX($FK$325:$ID$396,FT$169,SwaptionMonthsToGo+SwaptionShift))))))</f>
        <v/>
      </c>
      <c r="FU199" s="479" t="str">
        <f ca="1">IF(OR(FU$169&lt;SwaptionFirstMonthPosition+1,$FJ199&lt;SwaptionFirstMonthPosition+1,FU$169&gt;SwaptionFirstMonthPosition+SwaptionNumOfMonths+1,$FJ199&gt;SwaptionFirstMonthPosition+SwaptionNumOfMonths+1),"",IF($FJ199=FU$169,1,IF($FJ199&lt;FU$169,INDEX($FK$170:$ID$241,FU$169,$FJ199),SUMPRODUCT(INDEX($FK$325:$ID$396,FU$169,1+SwaptionShift):INDEX($FK$325:$ID$396,FU$169,SwaptionMonthsToGo+SwaptionShift),INDEX($FK$245:$ID$316,$FJ199-FU$169,73-FU$169+SwaptionShift):INDEX($FK$245:$ID$316,$FJ199-FU$169,72-FU$169+SwaptionMonthsToGo+SwaptionShift))/SQRT(SUM(INDEX($FK354:$ID354,1+SwaptionShift):INDEX($FK354:$ID354,SwaptionMonthsToGo+SwaptionShift))*SUM(INDEX($FK$325:$ID$396,FU$169,1+SwaptionShift):INDEX($FK$325:$ID$396,FU$169,SwaptionMonthsToGo+SwaptionShift))))))</f>
        <v/>
      </c>
      <c r="FV199" s="479" t="str">
        <f ca="1">IF(OR(FV$169&lt;SwaptionFirstMonthPosition+1,$FJ199&lt;SwaptionFirstMonthPosition+1,FV$169&gt;SwaptionFirstMonthPosition+SwaptionNumOfMonths+1,$FJ199&gt;SwaptionFirstMonthPosition+SwaptionNumOfMonths+1),"",IF($FJ199=FV$169,1,IF($FJ199&lt;FV$169,INDEX($FK$170:$ID$241,FV$169,$FJ199),SUMPRODUCT(INDEX($FK$325:$ID$396,FV$169,1+SwaptionShift):INDEX($FK$325:$ID$396,FV$169,SwaptionMonthsToGo+SwaptionShift),INDEX($FK$245:$ID$316,$FJ199-FV$169,73-FV$169+SwaptionShift):INDEX($FK$245:$ID$316,$FJ199-FV$169,72-FV$169+SwaptionMonthsToGo+SwaptionShift))/SQRT(SUM(INDEX($FK354:$ID354,1+SwaptionShift):INDEX($FK354:$ID354,SwaptionMonthsToGo+SwaptionShift))*SUM(INDEX($FK$325:$ID$396,FV$169,1+SwaptionShift):INDEX($FK$325:$ID$396,FV$169,SwaptionMonthsToGo+SwaptionShift))))))</f>
        <v/>
      </c>
      <c r="FW199" s="479" t="str">
        <f ca="1">IF(OR(FW$169&lt;SwaptionFirstMonthPosition+1,$FJ199&lt;SwaptionFirstMonthPosition+1,FW$169&gt;SwaptionFirstMonthPosition+SwaptionNumOfMonths+1,$FJ199&gt;SwaptionFirstMonthPosition+SwaptionNumOfMonths+1),"",IF($FJ199=FW$169,1,IF($FJ199&lt;FW$169,INDEX($FK$170:$ID$241,FW$169,$FJ199),SUMPRODUCT(INDEX($FK$325:$ID$396,FW$169,1+SwaptionShift):INDEX($FK$325:$ID$396,FW$169,SwaptionMonthsToGo+SwaptionShift),INDEX($FK$245:$ID$316,$FJ199-FW$169,73-FW$169+SwaptionShift):INDEX($FK$245:$ID$316,$FJ199-FW$169,72-FW$169+SwaptionMonthsToGo+SwaptionShift))/SQRT(SUM(INDEX($FK354:$ID354,1+SwaptionShift):INDEX($FK354:$ID354,SwaptionMonthsToGo+SwaptionShift))*SUM(INDEX($FK$325:$ID$396,FW$169,1+SwaptionShift):INDEX($FK$325:$ID$396,FW$169,SwaptionMonthsToGo+SwaptionShift))))))</f>
        <v/>
      </c>
      <c r="FX199" s="479" t="str">
        <f ca="1">IF(OR(FX$169&lt;SwaptionFirstMonthPosition+1,$FJ199&lt;SwaptionFirstMonthPosition+1,FX$169&gt;SwaptionFirstMonthPosition+SwaptionNumOfMonths+1,$FJ199&gt;SwaptionFirstMonthPosition+SwaptionNumOfMonths+1),"",IF($FJ199=FX$169,1,IF($FJ199&lt;FX$169,INDEX($FK$170:$ID$241,FX$169,$FJ199),SUMPRODUCT(INDEX($FK$325:$ID$396,FX$169,1+SwaptionShift):INDEX($FK$325:$ID$396,FX$169,SwaptionMonthsToGo+SwaptionShift),INDEX($FK$245:$ID$316,$FJ199-FX$169,73-FX$169+SwaptionShift):INDEX($FK$245:$ID$316,$FJ199-FX$169,72-FX$169+SwaptionMonthsToGo+SwaptionShift))/SQRT(SUM(INDEX($FK354:$ID354,1+SwaptionShift):INDEX($FK354:$ID354,SwaptionMonthsToGo+SwaptionShift))*SUM(INDEX($FK$325:$ID$396,FX$169,1+SwaptionShift):INDEX($FK$325:$ID$396,FX$169,SwaptionMonthsToGo+SwaptionShift))))))</f>
        <v/>
      </c>
      <c r="FY199" s="479" t="str">
        <f ca="1">IF(OR(FY$169&lt;SwaptionFirstMonthPosition+1,$FJ199&lt;SwaptionFirstMonthPosition+1,FY$169&gt;SwaptionFirstMonthPosition+SwaptionNumOfMonths+1,$FJ199&gt;SwaptionFirstMonthPosition+SwaptionNumOfMonths+1),"",IF($FJ199=FY$169,1,IF($FJ199&lt;FY$169,INDEX($FK$170:$ID$241,FY$169,$FJ199),SUMPRODUCT(INDEX($FK$325:$ID$396,FY$169,1+SwaptionShift):INDEX($FK$325:$ID$396,FY$169,SwaptionMonthsToGo+SwaptionShift),INDEX($FK$245:$ID$316,$FJ199-FY$169,73-FY$169+SwaptionShift):INDEX($FK$245:$ID$316,$FJ199-FY$169,72-FY$169+SwaptionMonthsToGo+SwaptionShift))/SQRT(SUM(INDEX($FK354:$ID354,1+SwaptionShift):INDEX($FK354:$ID354,SwaptionMonthsToGo+SwaptionShift))*SUM(INDEX($FK$325:$ID$396,FY$169,1+SwaptionShift):INDEX($FK$325:$ID$396,FY$169,SwaptionMonthsToGo+SwaptionShift))))))</f>
        <v/>
      </c>
      <c r="FZ199" s="479" t="str">
        <f ca="1">IF(OR(FZ$169&lt;SwaptionFirstMonthPosition+1,$FJ199&lt;SwaptionFirstMonthPosition+1,FZ$169&gt;SwaptionFirstMonthPosition+SwaptionNumOfMonths+1,$FJ199&gt;SwaptionFirstMonthPosition+SwaptionNumOfMonths+1),"",IF($FJ199=FZ$169,1,IF($FJ199&lt;FZ$169,INDEX($FK$170:$ID$241,FZ$169,$FJ199),SUMPRODUCT(INDEX($FK$325:$ID$396,FZ$169,1+SwaptionShift):INDEX($FK$325:$ID$396,FZ$169,SwaptionMonthsToGo+SwaptionShift),INDEX($FK$245:$ID$316,$FJ199-FZ$169,73-FZ$169+SwaptionShift):INDEX($FK$245:$ID$316,$FJ199-FZ$169,72-FZ$169+SwaptionMonthsToGo+SwaptionShift))/SQRT(SUM(INDEX($FK354:$ID354,1+SwaptionShift):INDEX($FK354:$ID354,SwaptionMonthsToGo+SwaptionShift))*SUM(INDEX($FK$325:$ID$396,FZ$169,1+SwaptionShift):INDEX($FK$325:$ID$396,FZ$169,SwaptionMonthsToGo+SwaptionShift))))))</f>
        <v/>
      </c>
      <c r="GA199" s="479" t="str">
        <f ca="1">IF(OR(GA$169&lt;SwaptionFirstMonthPosition+1,$FJ199&lt;SwaptionFirstMonthPosition+1,GA$169&gt;SwaptionFirstMonthPosition+SwaptionNumOfMonths+1,$FJ199&gt;SwaptionFirstMonthPosition+SwaptionNumOfMonths+1),"",IF($FJ199=GA$169,1,IF($FJ199&lt;GA$169,INDEX($FK$170:$ID$241,GA$169,$FJ199),SUMPRODUCT(INDEX($FK$325:$ID$396,GA$169,1+SwaptionShift):INDEX($FK$325:$ID$396,GA$169,SwaptionMonthsToGo+SwaptionShift),INDEX($FK$245:$ID$316,$FJ199-GA$169,73-GA$169+SwaptionShift):INDEX($FK$245:$ID$316,$FJ199-GA$169,72-GA$169+SwaptionMonthsToGo+SwaptionShift))/SQRT(SUM(INDEX($FK354:$ID354,1+SwaptionShift):INDEX($FK354:$ID354,SwaptionMonthsToGo+SwaptionShift))*SUM(INDEX($FK$325:$ID$396,GA$169,1+SwaptionShift):INDEX($FK$325:$ID$396,GA$169,SwaptionMonthsToGo+SwaptionShift))))))</f>
        <v/>
      </c>
      <c r="GB199" s="479" t="str">
        <f ca="1">IF(OR(GB$169&lt;SwaptionFirstMonthPosition+1,$FJ199&lt;SwaptionFirstMonthPosition+1,GB$169&gt;SwaptionFirstMonthPosition+SwaptionNumOfMonths+1,$FJ199&gt;SwaptionFirstMonthPosition+SwaptionNumOfMonths+1),"",IF($FJ199=GB$169,1,IF($FJ199&lt;GB$169,INDEX($FK$170:$ID$241,GB$169,$FJ199),SUMPRODUCT(INDEX($FK$325:$ID$396,GB$169,1+SwaptionShift):INDEX($FK$325:$ID$396,GB$169,SwaptionMonthsToGo+SwaptionShift),INDEX($FK$245:$ID$316,$FJ199-GB$169,73-GB$169+SwaptionShift):INDEX($FK$245:$ID$316,$FJ199-GB$169,72-GB$169+SwaptionMonthsToGo+SwaptionShift))/SQRT(SUM(INDEX($FK354:$ID354,1+SwaptionShift):INDEX($FK354:$ID354,SwaptionMonthsToGo+SwaptionShift))*SUM(INDEX($FK$325:$ID$396,GB$169,1+SwaptionShift):INDEX($FK$325:$ID$396,GB$169,SwaptionMonthsToGo+SwaptionShift))))))</f>
        <v/>
      </c>
      <c r="GC199" s="479" t="str">
        <f ca="1">IF(OR(GC$169&lt;SwaptionFirstMonthPosition+1,$FJ199&lt;SwaptionFirstMonthPosition+1,GC$169&gt;SwaptionFirstMonthPosition+SwaptionNumOfMonths+1,$FJ199&gt;SwaptionFirstMonthPosition+SwaptionNumOfMonths+1),"",IF($FJ199=GC$169,1,IF($FJ199&lt;GC$169,INDEX($FK$170:$ID$241,GC$169,$FJ199),SUMPRODUCT(INDEX($FK$325:$ID$396,GC$169,1+SwaptionShift):INDEX($FK$325:$ID$396,GC$169,SwaptionMonthsToGo+SwaptionShift),INDEX($FK$245:$ID$316,$FJ199-GC$169,73-GC$169+SwaptionShift):INDEX($FK$245:$ID$316,$FJ199-GC$169,72-GC$169+SwaptionMonthsToGo+SwaptionShift))/SQRT(SUM(INDEX($FK354:$ID354,1+SwaptionShift):INDEX($FK354:$ID354,SwaptionMonthsToGo+SwaptionShift))*SUM(INDEX($FK$325:$ID$396,GC$169,1+SwaptionShift):INDEX($FK$325:$ID$396,GC$169,SwaptionMonthsToGo+SwaptionShift))))))</f>
        <v/>
      </c>
      <c r="GD199" s="479" t="str">
        <f ca="1">IF(OR(GD$169&lt;SwaptionFirstMonthPosition+1,$FJ199&lt;SwaptionFirstMonthPosition+1,GD$169&gt;SwaptionFirstMonthPosition+SwaptionNumOfMonths+1,$FJ199&gt;SwaptionFirstMonthPosition+SwaptionNumOfMonths+1),"",IF($FJ199=GD$169,1,IF($FJ199&lt;GD$169,INDEX($FK$170:$ID$241,GD$169,$FJ199),SUMPRODUCT(INDEX($FK$325:$ID$396,GD$169,1+SwaptionShift):INDEX($FK$325:$ID$396,GD$169,SwaptionMonthsToGo+SwaptionShift),INDEX($FK$245:$ID$316,$FJ199-GD$169,73-GD$169+SwaptionShift):INDEX($FK$245:$ID$316,$FJ199-GD$169,72-GD$169+SwaptionMonthsToGo+SwaptionShift))/SQRT(SUM(INDEX($FK354:$ID354,1+SwaptionShift):INDEX($FK354:$ID354,SwaptionMonthsToGo+SwaptionShift))*SUM(INDEX($FK$325:$ID$396,GD$169,1+SwaptionShift):INDEX($FK$325:$ID$396,GD$169,SwaptionMonthsToGo+SwaptionShift))))))</f>
        <v/>
      </c>
      <c r="GE199" s="479" t="str">
        <f ca="1">IF(OR(GE$169&lt;SwaptionFirstMonthPosition+1,$FJ199&lt;SwaptionFirstMonthPosition+1,GE$169&gt;SwaptionFirstMonthPosition+SwaptionNumOfMonths+1,$FJ199&gt;SwaptionFirstMonthPosition+SwaptionNumOfMonths+1),"",IF($FJ199=GE$169,1,IF($FJ199&lt;GE$169,INDEX($FK$170:$ID$241,GE$169,$FJ199),SUMPRODUCT(INDEX($FK$325:$ID$396,GE$169,1+SwaptionShift):INDEX($FK$325:$ID$396,GE$169,SwaptionMonthsToGo+SwaptionShift),INDEX($FK$245:$ID$316,$FJ199-GE$169,73-GE$169+SwaptionShift):INDEX($FK$245:$ID$316,$FJ199-GE$169,72-GE$169+SwaptionMonthsToGo+SwaptionShift))/SQRT(SUM(INDEX($FK354:$ID354,1+SwaptionShift):INDEX($FK354:$ID354,SwaptionMonthsToGo+SwaptionShift))*SUM(INDEX($FK$325:$ID$396,GE$169,1+SwaptionShift):INDEX($FK$325:$ID$396,GE$169,SwaptionMonthsToGo+SwaptionShift))))))</f>
        <v/>
      </c>
      <c r="GF199" s="479" t="str">
        <f ca="1">IF(OR(GF$169&lt;SwaptionFirstMonthPosition+1,$FJ199&lt;SwaptionFirstMonthPosition+1,GF$169&gt;SwaptionFirstMonthPosition+SwaptionNumOfMonths+1,$FJ199&gt;SwaptionFirstMonthPosition+SwaptionNumOfMonths+1),"",IF($FJ199=GF$169,1,IF($FJ199&lt;GF$169,INDEX($FK$170:$ID$241,GF$169,$FJ199),SUMPRODUCT(INDEX($FK$325:$ID$396,GF$169,1+SwaptionShift):INDEX($FK$325:$ID$396,GF$169,SwaptionMonthsToGo+SwaptionShift),INDEX($FK$245:$ID$316,$FJ199-GF$169,73-GF$169+SwaptionShift):INDEX($FK$245:$ID$316,$FJ199-GF$169,72-GF$169+SwaptionMonthsToGo+SwaptionShift))/SQRT(SUM(INDEX($FK354:$ID354,1+SwaptionShift):INDEX($FK354:$ID354,SwaptionMonthsToGo+SwaptionShift))*SUM(INDEX($FK$325:$ID$396,GF$169,1+SwaptionShift):INDEX($FK$325:$ID$396,GF$169,SwaptionMonthsToGo+SwaptionShift))))))</f>
        <v/>
      </c>
      <c r="GG199" s="479" t="str">
        <f ca="1">IF(OR(GG$169&lt;SwaptionFirstMonthPosition+1,$FJ199&lt;SwaptionFirstMonthPosition+1,GG$169&gt;SwaptionFirstMonthPosition+SwaptionNumOfMonths+1,$FJ199&gt;SwaptionFirstMonthPosition+SwaptionNumOfMonths+1),"",IF($FJ199=GG$169,1,IF($FJ199&lt;GG$169,INDEX($FK$170:$ID$241,GG$169,$FJ199),SUMPRODUCT(INDEX($FK$325:$ID$396,GG$169,1+SwaptionShift):INDEX($FK$325:$ID$396,GG$169,SwaptionMonthsToGo+SwaptionShift),INDEX($FK$245:$ID$316,$FJ199-GG$169,73-GG$169+SwaptionShift):INDEX($FK$245:$ID$316,$FJ199-GG$169,72-GG$169+SwaptionMonthsToGo+SwaptionShift))/SQRT(SUM(INDEX($FK354:$ID354,1+SwaptionShift):INDEX($FK354:$ID354,SwaptionMonthsToGo+SwaptionShift))*SUM(INDEX($FK$325:$ID$396,GG$169,1+SwaptionShift):INDEX($FK$325:$ID$396,GG$169,SwaptionMonthsToGo+SwaptionShift))))))</f>
        <v/>
      </c>
      <c r="GH199" s="479" t="str">
        <f ca="1">IF(OR(GH$169&lt;SwaptionFirstMonthPosition+1,$FJ199&lt;SwaptionFirstMonthPosition+1,GH$169&gt;SwaptionFirstMonthPosition+SwaptionNumOfMonths+1,$FJ199&gt;SwaptionFirstMonthPosition+SwaptionNumOfMonths+1),"",IF($FJ199=GH$169,1,IF($FJ199&lt;GH$169,INDEX($FK$170:$ID$241,GH$169,$FJ199),SUMPRODUCT(INDEX($FK$325:$ID$396,GH$169,1+SwaptionShift):INDEX($FK$325:$ID$396,GH$169,SwaptionMonthsToGo+SwaptionShift),INDEX($FK$245:$ID$316,$FJ199-GH$169,73-GH$169+SwaptionShift):INDEX($FK$245:$ID$316,$FJ199-GH$169,72-GH$169+SwaptionMonthsToGo+SwaptionShift))/SQRT(SUM(INDEX($FK354:$ID354,1+SwaptionShift):INDEX($FK354:$ID354,SwaptionMonthsToGo+SwaptionShift))*SUM(INDEX($FK$325:$ID$396,GH$169,1+SwaptionShift):INDEX($FK$325:$ID$396,GH$169,SwaptionMonthsToGo+SwaptionShift))))))</f>
        <v/>
      </c>
      <c r="GI199" s="479" t="str">
        <f ca="1">IF(OR(GI$169&lt;SwaptionFirstMonthPosition+1,$FJ199&lt;SwaptionFirstMonthPosition+1,GI$169&gt;SwaptionFirstMonthPosition+SwaptionNumOfMonths+1,$FJ199&gt;SwaptionFirstMonthPosition+SwaptionNumOfMonths+1),"",IF($FJ199=GI$169,1,IF($FJ199&lt;GI$169,INDEX($FK$170:$ID$241,GI$169,$FJ199),SUMPRODUCT(INDEX($FK$325:$ID$396,GI$169,1+SwaptionShift):INDEX($FK$325:$ID$396,GI$169,SwaptionMonthsToGo+SwaptionShift),INDEX($FK$245:$ID$316,$FJ199-GI$169,73-GI$169+SwaptionShift):INDEX($FK$245:$ID$316,$FJ199-GI$169,72-GI$169+SwaptionMonthsToGo+SwaptionShift))/SQRT(SUM(INDEX($FK354:$ID354,1+SwaptionShift):INDEX($FK354:$ID354,SwaptionMonthsToGo+SwaptionShift))*SUM(INDEX($FK$325:$ID$396,GI$169,1+SwaptionShift):INDEX($FK$325:$ID$396,GI$169,SwaptionMonthsToGo+SwaptionShift))))))</f>
        <v/>
      </c>
      <c r="GJ199" s="479" t="str">
        <f ca="1">IF(OR(GJ$169&lt;SwaptionFirstMonthPosition+1,$FJ199&lt;SwaptionFirstMonthPosition+1,GJ$169&gt;SwaptionFirstMonthPosition+SwaptionNumOfMonths+1,$FJ199&gt;SwaptionFirstMonthPosition+SwaptionNumOfMonths+1),"",IF($FJ199=GJ$169,1,IF($FJ199&lt;GJ$169,INDEX($FK$170:$ID$241,GJ$169,$FJ199),SUMPRODUCT(INDEX($FK$325:$ID$396,GJ$169,1+SwaptionShift):INDEX($FK$325:$ID$396,GJ$169,SwaptionMonthsToGo+SwaptionShift),INDEX($FK$245:$ID$316,$FJ199-GJ$169,73-GJ$169+SwaptionShift):INDEX($FK$245:$ID$316,$FJ199-GJ$169,72-GJ$169+SwaptionMonthsToGo+SwaptionShift))/SQRT(SUM(INDEX($FK354:$ID354,1+SwaptionShift):INDEX($FK354:$ID354,SwaptionMonthsToGo+SwaptionShift))*SUM(INDEX($FK$325:$ID$396,GJ$169,1+SwaptionShift):INDEX($FK$325:$ID$396,GJ$169,SwaptionMonthsToGo+SwaptionShift))))))</f>
        <v/>
      </c>
      <c r="GK199" s="479" t="str">
        <f ca="1">IF(OR(GK$169&lt;SwaptionFirstMonthPosition+1,$FJ199&lt;SwaptionFirstMonthPosition+1,GK$169&gt;SwaptionFirstMonthPosition+SwaptionNumOfMonths+1,$FJ199&gt;SwaptionFirstMonthPosition+SwaptionNumOfMonths+1),"",IF($FJ199=GK$169,1,IF($FJ199&lt;GK$169,INDEX($FK$170:$ID$241,GK$169,$FJ199),SUMPRODUCT(INDEX($FK$325:$ID$396,GK$169,1+SwaptionShift):INDEX($FK$325:$ID$396,GK$169,SwaptionMonthsToGo+SwaptionShift),INDEX($FK$245:$ID$316,$FJ199-GK$169,73-GK$169+SwaptionShift):INDEX($FK$245:$ID$316,$FJ199-GK$169,72-GK$169+SwaptionMonthsToGo+SwaptionShift))/SQRT(SUM(INDEX($FK354:$ID354,1+SwaptionShift):INDEX($FK354:$ID354,SwaptionMonthsToGo+SwaptionShift))*SUM(INDEX($FK$325:$ID$396,GK$169,1+SwaptionShift):INDEX($FK$325:$ID$396,GK$169,SwaptionMonthsToGo+SwaptionShift))))))</f>
        <v/>
      </c>
      <c r="GL199" s="479" t="str">
        <f ca="1">IF(OR(GL$169&lt;SwaptionFirstMonthPosition+1,$FJ199&lt;SwaptionFirstMonthPosition+1,GL$169&gt;SwaptionFirstMonthPosition+SwaptionNumOfMonths+1,$FJ199&gt;SwaptionFirstMonthPosition+SwaptionNumOfMonths+1),"",IF($FJ199=GL$169,1,IF($FJ199&lt;GL$169,INDEX($FK$170:$ID$241,GL$169,$FJ199),SUMPRODUCT(INDEX($FK$325:$ID$396,GL$169,1+SwaptionShift):INDEX($FK$325:$ID$396,GL$169,SwaptionMonthsToGo+SwaptionShift),INDEX($FK$245:$ID$316,$FJ199-GL$169,73-GL$169+SwaptionShift):INDEX($FK$245:$ID$316,$FJ199-GL$169,72-GL$169+SwaptionMonthsToGo+SwaptionShift))/SQRT(SUM(INDEX($FK354:$ID354,1+SwaptionShift):INDEX($FK354:$ID354,SwaptionMonthsToGo+SwaptionShift))*SUM(INDEX($FK$325:$ID$396,GL$169,1+SwaptionShift):INDEX($FK$325:$ID$396,GL$169,SwaptionMonthsToGo+SwaptionShift))))))</f>
        <v/>
      </c>
      <c r="GM199" s="479" t="str">
        <f ca="1">IF(OR(GM$169&lt;SwaptionFirstMonthPosition+1,$FJ199&lt;SwaptionFirstMonthPosition+1,GM$169&gt;SwaptionFirstMonthPosition+SwaptionNumOfMonths+1,$FJ199&gt;SwaptionFirstMonthPosition+SwaptionNumOfMonths+1),"",IF($FJ199=GM$169,1,IF($FJ199&lt;GM$169,INDEX($FK$170:$ID$241,GM$169,$FJ199),SUMPRODUCT(INDEX($FK$325:$ID$396,GM$169,1+SwaptionShift):INDEX($FK$325:$ID$396,GM$169,SwaptionMonthsToGo+SwaptionShift),INDEX($FK$245:$ID$316,$FJ199-GM$169,73-GM$169+SwaptionShift):INDEX($FK$245:$ID$316,$FJ199-GM$169,72-GM$169+SwaptionMonthsToGo+SwaptionShift))/SQRT(SUM(INDEX($FK354:$ID354,1+SwaptionShift):INDEX($FK354:$ID354,SwaptionMonthsToGo+SwaptionShift))*SUM(INDEX($FK$325:$ID$396,GM$169,1+SwaptionShift):INDEX($FK$325:$ID$396,GM$169,SwaptionMonthsToGo+SwaptionShift))))))</f>
        <v/>
      </c>
      <c r="GN199" s="479" t="str">
        <f ca="1">IF(OR(GN$169&lt;SwaptionFirstMonthPosition+1,$FJ199&lt;SwaptionFirstMonthPosition+1,GN$169&gt;SwaptionFirstMonthPosition+SwaptionNumOfMonths+1,$FJ199&gt;SwaptionFirstMonthPosition+SwaptionNumOfMonths+1),"",IF($FJ199=GN$169,1,IF($FJ199&lt;GN$169,INDEX($FK$170:$ID$241,GN$169,$FJ199),SUMPRODUCT(INDEX($FK$325:$ID$396,GN$169,1+SwaptionShift):INDEX($FK$325:$ID$396,GN$169,SwaptionMonthsToGo+SwaptionShift),INDEX($FK$245:$ID$316,$FJ199-GN$169,73-GN$169+SwaptionShift):INDEX($FK$245:$ID$316,$FJ199-GN$169,72-GN$169+SwaptionMonthsToGo+SwaptionShift))/SQRT(SUM(INDEX($FK354:$ID354,1+SwaptionShift):INDEX($FK354:$ID354,SwaptionMonthsToGo+SwaptionShift))*SUM(INDEX($FK$325:$ID$396,GN$169,1+SwaptionShift):INDEX($FK$325:$ID$396,GN$169,SwaptionMonthsToGo+SwaptionShift))))))</f>
        <v/>
      </c>
      <c r="GO199" s="479" t="str">
        <f ca="1">IF(OR(GO$169&lt;SwaptionFirstMonthPosition+1,$FJ199&lt;SwaptionFirstMonthPosition+1,GO$169&gt;SwaptionFirstMonthPosition+SwaptionNumOfMonths+1,$FJ199&gt;SwaptionFirstMonthPosition+SwaptionNumOfMonths+1),"",IF($FJ199=GO$169,1,IF($FJ199&lt;GO$169,INDEX($FK$170:$ID$241,GO$169,$FJ199),SUMPRODUCT(INDEX($FK$325:$ID$396,GO$169,1+SwaptionShift):INDEX($FK$325:$ID$396,GO$169,SwaptionMonthsToGo+SwaptionShift),INDEX($FK$245:$ID$316,$FJ199-GO$169,73-GO$169+SwaptionShift):INDEX($FK$245:$ID$316,$FJ199-GO$169,72-GO$169+SwaptionMonthsToGo+SwaptionShift))/SQRT(SUM(INDEX($FK354:$ID354,1+SwaptionShift):INDEX($FK354:$ID354,SwaptionMonthsToGo+SwaptionShift))*SUM(INDEX($FK$325:$ID$396,GO$169,1+SwaptionShift):INDEX($FK$325:$ID$396,GO$169,SwaptionMonthsToGo+SwaptionShift))))))</f>
        <v/>
      </c>
      <c r="GP199" s="479" t="str">
        <f ca="1">IF(OR(GP$169&lt;SwaptionFirstMonthPosition+1,$FJ199&lt;SwaptionFirstMonthPosition+1,GP$169&gt;SwaptionFirstMonthPosition+SwaptionNumOfMonths+1,$FJ199&gt;SwaptionFirstMonthPosition+SwaptionNumOfMonths+1),"",IF($FJ199=GP$169,1,IF($FJ199&lt;GP$169,INDEX($FK$170:$ID$241,GP$169,$FJ199),SUMPRODUCT(INDEX($FK$325:$ID$396,GP$169,1+SwaptionShift):INDEX($FK$325:$ID$396,GP$169,SwaptionMonthsToGo+SwaptionShift),INDEX($FK$245:$ID$316,$FJ199-GP$169,73-GP$169+SwaptionShift):INDEX($FK$245:$ID$316,$FJ199-GP$169,72-GP$169+SwaptionMonthsToGo+SwaptionShift))/SQRT(SUM(INDEX($FK354:$ID354,1+SwaptionShift):INDEX($FK354:$ID354,SwaptionMonthsToGo+SwaptionShift))*SUM(INDEX($FK$325:$ID$396,GP$169,1+SwaptionShift):INDEX($FK$325:$ID$396,GP$169,SwaptionMonthsToGo+SwaptionShift))))))</f>
        <v/>
      </c>
      <c r="GQ199" s="479" t="str">
        <f ca="1">IF(OR(GQ$169&lt;SwaptionFirstMonthPosition+1,$FJ199&lt;SwaptionFirstMonthPosition+1,GQ$169&gt;SwaptionFirstMonthPosition+SwaptionNumOfMonths+1,$FJ199&gt;SwaptionFirstMonthPosition+SwaptionNumOfMonths+1),"",IF($FJ199=GQ$169,1,IF($FJ199&lt;GQ$169,INDEX($FK$170:$ID$241,GQ$169,$FJ199),SUMPRODUCT(INDEX($FK$325:$ID$396,GQ$169,1+SwaptionShift):INDEX($FK$325:$ID$396,GQ$169,SwaptionMonthsToGo+SwaptionShift),INDEX($FK$245:$ID$316,$FJ199-GQ$169,73-GQ$169+SwaptionShift):INDEX($FK$245:$ID$316,$FJ199-GQ$169,72-GQ$169+SwaptionMonthsToGo+SwaptionShift))/SQRT(SUM(INDEX($FK354:$ID354,1+SwaptionShift):INDEX($FK354:$ID354,SwaptionMonthsToGo+SwaptionShift))*SUM(INDEX($FK$325:$ID$396,GQ$169,1+SwaptionShift):INDEX($FK$325:$ID$396,GQ$169,SwaptionMonthsToGo+SwaptionShift))))))</f>
        <v/>
      </c>
      <c r="GR199" s="479" t="str">
        <f ca="1">IF(OR(GR$169&lt;SwaptionFirstMonthPosition+1,$FJ199&lt;SwaptionFirstMonthPosition+1,GR$169&gt;SwaptionFirstMonthPosition+SwaptionNumOfMonths+1,$FJ199&gt;SwaptionFirstMonthPosition+SwaptionNumOfMonths+1),"",IF($FJ199=GR$169,1,IF($FJ199&lt;GR$169,INDEX($FK$170:$ID$241,GR$169,$FJ199),SUMPRODUCT(INDEX($FK$325:$ID$396,GR$169,1+SwaptionShift):INDEX($FK$325:$ID$396,GR$169,SwaptionMonthsToGo+SwaptionShift),INDEX($FK$245:$ID$316,$FJ199-GR$169,73-GR$169+SwaptionShift):INDEX($FK$245:$ID$316,$FJ199-GR$169,72-GR$169+SwaptionMonthsToGo+SwaptionShift))/SQRT(SUM(INDEX($FK354:$ID354,1+SwaptionShift):INDEX($FK354:$ID354,SwaptionMonthsToGo+SwaptionShift))*SUM(INDEX($FK$325:$ID$396,GR$169,1+SwaptionShift):INDEX($FK$325:$ID$396,GR$169,SwaptionMonthsToGo+SwaptionShift))))))</f>
        <v/>
      </c>
      <c r="GS199" s="479" t="str">
        <f ca="1">IF(OR(GS$169&lt;SwaptionFirstMonthPosition+1,$FJ199&lt;SwaptionFirstMonthPosition+1,GS$169&gt;SwaptionFirstMonthPosition+SwaptionNumOfMonths+1,$FJ199&gt;SwaptionFirstMonthPosition+SwaptionNumOfMonths+1),"",IF($FJ199=GS$169,1,IF($FJ199&lt;GS$169,INDEX($FK$170:$ID$241,GS$169,$FJ199),SUMPRODUCT(INDEX($FK$325:$ID$396,GS$169,1+SwaptionShift):INDEX($FK$325:$ID$396,GS$169,SwaptionMonthsToGo+SwaptionShift),INDEX($FK$245:$ID$316,$FJ199-GS$169,73-GS$169+SwaptionShift):INDEX($FK$245:$ID$316,$FJ199-GS$169,72-GS$169+SwaptionMonthsToGo+SwaptionShift))/SQRT(SUM(INDEX($FK354:$ID354,1+SwaptionShift):INDEX($FK354:$ID354,SwaptionMonthsToGo+SwaptionShift))*SUM(INDEX($FK$325:$ID$396,GS$169,1+SwaptionShift):INDEX($FK$325:$ID$396,GS$169,SwaptionMonthsToGo+SwaptionShift))))))</f>
        <v/>
      </c>
      <c r="GT199" s="479" t="str">
        <f ca="1">IF(OR(GT$169&lt;SwaptionFirstMonthPosition+1,$FJ199&lt;SwaptionFirstMonthPosition+1,GT$169&gt;SwaptionFirstMonthPosition+SwaptionNumOfMonths+1,$FJ199&gt;SwaptionFirstMonthPosition+SwaptionNumOfMonths+1),"",IF($FJ199=GT$169,1,IF($FJ199&lt;GT$169,INDEX($FK$170:$ID$241,GT$169,$FJ199),SUMPRODUCT(INDEX($FK$325:$ID$396,GT$169,1+SwaptionShift):INDEX($FK$325:$ID$396,GT$169,SwaptionMonthsToGo+SwaptionShift),INDEX($FK$245:$ID$316,$FJ199-GT$169,73-GT$169+SwaptionShift):INDEX($FK$245:$ID$316,$FJ199-GT$169,72-GT$169+SwaptionMonthsToGo+SwaptionShift))/SQRT(SUM(INDEX($FK354:$ID354,1+SwaptionShift):INDEX($FK354:$ID354,SwaptionMonthsToGo+SwaptionShift))*SUM(INDEX($FK$325:$ID$396,GT$169,1+SwaptionShift):INDEX($FK$325:$ID$396,GT$169,SwaptionMonthsToGo+SwaptionShift))))))</f>
        <v/>
      </c>
      <c r="GU199" s="479" t="str">
        <f ca="1">IF(OR(GU$169&lt;SwaptionFirstMonthPosition+1,$FJ199&lt;SwaptionFirstMonthPosition+1,GU$169&gt;SwaptionFirstMonthPosition+SwaptionNumOfMonths+1,$FJ199&gt;SwaptionFirstMonthPosition+SwaptionNumOfMonths+1),"",IF($FJ199=GU$169,1,IF($FJ199&lt;GU$169,INDEX($FK$170:$ID$241,GU$169,$FJ199),SUMPRODUCT(INDEX($FK$325:$ID$396,GU$169,1+SwaptionShift):INDEX($FK$325:$ID$396,GU$169,SwaptionMonthsToGo+SwaptionShift),INDEX($FK$245:$ID$316,$FJ199-GU$169,73-GU$169+SwaptionShift):INDEX($FK$245:$ID$316,$FJ199-GU$169,72-GU$169+SwaptionMonthsToGo+SwaptionShift))/SQRT(SUM(INDEX($FK354:$ID354,1+SwaptionShift):INDEX($FK354:$ID354,SwaptionMonthsToGo+SwaptionShift))*SUM(INDEX($FK$325:$ID$396,GU$169,1+SwaptionShift):INDEX($FK$325:$ID$396,GU$169,SwaptionMonthsToGo+SwaptionShift))))))</f>
        <v/>
      </c>
      <c r="GV199" s="479" t="str">
        <f ca="1">IF(OR(GV$169&lt;SwaptionFirstMonthPosition+1,$FJ199&lt;SwaptionFirstMonthPosition+1,GV$169&gt;SwaptionFirstMonthPosition+SwaptionNumOfMonths+1,$FJ199&gt;SwaptionFirstMonthPosition+SwaptionNumOfMonths+1),"",IF($FJ199=GV$169,1,IF($FJ199&lt;GV$169,INDEX($FK$170:$ID$241,GV$169,$FJ199),SUMPRODUCT(INDEX($FK$325:$ID$396,GV$169,1+SwaptionShift):INDEX($FK$325:$ID$396,GV$169,SwaptionMonthsToGo+SwaptionShift),INDEX($FK$245:$ID$316,$FJ199-GV$169,73-GV$169+SwaptionShift):INDEX($FK$245:$ID$316,$FJ199-GV$169,72-GV$169+SwaptionMonthsToGo+SwaptionShift))/SQRT(SUM(INDEX($FK354:$ID354,1+SwaptionShift):INDEX($FK354:$ID354,SwaptionMonthsToGo+SwaptionShift))*SUM(INDEX($FK$325:$ID$396,GV$169,1+SwaptionShift):INDEX($FK$325:$ID$396,GV$169,SwaptionMonthsToGo+SwaptionShift))))))</f>
        <v/>
      </c>
      <c r="GW199" s="479" t="str">
        <f ca="1">IF(OR(GW$169&lt;SwaptionFirstMonthPosition+1,$FJ199&lt;SwaptionFirstMonthPosition+1,GW$169&gt;SwaptionFirstMonthPosition+SwaptionNumOfMonths+1,$FJ199&gt;SwaptionFirstMonthPosition+SwaptionNumOfMonths+1),"",IF($FJ199=GW$169,1,IF($FJ199&lt;GW$169,INDEX($FK$170:$ID$241,GW$169,$FJ199),SUMPRODUCT(INDEX($FK$325:$ID$396,GW$169,1+SwaptionShift):INDEX($FK$325:$ID$396,GW$169,SwaptionMonthsToGo+SwaptionShift),INDEX($FK$245:$ID$316,$FJ199-GW$169,73-GW$169+SwaptionShift):INDEX($FK$245:$ID$316,$FJ199-GW$169,72-GW$169+SwaptionMonthsToGo+SwaptionShift))/SQRT(SUM(INDEX($FK354:$ID354,1+SwaptionShift):INDEX($FK354:$ID354,SwaptionMonthsToGo+SwaptionShift))*SUM(INDEX($FK$325:$ID$396,GW$169,1+SwaptionShift):INDEX($FK$325:$ID$396,GW$169,SwaptionMonthsToGo+SwaptionShift))))))</f>
        <v/>
      </c>
      <c r="GX199" s="479" t="str">
        <f ca="1">IF(OR(GX$169&lt;SwaptionFirstMonthPosition+1,$FJ199&lt;SwaptionFirstMonthPosition+1,GX$169&gt;SwaptionFirstMonthPosition+SwaptionNumOfMonths+1,$FJ199&gt;SwaptionFirstMonthPosition+SwaptionNumOfMonths+1),"",IF($FJ199=GX$169,1,IF($FJ199&lt;GX$169,INDEX($FK$170:$ID$241,GX$169,$FJ199),SUMPRODUCT(INDEX($FK$325:$ID$396,GX$169,1+SwaptionShift):INDEX($FK$325:$ID$396,GX$169,SwaptionMonthsToGo+SwaptionShift),INDEX($FK$245:$ID$316,$FJ199-GX$169,73-GX$169+SwaptionShift):INDEX($FK$245:$ID$316,$FJ199-GX$169,72-GX$169+SwaptionMonthsToGo+SwaptionShift))/SQRT(SUM(INDEX($FK354:$ID354,1+SwaptionShift):INDEX($FK354:$ID354,SwaptionMonthsToGo+SwaptionShift))*SUM(INDEX($FK$325:$ID$396,GX$169,1+SwaptionShift):INDEX($FK$325:$ID$396,GX$169,SwaptionMonthsToGo+SwaptionShift))))))</f>
        <v/>
      </c>
      <c r="GY199" s="479" t="str">
        <f ca="1">IF(OR(GY$169&lt;SwaptionFirstMonthPosition+1,$FJ199&lt;SwaptionFirstMonthPosition+1,GY$169&gt;SwaptionFirstMonthPosition+SwaptionNumOfMonths+1,$FJ199&gt;SwaptionFirstMonthPosition+SwaptionNumOfMonths+1),"",IF($FJ199=GY$169,1,IF($FJ199&lt;GY$169,INDEX($FK$170:$ID$241,GY$169,$FJ199),SUMPRODUCT(INDEX($FK$325:$ID$396,GY$169,1+SwaptionShift):INDEX($FK$325:$ID$396,GY$169,SwaptionMonthsToGo+SwaptionShift),INDEX($FK$245:$ID$316,$FJ199-GY$169,73-GY$169+SwaptionShift):INDEX($FK$245:$ID$316,$FJ199-GY$169,72-GY$169+SwaptionMonthsToGo+SwaptionShift))/SQRT(SUM(INDEX($FK354:$ID354,1+SwaptionShift):INDEX($FK354:$ID354,SwaptionMonthsToGo+SwaptionShift))*SUM(INDEX($FK$325:$ID$396,GY$169,1+SwaptionShift):INDEX($FK$325:$ID$396,GY$169,SwaptionMonthsToGo+SwaptionShift))))))</f>
        <v/>
      </c>
      <c r="GZ199" s="479" t="str">
        <f ca="1">IF(OR(GZ$169&lt;SwaptionFirstMonthPosition+1,$FJ199&lt;SwaptionFirstMonthPosition+1,GZ$169&gt;SwaptionFirstMonthPosition+SwaptionNumOfMonths+1,$FJ199&gt;SwaptionFirstMonthPosition+SwaptionNumOfMonths+1),"",IF($FJ199=GZ$169,1,IF($FJ199&lt;GZ$169,INDEX($FK$170:$ID$241,GZ$169,$FJ199),SUMPRODUCT(INDEX($FK$325:$ID$396,GZ$169,1+SwaptionShift):INDEX($FK$325:$ID$396,GZ$169,SwaptionMonthsToGo+SwaptionShift),INDEX($FK$245:$ID$316,$FJ199-GZ$169,73-GZ$169+SwaptionShift):INDEX($FK$245:$ID$316,$FJ199-GZ$169,72-GZ$169+SwaptionMonthsToGo+SwaptionShift))/SQRT(SUM(INDEX($FK354:$ID354,1+SwaptionShift):INDEX($FK354:$ID354,SwaptionMonthsToGo+SwaptionShift))*SUM(INDEX($FK$325:$ID$396,GZ$169,1+SwaptionShift):INDEX($FK$325:$ID$396,GZ$169,SwaptionMonthsToGo+SwaptionShift))))))</f>
        <v/>
      </c>
      <c r="HA199" s="479" t="str">
        <f ca="1">IF(OR(HA$169&lt;SwaptionFirstMonthPosition+1,$FJ199&lt;SwaptionFirstMonthPosition+1,HA$169&gt;SwaptionFirstMonthPosition+SwaptionNumOfMonths+1,$FJ199&gt;SwaptionFirstMonthPosition+SwaptionNumOfMonths+1),"",IF($FJ199=HA$169,1,IF($FJ199&lt;HA$169,INDEX($FK$170:$ID$241,HA$169,$FJ199),SUMPRODUCT(INDEX($FK$325:$ID$396,HA$169,1+SwaptionShift):INDEX($FK$325:$ID$396,HA$169,SwaptionMonthsToGo+SwaptionShift),INDEX($FK$245:$ID$316,$FJ199-HA$169,73-HA$169+SwaptionShift):INDEX($FK$245:$ID$316,$FJ199-HA$169,72-HA$169+SwaptionMonthsToGo+SwaptionShift))/SQRT(SUM(INDEX($FK354:$ID354,1+SwaptionShift):INDEX($FK354:$ID354,SwaptionMonthsToGo+SwaptionShift))*SUM(INDEX($FK$325:$ID$396,HA$169,1+SwaptionShift):INDEX($FK$325:$ID$396,HA$169,SwaptionMonthsToGo+SwaptionShift))))))</f>
        <v/>
      </c>
      <c r="HB199" s="479" t="str">
        <f ca="1">IF(OR(HB$169&lt;SwaptionFirstMonthPosition+1,$FJ199&lt;SwaptionFirstMonthPosition+1,HB$169&gt;SwaptionFirstMonthPosition+SwaptionNumOfMonths+1,$FJ199&gt;SwaptionFirstMonthPosition+SwaptionNumOfMonths+1),"",IF($FJ199=HB$169,1,IF($FJ199&lt;HB$169,INDEX($FK$170:$ID$241,HB$169,$FJ199),SUMPRODUCT(INDEX($FK$325:$ID$396,HB$169,1+SwaptionShift):INDEX($FK$325:$ID$396,HB$169,SwaptionMonthsToGo+SwaptionShift),INDEX($FK$245:$ID$316,$FJ199-HB$169,73-HB$169+SwaptionShift):INDEX($FK$245:$ID$316,$FJ199-HB$169,72-HB$169+SwaptionMonthsToGo+SwaptionShift))/SQRT(SUM(INDEX($FK354:$ID354,1+SwaptionShift):INDEX($FK354:$ID354,SwaptionMonthsToGo+SwaptionShift))*SUM(INDEX($FK$325:$ID$396,HB$169,1+SwaptionShift):INDEX($FK$325:$ID$396,HB$169,SwaptionMonthsToGo+SwaptionShift))))))</f>
        <v/>
      </c>
      <c r="HC199" s="479" t="str">
        <f ca="1">IF(OR(HC$169&lt;SwaptionFirstMonthPosition+1,$FJ199&lt;SwaptionFirstMonthPosition+1,HC$169&gt;SwaptionFirstMonthPosition+SwaptionNumOfMonths+1,$FJ199&gt;SwaptionFirstMonthPosition+SwaptionNumOfMonths+1),"",IF($FJ199=HC$169,1,IF($FJ199&lt;HC$169,INDEX($FK$170:$ID$241,HC$169,$FJ199),SUMPRODUCT(INDEX($FK$325:$ID$396,HC$169,1+SwaptionShift):INDEX($FK$325:$ID$396,HC$169,SwaptionMonthsToGo+SwaptionShift),INDEX($FK$245:$ID$316,$FJ199-HC$169,73-HC$169+SwaptionShift):INDEX($FK$245:$ID$316,$FJ199-HC$169,72-HC$169+SwaptionMonthsToGo+SwaptionShift))/SQRT(SUM(INDEX($FK354:$ID354,1+SwaptionShift):INDEX($FK354:$ID354,SwaptionMonthsToGo+SwaptionShift))*SUM(INDEX($FK$325:$ID$396,HC$169,1+SwaptionShift):INDEX($FK$325:$ID$396,HC$169,SwaptionMonthsToGo+SwaptionShift))))))</f>
        <v/>
      </c>
      <c r="HD199" s="479" t="str">
        <f ca="1">IF(OR(HD$169&lt;SwaptionFirstMonthPosition+1,$FJ199&lt;SwaptionFirstMonthPosition+1,HD$169&gt;SwaptionFirstMonthPosition+SwaptionNumOfMonths+1,$FJ199&gt;SwaptionFirstMonthPosition+SwaptionNumOfMonths+1),"",IF($FJ199=HD$169,1,IF($FJ199&lt;HD$169,INDEX($FK$170:$ID$241,HD$169,$FJ199),SUMPRODUCT(INDEX($FK$325:$ID$396,HD$169,1+SwaptionShift):INDEX($FK$325:$ID$396,HD$169,SwaptionMonthsToGo+SwaptionShift),INDEX($FK$245:$ID$316,$FJ199-HD$169,73-HD$169+SwaptionShift):INDEX($FK$245:$ID$316,$FJ199-HD$169,72-HD$169+SwaptionMonthsToGo+SwaptionShift))/SQRT(SUM(INDEX($FK354:$ID354,1+SwaptionShift):INDEX($FK354:$ID354,SwaptionMonthsToGo+SwaptionShift))*SUM(INDEX($FK$325:$ID$396,HD$169,1+SwaptionShift):INDEX($FK$325:$ID$396,HD$169,SwaptionMonthsToGo+SwaptionShift))))))</f>
        <v/>
      </c>
      <c r="HE199" s="479" t="str">
        <f ca="1">IF(OR(HE$169&lt;SwaptionFirstMonthPosition+1,$FJ199&lt;SwaptionFirstMonthPosition+1,HE$169&gt;SwaptionFirstMonthPosition+SwaptionNumOfMonths+1,$FJ199&gt;SwaptionFirstMonthPosition+SwaptionNumOfMonths+1),"",IF($FJ199=HE$169,1,IF($FJ199&lt;HE$169,INDEX($FK$170:$ID$241,HE$169,$FJ199),SUMPRODUCT(INDEX($FK$325:$ID$396,HE$169,1+SwaptionShift):INDEX($FK$325:$ID$396,HE$169,SwaptionMonthsToGo+SwaptionShift),INDEX($FK$245:$ID$316,$FJ199-HE$169,73-HE$169+SwaptionShift):INDEX($FK$245:$ID$316,$FJ199-HE$169,72-HE$169+SwaptionMonthsToGo+SwaptionShift))/SQRT(SUM(INDEX($FK354:$ID354,1+SwaptionShift):INDEX($FK354:$ID354,SwaptionMonthsToGo+SwaptionShift))*SUM(INDEX($FK$325:$ID$396,HE$169,1+SwaptionShift):INDEX($FK$325:$ID$396,HE$169,SwaptionMonthsToGo+SwaptionShift))))))</f>
        <v/>
      </c>
      <c r="HF199" s="479" t="str">
        <f ca="1">IF(OR(HF$169&lt;SwaptionFirstMonthPosition+1,$FJ199&lt;SwaptionFirstMonthPosition+1,HF$169&gt;SwaptionFirstMonthPosition+SwaptionNumOfMonths+1,$FJ199&gt;SwaptionFirstMonthPosition+SwaptionNumOfMonths+1),"",IF($FJ199=HF$169,1,IF($FJ199&lt;HF$169,INDEX($FK$170:$ID$241,HF$169,$FJ199),SUMPRODUCT(INDEX($FK$325:$ID$396,HF$169,1+SwaptionShift):INDEX($FK$325:$ID$396,HF$169,SwaptionMonthsToGo+SwaptionShift),INDEX($FK$245:$ID$316,$FJ199-HF$169,73-HF$169+SwaptionShift):INDEX($FK$245:$ID$316,$FJ199-HF$169,72-HF$169+SwaptionMonthsToGo+SwaptionShift))/SQRT(SUM(INDEX($FK354:$ID354,1+SwaptionShift):INDEX($FK354:$ID354,SwaptionMonthsToGo+SwaptionShift))*SUM(INDEX($FK$325:$ID$396,HF$169,1+SwaptionShift):INDEX($FK$325:$ID$396,HF$169,SwaptionMonthsToGo+SwaptionShift))))))</f>
        <v/>
      </c>
      <c r="HG199" s="479" t="str">
        <f ca="1">IF(OR(HG$169&lt;SwaptionFirstMonthPosition+1,$FJ199&lt;SwaptionFirstMonthPosition+1,HG$169&gt;SwaptionFirstMonthPosition+SwaptionNumOfMonths+1,$FJ199&gt;SwaptionFirstMonthPosition+SwaptionNumOfMonths+1),"",IF($FJ199=HG$169,1,IF($FJ199&lt;HG$169,INDEX($FK$170:$ID$241,HG$169,$FJ199),SUMPRODUCT(INDEX($FK$325:$ID$396,HG$169,1+SwaptionShift):INDEX($FK$325:$ID$396,HG$169,SwaptionMonthsToGo+SwaptionShift),INDEX($FK$245:$ID$316,$FJ199-HG$169,73-HG$169+SwaptionShift):INDEX($FK$245:$ID$316,$FJ199-HG$169,72-HG$169+SwaptionMonthsToGo+SwaptionShift))/SQRT(SUM(INDEX($FK354:$ID354,1+SwaptionShift):INDEX($FK354:$ID354,SwaptionMonthsToGo+SwaptionShift))*SUM(INDEX($FK$325:$ID$396,HG$169,1+SwaptionShift):INDEX($FK$325:$ID$396,HG$169,SwaptionMonthsToGo+SwaptionShift))))))</f>
        <v/>
      </c>
      <c r="HH199" s="479" t="str">
        <f ca="1">IF(OR(HH$169&lt;SwaptionFirstMonthPosition+1,$FJ199&lt;SwaptionFirstMonthPosition+1,HH$169&gt;SwaptionFirstMonthPosition+SwaptionNumOfMonths+1,$FJ199&gt;SwaptionFirstMonthPosition+SwaptionNumOfMonths+1),"",IF($FJ199=HH$169,1,IF($FJ199&lt;HH$169,INDEX($FK$170:$ID$241,HH$169,$FJ199),SUMPRODUCT(INDEX($FK$325:$ID$396,HH$169,1+SwaptionShift):INDEX($FK$325:$ID$396,HH$169,SwaptionMonthsToGo+SwaptionShift),INDEX($FK$245:$ID$316,$FJ199-HH$169,73-HH$169+SwaptionShift):INDEX($FK$245:$ID$316,$FJ199-HH$169,72-HH$169+SwaptionMonthsToGo+SwaptionShift))/SQRT(SUM(INDEX($FK354:$ID354,1+SwaptionShift):INDEX($FK354:$ID354,SwaptionMonthsToGo+SwaptionShift))*SUM(INDEX($FK$325:$ID$396,HH$169,1+SwaptionShift):INDEX($FK$325:$ID$396,HH$169,SwaptionMonthsToGo+SwaptionShift))))))</f>
        <v/>
      </c>
      <c r="HI199" s="479" t="str">
        <f ca="1">IF(OR(HI$169&lt;SwaptionFirstMonthPosition+1,$FJ199&lt;SwaptionFirstMonthPosition+1,HI$169&gt;SwaptionFirstMonthPosition+SwaptionNumOfMonths+1,$FJ199&gt;SwaptionFirstMonthPosition+SwaptionNumOfMonths+1),"",IF($FJ199=HI$169,1,IF($FJ199&lt;HI$169,INDEX($FK$170:$ID$241,HI$169,$FJ199),SUMPRODUCT(INDEX($FK$325:$ID$396,HI$169,1+SwaptionShift):INDEX($FK$325:$ID$396,HI$169,SwaptionMonthsToGo+SwaptionShift),INDEX($FK$245:$ID$316,$FJ199-HI$169,73-HI$169+SwaptionShift):INDEX($FK$245:$ID$316,$FJ199-HI$169,72-HI$169+SwaptionMonthsToGo+SwaptionShift))/SQRT(SUM(INDEX($FK354:$ID354,1+SwaptionShift):INDEX($FK354:$ID354,SwaptionMonthsToGo+SwaptionShift))*SUM(INDEX($FK$325:$ID$396,HI$169,1+SwaptionShift):INDEX($FK$325:$ID$396,HI$169,SwaptionMonthsToGo+SwaptionShift))))))</f>
        <v/>
      </c>
      <c r="HJ199" s="479" t="str">
        <f ca="1">IF(OR(HJ$169&lt;SwaptionFirstMonthPosition+1,$FJ199&lt;SwaptionFirstMonthPosition+1,HJ$169&gt;SwaptionFirstMonthPosition+SwaptionNumOfMonths+1,$FJ199&gt;SwaptionFirstMonthPosition+SwaptionNumOfMonths+1),"",IF($FJ199=HJ$169,1,IF($FJ199&lt;HJ$169,INDEX($FK$170:$ID$241,HJ$169,$FJ199),SUMPRODUCT(INDEX($FK$325:$ID$396,HJ$169,1+SwaptionShift):INDEX($FK$325:$ID$396,HJ$169,SwaptionMonthsToGo+SwaptionShift),INDEX($FK$245:$ID$316,$FJ199-HJ$169,73-HJ$169+SwaptionShift):INDEX($FK$245:$ID$316,$FJ199-HJ$169,72-HJ$169+SwaptionMonthsToGo+SwaptionShift))/SQRT(SUM(INDEX($FK354:$ID354,1+SwaptionShift):INDEX($FK354:$ID354,SwaptionMonthsToGo+SwaptionShift))*SUM(INDEX($FK$325:$ID$396,HJ$169,1+SwaptionShift):INDEX($FK$325:$ID$396,HJ$169,SwaptionMonthsToGo+SwaptionShift))))))</f>
        <v/>
      </c>
      <c r="HK199" s="479" t="str">
        <f ca="1">IF(OR(HK$169&lt;SwaptionFirstMonthPosition+1,$FJ199&lt;SwaptionFirstMonthPosition+1,HK$169&gt;SwaptionFirstMonthPosition+SwaptionNumOfMonths+1,$FJ199&gt;SwaptionFirstMonthPosition+SwaptionNumOfMonths+1),"",IF($FJ199=HK$169,1,IF($FJ199&lt;HK$169,INDEX($FK$170:$ID$241,HK$169,$FJ199),SUMPRODUCT(INDEX($FK$325:$ID$396,HK$169,1+SwaptionShift):INDEX($FK$325:$ID$396,HK$169,SwaptionMonthsToGo+SwaptionShift),INDEX($FK$245:$ID$316,$FJ199-HK$169,73-HK$169+SwaptionShift):INDEX($FK$245:$ID$316,$FJ199-HK$169,72-HK$169+SwaptionMonthsToGo+SwaptionShift))/SQRT(SUM(INDEX($FK354:$ID354,1+SwaptionShift):INDEX($FK354:$ID354,SwaptionMonthsToGo+SwaptionShift))*SUM(INDEX($FK$325:$ID$396,HK$169,1+SwaptionShift):INDEX($FK$325:$ID$396,HK$169,SwaptionMonthsToGo+SwaptionShift))))))</f>
        <v/>
      </c>
      <c r="HL199" s="479" t="str">
        <f ca="1">IF(OR(HL$169&lt;SwaptionFirstMonthPosition+1,$FJ199&lt;SwaptionFirstMonthPosition+1,HL$169&gt;SwaptionFirstMonthPosition+SwaptionNumOfMonths+1,$FJ199&gt;SwaptionFirstMonthPosition+SwaptionNumOfMonths+1),"",IF($FJ199=HL$169,1,IF($FJ199&lt;HL$169,INDEX($FK$170:$ID$241,HL$169,$FJ199),SUMPRODUCT(INDEX($FK$325:$ID$396,HL$169,1+SwaptionShift):INDEX($FK$325:$ID$396,HL$169,SwaptionMonthsToGo+SwaptionShift),INDEX($FK$245:$ID$316,$FJ199-HL$169,73-HL$169+SwaptionShift):INDEX($FK$245:$ID$316,$FJ199-HL$169,72-HL$169+SwaptionMonthsToGo+SwaptionShift))/SQRT(SUM(INDEX($FK354:$ID354,1+SwaptionShift):INDEX($FK354:$ID354,SwaptionMonthsToGo+SwaptionShift))*SUM(INDEX($FK$325:$ID$396,HL$169,1+SwaptionShift):INDEX($FK$325:$ID$396,HL$169,SwaptionMonthsToGo+SwaptionShift))))))</f>
        <v/>
      </c>
      <c r="HM199" s="479" t="str">
        <f ca="1">IF(OR(HM$169&lt;SwaptionFirstMonthPosition+1,$FJ199&lt;SwaptionFirstMonthPosition+1,HM$169&gt;SwaptionFirstMonthPosition+SwaptionNumOfMonths+1,$FJ199&gt;SwaptionFirstMonthPosition+SwaptionNumOfMonths+1),"",IF($FJ199=HM$169,1,IF($FJ199&lt;HM$169,INDEX($FK$170:$ID$241,HM$169,$FJ199),SUMPRODUCT(INDEX($FK$325:$ID$396,HM$169,1+SwaptionShift):INDEX($FK$325:$ID$396,HM$169,SwaptionMonthsToGo+SwaptionShift),INDEX($FK$245:$ID$316,$FJ199-HM$169,73-HM$169+SwaptionShift):INDEX($FK$245:$ID$316,$FJ199-HM$169,72-HM$169+SwaptionMonthsToGo+SwaptionShift))/SQRT(SUM(INDEX($FK354:$ID354,1+SwaptionShift):INDEX($FK354:$ID354,SwaptionMonthsToGo+SwaptionShift))*SUM(INDEX($FK$325:$ID$396,HM$169,1+SwaptionShift):INDEX($FK$325:$ID$396,HM$169,SwaptionMonthsToGo+SwaptionShift))))))</f>
        <v/>
      </c>
      <c r="HN199" s="479" t="str">
        <f ca="1">IF(OR(HN$169&lt;SwaptionFirstMonthPosition+1,$FJ199&lt;SwaptionFirstMonthPosition+1,HN$169&gt;SwaptionFirstMonthPosition+SwaptionNumOfMonths+1,$FJ199&gt;SwaptionFirstMonthPosition+SwaptionNumOfMonths+1),"",IF($FJ199=HN$169,1,IF($FJ199&lt;HN$169,INDEX($FK$170:$ID$241,HN$169,$FJ199),SUMPRODUCT(INDEX($FK$325:$ID$396,HN$169,1+SwaptionShift):INDEX($FK$325:$ID$396,HN$169,SwaptionMonthsToGo+SwaptionShift),INDEX($FK$245:$ID$316,$FJ199-HN$169,73-HN$169+SwaptionShift):INDEX($FK$245:$ID$316,$FJ199-HN$169,72-HN$169+SwaptionMonthsToGo+SwaptionShift))/SQRT(SUM(INDEX($FK354:$ID354,1+SwaptionShift):INDEX($FK354:$ID354,SwaptionMonthsToGo+SwaptionShift))*SUM(INDEX($FK$325:$ID$396,HN$169,1+SwaptionShift):INDEX($FK$325:$ID$396,HN$169,SwaptionMonthsToGo+SwaptionShift))))))</f>
        <v/>
      </c>
      <c r="HO199" s="479" t="str">
        <f ca="1">IF(OR(HO$169&lt;SwaptionFirstMonthPosition+1,$FJ199&lt;SwaptionFirstMonthPosition+1,HO$169&gt;SwaptionFirstMonthPosition+SwaptionNumOfMonths+1,$FJ199&gt;SwaptionFirstMonthPosition+SwaptionNumOfMonths+1),"",IF($FJ199=HO$169,1,IF($FJ199&lt;HO$169,INDEX($FK$170:$ID$241,HO$169,$FJ199),SUMPRODUCT(INDEX($FK$325:$ID$396,HO$169,1+SwaptionShift):INDEX($FK$325:$ID$396,HO$169,SwaptionMonthsToGo+SwaptionShift),INDEX($FK$245:$ID$316,$FJ199-HO$169,73-HO$169+SwaptionShift):INDEX($FK$245:$ID$316,$FJ199-HO$169,72-HO$169+SwaptionMonthsToGo+SwaptionShift))/SQRT(SUM(INDEX($FK354:$ID354,1+SwaptionShift):INDEX($FK354:$ID354,SwaptionMonthsToGo+SwaptionShift))*SUM(INDEX($FK$325:$ID$396,HO$169,1+SwaptionShift):INDEX($FK$325:$ID$396,HO$169,SwaptionMonthsToGo+SwaptionShift))))))</f>
        <v/>
      </c>
      <c r="HP199" s="479" t="str">
        <f ca="1">IF(OR(HP$169&lt;SwaptionFirstMonthPosition+1,$FJ199&lt;SwaptionFirstMonthPosition+1,HP$169&gt;SwaptionFirstMonthPosition+SwaptionNumOfMonths+1,$FJ199&gt;SwaptionFirstMonthPosition+SwaptionNumOfMonths+1),"",IF($FJ199=HP$169,1,IF($FJ199&lt;HP$169,INDEX($FK$170:$ID$241,HP$169,$FJ199),SUMPRODUCT(INDEX($FK$325:$ID$396,HP$169,1+SwaptionShift):INDEX($FK$325:$ID$396,HP$169,SwaptionMonthsToGo+SwaptionShift),INDEX($FK$245:$ID$316,$FJ199-HP$169,73-HP$169+SwaptionShift):INDEX($FK$245:$ID$316,$FJ199-HP$169,72-HP$169+SwaptionMonthsToGo+SwaptionShift))/SQRT(SUM(INDEX($FK354:$ID354,1+SwaptionShift):INDEX($FK354:$ID354,SwaptionMonthsToGo+SwaptionShift))*SUM(INDEX($FK$325:$ID$396,HP$169,1+SwaptionShift):INDEX($FK$325:$ID$396,HP$169,SwaptionMonthsToGo+SwaptionShift))))))</f>
        <v/>
      </c>
      <c r="HQ199" s="479" t="str">
        <f ca="1">IF(OR(HQ$169&lt;SwaptionFirstMonthPosition+1,$FJ199&lt;SwaptionFirstMonthPosition+1,HQ$169&gt;SwaptionFirstMonthPosition+SwaptionNumOfMonths+1,$FJ199&gt;SwaptionFirstMonthPosition+SwaptionNumOfMonths+1),"",IF($FJ199=HQ$169,1,IF($FJ199&lt;HQ$169,INDEX($FK$170:$ID$241,HQ$169,$FJ199),SUMPRODUCT(INDEX($FK$325:$ID$396,HQ$169,1+SwaptionShift):INDEX($FK$325:$ID$396,HQ$169,SwaptionMonthsToGo+SwaptionShift),INDEX($FK$245:$ID$316,$FJ199-HQ$169,73-HQ$169+SwaptionShift):INDEX($FK$245:$ID$316,$FJ199-HQ$169,72-HQ$169+SwaptionMonthsToGo+SwaptionShift))/SQRT(SUM(INDEX($FK354:$ID354,1+SwaptionShift):INDEX($FK354:$ID354,SwaptionMonthsToGo+SwaptionShift))*SUM(INDEX($FK$325:$ID$396,HQ$169,1+SwaptionShift):INDEX($FK$325:$ID$396,HQ$169,SwaptionMonthsToGo+SwaptionShift))))))</f>
        <v/>
      </c>
      <c r="HR199" s="479" t="str">
        <f ca="1">IF(OR(HR$169&lt;SwaptionFirstMonthPosition+1,$FJ199&lt;SwaptionFirstMonthPosition+1,HR$169&gt;SwaptionFirstMonthPosition+SwaptionNumOfMonths+1,$FJ199&gt;SwaptionFirstMonthPosition+SwaptionNumOfMonths+1),"",IF($FJ199=HR$169,1,IF($FJ199&lt;HR$169,INDEX($FK$170:$ID$241,HR$169,$FJ199),SUMPRODUCT(INDEX($FK$325:$ID$396,HR$169,1+SwaptionShift):INDEX($FK$325:$ID$396,HR$169,SwaptionMonthsToGo+SwaptionShift),INDEX($FK$245:$ID$316,$FJ199-HR$169,73-HR$169+SwaptionShift):INDEX($FK$245:$ID$316,$FJ199-HR$169,72-HR$169+SwaptionMonthsToGo+SwaptionShift))/SQRT(SUM(INDEX($FK354:$ID354,1+SwaptionShift):INDEX($FK354:$ID354,SwaptionMonthsToGo+SwaptionShift))*SUM(INDEX($FK$325:$ID$396,HR$169,1+SwaptionShift):INDEX($FK$325:$ID$396,HR$169,SwaptionMonthsToGo+SwaptionShift))))))</f>
        <v/>
      </c>
      <c r="HS199" s="479" t="str">
        <f ca="1">IF(OR(HS$169&lt;SwaptionFirstMonthPosition+1,$FJ199&lt;SwaptionFirstMonthPosition+1,HS$169&gt;SwaptionFirstMonthPosition+SwaptionNumOfMonths+1,$FJ199&gt;SwaptionFirstMonthPosition+SwaptionNumOfMonths+1),"",IF($FJ199=HS$169,1,IF($FJ199&lt;HS$169,INDEX($FK$170:$ID$241,HS$169,$FJ199),SUMPRODUCT(INDEX($FK$325:$ID$396,HS$169,1+SwaptionShift):INDEX($FK$325:$ID$396,HS$169,SwaptionMonthsToGo+SwaptionShift),INDEX($FK$245:$ID$316,$FJ199-HS$169,73-HS$169+SwaptionShift):INDEX($FK$245:$ID$316,$FJ199-HS$169,72-HS$169+SwaptionMonthsToGo+SwaptionShift))/SQRT(SUM(INDEX($FK354:$ID354,1+SwaptionShift):INDEX($FK354:$ID354,SwaptionMonthsToGo+SwaptionShift))*SUM(INDEX($FK$325:$ID$396,HS$169,1+SwaptionShift):INDEX($FK$325:$ID$396,HS$169,SwaptionMonthsToGo+SwaptionShift))))))</f>
        <v/>
      </c>
      <c r="HT199" s="479" t="str">
        <f ca="1">IF(OR(HT$169&lt;SwaptionFirstMonthPosition+1,$FJ199&lt;SwaptionFirstMonthPosition+1,HT$169&gt;SwaptionFirstMonthPosition+SwaptionNumOfMonths+1,$FJ199&gt;SwaptionFirstMonthPosition+SwaptionNumOfMonths+1),"",IF($FJ199=HT$169,1,IF($FJ199&lt;HT$169,INDEX($FK$170:$ID$241,HT$169,$FJ199),SUMPRODUCT(INDEX($FK$325:$ID$396,HT$169,1+SwaptionShift):INDEX($FK$325:$ID$396,HT$169,SwaptionMonthsToGo+SwaptionShift),INDEX($FK$245:$ID$316,$FJ199-HT$169,73-HT$169+SwaptionShift):INDEX($FK$245:$ID$316,$FJ199-HT$169,72-HT$169+SwaptionMonthsToGo+SwaptionShift))/SQRT(SUM(INDEX($FK354:$ID354,1+SwaptionShift):INDEX($FK354:$ID354,SwaptionMonthsToGo+SwaptionShift))*SUM(INDEX($FK$325:$ID$396,HT$169,1+SwaptionShift):INDEX($FK$325:$ID$396,HT$169,SwaptionMonthsToGo+SwaptionShift))))))</f>
        <v/>
      </c>
      <c r="HU199" s="479" t="str">
        <f ca="1">IF(OR(HU$169&lt;SwaptionFirstMonthPosition+1,$FJ199&lt;SwaptionFirstMonthPosition+1,HU$169&gt;SwaptionFirstMonthPosition+SwaptionNumOfMonths+1,$FJ199&gt;SwaptionFirstMonthPosition+SwaptionNumOfMonths+1),"",IF($FJ199=HU$169,1,IF($FJ199&lt;HU$169,INDEX($FK$170:$ID$241,HU$169,$FJ199),SUMPRODUCT(INDEX($FK$325:$ID$396,HU$169,1+SwaptionShift):INDEX($FK$325:$ID$396,HU$169,SwaptionMonthsToGo+SwaptionShift),INDEX($FK$245:$ID$316,$FJ199-HU$169,73-HU$169+SwaptionShift):INDEX($FK$245:$ID$316,$FJ199-HU$169,72-HU$169+SwaptionMonthsToGo+SwaptionShift))/SQRT(SUM(INDEX($FK354:$ID354,1+SwaptionShift):INDEX($FK354:$ID354,SwaptionMonthsToGo+SwaptionShift))*SUM(INDEX($FK$325:$ID$396,HU$169,1+SwaptionShift):INDEX($FK$325:$ID$396,HU$169,SwaptionMonthsToGo+SwaptionShift))))))</f>
        <v/>
      </c>
      <c r="HV199" s="479" t="str">
        <f ca="1">IF(OR(HV$169&lt;SwaptionFirstMonthPosition+1,$FJ199&lt;SwaptionFirstMonthPosition+1,HV$169&gt;SwaptionFirstMonthPosition+SwaptionNumOfMonths+1,$FJ199&gt;SwaptionFirstMonthPosition+SwaptionNumOfMonths+1),"",IF($FJ199=HV$169,1,IF($FJ199&lt;HV$169,INDEX($FK$170:$ID$241,HV$169,$FJ199),SUMPRODUCT(INDEX($FK$325:$ID$396,HV$169,1+SwaptionShift):INDEX($FK$325:$ID$396,HV$169,SwaptionMonthsToGo+SwaptionShift),INDEX($FK$245:$ID$316,$FJ199-HV$169,73-HV$169+SwaptionShift):INDEX($FK$245:$ID$316,$FJ199-HV$169,72-HV$169+SwaptionMonthsToGo+SwaptionShift))/SQRT(SUM(INDEX($FK354:$ID354,1+SwaptionShift):INDEX($FK354:$ID354,SwaptionMonthsToGo+SwaptionShift))*SUM(INDEX($FK$325:$ID$396,HV$169,1+SwaptionShift):INDEX($FK$325:$ID$396,HV$169,SwaptionMonthsToGo+SwaptionShift))))))</f>
        <v/>
      </c>
      <c r="HW199" s="479" t="str">
        <f ca="1">IF(OR(HW$169&lt;SwaptionFirstMonthPosition+1,$FJ199&lt;SwaptionFirstMonthPosition+1,HW$169&gt;SwaptionFirstMonthPosition+SwaptionNumOfMonths+1,$FJ199&gt;SwaptionFirstMonthPosition+SwaptionNumOfMonths+1),"",IF($FJ199=HW$169,1,IF($FJ199&lt;HW$169,INDEX($FK$170:$ID$241,HW$169,$FJ199),SUMPRODUCT(INDEX($FK$325:$ID$396,HW$169,1+SwaptionShift):INDEX($FK$325:$ID$396,HW$169,SwaptionMonthsToGo+SwaptionShift),INDEX($FK$245:$ID$316,$FJ199-HW$169,73-HW$169+SwaptionShift):INDEX($FK$245:$ID$316,$FJ199-HW$169,72-HW$169+SwaptionMonthsToGo+SwaptionShift))/SQRT(SUM(INDEX($FK354:$ID354,1+SwaptionShift):INDEX($FK354:$ID354,SwaptionMonthsToGo+SwaptionShift))*SUM(INDEX($FK$325:$ID$396,HW$169,1+SwaptionShift):INDEX($FK$325:$ID$396,HW$169,SwaptionMonthsToGo+SwaptionShift))))))</f>
        <v/>
      </c>
      <c r="HX199" s="479" t="str">
        <f ca="1">IF(OR(HX$169&lt;SwaptionFirstMonthPosition+1,$FJ199&lt;SwaptionFirstMonthPosition+1,HX$169&gt;SwaptionFirstMonthPosition+SwaptionNumOfMonths+1,$FJ199&gt;SwaptionFirstMonthPosition+SwaptionNumOfMonths+1),"",IF($FJ199=HX$169,1,IF($FJ199&lt;HX$169,INDEX($FK$170:$ID$241,HX$169,$FJ199),SUMPRODUCT(INDEX($FK$325:$ID$396,HX$169,1+SwaptionShift):INDEX($FK$325:$ID$396,HX$169,SwaptionMonthsToGo+SwaptionShift),INDEX($FK$245:$ID$316,$FJ199-HX$169,73-HX$169+SwaptionShift):INDEX($FK$245:$ID$316,$FJ199-HX$169,72-HX$169+SwaptionMonthsToGo+SwaptionShift))/SQRT(SUM(INDEX($FK354:$ID354,1+SwaptionShift):INDEX($FK354:$ID354,SwaptionMonthsToGo+SwaptionShift))*SUM(INDEX($FK$325:$ID$396,HX$169,1+SwaptionShift):INDEX($FK$325:$ID$396,HX$169,SwaptionMonthsToGo+SwaptionShift))))))</f>
        <v/>
      </c>
      <c r="HY199" s="479" t="str">
        <f ca="1">IF(OR(HY$169&lt;SwaptionFirstMonthPosition+1,$FJ199&lt;SwaptionFirstMonthPosition+1,HY$169&gt;SwaptionFirstMonthPosition+SwaptionNumOfMonths+1,$FJ199&gt;SwaptionFirstMonthPosition+SwaptionNumOfMonths+1),"",IF($FJ199=HY$169,1,IF($FJ199&lt;HY$169,INDEX($FK$170:$ID$241,HY$169,$FJ199),SUMPRODUCT(INDEX($FK$325:$ID$396,HY$169,1+SwaptionShift):INDEX($FK$325:$ID$396,HY$169,SwaptionMonthsToGo+SwaptionShift),INDEX($FK$245:$ID$316,$FJ199-HY$169,73-HY$169+SwaptionShift):INDEX($FK$245:$ID$316,$FJ199-HY$169,72-HY$169+SwaptionMonthsToGo+SwaptionShift))/SQRT(SUM(INDEX($FK354:$ID354,1+SwaptionShift):INDEX($FK354:$ID354,SwaptionMonthsToGo+SwaptionShift))*SUM(INDEX($FK$325:$ID$396,HY$169,1+SwaptionShift):INDEX($FK$325:$ID$396,HY$169,SwaptionMonthsToGo+SwaptionShift))))))</f>
        <v/>
      </c>
      <c r="HZ199" s="479" t="str">
        <f ca="1">IF(OR(HZ$169&lt;SwaptionFirstMonthPosition+1,$FJ199&lt;SwaptionFirstMonthPosition+1,HZ$169&gt;SwaptionFirstMonthPosition+SwaptionNumOfMonths+1,$FJ199&gt;SwaptionFirstMonthPosition+SwaptionNumOfMonths+1),"",IF($FJ199=HZ$169,1,IF($FJ199&lt;HZ$169,INDEX($FK$170:$ID$241,HZ$169,$FJ199),SUMPRODUCT(INDEX($FK$325:$ID$396,HZ$169,1+SwaptionShift):INDEX($FK$325:$ID$396,HZ$169,SwaptionMonthsToGo+SwaptionShift),INDEX($FK$245:$ID$316,$FJ199-HZ$169,73-HZ$169+SwaptionShift):INDEX($FK$245:$ID$316,$FJ199-HZ$169,72-HZ$169+SwaptionMonthsToGo+SwaptionShift))/SQRT(SUM(INDEX($FK354:$ID354,1+SwaptionShift):INDEX($FK354:$ID354,SwaptionMonthsToGo+SwaptionShift))*SUM(INDEX($FK$325:$ID$396,HZ$169,1+SwaptionShift):INDEX($FK$325:$ID$396,HZ$169,SwaptionMonthsToGo+SwaptionShift))))))</f>
        <v/>
      </c>
      <c r="IA199" s="479" t="str">
        <f ca="1">IF(OR(IA$169&lt;SwaptionFirstMonthPosition+1,$FJ199&lt;SwaptionFirstMonthPosition+1,IA$169&gt;SwaptionFirstMonthPosition+SwaptionNumOfMonths+1,$FJ199&gt;SwaptionFirstMonthPosition+SwaptionNumOfMonths+1),"",IF($FJ199=IA$169,1,IF($FJ199&lt;IA$169,INDEX($FK$170:$ID$241,IA$169,$FJ199),SUMPRODUCT(INDEX($FK$325:$ID$396,IA$169,1+SwaptionShift):INDEX($FK$325:$ID$396,IA$169,SwaptionMonthsToGo+SwaptionShift),INDEX($FK$245:$ID$316,$FJ199-IA$169,73-IA$169+SwaptionShift):INDEX($FK$245:$ID$316,$FJ199-IA$169,72-IA$169+SwaptionMonthsToGo+SwaptionShift))/SQRT(SUM(INDEX($FK354:$ID354,1+SwaptionShift):INDEX($FK354:$ID354,SwaptionMonthsToGo+SwaptionShift))*SUM(INDEX($FK$325:$ID$396,IA$169,1+SwaptionShift):INDEX($FK$325:$ID$396,IA$169,SwaptionMonthsToGo+SwaptionShift))))))</f>
        <v/>
      </c>
      <c r="IB199" s="479" t="str">
        <f ca="1">IF(OR(IB$169&lt;SwaptionFirstMonthPosition+1,$FJ199&lt;SwaptionFirstMonthPosition+1,IB$169&gt;SwaptionFirstMonthPosition+SwaptionNumOfMonths+1,$FJ199&gt;SwaptionFirstMonthPosition+SwaptionNumOfMonths+1),"",IF($FJ199=IB$169,1,IF($FJ199&lt;IB$169,INDEX($FK$170:$ID$241,IB$169,$FJ199),SUMPRODUCT(INDEX($FK$325:$ID$396,IB$169,1+SwaptionShift):INDEX($FK$325:$ID$396,IB$169,SwaptionMonthsToGo+SwaptionShift),INDEX($FK$245:$ID$316,$FJ199-IB$169,73-IB$169+SwaptionShift):INDEX($FK$245:$ID$316,$FJ199-IB$169,72-IB$169+SwaptionMonthsToGo+SwaptionShift))/SQRT(SUM(INDEX($FK354:$ID354,1+SwaptionShift):INDEX($FK354:$ID354,SwaptionMonthsToGo+SwaptionShift))*SUM(INDEX($FK$325:$ID$396,IB$169,1+SwaptionShift):INDEX($FK$325:$ID$396,IB$169,SwaptionMonthsToGo+SwaptionShift))))))</f>
        <v/>
      </c>
      <c r="IC199" s="479" t="str">
        <f ca="1">IF(OR(IC$169&lt;SwaptionFirstMonthPosition+1,$FJ199&lt;SwaptionFirstMonthPosition+1,IC$169&gt;SwaptionFirstMonthPosition+SwaptionNumOfMonths+1,$FJ199&gt;SwaptionFirstMonthPosition+SwaptionNumOfMonths+1),"",IF($FJ199=IC$169,1,IF($FJ199&lt;IC$169,INDEX($FK$170:$ID$241,IC$169,$FJ199),SUMPRODUCT(INDEX($FK$325:$ID$396,IC$169,1+SwaptionShift):INDEX($FK$325:$ID$396,IC$169,SwaptionMonthsToGo+SwaptionShift),INDEX($FK$245:$ID$316,$FJ199-IC$169,73-IC$169+SwaptionShift):INDEX($FK$245:$ID$316,$FJ199-IC$169,72-IC$169+SwaptionMonthsToGo+SwaptionShift))/SQRT(SUM(INDEX($FK354:$ID354,1+SwaptionShift):INDEX($FK354:$ID354,SwaptionMonthsToGo+SwaptionShift))*SUM(INDEX($FK$325:$ID$396,IC$169,1+SwaptionShift):INDEX($FK$325:$ID$396,IC$169,SwaptionMonthsToGo+SwaptionShift))))))</f>
        <v/>
      </c>
      <c r="ID199" s="678" t="str">
        <f ca="1">IF(OR(ID$169&lt;SwaptionFirstMonthPosition+1,$FJ199&lt;SwaptionFirstMonthPosition+1,ID$169&gt;SwaptionFirstMonthPosition+SwaptionNumOfMonths+1,$FJ199&gt;SwaptionFirstMonthPosition+SwaptionNumOfMonths+1),"",IF($FJ199=ID$169,1,IF($FJ199&lt;ID$169,INDEX($FK$170:$ID$241,ID$169,$FJ199),SUMPRODUCT(INDEX($FK$325:$ID$396,ID$169,1+SwaptionShift):INDEX($FK$325:$ID$396,ID$169,SwaptionMonthsToGo+SwaptionShift),INDEX($FK$245:$ID$316,$FJ199-ID$169,73-ID$169+SwaptionShift):INDEX($FK$245:$ID$316,$FJ199-ID$169,72-ID$169+SwaptionMonthsToGo+SwaptionShift))/SQRT(SUM(INDEX($FK354:$ID354,1+SwaptionShift):INDEX($FK354:$ID354,SwaptionMonthsToGo+SwaptionShift))*SUM(INDEX($FK$325:$ID$396,ID$169,1+SwaptionShift):INDEX($FK$325:$ID$396,ID$169,SwaptionMonthsToGo+SwaptionShift))))))</f>
        <v/>
      </c>
      <c r="IE199" s="250"/>
    </row>
    <row r="200" spans="8:239">
      <c r="H200" s="51">
        <f t="shared" ca="1" si="527"/>
        <v>0</v>
      </c>
      <c r="I200" s="379">
        <f t="shared" si="528"/>
        <v>42248</v>
      </c>
      <c r="J200" s="377"/>
      <c r="K200" s="104" t="s">
        <v>268</v>
      </c>
      <c r="L200" s="392">
        <f t="shared" si="529"/>
        <v>3.9000000000000066</v>
      </c>
      <c r="M200" s="171"/>
      <c r="N200" s="382">
        <v>0</v>
      </c>
      <c r="O200" s="171">
        <f t="shared" si="596"/>
        <v>0</v>
      </c>
      <c r="P200" s="377"/>
      <c r="Q200" s="104" t="s">
        <v>268</v>
      </c>
      <c r="R200" s="377">
        <f t="shared" ca="1" si="597"/>
        <v>2.7141672893454873</v>
      </c>
      <c r="S200" s="832">
        <f t="shared" si="564"/>
        <v>0.3600000000000001</v>
      </c>
      <c r="T200" s="831">
        <f t="shared" si="548"/>
        <v>0.99999999999993627</v>
      </c>
      <c r="U200" s="545">
        <f t="shared" si="549"/>
        <v>0.99999999999999978</v>
      </c>
      <c r="V200" s="389">
        <v>0</v>
      </c>
      <c r="W200" s="434">
        <f t="shared" si="598"/>
        <v>0</v>
      </c>
      <c r="X200" s="415">
        <f t="shared" si="599"/>
        <v>3.9511363636363708</v>
      </c>
      <c r="Y200" s="322">
        <f t="shared" si="600"/>
        <v>-1.2668999999999999</v>
      </c>
      <c r="Z200" s="322">
        <f t="shared" ca="1" si="601"/>
        <v>2.6842363636363711</v>
      </c>
      <c r="AA200" s="429">
        <f t="shared" si="495"/>
        <v>1.2668999999999999</v>
      </c>
      <c r="AB200" s="433">
        <f t="shared" ca="1" si="496"/>
        <v>1.2668999999999999</v>
      </c>
      <c r="AC200" s="229">
        <v>42236</v>
      </c>
      <c r="AD200" s="229">
        <v>42232</v>
      </c>
      <c r="AE200" s="229">
        <v>42231</v>
      </c>
      <c r="AF200" s="229">
        <v>42227</v>
      </c>
      <c r="AG200" s="249" t="s">
        <v>499</v>
      </c>
      <c r="AH200" s="247" t="s">
        <v>499</v>
      </c>
      <c r="AI200" s="146">
        <v>22</v>
      </c>
      <c r="AJ200" s="41">
        <v>14</v>
      </c>
      <c r="AK200" s="41">
        <v>8</v>
      </c>
      <c r="AL200" s="293">
        <v>22</v>
      </c>
      <c r="AM200" s="41">
        <v>10</v>
      </c>
      <c r="AN200" s="147">
        <v>12</v>
      </c>
      <c r="AO200" s="374"/>
      <c r="AP200" s="153">
        <f t="shared" ca="1" si="530"/>
        <v>1</v>
      </c>
      <c r="AQ200" s="374"/>
      <c r="AR200" s="153">
        <f t="shared" ca="1" si="550"/>
        <v>1</v>
      </c>
      <c r="AS200" s="272">
        <f t="shared" si="602"/>
        <v>0</v>
      </c>
      <c r="AT200" s="157">
        <f t="shared" si="531"/>
        <v>0</v>
      </c>
      <c r="AU200" s="157">
        <f t="shared" si="498"/>
        <v>0</v>
      </c>
      <c r="AV200" s="271">
        <f t="shared" ca="1" si="558"/>
        <v>9.9999999999999995E-7</v>
      </c>
      <c r="AW200" s="158" t="str">
        <f t="shared" ca="1" si="583"/>
        <v/>
      </c>
      <c r="AX200" s="157">
        <f t="shared" ca="1" si="551"/>
        <v>5.8479706751307936E-5</v>
      </c>
      <c r="AY200" s="157">
        <f t="shared" ca="1" si="552"/>
        <v>1.3629130804120371E-5</v>
      </c>
      <c r="AZ200" s="157">
        <f t="shared" ca="1" si="553"/>
        <v>4.4603496979796041E-7</v>
      </c>
      <c r="BA200" s="157">
        <f t="shared" ca="1" si="554"/>
        <v>5.5754371224745052E-8</v>
      </c>
      <c r="BB200" s="157">
        <f t="shared" ca="1" si="555"/>
        <v>2.7170827327720235E-10</v>
      </c>
      <c r="BC200" s="157">
        <f t="shared" ca="1" si="556"/>
        <v>6.2170998213326666E-12</v>
      </c>
      <c r="BD200" s="151">
        <f t="shared" ca="1" si="603"/>
        <v>0</v>
      </c>
      <c r="BE200" s="152">
        <f t="shared" ca="1" si="604"/>
        <v>0</v>
      </c>
      <c r="BF200" s="40">
        <f t="shared" si="605"/>
        <v>2015</v>
      </c>
      <c r="BG200" s="144">
        <f t="shared" si="606"/>
        <v>9</v>
      </c>
      <c r="BH200" s="145">
        <f t="shared" ca="1" si="607"/>
        <v>5487</v>
      </c>
      <c r="BI200" s="313">
        <f t="shared" ca="1" si="608"/>
        <v>15.066392881587953</v>
      </c>
      <c r="BJ200" s="42">
        <f t="shared" ca="1" si="505"/>
        <v>15.116918673386845</v>
      </c>
      <c r="BK200" s="42">
        <f t="shared" ca="1" si="506"/>
        <v>15.119656524173978</v>
      </c>
      <c r="BL200" s="42">
        <f t="shared" ca="1" si="609"/>
        <v>15.145790554414784</v>
      </c>
      <c r="BM200" s="150" t="e">
        <f t="shared" ca="1" si="507"/>
        <v>#DIV/0!</v>
      </c>
      <c r="BN200" s="42" t="e">
        <f t="shared" ca="1" si="508"/>
        <v>#DIV/0!</v>
      </c>
      <c r="BO200" s="293">
        <f t="shared" si="610"/>
        <v>22</v>
      </c>
      <c r="BP200" s="41">
        <f t="shared" si="611"/>
        <v>14</v>
      </c>
      <c r="BQ200" s="41">
        <f t="shared" si="612"/>
        <v>8</v>
      </c>
      <c r="BR200" s="305" t="str">
        <f t="shared" ca="1" si="509"/>
        <v/>
      </c>
      <c r="BS200" s="305" t="str">
        <f t="shared" ca="1" si="613"/>
        <v/>
      </c>
      <c r="BT200" s="307" t="str">
        <f t="shared" ca="1" si="614"/>
        <v/>
      </c>
      <c r="BU200" s="161" t="str">
        <f t="shared" ca="1" si="510"/>
        <v/>
      </c>
      <c r="BV200" s="161" t="str">
        <f t="shared" ca="1" si="511"/>
        <v/>
      </c>
      <c r="BW200" s="308" t="str">
        <f t="shared" ca="1" si="512"/>
        <v/>
      </c>
      <c r="BX200" s="309" t="str">
        <f t="shared" ca="1" si="513"/>
        <v/>
      </c>
      <c r="BY200" s="308" t="str">
        <f t="shared" ca="1" si="615"/>
        <v/>
      </c>
      <c r="BZ200" s="309" t="str">
        <f t="shared" ca="1" si="616"/>
        <v/>
      </c>
      <c r="CA200" s="154" t="str">
        <f t="shared" ca="1" si="514"/>
        <v/>
      </c>
      <c r="CB200" s="154" t="str">
        <f t="shared" ca="1" si="515"/>
        <v/>
      </c>
      <c r="CC200" s="154" t="str">
        <f t="shared" ca="1" si="516"/>
        <v/>
      </c>
      <c r="CD200" s="154" t="str">
        <f t="shared" ca="1" si="517"/>
        <v/>
      </c>
      <c r="CE200" s="310">
        <v>1</v>
      </c>
      <c r="CF200" s="162">
        <f ca="1">IF(BD200,_xll.xCrudeAPO(BU200,BV200,CA200,CB200,S201,S202,BI200,BL200,BP200,BQ200,0,Strike1,AO200,CE200,0,BL200,IF(OptControl=4,0,1),0,1),0)</f>
        <v>0</v>
      </c>
      <c r="CG200" s="163">
        <f ca="1">IF(BD200,_xll.xCrudeAPO(BU200,BV200,CA200,CB200,S201,S202,BI200,BL200,BP200,BQ200,0,Strike1,AO200,CE200,0,BL200,IF(OptControl=4,0,1),1,1)+_xll.xCrudeAPO(BU200,BV200,CA200,CB200,S201,S202,BI200,BL200,BP200,BQ200,0,Strike1,AO200,CE200,0,BL200,IF(OptControl=4,0,1),1,2)+IF(OR(VolSkewFlag=2,ABS(BS200)&lt;0.0001),0,IF(BS200&gt;0,-1,1)*CH200*Strike1/BR200^2*BY200/10%),0)</f>
        <v>0</v>
      </c>
      <c r="CH200" s="163">
        <f ca="1">IF(BD200,(_xll.xCrudeAPO(BU200,BV200,CA200,CB200,S201,S202,BI200,BL200,BP200,BQ200,0,Strike1,AO200,CE200,0,BL200,IF(OptControl=4,0,1),3,1)+_xll.xCrudeAPO(BU200,BV200,CA200,CB200,S201,S202,BI200,BL200,BP200,BQ200,0,Strike1,AO200,CE200,0,BL200,IF(OptControl=4,0,1),3,2))/100,0)</f>
        <v>0</v>
      </c>
      <c r="CI200" s="163">
        <f ca="1">IF(BD200,_xll.xCrudeAPO(BU200,BV200,CA200,CB200,S201,S202,BI200-DaysForThetaCalculation/365.25,BL200-DaysForThetaCalculation/365.25,BP200,BQ200,0,Strike1,AO200,CE200,0,BL200,IF(OptControl=4,0,1),0,1)-_xll.xCrudeAPO(BU200,BV200,CA200,CB200,S201,S202,BI200,BL200,BP200,BQ200,0,Strike1,AO200,CE200,0,BL200,IF(OptControl=4,0,1),0,1),0)</f>
        <v>0</v>
      </c>
      <c r="CJ200" s="311">
        <f ca="1">IF(BD200,_xll.xCrudeAPO(BU200,BV200,CC200,CD200,S201,S202,BI200,BL200,BP200,BQ200,0,Strike2,AO200,CE200,0,BL200,IF(OptControl=3,1,0),0,1),0)</f>
        <v>0</v>
      </c>
      <c r="CK200" s="163">
        <f ca="1">IF(BD200,_xll.xCrudeAPO(BU200,BV200,CC200,CD200,S201,S202,BI200,BL200,BP200,BQ200,0,Strike2,AO200,CE200,0,BL200,IF(OptControl=3,1,0),1,1)+_xll.xCrudeAPO(BU200,BV200,CC200,CD200,S201,S202,BI200,BL200,BP200,BQ200,0,Strike2,AO200,CE200,0,BL200,IF(OptControl=3,1,0),1,2)+IF(OR(VolSkewFlag=2,ABS(BT200)&lt;0.0001),0,IF(BT200&gt;0,-1,1)*CL200*Strike2/BR200^2*BZ200/10%),0)</f>
        <v>0</v>
      </c>
      <c r="CL200" s="163">
        <f ca="1">IF(BD200,(_xll.xCrudeAPO(BU200,BV200,CC200,CD200,S201,S202,BI200,BL200,BP200,BQ200,0,Strike2,AO200,CE200,0,BL200,IF(OptControl=3,1,0),3,1)+_xll.xCrudeAPO(BU200,BV200,CC200,CD200,S201,S202,BI200,BL200,BP200,BQ200,0,Strike2,AO200,CE200,0,BL200,IF(OptControl=3,1,0),3,2))/100,0)</f>
        <v>0</v>
      </c>
      <c r="CM200" s="164">
        <f ca="1">IF(BD200,_xll.xCrudeAPO(BU200,BV200,CC200,CD200,S201,S202,BI200-DaysForThetaCalculation/365.25,BL200-DaysForThetaCalculation/365.25,BP200,BQ200,0,Strike2,AO200,CE200,0,BL200,IF(OptControl=3,1,0),0,1)-_xll.xCrudeAPO(BU200,BV200,CC200,CD200,S201,S202,BI200,BL200,BP200,BQ200,0,Strike2,AO200,CE200,0,BL200,IF(OptControl=3,1,0),0,1),0)</f>
        <v>0</v>
      </c>
      <c r="CN200" s="53"/>
      <c r="CO200" s="796" t="str">
        <f t="shared" ca="1" si="532"/>
        <v/>
      </c>
      <c r="CP200" s="800" t="str">
        <f t="shared" ca="1" si="533"/>
        <v/>
      </c>
      <c r="CQ200" s="797" t="str">
        <f t="shared" ca="1" si="534"/>
        <v/>
      </c>
      <c r="CR200" s="797" t="str">
        <f t="shared" ca="1" si="535"/>
        <v/>
      </c>
      <c r="CS200" s="797" t="str">
        <f t="shared" ca="1" si="536"/>
        <v/>
      </c>
      <c r="CT200" s="797" t="str">
        <f t="shared" ca="1" si="537"/>
        <v/>
      </c>
      <c r="CU200" s="798" t="str">
        <f t="shared" ca="1" si="538"/>
        <v/>
      </c>
      <c r="CV200" s="799" t="str">
        <f t="shared" ca="1" si="539"/>
        <v/>
      </c>
      <c r="CW200" s="799" t="str">
        <f t="shared" ca="1" si="540"/>
        <v/>
      </c>
      <c r="CX200" s="163">
        <f ca="1">IF(BD200,_xll.EURO(CP200,Strike1,AO200,AO200,CV200,CO200,IF(OptControl=4,0,1),0),0)</f>
        <v>0</v>
      </c>
      <c r="CY200" s="163">
        <f ca="1">IF(BD200,_xll.EURO(CP200,Strike1,AO200,AO200,CV200,CO200,IF(OptControl=4,0,1),1)+IF(OR(VolSkewFlag=2,ABS(CQ200)&lt;0.0001),0,IF(CQ200&gt;0,-1,1)*CZ200*100*Strike1/CP200^2*CS200/10%),0)</f>
        <v>0</v>
      </c>
      <c r="CZ200" s="163">
        <f ca="1">IF(BD200,_xll.EURO(CP200,Strike1,AO200,AO200,CV200,CO200,IF(OptControl=4,0,1),3)/100,0)</f>
        <v>0</v>
      </c>
      <c r="DA200" s="163">
        <f ca="1">IF(BD200,_xll.EURO(CP200,Strike1,AO200,AO200,CV200,CO200,IF(OptControl=4,0,1),0)-_xll.EURO(CP200,Strike1,AO200,AO200,CV200,CO200-1,IF(OptControl=4,0,1),0),0)</f>
        <v>0</v>
      </c>
      <c r="DB200" s="163">
        <f ca="1">IF(BD200,_xll.EURO(CP200,Strike2,AO200,AO200,CW200,CO200,IF(OptControl=3,1,0),0),0)</f>
        <v>0</v>
      </c>
      <c r="DC200" s="163">
        <f ca="1">IF(BD200,_xll.EURO(CP200,Strike2,AO200,AO200,CW200,CO200,IF(OptControl=3,1,0),1)+IF(OR(VolSkewFlag=2,ABS(CR200)&lt;0.0001),0,IF(CR200&gt;0,-1,1)*DD200*100*Strike2/CP200^2*CT200/10%),0)</f>
        <v>0</v>
      </c>
      <c r="DD200" s="163">
        <f ca="1">IF(BD200,_xll.EURO(CP200,Strike2,AO200,AO200,CW200,CO200,IF(OptControl=3,1,0),3)/100,0)</f>
        <v>0</v>
      </c>
      <c r="DE200" s="164">
        <f ca="1">IF(BD200,_xll.EURO(CP200,Strike2,AO200,AO200,CW200,CO200,IF(OptControl=3,1,0),0)-_xll.EURO(CP200,Strike2,AO200,AO200,CW200,CO200-1,IF(OptControl=3,1,0),0),0)</f>
        <v>0</v>
      </c>
      <c r="DG200" s="667">
        <f t="shared" ca="1" si="541"/>
        <v>42036</v>
      </c>
      <c r="DH200" s="475">
        <v>23.160000000000075</v>
      </c>
      <c r="DI200" s="665">
        <v>23.222500000000075</v>
      </c>
      <c r="DJ200" s="666">
        <f t="shared" ca="1" si="617"/>
        <v>42036</v>
      </c>
      <c r="DK200" s="475">
        <v>21.960514713372856</v>
      </c>
      <c r="DL200" s="665">
        <v>22.054000000000073</v>
      </c>
      <c r="DM200" s="667">
        <f t="shared" ca="1" si="618"/>
        <v>42036</v>
      </c>
      <c r="DN200" s="668">
        <f t="shared" si="619"/>
        <v>22.010514713372856</v>
      </c>
      <c r="DO200" s="667">
        <f t="shared" ca="1" si="620"/>
        <v>42036</v>
      </c>
      <c r="DP200" s="579">
        <f t="shared" si="621"/>
        <v>22.054000000000073</v>
      </c>
      <c r="DQ200" s="821">
        <v>0</v>
      </c>
      <c r="DR200" s="666">
        <f t="shared" ca="1" si="622"/>
        <v>42036</v>
      </c>
      <c r="DS200" s="669">
        <v>0.11659999999999804</v>
      </c>
      <c r="DT200" s="606">
        <v>0.11584999999999801</v>
      </c>
      <c r="DU200" s="666">
        <f t="shared" ca="1" si="623"/>
        <v>42036</v>
      </c>
      <c r="DV200" s="669">
        <v>0.11659999999999804</v>
      </c>
      <c r="DW200" s="606">
        <v>0.11584999999999801</v>
      </c>
      <c r="DX200" s="667">
        <f t="shared" ca="1" si="624"/>
        <v>42036</v>
      </c>
      <c r="DY200" s="606">
        <v>0.35</v>
      </c>
      <c r="DZ200" s="667">
        <f t="shared" ca="1" si="625"/>
        <v>42036</v>
      </c>
      <c r="EA200" s="606">
        <f t="shared" si="626"/>
        <v>0.11584999999999801</v>
      </c>
      <c r="EB200" s="1"/>
      <c r="EC200" s="118" t="str">
        <f t="shared" ca="1" si="627"/>
        <v/>
      </c>
      <c r="ED200" s="119" t="str">
        <f t="shared" ca="1" si="525"/>
        <v/>
      </c>
      <c r="EE200" s="112" t="str">
        <f t="shared" ca="1" si="526"/>
        <v/>
      </c>
      <c r="EF200" s="120">
        <f ca="1">IF(BD200,_xll.xASN(BR200,Strike1,AO200,ED200,0,BO200,0,BI200,BL200,IF(OptControl=4,0,1),0),0)</f>
        <v>0</v>
      </c>
      <c r="EG200" s="111">
        <f ca="1">IF(BD200,_xll.xASN(BR200,Strike2,AO200,EE200,0,BO200,0,BI200,BL200,IF(OptControl=3,1,0),0),0)</f>
        <v>0</v>
      </c>
      <c r="EL200" s="55"/>
      <c r="EM200" s="1"/>
      <c r="EN200" s="106"/>
      <c r="EO200" s="106"/>
      <c r="EP200" s="1"/>
      <c r="EQ200" s="683" t="s">
        <v>414</v>
      </c>
      <c r="ES200" s="455"/>
      <c r="ET200" s="36"/>
      <c r="EU200" s="107"/>
      <c r="EV200" s="475"/>
      <c r="EW200" s="456"/>
      <c r="EX200" s="456"/>
      <c r="EY200" s="250"/>
      <c r="EZ200" s="250"/>
      <c r="FA200" s="250"/>
      <c r="FB200" s="250"/>
      <c r="FC200" s="250"/>
      <c r="FD200" s="250"/>
      <c r="FE200" s="250"/>
      <c r="FF200" s="250"/>
      <c r="FG200" s="250"/>
      <c r="FH200" s="250"/>
      <c r="FI200" s="250"/>
      <c r="FJ200" s="673">
        <v>31</v>
      </c>
      <c r="FK200" s="479" t="str">
        <f ca="1">IF(OR(FK$169&lt;SwaptionFirstMonthPosition+1,$FJ200&lt;SwaptionFirstMonthPosition+1,FK$169&gt;SwaptionFirstMonthPosition+SwaptionNumOfMonths+1,$FJ200&gt;SwaptionFirstMonthPosition+SwaptionNumOfMonths+1),"",IF($FJ200=FK$169,1,IF($FJ200&lt;FK$169,INDEX($FK$170:$ID$241,FK$169,$FJ200),SUMPRODUCT(INDEX($FK$325:$ID$396,FK$169,1+SwaptionShift):INDEX($FK$325:$ID$396,FK$169,SwaptionMonthsToGo+SwaptionShift),INDEX($FK$245:$ID$316,$FJ200-FK$169,73-FK$169+SwaptionShift):INDEX($FK$245:$ID$316,$FJ200-FK$169,72-FK$169+SwaptionMonthsToGo+SwaptionShift))/SQRT(SUM(INDEX($FK355:$ID355,1+SwaptionShift):INDEX($FK355:$ID355,SwaptionMonthsToGo+SwaptionShift))*SUM(INDEX($FK$325:$ID$396,FK$169,1+SwaptionShift):INDEX($FK$325:$ID$396,FK$169,SwaptionMonthsToGo+SwaptionShift))))))</f>
        <v/>
      </c>
      <c r="FL200" s="479" t="str">
        <f ca="1">IF(OR(FL$169&lt;SwaptionFirstMonthPosition+1,$FJ200&lt;SwaptionFirstMonthPosition+1,FL$169&gt;SwaptionFirstMonthPosition+SwaptionNumOfMonths+1,$FJ200&gt;SwaptionFirstMonthPosition+SwaptionNumOfMonths+1),"",IF($FJ200=FL$169,1,IF($FJ200&lt;FL$169,INDEX($FK$170:$ID$241,FL$169,$FJ200),SUMPRODUCT(INDEX($FK$325:$ID$396,FL$169,1+SwaptionShift):INDEX($FK$325:$ID$396,FL$169,SwaptionMonthsToGo+SwaptionShift),INDEX($FK$245:$ID$316,$FJ200-FL$169,73-FL$169+SwaptionShift):INDEX($FK$245:$ID$316,$FJ200-FL$169,72-FL$169+SwaptionMonthsToGo+SwaptionShift))/SQRT(SUM(INDEX($FK355:$ID355,1+SwaptionShift):INDEX($FK355:$ID355,SwaptionMonthsToGo+SwaptionShift))*SUM(INDEX($FK$325:$ID$396,FL$169,1+SwaptionShift):INDEX($FK$325:$ID$396,FL$169,SwaptionMonthsToGo+SwaptionShift))))))</f>
        <v/>
      </c>
      <c r="FM200" s="479" t="str">
        <f ca="1">IF(OR(FM$169&lt;SwaptionFirstMonthPosition+1,$FJ200&lt;SwaptionFirstMonthPosition+1,FM$169&gt;SwaptionFirstMonthPosition+SwaptionNumOfMonths+1,$FJ200&gt;SwaptionFirstMonthPosition+SwaptionNumOfMonths+1),"",IF($FJ200=FM$169,1,IF($FJ200&lt;FM$169,INDEX($FK$170:$ID$241,FM$169,$FJ200),SUMPRODUCT(INDEX($FK$325:$ID$396,FM$169,1+SwaptionShift):INDEX($FK$325:$ID$396,FM$169,SwaptionMonthsToGo+SwaptionShift),INDEX($FK$245:$ID$316,$FJ200-FM$169,73-FM$169+SwaptionShift):INDEX($FK$245:$ID$316,$FJ200-FM$169,72-FM$169+SwaptionMonthsToGo+SwaptionShift))/SQRT(SUM(INDEX($FK355:$ID355,1+SwaptionShift):INDEX($FK355:$ID355,SwaptionMonthsToGo+SwaptionShift))*SUM(INDEX($FK$325:$ID$396,FM$169,1+SwaptionShift):INDEX($FK$325:$ID$396,FM$169,SwaptionMonthsToGo+SwaptionShift))))))</f>
        <v/>
      </c>
      <c r="FN200" s="479" t="str">
        <f ca="1">IF(OR(FN$169&lt;SwaptionFirstMonthPosition+1,$FJ200&lt;SwaptionFirstMonthPosition+1,FN$169&gt;SwaptionFirstMonthPosition+SwaptionNumOfMonths+1,$FJ200&gt;SwaptionFirstMonthPosition+SwaptionNumOfMonths+1),"",IF($FJ200=FN$169,1,IF($FJ200&lt;FN$169,INDEX($FK$170:$ID$241,FN$169,$FJ200),SUMPRODUCT(INDEX($FK$325:$ID$396,FN$169,1+SwaptionShift):INDEX($FK$325:$ID$396,FN$169,SwaptionMonthsToGo+SwaptionShift),INDEX($FK$245:$ID$316,$FJ200-FN$169,73-FN$169+SwaptionShift):INDEX($FK$245:$ID$316,$FJ200-FN$169,72-FN$169+SwaptionMonthsToGo+SwaptionShift))/SQRT(SUM(INDEX($FK355:$ID355,1+SwaptionShift):INDEX($FK355:$ID355,SwaptionMonthsToGo+SwaptionShift))*SUM(INDEX($FK$325:$ID$396,FN$169,1+SwaptionShift):INDEX($FK$325:$ID$396,FN$169,SwaptionMonthsToGo+SwaptionShift))))))</f>
        <v/>
      </c>
      <c r="FO200" s="479" t="str">
        <f ca="1">IF(OR(FO$169&lt;SwaptionFirstMonthPosition+1,$FJ200&lt;SwaptionFirstMonthPosition+1,FO$169&gt;SwaptionFirstMonthPosition+SwaptionNumOfMonths+1,$FJ200&gt;SwaptionFirstMonthPosition+SwaptionNumOfMonths+1),"",IF($FJ200=FO$169,1,IF($FJ200&lt;FO$169,INDEX($FK$170:$ID$241,FO$169,$FJ200),SUMPRODUCT(INDEX($FK$325:$ID$396,FO$169,1+SwaptionShift):INDEX($FK$325:$ID$396,FO$169,SwaptionMonthsToGo+SwaptionShift),INDEX($FK$245:$ID$316,$FJ200-FO$169,73-FO$169+SwaptionShift):INDEX($FK$245:$ID$316,$FJ200-FO$169,72-FO$169+SwaptionMonthsToGo+SwaptionShift))/SQRT(SUM(INDEX($FK355:$ID355,1+SwaptionShift):INDEX($FK355:$ID355,SwaptionMonthsToGo+SwaptionShift))*SUM(INDEX($FK$325:$ID$396,FO$169,1+SwaptionShift):INDEX($FK$325:$ID$396,FO$169,SwaptionMonthsToGo+SwaptionShift))))))</f>
        <v/>
      </c>
      <c r="FP200" s="479" t="str">
        <f ca="1">IF(OR(FP$169&lt;SwaptionFirstMonthPosition+1,$FJ200&lt;SwaptionFirstMonthPosition+1,FP$169&gt;SwaptionFirstMonthPosition+SwaptionNumOfMonths+1,$FJ200&gt;SwaptionFirstMonthPosition+SwaptionNumOfMonths+1),"",IF($FJ200=FP$169,1,IF($FJ200&lt;FP$169,INDEX($FK$170:$ID$241,FP$169,$FJ200),SUMPRODUCT(INDEX($FK$325:$ID$396,FP$169,1+SwaptionShift):INDEX($FK$325:$ID$396,FP$169,SwaptionMonthsToGo+SwaptionShift),INDEX($FK$245:$ID$316,$FJ200-FP$169,73-FP$169+SwaptionShift):INDEX($FK$245:$ID$316,$FJ200-FP$169,72-FP$169+SwaptionMonthsToGo+SwaptionShift))/SQRT(SUM(INDEX($FK355:$ID355,1+SwaptionShift):INDEX($FK355:$ID355,SwaptionMonthsToGo+SwaptionShift))*SUM(INDEX($FK$325:$ID$396,FP$169,1+SwaptionShift):INDEX($FK$325:$ID$396,FP$169,SwaptionMonthsToGo+SwaptionShift))))))</f>
        <v/>
      </c>
      <c r="FQ200" s="479" t="str">
        <f ca="1">IF(OR(FQ$169&lt;SwaptionFirstMonthPosition+1,$FJ200&lt;SwaptionFirstMonthPosition+1,FQ$169&gt;SwaptionFirstMonthPosition+SwaptionNumOfMonths+1,$FJ200&gt;SwaptionFirstMonthPosition+SwaptionNumOfMonths+1),"",IF($FJ200=FQ$169,1,IF($FJ200&lt;FQ$169,INDEX($FK$170:$ID$241,FQ$169,$FJ200),SUMPRODUCT(INDEX($FK$325:$ID$396,FQ$169,1+SwaptionShift):INDEX($FK$325:$ID$396,FQ$169,SwaptionMonthsToGo+SwaptionShift),INDEX($FK$245:$ID$316,$FJ200-FQ$169,73-FQ$169+SwaptionShift):INDEX($FK$245:$ID$316,$FJ200-FQ$169,72-FQ$169+SwaptionMonthsToGo+SwaptionShift))/SQRT(SUM(INDEX($FK355:$ID355,1+SwaptionShift):INDEX($FK355:$ID355,SwaptionMonthsToGo+SwaptionShift))*SUM(INDEX($FK$325:$ID$396,FQ$169,1+SwaptionShift):INDEX($FK$325:$ID$396,FQ$169,SwaptionMonthsToGo+SwaptionShift))))))</f>
        <v/>
      </c>
      <c r="FR200" s="479" t="str">
        <f ca="1">IF(OR(FR$169&lt;SwaptionFirstMonthPosition+1,$FJ200&lt;SwaptionFirstMonthPosition+1,FR$169&gt;SwaptionFirstMonthPosition+SwaptionNumOfMonths+1,$FJ200&gt;SwaptionFirstMonthPosition+SwaptionNumOfMonths+1),"",IF($FJ200=FR$169,1,IF($FJ200&lt;FR$169,INDEX($FK$170:$ID$241,FR$169,$FJ200),SUMPRODUCT(INDEX($FK$325:$ID$396,FR$169,1+SwaptionShift):INDEX($FK$325:$ID$396,FR$169,SwaptionMonthsToGo+SwaptionShift),INDEX($FK$245:$ID$316,$FJ200-FR$169,73-FR$169+SwaptionShift):INDEX($FK$245:$ID$316,$FJ200-FR$169,72-FR$169+SwaptionMonthsToGo+SwaptionShift))/SQRT(SUM(INDEX($FK355:$ID355,1+SwaptionShift):INDEX($FK355:$ID355,SwaptionMonthsToGo+SwaptionShift))*SUM(INDEX($FK$325:$ID$396,FR$169,1+SwaptionShift):INDEX($FK$325:$ID$396,FR$169,SwaptionMonthsToGo+SwaptionShift))))))</f>
        <v/>
      </c>
      <c r="FS200" s="479" t="str">
        <f ca="1">IF(OR(FS$169&lt;SwaptionFirstMonthPosition+1,$FJ200&lt;SwaptionFirstMonthPosition+1,FS$169&gt;SwaptionFirstMonthPosition+SwaptionNumOfMonths+1,$FJ200&gt;SwaptionFirstMonthPosition+SwaptionNumOfMonths+1),"",IF($FJ200=FS$169,1,IF($FJ200&lt;FS$169,INDEX($FK$170:$ID$241,FS$169,$FJ200),SUMPRODUCT(INDEX($FK$325:$ID$396,FS$169,1+SwaptionShift):INDEX($FK$325:$ID$396,FS$169,SwaptionMonthsToGo+SwaptionShift),INDEX($FK$245:$ID$316,$FJ200-FS$169,73-FS$169+SwaptionShift):INDEX($FK$245:$ID$316,$FJ200-FS$169,72-FS$169+SwaptionMonthsToGo+SwaptionShift))/SQRT(SUM(INDEX($FK355:$ID355,1+SwaptionShift):INDEX($FK355:$ID355,SwaptionMonthsToGo+SwaptionShift))*SUM(INDEX($FK$325:$ID$396,FS$169,1+SwaptionShift):INDEX($FK$325:$ID$396,FS$169,SwaptionMonthsToGo+SwaptionShift))))))</f>
        <v/>
      </c>
      <c r="FT200" s="479" t="str">
        <f ca="1">IF(OR(FT$169&lt;SwaptionFirstMonthPosition+1,$FJ200&lt;SwaptionFirstMonthPosition+1,FT$169&gt;SwaptionFirstMonthPosition+SwaptionNumOfMonths+1,$FJ200&gt;SwaptionFirstMonthPosition+SwaptionNumOfMonths+1),"",IF($FJ200=FT$169,1,IF($FJ200&lt;FT$169,INDEX($FK$170:$ID$241,FT$169,$FJ200),SUMPRODUCT(INDEX($FK$325:$ID$396,FT$169,1+SwaptionShift):INDEX($FK$325:$ID$396,FT$169,SwaptionMonthsToGo+SwaptionShift),INDEX($FK$245:$ID$316,$FJ200-FT$169,73-FT$169+SwaptionShift):INDEX($FK$245:$ID$316,$FJ200-FT$169,72-FT$169+SwaptionMonthsToGo+SwaptionShift))/SQRT(SUM(INDEX($FK355:$ID355,1+SwaptionShift):INDEX($FK355:$ID355,SwaptionMonthsToGo+SwaptionShift))*SUM(INDEX($FK$325:$ID$396,FT$169,1+SwaptionShift):INDEX($FK$325:$ID$396,FT$169,SwaptionMonthsToGo+SwaptionShift))))))</f>
        <v/>
      </c>
      <c r="FU200" s="479" t="str">
        <f ca="1">IF(OR(FU$169&lt;SwaptionFirstMonthPosition+1,$FJ200&lt;SwaptionFirstMonthPosition+1,FU$169&gt;SwaptionFirstMonthPosition+SwaptionNumOfMonths+1,$FJ200&gt;SwaptionFirstMonthPosition+SwaptionNumOfMonths+1),"",IF($FJ200=FU$169,1,IF($FJ200&lt;FU$169,INDEX($FK$170:$ID$241,FU$169,$FJ200),SUMPRODUCT(INDEX($FK$325:$ID$396,FU$169,1+SwaptionShift):INDEX($FK$325:$ID$396,FU$169,SwaptionMonthsToGo+SwaptionShift),INDEX($FK$245:$ID$316,$FJ200-FU$169,73-FU$169+SwaptionShift):INDEX($FK$245:$ID$316,$FJ200-FU$169,72-FU$169+SwaptionMonthsToGo+SwaptionShift))/SQRT(SUM(INDEX($FK355:$ID355,1+SwaptionShift):INDEX($FK355:$ID355,SwaptionMonthsToGo+SwaptionShift))*SUM(INDEX($FK$325:$ID$396,FU$169,1+SwaptionShift):INDEX($FK$325:$ID$396,FU$169,SwaptionMonthsToGo+SwaptionShift))))))</f>
        <v/>
      </c>
      <c r="FV200" s="479" t="str">
        <f ca="1">IF(OR(FV$169&lt;SwaptionFirstMonthPosition+1,$FJ200&lt;SwaptionFirstMonthPosition+1,FV$169&gt;SwaptionFirstMonthPosition+SwaptionNumOfMonths+1,$FJ200&gt;SwaptionFirstMonthPosition+SwaptionNumOfMonths+1),"",IF($FJ200=FV$169,1,IF($FJ200&lt;FV$169,INDEX($FK$170:$ID$241,FV$169,$FJ200),SUMPRODUCT(INDEX($FK$325:$ID$396,FV$169,1+SwaptionShift):INDEX($FK$325:$ID$396,FV$169,SwaptionMonthsToGo+SwaptionShift),INDEX($FK$245:$ID$316,$FJ200-FV$169,73-FV$169+SwaptionShift):INDEX($FK$245:$ID$316,$FJ200-FV$169,72-FV$169+SwaptionMonthsToGo+SwaptionShift))/SQRT(SUM(INDEX($FK355:$ID355,1+SwaptionShift):INDEX($FK355:$ID355,SwaptionMonthsToGo+SwaptionShift))*SUM(INDEX($FK$325:$ID$396,FV$169,1+SwaptionShift):INDEX($FK$325:$ID$396,FV$169,SwaptionMonthsToGo+SwaptionShift))))))</f>
        <v/>
      </c>
      <c r="FW200" s="479" t="str">
        <f ca="1">IF(OR(FW$169&lt;SwaptionFirstMonthPosition+1,$FJ200&lt;SwaptionFirstMonthPosition+1,FW$169&gt;SwaptionFirstMonthPosition+SwaptionNumOfMonths+1,$FJ200&gt;SwaptionFirstMonthPosition+SwaptionNumOfMonths+1),"",IF($FJ200=FW$169,1,IF($FJ200&lt;FW$169,INDEX($FK$170:$ID$241,FW$169,$FJ200),SUMPRODUCT(INDEX($FK$325:$ID$396,FW$169,1+SwaptionShift):INDEX($FK$325:$ID$396,FW$169,SwaptionMonthsToGo+SwaptionShift),INDEX($FK$245:$ID$316,$FJ200-FW$169,73-FW$169+SwaptionShift):INDEX($FK$245:$ID$316,$FJ200-FW$169,72-FW$169+SwaptionMonthsToGo+SwaptionShift))/SQRT(SUM(INDEX($FK355:$ID355,1+SwaptionShift):INDEX($FK355:$ID355,SwaptionMonthsToGo+SwaptionShift))*SUM(INDEX($FK$325:$ID$396,FW$169,1+SwaptionShift):INDEX($FK$325:$ID$396,FW$169,SwaptionMonthsToGo+SwaptionShift))))))</f>
        <v/>
      </c>
      <c r="FX200" s="479" t="str">
        <f ca="1">IF(OR(FX$169&lt;SwaptionFirstMonthPosition+1,$FJ200&lt;SwaptionFirstMonthPosition+1,FX$169&gt;SwaptionFirstMonthPosition+SwaptionNumOfMonths+1,$FJ200&gt;SwaptionFirstMonthPosition+SwaptionNumOfMonths+1),"",IF($FJ200=FX$169,1,IF($FJ200&lt;FX$169,INDEX($FK$170:$ID$241,FX$169,$FJ200),SUMPRODUCT(INDEX($FK$325:$ID$396,FX$169,1+SwaptionShift):INDEX($FK$325:$ID$396,FX$169,SwaptionMonthsToGo+SwaptionShift),INDEX($FK$245:$ID$316,$FJ200-FX$169,73-FX$169+SwaptionShift):INDEX($FK$245:$ID$316,$FJ200-FX$169,72-FX$169+SwaptionMonthsToGo+SwaptionShift))/SQRT(SUM(INDEX($FK355:$ID355,1+SwaptionShift):INDEX($FK355:$ID355,SwaptionMonthsToGo+SwaptionShift))*SUM(INDEX($FK$325:$ID$396,FX$169,1+SwaptionShift):INDEX($FK$325:$ID$396,FX$169,SwaptionMonthsToGo+SwaptionShift))))))</f>
        <v/>
      </c>
      <c r="FY200" s="479" t="str">
        <f ca="1">IF(OR(FY$169&lt;SwaptionFirstMonthPosition+1,$FJ200&lt;SwaptionFirstMonthPosition+1,FY$169&gt;SwaptionFirstMonthPosition+SwaptionNumOfMonths+1,$FJ200&gt;SwaptionFirstMonthPosition+SwaptionNumOfMonths+1),"",IF($FJ200=FY$169,1,IF($FJ200&lt;FY$169,INDEX($FK$170:$ID$241,FY$169,$FJ200),SUMPRODUCT(INDEX($FK$325:$ID$396,FY$169,1+SwaptionShift):INDEX($FK$325:$ID$396,FY$169,SwaptionMonthsToGo+SwaptionShift),INDEX($FK$245:$ID$316,$FJ200-FY$169,73-FY$169+SwaptionShift):INDEX($FK$245:$ID$316,$FJ200-FY$169,72-FY$169+SwaptionMonthsToGo+SwaptionShift))/SQRT(SUM(INDEX($FK355:$ID355,1+SwaptionShift):INDEX($FK355:$ID355,SwaptionMonthsToGo+SwaptionShift))*SUM(INDEX($FK$325:$ID$396,FY$169,1+SwaptionShift):INDEX($FK$325:$ID$396,FY$169,SwaptionMonthsToGo+SwaptionShift))))))</f>
        <v/>
      </c>
      <c r="FZ200" s="479" t="str">
        <f ca="1">IF(OR(FZ$169&lt;SwaptionFirstMonthPosition+1,$FJ200&lt;SwaptionFirstMonthPosition+1,FZ$169&gt;SwaptionFirstMonthPosition+SwaptionNumOfMonths+1,$FJ200&gt;SwaptionFirstMonthPosition+SwaptionNumOfMonths+1),"",IF($FJ200=FZ$169,1,IF($FJ200&lt;FZ$169,INDEX($FK$170:$ID$241,FZ$169,$FJ200),SUMPRODUCT(INDEX($FK$325:$ID$396,FZ$169,1+SwaptionShift):INDEX($FK$325:$ID$396,FZ$169,SwaptionMonthsToGo+SwaptionShift),INDEX($FK$245:$ID$316,$FJ200-FZ$169,73-FZ$169+SwaptionShift):INDEX($FK$245:$ID$316,$FJ200-FZ$169,72-FZ$169+SwaptionMonthsToGo+SwaptionShift))/SQRT(SUM(INDEX($FK355:$ID355,1+SwaptionShift):INDEX($FK355:$ID355,SwaptionMonthsToGo+SwaptionShift))*SUM(INDEX($FK$325:$ID$396,FZ$169,1+SwaptionShift):INDEX($FK$325:$ID$396,FZ$169,SwaptionMonthsToGo+SwaptionShift))))))</f>
        <v/>
      </c>
      <c r="GA200" s="479" t="str">
        <f ca="1">IF(OR(GA$169&lt;SwaptionFirstMonthPosition+1,$FJ200&lt;SwaptionFirstMonthPosition+1,GA$169&gt;SwaptionFirstMonthPosition+SwaptionNumOfMonths+1,$FJ200&gt;SwaptionFirstMonthPosition+SwaptionNumOfMonths+1),"",IF($FJ200=GA$169,1,IF($FJ200&lt;GA$169,INDEX($FK$170:$ID$241,GA$169,$FJ200),SUMPRODUCT(INDEX($FK$325:$ID$396,GA$169,1+SwaptionShift):INDEX($FK$325:$ID$396,GA$169,SwaptionMonthsToGo+SwaptionShift),INDEX($FK$245:$ID$316,$FJ200-GA$169,73-GA$169+SwaptionShift):INDEX($FK$245:$ID$316,$FJ200-GA$169,72-GA$169+SwaptionMonthsToGo+SwaptionShift))/SQRT(SUM(INDEX($FK355:$ID355,1+SwaptionShift):INDEX($FK355:$ID355,SwaptionMonthsToGo+SwaptionShift))*SUM(INDEX($FK$325:$ID$396,GA$169,1+SwaptionShift):INDEX($FK$325:$ID$396,GA$169,SwaptionMonthsToGo+SwaptionShift))))))</f>
        <v/>
      </c>
      <c r="GB200" s="479" t="str">
        <f ca="1">IF(OR(GB$169&lt;SwaptionFirstMonthPosition+1,$FJ200&lt;SwaptionFirstMonthPosition+1,GB$169&gt;SwaptionFirstMonthPosition+SwaptionNumOfMonths+1,$FJ200&gt;SwaptionFirstMonthPosition+SwaptionNumOfMonths+1),"",IF($FJ200=GB$169,1,IF($FJ200&lt;GB$169,INDEX($FK$170:$ID$241,GB$169,$FJ200),SUMPRODUCT(INDEX($FK$325:$ID$396,GB$169,1+SwaptionShift):INDEX($FK$325:$ID$396,GB$169,SwaptionMonthsToGo+SwaptionShift),INDEX($FK$245:$ID$316,$FJ200-GB$169,73-GB$169+SwaptionShift):INDEX($FK$245:$ID$316,$FJ200-GB$169,72-GB$169+SwaptionMonthsToGo+SwaptionShift))/SQRT(SUM(INDEX($FK355:$ID355,1+SwaptionShift):INDEX($FK355:$ID355,SwaptionMonthsToGo+SwaptionShift))*SUM(INDEX($FK$325:$ID$396,GB$169,1+SwaptionShift):INDEX($FK$325:$ID$396,GB$169,SwaptionMonthsToGo+SwaptionShift))))))</f>
        <v/>
      </c>
      <c r="GC200" s="479" t="str">
        <f ca="1">IF(OR(GC$169&lt;SwaptionFirstMonthPosition+1,$FJ200&lt;SwaptionFirstMonthPosition+1,GC$169&gt;SwaptionFirstMonthPosition+SwaptionNumOfMonths+1,$FJ200&gt;SwaptionFirstMonthPosition+SwaptionNumOfMonths+1),"",IF($FJ200=GC$169,1,IF($FJ200&lt;GC$169,INDEX($FK$170:$ID$241,GC$169,$FJ200),SUMPRODUCT(INDEX($FK$325:$ID$396,GC$169,1+SwaptionShift):INDEX($FK$325:$ID$396,GC$169,SwaptionMonthsToGo+SwaptionShift),INDEX($FK$245:$ID$316,$FJ200-GC$169,73-GC$169+SwaptionShift):INDEX($FK$245:$ID$316,$FJ200-GC$169,72-GC$169+SwaptionMonthsToGo+SwaptionShift))/SQRT(SUM(INDEX($FK355:$ID355,1+SwaptionShift):INDEX($FK355:$ID355,SwaptionMonthsToGo+SwaptionShift))*SUM(INDEX($FK$325:$ID$396,GC$169,1+SwaptionShift):INDEX($FK$325:$ID$396,GC$169,SwaptionMonthsToGo+SwaptionShift))))))</f>
        <v/>
      </c>
      <c r="GD200" s="479" t="str">
        <f ca="1">IF(OR(GD$169&lt;SwaptionFirstMonthPosition+1,$FJ200&lt;SwaptionFirstMonthPosition+1,GD$169&gt;SwaptionFirstMonthPosition+SwaptionNumOfMonths+1,$FJ200&gt;SwaptionFirstMonthPosition+SwaptionNumOfMonths+1),"",IF($FJ200=GD$169,1,IF($FJ200&lt;GD$169,INDEX($FK$170:$ID$241,GD$169,$FJ200),SUMPRODUCT(INDEX($FK$325:$ID$396,GD$169,1+SwaptionShift):INDEX($FK$325:$ID$396,GD$169,SwaptionMonthsToGo+SwaptionShift),INDEX($FK$245:$ID$316,$FJ200-GD$169,73-GD$169+SwaptionShift):INDEX($FK$245:$ID$316,$FJ200-GD$169,72-GD$169+SwaptionMonthsToGo+SwaptionShift))/SQRT(SUM(INDEX($FK355:$ID355,1+SwaptionShift):INDEX($FK355:$ID355,SwaptionMonthsToGo+SwaptionShift))*SUM(INDEX($FK$325:$ID$396,GD$169,1+SwaptionShift):INDEX($FK$325:$ID$396,GD$169,SwaptionMonthsToGo+SwaptionShift))))))</f>
        <v/>
      </c>
      <c r="GE200" s="479" t="str">
        <f ca="1">IF(OR(GE$169&lt;SwaptionFirstMonthPosition+1,$FJ200&lt;SwaptionFirstMonthPosition+1,GE$169&gt;SwaptionFirstMonthPosition+SwaptionNumOfMonths+1,$FJ200&gt;SwaptionFirstMonthPosition+SwaptionNumOfMonths+1),"",IF($FJ200=GE$169,1,IF($FJ200&lt;GE$169,INDEX($FK$170:$ID$241,GE$169,$FJ200),SUMPRODUCT(INDEX($FK$325:$ID$396,GE$169,1+SwaptionShift):INDEX($FK$325:$ID$396,GE$169,SwaptionMonthsToGo+SwaptionShift),INDEX($FK$245:$ID$316,$FJ200-GE$169,73-GE$169+SwaptionShift):INDEX($FK$245:$ID$316,$FJ200-GE$169,72-GE$169+SwaptionMonthsToGo+SwaptionShift))/SQRT(SUM(INDEX($FK355:$ID355,1+SwaptionShift):INDEX($FK355:$ID355,SwaptionMonthsToGo+SwaptionShift))*SUM(INDEX($FK$325:$ID$396,GE$169,1+SwaptionShift):INDEX($FK$325:$ID$396,GE$169,SwaptionMonthsToGo+SwaptionShift))))))</f>
        <v/>
      </c>
      <c r="GF200" s="479" t="str">
        <f ca="1">IF(OR(GF$169&lt;SwaptionFirstMonthPosition+1,$FJ200&lt;SwaptionFirstMonthPosition+1,GF$169&gt;SwaptionFirstMonthPosition+SwaptionNumOfMonths+1,$FJ200&gt;SwaptionFirstMonthPosition+SwaptionNumOfMonths+1),"",IF($FJ200=GF$169,1,IF($FJ200&lt;GF$169,INDEX($FK$170:$ID$241,GF$169,$FJ200),SUMPRODUCT(INDEX($FK$325:$ID$396,GF$169,1+SwaptionShift):INDEX($FK$325:$ID$396,GF$169,SwaptionMonthsToGo+SwaptionShift),INDEX($FK$245:$ID$316,$FJ200-GF$169,73-GF$169+SwaptionShift):INDEX($FK$245:$ID$316,$FJ200-GF$169,72-GF$169+SwaptionMonthsToGo+SwaptionShift))/SQRT(SUM(INDEX($FK355:$ID355,1+SwaptionShift):INDEX($FK355:$ID355,SwaptionMonthsToGo+SwaptionShift))*SUM(INDEX($FK$325:$ID$396,GF$169,1+SwaptionShift):INDEX($FK$325:$ID$396,GF$169,SwaptionMonthsToGo+SwaptionShift))))))</f>
        <v/>
      </c>
      <c r="GG200" s="479" t="str">
        <f ca="1">IF(OR(GG$169&lt;SwaptionFirstMonthPosition+1,$FJ200&lt;SwaptionFirstMonthPosition+1,GG$169&gt;SwaptionFirstMonthPosition+SwaptionNumOfMonths+1,$FJ200&gt;SwaptionFirstMonthPosition+SwaptionNumOfMonths+1),"",IF($FJ200=GG$169,1,IF($FJ200&lt;GG$169,INDEX($FK$170:$ID$241,GG$169,$FJ200),SUMPRODUCT(INDEX($FK$325:$ID$396,GG$169,1+SwaptionShift):INDEX($FK$325:$ID$396,GG$169,SwaptionMonthsToGo+SwaptionShift),INDEX($FK$245:$ID$316,$FJ200-GG$169,73-GG$169+SwaptionShift):INDEX($FK$245:$ID$316,$FJ200-GG$169,72-GG$169+SwaptionMonthsToGo+SwaptionShift))/SQRT(SUM(INDEX($FK355:$ID355,1+SwaptionShift):INDEX($FK355:$ID355,SwaptionMonthsToGo+SwaptionShift))*SUM(INDEX($FK$325:$ID$396,GG$169,1+SwaptionShift):INDEX($FK$325:$ID$396,GG$169,SwaptionMonthsToGo+SwaptionShift))))))</f>
        <v/>
      </c>
      <c r="GH200" s="479" t="str">
        <f ca="1">IF(OR(GH$169&lt;SwaptionFirstMonthPosition+1,$FJ200&lt;SwaptionFirstMonthPosition+1,GH$169&gt;SwaptionFirstMonthPosition+SwaptionNumOfMonths+1,$FJ200&gt;SwaptionFirstMonthPosition+SwaptionNumOfMonths+1),"",IF($FJ200=GH$169,1,IF($FJ200&lt;GH$169,INDEX($FK$170:$ID$241,GH$169,$FJ200),SUMPRODUCT(INDEX($FK$325:$ID$396,GH$169,1+SwaptionShift):INDEX($FK$325:$ID$396,GH$169,SwaptionMonthsToGo+SwaptionShift),INDEX($FK$245:$ID$316,$FJ200-GH$169,73-GH$169+SwaptionShift):INDEX($FK$245:$ID$316,$FJ200-GH$169,72-GH$169+SwaptionMonthsToGo+SwaptionShift))/SQRT(SUM(INDEX($FK355:$ID355,1+SwaptionShift):INDEX($FK355:$ID355,SwaptionMonthsToGo+SwaptionShift))*SUM(INDEX($FK$325:$ID$396,GH$169,1+SwaptionShift):INDEX($FK$325:$ID$396,GH$169,SwaptionMonthsToGo+SwaptionShift))))))</f>
        <v/>
      </c>
      <c r="GI200" s="479" t="str">
        <f ca="1">IF(OR(GI$169&lt;SwaptionFirstMonthPosition+1,$FJ200&lt;SwaptionFirstMonthPosition+1,GI$169&gt;SwaptionFirstMonthPosition+SwaptionNumOfMonths+1,$FJ200&gt;SwaptionFirstMonthPosition+SwaptionNumOfMonths+1),"",IF($FJ200=GI$169,1,IF($FJ200&lt;GI$169,INDEX($FK$170:$ID$241,GI$169,$FJ200),SUMPRODUCT(INDEX($FK$325:$ID$396,GI$169,1+SwaptionShift):INDEX($FK$325:$ID$396,GI$169,SwaptionMonthsToGo+SwaptionShift),INDEX($FK$245:$ID$316,$FJ200-GI$169,73-GI$169+SwaptionShift):INDEX($FK$245:$ID$316,$FJ200-GI$169,72-GI$169+SwaptionMonthsToGo+SwaptionShift))/SQRT(SUM(INDEX($FK355:$ID355,1+SwaptionShift):INDEX($FK355:$ID355,SwaptionMonthsToGo+SwaptionShift))*SUM(INDEX($FK$325:$ID$396,GI$169,1+SwaptionShift):INDEX($FK$325:$ID$396,GI$169,SwaptionMonthsToGo+SwaptionShift))))))</f>
        <v/>
      </c>
      <c r="GJ200" s="479" t="str">
        <f ca="1">IF(OR(GJ$169&lt;SwaptionFirstMonthPosition+1,$FJ200&lt;SwaptionFirstMonthPosition+1,GJ$169&gt;SwaptionFirstMonthPosition+SwaptionNumOfMonths+1,$FJ200&gt;SwaptionFirstMonthPosition+SwaptionNumOfMonths+1),"",IF($FJ200=GJ$169,1,IF($FJ200&lt;GJ$169,INDEX($FK$170:$ID$241,GJ$169,$FJ200),SUMPRODUCT(INDEX($FK$325:$ID$396,GJ$169,1+SwaptionShift):INDEX($FK$325:$ID$396,GJ$169,SwaptionMonthsToGo+SwaptionShift),INDEX($FK$245:$ID$316,$FJ200-GJ$169,73-GJ$169+SwaptionShift):INDEX($FK$245:$ID$316,$FJ200-GJ$169,72-GJ$169+SwaptionMonthsToGo+SwaptionShift))/SQRT(SUM(INDEX($FK355:$ID355,1+SwaptionShift):INDEX($FK355:$ID355,SwaptionMonthsToGo+SwaptionShift))*SUM(INDEX($FK$325:$ID$396,GJ$169,1+SwaptionShift):INDEX($FK$325:$ID$396,GJ$169,SwaptionMonthsToGo+SwaptionShift))))))</f>
        <v/>
      </c>
      <c r="GK200" s="479" t="str">
        <f ca="1">IF(OR(GK$169&lt;SwaptionFirstMonthPosition+1,$FJ200&lt;SwaptionFirstMonthPosition+1,GK$169&gt;SwaptionFirstMonthPosition+SwaptionNumOfMonths+1,$FJ200&gt;SwaptionFirstMonthPosition+SwaptionNumOfMonths+1),"",IF($FJ200=GK$169,1,IF($FJ200&lt;GK$169,INDEX($FK$170:$ID$241,GK$169,$FJ200),SUMPRODUCT(INDEX($FK$325:$ID$396,GK$169,1+SwaptionShift):INDEX($FK$325:$ID$396,GK$169,SwaptionMonthsToGo+SwaptionShift),INDEX($FK$245:$ID$316,$FJ200-GK$169,73-GK$169+SwaptionShift):INDEX($FK$245:$ID$316,$FJ200-GK$169,72-GK$169+SwaptionMonthsToGo+SwaptionShift))/SQRT(SUM(INDEX($FK355:$ID355,1+SwaptionShift):INDEX($FK355:$ID355,SwaptionMonthsToGo+SwaptionShift))*SUM(INDEX($FK$325:$ID$396,GK$169,1+SwaptionShift):INDEX($FK$325:$ID$396,GK$169,SwaptionMonthsToGo+SwaptionShift))))))</f>
        <v/>
      </c>
      <c r="GL200" s="479" t="str">
        <f ca="1">IF(OR(GL$169&lt;SwaptionFirstMonthPosition+1,$FJ200&lt;SwaptionFirstMonthPosition+1,GL$169&gt;SwaptionFirstMonthPosition+SwaptionNumOfMonths+1,$FJ200&gt;SwaptionFirstMonthPosition+SwaptionNumOfMonths+1),"",IF($FJ200=GL$169,1,IF($FJ200&lt;GL$169,INDEX($FK$170:$ID$241,GL$169,$FJ200),SUMPRODUCT(INDEX($FK$325:$ID$396,GL$169,1+SwaptionShift):INDEX($FK$325:$ID$396,GL$169,SwaptionMonthsToGo+SwaptionShift),INDEX($FK$245:$ID$316,$FJ200-GL$169,73-GL$169+SwaptionShift):INDEX($FK$245:$ID$316,$FJ200-GL$169,72-GL$169+SwaptionMonthsToGo+SwaptionShift))/SQRT(SUM(INDEX($FK355:$ID355,1+SwaptionShift):INDEX($FK355:$ID355,SwaptionMonthsToGo+SwaptionShift))*SUM(INDEX($FK$325:$ID$396,GL$169,1+SwaptionShift):INDEX($FK$325:$ID$396,GL$169,SwaptionMonthsToGo+SwaptionShift))))))</f>
        <v/>
      </c>
      <c r="GM200" s="479" t="str">
        <f ca="1">IF(OR(GM$169&lt;SwaptionFirstMonthPosition+1,$FJ200&lt;SwaptionFirstMonthPosition+1,GM$169&gt;SwaptionFirstMonthPosition+SwaptionNumOfMonths+1,$FJ200&gt;SwaptionFirstMonthPosition+SwaptionNumOfMonths+1),"",IF($FJ200=GM$169,1,IF($FJ200&lt;GM$169,INDEX($FK$170:$ID$241,GM$169,$FJ200),SUMPRODUCT(INDEX($FK$325:$ID$396,GM$169,1+SwaptionShift):INDEX($FK$325:$ID$396,GM$169,SwaptionMonthsToGo+SwaptionShift),INDEX($FK$245:$ID$316,$FJ200-GM$169,73-GM$169+SwaptionShift):INDEX($FK$245:$ID$316,$FJ200-GM$169,72-GM$169+SwaptionMonthsToGo+SwaptionShift))/SQRT(SUM(INDEX($FK355:$ID355,1+SwaptionShift):INDEX($FK355:$ID355,SwaptionMonthsToGo+SwaptionShift))*SUM(INDEX($FK$325:$ID$396,GM$169,1+SwaptionShift):INDEX($FK$325:$ID$396,GM$169,SwaptionMonthsToGo+SwaptionShift))))))</f>
        <v/>
      </c>
      <c r="GN200" s="479" t="str">
        <f ca="1">IF(OR(GN$169&lt;SwaptionFirstMonthPosition+1,$FJ200&lt;SwaptionFirstMonthPosition+1,GN$169&gt;SwaptionFirstMonthPosition+SwaptionNumOfMonths+1,$FJ200&gt;SwaptionFirstMonthPosition+SwaptionNumOfMonths+1),"",IF($FJ200=GN$169,1,IF($FJ200&lt;GN$169,INDEX($FK$170:$ID$241,GN$169,$FJ200),SUMPRODUCT(INDEX($FK$325:$ID$396,GN$169,1+SwaptionShift):INDEX($FK$325:$ID$396,GN$169,SwaptionMonthsToGo+SwaptionShift),INDEX($FK$245:$ID$316,$FJ200-GN$169,73-GN$169+SwaptionShift):INDEX($FK$245:$ID$316,$FJ200-GN$169,72-GN$169+SwaptionMonthsToGo+SwaptionShift))/SQRT(SUM(INDEX($FK355:$ID355,1+SwaptionShift):INDEX($FK355:$ID355,SwaptionMonthsToGo+SwaptionShift))*SUM(INDEX($FK$325:$ID$396,GN$169,1+SwaptionShift):INDEX($FK$325:$ID$396,GN$169,SwaptionMonthsToGo+SwaptionShift))))))</f>
        <v/>
      </c>
      <c r="GO200" s="479" t="str">
        <f ca="1">IF(OR(GO$169&lt;SwaptionFirstMonthPosition+1,$FJ200&lt;SwaptionFirstMonthPosition+1,GO$169&gt;SwaptionFirstMonthPosition+SwaptionNumOfMonths+1,$FJ200&gt;SwaptionFirstMonthPosition+SwaptionNumOfMonths+1),"",IF($FJ200=GO$169,1,IF($FJ200&lt;GO$169,INDEX($FK$170:$ID$241,GO$169,$FJ200),SUMPRODUCT(INDEX($FK$325:$ID$396,GO$169,1+SwaptionShift):INDEX($FK$325:$ID$396,GO$169,SwaptionMonthsToGo+SwaptionShift),INDEX($FK$245:$ID$316,$FJ200-GO$169,73-GO$169+SwaptionShift):INDEX($FK$245:$ID$316,$FJ200-GO$169,72-GO$169+SwaptionMonthsToGo+SwaptionShift))/SQRT(SUM(INDEX($FK355:$ID355,1+SwaptionShift):INDEX($FK355:$ID355,SwaptionMonthsToGo+SwaptionShift))*SUM(INDEX($FK$325:$ID$396,GO$169,1+SwaptionShift):INDEX($FK$325:$ID$396,GO$169,SwaptionMonthsToGo+SwaptionShift))))))</f>
        <v/>
      </c>
      <c r="GP200" s="479" t="str">
        <f ca="1">IF(OR(GP$169&lt;SwaptionFirstMonthPosition+1,$FJ200&lt;SwaptionFirstMonthPosition+1,GP$169&gt;SwaptionFirstMonthPosition+SwaptionNumOfMonths+1,$FJ200&gt;SwaptionFirstMonthPosition+SwaptionNumOfMonths+1),"",IF($FJ200=GP$169,1,IF($FJ200&lt;GP$169,INDEX($FK$170:$ID$241,GP$169,$FJ200),SUMPRODUCT(INDEX($FK$325:$ID$396,GP$169,1+SwaptionShift):INDEX($FK$325:$ID$396,GP$169,SwaptionMonthsToGo+SwaptionShift),INDEX($FK$245:$ID$316,$FJ200-GP$169,73-GP$169+SwaptionShift):INDEX($FK$245:$ID$316,$FJ200-GP$169,72-GP$169+SwaptionMonthsToGo+SwaptionShift))/SQRT(SUM(INDEX($FK355:$ID355,1+SwaptionShift):INDEX($FK355:$ID355,SwaptionMonthsToGo+SwaptionShift))*SUM(INDEX($FK$325:$ID$396,GP$169,1+SwaptionShift):INDEX($FK$325:$ID$396,GP$169,SwaptionMonthsToGo+SwaptionShift))))))</f>
        <v/>
      </c>
      <c r="GQ200" s="479" t="str">
        <f ca="1">IF(OR(GQ$169&lt;SwaptionFirstMonthPosition+1,$FJ200&lt;SwaptionFirstMonthPosition+1,GQ$169&gt;SwaptionFirstMonthPosition+SwaptionNumOfMonths+1,$FJ200&gt;SwaptionFirstMonthPosition+SwaptionNumOfMonths+1),"",IF($FJ200=GQ$169,1,IF($FJ200&lt;GQ$169,INDEX($FK$170:$ID$241,GQ$169,$FJ200),SUMPRODUCT(INDEX($FK$325:$ID$396,GQ$169,1+SwaptionShift):INDEX($FK$325:$ID$396,GQ$169,SwaptionMonthsToGo+SwaptionShift),INDEX($FK$245:$ID$316,$FJ200-GQ$169,73-GQ$169+SwaptionShift):INDEX($FK$245:$ID$316,$FJ200-GQ$169,72-GQ$169+SwaptionMonthsToGo+SwaptionShift))/SQRT(SUM(INDEX($FK355:$ID355,1+SwaptionShift):INDEX($FK355:$ID355,SwaptionMonthsToGo+SwaptionShift))*SUM(INDEX($FK$325:$ID$396,GQ$169,1+SwaptionShift):INDEX($FK$325:$ID$396,GQ$169,SwaptionMonthsToGo+SwaptionShift))))))</f>
        <v/>
      </c>
      <c r="GR200" s="479" t="str">
        <f ca="1">IF(OR(GR$169&lt;SwaptionFirstMonthPosition+1,$FJ200&lt;SwaptionFirstMonthPosition+1,GR$169&gt;SwaptionFirstMonthPosition+SwaptionNumOfMonths+1,$FJ200&gt;SwaptionFirstMonthPosition+SwaptionNumOfMonths+1),"",IF($FJ200=GR$169,1,IF($FJ200&lt;GR$169,INDEX($FK$170:$ID$241,GR$169,$FJ200),SUMPRODUCT(INDEX($FK$325:$ID$396,GR$169,1+SwaptionShift):INDEX($FK$325:$ID$396,GR$169,SwaptionMonthsToGo+SwaptionShift),INDEX($FK$245:$ID$316,$FJ200-GR$169,73-GR$169+SwaptionShift):INDEX($FK$245:$ID$316,$FJ200-GR$169,72-GR$169+SwaptionMonthsToGo+SwaptionShift))/SQRT(SUM(INDEX($FK355:$ID355,1+SwaptionShift):INDEX($FK355:$ID355,SwaptionMonthsToGo+SwaptionShift))*SUM(INDEX($FK$325:$ID$396,GR$169,1+SwaptionShift):INDEX($FK$325:$ID$396,GR$169,SwaptionMonthsToGo+SwaptionShift))))))</f>
        <v/>
      </c>
      <c r="GS200" s="479" t="str">
        <f ca="1">IF(OR(GS$169&lt;SwaptionFirstMonthPosition+1,$FJ200&lt;SwaptionFirstMonthPosition+1,GS$169&gt;SwaptionFirstMonthPosition+SwaptionNumOfMonths+1,$FJ200&gt;SwaptionFirstMonthPosition+SwaptionNumOfMonths+1),"",IF($FJ200=GS$169,1,IF($FJ200&lt;GS$169,INDEX($FK$170:$ID$241,GS$169,$FJ200),SUMPRODUCT(INDEX($FK$325:$ID$396,GS$169,1+SwaptionShift):INDEX($FK$325:$ID$396,GS$169,SwaptionMonthsToGo+SwaptionShift),INDEX($FK$245:$ID$316,$FJ200-GS$169,73-GS$169+SwaptionShift):INDEX($FK$245:$ID$316,$FJ200-GS$169,72-GS$169+SwaptionMonthsToGo+SwaptionShift))/SQRT(SUM(INDEX($FK355:$ID355,1+SwaptionShift):INDEX($FK355:$ID355,SwaptionMonthsToGo+SwaptionShift))*SUM(INDEX($FK$325:$ID$396,GS$169,1+SwaptionShift):INDEX($FK$325:$ID$396,GS$169,SwaptionMonthsToGo+SwaptionShift))))))</f>
        <v/>
      </c>
      <c r="GT200" s="479" t="str">
        <f ca="1">IF(OR(GT$169&lt;SwaptionFirstMonthPosition+1,$FJ200&lt;SwaptionFirstMonthPosition+1,GT$169&gt;SwaptionFirstMonthPosition+SwaptionNumOfMonths+1,$FJ200&gt;SwaptionFirstMonthPosition+SwaptionNumOfMonths+1),"",IF($FJ200=GT$169,1,IF($FJ200&lt;GT$169,INDEX($FK$170:$ID$241,GT$169,$FJ200),SUMPRODUCT(INDEX($FK$325:$ID$396,GT$169,1+SwaptionShift):INDEX($FK$325:$ID$396,GT$169,SwaptionMonthsToGo+SwaptionShift),INDEX($FK$245:$ID$316,$FJ200-GT$169,73-GT$169+SwaptionShift):INDEX($FK$245:$ID$316,$FJ200-GT$169,72-GT$169+SwaptionMonthsToGo+SwaptionShift))/SQRT(SUM(INDEX($FK355:$ID355,1+SwaptionShift):INDEX($FK355:$ID355,SwaptionMonthsToGo+SwaptionShift))*SUM(INDEX($FK$325:$ID$396,GT$169,1+SwaptionShift):INDEX($FK$325:$ID$396,GT$169,SwaptionMonthsToGo+SwaptionShift))))))</f>
        <v/>
      </c>
      <c r="GU200" s="479" t="str">
        <f ca="1">IF(OR(GU$169&lt;SwaptionFirstMonthPosition+1,$FJ200&lt;SwaptionFirstMonthPosition+1,GU$169&gt;SwaptionFirstMonthPosition+SwaptionNumOfMonths+1,$FJ200&gt;SwaptionFirstMonthPosition+SwaptionNumOfMonths+1),"",IF($FJ200=GU$169,1,IF($FJ200&lt;GU$169,INDEX($FK$170:$ID$241,GU$169,$FJ200),SUMPRODUCT(INDEX($FK$325:$ID$396,GU$169,1+SwaptionShift):INDEX($FK$325:$ID$396,GU$169,SwaptionMonthsToGo+SwaptionShift),INDEX($FK$245:$ID$316,$FJ200-GU$169,73-GU$169+SwaptionShift):INDEX($FK$245:$ID$316,$FJ200-GU$169,72-GU$169+SwaptionMonthsToGo+SwaptionShift))/SQRT(SUM(INDEX($FK355:$ID355,1+SwaptionShift):INDEX($FK355:$ID355,SwaptionMonthsToGo+SwaptionShift))*SUM(INDEX($FK$325:$ID$396,GU$169,1+SwaptionShift):INDEX($FK$325:$ID$396,GU$169,SwaptionMonthsToGo+SwaptionShift))))))</f>
        <v/>
      </c>
      <c r="GV200" s="479" t="str">
        <f ca="1">IF(OR(GV$169&lt;SwaptionFirstMonthPosition+1,$FJ200&lt;SwaptionFirstMonthPosition+1,GV$169&gt;SwaptionFirstMonthPosition+SwaptionNumOfMonths+1,$FJ200&gt;SwaptionFirstMonthPosition+SwaptionNumOfMonths+1),"",IF($FJ200=GV$169,1,IF($FJ200&lt;GV$169,INDEX($FK$170:$ID$241,GV$169,$FJ200),SUMPRODUCT(INDEX($FK$325:$ID$396,GV$169,1+SwaptionShift):INDEX($FK$325:$ID$396,GV$169,SwaptionMonthsToGo+SwaptionShift),INDEX($FK$245:$ID$316,$FJ200-GV$169,73-GV$169+SwaptionShift):INDEX($FK$245:$ID$316,$FJ200-GV$169,72-GV$169+SwaptionMonthsToGo+SwaptionShift))/SQRT(SUM(INDEX($FK355:$ID355,1+SwaptionShift):INDEX($FK355:$ID355,SwaptionMonthsToGo+SwaptionShift))*SUM(INDEX($FK$325:$ID$396,GV$169,1+SwaptionShift):INDEX($FK$325:$ID$396,GV$169,SwaptionMonthsToGo+SwaptionShift))))))</f>
        <v/>
      </c>
      <c r="GW200" s="479" t="str">
        <f ca="1">IF(OR(GW$169&lt;SwaptionFirstMonthPosition+1,$FJ200&lt;SwaptionFirstMonthPosition+1,GW$169&gt;SwaptionFirstMonthPosition+SwaptionNumOfMonths+1,$FJ200&gt;SwaptionFirstMonthPosition+SwaptionNumOfMonths+1),"",IF($FJ200=GW$169,1,IF($FJ200&lt;GW$169,INDEX($FK$170:$ID$241,GW$169,$FJ200),SUMPRODUCT(INDEX($FK$325:$ID$396,GW$169,1+SwaptionShift):INDEX($FK$325:$ID$396,GW$169,SwaptionMonthsToGo+SwaptionShift),INDEX($FK$245:$ID$316,$FJ200-GW$169,73-GW$169+SwaptionShift):INDEX($FK$245:$ID$316,$FJ200-GW$169,72-GW$169+SwaptionMonthsToGo+SwaptionShift))/SQRT(SUM(INDEX($FK355:$ID355,1+SwaptionShift):INDEX($FK355:$ID355,SwaptionMonthsToGo+SwaptionShift))*SUM(INDEX($FK$325:$ID$396,GW$169,1+SwaptionShift):INDEX($FK$325:$ID$396,GW$169,SwaptionMonthsToGo+SwaptionShift))))))</f>
        <v/>
      </c>
      <c r="GX200" s="479" t="str">
        <f ca="1">IF(OR(GX$169&lt;SwaptionFirstMonthPosition+1,$FJ200&lt;SwaptionFirstMonthPosition+1,GX$169&gt;SwaptionFirstMonthPosition+SwaptionNumOfMonths+1,$FJ200&gt;SwaptionFirstMonthPosition+SwaptionNumOfMonths+1),"",IF($FJ200=GX$169,1,IF($FJ200&lt;GX$169,INDEX($FK$170:$ID$241,GX$169,$FJ200),SUMPRODUCT(INDEX($FK$325:$ID$396,GX$169,1+SwaptionShift):INDEX($FK$325:$ID$396,GX$169,SwaptionMonthsToGo+SwaptionShift),INDEX($FK$245:$ID$316,$FJ200-GX$169,73-GX$169+SwaptionShift):INDEX($FK$245:$ID$316,$FJ200-GX$169,72-GX$169+SwaptionMonthsToGo+SwaptionShift))/SQRT(SUM(INDEX($FK355:$ID355,1+SwaptionShift):INDEX($FK355:$ID355,SwaptionMonthsToGo+SwaptionShift))*SUM(INDEX($FK$325:$ID$396,GX$169,1+SwaptionShift):INDEX($FK$325:$ID$396,GX$169,SwaptionMonthsToGo+SwaptionShift))))))</f>
        <v/>
      </c>
      <c r="GY200" s="479" t="str">
        <f ca="1">IF(OR(GY$169&lt;SwaptionFirstMonthPosition+1,$FJ200&lt;SwaptionFirstMonthPosition+1,GY$169&gt;SwaptionFirstMonthPosition+SwaptionNumOfMonths+1,$FJ200&gt;SwaptionFirstMonthPosition+SwaptionNumOfMonths+1),"",IF($FJ200=GY$169,1,IF($FJ200&lt;GY$169,INDEX($FK$170:$ID$241,GY$169,$FJ200),SUMPRODUCT(INDEX($FK$325:$ID$396,GY$169,1+SwaptionShift):INDEX($FK$325:$ID$396,GY$169,SwaptionMonthsToGo+SwaptionShift),INDEX($FK$245:$ID$316,$FJ200-GY$169,73-GY$169+SwaptionShift):INDEX($FK$245:$ID$316,$FJ200-GY$169,72-GY$169+SwaptionMonthsToGo+SwaptionShift))/SQRT(SUM(INDEX($FK355:$ID355,1+SwaptionShift):INDEX($FK355:$ID355,SwaptionMonthsToGo+SwaptionShift))*SUM(INDEX($FK$325:$ID$396,GY$169,1+SwaptionShift):INDEX($FK$325:$ID$396,GY$169,SwaptionMonthsToGo+SwaptionShift))))))</f>
        <v/>
      </c>
      <c r="GZ200" s="479" t="str">
        <f ca="1">IF(OR(GZ$169&lt;SwaptionFirstMonthPosition+1,$FJ200&lt;SwaptionFirstMonthPosition+1,GZ$169&gt;SwaptionFirstMonthPosition+SwaptionNumOfMonths+1,$FJ200&gt;SwaptionFirstMonthPosition+SwaptionNumOfMonths+1),"",IF($FJ200=GZ$169,1,IF($FJ200&lt;GZ$169,INDEX($FK$170:$ID$241,GZ$169,$FJ200),SUMPRODUCT(INDEX($FK$325:$ID$396,GZ$169,1+SwaptionShift):INDEX($FK$325:$ID$396,GZ$169,SwaptionMonthsToGo+SwaptionShift),INDEX($FK$245:$ID$316,$FJ200-GZ$169,73-GZ$169+SwaptionShift):INDEX($FK$245:$ID$316,$FJ200-GZ$169,72-GZ$169+SwaptionMonthsToGo+SwaptionShift))/SQRT(SUM(INDEX($FK355:$ID355,1+SwaptionShift):INDEX($FK355:$ID355,SwaptionMonthsToGo+SwaptionShift))*SUM(INDEX($FK$325:$ID$396,GZ$169,1+SwaptionShift):INDEX($FK$325:$ID$396,GZ$169,SwaptionMonthsToGo+SwaptionShift))))))</f>
        <v/>
      </c>
      <c r="HA200" s="479" t="str">
        <f ca="1">IF(OR(HA$169&lt;SwaptionFirstMonthPosition+1,$FJ200&lt;SwaptionFirstMonthPosition+1,HA$169&gt;SwaptionFirstMonthPosition+SwaptionNumOfMonths+1,$FJ200&gt;SwaptionFirstMonthPosition+SwaptionNumOfMonths+1),"",IF($FJ200=HA$169,1,IF($FJ200&lt;HA$169,INDEX($FK$170:$ID$241,HA$169,$FJ200),SUMPRODUCT(INDEX($FK$325:$ID$396,HA$169,1+SwaptionShift):INDEX($FK$325:$ID$396,HA$169,SwaptionMonthsToGo+SwaptionShift),INDEX($FK$245:$ID$316,$FJ200-HA$169,73-HA$169+SwaptionShift):INDEX($FK$245:$ID$316,$FJ200-HA$169,72-HA$169+SwaptionMonthsToGo+SwaptionShift))/SQRT(SUM(INDEX($FK355:$ID355,1+SwaptionShift):INDEX($FK355:$ID355,SwaptionMonthsToGo+SwaptionShift))*SUM(INDEX($FK$325:$ID$396,HA$169,1+SwaptionShift):INDEX($FK$325:$ID$396,HA$169,SwaptionMonthsToGo+SwaptionShift))))))</f>
        <v/>
      </c>
      <c r="HB200" s="479" t="str">
        <f ca="1">IF(OR(HB$169&lt;SwaptionFirstMonthPosition+1,$FJ200&lt;SwaptionFirstMonthPosition+1,HB$169&gt;SwaptionFirstMonthPosition+SwaptionNumOfMonths+1,$FJ200&gt;SwaptionFirstMonthPosition+SwaptionNumOfMonths+1),"",IF($FJ200=HB$169,1,IF($FJ200&lt;HB$169,INDEX($FK$170:$ID$241,HB$169,$FJ200),SUMPRODUCT(INDEX($FK$325:$ID$396,HB$169,1+SwaptionShift):INDEX($FK$325:$ID$396,HB$169,SwaptionMonthsToGo+SwaptionShift),INDEX($FK$245:$ID$316,$FJ200-HB$169,73-HB$169+SwaptionShift):INDEX($FK$245:$ID$316,$FJ200-HB$169,72-HB$169+SwaptionMonthsToGo+SwaptionShift))/SQRT(SUM(INDEX($FK355:$ID355,1+SwaptionShift):INDEX($FK355:$ID355,SwaptionMonthsToGo+SwaptionShift))*SUM(INDEX($FK$325:$ID$396,HB$169,1+SwaptionShift):INDEX($FK$325:$ID$396,HB$169,SwaptionMonthsToGo+SwaptionShift))))))</f>
        <v/>
      </c>
      <c r="HC200" s="479" t="str">
        <f ca="1">IF(OR(HC$169&lt;SwaptionFirstMonthPosition+1,$FJ200&lt;SwaptionFirstMonthPosition+1,HC$169&gt;SwaptionFirstMonthPosition+SwaptionNumOfMonths+1,$FJ200&gt;SwaptionFirstMonthPosition+SwaptionNumOfMonths+1),"",IF($FJ200=HC$169,1,IF($FJ200&lt;HC$169,INDEX($FK$170:$ID$241,HC$169,$FJ200),SUMPRODUCT(INDEX($FK$325:$ID$396,HC$169,1+SwaptionShift):INDEX($FK$325:$ID$396,HC$169,SwaptionMonthsToGo+SwaptionShift),INDEX($FK$245:$ID$316,$FJ200-HC$169,73-HC$169+SwaptionShift):INDEX($FK$245:$ID$316,$FJ200-HC$169,72-HC$169+SwaptionMonthsToGo+SwaptionShift))/SQRT(SUM(INDEX($FK355:$ID355,1+SwaptionShift):INDEX($FK355:$ID355,SwaptionMonthsToGo+SwaptionShift))*SUM(INDEX($FK$325:$ID$396,HC$169,1+SwaptionShift):INDEX($FK$325:$ID$396,HC$169,SwaptionMonthsToGo+SwaptionShift))))))</f>
        <v/>
      </c>
      <c r="HD200" s="479" t="str">
        <f ca="1">IF(OR(HD$169&lt;SwaptionFirstMonthPosition+1,$FJ200&lt;SwaptionFirstMonthPosition+1,HD$169&gt;SwaptionFirstMonthPosition+SwaptionNumOfMonths+1,$FJ200&gt;SwaptionFirstMonthPosition+SwaptionNumOfMonths+1),"",IF($FJ200=HD$169,1,IF($FJ200&lt;HD$169,INDEX($FK$170:$ID$241,HD$169,$FJ200),SUMPRODUCT(INDEX($FK$325:$ID$396,HD$169,1+SwaptionShift):INDEX($FK$325:$ID$396,HD$169,SwaptionMonthsToGo+SwaptionShift),INDEX($FK$245:$ID$316,$FJ200-HD$169,73-HD$169+SwaptionShift):INDEX($FK$245:$ID$316,$FJ200-HD$169,72-HD$169+SwaptionMonthsToGo+SwaptionShift))/SQRT(SUM(INDEX($FK355:$ID355,1+SwaptionShift):INDEX($FK355:$ID355,SwaptionMonthsToGo+SwaptionShift))*SUM(INDEX($FK$325:$ID$396,HD$169,1+SwaptionShift):INDEX($FK$325:$ID$396,HD$169,SwaptionMonthsToGo+SwaptionShift))))))</f>
        <v/>
      </c>
      <c r="HE200" s="479" t="str">
        <f ca="1">IF(OR(HE$169&lt;SwaptionFirstMonthPosition+1,$FJ200&lt;SwaptionFirstMonthPosition+1,HE$169&gt;SwaptionFirstMonthPosition+SwaptionNumOfMonths+1,$FJ200&gt;SwaptionFirstMonthPosition+SwaptionNumOfMonths+1),"",IF($FJ200=HE$169,1,IF($FJ200&lt;HE$169,INDEX($FK$170:$ID$241,HE$169,$FJ200),SUMPRODUCT(INDEX($FK$325:$ID$396,HE$169,1+SwaptionShift):INDEX($FK$325:$ID$396,HE$169,SwaptionMonthsToGo+SwaptionShift),INDEX($FK$245:$ID$316,$FJ200-HE$169,73-HE$169+SwaptionShift):INDEX($FK$245:$ID$316,$FJ200-HE$169,72-HE$169+SwaptionMonthsToGo+SwaptionShift))/SQRT(SUM(INDEX($FK355:$ID355,1+SwaptionShift):INDEX($FK355:$ID355,SwaptionMonthsToGo+SwaptionShift))*SUM(INDEX($FK$325:$ID$396,HE$169,1+SwaptionShift):INDEX($FK$325:$ID$396,HE$169,SwaptionMonthsToGo+SwaptionShift))))))</f>
        <v/>
      </c>
      <c r="HF200" s="479" t="str">
        <f ca="1">IF(OR(HF$169&lt;SwaptionFirstMonthPosition+1,$FJ200&lt;SwaptionFirstMonthPosition+1,HF$169&gt;SwaptionFirstMonthPosition+SwaptionNumOfMonths+1,$FJ200&gt;SwaptionFirstMonthPosition+SwaptionNumOfMonths+1),"",IF($FJ200=HF$169,1,IF($FJ200&lt;HF$169,INDEX($FK$170:$ID$241,HF$169,$FJ200),SUMPRODUCT(INDEX($FK$325:$ID$396,HF$169,1+SwaptionShift):INDEX($FK$325:$ID$396,HF$169,SwaptionMonthsToGo+SwaptionShift),INDEX($FK$245:$ID$316,$FJ200-HF$169,73-HF$169+SwaptionShift):INDEX($FK$245:$ID$316,$FJ200-HF$169,72-HF$169+SwaptionMonthsToGo+SwaptionShift))/SQRT(SUM(INDEX($FK355:$ID355,1+SwaptionShift):INDEX($FK355:$ID355,SwaptionMonthsToGo+SwaptionShift))*SUM(INDEX($FK$325:$ID$396,HF$169,1+SwaptionShift):INDEX($FK$325:$ID$396,HF$169,SwaptionMonthsToGo+SwaptionShift))))))</f>
        <v/>
      </c>
      <c r="HG200" s="479" t="str">
        <f ca="1">IF(OR(HG$169&lt;SwaptionFirstMonthPosition+1,$FJ200&lt;SwaptionFirstMonthPosition+1,HG$169&gt;SwaptionFirstMonthPosition+SwaptionNumOfMonths+1,$FJ200&gt;SwaptionFirstMonthPosition+SwaptionNumOfMonths+1),"",IF($FJ200=HG$169,1,IF($FJ200&lt;HG$169,INDEX($FK$170:$ID$241,HG$169,$FJ200),SUMPRODUCT(INDEX($FK$325:$ID$396,HG$169,1+SwaptionShift):INDEX($FK$325:$ID$396,HG$169,SwaptionMonthsToGo+SwaptionShift),INDEX($FK$245:$ID$316,$FJ200-HG$169,73-HG$169+SwaptionShift):INDEX($FK$245:$ID$316,$FJ200-HG$169,72-HG$169+SwaptionMonthsToGo+SwaptionShift))/SQRT(SUM(INDEX($FK355:$ID355,1+SwaptionShift):INDEX($FK355:$ID355,SwaptionMonthsToGo+SwaptionShift))*SUM(INDEX($FK$325:$ID$396,HG$169,1+SwaptionShift):INDEX($FK$325:$ID$396,HG$169,SwaptionMonthsToGo+SwaptionShift))))))</f>
        <v/>
      </c>
      <c r="HH200" s="479" t="str">
        <f ca="1">IF(OR(HH$169&lt;SwaptionFirstMonthPosition+1,$FJ200&lt;SwaptionFirstMonthPosition+1,HH$169&gt;SwaptionFirstMonthPosition+SwaptionNumOfMonths+1,$FJ200&gt;SwaptionFirstMonthPosition+SwaptionNumOfMonths+1),"",IF($FJ200=HH$169,1,IF($FJ200&lt;HH$169,INDEX($FK$170:$ID$241,HH$169,$FJ200),SUMPRODUCT(INDEX($FK$325:$ID$396,HH$169,1+SwaptionShift):INDEX($FK$325:$ID$396,HH$169,SwaptionMonthsToGo+SwaptionShift),INDEX($FK$245:$ID$316,$FJ200-HH$169,73-HH$169+SwaptionShift):INDEX($FK$245:$ID$316,$FJ200-HH$169,72-HH$169+SwaptionMonthsToGo+SwaptionShift))/SQRT(SUM(INDEX($FK355:$ID355,1+SwaptionShift):INDEX($FK355:$ID355,SwaptionMonthsToGo+SwaptionShift))*SUM(INDEX($FK$325:$ID$396,HH$169,1+SwaptionShift):INDEX($FK$325:$ID$396,HH$169,SwaptionMonthsToGo+SwaptionShift))))))</f>
        <v/>
      </c>
      <c r="HI200" s="479" t="str">
        <f ca="1">IF(OR(HI$169&lt;SwaptionFirstMonthPosition+1,$FJ200&lt;SwaptionFirstMonthPosition+1,HI$169&gt;SwaptionFirstMonthPosition+SwaptionNumOfMonths+1,$FJ200&gt;SwaptionFirstMonthPosition+SwaptionNumOfMonths+1),"",IF($FJ200=HI$169,1,IF($FJ200&lt;HI$169,INDEX($FK$170:$ID$241,HI$169,$FJ200),SUMPRODUCT(INDEX($FK$325:$ID$396,HI$169,1+SwaptionShift):INDEX($FK$325:$ID$396,HI$169,SwaptionMonthsToGo+SwaptionShift),INDEX($FK$245:$ID$316,$FJ200-HI$169,73-HI$169+SwaptionShift):INDEX($FK$245:$ID$316,$FJ200-HI$169,72-HI$169+SwaptionMonthsToGo+SwaptionShift))/SQRT(SUM(INDEX($FK355:$ID355,1+SwaptionShift):INDEX($FK355:$ID355,SwaptionMonthsToGo+SwaptionShift))*SUM(INDEX($FK$325:$ID$396,HI$169,1+SwaptionShift):INDEX($FK$325:$ID$396,HI$169,SwaptionMonthsToGo+SwaptionShift))))))</f>
        <v/>
      </c>
      <c r="HJ200" s="479" t="str">
        <f ca="1">IF(OR(HJ$169&lt;SwaptionFirstMonthPosition+1,$FJ200&lt;SwaptionFirstMonthPosition+1,HJ$169&gt;SwaptionFirstMonthPosition+SwaptionNumOfMonths+1,$FJ200&gt;SwaptionFirstMonthPosition+SwaptionNumOfMonths+1),"",IF($FJ200=HJ$169,1,IF($FJ200&lt;HJ$169,INDEX($FK$170:$ID$241,HJ$169,$FJ200),SUMPRODUCT(INDEX($FK$325:$ID$396,HJ$169,1+SwaptionShift):INDEX($FK$325:$ID$396,HJ$169,SwaptionMonthsToGo+SwaptionShift),INDEX($FK$245:$ID$316,$FJ200-HJ$169,73-HJ$169+SwaptionShift):INDEX($FK$245:$ID$316,$FJ200-HJ$169,72-HJ$169+SwaptionMonthsToGo+SwaptionShift))/SQRT(SUM(INDEX($FK355:$ID355,1+SwaptionShift):INDEX($FK355:$ID355,SwaptionMonthsToGo+SwaptionShift))*SUM(INDEX($FK$325:$ID$396,HJ$169,1+SwaptionShift):INDEX($FK$325:$ID$396,HJ$169,SwaptionMonthsToGo+SwaptionShift))))))</f>
        <v/>
      </c>
      <c r="HK200" s="479" t="str">
        <f ca="1">IF(OR(HK$169&lt;SwaptionFirstMonthPosition+1,$FJ200&lt;SwaptionFirstMonthPosition+1,HK$169&gt;SwaptionFirstMonthPosition+SwaptionNumOfMonths+1,$FJ200&gt;SwaptionFirstMonthPosition+SwaptionNumOfMonths+1),"",IF($FJ200=HK$169,1,IF($FJ200&lt;HK$169,INDEX($FK$170:$ID$241,HK$169,$FJ200),SUMPRODUCT(INDEX($FK$325:$ID$396,HK$169,1+SwaptionShift):INDEX($FK$325:$ID$396,HK$169,SwaptionMonthsToGo+SwaptionShift),INDEX($FK$245:$ID$316,$FJ200-HK$169,73-HK$169+SwaptionShift):INDEX($FK$245:$ID$316,$FJ200-HK$169,72-HK$169+SwaptionMonthsToGo+SwaptionShift))/SQRT(SUM(INDEX($FK355:$ID355,1+SwaptionShift):INDEX($FK355:$ID355,SwaptionMonthsToGo+SwaptionShift))*SUM(INDEX($FK$325:$ID$396,HK$169,1+SwaptionShift):INDEX($FK$325:$ID$396,HK$169,SwaptionMonthsToGo+SwaptionShift))))))</f>
        <v/>
      </c>
      <c r="HL200" s="479" t="str">
        <f ca="1">IF(OR(HL$169&lt;SwaptionFirstMonthPosition+1,$FJ200&lt;SwaptionFirstMonthPosition+1,HL$169&gt;SwaptionFirstMonthPosition+SwaptionNumOfMonths+1,$FJ200&gt;SwaptionFirstMonthPosition+SwaptionNumOfMonths+1),"",IF($FJ200=HL$169,1,IF($FJ200&lt;HL$169,INDEX($FK$170:$ID$241,HL$169,$FJ200),SUMPRODUCT(INDEX($FK$325:$ID$396,HL$169,1+SwaptionShift):INDEX($FK$325:$ID$396,HL$169,SwaptionMonthsToGo+SwaptionShift),INDEX($FK$245:$ID$316,$FJ200-HL$169,73-HL$169+SwaptionShift):INDEX($FK$245:$ID$316,$FJ200-HL$169,72-HL$169+SwaptionMonthsToGo+SwaptionShift))/SQRT(SUM(INDEX($FK355:$ID355,1+SwaptionShift):INDEX($FK355:$ID355,SwaptionMonthsToGo+SwaptionShift))*SUM(INDEX($FK$325:$ID$396,HL$169,1+SwaptionShift):INDEX($FK$325:$ID$396,HL$169,SwaptionMonthsToGo+SwaptionShift))))))</f>
        <v/>
      </c>
      <c r="HM200" s="479" t="str">
        <f ca="1">IF(OR(HM$169&lt;SwaptionFirstMonthPosition+1,$FJ200&lt;SwaptionFirstMonthPosition+1,HM$169&gt;SwaptionFirstMonthPosition+SwaptionNumOfMonths+1,$FJ200&gt;SwaptionFirstMonthPosition+SwaptionNumOfMonths+1),"",IF($FJ200=HM$169,1,IF($FJ200&lt;HM$169,INDEX($FK$170:$ID$241,HM$169,$FJ200),SUMPRODUCT(INDEX($FK$325:$ID$396,HM$169,1+SwaptionShift):INDEX($FK$325:$ID$396,HM$169,SwaptionMonthsToGo+SwaptionShift),INDEX($FK$245:$ID$316,$FJ200-HM$169,73-HM$169+SwaptionShift):INDEX($FK$245:$ID$316,$FJ200-HM$169,72-HM$169+SwaptionMonthsToGo+SwaptionShift))/SQRT(SUM(INDEX($FK355:$ID355,1+SwaptionShift):INDEX($FK355:$ID355,SwaptionMonthsToGo+SwaptionShift))*SUM(INDEX($FK$325:$ID$396,HM$169,1+SwaptionShift):INDEX($FK$325:$ID$396,HM$169,SwaptionMonthsToGo+SwaptionShift))))))</f>
        <v/>
      </c>
      <c r="HN200" s="479" t="str">
        <f ca="1">IF(OR(HN$169&lt;SwaptionFirstMonthPosition+1,$FJ200&lt;SwaptionFirstMonthPosition+1,HN$169&gt;SwaptionFirstMonthPosition+SwaptionNumOfMonths+1,$FJ200&gt;SwaptionFirstMonthPosition+SwaptionNumOfMonths+1),"",IF($FJ200=HN$169,1,IF($FJ200&lt;HN$169,INDEX($FK$170:$ID$241,HN$169,$FJ200),SUMPRODUCT(INDEX($FK$325:$ID$396,HN$169,1+SwaptionShift):INDEX($FK$325:$ID$396,HN$169,SwaptionMonthsToGo+SwaptionShift),INDEX($FK$245:$ID$316,$FJ200-HN$169,73-HN$169+SwaptionShift):INDEX($FK$245:$ID$316,$FJ200-HN$169,72-HN$169+SwaptionMonthsToGo+SwaptionShift))/SQRT(SUM(INDEX($FK355:$ID355,1+SwaptionShift):INDEX($FK355:$ID355,SwaptionMonthsToGo+SwaptionShift))*SUM(INDEX($FK$325:$ID$396,HN$169,1+SwaptionShift):INDEX($FK$325:$ID$396,HN$169,SwaptionMonthsToGo+SwaptionShift))))))</f>
        <v/>
      </c>
      <c r="HO200" s="479" t="str">
        <f ca="1">IF(OR(HO$169&lt;SwaptionFirstMonthPosition+1,$FJ200&lt;SwaptionFirstMonthPosition+1,HO$169&gt;SwaptionFirstMonthPosition+SwaptionNumOfMonths+1,$FJ200&gt;SwaptionFirstMonthPosition+SwaptionNumOfMonths+1),"",IF($FJ200=HO$169,1,IF($FJ200&lt;HO$169,INDEX($FK$170:$ID$241,HO$169,$FJ200),SUMPRODUCT(INDEX($FK$325:$ID$396,HO$169,1+SwaptionShift):INDEX($FK$325:$ID$396,HO$169,SwaptionMonthsToGo+SwaptionShift),INDEX($FK$245:$ID$316,$FJ200-HO$169,73-HO$169+SwaptionShift):INDEX($FK$245:$ID$316,$FJ200-HO$169,72-HO$169+SwaptionMonthsToGo+SwaptionShift))/SQRT(SUM(INDEX($FK355:$ID355,1+SwaptionShift):INDEX($FK355:$ID355,SwaptionMonthsToGo+SwaptionShift))*SUM(INDEX($FK$325:$ID$396,HO$169,1+SwaptionShift):INDEX($FK$325:$ID$396,HO$169,SwaptionMonthsToGo+SwaptionShift))))))</f>
        <v/>
      </c>
      <c r="HP200" s="479" t="str">
        <f ca="1">IF(OR(HP$169&lt;SwaptionFirstMonthPosition+1,$FJ200&lt;SwaptionFirstMonthPosition+1,HP$169&gt;SwaptionFirstMonthPosition+SwaptionNumOfMonths+1,$FJ200&gt;SwaptionFirstMonthPosition+SwaptionNumOfMonths+1),"",IF($FJ200=HP$169,1,IF($FJ200&lt;HP$169,INDEX($FK$170:$ID$241,HP$169,$FJ200),SUMPRODUCT(INDEX($FK$325:$ID$396,HP$169,1+SwaptionShift):INDEX($FK$325:$ID$396,HP$169,SwaptionMonthsToGo+SwaptionShift),INDEX($FK$245:$ID$316,$FJ200-HP$169,73-HP$169+SwaptionShift):INDEX($FK$245:$ID$316,$FJ200-HP$169,72-HP$169+SwaptionMonthsToGo+SwaptionShift))/SQRT(SUM(INDEX($FK355:$ID355,1+SwaptionShift):INDEX($FK355:$ID355,SwaptionMonthsToGo+SwaptionShift))*SUM(INDEX($FK$325:$ID$396,HP$169,1+SwaptionShift):INDEX($FK$325:$ID$396,HP$169,SwaptionMonthsToGo+SwaptionShift))))))</f>
        <v/>
      </c>
      <c r="HQ200" s="479" t="str">
        <f ca="1">IF(OR(HQ$169&lt;SwaptionFirstMonthPosition+1,$FJ200&lt;SwaptionFirstMonthPosition+1,HQ$169&gt;SwaptionFirstMonthPosition+SwaptionNumOfMonths+1,$FJ200&gt;SwaptionFirstMonthPosition+SwaptionNumOfMonths+1),"",IF($FJ200=HQ$169,1,IF($FJ200&lt;HQ$169,INDEX($FK$170:$ID$241,HQ$169,$FJ200),SUMPRODUCT(INDEX($FK$325:$ID$396,HQ$169,1+SwaptionShift):INDEX($FK$325:$ID$396,HQ$169,SwaptionMonthsToGo+SwaptionShift),INDEX($FK$245:$ID$316,$FJ200-HQ$169,73-HQ$169+SwaptionShift):INDEX($FK$245:$ID$316,$FJ200-HQ$169,72-HQ$169+SwaptionMonthsToGo+SwaptionShift))/SQRT(SUM(INDEX($FK355:$ID355,1+SwaptionShift):INDEX($FK355:$ID355,SwaptionMonthsToGo+SwaptionShift))*SUM(INDEX($FK$325:$ID$396,HQ$169,1+SwaptionShift):INDEX($FK$325:$ID$396,HQ$169,SwaptionMonthsToGo+SwaptionShift))))))</f>
        <v/>
      </c>
      <c r="HR200" s="479" t="str">
        <f ca="1">IF(OR(HR$169&lt;SwaptionFirstMonthPosition+1,$FJ200&lt;SwaptionFirstMonthPosition+1,HR$169&gt;SwaptionFirstMonthPosition+SwaptionNumOfMonths+1,$FJ200&gt;SwaptionFirstMonthPosition+SwaptionNumOfMonths+1),"",IF($FJ200=HR$169,1,IF($FJ200&lt;HR$169,INDEX($FK$170:$ID$241,HR$169,$FJ200),SUMPRODUCT(INDEX($FK$325:$ID$396,HR$169,1+SwaptionShift):INDEX($FK$325:$ID$396,HR$169,SwaptionMonthsToGo+SwaptionShift),INDEX($FK$245:$ID$316,$FJ200-HR$169,73-HR$169+SwaptionShift):INDEX($FK$245:$ID$316,$FJ200-HR$169,72-HR$169+SwaptionMonthsToGo+SwaptionShift))/SQRT(SUM(INDEX($FK355:$ID355,1+SwaptionShift):INDEX($FK355:$ID355,SwaptionMonthsToGo+SwaptionShift))*SUM(INDEX($FK$325:$ID$396,HR$169,1+SwaptionShift):INDEX($FK$325:$ID$396,HR$169,SwaptionMonthsToGo+SwaptionShift))))))</f>
        <v/>
      </c>
      <c r="HS200" s="479" t="str">
        <f ca="1">IF(OR(HS$169&lt;SwaptionFirstMonthPosition+1,$FJ200&lt;SwaptionFirstMonthPosition+1,HS$169&gt;SwaptionFirstMonthPosition+SwaptionNumOfMonths+1,$FJ200&gt;SwaptionFirstMonthPosition+SwaptionNumOfMonths+1),"",IF($FJ200=HS$169,1,IF($FJ200&lt;HS$169,INDEX($FK$170:$ID$241,HS$169,$FJ200),SUMPRODUCT(INDEX($FK$325:$ID$396,HS$169,1+SwaptionShift):INDEX($FK$325:$ID$396,HS$169,SwaptionMonthsToGo+SwaptionShift),INDEX($FK$245:$ID$316,$FJ200-HS$169,73-HS$169+SwaptionShift):INDEX($FK$245:$ID$316,$FJ200-HS$169,72-HS$169+SwaptionMonthsToGo+SwaptionShift))/SQRT(SUM(INDEX($FK355:$ID355,1+SwaptionShift):INDEX($FK355:$ID355,SwaptionMonthsToGo+SwaptionShift))*SUM(INDEX($FK$325:$ID$396,HS$169,1+SwaptionShift):INDEX($FK$325:$ID$396,HS$169,SwaptionMonthsToGo+SwaptionShift))))))</f>
        <v/>
      </c>
      <c r="HT200" s="479" t="str">
        <f ca="1">IF(OR(HT$169&lt;SwaptionFirstMonthPosition+1,$FJ200&lt;SwaptionFirstMonthPosition+1,HT$169&gt;SwaptionFirstMonthPosition+SwaptionNumOfMonths+1,$FJ200&gt;SwaptionFirstMonthPosition+SwaptionNumOfMonths+1),"",IF($FJ200=HT$169,1,IF($FJ200&lt;HT$169,INDEX($FK$170:$ID$241,HT$169,$FJ200),SUMPRODUCT(INDEX($FK$325:$ID$396,HT$169,1+SwaptionShift):INDEX($FK$325:$ID$396,HT$169,SwaptionMonthsToGo+SwaptionShift),INDEX($FK$245:$ID$316,$FJ200-HT$169,73-HT$169+SwaptionShift):INDEX($FK$245:$ID$316,$FJ200-HT$169,72-HT$169+SwaptionMonthsToGo+SwaptionShift))/SQRT(SUM(INDEX($FK355:$ID355,1+SwaptionShift):INDEX($FK355:$ID355,SwaptionMonthsToGo+SwaptionShift))*SUM(INDEX($FK$325:$ID$396,HT$169,1+SwaptionShift):INDEX($FK$325:$ID$396,HT$169,SwaptionMonthsToGo+SwaptionShift))))))</f>
        <v/>
      </c>
      <c r="HU200" s="479" t="str">
        <f ca="1">IF(OR(HU$169&lt;SwaptionFirstMonthPosition+1,$FJ200&lt;SwaptionFirstMonthPosition+1,HU$169&gt;SwaptionFirstMonthPosition+SwaptionNumOfMonths+1,$FJ200&gt;SwaptionFirstMonthPosition+SwaptionNumOfMonths+1),"",IF($FJ200=HU$169,1,IF($FJ200&lt;HU$169,INDEX($FK$170:$ID$241,HU$169,$FJ200),SUMPRODUCT(INDEX($FK$325:$ID$396,HU$169,1+SwaptionShift):INDEX($FK$325:$ID$396,HU$169,SwaptionMonthsToGo+SwaptionShift),INDEX($FK$245:$ID$316,$FJ200-HU$169,73-HU$169+SwaptionShift):INDEX($FK$245:$ID$316,$FJ200-HU$169,72-HU$169+SwaptionMonthsToGo+SwaptionShift))/SQRT(SUM(INDEX($FK355:$ID355,1+SwaptionShift):INDEX($FK355:$ID355,SwaptionMonthsToGo+SwaptionShift))*SUM(INDEX($FK$325:$ID$396,HU$169,1+SwaptionShift):INDEX($FK$325:$ID$396,HU$169,SwaptionMonthsToGo+SwaptionShift))))))</f>
        <v/>
      </c>
      <c r="HV200" s="479" t="str">
        <f ca="1">IF(OR(HV$169&lt;SwaptionFirstMonthPosition+1,$FJ200&lt;SwaptionFirstMonthPosition+1,HV$169&gt;SwaptionFirstMonthPosition+SwaptionNumOfMonths+1,$FJ200&gt;SwaptionFirstMonthPosition+SwaptionNumOfMonths+1),"",IF($FJ200=HV$169,1,IF($FJ200&lt;HV$169,INDEX($FK$170:$ID$241,HV$169,$FJ200),SUMPRODUCT(INDEX($FK$325:$ID$396,HV$169,1+SwaptionShift):INDEX($FK$325:$ID$396,HV$169,SwaptionMonthsToGo+SwaptionShift),INDEX($FK$245:$ID$316,$FJ200-HV$169,73-HV$169+SwaptionShift):INDEX($FK$245:$ID$316,$FJ200-HV$169,72-HV$169+SwaptionMonthsToGo+SwaptionShift))/SQRT(SUM(INDEX($FK355:$ID355,1+SwaptionShift):INDEX($FK355:$ID355,SwaptionMonthsToGo+SwaptionShift))*SUM(INDEX($FK$325:$ID$396,HV$169,1+SwaptionShift):INDEX($FK$325:$ID$396,HV$169,SwaptionMonthsToGo+SwaptionShift))))))</f>
        <v/>
      </c>
      <c r="HW200" s="479" t="str">
        <f ca="1">IF(OR(HW$169&lt;SwaptionFirstMonthPosition+1,$FJ200&lt;SwaptionFirstMonthPosition+1,HW$169&gt;SwaptionFirstMonthPosition+SwaptionNumOfMonths+1,$FJ200&gt;SwaptionFirstMonthPosition+SwaptionNumOfMonths+1),"",IF($FJ200=HW$169,1,IF($FJ200&lt;HW$169,INDEX($FK$170:$ID$241,HW$169,$FJ200),SUMPRODUCT(INDEX($FK$325:$ID$396,HW$169,1+SwaptionShift):INDEX($FK$325:$ID$396,HW$169,SwaptionMonthsToGo+SwaptionShift),INDEX($FK$245:$ID$316,$FJ200-HW$169,73-HW$169+SwaptionShift):INDEX($FK$245:$ID$316,$FJ200-HW$169,72-HW$169+SwaptionMonthsToGo+SwaptionShift))/SQRT(SUM(INDEX($FK355:$ID355,1+SwaptionShift):INDEX($FK355:$ID355,SwaptionMonthsToGo+SwaptionShift))*SUM(INDEX($FK$325:$ID$396,HW$169,1+SwaptionShift):INDEX($FK$325:$ID$396,HW$169,SwaptionMonthsToGo+SwaptionShift))))))</f>
        <v/>
      </c>
      <c r="HX200" s="479" t="str">
        <f ca="1">IF(OR(HX$169&lt;SwaptionFirstMonthPosition+1,$FJ200&lt;SwaptionFirstMonthPosition+1,HX$169&gt;SwaptionFirstMonthPosition+SwaptionNumOfMonths+1,$FJ200&gt;SwaptionFirstMonthPosition+SwaptionNumOfMonths+1),"",IF($FJ200=HX$169,1,IF($FJ200&lt;HX$169,INDEX($FK$170:$ID$241,HX$169,$FJ200),SUMPRODUCT(INDEX($FK$325:$ID$396,HX$169,1+SwaptionShift):INDEX($FK$325:$ID$396,HX$169,SwaptionMonthsToGo+SwaptionShift),INDEX($FK$245:$ID$316,$FJ200-HX$169,73-HX$169+SwaptionShift):INDEX($FK$245:$ID$316,$FJ200-HX$169,72-HX$169+SwaptionMonthsToGo+SwaptionShift))/SQRT(SUM(INDEX($FK355:$ID355,1+SwaptionShift):INDEX($FK355:$ID355,SwaptionMonthsToGo+SwaptionShift))*SUM(INDEX($FK$325:$ID$396,HX$169,1+SwaptionShift):INDEX($FK$325:$ID$396,HX$169,SwaptionMonthsToGo+SwaptionShift))))))</f>
        <v/>
      </c>
      <c r="HY200" s="479" t="str">
        <f ca="1">IF(OR(HY$169&lt;SwaptionFirstMonthPosition+1,$FJ200&lt;SwaptionFirstMonthPosition+1,HY$169&gt;SwaptionFirstMonthPosition+SwaptionNumOfMonths+1,$FJ200&gt;SwaptionFirstMonthPosition+SwaptionNumOfMonths+1),"",IF($FJ200=HY$169,1,IF($FJ200&lt;HY$169,INDEX($FK$170:$ID$241,HY$169,$FJ200),SUMPRODUCT(INDEX($FK$325:$ID$396,HY$169,1+SwaptionShift):INDEX($FK$325:$ID$396,HY$169,SwaptionMonthsToGo+SwaptionShift),INDEX($FK$245:$ID$316,$FJ200-HY$169,73-HY$169+SwaptionShift):INDEX($FK$245:$ID$316,$FJ200-HY$169,72-HY$169+SwaptionMonthsToGo+SwaptionShift))/SQRT(SUM(INDEX($FK355:$ID355,1+SwaptionShift):INDEX($FK355:$ID355,SwaptionMonthsToGo+SwaptionShift))*SUM(INDEX($FK$325:$ID$396,HY$169,1+SwaptionShift):INDEX($FK$325:$ID$396,HY$169,SwaptionMonthsToGo+SwaptionShift))))))</f>
        <v/>
      </c>
      <c r="HZ200" s="479" t="str">
        <f ca="1">IF(OR(HZ$169&lt;SwaptionFirstMonthPosition+1,$FJ200&lt;SwaptionFirstMonthPosition+1,HZ$169&gt;SwaptionFirstMonthPosition+SwaptionNumOfMonths+1,$FJ200&gt;SwaptionFirstMonthPosition+SwaptionNumOfMonths+1),"",IF($FJ200=HZ$169,1,IF($FJ200&lt;HZ$169,INDEX($FK$170:$ID$241,HZ$169,$FJ200),SUMPRODUCT(INDEX($FK$325:$ID$396,HZ$169,1+SwaptionShift):INDEX($FK$325:$ID$396,HZ$169,SwaptionMonthsToGo+SwaptionShift),INDEX($FK$245:$ID$316,$FJ200-HZ$169,73-HZ$169+SwaptionShift):INDEX($FK$245:$ID$316,$FJ200-HZ$169,72-HZ$169+SwaptionMonthsToGo+SwaptionShift))/SQRT(SUM(INDEX($FK355:$ID355,1+SwaptionShift):INDEX($FK355:$ID355,SwaptionMonthsToGo+SwaptionShift))*SUM(INDEX($FK$325:$ID$396,HZ$169,1+SwaptionShift):INDEX($FK$325:$ID$396,HZ$169,SwaptionMonthsToGo+SwaptionShift))))))</f>
        <v/>
      </c>
      <c r="IA200" s="479" t="str">
        <f ca="1">IF(OR(IA$169&lt;SwaptionFirstMonthPosition+1,$FJ200&lt;SwaptionFirstMonthPosition+1,IA$169&gt;SwaptionFirstMonthPosition+SwaptionNumOfMonths+1,$FJ200&gt;SwaptionFirstMonthPosition+SwaptionNumOfMonths+1),"",IF($FJ200=IA$169,1,IF($FJ200&lt;IA$169,INDEX($FK$170:$ID$241,IA$169,$FJ200),SUMPRODUCT(INDEX($FK$325:$ID$396,IA$169,1+SwaptionShift):INDEX($FK$325:$ID$396,IA$169,SwaptionMonthsToGo+SwaptionShift),INDEX($FK$245:$ID$316,$FJ200-IA$169,73-IA$169+SwaptionShift):INDEX($FK$245:$ID$316,$FJ200-IA$169,72-IA$169+SwaptionMonthsToGo+SwaptionShift))/SQRT(SUM(INDEX($FK355:$ID355,1+SwaptionShift):INDEX($FK355:$ID355,SwaptionMonthsToGo+SwaptionShift))*SUM(INDEX($FK$325:$ID$396,IA$169,1+SwaptionShift):INDEX($FK$325:$ID$396,IA$169,SwaptionMonthsToGo+SwaptionShift))))))</f>
        <v/>
      </c>
      <c r="IB200" s="479" t="str">
        <f ca="1">IF(OR(IB$169&lt;SwaptionFirstMonthPosition+1,$FJ200&lt;SwaptionFirstMonthPosition+1,IB$169&gt;SwaptionFirstMonthPosition+SwaptionNumOfMonths+1,$FJ200&gt;SwaptionFirstMonthPosition+SwaptionNumOfMonths+1),"",IF($FJ200=IB$169,1,IF($FJ200&lt;IB$169,INDEX($FK$170:$ID$241,IB$169,$FJ200),SUMPRODUCT(INDEX($FK$325:$ID$396,IB$169,1+SwaptionShift):INDEX($FK$325:$ID$396,IB$169,SwaptionMonthsToGo+SwaptionShift),INDEX($FK$245:$ID$316,$FJ200-IB$169,73-IB$169+SwaptionShift):INDEX($FK$245:$ID$316,$FJ200-IB$169,72-IB$169+SwaptionMonthsToGo+SwaptionShift))/SQRT(SUM(INDEX($FK355:$ID355,1+SwaptionShift):INDEX($FK355:$ID355,SwaptionMonthsToGo+SwaptionShift))*SUM(INDEX($FK$325:$ID$396,IB$169,1+SwaptionShift):INDEX($FK$325:$ID$396,IB$169,SwaptionMonthsToGo+SwaptionShift))))))</f>
        <v/>
      </c>
      <c r="IC200" s="479" t="str">
        <f ca="1">IF(OR(IC$169&lt;SwaptionFirstMonthPosition+1,$FJ200&lt;SwaptionFirstMonthPosition+1,IC$169&gt;SwaptionFirstMonthPosition+SwaptionNumOfMonths+1,$FJ200&gt;SwaptionFirstMonthPosition+SwaptionNumOfMonths+1),"",IF($FJ200=IC$169,1,IF($FJ200&lt;IC$169,INDEX($FK$170:$ID$241,IC$169,$FJ200),SUMPRODUCT(INDEX($FK$325:$ID$396,IC$169,1+SwaptionShift):INDEX($FK$325:$ID$396,IC$169,SwaptionMonthsToGo+SwaptionShift),INDEX($FK$245:$ID$316,$FJ200-IC$169,73-IC$169+SwaptionShift):INDEX($FK$245:$ID$316,$FJ200-IC$169,72-IC$169+SwaptionMonthsToGo+SwaptionShift))/SQRT(SUM(INDEX($FK355:$ID355,1+SwaptionShift):INDEX($FK355:$ID355,SwaptionMonthsToGo+SwaptionShift))*SUM(INDEX($FK$325:$ID$396,IC$169,1+SwaptionShift):INDEX($FK$325:$ID$396,IC$169,SwaptionMonthsToGo+SwaptionShift))))))</f>
        <v/>
      </c>
      <c r="ID200" s="678" t="str">
        <f ca="1">IF(OR(ID$169&lt;SwaptionFirstMonthPosition+1,$FJ200&lt;SwaptionFirstMonthPosition+1,ID$169&gt;SwaptionFirstMonthPosition+SwaptionNumOfMonths+1,$FJ200&gt;SwaptionFirstMonthPosition+SwaptionNumOfMonths+1),"",IF($FJ200=ID$169,1,IF($FJ200&lt;ID$169,INDEX($FK$170:$ID$241,ID$169,$FJ200),SUMPRODUCT(INDEX($FK$325:$ID$396,ID$169,1+SwaptionShift):INDEX($FK$325:$ID$396,ID$169,SwaptionMonthsToGo+SwaptionShift),INDEX($FK$245:$ID$316,$FJ200-ID$169,73-ID$169+SwaptionShift):INDEX($FK$245:$ID$316,$FJ200-ID$169,72-ID$169+SwaptionMonthsToGo+SwaptionShift))/SQRT(SUM(INDEX($FK355:$ID355,1+SwaptionShift):INDEX($FK355:$ID355,SwaptionMonthsToGo+SwaptionShift))*SUM(INDEX($FK$325:$ID$396,ID$169,1+SwaptionShift):INDEX($FK$325:$ID$396,ID$169,SwaptionMonthsToGo+SwaptionShift))))))</f>
        <v/>
      </c>
      <c r="IE200" s="250"/>
    </row>
    <row r="201" spans="8:239">
      <c r="H201" s="51">
        <f t="shared" ca="1" si="527"/>
        <v>0</v>
      </c>
      <c r="I201" s="379">
        <f t="shared" si="528"/>
        <v>42278</v>
      </c>
      <c r="J201" s="377"/>
      <c r="K201" s="104" t="s">
        <v>268</v>
      </c>
      <c r="L201" s="392">
        <f t="shared" si="529"/>
        <v>3.9375000000000067</v>
      </c>
      <c r="M201" s="171"/>
      <c r="N201" s="382">
        <v>0</v>
      </c>
      <c r="O201" s="171">
        <f t="shared" si="596"/>
        <v>0</v>
      </c>
      <c r="P201" s="377"/>
      <c r="Q201" s="104" t="s">
        <v>268</v>
      </c>
      <c r="R201" s="377">
        <f t="shared" ca="1" si="597"/>
        <v>2.583266100595023</v>
      </c>
      <c r="S201" s="832">
        <f t="shared" si="564"/>
        <v>0.3600000000000001</v>
      </c>
      <c r="T201" s="831">
        <f t="shared" si="548"/>
        <v>0.99999999999994549</v>
      </c>
      <c r="U201" s="545">
        <f t="shared" si="549"/>
        <v>0.99999999999999978</v>
      </c>
      <c r="V201" s="389">
        <v>0</v>
      </c>
      <c r="W201" s="434">
        <f t="shared" si="598"/>
        <v>0</v>
      </c>
      <c r="X201" s="415">
        <f t="shared" si="599"/>
        <v>3.98863636363637</v>
      </c>
      <c r="Y201" s="322">
        <f t="shared" si="600"/>
        <v>-1.1931</v>
      </c>
      <c r="Z201" s="322">
        <f t="shared" ca="1" si="601"/>
        <v>2.7955363636363701</v>
      </c>
      <c r="AA201" s="429">
        <f t="shared" si="495"/>
        <v>1.1931</v>
      </c>
      <c r="AB201" s="433">
        <f t="shared" ca="1" si="496"/>
        <v>1.1931</v>
      </c>
      <c r="AC201" s="229">
        <v>42267</v>
      </c>
      <c r="AD201" s="229">
        <v>42263</v>
      </c>
      <c r="AE201" s="229">
        <v>42262</v>
      </c>
      <c r="AF201" s="229">
        <v>42258</v>
      </c>
      <c r="AG201" s="249" t="s">
        <v>499</v>
      </c>
      <c r="AH201" s="247" t="s">
        <v>499</v>
      </c>
      <c r="AI201" s="146">
        <v>22</v>
      </c>
      <c r="AJ201" s="41">
        <v>14</v>
      </c>
      <c r="AK201" s="41">
        <v>8</v>
      </c>
      <c r="AL201" s="293">
        <v>22</v>
      </c>
      <c r="AM201" s="41">
        <v>10</v>
      </c>
      <c r="AN201" s="147">
        <v>12</v>
      </c>
      <c r="AO201" s="374"/>
      <c r="AP201" s="153">
        <f t="shared" ca="1" si="530"/>
        <v>1</v>
      </c>
      <c r="AQ201" s="374"/>
      <c r="AR201" s="153">
        <f t="shared" ca="1" si="550"/>
        <v>1</v>
      </c>
      <c r="AS201" s="272">
        <f t="shared" si="602"/>
        <v>0</v>
      </c>
      <c r="AT201" s="157">
        <f t="shared" si="531"/>
        <v>0</v>
      </c>
      <c r="AU201" s="157">
        <f t="shared" si="498"/>
        <v>0</v>
      </c>
      <c r="AV201" s="271">
        <f t="shared" ca="1" si="558"/>
        <v>9.9999999999999995E-7</v>
      </c>
      <c r="AW201" s="158" t="str">
        <f t="shared" ca="1" si="583"/>
        <v/>
      </c>
      <c r="AX201" s="157">
        <f t="shared" ca="1" si="551"/>
        <v>5.6536759765207571E-5</v>
      </c>
      <c r="AY201" s="157">
        <f t="shared" ca="1" si="552"/>
        <v>1.3088716042801972E-5</v>
      </c>
      <c r="AZ201" s="157">
        <f t="shared" ca="1" si="553"/>
        <v>4.2100095055004978E-7</v>
      </c>
      <c r="BA201" s="157">
        <f t="shared" ca="1" si="554"/>
        <v>5.2625118818756222E-8</v>
      </c>
      <c r="BB201" s="157">
        <f t="shared" ca="1" si="555"/>
        <v>2.4793780835594316E-10</v>
      </c>
      <c r="BC201" s="157">
        <f t="shared" ca="1" si="556"/>
        <v>5.5388062613758015E-12</v>
      </c>
      <c r="BD201" s="151">
        <f t="shared" ca="1" si="603"/>
        <v>0</v>
      </c>
      <c r="BE201" s="152">
        <f t="shared" ca="1" si="604"/>
        <v>0</v>
      </c>
      <c r="BF201" s="40">
        <f t="shared" si="605"/>
        <v>2015</v>
      </c>
      <c r="BG201" s="144">
        <f t="shared" si="606"/>
        <v>10</v>
      </c>
      <c r="BH201" s="145">
        <f t="shared" ca="1" si="607"/>
        <v>5518</v>
      </c>
      <c r="BI201" s="313">
        <f t="shared" ca="1" si="608"/>
        <v>15.148528405201917</v>
      </c>
      <c r="BJ201" s="42">
        <f t="shared" ca="1" si="505"/>
        <v>15.200796465683529</v>
      </c>
      <c r="BK201" s="42">
        <f t="shared" ca="1" si="506"/>
        <v>15.203534316470662</v>
      </c>
      <c r="BL201" s="42">
        <f t="shared" ca="1" si="609"/>
        <v>15.230663928815879</v>
      </c>
      <c r="BM201" s="150" t="e">
        <f t="shared" ca="1" si="507"/>
        <v>#DIV/0!</v>
      </c>
      <c r="BN201" s="42" t="e">
        <f t="shared" ca="1" si="508"/>
        <v>#DIV/0!</v>
      </c>
      <c r="BO201" s="293">
        <f t="shared" si="610"/>
        <v>22</v>
      </c>
      <c r="BP201" s="41">
        <f t="shared" si="611"/>
        <v>14</v>
      </c>
      <c r="BQ201" s="41">
        <f t="shared" si="612"/>
        <v>8</v>
      </c>
      <c r="BR201" s="305" t="str">
        <f t="shared" ca="1" si="509"/>
        <v/>
      </c>
      <c r="BS201" s="305" t="str">
        <f t="shared" ca="1" si="613"/>
        <v/>
      </c>
      <c r="BT201" s="307" t="str">
        <f t="shared" ca="1" si="614"/>
        <v/>
      </c>
      <c r="BU201" s="161" t="str">
        <f t="shared" ca="1" si="510"/>
        <v/>
      </c>
      <c r="BV201" s="161" t="str">
        <f t="shared" ca="1" si="511"/>
        <v/>
      </c>
      <c r="BW201" s="308" t="str">
        <f t="shared" ca="1" si="512"/>
        <v/>
      </c>
      <c r="BX201" s="309" t="str">
        <f t="shared" ca="1" si="513"/>
        <v/>
      </c>
      <c r="BY201" s="308" t="str">
        <f t="shared" ca="1" si="615"/>
        <v/>
      </c>
      <c r="BZ201" s="309" t="str">
        <f t="shared" ca="1" si="616"/>
        <v/>
      </c>
      <c r="CA201" s="154" t="str">
        <f t="shared" ca="1" si="514"/>
        <v/>
      </c>
      <c r="CB201" s="154" t="str">
        <f t="shared" ca="1" si="515"/>
        <v/>
      </c>
      <c r="CC201" s="154" t="str">
        <f t="shared" ca="1" si="516"/>
        <v/>
      </c>
      <c r="CD201" s="154" t="str">
        <f t="shared" ca="1" si="517"/>
        <v/>
      </c>
      <c r="CE201" s="310">
        <v>1</v>
      </c>
      <c r="CF201" s="162">
        <f ca="1">IF(BD201,_xll.xCrudeAPO(BU201,BV201,CA201,CB201,S202,S203,BI201,BL201,BP201,BQ201,0,Strike1,AO201,CE201,0,BL201,IF(OptControl=4,0,1),0,1),0)</f>
        <v>0</v>
      </c>
      <c r="CG201" s="163">
        <f ca="1">IF(BD201,_xll.xCrudeAPO(BU201,BV201,CA201,CB201,S202,S203,BI201,BL201,BP201,BQ201,0,Strike1,AO201,CE201,0,BL201,IF(OptControl=4,0,1),1,1)+_xll.xCrudeAPO(BU201,BV201,CA201,CB201,S202,S203,BI201,BL201,BP201,BQ201,0,Strike1,AO201,CE201,0,BL201,IF(OptControl=4,0,1),1,2)+IF(OR(VolSkewFlag=2,ABS(BS201)&lt;0.0001),0,IF(BS201&gt;0,-1,1)*CH201*Strike1/BR201^2*BY201/10%),0)</f>
        <v>0</v>
      </c>
      <c r="CH201" s="163">
        <f ca="1">IF(BD201,(_xll.xCrudeAPO(BU201,BV201,CA201,CB201,S202,S203,BI201,BL201,BP201,BQ201,0,Strike1,AO201,CE201,0,BL201,IF(OptControl=4,0,1),3,1)+_xll.xCrudeAPO(BU201,BV201,CA201,CB201,S202,S203,BI201,BL201,BP201,BQ201,0,Strike1,AO201,CE201,0,BL201,IF(OptControl=4,0,1),3,2))/100,0)</f>
        <v>0</v>
      </c>
      <c r="CI201" s="163">
        <f ca="1">IF(BD201,_xll.xCrudeAPO(BU201,BV201,CA201,CB201,S202,S203,BI201-DaysForThetaCalculation/365.25,BL201-DaysForThetaCalculation/365.25,BP201,BQ201,0,Strike1,AO201,CE201,0,BL201,IF(OptControl=4,0,1),0,1)-_xll.xCrudeAPO(BU201,BV201,CA201,CB201,S202,S203,BI201,BL201,BP201,BQ201,0,Strike1,AO201,CE201,0,BL201,IF(OptControl=4,0,1),0,1),0)</f>
        <v>0</v>
      </c>
      <c r="CJ201" s="311">
        <f ca="1">IF(BD201,_xll.xCrudeAPO(BU201,BV201,CC201,CD201,S202,S203,BI201,BL201,BP201,BQ201,0,Strike2,AO201,CE201,0,BL201,IF(OptControl=3,1,0),0,1),0)</f>
        <v>0</v>
      </c>
      <c r="CK201" s="163">
        <f ca="1">IF(BD201,_xll.xCrudeAPO(BU201,BV201,CC201,CD201,S202,S203,BI201,BL201,BP201,BQ201,0,Strike2,AO201,CE201,0,BL201,IF(OptControl=3,1,0),1,1)+_xll.xCrudeAPO(BU201,BV201,CC201,CD201,S202,S203,BI201,BL201,BP201,BQ201,0,Strike2,AO201,CE201,0,BL201,IF(OptControl=3,1,0),1,2)+IF(OR(VolSkewFlag=2,ABS(BT201)&lt;0.0001),0,IF(BT201&gt;0,-1,1)*CL201*Strike2/BR201^2*BZ201/10%),0)</f>
        <v>0</v>
      </c>
      <c r="CL201" s="163">
        <f ca="1">IF(BD201,(_xll.xCrudeAPO(BU201,BV201,CC201,CD201,S202,S203,BI201,BL201,BP201,BQ201,0,Strike2,AO201,CE201,0,BL201,IF(OptControl=3,1,0),3,1)+_xll.xCrudeAPO(BU201,BV201,CC201,CD201,S202,S203,BI201,BL201,BP201,BQ201,0,Strike2,AO201,CE201,0,BL201,IF(OptControl=3,1,0),3,2))/100,0)</f>
        <v>0</v>
      </c>
      <c r="CM201" s="164">
        <f ca="1">IF(BD201,_xll.xCrudeAPO(BU201,BV201,CC201,CD201,S202,S203,BI201-DaysForThetaCalculation/365.25,BL201-DaysForThetaCalculation/365.25,BP201,BQ201,0,Strike2,AO201,CE201,0,BL201,IF(OptControl=3,1,0),0,1)-_xll.xCrudeAPO(BU201,BV201,CC201,CD201,S202,S203,BI201,BL201,BP201,BQ201,0,Strike2,AO201,CE201,0,BL201,IF(OptControl=3,1,0),0,1),0)</f>
        <v>0</v>
      </c>
      <c r="CN201" s="53"/>
      <c r="CO201" s="796" t="str">
        <f t="shared" ca="1" si="532"/>
        <v/>
      </c>
      <c r="CP201" s="800" t="str">
        <f t="shared" ca="1" si="533"/>
        <v/>
      </c>
      <c r="CQ201" s="797" t="str">
        <f t="shared" ca="1" si="534"/>
        <v/>
      </c>
      <c r="CR201" s="797" t="str">
        <f t="shared" ca="1" si="535"/>
        <v/>
      </c>
      <c r="CS201" s="797" t="str">
        <f t="shared" ca="1" si="536"/>
        <v/>
      </c>
      <c r="CT201" s="797" t="str">
        <f t="shared" ca="1" si="537"/>
        <v/>
      </c>
      <c r="CU201" s="798" t="str">
        <f t="shared" ca="1" si="538"/>
        <v/>
      </c>
      <c r="CV201" s="799" t="str">
        <f t="shared" ca="1" si="539"/>
        <v/>
      </c>
      <c r="CW201" s="799" t="str">
        <f t="shared" ca="1" si="540"/>
        <v/>
      </c>
      <c r="CX201" s="163">
        <f ca="1">IF(BD201,_xll.EURO(CP201,Strike1,AO201,AO201,CV201,CO201,IF(OptControl=4,0,1),0),0)</f>
        <v>0</v>
      </c>
      <c r="CY201" s="163">
        <f ca="1">IF(BD201,_xll.EURO(CP201,Strike1,AO201,AO201,CV201,CO201,IF(OptControl=4,0,1),1)+IF(OR(VolSkewFlag=2,ABS(CQ201)&lt;0.0001),0,IF(CQ201&gt;0,-1,1)*CZ201*100*Strike1/CP201^2*CS201/10%),0)</f>
        <v>0</v>
      </c>
      <c r="CZ201" s="163">
        <f ca="1">IF(BD201,_xll.EURO(CP201,Strike1,AO201,AO201,CV201,CO201,IF(OptControl=4,0,1),3)/100,0)</f>
        <v>0</v>
      </c>
      <c r="DA201" s="163">
        <f ca="1">IF(BD201,_xll.EURO(CP201,Strike1,AO201,AO201,CV201,CO201,IF(OptControl=4,0,1),0)-_xll.EURO(CP201,Strike1,AO201,AO201,CV201,CO201-1,IF(OptControl=4,0,1),0),0)</f>
        <v>0</v>
      </c>
      <c r="DB201" s="163">
        <f ca="1">IF(BD201,_xll.EURO(CP201,Strike2,AO201,AO201,CW201,CO201,IF(OptControl=3,1,0),0),0)</f>
        <v>0</v>
      </c>
      <c r="DC201" s="163">
        <f ca="1">IF(BD201,_xll.EURO(CP201,Strike2,AO201,AO201,CW201,CO201,IF(OptControl=3,1,0),1)+IF(OR(VolSkewFlag=2,ABS(CR201)&lt;0.0001),0,IF(CR201&gt;0,-1,1)*DD201*100*Strike2/CP201^2*CT201/10%),0)</f>
        <v>0</v>
      </c>
      <c r="DD201" s="163">
        <f ca="1">IF(BD201,_xll.EURO(CP201,Strike2,AO201,AO201,CW201,CO201,IF(OptControl=3,1,0),3)/100,0)</f>
        <v>0</v>
      </c>
      <c r="DE201" s="164">
        <f ca="1">IF(BD201,_xll.EURO(CP201,Strike2,AO201,AO201,CW201,CO201,IF(OptControl=3,1,0),0)-_xll.EURO(CP201,Strike2,AO201,AO201,CW201,CO201-1,IF(OptControl=3,1,0),0),0)</f>
        <v>0</v>
      </c>
      <c r="DG201" s="667">
        <f t="shared" ca="1" si="541"/>
        <v>42064</v>
      </c>
      <c r="DH201" s="475">
        <v>23.210000000000075</v>
      </c>
      <c r="DI201" s="665">
        <v>23.275909090909167</v>
      </c>
      <c r="DJ201" s="666">
        <f t="shared" ca="1" si="617"/>
        <v>42064</v>
      </c>
      <c r="DK201" s="475">
        <v>22.048072298303822</v>
      </c>
      <c r="DL201" s="665">
        <v>22.107409090909165</v>
      </c>
      <c r="DM201" s="667">
        <f t="shared" ca="1" si="618"/>
        <v>42064</v>
      </c>
      <c r="DN201" s="668">
        <f t="shared" si="619"/>
        <v>22.098072298303823</v>
      </c>
      <c r="DO201" s="667">
        <f t="shared" ca="1" si="620"/>
        <v>42064</v>
      </c>
      <c r="DP201" s="579">
        <f t="shared" si="621"/>
        <v>22.107409090909165</v>
      </c>
      <c r="DQ201" s="821">
        <v>0</v>
      </c>
      <c r="DR201" s="666">
        <f t="shared" ca="1" si="622"/>
        <v>42064</v>
      </c>
      <c r="DS201" s="669">
        <v>0.11599999999999802</v>
      </c>
      <c r="DT201" s="606">
        <v>0.11520909090908894</v>
      </c>
      <c r="DU201" s="666">
        <f t="shared" ca="1" si="623"/>
        <v>42064</v>
      </c>
      <c r="DV201" s="669">
        <v>0.11599999999999802</v>
      </c>
      <c r="DW201" s="606">
        <v>0.11520909090908894</v>
      </c>
      <c r="DX201" s="667">
        <f t="shared" ca="1" si="624"/>
        <v>42064</v>
      </c>
      <c r="DY201" s="606">
        <v>0.35</v>
      </c>
      <c r="DZ201" s="667">
        <f t="shared" ca="1" si="625"/>
        <v>42064</v>
      </c>
      <c r="EA201" s="606">
        <f t="shared" si="626"/>
        <v>0.11520909090908894</v>
      </c>
      <c r="EB201" s="1"/>
      <c r="EC201" s="118" t="str">
        <f t="shared" ca="1" si="627"/>
        <v/>
      </c>
      <c r="ED201" s="119" t="str">
        <f t="shared" ca="1" si="525"/>
        <v/>
      </c>
      <c r="EE201" s="112" t="str">
        <f t="shared" ca="1" si="526"/>
        <v/>
      </c>
      <c r="EF201" s="120">
        <f ca="1">IF(BD201,_xll.xASN(BR201,Strike1,AO201,ED201,0,BO201,0,BI201,BL201,IF(OptControl=4,0,1),0),0)</f>
        <v>0</v>
      </c>
      <c r="EG201" s="111">
        <f ca="1">IF(BD201,_xll.xASN(BR201,Strike2,AO201,EE201,0,BO201,0,BI201,BL201,IF(OptControl=3,1,0),0),0)</f>
        <v>0</v>
      </c>
      <c r="EL201" s="55"/>
      <c r="EM201" s="1"/>
      <c r="EN201" s="106"/>
      <c r="EO201" s="106"/>
      <c r="EP201" s="1"/>
      <c r="EQ201" s="683" t="s">
        <v>415</v>
      </c>
      <c r="ES201" s="455"/>
      <c r="ET201" s="36"/>
      <c r="EU201" s="107"/>
      <c r="EV201" s="475"/>
      <c r="EW201" s="456"/>
      <c r="EX201" s="456"/>
      <c r="EY201" s="250"/>
      <c r="EZ201" s="250"/>
      <c r="FA201" s="250"/>
      <c r="FB201" s="250"/>
      <c r="FC201" s="250"/>
      <c r="FD201" s="250"/>
      <c r="FE201" s="250"/>
      <c r="FF201" s="250"/>
      <c r="FG201" s="250"/>
      <c r="FH201" s="250"/>
      <c r="FI201" s="250"/>
      <c r="FJ201" s="673">
        <v>32</v>
      </c>
      <c r="FK201" s="479" t="str">
        <f ca="1">IF(OR(FK$169&lt;SwaptionFirstMonthPosition+1,$FJ201&lt;SwaptionFirstMonthPosition+1,FK$169&gt;SwaptionFirstMonthPosition+SwaptionNumOfMonths+1,$FJ201&gt;SwaptionFirstMonthPosition+SwaptionNumOfMonths+1),"",IF($FJ201=FK$169,1,IF($FJ201&lt;FK$169,INDEX($FK$170:$ID$241,FK$169,$FJ201),SUMPRODUCT(INDEX($FK$325:$ID$396,FK$169,1+SwaptionShift):INDEX($FK$325:$ID$396,FK$169,SwaptionMonthsToGo+SwaptionShift),INDEX($FK$245:$ID$316,$FJ201-FK$169,73-FK$169+SwaptionShift):INDEX($FK$245:$ID$316,$FJ201-FK$169,72-FK$169+SwaptionMonthsToGo+SwaptionShift))/SQRT(SUM(INDEX($FK356:$ID356,1+SwaptionShift):INDEX($FK356:$ID356,SwaptionMonthsToGo+SwaptionShift))*SUM(INDEX($FK$325:$ID$396,FK$169,1+SwaptionShift):INDEX($FK$325:$ID$396,FK$169,SwaptionMonthsToGo+SwaptionShift))))))</f>
        <v/>
      </c>
      <c r="FL201" s="479" t="str">
        <f ca="1">IF(OR(FL$169&lt;SwaptionFirstMonthPosition+1,$FJ201&lt;SwaptionFirstMonthPosition+1,FL$169&gt;SwaptionFirstMonthPosition+SwaptionNumOfMonths+1,$FJ201&gt;SwaptionFirstMonthPosition+SwaptionNumOfMonths+1),"",IF($FJ201=FL$169,1,IF($FJ201&lt;FL$169,INDEX($FK$170:$ID$241,FL$169,$FJ201),SUMPRODUCT(INDEX($FK$325:$ID$396,FL$169,1+SwaptionShift):INDEX($FK$325:$ID$396,FL$169,SwaptionMonthsToGo+SwaptionShift),INDEX($FK$245:$ID$316,$FJ201-FL$169,73-FL$169+SwaptionShift):INDEX($FK$245:$ID$316,$FJ201-FL$169,72-FL$169+SwaptionMonthsToGo+SwaptionShift))/SQRT(SUM(INDEX($FK356:$ID356,1+SwaptionShift):INDEX($FK356:$ID356,SwaptionMonthsToGo+SwaptionShift))*SUM(INDEX($FK$325:$ID$396,FL$169,1+SwaptionShift):INDEX($FK$325:$ID$396,FL$169,SwaptionMonthsToGo+SwaptionShift))))))</f>
        <v/>
      </c>
      <c r="FM201" s="479" t="str">
        <f ca="1">IF(OR(FM$169&lt;SwaptionFirstMonthPosition+1,$FJ201&lt;SwaptionFirstMonthPosition+1,FM$169&gt;SwaptionFirstMonthPosition+SwaptionNumOfMonths+1,$FJ201&gt;SwaptionFirstMonthPosition+SwaptionNumOfMonths+1),"",IF($FJ201=FM$169,1,IF($FJ201&lt;FM$169,INDEX($FK$170:$ID$241,FM$169,$FJ201),SUMPRODUCT(INDEX($FK$325:$ID$396,FM$169,1+SwaptionShift):INDEX($FK$325:$ID$396,FM$169,SwaptionMonthsToGo+SwaptionShift),INDEX($FK$245:$ID$316,$FJ201-FM$169,73-FM$169+SwaptionShift):INDEX($FK$245:$ID$316,$FJ201-FM$169,72-FM$169+SwaptionMonthsToGo+SwaptionShift))/SQRT(SUM(INDEX($FK356:$ID356,1+SwaptionShift):INDEX($FK356:$ID356,SwaptionMonthsToGo+SwaptionShift))*SUM(INDEX($FK$325:$ID$396,FM$169,1+SwaptionShift):INDEX($FK$325:$ID$396,FM$169,SwaptionMonthsToGo+SwaptionShift))))))</f>
        <v/>
      </c>
      <c r="FN201" s="479" t="str">
        <f ca="1">IF(OR(FN$169&lt;SwaptionFirstMonthPosition+1,$FJ201&lt;SwaptionFirstMonthPosition+1,FN$169&gt;SwaptionFirstMonthPosition+SwaptionNumOfMonths+1,$FJ201&gt;SwaptionFirstMonthPosition+SwaptionNumOfMonths+1),"",IF($FJ201=FN$169,1,IF($FJ201&lt;FN$169,INDEX($FK$170:$ID$241,FN$169,$FJ201),SUMPRODUCT(INDEX($FK$325:$ID$396,FN$169,1+SwaptionShift):INDEX($FK$325:$ID$396,FN$169,SwaptionMonthsToGo+SwaptionShift),INDEX($FK$245:$ID$316,$FJ201-FN$169,73-FN$169+SwaptionShift):INDEX($FK$245:$ID$316,$FJ201-FN$169,72-FN$169+SwaptionMonthsToGo+SwaptionShift))/SQRT(SUM(INDEX($FK356:$ID356,1+SwaptionShift):INDEX($FK356:$ID356,SwaptionMonthsToGo+SwaptionShift))*SUM(INDEX($FK$325:$ID$396,FN$169,1+SwaptionShift):INDEX($FK$325:$ID$396,FN$169,SwaptionMonthsToGo+SwaptionShift))))))</f>
        <v/>
      </c>
      <c r="FO201" s="479" t="str">
        <f ca="1">IF(OR(FO$169&lt;SwaptionFirstMonthPosition+1,$FJ201&lt;SwaptionFirstMonthPosition+1,FO$169&gt;SwaptionFirstMonthPosition+SwaptionNumOfMonths+1,$FJ201&gt;SwaptionFirstMonthPosition+SwaptionNumOfMonths+1),"",IF($FJ201=FO$169,1,IF($FJ201&lt;FO$169,INDEX($FK$170:$ID$241,FO$169,$FJ201),SUMPRODUCT(INDEX($FK$325:$ID$396,FO$169,1+SwaptionShift):INDEX($FK$325:$ID$396,FO$169,SwaptionMonthsToGo+SwaptionShift),INDEX($FK$245:$ID$316,$FJ201-FO$169,73-FO$169+SwaptionShift):INDEX($FK$245:$ID$316,$FJ201-FO$169,72-FO$169+SwaptionMonthsToGo+SwaptionShift))/SQRT(SUM(INDEX($FK356:$ID356,1+SwaptionShift):INDEX($FK356:$ID356,SwaptionMonthsToGo+SwaptionShift))*SUM(INDEX($FK$325:$ID$396,FO$169,1+SwaptionShift):INDEX($FK$325:$ID$396,FO$169,SwaptionMonthsToGo+SwaptionShift))))))</f>
        <v/>
      </c>
      <c r="FP201" s="479" t="str">
        <f ca="1">IF(OR(FP$169&lt;SwaptionFirstMonthPosition+1,$FJ201&lt;SwaptionFirstMonthPosition+1,FP$169&gt;SwaptionFirstMonthPosition+SwaptionNumOfMonths+1,$FJ201&gt;SwaptionFirstMonthPosition+SwaptionNumOfMonths+1),"",IF($FJ201=FP$169,1,IF($FJ201&lt;FP$169,INDEX($FK$170:$ID$241,FP$169,$FJ201),SUMPRODUCT(INDEX($FK$325:$ID$396,FP$169,1+SwaptionShift):INDEX($FK$325:$ID$396,FP$169,SwaptionMonthsToGo+SwaptionShift),INDEX($FK$245:$ID$316,$FJ201-FP$169,73-FP$169+SwaptionShift):INDEX($FK$245:$ID$316,$FJ201-FP$169,72-FP$169+SwaptionMonthsToGo+SwaptionShift))/SQRT(SUM(INDEX($FK356:$ID356,1+SwaptionShift):INDEX($FK356:$ID356,SwaptionMonthsToGo+SwaptionShift))*SUM(INDEX($FK$325:$ID$396,FP$169,1+SwaptionShift):INDEX($FK$325:$ID$396,FP$169,SwaptionMonthsToGo+SwaptionShift))))))</f>
        <v/>
      </c>
      <c r="FQ201" s="479" t="str">
        <f ca="1">IF(OR(FQ$169&lt;SwaptionFirstMonthPosition+1,$FJ201&lt;SwaptionFirstMonthPosition+1,FQ$169&gt;SwaptionFirstMonthPosition+SwaptionNumOfMonths+1,$FJ201&gt;SwaptionFirstMonthPosition+SwaptionNumOfMonths+1),"",IF($FJ201=FQ$169,1,IF($FJ201&lt;FQ$169,INDEX($FK$170:$ID$241,FQ$169,$FJ201),SUMPRODUCT(INDEX($FK$325:$ID$396,FQ$169,1+SwaptionShift):INDEX($FK$325:$ID$396,FQ$169,SwaptionMonthsToGo+SwaptionShift),INDEX($FK$245:$ID$316,$FJ201-FQ$169,73-FQ$169+SwaptionShift):INDEX($FK$245:$ID$316,$FJ201-FQ$169,72-FQ$169+SwaptionMonthsToGo+SwaptionShift))/SQRT(SUM(INDEX($FK356:$ID356,1+SwaptionShift):INDEX($FK356:$ID356,SwaptionMonthsToGo+SwaptionShift))*SUM(INDEX($FK$325:$ID$396,FQ$169,1+SwaptionShift):INDEX($FK$325:$ID$396,FQ$169,SwaptionMonthsToGo+SwaptionShift))))))</f>
        <v/>
      </c>
      <c r="FR201" s="479" t="str">
        <f ca="1">IF(OR(FR$169&lt;SwaptionFirstMonthPosition+1,$FJ201&lt;SwaptionFirstMonthPosition+1,FR$169&gt;SwaptionFirstMonthPosition+SwaptionNumOfMonths+1,$FJ201&gt;SwaptionFirstMonthPosition+SwaptionNumOfMonths+1),"",IF($FJ201=FR$169,1,IF($FJ201&lt;FR$169,INDEX($FK$170:$ID$241,FR$169,$FJ201),SUMPRODUCT(INDEX($FK$325:$ID$396,FR$169,1+SwaptionShift):INDEX($FK$325:$ID$396,FR$169,SwaptionMonthsToGo+SwaptionShift),INDEX($FK$245:$ID$316,$FJ201-FR$169,73-FR$169+SwaptionShift):INDEX($FK$245:$ID$316,$FJ201-FR$169,72-FR$169+SwaptionMonthsToGo+SwaptionShift))/SQRT(SUM(INDEX($FK356:$ID356,1+SwaptionShift):INDEX($FK356:$ID356,SwaptionMonthsToGo+SwaptionShift))*SUM(INDEX($FK$325:$ID$396,FR$169,1+SwaptionShift):INDEX($FK$325:$ID$396,FR$169,SwaptionMonthsToGo+SwaptionShift))))))</f>
        <v/>
      </c>
      <c r="FS201" s="479" t="str">
        <f ca="1">IF(OR(FS$169&lt;SwaptionFirstMonthPosition+1,$FJ201&lt;SwaptionFirstMonthPosition+1,FS$169&gt;SwaptionFirstMonthPosition+SwaptionNumOfMonths+1,$FJ201&gt;SwaptionFirstMonthPosition+SwaptionNumOfMonths+1),"",IF($FJ201=FS$169,1,IF($FJ201&lt;FS$169,INDEX($FK$170:$ID$241,FS$169,$FJ201),SUMPRODUCT(INDEX($FK$325:$ID$396,FS$169,1+SwaptionShift):INDEX($FK$325:$ID$396,FS$169,SwaptionMonthsToGo+SwaptionShift),INDEX($FK$245:$ID$316,$FJ201-FS$169,73-FS$169+SwaptionShift):INDEX($FK$245:$ID$316,$FJ201-FS$169,72-FS$169+SwaptionMonthsToGo+SwaptionShift))/SQRT(SUM(INDEX($FK356:$ID356,1+SwaptionShift):INDEX($FK356:$ID356,SwaptionMonthsToGo+SwaptionShift))*SUM(INDEX($FK$325:$ID$396,FS$169,1+SwaptionShift):INDEX($FK$325:$ID$396,FS$169,SwaptionMonthsToGo+SwaptionShift))))))</f>
        <v/>
      </c>
      <c r="FT201" s="479" t="str">
        <f ca="1">IF(OR(FT$169&lt;SwaptionFirstMonthPosition+1,$FJ201&lt;SwaptionFirstMonthPosition+1,FT$169&gt;SwaptionFirstMonthPosition+SwaptionNumOfMonths+1,$FJ201&gt;SwaptionFirstMonthPosition+SwaptionNumOfMonths+1),"",IF($FJ201=FT$169,1,IF($FJ201&lt;FT$169,INDEX($FK$170:$ID$241,FT$169,$FJ201),SUMPRODUCT(INDEX($FK$325:$ID$396,FT$169,1+SwaptionShift):INDEX($FK$325:$ID$396,FT$169,SwaptionMonthsToGo+SwaptionShift),INDEX($FK$245:$ID$316,$FJ201-FT$169,73-FT$169+SwaptionShift):INDEX($FK$245:$ID$316,$FJ201-FT$169,72-FT$169+SwaptionMonthsToGo+SwaptionShift))/SQRT(SUM(INDEX($FK356:$ID356,1+SwaptionShift):INDEX($FK356:$ID356,SwaptionMonthsToGo+SwaptionShift))*SUM(INDEX($FK$325:$ID$396,FT$169,1+SwaptionShift):INDEX($FK$325:$ID$396,FT$169,SwaptionMonthsToGo+SwaptionShift))))))</f>
        <v/>
      </c>
      <c r="FU201" s="479" t="str">
        <f ca="1">IF(OR(FU$169&lt;SwaptionFirstMonthPosition+1,$FJ201&lt;SwaptionFirstMonthPosition+1,FU$169&gt;SwaptionFirstMonthPosition+SwaptionNumOfMonths+1,$FJ201&gt;SwaptionFirstMonthPosition+SwaptionNumOfMonths+1),"",IF($FJ201=FU$169,1,IF($FJ201&lt;FU$169,INDEX($FK$170:$ID$241,FU$169,$FJ201),SUMPRODUCT(INDEX($FK$325:$ID$396,FU$169,1+SwaptionShift):INDEX($FK$325:$ID$396,FU$169,SwaptionMonthsToGo+SwaptionShift),INDEX($FK$245:$ID$316,$FJ201-FU$169,73-FU$169+SwaptionShift):INDEX($FK$245:$ID$316,$FJ201-FU$169,72-FU$169+SwaptionMonthsToGo+SwaptionShift))/SQRT(SUM(INDEX($FK356:$ID356,1+SwaptionShift):INDEX($FK356:$ID356,SwaptionMonthsToGo+SwaptionShift))*SUM(INDEX($FK$325:$ID$396,FU$169,1+SwaptionShift):INDEX($FK$325:$ID$396,FU$169,SwaptionMonthsToGo+SwaptionShift))))))</f>
        <v/>
      </c>
      <c r="FV201" s="479" t="str">
        <f ca="1">IF(OR(FV$169&lt;SwaptionFirstMonthPosition+1,$FJ201&lt;SwaptionFirstMonthPosition+1,FV$169&gt;SwaptionFirstMonthPosition+SwaptionNumOfMonths+1,$FJ201&gt;SwaptionFirstMonthPosition+SwaptionNumOfMonths+1),"",IF($FJ201=FV$169,1,IF($FJ201&lt;FV$169,INDEX($FK$170:$ID$241,FV$169,$FJ201),SUMPRODUCT(INDEX($FK$325:$ID$396,FV$169,1+SwaptionShift):INDEX($FK$325:$ID$396,FV$169,SwaptionMonthsToGo+SwaptionShift),INDEX($FK$245:$ID$316,$FJ201-FV$169,73-FV$169+SwaptionShift):INDEX($FK$245:$ID$316,$FJ201-FV$169,72-FV$169+SwaptionMonthsToGo+SwaptionShift))/SQRT(SUM(INDEX($FK356:$ID356,1+SwaptionShift):INDEX($FK356:$ID356,SwaptionMonthsToGo+SwaptionShift))*SUM(INDEX($FK$325:$ID$396,FV$169,1+SwaptionShift):INDEX($FK$325:$ID$396,FV$169,SwaptionMonthsToGo+SwaptionShift))))))</f>
        <v/>
      </c>
      <c r="FW201" s="479" t="str">
        <f ca="1">IF(OR(FW$169&lt;SwaptionFirstMonthPosition+1,$FJ201&lt;SwaptionFirstMonthPosition+1,FW$169&gt;SwaptionFirstMonthPosition+SwaptionNumOfMonths+1,$FJ201&gt;SwaptionFirstMonthPosition+SwaptionNumOfMonths+1),"",IF($FJ201=FW$169,1,IF($FJ201&lt;FW$169,INDEX($FK$170:$ID$241,FW$169,$FJ201),SUMPRODUCT(INDEX($FK$325:$ID$396,FW$169,1+SwaptionShift):INDEX($FK$325:$ID$396,FW$169,SwaptionMonthsToGo+SwaptionShift),INDEX($FK$245:$ID$316,$FJ201-FW$169,73-FW$169+SwaptionShift):INDEX($FK$245:$ID$316,$FJ201-FW$169,72-FW$169+SwaptionMonthsToGo+SwaptionShift))/SQRT(SUM(INDEX($FK356:$ID356,1+SwaptionShift):INDEX($FK356:$ID356,SwaptionMonthsToGo+SwaptionShift))*SUM(INDEX($FK$325:$ID$396,FW$169,1+SwaptionShift):INDEX($FK$325:$ID$396,FW$169,SwaptionMonthsToGo+SwaptionShift))))))</f>
        <v/>
      </c>
      <c r="FX201" s="479" t="str">
        <f ca="1">IF(OR(FX$169&lt;SwaptionFirstMonthPosition+1,$FJ201&lt;SwaptionFirstMonthPosition+1,FX$169&gt;SwaptionFirstMonthPosition+SwaptionNumOfMonths+1,$FJ201&gt;SwaptionFirstMonthPosition+SwaptionNumOfMonths+1),"",IF($FJ201=FX$169,1,IF($FJ201&lt;FX$169,INDEX($FK$170:$ID$241,FX$169,$FJ201),SUMPRODUCT(INDEX($FK$325:$ID$396,FX$169,1+SwaptionShift):INDEX($FK$325:$ID$396,FX$169,SwaptionMonthsToGo+SwaptionShift),INDEX($FK$245:$ID$316,$FJ201-FX$169,73-FX$169+SwaptionShift):INDEX($FK$245:$ID$316,$FJ201-FX$169,72-FX$169+SwaptionMonthsToGo+SwaptionShift))/SQRT(SUM(INDEX($FK356:$ID356,1+SwaptionShift):INDEX($FK356:$ID356,SwaptionMonthsToGo+SwaptionShift))*SUM(INDEX($FK$325:$ID$396,FX$169,1+SwaptionShift):INDEX($FK$325:$ID$396,FX$169,SwaptionMonthsToGo+SwaptionShift))))))</f>
        <v/>
      </c>
      <c r="FY201" s="479" t="str">
        <f ca="1">IF(OR(FY$169&lt;SwaptionFirstMonthPosition+1,$FJ201&lt;SwaptionFirstMonthPosition+1,FY$169&gt;SwaptionFirstMonthPosition+SwaptionNumOfMonths+1,$FJ201&gt;SwaptionFirstMonthPosition+SwaptionNumOfMonths+1),"",IF($FJ201=FY$169,1,IF($FJ201&lt;FY$169,INDEX($FK$170:$ID$241,FY$169,$FJ201),SUMPRODUCT(INDEX($FK$325:$ID$396,FY$169,1+SwaptionShift):INDEX($FK$325:$ID$396,FY$169,SwaptionMonthsToGo+SwaptionShift),INDEX($FK$245:$ID$316,$FJ201-FY$169,73-FY$169+SwaptionShift):INDEX($FK$245:$ID$316,$FJ201-FY$169,72-FY$169+SwaptionMonthsToGo+SwaptionShift))/SQRT(SUM(INDEX($FK356:$ID356,1+SwaptionShift):INDEX($FK356:$ID356,SwaptionMonthsToGo+SwaptionShift))*SUM(INDEX($FK$325:$ID$396,FY$169,1+SwaptionShift):INDEX($FK$325:$ID$396,FY$169,SwaptionMonthsToGo+SwaptionShift))))))</f>
        <v/>
      </c>
      <c r="FZ201" s="479" t="str">
        <f ca="1">IF(OR(FZ$169&lt;SwaptionFirstMonthPosition+1,$FJ201&lt;SwaptionFirstMonthPosition+1,FZ$169&gt;SwaptionFirstMonthPosition+SwaptionNumOfMonths+1,$FJ201&gt;SwaptionFirstMonthPosition+SwaptionNumOfMonths+1),"",IF($FJ201=FZ$169,1,IF($FJ201&lt;FZ$169,INDEX($FK$170:$ID$241,FZ$169,$FJ201),SUMPRODUCT(INDEX($FK$325:$ID$396,FZ$169,1+SwaptionShift):INDEX($FK$325:$ID$396,FZ$169,SwaptionMonthsToGo+SwaptionShift),INDEX($FK$245:$ID$316,$FJ201-FZ$169,73-FZ$169+SwaptionShift):INDEX($FK$245:$ID$316,$FJ201-FZ$169,72-FZ$169+SwaptionMonthsToGo+SwaptionShift))/SQRT(SUM(INDEX($FK356:$ID356,1+SwaptionShift):INDEX($FK356:$ID356,SwaptionMonthsToGo+SwaptionShift))*SUM(INDEX($FK$325:$ID$396,FZ$169,1+SwaptionShift):INDEX($FK$325:$ID$396,FZ$169,SwaptionMonthsToGo+SwaptionShift))))))</f>
        <v/>
      </c>
      <c r="GA201" s="479" t="str">
        <f ca="1">IF(OR(GA$169&lt;SwaptionFirstMonthPosition+1,$FJ201&lt;SwaptionFirstMonthPosition+1,GA$169&gt;SwaptionFirstMonthPosition+SwaptionNumOfMonths+1,$FJ201&gt;SwaptionFirstMonthPosition+SwaptionNumOfMonths+1),"",IF($FJ201=GA$169,1,IF($FJ201&lt;GA$169,INDEX($FK$170:$ID$241,GA$169,$FJ201),SUMPRODUCT(INDEX($FK$325:$ID$396,GA$169,1+SwaptionShift):INDEX($FK$325:$ID$396,GA$169,SwaptionMonthsToGo+SwaptionShift),INDEX($FK$245:$ID$316,$FJ201-GA$169,73-GA$169+SwaptionShift):INDEX($FK$245:$ID$316,$FJ201-GA$169,72-GA$169+SwaptionMonthsToGo+SwaptionShift))/SQRT(SUM(INDEX($FK356:$ID356,1+SwaptionShift):INDEX($FK356:$ID356,SwaptionMonthsToGo+SwaptionShift))*SUM(INDEX($FK$325:$ID$396,GA$169,1+SwaptionShift):INDEX($FK$325:$ID$396,GA$169,SwaptionMonthsToGo+SwaptionShift))))))</f>
        <v/>
      </c>
      <c r="GB201" s="479" t="str">
        <f ca="1">IF(OR(GB$169&lt;SwaptionFirstMonthPosition+1,$FJ201&lt;SwaptionFirstMonthPosition+1,GB$169&gt;SwaptionFirstMonthPosition+SwaptionNumOfMonths+1,$FJ201&gt;SwaptionFirstMonthPosition+SwaptionNumOfMonths+1),"",IF($FJ201=GB$169,1,IF($FJ201&lt;GB$169,INDEX($FK$170:$ID$241,GB$169,$FJ201),SUMPRODUCT(INDEX($FK$325:$ID$396,GB$169,1+SwaptionShift):INDEX($FK$325:$ID$396,GB$169,SwaptionMonthsToGo+SwaptionShift),INDEX($FK$245:$ID$316,$FJ201-GB$169,73-GB$169+SwaptionShift):INDEX($FK$245:$ID$316,$FJ201-GB$169,72-GB$169+SwaptionMonthsToGo+SwaptionShift))/SQRT(SUM(INDEX($FK356:$ID356,1+SwaptionShift):INDEX($FK356:$ID356,SwaptionMonthsToGo+SwaptionShift))*SUM(INDEX($FK$325:$ID$396,GB$169,1+SwaptionShift):INDEX($FK$325:$ID$396,GB$169,SwaptionMonthsToGo+SwaptionShift))))))</f>
        <v/>
      </c>
      <c r="GC201" s="479" t="str">
        <f ca="1">IF(OR(GC$169&lt;SwaptionFirstMonthPosition+1,$FJ201&lt;SwaptionFirstMonthPosition+1,GC$169&gt;SwaptionFirstMonthPosition+SwaptionNumOfMonths+1,$FJ201&gt;SwaptionFirstMonthPosition+SwaptionNumOfMonths+1),"",IF($FJ201=GC$169,1,IF($FJ201&lt;GC$169,INDEX($FK$170:$ID$241,GC$169,$FJ201),SUMPRODUCT(INDEX($FK$325:$ID$396,GC$169,1+SwaptionShift):INDEX($FK$325:$ID$396,GC$169,SwaptionMonthsToGo+SwaptionShift),INDEX($FK$245:$ID$316,$FJ201-GC$169,73-GC$169+SwaptionShift):INDEX($FK$245:$ID$316,$FJ201-GC$169,72-GC$169+SwaptionMonthsToGo+SwaptionShift))/SQRT(SUM(INDEX($FK356:$ID356,1+SwaptionShift):INDEX($FK356:$ID356,SwaptionMonthsToGo+SwaptionShift))*SUM(INDEX($FK$325:$ID$396,GC$169,1+SwaptionShift):INDEX($FK$325:$ID$396,GC$169,SwaptionMonthsToGo+SwaptionShift))))))</f>
        <v/>
      </c>
      <c r="GD201" s="479" t="str">
        <f ca="1">IF(OR(GD$169&lt;SwaptionFirstMonthPosition+1,$FJ201&lt;SwaptionFirstMonthPosition+1,GD$169&gt;SwaptionFirstMonthPosition+SwaptionNumOfMonths+1,$FJ201&gt;SwaptionFirstMonthPosition+SwaptionNumOfMonths+1),"",IF($FJ201=GD$169,1,IF($FJ201&lt;GD$169,INDEX($FK$170:$ID$241,GD$169,$FJ201),SUMPRODUCT(INDEX($FK$325:$ID$396,GD$169,1+SwaptionShift):INDEX($FK$325:$ID$396,GD$169,SwaptionMonthsToGo+SwaptionShift),INDEX($FK$245:$ID$316,$FJ201-GD$169,73-GD$169+SwaptionShift):INDEX($FK$245:$ID$316,$FJ201-GD$169,72-GD$169+SwaptionMonthsToGo+SwaptionShift))/SQRT(SUM(INDEX($FK356:$ID356,1+SwaptionShift):INDEX($FK356:$ID356,SwaptionMonthsToGo+SwaptionShift))*SUM(INDEX($FK$325:$ID$396,GD$169,1+SwaptionShift):INDEX($FK$325:$ID$396,GD$169,SwaptionMonthsToGo+SwaptionShift))))))</f>
        <v/>
      </c>
      <c r="GE201" s="479" t="str">
        <f ca="1">IF(OR(GE$169&lt;SwaptionFirstMonthPosition+1,$FJ201&lt;SwaptionFirstMonthPosition+1,GE$169&gt;SwaptionFirstMonthPosition+SwaptionNumOfMonths+1,$FJ201&gt;SwaptionFirstMonthPosition+SwaptionNumOfMonths+1),"",IF($FJ201=GE$169,1,IF($FJ201&lt;GE$169,INDEX($FK$170:$ID$241,GE$169,$FJ201),SUMPRODUCT(INDEX($FK$325:$ID$396,GE$169,1+SwaptionShift):INDEX($FK$325:$ID$396,GE$169,SwaptionMonthsToGo+SwaptionShift),INDEX($FK$245:$ID$316,$FJ201-GE$169,73-GE$169+SwaptionShift):INDEX($FK$245:$ID$316,$FJ201-GE$169,72-GE$169+SwaptionMonthsToGo+SwaptionShift))/SQRT(SUM(INDEX($FK356:$ID356,1+SwaptionShift):INDEX($FK356:$ID356,SwaptionMonthsToGo+SwaptionShift))*SUM(INDEX($FK$325:$ID$396,GE$169,1+SwaptionShift):INDEX($FK$325:$ID$396,GE$169,SwaptionMonthsToGo+SwaptionShift))))))</f>
        <v/>
      </c>
      <c r="GF201" s="479" t="str">
        <f ca="1">IF(OR(GF$169&lt;SwaptionFirstMonthPosition+1,$FJ201&lt;SwaptionFirstMonthPosition+1,GF$169&gt;SwaptionFirstMonthPosition+SwaptionNumOfMonths+1,$FJ201&gt;SwaptionFirstMonthPosition+SwaptionNumOfMonths+1),"",IF($FJ201=GF$169,1,IF($FJ201&lt;GF$169,INDEX($FK$170:$ID$241,GF$169,$FJ201),SUMPRODUCT(INDEX($FK$325:$ID$396,GF$169,1+SwaptionShift):INDEX($FK$325:$ID$396,GF$169,SwaptionMonthsToGo+SwaptionShift),INDEX($FK$245:$ID$316,$FJ201-GF$169,73-GF$169+SwaptionShift):INDEX($FK$245:$ID$316,$FJ201-GF$169,72-GF$169+SwaptionMonthsToGo+SwaptionShift))/SQRT(SUM(INDEX($FK356:$ID356,1+SwaptionShift):INDEX($FK356:$ID356,SwaptionMonthsToGo+SwaptionShift))*SUM(INDEX($FK$325:$ID$396,GF$169,1+SwaptionShift):INDEX($FK$325:$ID$396,GF$169,SwaptionMonthsToGo+SwaptionShift))))))</f>
        <v/>
      </c>
      <c r="GG201" s="479" t="str">
        <f ca="1">IF(OR(GG$169&lt;SwaptionFirstMonthPosition+1,$FJ201&lt;SwaptionFirstMonthPosition+1,GG$169&gt;SwaptionFirstMonthPosition+SwaptionNumOfMonths+1,$FJ201&gt;SwaptionFirstMonthPosition+SwaptionNumOfMonths+1),"",IF($FJ201=GG$169,1,IF($FJ201&lt;GG$169,INDEX($FK$170:$ID$241,GG$169,$FJ201),SUMPRODUCT(INDEX($FK$325:$ID$396,GG$169,1+SwaptionShift):INDEX($FK$325:$ID$396,GG$169,SwaptionMonthsToGo+SwaptionShift),INDEX($FK$245:$ID$316,$FJ201-GG$169,73-GG$169+SwaptionShift):INDEX($FK$245:$ID$316,$FJ201-GG$169,72-GG$169+SwaptionMonthsToGo+SwaptionShift))/SQRT(SUM(INDEX($FK356:$ID356,1+SwaptionShift):INDEX($FK356:$ID356,SwaptionMonthsToGo+SwaptionShift))*SUM(INDEX($FK$325:$ID$396,GG$169,1+SwaptionShift):INDEX($FK$325:$ID$396,GG$169,SwaptionMonthsToGo+SwaptionShift))))))</f>
        <v/>
      </c>
      <c r="GH201" s="479" t="str">
        <f ca="1">IF(OR(GH$169&lt;SwaptionFirstMonthPosition+1,$FJ201&lt;SwaptionFirstMonthPosition+1,GH$169&gt;SwaptionFirstMonthPosition+SwaptionNumOfMonths+1,$FJ201&gt;SwaptionFirstMonthPosition+SwaptionNumOfMonths+1),"",IF($FJ201=GH$169,1,IF($FJ201&lt;GH$169,INDEX($FK$170:$ID$241,GH$169,$FJ201),SUMPRODUCT(INDEX($FK$325:$ID$396,GH$169,1+SwaptionShift):INDEX($FK$325:$ID$396,GH$169,SwaptionMonthsToGo+SwaptionShift),INDEX($FK$245:$ID$316,$FJ201-GH$169,73-GH$169+SwaptionShift):INDEX($FK$245:$ID$316,$FJ201-GH$169,72-GH$169+SwaptionMonthsToGo+SwaptionShift))/SQRT(SUM(INDEX($FK356:$ID356,1+SwaptionShift):INDEX($FK356:$ID356,SwaptionMonthsToGo+SwaptionShift))*SUM(INDEX($FK$325:$ID$396,GH$169,1+SwaptionShift):INDEX($FK$325:$ID$396,GH$169,SwaptionMonthsToGo+SwaptionShift))))))</f>
        <v/>
      </c>
      <c r="GI201" s="479" t="str">
        <f ca="1">IF(OR(GI$169&lt;SwaptionFirstMonthPosition+1,$FJ201&lt;SwaptionFirstMonthPosition+1,GI$169&gt;SwaptionFirstMonthPosition+SwaptionNumOfMonths+1,$FJ201&gt;SwaptionFirstMonthPosition+SwaptionNumOfMonths+1),"",IF($FJ201=GI$169,1,IF($FJ201&lt;GI$169,INDEX($FK$170:$ID$241,GI$169,$FJ201),SUMPRODUCT(INDEX($FK$325:$ID$396,GI$169,1+SwaptionShift):INDEX($FK$325:$ID$396,GI$169,SwaptionMonthsToGo+SwaptionShift),INDEX($FK$245:$ID$316,$FJ201-GI$169,73-GI$169+SwaptionShift):INDEX($FK$245:$ID$316,$FJ201-GI$169,72-GI$169+SwaptionMonthsToGo+SwaptionShift))/SQRT(SUM(INDEX($FK356:$ID356,1+SwaptionShift):INDEX($FK356:$ID356,SwaptionMonthsToGo+SwaptionShift))*SUM(INDEX($FK$325:$ID$396,GI$169,1+SwaptionShift):INDEX($FK$325:$ID$396,GI$169,SwaptionMonthsToGo+SwaptionShift))))))</f>
        <v/>
      </c>
      <c r="GJ201" s="479" t="str">
        <f ca="1">IF(OR(GJ$169&lt;SwaptionFirstMonthPosition+1,$FJ201&lt;SwaptionFirstMonthPosition+1,GJ$169&gt;SwaptionFirstMonthPosition+SwaptionNumOfMonths+1,$FJ201&gt;SwaptionFirstMonthPosition+SwaptionNumOfMonths+1),"",IF($FJ201=GJ$169,1,IF($FJ201&lt;GJ$169,INDEX($FK$170:$ID$241,GJ$169,$FJ201),SUMPRODUCT(INDEX($FK$325:$ID$396,GJ$169,1+SwaptionShift):INDEX($FK$325:$ID$396,GJ$169,SwaptionMonthsToGo+SwaptionShift),INDEX($FK$245:$ID$316,$FJ201-GJ$169,73-GJ$169+SwaptionShift):INDEX($FK$245:$ID$316,$FJ201-GJ$169,72-GJ$169+SwaptionMonthsToGo+SwaptionShift))/SQRT(SUM(INDEX($FK356:$ID356,1+SwaptionShift):INDEX($FK356:$ID356,SwaptionMonthsToGo+SwaptionShift))*SUM(INDEX($FK$325:$ID$396,GJ$169,1+SwaptionShift):INDEX($FK$325:$ID$396,GJ$169,SwaptionMonthsToGo+SwaptionShift))))))</f>
        <v/>
      </c>
      <c r="GK201" s="479" t="str">
        <f ca="1">IF(OR(GK$169&lt;SwaptionFirstMonthPosition+1,$FJ201&lt;SwaptionFirstMonthPosition+1,GK$169&gt;SwaptionFirstMonthPosition+SwaptionNumOfMonths+1,$FJ201&gt;SwaptionFirstMonthPosition+SwaptionNumOfMonths+1),"",IF($FJ201=GK$169,1,IF($FJ201&lt;GK$169,INDEX($FK$170:$ID$241,GK$169,$FJ201),SUMPRODUCT(INDEX($FK$325:$ID$396,GK$169,1+SwaptionShift):INDEX($FK$325:$ID$396,GK$169,SwaptionMonthsToGo+SwaptionShift),INDEX($FK$245:$ID$316,$FJ201-GK$169,73-GK$169+SwaptionShift):INDEX($FK$245:$ID$316,$FJ201-GK$169,72-GK$169+SwaptionMonthsToGo+SwaptionShift))/SQRT(SUM(INDEX($FK356:$ID356,1+SwaptionShift):INDEX($FK356:$ID356,SwaptionMonthsToGo+SwaptionShift))*SUM(INDEX($FK$325:$ID$396,GK$169,1+SwaptionShift):INDEX($FK$325:$ID$396,GK$169,SwaptionMonthsToGo+SwaptionShift))))))</f>
        <v/>
      </c>
      <c r="GL201" s="479" t="str">
        <f ca="1">IF(OR(GL$169&lt;SwaptionFirstMonthPosition+1,$FJ201&lt;SwaptionFirstMonthPosition+1,GL$169&gt;SwaptionFirstMonthPosition+SwaptionNumOfMonths+1,$FJ201&gt;SwaptionFirstMonthPosition+SwaptionNumOfMonths+1),"",IF($FJ201=GL$169,1,IF($FJ201&lt;GL$169,INDEX($FK$170:$ID$241,GL$169,$FJ201),SUMPRODUCT(INDEX($FK$325:$ID$396,GL$169,1+SwaptionShift):INDEX($FK$325:$ID$396,GL$169,SwaptionMonthsToGo+SwaptionShift),INDEX($FK$245:$ID$316,$FJ201-GL$169,73-GL$169+SwaptionShift):INDEX($FK$245:$ID$316,$FJ201-GL$169,72-GL$169+SwaptionMonthsToGo+SwaptionShift))/SQRT(SUM(INDEX($FK356:$ID356,1+SwaptionShift):INDEX($FK356:$ID356,SwaptionMonthsToGo+SwaptionShift))*SUM(INDEX($FK$325:$ID$396,GL$169,1+SwaptionShift):INDEX($FK$325:$ID$396,GL$169,SwaptionMonthsToGo+SwaptionShift))))))</f>
        <v/>
      </c>
      <c r="GM201" s="479" t="str">
        <f ca="1">IF(OR(GM$169&lt;SwaptionFirstMonthPosition+1,$FJ201&lt;SwaptionFirstMonthPosition+1,GM$169&gt;SwaptionFirstMonthPosition+SwaptionNumOfMonths+1,$FJ201&gt;SwaptionFirstMonthPosition+SwaptionNumOfMonths+1),"",IF($FJ201=GM$169,1,IF($FJ201&lt;GM$169,INDEX($FK$170:$ID$241,GM$169,$FJ201),SUMPRODUCT(INDEX($FK$325:$ID$396,GM$169,1+SwaptionShift):INDEX($FK$325:$ID$396,GM$169,SwaptionMonthsToGo+SwaptionShift),INDEX($FK$245:$ID$316,$FJ201-GM$169,73-GM$169+SwaptionShift):INDEX($FK$245:$ID$316,$FJ201-GM$169,72-GM$169+SwaptionMonthsToGo+SwaptionShift))/SQRT(SUM(INDEX($FK356:$ID356,1+SwaptionShift):INDEX($FK356:$ID356,SwaptionMonthsToGo+SwaptionShift))*SUM(INDEX($FK$325:$ID$396,GM$169,1+SwaptionShift):INDEX($FK$325:$ID$396,GM$169,SwaptionMonthsToGo+SwaptionShift))))))</f>
        <v/>
      </c>
      <c r="GN201" s="479" t="str">
        <f ca="1">IF(OR(GN$169&lt;SwaptionFirstMonthPosition+1,$FJ201&lt;SwaptionFirstMonthPosition+1,GN$169&gt;SwaptionFirstMonthPosition+SwaptionNumOfMonths+1,$FJ201&gt;SwaptionFirstMonthPosition+SwaptionNumOfMonths+1),"",IF($FJ201=GN$169,1,IF($FJ201&lt;GN$169,INDEX($FK$170:$ID$241,GN$169,$FJ201),SUMPRODUCT(INDEX($FK$325:$ID$396,GN$169,1+SwaptionShift):INDEX($FK$325:$ID$396,GN$169,SwaptionMonthsToGo+SwaptionShift),INDEX($FK$245:$ID$316,$FJ201-GN$169,73-GN$169+SwaptionShift):INDEX($FK$245:$ID$316,$FJ201-GN$169,72-GN$169+SwaptionMonthsToGo+SwaptionShift))/SQRT(SUM(INDEX($FK356:$ID356,1+SwaptionShift):INDEX($FK356:$ID356,SwaptionMonthsToGo+SwaptionShift))*SUM(INDEX($FK$325:$ID$396,GN$169,1+SwaptionShift):INDEX($FK$325:$ID$396,GN$169,SwaptionMonthsToGo+SwaptionShift))))))</f>
        <v/>
      </c>
      <c r="GO201" s="479" t="str">
        <f ca="1">IF(OR(GO$169&lt;SwaptionFirstMonthPosition+1,$FJ201&lt;SwaptionFirstMonthPosition+1,GO$169&gt;SwaptionFirstMonthPosition+SwaptionNumOfMonths+1,$FJ201&gt;SwaptionFirstMonthPosition+SwaptionNumOfMonths+1),"",IF($FJ201=GO$169,1,IF($FJ201&lt;GO$169,INDEX($FK$170:$ID$241,GO$169,$FJ201),SUMPRODUCT(INDEX($FK$325:$ID$396,GO$169,1+SwaptionShift):INDEX($FK$325:$ID$396,GO$169,SwaptionMonthsToGo+SwaptionShift),INDEX($FK$245:$ID$316,$FJ201-GO$169,73-GO$169+SwaptionShift):INDEX($FK$245:$ID$316,$FJ201-GO$169,72-GO$169+SwaptionMonthsToGo+SwaptionShift))/SQRT(SUM(INDEX($FK356:$ID356,1+SwaptionShift):INDEX($FK356:$ID356,SwaptionMonthsToGo+SwaptionShift))*SUM(INDEX($FK$325:$ID$396,GO$169,1+SwaptionShift):INDEX($FK$325:$ID$396,GO$169,SwaptionMonthsToGo+SwaptionShift))))))</f>
        <v/>
      </c>
      <c r="GP201" s="479" t="str">
        <f ca="1">IF(OR(GP$169&lt;SwaptionFirstMonthPosition+1,$FJ201&lt;SwaptionFirstMonthPosition+1,GP$169&gt;SwaptionFirstMonthPosition+SwaptionNumOfMonths+1,$FJ201&gt;SwaptionFirstMonthPosition+SwaptionNumOfMonths+1),"",IF($FJ201=GP$169,1,IF($FJ201&lt;GP$169,INDEX($FK$170:$ID$241,GP$169,$FJ201),SUMPRODUCT(INDEX($FK$325:$ID$396,GP$169,1+SwaptionShift):INDEX($FK$325:$ID$396,GP$169,SwaptionMonthsToGo+SwaptionShift),INDEX($FK$245:$ID$316,$FJ201-GP$169,73-GP$169+SwaptionShift):INDEX($FK$245:$ID$316,$FJ201-GP$169,72-GP$169+SwaptionMonthsToGo+SwaptionShift))/SQRT(SUM(INDEX($FK356:$ID356,1+SwaptionShift):INDEX($FK356:$ID356,SwaptionMonthsToGo+SwaptionShift))*SUM(INDEX($FK$325:$ID$396,GP$169,1+SwaptionShift):INDEX($FK$325:$ID$396,GP$169,SwaptionMonthsToGo+SwaptionShift))))))</f>
        <v/>
      </c>
      <c r="GQ201" s="479" t="str">
        <f ca="1">IF(OR(GQ$169&lt;SwaptionFirstMonthPosition+1,$FJ201&lt;SwaptionFirstMonthPosition+1,GQ$169&gt;SwaptionFirstMonthPosition+SwaptionNumOfMonths+1,$FJ201&gt;SwaptionFirstMonthPosition+SwaptionNumOfMonths+1),"",IF($FJ201=GQ$169,1,IF($FJ201&lt;GQ$169,INDEX($FK$170:$ID$241,GQ$169,$FJ201),SUMPRODUCT(INDEX($FK$325:$ID$396,GQ$169,1+SwaptionShift):INDEX($FK$325:$ID$396,GQ$169,SwaptionMonthsToGo+SwaptionShift),INDEX($FK$245:$ID$316,$FJ201-GQ$169,73-GQ$169+SwaptionShift):INDEX($FK$245:$ID$316,$FJ201-GQ$169,72-GQ$169+SwaptionMonthsToGo+SwaptionShift))/SQRT(SUM(INDEX($FK356:$ID356,1+SwaptionShift):INDEX($FK356:$ID356,SwaptionMonthsToGo+SwaptionShift))*SUM(INDEX($FK$325:$ID$396,GQ$169,1+SwaptionShift):INDEX($FK$325:$ID$396,GQ$169,SwaptionMonthsToGo+SwaptionShift))))))</f>
        <v/>
      </c>
      <c r="GR201" s="479" t="str">
        <f ca="1">IF(OR(GR$169&lt;SwaptionFirstMonthPosition+1,$FJ201&lt;SwaptionFirstMonthPosition+1,GR$169&gt;SwaptionFirstMonthPosition+SwaptionNumOfMonths+1,$FJ201&gt;SwaptionFirstMonthPosition+SwaptionNumOfMonths+1),"",IF($FJ201=GR$169,1,IF($FJ201&lt;GR$169,INDEX($FK$170:$ID$241,GR$169,$FJ201),SUMPRODUCT(INDEX($FK$325:$ID$396,GR$169,1+SwaptionShift):INDEX($FK$325:$ID$396,GR$169,SwaptionMonthsToGo+SwaptionShift),INDEX($FK$245:$ID$316,$FJ201-GR$169,73-GR$169+SwaptionShift):INDEX($FK$245:$ID$316,$FJ201-GR$169,72-GR$169+SwaptionMonthsToGo+SwaptionShift))/SQRT(SUM(INDEX($FK356:$ID356,1+SwaptionShift):INDEX($FK356:$ID356,SwaptionMonthsToGo+SwaptionShift))*SUM(INDEX($FK$325:$ID$396,GR$169,1+SwaptionShift):INDEX($FK$325:$ID$396,GR$169,SwaptionMonthsToGo+SwaptionShift))))))</f>
        <v/>
      </c>
      <c r="GS201" s="479" t="str">
        <f ca="1">IF(OR(GS$169&lt;SwaptionFirstMonthPosition+1,$FJ201&lt;SwaptionFirstMonthPosition+1,GS$169&gt;SwaptionFirstMonthPosition+SwaptionNumOfMonths+1,$FJ201&gt;SwaptionFirstMonthPosition+SwaptionNumOfMonths+1),"",IF($FJ201=GS$169,1,IF($FJ201&lt;GS$169,INDEX($FK$170:$ID$241,GS$169,$FJ201),SUMPRODUCT(INDEX($FK$325:$ID$396,GS$169,1+SwaptionShift):INDEX($FK$325:$ID$396,GS$169,SwaptionMonthsToGo+SwaptionShift),INDEX($FK$245:$ID$316,$FJ201-GS$169,73-GS$169+SwaptionShift):INDEX($FK$245:$ID$316,$FJ201-GS$169,72-GS$169+SwaptionMonthsToGo+SwaptionShift))/SQRT(SUM(INDEX($FK356:$ID356,1+SwaptionShift):INDEX($FK356:$ID356,SwaptionMonthsToGo+SwaptionShift))*SUM(INDEX($FK$325:$ID$396,GS$169,1+SwaptionShift):INDEX($FK$325:$ID$396,GS$169,SwaptionMonthsToGo+SwaptionShift))))))</f>
        <v/>
      </c>
      <c r="GT201" s="479" t="str">
        <f ca="1">IF(OR(GT$169&lt;SwaptionFirstMonthPosition+1,$FJ201&lt;SwaptionFirstMonthPosition+1,GT$169&gt;SwaptionFirstMonthPosition+SwaptionNumOfMonths+1,$FJ201&gt;SwaptionFirstMonthPosition+SwaptionNumOfMonths+1),"",IF($FJ201=GT$169,1,IF($FJ201&lt;GT$169,INDEX($FK$170:$ID$241,GT$169,$FJ201),SUMPRODUCT(INDEX($FK$325:$ID$396,GT$169,1+SwaptionShift):INDEX($FK$325:$ID$396,GT$169,SwaptionMonthsToGo+SwaptionShift),INDEX($FK$245:$ID$316,$FJ201-GT$169,73-GT$169+SwaptionShift):INDEX($FK$245:$ID$316,$FJ201-GT$169,72-GT$169+SwaptionMonthsToGo+SwaptionShift))/SQRT(SUM(INDEX($FK356:$ID356,1+SwaptionShift):INDEX($FK356:$ID356,SwaptionMonthsToGo+SwaptionShift))*SUM(INDEX($FK$325:$ID$396,GT$169,1+SwaptionShift):INDEX($FK$325:$ID$396,GT$169,SwaptionMonthsToGo+SwaptionShift))))))</f>
        <v/>
      </c>
      <c r="GU201" s="479" t="str">
        <f ca="1">IF(OR(GU$169&lt;SwaptionFirstMonthPosition+1,$FJ201&lt;SwaptionFirstMonthPosition+1,GU$169&gt;SwaptionFirstMonthPosition+SwaptionNumOfMonths+1,$FJ201&gt;SwaptionFirstMonthPosition+SwaptionNumOfMonths+1),"",IF($FJ201=GU$169,1,IF($FJ201&lt;GU$169,INDEX($FK$170:$ID$241,GU$169,$FJ201),SUMPRODUCT(INDEX($FK$325:$ID$396,GU$169,1+SwaptionShift):INDEX($FK$325:$ID$396,GU$169,SwaptionMonthsToGo+SwaptionShift),INDEX($FK$245:$ID$316,$FJ201-GU$169,73-GU$169+SwaptionShift):INDEX($FK$245:$ID$316,$FJ201-GU$169,72-GU$169+SwaptionMonthsToGo+SwaptionShift))/SQRT(SUM(INDEX($FK356:$ID356,1+SwaptionShift):INDEX($FK356:$ID356,SwaptionMonthsToGo+SwaptionShift))*SUM(INDEX($FK$325:$ID$396,GU$169,1+SwaptionShift):INDEX($FK$325:$ID$396,GU$169,SwaptionMonthsToGo+SwaptionShift))))))</f>
        <v/>
      </c>
      <c r="GV201" s="479" t="str">
        <f ca="1">IF(OR(GV$169&lt;SwaptionFirstMonthPosition+1,$FJ201&lt;SwaptionFirstMonthPosition+1,GV$169&gt;SwaptionFirstMonthPosition+SwaptionNumOfMonths+1,$FJ201&gt;SwaptionFirstMonthPosition+SwaptionNumOfMonths+1),"",IF($FJ201=GV$169,1,IF($FJ201&lt;GV$169,INDEX($FK$170:$ID$241,GV$169,$FJ201),SUMPRODUCT(INDEX($FK$325:$ID$396,GV$169,1+SwaptionShift):INDEX($FK$325:$ID$396,GV$169,SwaptionMonthsToGo+SwaptionShift),INDEX($FK$245:$ID$316,$FJ201-GV$169,73-GV$169+SwaptionShift):INDEX($FK$245:$ID$316,$FJ201-GV$169,72-GV$169+SwaptionMonthsToGo+SwaptionShift))/SQRT(SUM(INDEX($FK356:$ID356,1+SwaptionShift):INDEX($FK356:$ID356,SwaptionMonthsToGo+SwaptionShift))*SUM(INDEX($FK$325:$ID$396,GV$169,1+SwaptionShift):INDEX($FK$325:$ID$396,GV$169,SwaptionMonthsToGo+SwaptionShift))))))</f>
        <v/>
      </c>
      <c r="GW201" s="479" t="str">
        <f ca="1">IF(OR(GW$169&lt;SwaptionFirstMonthPosition+1,$FJ201&lt;SwaptionFirstMonthPosition+1,GW$169&gt;SwaptionFirstMonthPosition+SwaptionNumOfMonths+1,$FJ201&gt;SwaptionFirstMonthPosition+SwaptionNumOfMonths+1),"",IF($FJ201=GW$169,1,IF($FJ201&lt;GW$169,INDEX($FK$170:$ID$241,GW$169,$FJ201),SUMPRODUCT(INDEX($FK$325:$ID$396,GW$169,1+SwaptionShift):INDEX($FK$325:$ID$396,GW$169,SwaptionMonthsToGo+SwaptionShift),INDEX($FK$245:$ID$316,$FJ201-GW$169,73-GW$169+SwaptionShift):INDEX($FK$245:$ID$316,$FJ201-GW$169,72-GW$169+SwaptionMonthsToGo+SwaptionShift))/SQRT(SUM(INDEX($FK356:$ID356,1+SwaptionShift):INDEX($FK356:$ID356,SwaptionMonthsToGo+SwaptionShift))*SUM(INDEX($FK$325:$ID$396,GW$169,1+SwaptionShift):INDEX($FK$325:$ID$396,GW$169,SwaptionMonthsToGo+SwaptionShift))))))</f>
        <v/>
      </c>
      <c r="GX201" s="479" t="str">
        <f ca="1">IF(OR(GX$169&lt;SwaptionFirstMonthPosition+1,$FJ201&lt;SwaptionFirstMonthPosition+1,GX$169&gt;SwaptionFirstMonthPosition+SwaptionNumOfMonths+1,$FJ201&gt;SwaptionFirstMonthPosition+SwaptionNumOfMonths+1),"",IF($FJ201=GX$169,1,IF($FJ201&lt;GX$169,INDEX($FK$170:$ID$241,GX$169,$FJ201),SUMPRODUCT(INDEX($FK$325:$ID$396,GX$169,1+SwaptionShift):INDEX($FK$325:$ID$396,GX$169,SwaptionMonthsToGo+SwaptionShift),INDEX($FK$245:$ID$316,$FJ201-GX$169,73-GX$169+SwaptionShift):INDEX($FK$245:$ID$316,$FJ201-GX$169,72-GX$169+SwaptionMonthsToGo+SwaptionShift))/SQRT(SUM(INDEX($FK356:$ID356,1+SwaptionShift):INDEX($FK356:$ID356,SwaptionMonthsToGo+SwaptionShift))*SUM(INDEX($FK$325:$ID$396,GX$169,1+SwaptionShift):INDEX($FK$325:$ID$396,GX$169,SwaptionMonthsToGo+SwaptionShift))))))</f>
        <v/>
      </c>
      <c r="GY201" s="479" t="str">
        <f ca="1">IF(OR(GY$169&lt;SwaptionFirstMonthPosition+1,$FJ201&lt;SwaptionFirstMonthPosition+1,GY$169&gt;SwaptionFirstMonthPosition+SwaptionNumOfMonths+1,$FJ201&gt;SwaptionFirstMonthPosition+SwaptionNumOfMonths+1),"",IF($FJ201=GY$169,1,IF($FJ201&lt;GY$169,INDEX($FK$170:$ID$241,GY$169,$FJ201),SUMPRODUCT(INDEX($FK$325:$ID$396,GY$169,1+SwaptionShift):INDEX($FK$325:$ID$396,GY$169,SwaptionMonthsToGo+SwaptionShift),INDEX($FK$245:$ID$316,$FJ201-GY$169,73-GY$169+SwaptionShift):INDEX($FK$245:$ID$316,$FJ201-GY$169,72-GY$169+SwaptionMonthsToGo+SwaptionShift))/SQRT(SUM(INDEX($FK356:$ID356,1+SwaptionShift):INDEX($FK356:$ID356,SwaptionMonthsToGo+SwaptionShift))*SUM(INDEX($FK$325:$ID$396,GY$169,1+SwaptionShift):INDEX($FK$325:$ID$396,GY$169,SwaptionMonthsToGo+SwaptionShift))))))</f>
        <v/>
      </c>
      <c r="GZ201" s="479" t="str">
        <f ca="1">IF(OR(GZ$169&lt;SwaptionFirstMonthPosition+1,$FJ201&lt;SwaptionFirstMonthPosition+1,GZ$169&gt;SwaptionFirstMonthPosition+SwaptionNumOfMonths+1,$FJ201&gt;SwaptionFirstMonthPosition+SwaptionNumOfMonths+1),"",IF($FJ201=GZ$169,1,IF($FJ201&lt;GZ$169,INDEX($FK$170:$ID$241,GZ$169,$FJ201),SUMPRODUCT(INDEX($FK$325:$ID$396,GZ$169,1+SwaptionShift):INDEX($FK$325:$ID$396,GZ$169,SwaptionMonthsToGo+SwaptionShift),INDEX($FK$245:$ID$316,$FJ201-GZ$169,73-GZ$169+SwaptionShift):INDEX($FK$245:$ID$316,$FJ201-GZ$169,72-GZ$169+SwaptionMonthsToGo+SwaptionShift))/SQRT(SUM(INDEX($FK356:$ID356,1+SwaptionShift):INDEX($FK356:$ID356,SwaptionMonthsToGo+SwaptionShift))*SUM(INDEX($FK$325:$ID$396,GZ$169,1+SwaptionShift):INDEX($FK$325:$ID$396,GZ$169,SwaptionMonthsToGo+SwaptionShift))))))</f>
        <v/>
      </c>
      <c r="HA201" s="479" t="str">
        <f ca="1">IF(OR(HA$169&lt;SwaptionFirstMonthPosition+1,$FJ201&lt;SwaptionFirstMonthPosition+1,HA$169&gt;SwaptionFirstMonthPosition+SwaptionNumOfMonths+1,$FJ201&gt;SwaptionFirstMonthPosition+SwaptionNumOfMonths+1),"",IF($FJ201=HA$169,1,IF($FJ201&lt;HA$169,INDEX($FK$170:$ID$241,HA$169,$FJ201),SUMPRODUCT(INDEX($FK$325:$ID$396,HA$169,1+SwaptionShift):INDEX($FK$325:$ID$396,HA$169,SwaptionMonthsToGo+SwaptionShift),INDEX($FK$245:$ID$316,$FJ201-HA$169,73-HA$169+SwaptionShift):INDEX($FK$245:$ID$316,$FJ201-HA$169,72-HA$169+SwaptionMonthsToGo+SwaptionShift))/SQRT(SUM(INDEX($FK356:$ID356,1+SwaptionShift):INDEX($FK356:$ID356,SwaptionMonthsToGo+SwaptionShift))*SUM(INDEX($FK$325:$ID$396,HA$169,1+SwaptionShift):INDEX($FK$325:$ID$396,HA$169,SwaptionMonthsToGo+SwaptionShift))))))</f>
        <v/>
      </c>
      <c r="HB201" s="479" t="str">
        <f ca="1">IF(OR(HB$169&lt;SwaptionFirstMonthPosition+1,$FJ201&lt;SwaptionFirstMonthPosition+1,HB$169&gt;SwaptionFirstMonthPosition+SwaptionNumOfMonths+1,$FJ201&gt;SwaptionFirstMonthPosition+SwaptionNumOfMonths+1),"",IF($FJ201=HB$169,1,IF($FJ201&lt;HB$169,INDEX($FK$170:$ID$241,HB$169,$FJ201),SUMPRODUCT(INDEX($FK$325:$ID$396,HB$169,1+SwaptionShift):INDEX($FK$325:$ID$396,HB$169,SwaptionMonthsToGo+SwaptionShift),INDEX($FK$245:$ID$316,$FJ201-HB$169,73-HB$169+SwaptionShift):INDEX($FK$245:$ID$316,$FJ201-HB$169,72-HB$169+SwaptionMonthsToGo+SwaptionShift))/SQRT(SUM(INDEX($FK356:$ID356,1+SwaptionShift):INDEX($FK356:$ID356,SwaptionMonthsToGo+SwaptionShift))*SUM(INDEX($FK$325:$ID$396,HB$169,1+SwaptionShift):INDEX($FK$325:$ID$396,HB$169,SwaptionMonthsToGo+SwaptionShift))))))</f>
        <v/>
      </c>
      <c r="HC201" s="479" t="str">
        <f ca="1">IF(OR(HC$169&lt;SwaptionFirstMonthPosition+1,$FJ201&lt;SwaptionFirstMonthPosition+1,HC$169&gt;SwaptionFirstMonthPosition+SwaptionNumOfMonths+1,$FJ201&gt;SwaptionFirstMonthPosition+SwaptionNumOfMonths+1),"",IF($FJ201=HC$169,1,IF($FJ201&lt;HC$169,INDEX($FK$170:$ID$241,HC$169,$FJ201),SUMPRODUCT(INDEX($FK$325:$ID$396,HC$169,1+SwaptionShift):INDEX($FK$325:$ID$396,HC$169,SwaptionMonthsToGo+SwaptionShift),INDEX($FK$245:$ID$316,$FJ201-HC$169,73-HC$169+SwaptionShift):INDEX($FK$245:$ID$316,$FJ201-HC$169,72-HC$169+SwaptionMonthsToGo+SwaptionShift))/SQRT(SUM(INDEX($FK356:$ID356,1+SwaptionShift):INDEX($FK356:$ID356,SwaptionMonthsToGo+SwaptionShift))*SUM(INDEX($FK$325:$ID$396,HC$169,1+SwaptionShift):INDEX($FK$325:$ID$396,HC$169,SwaptionMonthsToGo+SwaptionShift))))))</f>
        <v/>
      </c>
      <c r="HD201" s="479" t="str">
        <f ca="1">IF(OR(HD$169&lt;SwaptionFirstMonthPosition+1,$FJ201&lt;SwaptionFirstMonthPosition+1,HD$169&gt;SwaptionFirstMonthPosition+SwaptionNumOfMonths+1,$FJ201&gt;SwaptionFirstMonthPosition+SwaptionNumOfMonths+1),"",IF($FJ201=HD$169,1,IF($FJ201&lt;HD$169,INDEX($FK$170:$ID$241,HD$169,$FJ201),SUMPRODUCT(INDEX($FK$325:$ID$396,HD$169,1+SwaptionShift):INDEX($FK$325:$ID$396,HD$169,SwaptionMonthsToGo+SwaptionShift),INDEX($FK$245:$ID$316,$FJ201-HD$169,73-HD$169+SwaptionShift):INDEX($FK$245:$ID$316,$FJ201-HD$169,72-HD$169+SwaptionMonthsToGo+SwaptionShift))/SQRT(SUM(INDEX($FK356:$ID356,1+SwaptionShift):INDEX($FK356:$ID356,SwaptionMonthsToGo+SwaptionShift))*SUM(INDEX($FK$325:$ID$396,HD$169,1+SwaptionShift):INDEX($FK$325:$ID$396,HD$169,SwaptionMonthsToGo+SwaptionShift))))))</f>
        <v/>
      </c>
      <c r="HE201" s="479" t="str">
        <f ca="1">IF(OR(HE$169&lt;SwaptionFirstMonthPosition+1,$FJ201&lt;SwaptionFirstMonthPosition+1,HE$169&gt;SwaptionFirstMonthPosition+SwaptionNumOfMonths+1,$FJ201&gt;SwaptionFirstMonthPosition+SwaptionNumOfMonths+1),"",IF($FJ201=HE$169,1,IF($FJ201&lt;HE$169,INDEX($FK$170:$ID$241,HE$169,$FJ201),SUMPRODUCT(INDEX($FK$325:$ID$396,HE$169,1+SwaptionShift):INDEX($FK$325:$ID$396,HE$169,SwaptionMonthsToGo+SwaptionShift),INDEX($FK$245:$ID$316,$FJ201-HE$169,73-HE$169+SwaptionShift):INDEX($FK$245:$ID$316,$FJ201-HE$169,72-HE$169+SwaptionMonthsToGo+SwaptionShift))/SQRT(SUM(INDEX($FK356:$ID356,1+SwaptionShift):INDEX($FK356:$ID356,SwaptionMonthsToGo+SwaptionShift))*SUM(INDEX($FK$325:$ID$396,HE$169,1+SwaptionShift):INDEX($FK$325:$ID$396,HE$169,SwaptionMonthsToGo+SwaptionShift))))))</f>
        <v/>
      </c>
      <c r="HF201" s="479" t="str">
        <f ca="1">IF(OR(HF$169&lt;SwaptionFirstMonthPosition+1,$FJ201&lt;SwaptionFirstMonthPosition+1,HF$169&gt;SwaptionFirstMonthPosition+SwaptionNumOfMonths+1,$FJ201&gt;SwaptionFirstMonthPosition+SwaptionNumOfMonths+1),"",IF($FJ201=HF$169,1,IF($FJ201&lt;HF$169,INDEX($FK$170:$ID$241,HF$169,$FJ201),SUMPRODUCT(INDEX($FK$325:$ID$396,HF$169,1+SwaptionShift):INDEX($FK$325:$ID$396,HF$169,SwaptionMonthsToGo+SwaptionShift),INDEX($FK$245:$ID$316,$FJ201-HF$169,73-HF$169+SwaptionShift):INDEX($FK$245:$ID$316,$FJ201-HF$169,72-HF$169+SwaptionMonthsToGo+SwaptionShift))/SQRT(SUM(INDEX($FK356:$ID356,1+SwaptionShift):INDEX($FK356:$ID356,SwaptionMonthsToGo+SwaptionShift))*SUM(INDEX($FK$325:$ID$396,HF$169,1+SwaptionShift):INDEX($FK$325:$ID$396,HF$169,SwaptionMonthsToGo+SwaptionShift))))))</f>
        <v/>
      </c>
      <c r="HG201" s="479" t="str">
        <f ca="1">IF(OR(HG$169&lt;SwaptionFirstMonthPosition+1,$FJ201&lt;SwaptionFirstMonthPosition+1,HG$169&gt;SwaptionFirstMonthPosition+SwaptionNumOfMonths+1,$FJ201&gt;SwaptionFirstMonthPosition+SwaptionNumOfMonths+1),"",IF($FJ201=HG$169,1,IF($FJ201&lt;HG$169,INDEX($FK$170:$ID$241,HG$169,$FJ201),SUMPRODUCT(INDEX($FK$325:$ID$396,HG$169,1+SwaptionShift):INDEX($FK$325:$ID$396,HG$169,SwaptionMonthsToGo+SwaptionShift),INDEX($FK$245:$ID$316,$FJ201-HG$169,73-HG$169+SwaptionShift):INDEX($FK$245:$ID$316,$FJ201-HG$169,72-HG$169+SwaptionMonthsToGo+SwaptionShift))/SQRT(SUM(INDEX($FK356:$ID356,1+SwaptionShift):INDEX($FK356:$ID356,SwaptionMonthsToGo+SwaptionShift))*SUM(INDEX($FK$325:$ID$396,HG$169,1+SwaptionShift):INDEX($FK$325:$ID$396,HG$169,SwaptionMonthsToGo+SwaptionShift))))))</f>
        <v/>
      </c>
      <c r="HH201" s="479" t="str">
        <f ca="1">IF(OR(HH$169&lt;SwaptionFirstMonthPosition+1,$FJ201&lt;SwaptionFirstMonthPosition+1,HH$169&gt;SwaptionFirstMonthPosition+SwaptionNumOfMonths+1,$FJ201&gt;SwaptionFirstMonthPosition+SwaptionNumOfMonths+1),"",IF($FJ201=HH$169,1,IF($FJ201&lt;HH$169,INDEX($FK$170:$ID$241,HH$169,$FJ201),SUMPRODUCT(INDEX($FK$325:$ID$396,HH$169,1+SwaptionShift):INDEX($FK$325:$ID$396,HH$169,SwaptionMonthsToGo+SwaptionShift),INDEX($FK$245:$ID$316,$FJ201-HH$169,73-HH$169+SwaptionShift):INDEX($FK$245:$ID$316,$FJ201-HH$169,72-HH$169+SwaptionMonthsToGo+SwaptionShift))/SQRT(SUM(INDEX($FK356:$ID356,1+SwaptionShift):INDEX($FK356:$ID356,SwaptionMonthsToGo+SwaptionShift))*SUM(INDEX($FK$325:$ID$396,HH$169,1+SwaptionShift):INDEX($FK$325:$ID$396,HH$169,SwaptionMonthsToGo+SwaptionShift))))))</f>
        <v/>
      </c>
      <c r="HI201" s="479" t="str">
        <f ca="1">IF(OR(HI$169&lt;SwaptionFirstMonthPosition+1,$FJ201&lt;SwaptionFirstMonthPosition+1,HI$169&gt;SwaptionFirstMonthPosition+SwaptionNumOfMonths+1,$FJ201&gt;SwaptionFirstMonthPosition+SwaptionNumOfMonths+1),"",IF($FJ201=HI$169,1,IF($FJ201&lt;HI$169,INDEX($FK$170:$ID$241,HI$169,$FJ201),SUMPRODUCT(INDEX($FK$325:$ID$396,HI$169,1+SwaptionShift):INDEX($FK$325:$ID$396,HI$169,SwaptionMonthsToGo+SwaptionShift),INDEX($FK$245:$ID$316,$FJ201-HI$169,73-HI$169+SwaptionShift):INDEX($FK$245:$ID$316,$FJ201-HI$169,72-HI$169+SwaptionMonthsToGo+SwaptionShift))/SQRT(SUM(INDEX($FK356:$ID356,1+SwaptionShift):INDEX($FK356:$ID356,SwaptionMonthsToGo+SwaptionShift))*SUM(INDEX($FK$325:$ID$396,HI$169,1+SwaptionShift):INDEX($FK$325:$ID$396,HI$169,SwaptionMonthsToGo+SwaptionShift))))))</f>
        <v/>
      </c>
      <c r="HJ201" s="479" t="str">
        <f ca="1">IF(OR(HJ$169&lt;SwaptionFirstMonthPosition+1,$FJ201&lt;SwaptionFirstMonthPosition+1,HJ$169&gt;SwaptionFirstMonthPosition+SwaptionNumOfMonths+1,$FJ201&gt;SwaptionFirstMonthPosition+SwaptionNumOfMonths+1),"",IF($FJ201=HJ$169,1,IF($FJ201&lt;HJ$169,INDEX($FK$170:$ID$241,HJ$169,$FJ201),SUMPRODUCT(INDEX($FK$325:$ID$396,HJ$169,1+SwaptionShift):INDEX($FK$325:$ID$396,HJ$169,SwaptionMonthsToGo+SwaptionShift),INDEX($FK$245:$ID$316,$FJ201-HJ$169,73-HJ$169+SwaptionShift):INDEX($FK$245:$ID$316,$FJ201-HJ$169,72-HJ$169+SwaptionMonthsToGo+SwaptionShift))/SQRT(SUM(INDEX($FK356:$ID356,1+SwaptionShift):INDEX($FK356:$ID356,SwaptionMonthsToGo+SwaptionShift))*SUM(INDEX($FK$325:$ID$396,HJ$169,1+SwaptionShift):INDEX($FK$325:$ID$396,HJ$169,SwaptionMonthsToGo+SwaptionShift))))))</f>
        <v/>
      </c>
      <c r="HK201" s="479" t="str">
        <f ca="1">IF(OR(HK$169&lt;SwaptionFirstMonthPosition+1,$FJ201&lt;SwaptionFirstMonthPosition+1,HK$169&gt;SwaptionFirstMonthPosition+SwaptionNumOfMonths+1,$FJ201&gt;SwaptionFirstMonthPosition+SwaptionNumOfMonths+1),"",IF($FJ201=HK$169,1,IF($FJ201&lt;HK$169,INDEX($FK$170:$ID$241,HK$169,$FJ201),SUMPRODUCT(INDEX($FK$325:$ID$396,HK$169,1+SwaptionShift):INDEX($FK$325:$ID$396,HK$169,SwaptionMonthsToGo+SwaptionShift),INDEX($FK$245:$ID$316,$FJ201-HK$169,73-HK$169+SwaptionShift):INDEX($FK$245:$ID$316,$FJ201-HK$169,72-HK$169+SwaptionMonthsToGo+SwaptionShift))/SQRT(SUM(INDEX($FK356:$ID356,1+SwaptionShift):INDEX($FK356:$ID356,SwaptionMonthsToGo+SwaptionShift))*SUM(INDEX($FK$325:$ID$396,HK$169,1+SwaptionShift):INDEX($FK$325:$ID$396,HK$169,SwaptionMonthsToGo+SwaptionShift))))))</f>
        <v/>
      </c>
      <c r="HL201" s="479" t="str">
        <f ca="1">IF(OR(HL$169&lt;SwaptionFirstMonthPosition+1,$FJ201&lt;SwaptionFirstMonthPosition+1,HL$169&gt;SwaptionFirstMonthPosition+SwaptionNumOfMonths+1,$FJ201&gt;SwaptionFirstMonthPosition+SwaptionNumOfMonths+1),"",IF($FJ201=HL$169,1,IF($FJ201&lt;HL$169,INDEX($FK$170:$ID$241,HL$169,$FJ201),SUMPRODUCT(INDEX($FK$325:$ID$396,HL$169,1+SwaptionShift):INDEX($FK$325:$ID$396,HL$169,SwaptionMonthsToGo+SwaptionShift),INDEX($FK$245:$ID$316,$FJ201-HL$169,73-HL$169+SwaptionShift):INDEX($FK$245:$ID$316,$FJ201-HL$169,72-HL$169+SwaptionMonthsToGo+SwaptionShift))/SQRT(SUM(INDEX($FK356:$ID356,1+SwaptionShift):INDEX($FK356:$ID356,SwaptionMonthsToGo+SwaptionShift))*SUM(INDEX($FK$325:$ID$396,HL$169,1+SwaptionShift):INDEX($FK$325:$ID$396,HL$169,SwaptionMonthsToGo+SwaptionShift))))))</f>
        <v/>
      </c>
      <c r="HM201" s="479" t="str">
        <f ca="1">IF(OR(HM$169&lt;SwaptionFirstMonthPosition+1,$FJ201&lt;SwaptionFirstMonthPosition+1,HM$169&gt;SwaptionFirstMonthPosition+SwaptionNumOfMonths+1,$FJ201&gt;SwaptionFirstMonthPosition+SwaptionNumOfMonths+1),"",IF($FJ201=HM$169,1,IF($FJ201&lt;HM$169,INDEX($FK$170:$ID$241,HM$169,$FJ201),SUMPRODUCT(INDEX($FK$325:$ID$396,HM$169,1+SwaptionShift):INDEX($FK$325:$ID$396,HM$169,SwaptionMonthsToGo+SwaptionShift),INDEX($FK$245:$ID$316,$FJ201-HM$169,73-HM$169+SwaptionShift):INDEX($FK$245:$ID$316,$FJ201-HM$169,72-HM$169+SwaptionMonthsToGo+SwaptionShift))/SQRT(SUM(INDEX($FK356:$ID356,1+SwaptionShift):INDEX($FK356:$ID356,SwaptionMonthsToGo+SwaptionShift))*SUM(INDEX($FK$325:$ID$396,HM$169,1+SwaptionShift):INDEX($FK$325:$ID$396,HM$169,SwaptionMonthsToGo+SwaptionShift))))))</f>
        <v/>
      </c>
      <c r="HN201" s="479" t="str">
        <f ca="1">IF(OR(HN$169&lt;SwaptionFirstMonthPosition+1,$FJ201&lt;SwaptionFirstMonthPosition+1,HN$169&gt;SwaptionFirstMonthPosition+SwaptionNumOfMonths+1,$FJ201&gt;SwaptionFirstMonthPosition+SwaptionNumOfMonths+1),"",IF($FJ201=HN$169,1,IF($FJ201&lt;HN$169,INDEX($FK$170:$ID$241,HN$169,$FJ201),SUMPRODUCT(INDEX($FK$325:$ID$396,HN$169,1+SwaptionShift):INDEX($FK$325:$ID$396,HN$169,SwaptionMonthsToGo+SwaptionShift),INDEX($FK$245:$ID$316,$FJ201-HN$169,73-HN$169+SwaptionShift):INDEX($FK$245:$ID$316,$FJ201-HN$169,72-HN$169+SwaptionMonthsToGo+SwaptionShift))/SQRT(SUM(INDEX($FK356:$ID356,1+SwaptionShift):INDEX($FK356:$ID356,SwaptionMonthsToGo+SwaptionShift))*SUM(INDEX($FK$325:$ID$396,HN$169,1+SwaptionShift):INDEX($FK$325:$ID$396,HN$169,SwaptionMonthsToGo+SwaptionShift))))))</f>
        <v/>
      </c>
      <c r="HO201" s="479" t="str">
        <f ca="1">IF(OR(HO$169&lt;SwaptionFirstMonthPosition+1,$FJ201&lt;SwaptionFirstMonthPosition+1,HO$169&gt;SwaptionFirstMonthPosition+SwaptionNumOfMonths+1,$FJ201&gt;SwaptionFirstMonthPosition+SwaptionNumOfMonths+1),"",IF($FJ201=HO$169,1,IF($FJ201&lt;HO$169,INDEX($FK$170:$ID$241,HO$169,$FJ201),SUMPRODUCT(INDEX($FK$325:$ID$396,HO$169,1+SwaptionShift):INDEX($FK$325:$ID$396,HO$169,SwaptionMonthsToGo+SwaptionShift),INDEX($FK$245:$ID$316,$FJ201-HO$169,73-HO$169+SwaptionShift):INDEX($FK$245:$ID$316,$FJ201-HO$169,72-HO$169+SwaptionMonthsToGo+SwaptionShift))/SQRT(SUM(INDEX($FK356:$ID356,1+SwaptionShift):INDEX($FK356:$ID356,SwaptionMonthsToGo+SwaptionShift))*SUM(INDEX($FK$325:$ID$396,HO$169,1+SwaptionShift):INDEX($FK$325:$ID$396,HO$169,SwaptionMonthsToGo+SwaptionShift))))))</f>
        <v/>
      </c>
      <c r="HP201" s="479" t="str">
        <f ca="1">IF(OR(HP$169&lt;SwaptionFirstMonthPosition+1,$FJ201&lt;SwaptionFirstMonthPosition+1,HP$169&gt;SwaptionFirstMonthPosition+SwaptionNumOfMonths+1,$FJ201&gt;SwaptionFirstMonthPosition+SwaptionNumOfMonths+1),"",IF($FJ201=HP$169,1,IF($FJ201&lt;HP$169,INDEX($FK$170:$ID$241,HP$169,$FJ201),SUMPRODUCT(INDEX($FK$325:$ID$396,HP$169,1+SwaptionShift):INDEX($FK$325:$ID$396,HP$169,SwaptionMonthsToGo+SwaptionShift),INDEX($FK$245:$ID$316,$FJ201-HP$169,73-HP$169+SwaptionShift):INDEX($FK$245:$ID$316,$FJ201-HP$169,72-HP$169+SwaptionMonthsToGo+SwaptionShift))/SQRT(SUM(INDEX($FK356:$ID356,1+SwaptionShift):INDEX($FK356:$ID356,SwaptionMonthsToGo+SwaptionShift))*SUM(INDEX($FK$325:$ID$396,HP$169,1+SwaptionShift):INDEX($FK$325:$ID$396,HP$169,SwaptionMonthsToGo+SwaptionShift))))))</f>
        <v/>
      </c>
      <c r="HQ201" s="479" t="str">
        <f ca="1">IF(OR(HQ$169&lt;SwaptionFirstMonthPosition+1,$FJ201&lt;SwaptionFirstMonthPosition+1,HQ$169&gt;SwaptionFirstMonthPosition+SwaptionNumOfMonths+1,$FJ201&gt;SwaptionFirstMonthPosition+SwaptionNumOfMonths+1),"",IF($FJ201=HQ$169,1,IF($FJ201&lt;HQ$169,INDEX($FK$170:$ID$241,HQ$169,$FJ201),SUMPRODUCT(INDEX($FK$325:$ID$396,HQ$169,1+SwaptionShift):INDEX($FK$325:$ID$396,HQ$169,SwaptionMonthsToGo+SwaptionShift),INDEX($FK$245:$ID$316,$FJ201-HQ$169,73-HQ$169+SwaptionShift):INDEX($FK$245:$ID$316,$FJ201-HQ$169,72-HQ$169+SwaptionMonthsToGo+SwaptionShift))/SQRT(SUM(INDEX($FK356:$ID356,1+SwaptionShift):INDEX($FK356:$ID356,SwaptionMonthsToGo+SwaptionShift))*SUM(INDEX($FK$325:$ID$396,HQ$169,1+SwaptionShift):INDEX($FK$325:$ID$396,HQ$169,SwaptionMonthsToGo+SwaptionShift))))))</f>
        <v/>
      </c>
      <c r="HR201" s="479" t="str">
        <f ca="1">IF(OR(HR$169&lt;SwaptionFirstMonthPosition+1,$FJ201&lt;SwaptionFirstMonthPosition+1,HR$169&gt;SwaptionFirstMonthPosition+SwaptionNumOfMonths+1,$FJ201&gt;SwaptionFirstMonthPosition+SwaptionNumOfMonths+1),"",IF($FJ201=HR$169,1,IF($FJ201&lt;HR$169,INDEX($FK$170:$ID$241,HR$169,$FJ201),SUMPRODUCT(INDEX($FK$325:$ID$396,HR$169,1+SwaptionShift):INDEX($FK$325:$ID$396,HR$169,SwaptionMonthsToGo+SwaptionShift),INDEX($FK$245:$ID$316,$FJ201-HR$169,73-HR$169+SwaptionShift):INDEX($FK$245:$ID$316,$FJ201-HR$169,72-HR$169+SwaptionMonthsToGo+SwaptionShift))/SQRT(SUM(INDEX($FK356:$ID356,1+SwaptionShift):INDEX($FK356:$ID356,SwaptionMonthsToGo+SwaptionShift))*SUM(INDEX($FK$325:$ID$396,HR$169,1+SwaptionShift):INDEX($FK$325:$ID$396,HR$169,SwaptionMonthsToGo+SwaptionShift))))))</f>
        <v/>
      </c>
      <c r="HS201" s="479" t="str">
        <f ca="1">IF(OR(HS$169&lt;SwaptionFirstMonthPosition+1,$FJ201&lt;SwaptionFirstMonthPosition+1,HS$169&gt;SwaptionFirstMonthPosition+SwaptionNumOfMonths+1,$FJ201&gt;SwaptionFirstMonthPosition+SwaptionNumOfMonths+1),"",IF($FJ201=HS$169,1,IF($FJ201&lt;HS$169,INDEX($FK$170:$ID$241,HS$169,$FJ201),SUMPRODUCT(INDEX($FK$325:$ID$396,HS$169,1+SwaptionShift):INDEX($FK$325:$ID$396,HS$169,SwaptionMonthsToGo+SwaptionShift),INDEX($FK$245:$ID$316,$FJ201-HS$169,73-HS$169+SwaptionShift):INDEX($FK$245:$ID$316,$FJ201-HS$169,72-HS$169+SwaptionMonthsToGo+SwaptionShift))/SQRT(SUM(INDEX($FK356:$ID356,1+SwaptionShift):INDEX($FK356:$ID356,SwaptionMonthsToGo+SwaptionShift))*SUM(INDEX($FK$325:$ID$396,HS$169,1+SwaptionShift):INDEX($FK$325:$ID$396,HS$169,SwaptionMonthsToGo+SwaptionShift))))))</f>
        <v/>
      </c>
      <c r="HT201" s="479" t="str">
        <f ca="1">IF(OR(HT$169&lt;SwaptionFirstMonthPosition+1,$FJ201&lt;SwaptionFirstMonthPosition+1,HT$169&gt;SwaptionFirstMonthPosition+SwaptionNumOfMonths+1,$FJ201&gt;SwaptionFirstMonthPosition+SwaptionNumOfMonths+1),"",IF($FJ201=HT$169,1,IF($FJ201&lt;HT$169,INDEX($FK$170:$ID$241,HT$169,$FJ201),SUMPRODUCT(INDEX($FK$325:$ID$396,HT$169,1+SwaptionShift):INDEX($FK$325:$ID$396,HT$169,SwaptionMonthsToGo+SwaptionShift),INDEX($FK$245:$ID$316,$FJ201-HT$169,73-HT$169+SwaptionShift):INDEX($FK$245:$ID$316,$FJ201-HT$169,72-HT$169+SwaptionMonthsToGo+SwaptionShift))/SQRT(SUM(INDEX($FK356:$ID356,1+SwaptionShift):INDEX($FK356:$ID356,SwaptionMonthsToGo+SwaptionShift))*SUM(INDEX($FK$325:$ID$396,HT$169,1+SwaptionShift):INDEX($FK$325:$ID$396,HT$169,SwaptionMonthsToGo+SwaptionShift))))))</f>
        <v/>
      </c>
      <c r="HU201" s="479" t="str">
        <f ca="1">IF(OR(HU$169&lt;SwaptionFirstMonthPosition+1,$FJ201&lt;SwaptionFirstMonthPosition+1,HU$169&gt;SwaptionFirstMonthPosition+SwaptionNumOfMonths+1,$FJ201&gt;SwaptionFirstMonthPosition+SwaptionNumOfMonths+1),"",IF($FJ201=HU$169,1,IF($FJ201&lt;HU$169,INDEX($FK$170:$ID$241,HU$169,$FJ201),SUMPRODUCT(INDEX($FK$325:$ID$396,HU$169,1+SwaptionShift):INDEX($FK$325:$ID$396,HU$169,SwaptionMonthsToGo+SwaptionShift),INDEX($FK$245:$ID$316,$FJ201-HU$169,73-HU$169+SwaptionShift):INDEX($FK$245:$ID$316,$FJ201-HU$169,72-HU$169+SwaptionMonthsToGo+SwaptionShift))/SQRT(SUM(INDEX($FK356:$ID356,1+SwaptionShift):INDEX($FK356:$ID356,SwaptionMonthsToGo+SwaptionShift))*SUM(INDEX($FK$325:$ID$396,HU$169,1+SwaptionShift):INDEX($FK$325:$ID$396,HU$169,SwaptionMonthsToGo+SwaptionShift))))))</f>
        <v/>
      </c>
      <c r="HV201" s="479" t="str">
        <f ca="1">IF(OR(HV$169&lt;SwaptionFirstMonthPosition+1,$FJ201&lt;SwaptionFirstMonthPosition+1,HV$169&gt;SwaptionFirstMonthPosition+SwaptionNumOfMonths+1,$FJ201&gt;SwaptionFirstMonthPosition+SwaptionNumOfMonths+1),"",IF($FJ201=HV$169,1,IF($FJ201&lt;HV$169,INDEX($FK$170:$ID$241,HV$169,$FJ201),SUMPRODUCT(INDEX($FK$325:$ID$396,HV$169,1+SwaptionShift):INDEX($FK$325:$ID$396,HV$169,SwaptionMonthsToGo+SwaptionShift),INDEX($FK$245:$ID$316,$FJ201-HV$169,73-HV$169+SwaptionShift):INDEX($FK$245:$ID$316,$FJ201-HV$169,72-HV$169+SwaptionMonthsToGo+SwaptionShift))/SQRT(SUM(INDEX($FK356:$ID356,1+SwaptionShift):INDEX($FK356:$ID356,SwaptionMonthsToGo+SwaptionShift))*SUM(INDEX($FK$325:$ID$396,HV$169,1+SwaptionShift):INDEX($FK$325:$ID$396,HV$169,SwaptionMonthsToGo+SwaptionShift))))))</f>
        <v/>
      </c>
      <c r="HW201" s="479" t="str">
        <f ca="1">IF(OR(HW$169&lt;SwaptionFirstMonthPosition+1,$FJ201&lt;SwaptionFirstMonthPosition+1,HW$169&gt;SwaptionFirstMonthPosition+SwaptionNumOfMonths+1,$FJ201&gt;SwaptionFirstMonthPosition+SwaptionNumOfMonths+1),"",IF($FJ201=HW$169,1,IF($FJ201&lt;HW$169,INDEX($FK$170:$ID$241,HW$169,$FJ201),SUMPRODUCT(INDEX($FK$325:$ID$396,HW$169,1+SwaptionShift):INDEX($FK$325:$ID$396,HW$169,SwaptionMonthsToGo+SwaptionShift),INDEX($FK$245:$ID$316,$FJ201-HW$169,73-HW$169+SwaptionShift):INDEX($FK$245:$ID$316,$FJ201-HW$169,72-HW$169+SwaptionMonthsToGo+SwaptionShift))/SQRT(SUM(INDEX($FK356:$ID356,1+SwaptionShift):INDEX($FK356:$ID356,SwaptionMonthsToGo+SwaptionShift))*SUM(INDEX($FK$325:$ID$396,HW$169,1+SwaptionShift):INDEX($FK$325:$ID$396,HW$169,SwaptionMonthsToGo+SwaptionShift))))))</f>
        <v/>
      </c>
      <c r="HX201" s="479" t="str">
        <f ca="1">IF(OR(HX$169&lt;SwaptionFirstMonthPosition+1,$FJ201&lt;SwaptionFirstMonthPosition+1,HX$169&gt;SwaptionFirstMonthPosition+SwaptionNumOfMonths+1,$FJ201&gt;SwaptionFirstMonthPosition+SwaptionNumOfMonths+1),"",IF($FJ201=HX$169,1,IF($FJ201&lt;HX$169,INDEX($FK$170:$ID$241,HX$169,$FJ201),SUMPRODUCT(INDEX($FK$325:$ID$396,HX$169,1+SwaptionShift):INDEX($FK$325:$ID$396,HX$169,SwaptionMonthsToGo+SwaptionShift),INDEX($FK$245:$ID$316,$FJ201-HX$169,73-HX$169+SwaptionShift):INDEX($FK$245:$ID$316,$FJ201-HX$169,72-HX$169+SwaptionMonthsToGo+SwaptionShift))/SQRT(SUM(INDEX($FK356:$ID356,1+SwaptionShift):INDEX($FK356:$ID356,SwaptionMonthsToGo+SwaptionShift))*SUM(INDEX($FK$325:$ID$396,HX$169,1+SwaptionShift):INDEX($FK$325:$ID$396,HX$169,SwaptionMonthsToGo+SwaptionShift))))))</f>
        <v/>
      </c>
      <c r="HY201" s="479" t="str">
        <f ca="1">IF(OR(HY$169&lt;SwaptionFirstMonthPosition+1,$FJ201&lt;SwaptionFirstMonthPosition+1,HY$169&gt;SwaptionFirstMonthPosition+SwaptionNumOfMonths+1,$FJ201&gt;SwaptionFirstMonthPosition+SwaptionNumOfMonths+1),"",IF($FJ201=HY$169,1,IF($FJ201&lt;HY$169,INDEX($FK$170:$ID$241,HY$169,$FJ201),SUMPRODUCT(INDEX($FK$325:$ID$396,HY$169,1+SwaptionShift):INDEX($FK$325:$ID$396,HY$169,SwaptionMonthsToGo+SwaptionShift),INDEX($FK$245:$ID$316,$FJ201-HY$169,73-HY$169+SwaptionShift):INDEX($FK$245:$ID$316,$FJ201-HY$169,72-HY$169+SwaptionMonthsToGo+SwaptionShift))/SQRT(SUM(INDEX($FK356:$ID356,1+SwaptionShift):INDEX($FK356:$ID356,SwaptionMonthsToGo+SwaptionShift))*SUM(INDEX($FK$325:$ID$396,HY$169,1+SwaptionShift):INDEX($FK$325:$ID$396,HY$169,SwaptionMonthsToGo+SwaptionShift))))))</f>
        <v/>
      </c>
      <c r="HZ201" s="479" t="str">
        <f ca="1">IF(OR(HZ$169&lt;SwaptionFirstMonthPosition+1,$FJ201&lt;SwaptionFirstMonthPosition+1,HZ$169&gt;SwaptionFirstMonthPosition+SwaptionNumOfMonths+1,$FJ201&gt;SwaptionFirstMonthPosition+SwaptionNumOfMonths+1),"",IF($FJ201=HZ$169,1,IF($FJ201&lt;HZ$169,INDEX($FK$170:$ID$241,HZ$169,$FJ201),SUMPRODUCT(INDEX($FK$325:$ID$396,HZ$169,1+SwaptionShift):INDEX($FK$325:$ID$396,HZ$169,SwaptionMonthsToGo+SwaptionShift),INDEX($FK$245:$ID$316,$FJ201-HZ$169,73-HZ$169+SwaptionShift):INDEX($FK$245:$ID$316,$FJ201-HZ$169,72-HZ$169+SwaptionMonthsToGo+SwaptionShift))/SQRT(SUM(INDEX($FK356:$ID356,1+SwaptionShift):INDEX($FK356:$ID356,SwaptionMonthsToGo+SwaptionShift))*SUM(INDEX($FK$325:$ID$396,HZ$169,1+SwaptionShift):INDEX($FK$325:$ID$396,HZ$169,SwaptionMonthsToGo+SwaptionShift))))))</f>
        <v/>
      </c>
      <c r="IA201" s="479" t="str">
        <f ca="1">IF(OR(IA$169&lt;SwaptionFirstMonthPosition+1,$FJ201&lt;SwaptionFirstMonthPosition+1,IA$169&gt;SwaptionFirstMonthPosition+SwaptionNumOfMonths+1,$FJ201&gt;SwaptionFirstMonthPosition+SwaptionNumOfMonths+1),"",IF($FJ201=IA$169,1,IF($FJ201&lt;IA$169,INDEX($FK$170:$ID$241,IA$169,$FJ201),SUMPRODUCT(INDEX($FK$325:$ID$396,IA$169,1+SwaptionShift):INDEX($FK$325:$ID$396,IA$169,SwaptionMonthsToGo+SwaptionShift),INDEX($FK$245:$ID$316,$FJ201-IA$169,73-IA$169+SwaptionShift):INDEX($FK$245:$ID$316,$FJ201-IA$169,72-IA$169+SwaptionMonthsToGo+SwaptionShift))/SQRT(SUM(INDEX($FK356:$ID356,1+SwaptionShift):INDEX($FK356:$ID356,SwaptionMonthsToGo+SwaptionShift))*SUM(INDEX($FK$325:$ID$396,IA$169,1+SwaptionShift):INDEX($FK$325:$ID$396,IA$169,SwaptionMonthsToGo+SwaptionShift))))))</f>
        <v/>
      </c>
      <c r="IB201" s="479" t="str">
        <f ca="1">IF(OR(IB$169&lt;SwaptionFirstMonthPosition+1,$FJ201&lt;SwaptionFirstMonthPosition+1,IB$169&gt;SwaptionFirstMonthPosition+SwaptionNumOfMonths+1,$FJ201&gt;SwaptionFirstMonthPosition+SwaptionNumOfMonths+1),"",IF($FJ201=IB$169,1,IF($FJ201&lt;IB$169,INDEX($FK$170:$ID$241,IB$169,$FJ201),SUMPRODUCT(INDEX($FK$325:$ID$396,IB$169,1+SwaptionShift):INDEX($FK$325:$ID$396,IB$169,SwaptionMonthsToGo+SwaptionShift),INDEX($FK$245:$ID$316,$FJ201-IB$169,73-IB$169+SwaptionShift):INDEX($FK$245:$ID$316,$FJ201-IB$169,72-IB$169+SwaptionMonthsToGo+SwaptionShift))/SQRT(SUM(INDEX($FK356:$ID356,1+SwaptionShift):INDEX($FK356:$ID356,SwaptionMonthsToGo+SwaptionShift))*SUM(INDEX($FK$325:$ID$396,IB$169,1+SwaptionShift):INDEX($FK$325:$ID$396,IB$169,SwaptionMonthsToGo+SwaptionShift))))))</f>
        <v/>
      </c>
      <c r="IC201" s="479" t="str">
        <f ca="1">IF(OR(IC$169&lt;SwaptionFirstMonthPosition+1,$FJ201&lt;SwaptionFirstMonthPosition+1,IC$169&gt;SwaptionFirstMonthPosition+SwaptionNumOfMonths+1,$FJ201&gt;SwaptionFirstMonthPosition+SwaptionNumOfMonths+1),"",IF($FJ201=IC$169,1,IF($FJ201&lt;IC$169,INDEX($FK$170:$ID$241,IC$169,$FJ201),SUMPRODUCT(INDEX($FK$325:$ID$396,IC$169,1+SwaptionShift):INDEX($FK$325:$ID$396,IC$169,SwaptionMonthsToGo+SwaptionShift),INDEX($FK$245:$ID$316,$FJ201-IC$169,73-IC$169+SwaptionShift):INDEX($FK$245:$ID$316,$FJ201-IC$169,72-IC$169+SwaptionMonthsToGo+SwaptionShift))/SQRT(SUM(INDEX($FK356:$ID356,1+SwaptionShift):INDEX($FK356:$ID356,SwaptionMonthsToGo+SwaptionShift))*SUM(INDEX($FK$325:$ID$396,IC$169,1+SwaptionShift):INDEX($FK$325:$ID$396,IC$169,SwaptionMonthsToGo+SwaptionShift))))))</f>
        <v/>
      </c>
      <c r="ID201" s="678" t="str">
        <f ca="1">IF(OR(ID$169&lt;SwaptionFirstMonthPosition+1,$FJ201&lt;SwaptionFirstMonthPosition+1,ID$169&gt;SwaptionFirstMonthPosition+SwaptionNumOfMonths+1,$FJ201&gt;SwaptionFirstMonthPosition+SwaptionNumOfMonths+1),"",IF($FJ201=ID$169,1,IF($FJ201&lt;ID$169,INDEX($FK$170:$ID$241,ID$169,$FJ201),SUMPRODUCT(INDEX($FK$325:$ID$396,ID$169,1+SwaptionShift):INDEX($FK$325:$ID$396,ID$169,SwaptionMonthsToGo+SwaptionShift),INDEX($FK$245:$ID$316,$FJ201-ID$169,73-ID$169+SwaptionShift):INDEX($FK$245:$ID$316,$FJ201-ID$169,72-ID$169+SwaptionMonthsToGo+SwaptionShift))/SQRT(SUM(INDEX($FK356:$ID356,1+SwaptionShift):INDEX($FK356:$ID356,SwaptionMonthsToGo+SwaptionShift))*SUM(INDEX($FK$325:$ID$396,ID$169,1+SwaptionShift):INDEX($FK$325:$ID$396,ID$169,SwaptionMonthsToGo+SwaptionShift))))))</f>
        <v/>
      </c>
      <c r="IE201" s="250"/>
    </row>
    <row r="202" spans="8:239">
      <c r="H202" s="51">
        <f t="shared" ca="1" si="527"/>
        <v>0</v>
      </c>
      <c r="I202" s="379">
        <f t="shared" si="528"/>
        <v>42309</v>
      </c>
      <c r="J202" s="377"/>
      <c r="K202" s="104" t="s">
        <v>268</v>
      </c>
      <c r="L202" s="392">
        <f t="shared" si="529"/>
        <v>3.9750000000000068</v>
      </c>
      <c r="M202" s="171"/>
      <c r="N202" s="382">
        <v>0</v>
      </c>
      <c r="O202" s="171">
        <f t="shared" si="596"/>
        <v>0</v>
      </c>
      <c r="P202" s="377"/>
      <c r="Q202" s="104" t="s">
        <v>268</v>
      </c>
      <c r="R202" s="377">
        <f t="shared" ca="1" si="597"/>
        <v>2.7683782495041611</v>
      </c>
      <c r="S202" s="832">
        <f t="shared" si="564"/>
        <v>0.3600000000000001</v>
      </c>
      <c r="T202" s="831">
        <f t="shared" si="548"/>
        <v>0.99999999999995337</v>
      </c>
      <c r="U202" s="545">
        <f t="shared" si="549"/>
        <v>0.99999999999999978</v>
      </c>
      <c r="V202" s="389">
        <v>0</v>
      </c>
      <c r="W202" s="434">
        <f t="shared" si="598"/>
        <v>0</v>
      </c>
      <c r="X202" s="415">
        <f t="shared" si="599"/>
        <v>4.0232142857142925</v>
      </c>
      <c r="Y202" s="322">
        <f t="shared" si="600"/>
        <v>-1.1931</v>
      </c>
      <c r="Z202" s="322">
        <f t="shared" ca="1" si="601"/>
        <v>2.8301142857142922</v>
      </c>
      <c r="AA202" s="429">
        <f t="shared" si="495"/>
        <v>1.1931</v>
      </c>
      <c r="AB202" s="433">
        <f t="shared" ca="1" si="496"/>
        <v>1.1931</v>
      </c>
      <c r="AC202" s="229">
        <v>42297</v>
      </c>
      <c r="AD202" s="229">
        <v>42293</v>
      </c>
      <c r="AE202" s="229">
        <v>42292</v>
      </c>
      <c r="AF202" s="229">
        <v>42288</v>
      </c>
      <c r="AG202" s="249" t="s">
        <v>499</v>
      </c>
      <c r="AH202" s="247" t="s">
        <v>499</v>
      </c>
      <c r="AI202" s="146">
        <v>21</v>
      </c>
      <c r="AJ202" s="41">
        <v>15</v>
      </c>
      <c r="AK202" s="41">
        <v>6</v>
      </c>
      <c r="AL202" s="293">
        <v>21</v>
      </c>
      <c r="AM202" s="41">
        <v>10</v>
      </c>
      <c r="AN202" s="147">
        <v>11</v>
      </c>
      <c r="AO202" s="374"/>
      <c r="AP202" s="153">
        <f t="shared" ca="1" si="530"/>
        <v>1</v>
      </c>
      <c r="AQ202" s="374"/>
      <c r="AR202" s="153">
        <f t="shared" ca="1" si="550"/>
        <v>1</v>
      </c>
      <c r="AS202" s="272">
        <f t="shared" si="602"/>
        <v>0</v>
      </c>
      <c r="AT202" s="157">
        <f t="shared" si="531"/>
        <v>0</v>
      </c>
      <c r="AU202" s="157">
        <f t="shared" si="498"/>
        <v>0</v>
      </c>
      <c r="AV202" s="271">
        <f t="shared" ca="1" si="558"/>
        <v>9.9999999999999995E-7</v>
      </c>
      <c r="AW202" s="158" t="str">
        <f t="shared" ca="1" si="583"/>
        <v/>
      </c>
      <c r="AX202" s="157">
        <f t="shared" ca="1" si="551"/>
        <v>5.4658365821530116E-5</v>
      </c>
      <c r="AY202" s="157">
        <f t="shared" ca="1" si="552"/>
        <v>1.2569729508892069E-5</v>
      </c>
      <c r="AZ202" s="157">
        <f t="shared" ca="1" si="553"/>
        <v>3.9737198283876787E-7</v>
      </c>
      <c r="BA202" s="157">
        <f t="shared" ca="1" si="554"/>
        <v>4.9671497854845984E-8</v>
      </c>
      <c r="BB202" s="157">
        <f t="shared" ca="1" si="555"/>
        <v>2.2624690838777746E-10</v>
      </c>
      <c r="BC202" s="157">
        <f t="shared" ca="1" si="556"/>
        <v>4.9345153982873832E-12</v>
      </c>
      <c r="BD202" s="151">
        <f t="shared" ca="1" si="603"/>
        <v>0</v>
      </c>
      <c r="BE202" s="152">
        <f t="shared" ca="1" si="604"/>
        <v>0</v>
      </c>
      <c r="BF202" s="40">
        <f t="shared" si="605"/>
        <v>2015</v>
      </c>
      <c r="BG202" s="144">
        <f t="shared" si="606"/>
        <v>11</v>
      </c>
      <c r="BH202" s="145">
        <f t="shared" ca="1" si="607"/>
        <v>5548</v>
      </c>
      <c r="BI202" s="313">
        <f t="shared" ca="1" si="608"/>
        <v>15.233401779603012</v>
      </c>
      <c r="BJ202" s="42">
        <f t="shared" ca="1" si="505"/>
        <v>15.290114403050749</v>
      </c>
      <c r="BK202" s="42">
        <f t="shared" ca="1" si="506"/>
        <v>15.292852253837882</v>
      </c>
      <c r="BL202" s="42">
        <f t="shared" ca="1" si="609"/>
        <v>15.312799452429843</v>
      </c>
      <c r="BM202" s="150" t="e">
        <f t="shared" ca="1" si="507"/>
        <v>#DIV/0!</v>
      </c>
      <c r="BN202" s="42" t="e">
        <f t="shared" ca="1" si="508"/>
        <v>#DIV/0!</v>
      </c>
      <c r="BO202" s="293">
        <f t="shared" si="610"/>
        <v>21</v>
      </c>
      <c r="BP202" s="41">
        <f t="shared" si="611"/>
        <v>15</v>
      </c>
      <c r="BQ202" s="41">
        <f t="shared" si="612"/>
        <v>6</v>
      </c>
      <c r="BR202" s="305" t="str">
        <f t="shared" ca="1" si="509"/>
        <v/>
      </c>
      <c r="BS202" s="305" t="str">
        <f t="shared" ca="1" si="613"/>
        <v/>
      </c>
      <c r="BT202" s="307" t="str">
        <f t="shared" ca="1" si="614"/>
        <v/>
      </c>
      <c r="BU202" s="161" t="str">
        <f t="shared" ca="1" si="510"/>
        <v/>
      </c>
      <c r="BV202" s="161" t="str">
        <f t="shared" ca="1" si="511"/>
        <v/>
      </c>
      <c r="BW202" s="308" t="str">
        <f t="shared" ca="1" si="512"/>
        <v/>
      </c>
      <c r="BX202" s="309" t="str">
        <f t="shared" ca="1" si="513"/>
        <v/>
      </c>
      <c r="BY202" s="308" t="str">
        <f t="shared" ca="1" si="615"/>
        <v/>
      </c>
      <c r="BZ202" s="309" t="str">
        <f t="shared" ca="1" si="616"/>
        <v/>
      </c>
      <c r="CA202" s="154" t="str">
        <f t="shared" ca="1" si="514"/>
        <v/>
      </c>
      <c r="CB202" s="154" t="str">
        <f t="shared" ca="1" si="515"/>
        <v/>
      </c>
      <c r="CC202" s="154" t="str">
        <f t="shared" ca="1" si="516"/>
        <v/>
      </c>
      <c r="CD202" s="154" t="str">
        <f t="shared" ca="1" si="517"/>
        <v/>
      </c>
      <c r="CE202" s="310">
        <v>1</v>
      </c>
      <c r="CF202" s="162">
        <f ca="1">IF(BD202,_xll.xCrudeAPO(BU202,BV202,CA202,CB202,S203,S204,BI202,BL202,BP202,BQ202,0,Strike1,AO202,CE202,0,BL202,IF(OptControl=4,0,1),0,1),0)</f>
        <v>0</v>
      </c>
      <c r="CG202" s="163">
        <f ca="1">IF(BD202,_xll.xCrudeAPO(BU202,BV202,CA202,CB202,S203,S204,BI202,BL202,BP202,BQ202,0,Strike1,AO202,CE202,0,BL202,IF(OptControl=4,0,1),1,1)+_xll.xCrudeAPO(BU202,BV202,CA202,CB202,S203,S204,BI202,BL202,BP202,BQ202,0,Strike1,AO202,CE202,0,BL202,IF(OptControl=4,0,1),1,2)+IF(OR(VolSkewFlag=2,ABS(BS202)&lt;0.0001),0,IF(BS202&gt;0,-1,1)*CH202*Strike1/BR202^2*BY202/10%),0)</f>
        <v>0</v>
      </c>
      <c r="CH202" s="163">
        <f ca="1">IF(BD202,(_xll.xCrudeAPO(BU202,BV202,CA202,CB202,S203,S204,BI202,BL202,BP202,BQ202,0,Strike1,AO202,CE202,0,BL202,IF(OptControl=4,0,1),3,1)+_xll.xCrudeAPO(BU202,BV202,CA202,CB202,S203,S204,BI202,BL202,BP202,BQ202,0,Strike1,AO202,CE202,0,BL202,IF(OptControl=4,0,1),3,2))/100,0)</f>
        <v>0</v>
      </c>
      <c r="CI202" s="163">
        <f ca="1">IF(BD202,_xll.xCrudeAPO(BU202,BV202,CA202,CB202,S203,S204,BI202-DaysForThetaCalculation/365.25,BL202-DaysForThetaCalculation/365.25,BP202,BQ202,0,Strike1,AO202,CE202,0,BL202,IF(OptControl=4,0,1),0,1)-_xll.xCrudeAPO(BU202,BV202,CA202,CB202,S203,S204,BI202,BL202,BP202,BQ202,0,Strike1,AO202,CE202,0,BL202,IF(OptControl=4,0,1),0,1),0)</f>
        <v>0</v>
      </c>
      <c r="CJ202" s="311">
        <f ca="1">IF(BD202,_xll.xCrudeAPO(BU202,BV202,CC202,CD202,S203,S204,BI202,BL202,BP202,BQ202,0,Strike2,AO202,CE202,0,BL202,IF(OptControl=3,1,0),0,1),0)</f>
        <v>0</v>
      </c>
      <c r="CK202" s="163">
        <f ca="1">IF(BD202,_xll.xCrudeAPO(BU202,BV202,CC202,CD202,S203,S204,BI202,BL202,BP202,BQ202,0,Strike2,AO202,CE202,0,BL202,IF(OptControl=3,1,0),1,1)+_xll.xCrudeAPO(BU202,BV202,CC202,CD202,S203,S204,BI202,BL202,BP202,BQ202,0,Strike2,AO202,CE202,0,BL202,IF(OptControl=3,1,0),1,2)+IF(OR(VolSkewFlag=2,ABS(BT202)&lt;0.0001),0,IF(BT202&gt;0,-1,1)*CL202*Strike2/BR202^2*BZ202/10%),0)</f>
        <v>0</v>
      </c>
      <c r="CL202" s="163">
        <f ca="1">IF(BD202,(_xll.xCrudeAPO(BU202,BV202,CC202,CD202,S203,S204,BI202,BL202,BP202,BQ202,0,Strike2,AO202,CE202,0,BL202,IF(OptControl=3,1,0),3,1)+_xll.xCrudeAPO(BU202,BV202,CC202,CD202,S203,S204,BI202,BL202,BP202,BQ202,0,Strike2,AO202,CE202,0,BL202,IF(OptControl=3,1,0),3,2))/100,0)</f>
        <v>0</v>
      </c>
      <c r="CM202" s="164">
        <f ca="1">IF(BD202,_xll.xCrudeAPO(BU202,BV202,CC202,CD202,S203,S204,BI202-DaysForThetaCalculation/365.25,BL202-DaysForThetaCalculation/365.25,BP202,BQ202,0,Strike2,AO202,CE202,0,BL202,IF(OptControl=3,1,0),0,1)-_xll.xCrudeAPO(BU202,BV202,CC202,CD202,S203,S204,BI202,BL202,BP202,BQ202,0,Strike2,AO202,CE202,0,BL202,IF(OptControl=3,1,0),0,1),0)</f>
        <v>0</v>
      </c>
      <c r="CN202" s="53"/>
      <c r="CO202" s="796" t="str">
        <f t="shared" ca="1" si="532"/>
        <v/>
      </c>
      <c r="CP202" s="800" t="str">
        <f t="shared" ca="1" si="533"/>
        <v/>
      </c>
      <c r="CQ202" s="797" t="str">
        <f t="shared" ca="1" si="534"/>
        <v/>
      </c>
      <c r="CR202" s="797" t="str">
        <f t="shared" ca="1" si="535"/>
        <v/>
      </c>
      <c r="CS202" s="797" t="str">
        <f t="shared" ca="1" si="536"/>
        <v/>
      </c>
      <c r="CT202" s="797" t="str">
        <f t="shared" ca="1" si="537"/>
        <v/>
      </c>
      <c r="CU202" s="798" t="str">
        <f t="shared" ca="1" si="538"/>
        <v/>
      </c>
      <c r="CV202" s="799" t="str">
        <f t="shared" ca="1" si="539"/>
        <v/>
      </c>
      <c r="CW202" s="799" t="str">
        <f t="shared" ca="1" si="540"/>
        <v/>
      </c>
      <c r="CX202" s="163">
        <f ca="1">IF(BD202,_xll.EURO(CP202,Strike1,AO202,AO202,CV202,CO202,IF(OptControl=4,0,1),0),0)</f>
        <v>0</v>
      </c>
      <c r="CY202" s="163">
        <f ca="1">IF(BD202,_xll.EURO(CP202,Strike1,AO202,AO202,CV202,CO202,IF(OptControl=4,0,1),1)+IF(OR(VolSkewFlag=2,ABS(CQ202)&lt;0.0001),0,IF(CQ202&gt;0,-1,1)*CZ202*100*Strike1/CP202^2*CS202/10%),0)</f>
        <v>0</v>
      </c>
      <c r="CZ202" s="163">
        <f ca="1">IF(BD202,_xll.EURO(CP202,Strike1,AO202,AO202,CV202,CO202,IF(OptControl=4,0,1),3)/100,0)</f>
        <v>0</v>
      </c>
      <c r="DA202" s="163">
        <f ca="1">IF(BD202,_xll.EURO(CP202,Strike1,AO202,AO202,CV202,CO202,IF(OptControl=4,0,1),0)-_xll.EURO(CP202,Strike1,AO202,AO202,CV202,CO202-1,IF(OptControl=4,0,1),0),0)</f>
        <v>0</v>
      </c>
      <c r="DB202" s="163">
        <f ca="1">IF(BD202,_xll.EURO(CP202,Strike2,AO202,AO202,CW202,CO202,IF(OptControl=3,1,0),0),0)</f>
        <v>0</v>
      </c>
      <c r="DC202" s="163">
        <f ca="1">IF(BD202,_xll.EURO(CP202,Strike2,AO202,AO202,CW202,CO202,IF(OptControl=3,1,0),1)+IF(OR(VolSkewFlag=2,ABS(CR202)&lt;0.0001),0,IF(CR202&gt;0,-1,1)*DD202*100*Strike2/CP202^2*CT202/10%),0)</f>
        <v>0</v>
      </c>
      <c r="DD202" s="163">
        <f ca="1">IF(BD202,_xll.EURO(CP202,Strike2,AO202,AO202,CW202,CO202,IF(OptControl=3,1,0),3)/100,0)</f>
        <v>0</v>
      </c>
      <c r="DE202" s="164">
        <f ca="1">IF(BD202,_xll.EURO(CP202,Strike2,AO202,AO202,CW202,CO202,IF(OptControl=3,1,0),0)-_xll.EURO(CP202,Strike2,AO202,AO202,CW202,CO202-1,IF(OptControl=3,1,0),0),0)</f>
        <v>0</v>
      </c>
      <c r="DG202" s="667">
        <f t="shared" ca="1" si="541"/>
        <v>42095</v>
      </c>
      <c r="DH202" s="475">
        <v>23.260000000000076</v>
      </c>
      <c r="DI202" s="665">
        <v>23.328181818181893</v>
      </c>
      <c r="DJ202" s="666">
        <f t="shared" ca="1" si="617"/>
        <v>42095</v>
      </c>
      <c r="DK202" s="475">
        <v>22.059927701696324</v>
      </c>
      <c r="DL202" s="665">
        <v>22.036681818181894</v>
      </c>
      <c r="DM202" s="667">
        <f t="shared" ca="1" si="618"/>
        <v>42095</v>
      </c>
      <c r="DN202" s="668">
        <f t="shared" si="619"/>
        <v>22.109927701696325</v>
      </c>
      <c r="DO202" s="667">
        <f t="shared" ca="1" si="620"/>
        <v>42095</v>
      </c>
      <c r="DP202" s="579">
        <f t="shared" si="621"/>
        <v>22.036681818181894</v>
      </c>
      <c r="DQ202" s="821">
        <v>0</v>
      </c>
      <c r="DR202" s="666">
        <f t="shared" ca="1" si="622"/>
        <v>42095</v>
      </c>
      <c r="DS202" s="669">
        <v>0.11539999999999802</v>
      </c>
      <c r="DT202" s="606">
        <v>0.11458181818181622</v>
      </c>
      <c r="DU202" s="666">
        <f t="shared" ca="1" si="623"/>
        <v>42095</v>
      </c>
      <c r="DV202" s="669">
        <v>0.11539999999999802</v>
      </c>
      <c r="DW202" s="606">
        <v>0.11458181818181622</v>
      </c>
      <c r="DX202" s="667">
        <f t="shared" ca="1" si="624"/>
        <v>42095</v>
      </c>
      <c r="DY202" s="606">
        <v>0.35</v>
      </c>
      <c r="DZ202" s="667">
        <f t="shared" ca="1" si="625"/>
        <v>42095</v>
      </c>
      <c r="EA202" s="606">
        <f t="shared" si="626"/>
        <v>0.11458181818181622</v>
      </c>
      <c r="EB202" s="1"/>
      <c r="EC202" s="118" t="str">
        <f t="shared" ca="1" si="627"/>
        <v/>
      </c>
      <c r="ED202" s="119" t="str">
        <f t="shared" ca="1" si="525"/>
        <v/>
      </c>
      <c r="EE202" s="112" t="str">
        <f t="shared" ca="1" si="526"/>
        <v/>
      </c>
      <c r="EF202" s="120">
        <f ca="1">IF(BD202,_xll.xASN(BR202,Strike1,AO202,ED202,0,BO202,0,BI202,BL202,IF(OptControl=4,0,1),0),0)</f>
        <v>0</v>
      </c>
      <c r="EG202" s="111">
        <f ca="1">IF(BD202,_xll.xASN(BR202,Strike2,AO202,EE202,0,BO202,0,BI202,BL202,IF(OptControl=3,1,0),0),0)</f>
        <v>0</v>
      </c>
      <c r="EL202" s="55"/>
      <c r="EM202" s="1"/>
      <c r="EN202" s="106"/>
      <c r="EO202" s="106"/>
      <c r="EP202" s="1"/>
      <c r="EQ202" s="683" t="s">
        <v>416</v>
      </c>
      <c r="ES202" s="455"/>
      <c r="ET202" s="36"/>
      <c r="EU202" s="107"/>
      <c r="EV202" s="475"/>
      <c r="EW202" s="456"/>
      <c r="EX202" s="456"/>
      <c r="EY202" s="250"/>
      <c r="EZ202" s="250"/>
      <c r="FA202" s="250"/>
      <c r="FB202" s="250"/>
      <c r="FC202" s="250"/>
      <c r="FD202" s="250"/>
      <c r="FE202" s="250"/>
      <c r="FF202" s="250"/>
      <c r="FG202" s="250"/>
      <c r="FH202" s="250"/>
      <c r="FI202" s="250"/>
      <c r="FJ202" s="673">
        <v>33</v>
      </c>
      <c r="FK202" s="479" t="str">
        <f ca="1">IF(OR(FK$169&lt;SwaptionFirstMonthPosition+1,$FJ202&lt;SwaptionFirstMonthPosition+1,FK$169&gt;SwaptionFirstMonthPosition+SwaptionNumOfMonths+1,$FJ202&gt;SwaptionFirstMonthPosition+SwaptionNumOfMonths+1),"",IF($FJ202=FK$169,1,IF($FJ202&lt;FK$169,INDEX($FK$170:$ID$241,FK$169,$FJ202),SUMPRODUCT(INDEX($FK$325:$ID$396,FK$169,1+SwaptionShift):INDEX($FK$325:$ID$396,FK$169,SwaptionMonthsToGo+SwaptionShift),INDEX($FK$245:$ID$316,$FJ202-FK$169,73-FK$169+SwaptionShift):INDEX($FK$245:$ID$316,$FJ202-FK$169,72-FK$169+SwaptionMonthsToGo+SwaptionShift))/SQRT(SUM(INDEX($FK357:$ID357,1+SwaptionShift):INDEX($FK357:$ID357,SwaptionMonthsToGo+SwaptionShift))*SUM(INDEX($FK$325:$ID$396,FK$169,1+SwaptionShift):INDEX($FK$325:$ID$396,FK$169,SwaptionMonthsToGo+SwaptionShift))))))</f>
        <v/>
      </c>
      <c r="FL202" s="479" t="str">
        <f ca="1">IF(OR(FL$169&lt;SwaptionFirstMonthPosition+1,$FJ202&lt;SwaptionFirstMonthPosition+1,FL$169&gt;SwaptionFirstMonthPosition+SwaptionNumOfMonths+1,$FJ202&gt;SwaptionFirstMonthPosition+SwaptionNumOfMonths+1),"",IF($FJ202=FL$169,1,IF($FJ202&lt;FL$169,INDEX($FK$170:$ID$241,FL$169,$FJ202),SUMPRODUCT(INDEX($FK$325:$ID$396,FL$169,1+SwaptionShift):INDEX($FK$325:$ID$396,FL$169,SwaptionMonthsToGo+SwaptionShift),INDEX($FK$245:$ID$316,$FJ202-FL$169,73-FL$169+SwaptionShift):INDEX($FK$245:$ID$316,$FJ202-FL$169,72-FL$169+SwaptionMonthsToGo+SwaptionShift))/SQRT(SUM(INDEX($FK357:$ID357,1+SwaptionShift):INDEX($FK357:$ID357,SwaptionMonthsToGo+SwaptionShift))*SUM(INDEX($FK$325:$ID$396,FL$169,1+SwaptionShift):INDEX($FK$325:$ID$396,FL$169,SwaptionMonthsToGo+SwaptionShift))))))</f>
        <v/>
      </c>
      <c r="FM202" s="479" t="str">
        <f ca="1">IF(OR(FM$169&lt;SwaptionFirstMonthPosition+1,$FJ202&lt;SwaptionFirstMonthPosition+1,FM$169&gt;SwaptionFirstMonthPosition+SwaptionNumOfMonths+1,$FJ202&gt;SwaptionFirstMonthPosition+SwaptionNumOfMonths+1),"",IF($FJ202=FM$169,1,IF($FJ202&lt;FM$169,INDEX($FK$170:$ID$241,FM$169,$FJ202),SUMPRODUCT(INDEX($FK$325:$ID$396,FM$169,1+SwaptionShift):INDEX($FK$325:$ID$396,FM$169,SwaptionMonthsToGo+SwaptionShift),INDEX($FK$245:$ID$316,$FJ202-FM$169,73-FM$169+SwaptionShift):INDEX($FK$245:$ID$316,$FJ202-FM$169,72-FM$169+SwaptionMonthsToGo+SwaptionShift))/SQRT(SUM(INDEX($FK357:$ID357,1+SwaptionShift):INDEX($FK357:$ID357,SwaptionMonthsToGo+SwaptionShift))*SUM(INDEX($FK$325:$ID$396,FM$169,1+SwaptionShift):INDEX($FK$325:$ID$396,FM$169,SwaptionMonthsToGo+SwaptionShift))))))</f>
        <v/>
      </c>
      <c r="FN202" s="479" t="str">
        <f ca="1">IF(OR(FN$169&lt;SwaptionFirstMonthPosition+1,$FJ202&lt;SwaptionFirstMonthPosition+1,FN$169&gt;SwaptionFirstMonthPosition+SwaptionNumOfMonths+1,$FJ202&gt;SwaptionFirstMonthPosition+SwaptionNumOfMonths+1),"",IF($FJ202=FN$169,1,IF($FJ202&lt;FN$169,INDEX($FK$170:$ID$241,FN$169,$FJ202),SUMPRODUCT(INDEX($FK$325:$ID$396,FN$169,1+SwaptionShift):INDEX($FK$325:$ID$396,FN$169,SwaptionMonthsToGo+SwaptionShift),INDEX($FK$245:$ID$316,$FJ202-FN$169,73-FN$169+SwaptionShift):INDEX($FK$245:$ID$316,$FJ202-FN$169,72-FN$169+SwaptionMonthsToGo+SwaptionShift))/SQRT(SUM(INDEX($FK357:$ID357,1+SwaptionShift):INDEX($FK357:$ID357,SwaptionMonthsToGo+SwaptionShift))*SUM(INDEX($FK$325:$ID$396,FN$169,1+SwaptionShift):INDEX($FK$325:$ID$396,FN$169,SwaptionMonthsToGo+SwaptionShift))))))</f>
        <v/>
      </c>
      <c r="FO202" s="479" t="str">
        <f ca="1">IF(OR(FO$169&lt;SwaptionFirstMonthPosition+1,$FJ202&lt;SwaptionFirstMonthPosition+1,FO$169&gt;SwaptionFirstMonthPosition+SwaptionNumOfMonths+1,$FJ202&gt;SwaptionFirstMonthPosition+SwaptionNumOfMonths+1),"",IF($FJ202=FO$169,1,IF($FJ202&lt;FO$169,INDEX($FK$170:$ID$241,FO$169,$FJ202),SUMPRODUCT(INDEX($FK$325:$ID$396,FO$169,1+SwaptionShift):INDEX($FK$325:$ID$396,FO$169,SwaptionMonthsToGo+SwaptionShift),INDEX($FK$245:$ID$316,$FJ202-FO$169,73-FO$169+SwaptionShift):INDEX($FK$245:$ID$316,$FJ202-FO$169,72-FO$169+SwaptionMonthsToGo+SwaptionShift))/SQRT(SUM(INDEX($FK357:$ID357,1+SwaptionShift):INDEX($FK357:$ID357,SwaptionMonthsToGo+SwaptionShift))*SUM(INDEX($FK$325:$ID$396,FO$169,1+SwaptionShift):INDEX($FK$325:$ID$396,FO$169,SwaptionMonthsToGo+SwaptionShift))))))</f>
        <v/>
      </c>
      <c r="FP202" s="479" t="str">
        <f ca="1">IF(OR(FP$169&lt;SwaptionFirstMonthPosition+1,$FJ202&lt;SwaptionFirstMonthPosition+1,FP$169&gt;SwaptionFirstMonthPosition+SwaptionNumOfMonths+1,$FJ202&gt;SwaptionFirstMonthPosition+SwaptionNumOfMonths+1),"",IF($FJ202=FP$169,1,IF($FJ202&lt;FP$169,INDEX($FK$170:$ID$241,FP$169,$FJ202),SUMPRODUCT(INDEX($FK$325:$ID$396,FP$169,1+SwaptionShift):INDEX($FK$325:$ID$396,FP$169,SwaptionMonthsToGo+SwaptionShift),INDEX($FK$245:$ID$316,$FJ202-FP$169,73-FP$169+SwaptionShift):INDEX($FK$245:$ID$316,$FJ202-FP$169,72-FP$169+SwaptionMonthsToGo+SwaptionShift))/SQRT(SUM(INDEX($FK357:$ID357,1+SwaptionShift):INDEX($FK357:$ID357,SwaptionMonthsToGo+SwaptionShift))*SUM(INDEX($FK$325:$ID$396,FP$169,1+SwaptionShift):INDEX($FK$325:$ID$396,FP$169,SwaptionMonthsToGo+SwaptionShift))))))</f>
        <v/>
      </c>
      <c r="FQ202" s="479" t="str">
        <f ca="1">IF(OR(FQ$169&lt;SwaptionFirstMonthPosition+1,$FJ202&lt;SwaptionFirstMonthPosition+1,FQ$169&gt;SwaptionFirstMonthPosition+SwaptionNumOfMonths+1,$FJ202&gt;SwaptionFirstMonthPosition+SwaptionNumOfMonths+1),"",IF($FJ202=FQ$169,1,IF($FJ202&lt;FQ$169,INDEX($FK$170:$ID$241,FQ$169,$FJ202),SUMPRODUCT(INDEX($FK$325:$ID$396,FQ$169,1+SwaptionShift):INDEX($FK$325:$ID$396,FQ$169,SwaptionMonthsToGo+SwaptionShift),INDEX($FK$245:$ID$316,$FJ202-FQ$169,73-FQ$169+SwaptionShift):INDEX($FK$245:$ID$316,$FJ202-FQ$169,72-FQ$169+SwaptionMonthsToGo+SwaptionShift))/SQRT(SUM(INDEX($FK357:$ID357,1+SwaptionShift):INDEX($FK357:$ID357,SwaptionMonthsToGo+SwaptionShift))*SUM(INDEX($FK$325:$ID$396,FQ$169,1+SwaptionShift):INDEX($FK$325:$ID$396,FQ$169,SwaptionMonthsToGo+SwaptionShift))))))</f>
        <v/>
      </c>
      <c r="FR202" s="479" t="str">
        <f ca="1">IF(OR(FR$169&lt;SwaptionFirstMonthPosition+1,$FJ202&lt;SwaptionFirstMonthPosition+1,FR$169&gt;SwaptionFirstMonthPosition+SwaptionNumOfMonths+1,$FJ202&gt;SwaptionFirstMonthPosition+SwaptionNumOfMonths+1),"",IF($FJ202=FR$169,1,IF($FJ202&lt;FR$169,INDEX($FK$170:$ID$241,FR$169,$FJ202),SUMPRODUCT(INDEX($FK$325:$ID$396,FR$169,1+SwaptionShift):INDEX($FK$325:$ID$396,FR$169,SwaptionMonthsToGo+SwaptionShift),INDEX($FK$245:$ID$316,$FJ202-FR$169,73-FR$169+SwaptionShift):INDEX($FK$245:$ID$316,$FJ202-FR$169,72-FR$169+SwaptionMonthsToGo+SwaptionShift))/SQRT(SUM(INDEX($FK357:$ID357,1+SwaptionShift):INDEX($FK357:$ID357,SwaptionMonthsToGo+SwaptionShift))*SUM(INDEX($FK$325:$ID$396,FR$169,1+SwaptionShift):INDEX($FK$325:$ID$396,FR$169,SwaptionMonthsToGo+SwaptionShift))))))</f>
        <v/>
      </c>
      <c r="FS202" s="479" t="str">
        <f ca="1">IF(OR(FS$169&lt;SwaptionFirstMonthPosition+1,$FJ202&lt;SwaptionFirstMonthPosition+1,FS$169&gt;SwaptionFirstMonthPosition+SwaptionNumOfMonths+1,$FJ202&gt;SwaptionFirstMonthPosition+SwaptionNumOfMonths+1),"",IF($FJ202=FS$169,1,IF($FJ202&lt;FS$169,INDEX($FK$170:$ID$241,FS$169,$FJ202),SUMPRODUCT(INDEX($FK$325:$ID$396,FS$169,1+SwaptionShift):INDEX($FK$325:$ID$396,FS$169,SwaptionMonthsToGo+SwaptionShift),INDEX($FK$245:$ID$316,$FJ202-FS$169,73-FS$169+SwaptionShift):INDEX($FK$245:$ID$316,$FJ202-FS$169,72-FS$169+SwaptionMonthsToGo+SwaptionShift))/SQRT(SUM(INDEX($FK357:$ID357,1+SwaptionShift):INDEX($FK357:$ID357,SwaptionMonthsToGo+SwaptionShift))*SUM(INDEX($FK$325:$ID$396,FS$169,1+SwaptionShift):INDEX($FK$325:$ID$396,FS$169,SwaptionMonthsToGo+SwaptionShift))))))</f>
        <v/>
      </c>
      <c r="FT202" s="479" t="str">
        <f ca="1">IF(OR(FT$169&lt;SwaptionFirstMonthPosition+1,$FJ202&lt;SwaptionFirstMonthPosition+1,FT$169&gt;SwaptionFirstMonthPosition+SwaptionNumOfMonths+1,$FJ202&gt;SwaptionFirstMonthPosition+SwaptionNumOfMonths+1),"",IF($FJ202=FT$169,1,IF($FJ202&lt;FT$169,INDEX($FK$170:$ID$241,FT$169,$FJ202),SUMPRODUCT(INDEX($FK$325:$ID$396,FT$169,1+SwaptionShift):INDEX($FK$325:$ID$396,FT$169,SwaptionMonthsToGo+SwaptionShift),INDEX($FK$245:$ID$316,$FJ202-FT$169,73-FT$169+SwaptionShift):INDEX($FK$245:$ID$316,$FJ202-FT$169,72-FT$169+SwaptionMonthsToGo+SwaptionShift))/SQRT(SUM(INDEX($FK357:$ID357,1+SwaptionShift):INDEX($FK357:$ID357,SwaptionMonthsToGo+SwaptionShift))*SUM(INDEX($FK$325:$ID$396,FT$169,1+SwaptionShift):INDEX($FK$325:$ID$396,FT$169,SwaptionMonthsToGo+SwaptionShift))))))</f>
        <v/>
      </c>
      <c r="FU202" s="479" t="str">
        <f ca="1">IF(OR(FU$169&lt;SwaptionFirstMonthPosition+1,$FJ202&lt;SwaptionFirstMonthPosition+1,FU$169&gt;SwaptionFirstMonthPosition+SwaptionNumOfMonths+1,$FJ202&gt;SwaptionFirstMonthPosition+SwaptionNumOfMonths+1),"",IF($FJ202=FU$169,1,IF($FJ202&lt;FU$169,INDEX($FK$170:$ID$241,FU$169,$FJ202),SUMPRODUCT(INDEX($FK$325:$ID$396,FU$169,1+SwaptionShift):INDEX($FK$325:$ID$396,FU$169,SwaptionMonthsToGo+SwaptionShift),INDEX($FK$245:$ID$316,$FJ202-FU$169,73-FU$169+SwaptionShift):INDEX($FK$245:$ID$316,$FJ202-FU$169,72-FU$169+SwaptionMonthsToGo+SwaptionShift))/SQRT(SUM(INDEX($FK357:$ID357,1+SwaptionShift):INDEX($FK357:$ID357,SwaptionMonthsToGo+SwaptionShift))*SUM(INDEX($FK$325:$ID$396,FU$169,1+SwaptionShift):INDEX($FK$325:$ID$396,FU$169,SwaptionMonthsToGo+SwaptionShift))))))</f>
        <v/>
      </c>
      <c r="FV202" s="479" t="str">
        <f ca="1">IF(OR(FV$169&lt;SwaptionFirstMonthPosition+1,$FJ202&lt;SwaptionFirstMonthPosition+1,FV$169&gt;SwaptionFirstMonthPosition+SwaptionNumOfMonths+1,$FJ202&gt;SwaptionFirstMonthPosition+SwaptionNumOfMonths+1),"",IF($FJ202=FV$169,1,IF($FJ202&lt;FV$169,INDEX($FK$170:$ID$241,FV$169,$FJ202),SUMPRODUCT(INDEX($FK$325:$ID$396,FV$169,1+SwaptionShift):INDEX($FK$325:$ID$396,FV$169,SwaptionMonthsToGo+SwaptionShift),INDEX($FK$245:$ID$316,$FJ202-FV$169,73-FV$169+SwaptionShift):INDEX($FK$245:$ID$316,$FJ202-FV$169,72-FV$169+SwaptionMonthsToGo+SwaptionShift))/SQRT(SUM(INDEX($FK357:$ID357,1+SwaptionShift):INDEX($FK357:$ID357,SwaptionMonthsToGo+SwaptionShift))*SUM(INDEX($FK$325:$ID$396,FV$169,1+SwaptionShift):INDEX($FK$325:$ID$396,FV$169,SwaptionMonthsToGo+SwaptionShift))))))</f>
        <v/>
      </c>
      <c r="FW202" s="479" t="str">
        <f ca="1">IF(OR(FW$169&lt;SwaptionFirstMonthPosition+1,$FJ202&lt;SwaptionFirstMonthPosition+1,FW$169&gt;SwaptionFirstMonthPosition+SwaptionNumOfMonths+1,$FJ202&gt;SwaptionFirstMonthPosition+SwaptionNumOfMonths+1),"",IF($FJ202=FW$169,1,IF($FJ202&lt;FW$169,INDEX($FK$170:$ID$241,FW$169,$FJ202),SUMPRODUCT(INDEX($FK$325:$ID$396,FW$169,1+SwaptionShift):INDEX($FK$325:$ID$396,FW$169,SwaptionMonthsToGo+SwaptionShift),INDEX($FK$245:$ID$316,$FJ202-FW$169,73-FW$169+SwaptionShift):INDEX($FK$245:$ID$316,$FJ202-FW$169,72-FW$169+SwaptionMonthsToGo+SwaptionShift))/SQRT(SUM(INDEX($FK357:$ID357,1+SwaptionShift):INDEX($FK357:$ID357,SwaptionMonthsToGo+SwaptionShift))*SUM(INDEX($FK$325:$ID$396,FW$169,1+SwaptionShift):INDEX($FK$325:$ID$396,FW$169,SwaptionMonthsToGo+SwaptionShift))))))</f>
        <v/>
      </c>
      <c r="FX202" s="479" t="str">
        <f ca="1">IF(OR(FX$169&lt;SwaptionFirstMonthPosition+1,$FJ202&lt;SwaptionFirstMonthPosition+1,FX$169&gt;SwaptionFirstMonthPosition+SwaptionNumOfMonths+1,$FJ202&gt;SwaptionFirstMonthPosition+SwaptionNumOfMonths+1),"",IF($FJ202=FX$169,1,IF($FJ202&lt;FX$169,INDEX($FK$170:$ID$241,FX$169,$FJ202),SUMPRODUCT(INDEX($FK$325:$ID$396,FX$169,1+SwaptionShift):INDEX($FK$325:$ID$396,FX$169,SwaptionMonthsToGo+SwaptionShift),INDEX($FK$245:$ID$316,$FJ202-FX$169,73-FX$169+SwaptionShift):INDEX($FK$245:$ID$316,$FJ202-FX$169,72-FX$169+SwaptionMonthsToGo+SwaptionShift))/SQRT(SUM(INDEX($FK357:$ID357,1+SwaptionShift):INDEX($FK357:$ID357,SwaptionMonthsToGo+SwaptionShift))*SUM(INDEX($FK$325:$ID$396,FX$169,1+SwaptionShift):INDEX($FK$325:$ID$396,FX$169,SwaptionMonthsToGo+SwaptionShift))))))</f>
        <v/>
      </c>
      <c r="FY202" s="479" t="str">
        <f ca="1">IF(OR(FY$169&lt;SwaptionFirstMonthPosition+1,$FJ202&lt;SwaptionFirstMonthPosition+1,FY$169&gt;SwaptionFirstMonthPosition+SwaptionNumOfMonths+1,$FJ202&gt;SwaptionFirstMonthPosition+SwaptionNumOfMonths+1),"",IF($FJ202=FY$169,1,IF($FJ202&lt;FY$169,INDEX($FK$170:$ID$241,FY$169,$FJ202),SUMPRODUCT(INDEX($FK$325:$ID$396,FY$169,1+SwaptionShift):INDEX($FK$325:$ID$396,FY$169,SwaptionMonthsToGo+SwaptionShift),INDEX($FK$245:$ID$316,$FJ202-FY$169,73-FY$169+SwaptionShift):INDEX($FK$245:$ID$316,$FJ202-FY$169,72-FY$169+SwaptionMonthsToGo+SwaptionShift))/SQRT(SUM(INDEX($FK357:$ID357,1+SwaptionShift):INDEX($FK357:$ID357,SwaptionMonthsToGo+SwaptionShift))*SUM(INDEX($FK$325:$ID$396,FY$169,1+SwaptionShift):INDEX($FK$325:$ID$396,FY$169,SwaptionMonthsToGo+SwaptionShift))))))</f>
        <v/>
      </c>
      <c r="FZ202" s="479" t="str">
        <f ca="1">IF(OR(FZ$169&lt;SwaptionFirstMonthPosition+1,$FJ202&lt;SwaptionFirstMonthPosition+1,FZ$169&gt;SwaptionFirstMonthPosition+SwaptionNumOfMonths+1,$FJ202&gt;SwaptionFirstMonthPosition+SwaptionNumOfMonths+1),"",IF($FJ202=FZ$169,1,IF($FJ202&lt;FZ$169,INDEX($FK$170:$ID$241,FZ$169,$FJ202),SUMPRODUCT(INDEX($FK$325:$ID$396,FZ$169,1+SwaptionShift):INDEX($FK$325:$ID$396,FZ$169,SwaptionMonthsToGo+SwaptionShift),INDEX($FK$245:$ID$316,$FJ202-FZ$169,73-FZ$169+SwaptionShift):INDEX($FK$245:$ID$316,$FJ202-FZ$169,72-FZ$169+SwaptionMonthsToGo+SwaptionShift))/SQRT(SUM(INDEX($FK357:$ID357,1+SwaptionShift):INDEX($FK357:$ID357,SwaptionMonthsToGo+SwaptionShift))*SUM(INDEX($FK$325:$ID$396,FZ$169,1+SwaptionShift):INDEX($FK$325:$ID$396,FZ$169,SwaptionMonthsToGo+SwaptionShift))))))</f>
        <v/>
      </c>
      <c r="GA202" s="479" t="str">
        <f ca="1">IF(OR(GA$169&lt;SwaptionFirstMonthPosition+1,$FJ202&lt;SwaptionFirstMonthPosition+1,GA$169&gt;SwaptionFirstMonthPosition+SwaptionNumOfMonths+1,$FJ202&gt;SwaptionFirstMonthPosition+SwaptionNumOfMonths+1),"",IF($FJ202=GA$169,1,IF($FJ202&lt;GA$169,INDEX($FK$170:$ID$241,GA$169,$FJ202),SUMPRODUCT(INDEX($FK$325:$ID$396,GA$169,1+SwaptionShift):INDEX($FK$325:$ID$396,GA$169,SwaptionMonthsToGo+SwaptionShift),INDEX($FK$245:$ID$316,$FJ202-GA$169,73-GA$169+SwaptionShift):INDEX($FK$245:$ID$316,$FJ202-GA$169,72-GA$169+SwaptionMonthsToGo+SwaptionShift))/SQRT(SUM(INDEX($FK357:$ID357,1+SwaptionShift):INDEX($FK357:$ID357,SwaptionMonthsToGo+SwaptionShift))*SUM(INDEX($FK$325:$ID$396,GA$169,1+SwaptionShift):INDEX($FK$325:$ID$396,GA$169,SwaptionMonthsToGo+SwaptionShift))))))</f>
        <v/>
      </c>
      <c r="GB202" s="479" t="str">
        <f ca="1">IF(OR(GB$169&lt;SwaptionFirstMonthPosition+1,$FJ202&lt;SwaptionFirstMonthPosition+1,GB$169&gt;SwaptionFirstMonthPosition+SwaptionNumOfMonths+1,$FJ202&gt;SwaptionFirstMonthPosition+SwaptionNumOfMonths+1),"",IF($FJ202=GB$169,1,IF($FJ202&lt;GB$169,INDEX($FK$170:$ID$241,GB$169,$FJ202),SUMPRODUCT(INDEX($FK$325:$ID$396,GB$169,1+SwaptionShift):INDEX($FK$325:$ID$396,GB$169,SwaptionMonthsToGo+SwaptionShift),INDEX($FK$245:$ID$316,$FJ202-GB$169,73-GB$169+SwaptionShift):INDEX($FK$245:$ID$316,$FJ202-GB$169,72-GB$169+SwaptionMonthsToGo+SwaptionShift))/SQRT(SUM(INDEX($FK357:$ID357,1+SwaptionShift):INDEX($FK357:$ID357,SwaptionMonthsToGo+SwaptionShift))*SUM(INDEX($FK$325:$ID$396,GB$169,1+SwaptionShift):INDEX($FK$325:$ID$396,GB$169,SwaptionMonthsToGo+SwaptionShift))))))</f>
        <v/>
      </c>
      <c r="GC202" s="479" t="str">
        <f ca="1">IF(OR(GC$169&lt;SwaptionFirstMonthPosition+1,$FJ202&lt;SwaptionFirstMonthPosition+1,GC$169&gt;SwaptionFirstMonthPosition+SwaptionNumOfMonths+1,$FJ202&gt;SwaptionFirstMonthPosition+SwaptionNumOfMonths+1),"",IF($FJ202=GC$169,1,IF($FJ202&lt;GC$169,INDEX($FK$170:$ID$241,GC$169,$FJ202),SUMPRODUCT(INDEX($FK$325:$ID$396,GC$169,1+SwaptionShift):INDEX($FK$325:$ID$396,GC$169,SwaptionMonthsToGo+SwaptionShift),INDEX($FK$245:$ID$316,$FJ202-GC$169,73-GC$169+SwaptionShift):INDEX($FK$245:$ID$316,$FJ202-GC$169,72-GC$169+SwaptionMonthsToGo+SwaptionShift))/SQRT(SUM(INDEX($FK357:$ID357,1+SwaptionShift):INDEX($FK357:$ID357,SwaptionMonthsToGo+SwaptionShift))*SUM(INDEX($FK$325:$ID$396,GC$169,1+SwaptionShift):INDEX($FK$325:$ID$396,GC$169,SwaptionMonthsToGo+SwaptionShift))))))</f>
        <v/>
      </c>
      <c r="GD202" s="479" t="str">
        <f ca="1">IF(OR(GD$169&lt;SwaptionFirstMonthPosition+1,$FJ202&lt;SwaptionFirstMonthPosition+1,GD$169&gt;SwaptionFirstMonthPosition+SwaptionNumOfMonths+1,$FJ202&gt;SwaptionFirstMonthPosition+SwaptionNumOfMonths+1),"",IF($FJ202=GD$169,1,IF($FJ202&lt;GD$169,INDEX($FK$170:$ID$241,GD$169,$FJ202),SUMPRODUCT(INDEX($FK$325:$ID$396,GD$169,1+SwaptionShift):INDEX($FK$325:$ID$396,GD$169,SwaptionMonthsToGo+SwaptionShift),INDEX($FK$245:$ID$316,$FJ202-GD$169,73-GD$169+SwaptionShift):INDEX($FK$245:$ID$316,$FJ202-GD$169,72-GD$169+SwaptionMonthsToGo+SwaptionShift))/SQRT(SUM(INDEX($FK357:$ID357,1+SwaptionShift):INDEX($FK357:$ID357,SwaptionMonthsToGo+SwaptionShift))*SUM(INDEX($FK$325:$ID$396,GD$169,1+SwaptionShift):INDEX($FK$325:$ID$396,GD$169,SwaptionMonthsToGo+SwaptionShift))))))</f>
        <v/>
      </c>
      <c r="GE202" s="479" t="str">
        <f ca="1">IF(OR(GE$169&lt;SwaptionFirstMonthPosition+1,$FJ202&lt;SwaptionFirstMonthPosition+1,GE$169&gt;SwaptionFirstMonthPosition+SwaptionNumOfMonths+1,$FJ202&gt;SwaptionFirstMonthPosition+SwaptionNumOfMonths+1),"",IF($FJ202=GE$169,1,IF($FJ202&lt;GE$169,INDEX($FK$170:$ID$241,GE$169,$FJ202),SUMPRODUCT(INDEX($FK$325:$ID$396,GE$169,1+SwaptionShift):INDEX($FK$325:$ID$396,GE$169,SwaptionMonthsToGo+SwaptionShift),INDEX($FK$245:$ID$316,$FJ202-GE$169,73-GE$169+SwaptionShift):INDEX($FK$245:$ID$316,$FJ202-GE$169,72-GE$169+SwaptionMonthsToGo+SwaptionShift))/SQRT(SUM(INDEX($FK357:$ID357,1+SwaptionShift):INDEX($FK357:$ID357,SwaptionMonthsToGo+SwaptionShift))*SUM(INDEX($FK$325:$ID$396,GE$169,1+SwaptionShift):INDEX($FK$325:$ID$396,GE$169,SwaptionMonthsToGo+SwaptionShift))))))</f>
        <v/>
      </c>
      <c r="GF202" s="479" t="str">
        <f ca="1">IF(OR(GF$169&lt;SwaptionFirstMonthPosition+1,$FJ202&lt;SwaptionFirstMonthPosition+1,GF$169&gt;SwaptionFirstMonthPosition+SwaptionNumOfMonths+1,$FJ202&gt;SwaptionFirstMonthPosition+SwaptionNumOfMonths+1),"",IF($FJ202=GF$169,1,IF($FJ202&lt;GF$169,INDEX($FK$170:$ID$241,GF$169,$FJ202),SUMPRODUCT(INDEX($FK$325:$ID$396,GF$169,1+SwaptionShift):INDEX($FK$325:$ID$396,GF$169,SwaptionMonthsToGo+SwaptionShift),INDEX($FK$245:$ID$316,$FJ202-GF$169,73-GF$169+SwaptionShift):INDEX($FK$245:$ID$316,$FJ202-GF$169,72-GF$169+SwaptionMonthsToGo+SwaptionShift))/SQRT(SUM(INDEX($FK357:$ID357,1+SwaptionShift):INDEX($FK357:$ID357,SwaptionMonthsToGo+SwaptionShift))*SUM(INDEX($FK$325:$ID$396,GF$169,1+SwaptionShift):INDEX($FK$325:$ID$396,GF$169,SwaptionMonthsToGo+SwaptionShift))))))</f>
        <v/>
      </c>
      <c r="GG202" s="479" t="str">
        <f ca="1">IF(OR(GG$169&lt;SwaptionFirstMonthPosition+1,$FJ202&lt;SwaptionFirstMonthPosition+1,GG$169&gt;SwaptionFirstMonthPosition+SwaptionNumOfMonths+1,$FJ202&gt;SwaptionFirstMonthPosition+SwaptionNumOfMonths+1),"",IF($FJ202=GG$169,1,IF($FJ202&lt;GG$169,INDEX($FK$170:$ID$241,GG$169,$FJ202),SUMPRODUCT(INDEX($FK$325:$ID$396,GG$169,1+SwaptionShift):INDEX($FK$325:$ID$396,GG$169,SwaptionMonthsToGo+SwaptionShift),INDEX($FK$245:$ID$316,$FJ202-GG$169,73-GG$169+SwaptionShift):INDEX($FK$245:$ID$316,$FJ202-GG$169,72-GG$169+SwaptionMonthsToGo+SwaptionShift))/SQRT(SUM(INDEX($FK357:$ID357,1+SwaptionShift):INDEX($FK357:$ID357,SwaptionMonthsToGo+SwaptionShift))*SUM(INDEX($FK$325:$ID$396,GG$169,1+SwaptionShift):INDEX($FK$325:$ID$396,GG$169,SwaptionMonthsToGo+SwaptionShift))))))</f>
        <v/>
      </c>
      <c r="GH202" s="479" t="str">
        <f ca="1">IF(OR(GH$169&lt;SwaptionFirstMonthPosition+1,$FJ202&lt;SwaptionFirstMonthPosition+1,GH$169&gt;SwaptionFirstMonthPosition+SwaptionNumOfMonths+1,$FJ202&gt;SwaptionFirstMonthPosition+SwaptionNumOfMonths+1),"",IF($FJ202=GH$169,1,IF($FJ202&lt;GH$169,INDEX($FK$170:$ID$241,GH$169,$FJ202),SUMPRODUCT(INDEX($FK$325:$ID$396,GH$169,1+SwaptionShift):INDEX($FK$325:$ID$396,GH$169,SwaptionMonthsToGo+SwaptionShift),INDEX($FK$245:$ID$316,$FJ202-GH$169,73-GH$169+SwaptionShift):INDEX($FK$245:$ID$316,$FJ202-GH$169,72-GH$169+SwaptionMonthsToGo+SwaptionShift))/SQRT(SUM(INDEX($FK357:$ID357,1+SwaptionShift):INDEX($FK357:$ID357,SwaptionMonthsToGo+SwaptionShift))*SUM(INDEX($FK$325:$ID$396,GH$169,1+SwaptionShift):INDEX($FK$325:$ID$396,GH$169,SwaptionMonthsToGo+SwaptionShift))))))</f>
        <v/>
      </c>
      <c r="GI202" s="479" t="str">
        <f ca="1">IF(OR(GI$169&lt;SwaptionFirstMonthPosition+1,$FJ202&lt;SwaptionFirstMonthPosition+1,GI$169&gt;SwaptionFirstMonthPosition+SwaptionNumOfMonths+1,$FJ202&gt;SwaptionFirstMonthPosition+SwaptionNumOfMonths+1),"",IF($FJ202=GI$169,1,IF($FJ202&lt;GI$169,INDEX($FK$170:$ID$241,GI$169,$FJ202),SUMPRODUCT(INDEX($FK$325:$ID$396,GI$169,1+SwaptionShift):INDEX($FK$325:$ID$396,GI$169,SwaptionMonthsToGo+SwaptionShift),INDEX($FK$245:$ID$316,$FJ202-GI$169,73-GI$169+SwaptionShift):INDEX($FK$245:$ID$316,$FJ202-GI$169,72-GI$169+SwaptionMonthsToGo+SwaptionShift))/SQRT(SUM(INDEX($FK357:$ID357,1+SwaptionShift):INDEX($FK357:$ID357,SwaptionMonthsToGo+SwaptionShift))*SUM(INDEX($FK$325:$ID$396,GI$169,1+SwaptionShift):INDEX($FK$325:$ID$396,GI$169,SwaptionMonthsToGo+SwaptionShift))))))</f>
        <v/>
      </c>
      <c r="GJ202" s="479" t="str">
        <f ca="1">IF(OR(GJ$169&lt;SwaptionFirstMonthPosition+1,$FJ202&lt;SwaptionFirstMonthPosition+1,GJ$169&gt;SwaptionFirstMonthPosition+SwaptionNumOfMonths+1,$FJ202&gt;SwaptionFirstMonthPosition+SwaptionNumOfMonths+1),"",IF($FJ202=GJ$169,1,IF($FJ202&lt;GJ$169,INDEX($FK$170:$ID$241,GJ$169,$FJ202),SUMPRODUCT(INDEX($FK$325:$ID$396,GJ$169,1+SwaptionShift):INDEX($FK$325:$ID$396,GJ$169,SwaptionMonthsToGo+SwaptionShift),INDEX($FK$245:$ID$316,$FJ202-GJ$169,73-GJ$169+SwaptionShift):INDEX($FK$245:$ID$316,$FJ202-GJ$169,72-GJ$169+SwaptionMonthsToGo+SwaptionShift))/SQRT(SUM(INDEX($FK357:$ID357,1+SwaptionShift):INDEX($FK357:$ID357,SwaptionMonthsToGo+SwaptionShift))*SUM(INDEX($FK$325:$ID$396,GJ$169,1+SwaptionShift):INDEX($FK$325:$ID$396,GJ$169,SwaptionMonthsToGo+SwaptionShift))))))</f>
        <v/>
      </c>
      <c r="GK202" s="479" t="str">
        <f ca="1">IF(OR(GK$169&lt;SwaptionFirstMonthPosition+1,$FJ202&lt;SwaptionFirstMonthPosition+1,GK$169&gt;SwaptionFirstMonthPosition+SwaptionNumOfMonths+1,$FJ202&gt;SwaptionFirstMonthPosition+SwaptionNumOfMonths+1),"",IF($FJ202=GK$169,1,IF($FJ202&lt;GK$169,INDEX($FK$170:$ID$241,GK$169,$FJ202),SUMPRODUCT(INDEX($FK$325:$ID$396,GK$169,1+SwaptionShift):INDEX($FK$325:$ID$396,GK$169,SwaptionMonthsToGo+SwaptionShift),INDEX($FK$245:$ID$316,$FJ202-GK$169,73-GK$169+SwaptionShift):INDEX($FK$245:$ID$316,$FJ202-GK$169,72-GK$169+SwaptionMonthsToGo+SwaptionShift))/SQRT(SUM(INDEX($FK357:$ID357,1+SwaptionShift):INDEX($FK357:$ID357,SwaptionMonthsToGo+SwaptionShift))*SUM(INDEX($FK$325:$ID$396,GK$169,1+SwaptionShift):INDEX($FK$325:$ID$396,GK$169,SwaptionMonthsToGo+SwaptionShift))))))</f>
        <v/>
      </c>
      <c r="GL202" s="479" t="str">
        <f ca="1">IF(OR(GL$169&lt;SwaptionFirstMonthPosition+1,$FJ202&lt;SwaptionFirstMonthPosition+1,GL$169&gt;SwaptionFirstMonthPosition+SwaptionNumOfMonths+1,$FJ202&gt;SwaptionFirstMonthPosition+SwaptionNumOfMonths+1),"",IF($FJ202=GL$169,1,IF($FJ202&lt;GL$169,INDEX($FK$170:$ID$241,GL$169,$FJ202),SUMPRODUCT(INDEX($FK$325:$ID$396,GL$169,1+SwaptionShift):INDEX($FK$325:$ID$396,GL$169,SwaptionMonthsToGo+SwaptionShift),INDEX($FK$245:$ID$316,$FJ202-GL$169,73-GL$169+SwaptionShift):INDEX($FK$245:$ID$316,$FJ202-GL$169,72-GL$169+SwaptionMonthsToGo+SwaptionShift))/SQRT(SUM(INDEX($FK357:$ID357,1+SwaptionShift):INDEX($FK357:$ID357,SwaptionMonthsToGo+SwaptionShift))*SUM(INDEX($FK$325:$ID$396,GL$169,1+SwaptionShift):INDEX($FK$325:$ID$396,GL$169,SwaptionMonthsToGo+SwaptionShift))))))</f>
        <v/>
      </c>
      <c r="GM202" s="479" t="str">
        <f ca="1">IF(OR(GM$169&lt;SwaptionFirstMonthPosition+1,$FJ202&lt;SwaptionFirstMonthPosition+1,GM$169&gt;SwaptionFirstMonthPosition+SwaptionNumOfMonths+1,$FJ202&gt;SwaptionFirstMonthPosition+SwaptionNumOfMonths+1),"",IF($FJ202=GM$169,1,IF($FJ202&lt;GM$169,INDEX($FK$170:$ID$241,GM$169,$FJ202),SUMPRODUCT(INDEX($FK$325:$ID$396,GM$169,1+SwaptionShift):INDEX($FK$325:$ID$396,GM$169,SwaptionMonthsToGo+SwaptionShift),INDEX($FK$245:$ID$316,$FJ202-GM$169,73-GM$169+SwaptionShift):INDEX($FK$245:$ID$316,$FJ202-GM$169,72-GM$169+SwaptionMonthsToGo+SwaptionShift))/SQRT(SUM(INDEX($FK357:$ID357,1+SwaptionShift):INDEX($FK357:$ID357,SwaptionMonthsToGo+SwaptionShift))*SUM(INDEX($FK$325:$ID$396,GM$169,1+SwaptionShift):INDEX($FK$325:$ID$396,GM$169,SwaptionMonthsToGo+SwaptionShift))))))</f>
        <v/>
      </c>
      <c r="GN202" s="479" t="str">
        <f ca="1">IF(OR(GN$169&lt;SwaptionFirstMonthPosition+1,$FJ202&lt;SwaptionFirstMonthPosition+1,GN$169&gt;SwaptionFirstMonthPosition+SwaptionNumOfMonths+1,$FJ202&gt;SwaptionFirstMonthPosition+SwaptionNumOfMonths+1),"",IF($FJ202=GN$169,1,IF($FJ202&lt;GN$169,INDEX($FK$170:$ID$241,GN$169,$FJ202),SUMPRODUCT(INDEX($FK$325:$ID$396,GN$169,1+SwaptionShift):INDEX($FK$325:$ID$396,GN$169,SwaptionMonthsToGo+SwaptionShift),INDEX($FK$245:$ID$316,$FJ202-GN$169,73-GN$169+SwaptionShift):INDEX($FK$245:$ID$316,$FJ202-GN$169,72-GN$169+SwaptionMonthsToGo+SwaptionShift))/SQRT(SUM(INDEX($FK357:$ID357,1+SwaptionShift):INDEX($FK357:$ID357,SwaptionMonthsToGo+SwaptionShift))*SUM(INDEX($FK$325:$ID$396,GN$169,1+SwaptionShift):INDEX($FK$325:$ID$396,GN$169,SwaptionMonthsToGo+SwaptionShift))))))</f>
        <v/>
      </c>
      <c r="GO202" s="479" t="str">
        <f ca="1">IF(OR(GO$169&lt;SwaptionFirstMonthPosition+1,$FJ202&lt;SwaptionFirstMonthPosition+1,GO$169&gt;SwaptionFirstMonthPosition+SwaptionNumOfMonths+1,$FJ202&gt;SwaptionFirstMonthPosition+SwaptionNumOfMonths+1),"",IF($FJ202=GO$169,1,IF($FJ202&lt;GO$169,INDEX($FK$170:$ID$241,GO$169,$FJ202),SUMPRODUCT(INDEX($FK$325:$ID$396,GO$169,1+SwaptionShift):INDEX($FK$325:$ID$396,GO$169,SwaptionMonthsToGo+SwaptionShift),INDEX($FK$245:$ID$316,$FJ202-GO$169,73-GO$169+SwaptionShift):INDEX($FK$245:$ID$316,$FJ202-GO$169,72-GO$169+SwaptionMonthsToGo+SwaptionShift))/SQRT(SUM(INDEX($FK357:$ID357,1+SwaptionShift):INDEX($FK357:$ID357,SwaptionMonthsToGo+SwaptionShift))*SUM(INDEX($FK$325:$ID$396,GO$169,1+SwaptionShift):INDEX($FK$325:$ID$396,GO$169,SwaptionMonthsToGo+SwaptionShift))))))</f>
        <v/>
      </c>
      <c r="GP202" s="479" t="str">
        <f ca="1">IF(OR(GP$169&lt;SwaptionFirstMonthPosition+1,$FJ202&lt;SwaptionFirstMonthPosition+1,GP$169&gt;SwaptionFirstMonthPosition+SwaptionNumOfMonths+1,$FJ202&gt;SwaptionFirstMonthPosition+SwaptionNumOfMonths+1),"",IF($FJ202=GP$169,1,IF($FJ202&lt;GP$169,INDEX($FK$170:$ID$241,GP$169,$FJ202),SUMPRODUCT(INDEX($FK$325:$ID$396,GP$169,1+SwaptionShift):INDEX($FK$325:$ID$396,GP$169,SwaptionMonthsToGo+SwaptionShift),INDEX($FK$245:$ID$316,$FJ202-GP$169,73-GP$169+SwaptionShift):INDEX($FK$245:$ID$316,$FJ202-GP$169,72-GP$169+SwaptionMonthsToGo+SwaptionShift))/SQRT(SUM(INDEX($FK357:$ID357,1+SwaptionShift):INDEX($FK357:$ID357,SwaptionMonthsToGo+SwaptionShift))*SUM(INDEX($FK$325:$ID$396,GP$169,1+SwaptionShift):INDEX($FK$325:$ID$396,GP$169,SwaptionMonthsToGo+SwaptionShift))))))</f>
        <v/>
      </c>
      <c r="GQ202" s="479" t="str">
        <f ca="1">IF(OR(GQ$169&lt;SwaptionFirstMonthPosition+1,$FJ202&lt;SwaptionFirstMonthPosition+1,GQ$169&gt;SwaptionFirstMonthPosition+SwaptionNumOfMonths+1,$FJ202&gt;SwaptionFirstMonthPosition+SwaptionNumOfMonths+1),"",IF($FJ202=GQ$169,1,IF($FJ202&lt;GQ$169,INDEX($FK$170:$ID$241,GQ$169,$FJ202),SUMPRODUCT(INDEX($FK$325:$ID$396,GQ$169,1+SwaptionShift):INDEX($FK$325:$ID$396,GQ$169,SwaptionMonthsToGo+SwaptionShift),INDEX($FK$245:$ID$316,$FJ202-GQ$169,73-GQ$169+SwaptionShift):INDEX($FK$245:$ID$316,$FJ202-GQ$169,72-GQ$169+SwaptionMonthsToGo+SwaptionShift))/SQRT(SUM(INDEX($FK357:$ID357,1+SwaptionShift):INDEX($FK357:$ID357,SwaptionMonthsToGo+SwaptionShift))*SUM(INDEX($FK$325:$ID$396,GQ$169,1+SwaptionShift):INDEX($FK$325:$ID$396,GQ$169,SwaptionMonthsToGo+SwaptionShift))))))</f>
        <v/>
      </c>
      <c r="GR202" s="479" t="str">
        <f ca="1">IF(OR(GR$169&lt;SwaptionFirstMonthPosition+1,$FJ202&lt;SwaptionFirstMonthPosition+1,GR$169&gt;SwaptionFirstMonthPosition+SwaptionNumOfMonths+1,$FJ202&gt;SwaptionFirstMonthPosition+SwaptionNumOfMonths+1),"",IF($FJ202=GR$169,1,IF($FJ202&lt;GR$169,INDEX($FK$170:$ID$241,GR$169,$FJ202),SUMPRODUCT(INDEX($FK$325:$ID$396,GR$169,1+SwaptionShift):INDEX($FK$325:$ID$396,GR$169,SwaptionMonthsToGo+SwaptionShift),INDEX($FK$245:$ID$316,$FJ202-GR$169,73-GR$169+SwaptionShift):INDEX($FK$245:$ID$316,$FJ202-GR$169,72-GR$169+SwaptionMonthsToGo+SwaptionShift))/SQRT(SUM(INDEX($FK357:$ID357,1+SwaptionShift):INDEX($FK357:$ID357,SwaptionMonthsToGo+SwaptionShift))*SUM(INDEX($FK$325:$ID$396,GR$169,1+SwaptionShift):INDEX($FK$325:$ID$396,GR$169,SwaptionMonthsToGo+SwaptionShift))))))</f>
        <v/>
      </c>
      <c r="GS202" s="479" t="str">
        <f ca="1">IF(OR(GS$169&lt;SwaptionFirstMonthPosition+1,$FJ202&lt;SwaptionFirstMonthPosition+1,GS$169&gt;SwaptionFirstMonthPosition+SwaptionNumOfMonths+1,$FJ202&gt;SwaptionFirstMonthPosition+SwaptionNumOfMonths+1),"",IF($FJ202=GS$169,1,IF($FJ202&lt;GS$169,INDEX($FK$170:$ID$241,GS$169,$FJ202),SUMPRODUCT(INDEX($FK$325:$ID$396,GS$169,1+SwaptionShift):INDEX($FK$325:$ID$396,GS$169,SwaptionMonthsToGo+SwaptionShift),INDEX($FK$245:$ID$316,$FJ202-GS$169,73-GS$169+SwaptionShift):INDEX($FK$245:$ID$316,$FJ202-GS$169,72-GS$169+SwaptionMonthsToGo+SwaptionShift))/SQRT(SUM(INDEX($FK357:$ID357,1+SwaptionShift):INDEX($FK357:$ID357,SwaptionMonthsToGo+SwaptionShift))*SUM(INDEX($FK$325:$ID$396,GS$169,1+SwaptionShift):INDEX($FK$325:$ID$396,GS$169,SwaptionMonthsToGo+SwaptionShift))))))</f>
        <v/>
      </c>
      <c r="GT202" s="479" t="str">
        <f ca="1">IF(OR(GT$169&lt;SwaptionFirstMonthPosition+1,$FJ202&lt;SwaptionFirstMonthPosition+1,GT$169&gt;SwaptionFirstMonthPosition+SwaptionNumOfMonths+1,$FJ202&gt;SwaptionFirstMonthPosition+SwaptionNumOfMonths+1),"",IF($FJ202=GT$169,1,IF($FJ202&lt;GT$169,INDEX($FK$170:$ID$241,GT$169,$FJ202),SUMPRODUCT(INDEX($FK$325:$ID$396,GT$169,1+SwaptionShift):INDEX($FK$325:$ID$396,GT$169,SwaptionMonthsToGo+SwaptionShift),INDEX($FK$245:$ID$316,$FJ202-GT$169,73-GT$169+SwaptionShift):INDEX($FK$245:$ID$316,$FJ202-GT$169,72-GT$169+SwaptionMonthsToGo+SwaptionShift))/SQRT(SUM(INDEX($FK357:$ID357,1+SwaptionShift):INDEX($FK357:$ID357,SwaptionMonthsToGo+SwaptionShift))*SUM(INDEX($FK$325:$ID$396,GT$169,1+SwaptionShift):INDEX($FK$325:$ID$396,GT$169,SwaptionMonthsToGo+SwaptionShift))))))</f>
        <v/>
      </c>
      <c r="GU202" s="479" t="str">
        <f ca="1">IF(OR(GU$169&lt;SwaptionFirstMonthPosition+1,$FJ202&lt;SwaptionFirstMonthPosition+1,GU$169&gt;SwaptionFirstMonthPosition+SwaptionNumOfMonths+1,$FJ202&gt;SwaptionFirstMonthPosition+SwaptionNumOfMonths+1),"",IF($FJ202=GU$169,1,IF($FJ202&lt;GU$169,INDEX($FK$170:$ID$241,GU$169,$FJ202),SUMPRODUCT(INDEX($FK$325:$ID$396,GU$169,1+SwaptionShift):INDEX($FK$325:$ID$396,GU$169,SwaptionMonthsToGo+SwaptionShift),INDEX($FK$245:$ID$316,$FJ202-GU$169,73-GU$169+SwaptionShift):INDEX($FK$245:$ID$316,$FJ202-GU$169,72-GU$169+SwaptionMonthsToGo+SwaptionShift))/SQRT(SUM(INDEX($FK357:$ID357,1+SwaptionShift):INDEX($FK357:$ID357,SwaptionMonthsToGo+SwaptionShift))*SUM(INDEX($FK$325:$ID$396,GU$169,1+SwaptionShift):INDEX($FK$325:$ID$396,GU$169,SwaptionMonthsToGo+SwaptionShift))))))</f>
        <v/>
      </c>
      <c r="GV202" s="479" t="str">
        <f ca="1">IF(OR(GV$169&lt;SwaptionFirstMonthPosition+1,$FJ202&lt;SwaptionFirstMonthPosition+1,GV$169&gt;SwaptionFirstMonthPosition+SwaptionNumOfMonths+1,$FJ202&gt;SwaptionFirstMonthPosition+SwaptionNumOfMonths+1),"",IF($FJ202=GV$169,1,IF($FJ202&lt;GV$169,INDEX($FK$170:$ID$241,GV$169,$FJ202),SUMPRODUCT(INDEX($FK$325:$ID$396,GV$169,1+SwaptionShift):INDEX($FK$325:$ID$396,GV$169,SwaptionMonthsToGo+SwaptionShift),INDEX($FK$245:$ID$316,$FJ202-GV$169,73-GV$169+SwaptionShift):INDEX($FK$245:$ID$316,$FJ202-GV$169,72-GV$169+SwaptionMonthsToGo+SwaptionShift))/SQRT(SUM(INDEX($FK357:$ID357,1+SwaptionShift):INDEX($FK357:$ID357,SwaptionMonthsToGo+SwaptionShift))*SUM(INDEX($FK$325:$ID$396,GV$169,1+SwaptionShift):INDEX($FK$325:$ID$396,GV$169,SwaptionMonthsToGo+SwaptionShift))))))</f>
        <v/>
      </c>
      <c r="GW202" s="479" t="str">
        <f ca="1">IF(OR(GW$169&lt;SwaptionFirstMonthPosition+1,$FJ202&lt;SwaptionFirstMonthPosition+1,GW$169&gt;SwaptionFirstMonthPosition+SwaptionNumOfMonths+1,$FJ202&gt;SwaptionFirstMonthPosition+SwaptionNumOfMonths+1),"",IF($FJ202=GW$169,1,IF($FJ202&lt;GW$169,INDEX($FK$170:$ID$241,GW$169,$FJ202),SUMPRODUCT(INDEX($FK$325:$ID$396,GW$169,1+SwaptionShift):INDEX($FK$325:$ID$396,GW$169,SwaptionMonthsToGo+SwaptionShift),INDEX($FK$245:$ID$316,$FJ202-GW$169,73-GW$169+SwaptionShift):INDEX($FK$245:$ID$316,$FJ202-GW$169,72-GW$169+SwaptionMonthsToGo+SwaptionShift))/SQRT(SUM(INDEX($FK357:$ID357,1+SwaptionShift):INDEX($FK357:$ID357,SwaptionMonthsToGo+SwaptionShift))*SUM(INDEX($FK$325:$ID$396,GW$169,1+SwaptionShift):INDEX($FK$325:$ID$396,GW$169,SwaptionMonthsToGo+SwaptionShift))))))</f>
        <v/>
      </c>
      <c r="GX202" s="479" t="str">
        <f ca="1">IF(OR(GX$169&lt;SwaptionFirstMonthPosition+1,$FJ202&lt;SwaptionFirstMonthPosition+1,GX$169&gt;SwaptionFirstMonthPosition+SwaptionNumOfMonths+1,$FJ202&gt;SwaptionFirstMonthPosition+SwaptionNumOfMonths+1),"",IF($FJ202=GX$169,1,IF($FJ202&lt;GX$169,INDEX($FK$170:$ID$241,GX$169,$FJ202),SUMPRODUCT(INDEX($FK$325:$ID$396,GX$169,1+SwaptionShift):INDEX($FK$325:$ID$396,GX$169,SwaptionMonthsToGo+SwaptionShift),INDEX($FK$245:$ID$316,$FJ202-GX$169,73-GX$169+SwaptionShift):INDEX($FK$245:$ID$316,$FJ202-GX$169,72-GX$169+SwaptionMonthsToGo+SwaptionShift))/SQRT(SUM(INDEX($FK357:$ID357,1+SwaptionShift):INDEX($FK357:$ID357,SwaptionMonthsToGo+SwaptionShift))*SUM(INDEX($FK$325:$ID$396,GX$169,1+SwaptionShift):INDEX($FK$325:$ID$396,GX$169,SwaptionMonthsToGo+SwaptionShift))))))</f>
        <v/>
      </c>
      <c r="GY202" s="479" t="str">
        <f ca="1">IF(OR(GY$169&lt;SwaptionFirstMonthPosition+1,$FJ202&lt;SwaptionFirstMonthPosition+1,GY$169&gt;SwaptionFirstMonthPosition+SwaptionNumOfMonths+1,$FJ202&gt;SwaptionFirstMonthPosition+SwaptionNumOfMonths+1),"",IF($FJ202=GY$169,1,IF($FJ202&lt;GY$169,INDEX($FK$170:$ID$241,GY$169,$FJ202),SUMPRODUCT(INDEX($FK$325:$ID$396,GY$169,1+SwaptionShift):INDEX($FK$325:$ID$396,GY$169,SwaptionMonthsToGo+SwaptionShift),INDEX($FK$245:$ID$316,$FJ202-GY$169,73-GY$169+SwaptionShift):INDEX($FK$245:$ID$316,$FJ202-GY$169,72-GY$169+SwaptionMonthsToGo+SwaptionShift))/SQRT(SUM(INDEX($FK357:$ID357,1+SwaptionShift):INDEX($FK357:$ID357,SwaptionMonthsToGo+SwaptionShift))*SUM(INDEX($FK$325:$ID$396,GY$169,1+SwaptionShift):INDEX($FK$325:$ID$396,GY$169,SwaptionMonthsToGo+SwaptionShift))))))</f>
        <v/>
      </c>
      <c r="GZ202" s="479" t="str">
        <f ca="1">IF(OR(GZ$169&lt;SwaptionFirstMonthPosition+1,$FJ202&lt;SwaptionFirstMonthPosition+1,GZ$169&gt;SwaptionFirstMonthPosition+SwaptionNumOfMonths+1,$FJ202&gt;SwaptionFirstMonthPosition+SwaptionNumOfMonths+1),"",IF($FJ202=GZ$169,1,IF($FJ202&lt;GZ$169,INDEX($FK$170:$ID$241,GZ$169,$FJ202),SUMPRODUCT(INDEX($FK$325:$ID$396,GZ$169,1+SwaptionShift):INDEX($FK$325:$ID$396,GZ$169,SwaptionMonthsToGo+SwaptionShift),INDEX($FK$245:$ID$316,$FJ202-GZ$169,73-GZ$169+SwaptionShift):INDEX($FK$245:$ID$316,$FJ202-GZ$169,72-GZ$169+SwaptionMonthsToGo+SwaptionShift))/SQRT(SUM(INDEX($FK357:$ID357,1+SwaptionShift):INDEX($FK357:$ID357,SwaptionMonthsToGo+SwaptionShift))*SUM(INDEX($FK$325:$ID$396,GZ$169,1+SwaptionShift):INDEX($FK$325:$ID$396,GZ$169,SwaptionMonthsToGo+SwaptionShift))))))</f>
        <v/>
      </c>
      <c r="HA202" s="479" t="str">
        <f ca="1">IF(OR(HA$169&lt;SwaptionFirstMonthPosition+1,$FJ202&lt;SwaptionFirstMonthPosition+1,HA$169&gt;SwaptionFirstMonthPosition+SwaptionNumOfMonths+1,$FJ202&gt;SwaptionFirstMonthPosition+SwaptionNumOfMonths+1),"",IF($FJ202=HA$169,1,IF($FJ202&lt;HA$169,INDEX($FK$170:$ID$241,HA$169,$FJ202),SUMPRODUCT(INDEX($FK$325:$ID$396,HA$169,1+SwaptionShift):INDEX($FK$325:$ID$396,HA$169,SwaptionMonthsToGo+SwaptionShift),INDEX($FK$245:$ID$316,$FJ202-HA$169,73-HA$169+SwaptionShift):INDEX($FK$245:$ID$316,$FJ202-HA$169,72-HA$169+SwaptionMonthsToGo+SwaptionShift))/SQRT(SUM(INDEX($FK357:$ID357,1+SwaptionShift):INDEX($FK357:$ID357,SwaptionMonthsToGo+SwaptionShift))*SUM(INDEX($FK$325:$ID$396,HA$169,1+SwaptionShift):INDEX($FK$325:$ID$396,HA$169,SwaptionMonthsToGo+SwaptionShift))))))</f>
        <v/>
      </c>
      <c r="HB202" s="479" t="str">
        <f ca="1">IF(OR(HB$169&lt;SwaptionFirstMonthPosition+1,$FJ202&lt;SwaptionFirstMonthPosition+1,HB$169&gt;SwaptionFirstMonthPosition+SwaptionNumOfMonths+1,$FJ202&gt;SwaptionFirstMonthPosition+SwaptionNumOfMonths+1),"",IF($FJ202=HB$169,1,IF($FJ202&lt;HB$169,INDEX($FK$170:$ID$241,HB$169,$FJ202),SUMPRODUCT(INDEX($FK$325:$ID$396,HB$169,1+SwaptionShift):INDEX($FK$325:$ID$396,HB$169,SwaptionMonthsToGo+SwaptionShift),INDEX($FK$245:$ID$316,$FJ202-HB$169,73-HB$169+SwaptionShift):INDEX($FK$245:$ID$316,$FJ202-HB$169,72-HB$169+SwaptionMonthsToGo+SwaptionShift))/SQRT(SUM(INDEX($FK357:$ID357,1+SwaptionShift):INDEX($FK357:$ID357,SwaptionMonthsToGo+SwaptionShift))*SUM(INDEX($FK$325:$ID$396,HB$169,1+SwaptionShift):INDEX($FK$325:$ID$396,HB$169,SwaptionMonthsToGo+SwaptionShift))))))</f>
        <v/>
      </c>
      <c r="HC202" s="479" t="str">
        <f ca="1">IF(OR(HC$169&lt;SwaptionFirstMonthPosition+1,$FJ202&lt;SwaptionFirstMonthPosition+1,HC$169&gt;SwaptionFirstMonthPosition+SwaptionNumOfMonths+1,$FJ202&gt;SwaptionFirstMonthPosition+SwaptionNumOfMonths+1),"",IF($FJ202=HC$169,1,IF($FJ202&lt;HC$169,INDEX($FK$170:$ID$241,HC$169,$FJ202),SUMPRODUCT(INDEX($FK$325:$ID$396,HC$169,1+SwaptionShift):INDEX($FK$325:$ID$396,HC$169,SwaptionMonthsToGo+SwaptionShift),INDEX($FK$245:$ID$316,$FJ202-HC$169,73-HC$169+SwaptionShift):INDEX($FK$245:$ID$316,$FJ202-HC$169,72-HC$169+SwaptionMonthsToGo+SwaptionShift))/SQRT(SUM(INDEX($FK357:$ID357,1+SwaptionShift):INDEX($FK357:$ID357,SwaptionMonthsToGo+SwaptionShift))*SUM(INDEX($FK$325:$ID$396,HC$169,1+SwaptionShift):INDEX($FK$325:$ID$396,HC$169,SwaptionMonthsToGo+SwaptionShift))))))</f>
        <v/>
      </c>
      <c r="HD202" s="479" t="str">
        <f ca="1">IF(OR(HD$169&lt;SwaptionFirstMonthPosition+1,$FJ202&lt;SwaptionFirstMonthPosition+1,HD$169&gt;SwaptionFirstMonthPosition+SwaptionNumOfMonths+1,$FJ202&gt;SwaptionFirstMonthPosition+SwaptionNumOfMonths+1),"",IF($FJ202=HD$169,1,IF($FJ202&lt;HD$169,INDEX($FK$170:$ID$241,HD$169,$FJ202),SUMPRODUCT(INDEX($FK$325:$ID$396,HD$169,1+SwaptionShift):INDEX($FK$325:$ID$396,HD$169,SwaptionMonthsToGo+SwaptionShift),INDEX($FK$245:$ID$316,$FJ202-HD$169,73-HD$169+SwaptionShift):INDEX($FK$245:$ID$316,$FJ202-HD$169,72-HD$169+SwaptionMonthsToGo+SwaptionShift))/SQRT(SUM(INDEX($FK357:$ID357,1+SwaptionShift):INDEX($FK357:$ID357,SwaptionMonthsToGo+SwaptionShift))*SUM(INDEX($FK$325:$ID$396,HD$169,1+SwaptionShift):INDEX($FK$325:$ID$396,HD$169,SwaptionMonthsToGo+SwaptionShift))))))</f>
        <v/>
      </c>
      <c r="HE202" s="479" t="str">
        <f ca="1">IF(OR(HE$169&lt;SwaptionFirstMonthPosition+1,$FJ202&lt;SwaptionFirstMonthPosition+1,HE$169&gt;SwaptionFirstMonthPosition+SwaptionNumOfMonths+1,$FJ202&gt;SwaptionFirstMonthPosition+SwaptionNumOfMonths+1),"",IF($FJ202=HE$169,1,IF($FJ202&lt;HE$169,INDEX($FK$170:$ID$241,HE$169,$FJ202),SUMPRODUCT(INDEX($FK$325:$ID$396,HE$169,1+SwaptionShift):INDEX($FK$325:$ID$396,HE$169,SwaptionMonthsToGo+SwaptionShift),INDEX($FK$245:$ID$316,$FJ202-HE$169,73-HE$169+SwaptionShift):INDEX($FK$245:$ID$316,$FJ202-HE$169,72-HE$169+SwaptionMonthsToGo+SwaptionShift))/SQRT(SUM(INDEX($FK357:$ID357,1+SwaptionShift):INDEX($FK357:$ID357,SwaptionMonthsToGo+SwaptionShift))*SUM(INDEX($FK$325:$ID$396,HE$169,1+SwaptionShift):INDEX($FK$325:$ID$396,HE$169,SwaptionMonthsToGo+SwaptionShift))))))</f>
        <v/>
      </c>
      <c r="HF202" s="479" t="str">
        <f ca="1">IF(OR(HF$169&lt;SwaptionFirstMonthPosition+1,$FJ202&lt;SwaptionFirstMonthPosition+1,HF$169&gt;SwaptionFirstMonthPosition+SwaptionNumOfMonths+1,$FJ202&gt;SwaptionFirstMonthPosition+SwaptionNumOfMonths+1),"",IF($FJ202=HF$169,1,IF($FJ202&lt;HF$169,INDEX($FK$170:$ID$241,HF$169,$FJ202),SUMPRODUCT(INDEX($FK$325:$ID$396,HF$169,1+SwaptionShift):INDEX($FK$325:$ID$396,HF$169,SwaptionMonthsToGo+SwaptionShift),INDEX($FK$245:$ID$316,$FJ202-HF$169,73-HF$169+SwaptionShift):INDEX($FK$245:$ID$316,$FJ202-HF$169,72-HF$169+SwaptionMonthsToGo+SwaptionShift))/SQRT(SUM(INDEX($FK357:$ID357,1+SwaptionShift):INDEX($FK357:$ID357,SwaptionMonthsToGo+SwaptionShift))*SUM(INDEX($FK$325:$ID$396,HF$169,1+SwaptionShift):INDEX($FK$325:$ID$396,HF$169,SwaptionMonthsToGo+SwaptionShift))))))</f>
        <v/>
      </c>
      <c r="HG202" s="479" t="str">
        <f ca="1">IF(OR(HG$169&lt;SwaptionFirstMonthPosition+1,$FJ202&lt;SwaptionFirstMonthPosition+1,HG$169&gt;SwaptionFirstMonthPosition+SwaptionNumOfMonths+1,$FJ202&gt;SwaptionFirstMonthPosition+SwaptionNumOfMonths+1),"",IF($FJ202=HG$169,1,IF($FJ202&lt;HG$169,INDEX($FK$170:$ID$241,HG$169,$FJ202),SUMPRODUCT(INDEX($FK$325:$ID$396,HG$169,1+SwaptionShift):INDEX($FK$325:$ID$396,HG$169,SwaptionMonthsToGo+SwaptionShift),INDEX($FK$245:$ID$316,$FJ202-HG$169,73-HG$169+SwaptionShift):INDEX($FK$245:$ID$316,$FJ202-HG$169,72-HG$169+SwaptionMonthsToGo+SwaptionShift))/SQRT(SUM(INDEX($FK357:$ID357,1+SwaptionShift):INDEX($FK357:$ID357,SwaptionMonthsToGo+SwaptionShift))*SUM(INDEX($FK$325:$ID$396,HG$169,1+SwaptionShift):INDEX($FK$325:$ID$396,HG$169,SwaptionMonthsToGo+SwaptionShift))))))</f>
        <v/>
      </c>
      <c r="HH202" s="479" t="str">
        <f ca="1">IF(OR(HH$169&lt;SwaptionFirstMonthPosition+1,$FJ202&lt;SwaptionFirstMonthPosition+1,HH$169&gt;SwaptionFirstMonthPosition+SwaptionNumOfMonths+1,$FJ202&gt;SwaptionFirstMonthPosition+SwaptionNumOfMonths+1),"",IF($FJ202=HH$169,1,IF($FJ202&lt;HH$169,INDEX($FK$170:$ID$241,HH$169,$FJ202),SUMPRODUCT(INDEX($FK$325:$ID$396,HH$169,1+SwaptionShift):INDEX($FK$325:$ID$396,HH$169,SwaptionMonthsToGo+SwaptionShift),INDEX($FK$245:$ID$316,$FJ202-HH$169,73-HH$169+SwaptionShift):INDEX($FK$245:$ID$316,$FJ202-HH$169,72-HH$169+SwaptionMonthsToGo+SwaptionShift))/SQRT(SUM(INDEX($FK357:$ID357,1+SwaptionShift):INDEX($FK357:$ID357,SwaptionMonthsToGo+SwaptionShift))*SUM(INDEX($FK$325:$ID$396,HH$169,1+SwaptionShift):INDEX($FK$325:$ID$396,HH$169,SwaptionMonthsToGo+SwaptionShift))))))</f>
        <v/>
      </c>
      <c r="HI202" s="479" t="str">
        <f ca="1">IF(OR(HI$169&lt;SwaptionFirstMonthPosition+1,$FJ202&lt;SwaptionFirstMonthPosition+1,HI$169&gt;SwaptionFirstMonthPosition+SwaptionNumOfMonths+1,$FJ202&gt;SwaptionFirstMonthPosition+SwaptionNumOfMonths+1),"",IF($FJ202=HI$169,1,IF($FJ202&lt;HI$169,INDEX($FK$170:$ID$241,HI$169,$FJ202),SUMPRODUCT(INDEX($FK$325:$ID$396,HI$169,1+SwaptionShift):INDEX($FK$325:$ID$396,HI$169,SwaptionMonthsToGo+SwaptionShift),INDEX($FK$245:$ID$316,$FJ202-HI$169,73-HI$169+SwaptionShift):INDEX($FK$245:$ID$316,$FJ202-HI$169,72-HI$169+SwaptionMonthsToGo+SwaptionShift))/SQRT(SUM(INDEX($FK357:$ID357,1+SwaptionShift):INDEX($FK357:$ID357,SwaptionMonthsToGo+SwaptionShift))*SUM(INDEX($FK$325:$ID$396,HI$169,1+SwaptionShift):INDEX($FK$325:$ID$396,HI$169,SwaptionMonthsToGo+SwaptionShift))))))</f>
        <v/>
      </c>
      <c r="HJ202" s="479" t="str">
        <f ca="1">IF(OR(HJ$169&lt;SwaptionFirstMonthPosition+1,$FJ202&lt;SwaptionFirstMonthPosition+1,HJ$169&gt;SwaptionFirstMonthPosition+SwaptionNumOfMonths+1,$FJ202&gt;SwaptionFirstMonthPosition+SwaptionNumOfMonths+1),"",IF($FJ202=HJ$169,1,IF($FJ202&lt;HJ$169,INDEX($FK$170:$ID$241,HJ$169,$FJ202),SUMPRODUCT(INDEX($FK$325:$ID$396,HJ$169,1+SwaptionShift):INDEX($FK$325:$ID$396,HJ$169,SwaptionMonthsToGo+SwaptionShift),INDEX($FK$245:$ID$316,$FJ202-HJ$169,73-HJ$169+SwaptionShift):INDEX($FK$245:$ID$316,$FJ202-HJ$169,72-HJ$169+SwaptionMonthsToGo+SwaptionShift))/SQRT(SUM(INDEX($FK357:$ID357,1+SwaptionShift):INDEX($FK357:$ID357,SwaptionMonthsToGo+SwaptionShift))*SUM(INDEX($FK$325:$ID$396,HJ$169,1+SwaptionShift):INDEX($FK$325:$ID$396,HJ$169,SwaptionMonthsToGo+SwaptionShift))))))</f>
        <v/>
      </c>
      <c r="HK202" s="479" t="str">
        <f ca="1">IF(OR(HK$169&lt;SwaptionFirstMonthPosition+1,$FJ202&lt;SwaptionFirstMonthPosition+1,HK$169&gt;SwaptionFirstMonthPosition+SwaptionNumOfMonths+1,$FJ202&gt;SwaptionFirstMonthPosition+SwaptionNumOfMonths+1),"",IF($FJ202=HK$169,1,IF($FJ202&lt;HK$169,INDEX($FK$170:$ID$241,HK$169,$FJ202),SUMPRODUCT(INDEX($FK$325:$ID$396,HK$169,1+SwaptionShift):INDEX($FK$325:$ID$396,HK$169,SwaptionMonthsToGo+SwaptionShift),INDEX($FK$245:$ID$316,$FJ202-HK$169,73-HK$169+SwaptionShift):INDEX($FK$245:$ID$316,$FJ202-HK$169,72-HK$169+SwaptionMonthsToGo+SwaptionShift))/SQRT(SUM(INDEX($FK357:$ID357,1+SwaptionShift):INDEX($FK357:$ID357,SwaptionMonthsToGo+SwaptionShift))*SUM(INDEX($FK$325:$ID$396,HK$169,1+SwaptionShift):INDEX($FK$325:$ID$396,HK$169,SwaptionMonthsToGo+SwaptionShift))))))</f>
        <v/>
      </c>
      <c r="HL202" s="479" t="str">
        <f ca="1">IF(OR(HL$169&lt;SwaptionFirstMonthPosition+1,$FJ202&lt;SwaptionFirstMonthPosition+1,HL$169&gt;SwaptionFirstMonthPosition+SwaptionNumOfMonths+1,$FJ202&gt;SwaptionFirstMonthPosition+SwaptionNumOfMonths+1),"",IF($FJ202=HL$169,1,IF($FJ202&lt;HL$169,INDEX($FK$170:$ID$241,HL$169,$FJ202),SUMPRODUCT(INDEX($FK$325:$ID$396,HL$169,1+SwaptionShift):INDEX($FK$325:$ID$396,HL$169,SwaptionMonthsToGo+SwaptionShift),INDEX($FK$245:$ID$316,$FJ202-HL$169,73-HL$169+SwaptionShift):INDEX($FK$245:$ID$316,$FJ202-HL$169,72-HL$169+SwaptionMonthsToGo+SwaptionShift))/SQRT(SUM(INDEX($FK357:$ID357,1+SwaptionShift):INDEX($FK357:$ID357,SwaptionMonthsToGo+SwaptionShift))*SUM(INDEX($FK$325:$ID$396,HL$169,1+SwaptionShift):INDEX($FK$325:$ID$396,HL$169,SwaptionMonthsToGo+SwaptionShift))))))</f>
        <v/>
      </c>
      <c r="HM202" s="479" t="str">
        <f ca="1">IF(OR(HM$169&lt;SwaptionFirstMonthPosition+1,$FJ202&lt;SwaptionFirstMonthPosition+1,HM$169&gt;SwaptionFirstMonthPosition+SwaptionNumOfMonths+1,$FJ202&gt;SwaptionFirstMonthPosition+SwaptionNumOfMonths+1),"",IF($FJ202=HM$169,1,IF($FJ202&lt;HM$169,INDEX($FK$170:$ID$241,HM$169,$FJ202),SUMPRODUCT(INDEX($FK$325:$ID$396,HM$169,1+SwaptionShift):INDEX($FK$325:$ID$396,HM$169,SwaptionMonthsToGo+SwaptionShift),INDEX($FK$245:$ID$316,$FJ202-HM$169,73-HM$169+SwaptionShift):INDEX($FK$245:$ID$316,$FJ202-HM$169,72-HM$169+SwaptionMonthsToGo+SwaptionShift))/SQRT(SUM(INDEX($FK357:$ID357,1+SwaptionShift):INDEX($FK357:$ID357,SwaptionMonthsToGo+SwaptionShift))*SUM(INDEX($FK$325:$ID$396,HM$169,1+SwaptionShift):INDEX($FK$325:$ID$396,HM$169,SwaptionMonthsToGo+SwaptionShift))))))</f>
        <v/>
      </c>
      <c r="HN202" s="479" t="str">
        <f ca="1">IF(OR(HN$169&lt;SwaptionFirstMonthPosition+1,$FJ202&lt;SwaptionFirstMonthPosition+1,HN$169&gt;SwaptionFirstMonthPosition+SwaptionNumOfMonths+1,$FJ202&gt;SwaptionFirstMonthPosition+SwaptionNumOfMonths+1),"",IF($FJ202=HN$169,1,IF($FJ202&lt;HN$169,INDEX($FK$170:$ID$241,HN$169,$FJ202),SUMPRODUCT(INDEX($FK$325:$ID$396,HN$169,1+SwaptionShift):INDEX($FK$325:$ID$396,HN$169,SwaptionMonthsToGo+SwaptionShift),INDEX($FK$245:$ID$316,$FJ202-HN$169,73-HN$169+SwaptionShift):INDEX($FK$245:$ID$316,$FJ202-HN$169,72-HN$169+SwaptionMonthsToGo+SwaptionShift))/SQRT(SUM(INDEX($FK357:$ID357,1+SwaptionShift):INDEX($FK357:$ID357,SwaptionMonthsToGo+SwaptionShift))*SUM(INDEX($FK$325:$ID$396,HN$169,1+SwaptionShift):INDEX($FK$325:$ID$396,HN$169,SwaptionMonthsToGo+SwaptionShift))))))</f>
        <v/>
      </c>
      <c r="HO202" s="479" t="str">
        <f ca="1">IF(OR(HO$169&lt;SwaptionFirstMonthPosition+1,$FJ202&lt;SwaptionFirstMonthPosition+1,HO$169&gt;SwaptionFirstMonthPosition+SwaptionNumOfMonths+1,$FJ202&gt;SwaptionFirstMonthPosition+SwaptionNumOfMonths+1),"",IF($FJ202=HO$169,1,IF($FJ202&lt;HO$169,INDEX($FK$170:$ID$241,HO$169,$FJ202),SUMPRODUCT(INDEX($FK$325:$ID$396,HO$169,1+SwaptionShift):INDEX($FK$325:$ID$396,HO$169,SwaptionMonthsToGo+SwaptionShift),INDEX($FK$245:$ID$316,$FJ202-HO$169,73-HO$169+SwaptionShift):INDEX($FK$245:$ID$316,$FJ202-HO$169,72-HO$169+SwaptionMonthsToGo+SwaptionShift))/SQRT(SUM(INDEX($FK357:$ID357,1+SwaptionShift):INDEX($FK357:$ID357,SwaptionMonthsToGo+SwaptionShift))*SUM(INDEX($FK$325:$ID$396,HO$169,1+SwaptionShift):INDEX($FK$325:$ID$396,HO$169,SwaptionMonthsToGo+SwaptionShift))))))</f>
        <v/>
      </c>
      <c r="HP202" s="479" t="str">
        <f ca="1">IF(OR(HP$169&lt;SwaptionFirstMonthPosition+1,$FJ202&lt;SwaptionFirstMonthPosition+1,HP$169&gt;SwaptionFirstMonthPosition+SwaptionNumOfMonths+1,$FJ202&gt;SwaptionFirstMonthPosition+SwaptionNumOfMonths+1),"",IF($FJ202=HP$169,1,IF($FJ202&lt;HP$169,INDEX($FK$170:$ID$241,HP$169,$FJ202),SUMPRODUCT(INDEX($FK$325:$ID$396,HP$169,1+SwaptionShift):INDEX($FK$325:$ID$396,HP$169,SwaptionMonthsToGo+SwaptionShift),INDEX($FK$245:$ID$316,$FJ202-HP$169,73-HP$169+SwaptionShift):INDEX($FK$245:$ID$316,$FJ202-HP$169,72-HP$169+SwaptionMonthsToGo+SwaptionShift))/SQRT(SUM(INDEX($FK357:$ID357,1+SwaptionShift):INDEX($FK357:$ID357,SwaptionMonthsToGo+SwaptionShift))*SUM(INDEX($FK$325:$ID$396,HP$169,1+SwaptionShift):INDEX($FK$325:$ID$396,HP$169,SwaptionMonthsToGo+SwaptionShift))))))</f>
        <v/>
      </c>
      <c r="HQ202" s="479" t="str">
        <f ca="1">IF(OR(HQ$169&lt;SwaptionFirstMonthPosition+1,$FJ202&lt;SwaptionFirstMonthPosition+1,HQ$169&gt;SwaptionFirstMonthPosition+SwaptionNumOfMonths+1,$FJ202&gt;SwaptionFirstMonthPosition+SwaptionNumOfMonths+1),"",IF($FJ202=HQ$169,1,IF($FJ202&lt;HQ$169,INDEX($FK$170:$ID$241,HQ$169,$FJ202),SUMPRODUCT(INDEX($FK$325:$ID$396,HQ$169,1+SwaptionShift):INDEX($FK$325:$ID$396,HQ$169,SwaptionMonthsToGo+SwaptionShift),INDEX($FK$245:$ID$316,$FJ202-HQ$169,73-HQ$169+SwaptionShift):INDEX($FK$245:$ID$316,$FJ202-HQ$169,72-HQ$169+SwaptionMonthsToGo+SwaptionShift))/SQRT(SUM(INDEX($FK357:$ID357,1+SwaptionShift):INDEX($FK357:$ID357,SwaptionMonthsToGo+SwaptionShift))*SUM(INDEX($FK$325:$ID$396,HQ$169,1+SwaptionShift):INDEX($FK$325:$ID$396,HQ$169,SwaptionMonthsToGo+SwaptionShift))))))</f>
        <v/>
      </c>
      <c r="HR202" s="479" t="str">
        <f ca="1">IF(OR(HR$169&lt;SwaptionFirstMonthPosition+1,$FJ202&lt;SwaptionFirstMonthPosition+1,HR$169&gt;SwaptionFirstMonthPosition+SwaptionNumOfMonths+1,$FJ202&gt;SwaptionFirstMonthPosition+SwaptionNumOfMonths+1),"",IF($FJ202=HR$169,1,IF($FJ202&lt;HR$169,INDEX($FK$170:$ID$241,HR$169,$FJ202),SUMPRODUCT(INDEX($FK$325:$ID$396,HR$169,1+SwaptionShift):INDEX($FK$325:$ID$396,HR$169,SwaptionMonthsToGo+SwaptionShift),INDEX($FK$245:$ID$316,$FJ202-HR$169,73-HR$169+SwaptionShift):INDEX($FK$245:$ID$316,$FJ202-HR$169,72-HR$169+SwaptionMonthsToGo+SwaptionShift))/SQRT(SUM(INDEX($FK357:$ID357,1+SwaptionShift):INDEX($FK357:$ID357,SwaptionMonthsToGo+SwaptionShift))*SUM(INDEX($FK$325:$ID$396,HR$169,1+SwaptionShift):INDEX($FK$325:$ID$396,HR$169,SwaptionMonthsToGo+SwaptionShift))))))</f>
        <v/>
      </c>
      <c r="HS202" s="479" t="str">
        <f ca="1">IF(OR(HS$169&lt;SwaptionFirstMonthPosition+1,$FJ202&lt;SwaptionFirstMonthPosition+1,HS$169&gt;SwaptionFirstMonthPosition+SwaptionNumOfMonths+1,$FJ202&gt;SwaptionFirstMonthPosition+SwaptionNumOfMonths+1),"",IF($FJ202=HS$169,1,IF($FJ202&lt;HS$169,INDEX($FK$170:$ID$241,HS$169,$FJ202),SUMPRODUCT(INDEX($FK$325:$ID$396,HS$169,1+SwaptionShift):INDEX($FK$325:$ID$396,HS$169,SwaptionMonthsToGo+SwaptionShift),INDEX($FK$245:$ID$316,$FJ202-HS$169,73-HS$169+SwaptionShift):INDEX($FK$245:$ID$316,$FJ202-HS$169,72-HS$169+SwaptionMonthsToGo+SwaptionShift))/SQRT(SUM(INDEX($FK357:$ID357,1+SwaptionShift):INDEX($FK357:$ID357,SwaptionMonthsToGo+SwaptionShift))*SUM(INDEX($FK$325:$ID$396,HS$169,1+SwaptionShift):INDEX($FK$325:$ID$396,HS$169,SwaptionMonthsToGo+SwaptionShift))))))</f>
        <v/>
      </c>
      <c r="HT202" s="479" t="str">
        <f ca="1">IF(OR(HT$169&lt;SwaptionFirstMonthPosition+1,$FJ202&lt;SwaptionFirstMonthPosition+1,HT$169&gt;SwaptionFirstMonthPosition+SwaptionNumOfMonths+1,$FJ202&gt;SwaptionFirstMonthPosition+SwaptionNumOfMonths+1),"",IF($FJ202=HT$169,1,IF($FJ202&lt;HT$169,INDEX($FK$170:$ID$241,HT$169,$FJ202),SUMPRODUCT(INDEX($FK$325:$ID$396,HT$169,1+SwaptionShift):INDEX($FK$325:$ID$396,HT$169,SwaptionMonthsToGo+SwaptionShift),INDEX($FK$245:$ID$316,$FJ202-HT$169,73-HT$169+SwaptionShift):INDEX($FK$245:$ID$316,$FJ202-HT$169,72-HT$169+SwaptionMonthsToGo+SwaptionShift))/SQRT(SUM(INDEX($FK357:$ID357,1+SwaptionShift):INDEX($FK357:$ID357,SwaptionMonthsToGo+SwaptionShift))*SUM(INDEX($FK$325:$ID$396,HT$169,1+SwaptionShift):INDEX($FK$325:$ID$396,HT$169,SwaptionMonthsToGo+SwaptionShift))))))</f>
        <v/>
      </c>
      <c r="HU202" s="479" t="str">
        <f ca="1">IF(OR(HU$169&lt;SwaptionFirstMonthPosition+1,$FJ202&lt;SwaptionFirstMonthPosition+1,HU$169&gt;SwaptionFirstMonthPosition+SwaptionNumOfMonths+1,$FJ202&gt;SwaptionFirstMonthPosition+SwaptionNumOfMonths+1),"",IF($FJ202=HU$169,1,IF($FJ202&lt;HU$169,INDEX($FK$170:$ID$241,HU$169,$FJ202),SUMPRODUCT(INDEX($FK$325:$ID$396,HU$169,1+SwaptionShift):INDEX($FK$325:$ID$396,HU$169,SwaptionMonthsToGo+SwaptionShift),INDEX($FK$245:$ID$316,$FJ202-HU$169,73-HU$169+SwaptionShift):INDEX($FK$245:$ID$316,$FJ202-HU$169,72-HU$169+SwaptionMonthsToGo+SwaptionShift))/SQRT(SUM(INDEX($FK357:$ID357,1+SwaptionShift):INDEX($FK357:$ID357,SwaptionMonthsToGo+SwaptionShift))*SUM(INDEX($FK$325:$ID$396,HU$169,1+SwaptionShift):INDEX($FK$325:$ID$396,HU$169,SwaptionMonthsToGo+SwaptionShift))))))</f>
        <v/>
      </c>
      <c r="HV202" s="479" t="str">
        <f ca="1">IF(OR(HV$169&lt;SwaptionFirstMonthPosition+1,$FJ202&lt;SwaptionFirstMonthPosition+1,HV$169&gt;SwaptionFirstMonthPosition+SwaptionNumOfMonths+1,$FJ202&gt;SwaptionFirstMonthPosition+SwaptionNumOfMonths+1),"",IF($FJ202=HV$169,1,IF($FJ202&lt;HV$169,INDEX($FK$170:$ID$241,HV$169,$FJ202),SUMPRODUCT(INDEX($FK$325:$ID$396,HV$169,1+SwaptionShift):INDEX($FK$325:$ID$396,HV$169,SwaptionMonthsToGo+SwaptionShift),INDEX($FK$245:$ID$316,$FJ202-HV$169,73-HV$169+SwaptionShift):INDEX($FK$245:$ID$316,$FJ202-HV$169,72-HV$169+SwaptionMonthsToGo+SwaptionShift))/SQRT(SUM(INDEX($FK357:$ID357,1+SwaptionShift):INDEX($FK357:$ID357,SwaptionMonthsToGo+SwaptionShift))*SUM(INDEX($FK$325:$ID$396,HV$169,1+SwaptionShift):INDEX($FK$325:$ID$396,HV$169,SwaptionMonthsToGo+SwaptionShift))))))</f>
        <v/>
      </c>
      <c r="HW202" s="479" t="str">
        <f ca="1">IF(OR(HW$169&lt;SwaptionFirstMonthPosition+1,$FJ202&lt;SwaptionFirstMonthPosition+1,HW$169&gt;SwaptionFirstMonthPosition+SwaptionNumOfMonths+1,$FJ202&gt;SwaptionFirstMonthPosition+SwaptionNumOfMonths+1),"",IF($FJ202=HW$169,1,IF($FJ202&lt;HW$169,INDEX($FK$170:$ID$241,HW$169,$FJ202),SUMPRODUCT(INDEX($FK$325:$ID$396,HW$169,1+SwaptionShift):INDEX($FK$325:$ID$396,HW$169,SwaptionMonthsToGo+SwaptionShift),INDEX($FK$245:$ID$316,$FJ202-HW$169,73-HW$169+SwaptionShift):INDEX($FK$245:$ID$316,$FJ202-HW$169,72-HW$169+SwaptionMonthsToGo+SwaptionShift))/SQRT(SUM(INDEX($FK357:$ID357,1+SwaptionShift):INDEX($FK357:$ID357,SwaptionMonthsToGo+SwaptionShift))*SUM(INDEX($FK$325:$ID$396,HW$169,1+SwaptionShift):INDEX($FK$325:$ID$396,HW$169,SwaptionMonthsToGo+SwaptionShift))))))</f>
        <v/>
      </c>
      <c r="HX202" s="479" t="str">
        <f ca="1">IF(OR(HX$169&lt;SwaptionFirstMonthPosition+1,$FJ202&lt;SwaptionFirstMonthPosition+1,HX$169&gt;SwaptionFirstMonthPosition+SwaptionNumOfMonths+1,$FJ202&gt;SwaptionFirstMonthPosition+SwaptionNumOfMonths+1),"",IF($FJ202=HX$169,1,IF($FJ202&lt;HX$169,INDEX($FK$170:$ID$241,HX$169,$FJ202),SUMPRODUCT(INDEX($FK$325:$ID$396,HX$169,1+SwaptionShift):INDEX($FK$325:$ID$396,HX$169,SwaptionMonthsToGo+SwaptionShift),INDEX($FK$245:$ID$316,$FJ202-HX$169,73-HX$169+SwaptionShift):INDEX($FK$245:$ID$316,$FJ202-HX$169,72-HX$169+SwaptionMonthsToGo+SwaptionShift))/SQRT(SUM(INDEX($FK357:$ID357,1+SwaptionShift):INDEX($FK357:$ID357,SwaptionMonthsToGo+SwaptionShift))*SUM(INDEX($FK$325:$ID$396,HX$169,1+SwaptionShift):INDEX($FK$325:$ID$396,HX$169,SwaptionMonthsToGo+SwaptionShift))))))</f>
        <v/>
      </c>
      <c r="HY202" s="479" t="str">
        <f ca="1">IF(OR(HY$169&lt;SwaptionFirstMonthPosition+1,$FJ202&lt;SwaptionFirstMonthPosition+1,HY$169&gt;SwaptionFirstMonthPosition+SwaptionNumOfMonths+1,$FJ202&gt;SwaptionFirstMonthPosition+SwaptionNumOfMonths+1),"",IF($FJ202=HY$169,1,IF($FJ202&lt;HY$169,INDEX($FK$170:$ID$241,HY$169,$FJ202),SUMPRODUCT(INDEX($FK$325:$ID$396,HY$169,1+SwaptionShift):INDEX($FK$325:$ID$396,HY$169,SwaptionMonthsToGo+SwaptionShift),INDEX($FK$245:$ID$316,$FJ202-HY$169,73-HY$169+SwaptionShift):INDEX($FK$245:$ID$316,$FJ202-HY$169,72-HY$169+SwaptionMonthsToGo+SwaptionShift))/SQRT(SUM(INDEX($FK357:$ID357,1+SwaptionShift):INDEX($FK357:$ID357,SwaptionMonthsToGo+SwaptionShift))*SUM(INDEX($FK$325:$ID$396,HY$169,1+SwaptionShift):INDEX($FK$325:$ID$396,HY$169,SwaptionMonthsToGo+SwaptionShift))))))</f>
        <v/>
      </c>
      <c r="HZ202" s="479" t="str">
        <f ca="1">IF(OR(HZ$169&lt;SwaptionFirstMonthPosition+1,$FJ202&lt;SwaptionFirstMonthPosition+1,HZ$169&gt;SwaptionFirstMonthPosition+SwaptionNumOfMonths+1,$FJ202&gt;SwaptionFirstMonthPosition+SwaptionNumOfMonths+1),"",IF($FJ202=HZ$169,1,IF($FJ202&lt;HZ$169,INDEX($FK$170:$ID$241,HZ$169,$FJ202),SUMPRODUCT(INDEX($FK$325:$ID$396,HZ$169,1+SwaptionShift):INDEX($FK$325:$ID$396,HZ$169,SwaptionMonthsToGo+SwaptionShift),INDEX($FK$245:$ID$316,$FJ202-HZ$169,73-HZ$169+SwaptionShift):INDEX($FK$245:$ID$316,$FJ202-HZ$169,72-HZ$169+SwaptionMonthsToGo+SwaptionShift))/SQRT(SUM(INDEX($FK357:$ID357,1+SwaptionShift):INDEX($FK357:$ID357,SwaptionMonthsToGo+SwaptionShift))*SUM(INDEX($FK$325:$ID$396,HZ$169,1+SwaptionShift):INDEX($FK$325:$ID$396,HZ$169,SwaptionMonthsToGo+SwaptionShift))))))</f>
        <v/>
      </c>
      <c r="IA202" s="479" t="str">
        <f ca="1">IF(OR(IA$169&lt;SwaptionFirstMonthPosition+1,$FJ202&lt;SwaptionFirstMonthPosition+1,IA$169&gt;SwaptionFirstMonthPosition+SwaptionNumOfMonths+1,$FJ202&gt;SwaptionFirstMonthPosition+SwaptionNumOfMonths+1),"",IF($FJ202=IA$169,1,IF($FJ202&lt;IA$169,INDEX($FK$170:$ID$241,IA$169,$FJ202),SUMPRODUCT(INDEX($FK$325:$ID$396,IA$169,1+SwaptionShift):INDEX($FK$325:$ID$396,IA$169,SwaptionMonthsToGo+SwaptionShift),INDEX($FK$245:$ID$316,$FJ202-IA$169,73-IA$169+SwaptionShift):INDEX($FK$245:$ID$316,$FJ202-IA$169,72-IA$169+SwaptionMonthsToGo+SwaptionShift))/SQRT(SUM(INDEX($FK357:$ID357,1+SwaptionShift):INDEX($FK357:$ID357,SwaptionMonthsToGo+SwaptionShift))*SUM(INDEX($FK$325:$ID$396,IA$169,1+SwaptionShift):INDEX($FK$325:$ID$396,IA$169,SwaptionMonthsToGo+SwaptionShift))))))</f>
        <v/>
      </c>
      <c r="IB202" s="479" t="str">
        <f ca="1">IF(OR(IB$169&lt;SwaptionFirstMonthPosition+1,$FJ202&lt;SwaptionFirstMonthPosition+1,IB$169&gt;SwaptionFirstMonthPosition+SwaptionNumOfMonths+1,$FJ202&gt;SwaptionFirstMonthPosition+SwaptionNumOfMonths+1),"",IF($FJ202=IB$169,1,IF($FJ202&lt;IB$169,INDEX($FK$170:$ID$241,IB$169,$FJ202),SUMPRODUCT(INDEX($FK$325:$ID$396,IB$169,1+SwaptionShift):INDEX($FK$325:$ID$396,IB$169,SwaptionMonthsToGo+SwaptionShift),INDEX($FK$245:$ID$316,$FJ202-IB$169,73-IB$169+SwaptionShift):INDEX($FK$245:$ID$316,$FJ202-IB$169,72-IB$169+SwaptionMonthsToGo+SwaptionShift))/SQRT(SUM(INDEX($FK357:$ID357,1+SwaptionShift):INDEX($FK357:$ID357,SwaptionMonthsToGo+SwaptionShift))*SUM(INDEX($FK$325:$ID$396,IB$169,1+SwaptionShift):INDEX($FK$325:$ID$396,IB$169,SwaptionMonthsToGo+SwaptionShift))))))</f>
        <v/>
      </c>
      <c r="IC202" s="479" t="str">
        <f ca="1">IF(OR(IC$169&lt;SwaptionFirstMonthPosition+1,$FJ202&lt;SwaptionFirstMonthPosition+1,IC$169&gt;SwaptionFirstMonthPosition+SwaptionNumOfMonths+1,$FJ202&gt;SwaptionFirstMonthPosition+SwaptionNumOfMonths+1),"",IF($FJ202=IC$169,1,IF($FJ202&lt;IC$169,INDEX($FK$170:$ID$241,IC$169,$FJ202),SUMPRODUCT(INDEX($FK$325:$ID$396,IC$169,1+SwaptionShift):INDEX($FK$325:$ID$396,IC$169,SwaptionMonthsToGo+SwaptionShift),INDEX($FK$245:$ID$316,$FJ202-IC$169,73-IC$169+SwaptionShift):INDEX($FK$245:$ID$316,$FJ202-IC$169,72-IC$169+SwaptionMonthsToGo+SwaptionShift))/SQRT(SUM(INDEX($FK357:$ID357,1+SwaptionShift):INDEX($FK357:$ID357,SwaptionMonthsToGo+SwaptionShift))*SUM(INDEX($FK$325:$ID$396,IC$169,1+SwaptionShift):INDEX($FK$325:$ID$396,IC$169,SwaptionMonthsToGo+SwaptionShift))))))</f>
        <v/>
      </c>
      <c r="ID202" s="678" t="str">
        <f ca="1">IF(OR(ID$169&lt;SwaptionFirstMonthPosition+1,$FJ202&lt;SwaptionFirstMonthPosition+1,ID$169&gt;SwaptionFirstMonthPosition+SwaptionNumOfMonths+1,$FJ202&gt;SwaptionFirstMonthPosition+SwaptionNumOfMonths+1),"",IF($FJ202=ID$169,1,IF($FJ202&lt;ID$169,INDEX($FK$170:$ID$241,ID$169,$FJ202),SUMPRODUCT(INDEX($FK$325:$ID$396,ID$169,1+SwaptionShift):INDEX($FK$325:$ID$396,ID$169,SwaptionMonthsToGo+SwaptionShift),INDEX($FK$245:$ID$316,$FJ202-ID$169,73-ID$169+SwaptionShift):INDEX($FK$245:$ID$316,$FJ202-ID$169,72-ID$169+SwaptionMonthsToGo+SwaptionShift))/SQRT(SUM(INDEX($FK357:$ID357,1+SwaptionShift):INDEX($FK357:$ID357,SwaptionMonthsToGo+SwaptionShift))*SUM(INDEX($FK$325:$ID$396,ID$169,1+SwaptionShift):INDEX($FK$325:$ID$396,ID$169,SwaptionMonthsToGo+SwaptionShift))))))</f>
        <v/>
      </c>
      <c r="IE202" s="250"/>
    </row>
    <row r="203" spans="8:239">
      <c r="H203" s="51">
        <f t="shared" ca="1" si="527"/>
        <v>0</v>
      </c>
      <c r="I203" s="379">
        <f t="shared" si="528"/>
        <v>42339</v>
      </c>
      <c r="J203" s="377"/>
      <c r="K203" s="104" t="s">
        <v>268</v>
      </c>
      <c r="L203" s="392">
        <f t="shared" si="529"/>
        <v>4.0125000000000064</v>
      </c>
      <c r="M203" s="171"/>
      <c r="N203" s="382">
        <v>0</v>
      </c>
      <c r="O203" s="171">
        <f t="shared" si="596"/>
        <v>0</v>
      </c>
      <c r="P203" s="377"/>
      <c r="Q203" s="104" t="s">
        <v>268</v>
      </c>
      <c r="R203" s="377">
        <f t="shared" ca="1" si="597"/>
        <v>2.8181681254132109</v>
      </c>
      <c r="S203" s="832">
        <f t="shared" si="564"/>
        <v>0.3600000000000001</v>
      </c>
      <c r="T203" s="831">
        <f t="shared" si="548"/>
        <v>0.99999999999996014</v>
      </c>
      <c r="U203" s="545">
        <f t="shared" si="549"/>
        <v>0.99999999999999978</v>
      </c>
      <c r="V203" s="389">
        <v>0</v>
      </c>
      <c r="W203" s="434">
        <f t="shared" si="598"/>
        <v>0</v>
      </c>
      <c r="X203" s="415">
        <f t="shared" si="599"/>
        <v>4.0636363636363697</v>
      </c>
      <c r="Y203" s="322">
        <f t="shared" si="600"/>
        <v>-1.1931</v>
      </c>
      <c r="Z203" s="322">
        <f t="shared" ca="1" si="601"/>
        <v>2.8705363636363694</v>
      </c>
      <c r="AA203" s="429">
        <f t="shared" si="495"/>
        <v>1.1931</v>
      </c>
      <c r="AB203" s="433">
        <f t="shared" ca="1" si="496"/>
        <v>1.1931</v>
      </c>
      <c r="AC203" s="229">
        <v>42328</v>
      </c>
      <c r="AD203" s="229">
        <v>42324</v>
      </c>
      <c r="AE203" s="229">
        <v>42323</v>
      </c>
      <c r="AF203" s="229">
        <v>42319</v>
      </c>
      <c r="AG203" s="249" t="s">
        <v>499</v>
      </c>
      <c r="AH203" s="247" t="s">
        <v>499</v>
      </c>
      <c r="AI203" s="146">
        <v>22</v>
      </c>
      <c r="AJ203" s="41">
        <v>14</v>
      </c>
      <c r="AK203" s="41">
        <v>8</v>
      </c>
      <c r="AL203" s="293">
        <v>22</v>
      </c>
      <c r="AM203" s="41">
        <v>10</v>
      </c>
      <c r="AN203" s="147">
        <v>12</v>
      </c>
      <c r="AO203" s="374"/>
      <c r="AP203" s="153">
        <f t="shared" ca="1" si="530"/>
        <v>1</v>
      </c>
      <c r="AQ203" s="374"/>
      <c r="AR203" s="153">
        <f t="shared" ca="1" si="550"/>
        <v>1</v>
      </c>
      <c r="AS203" s="272">
        <f t="shared" si="602"/>
        <v>0</v>
      </c>
      <c r="AT203" s="157">
        <f t="shared" si="531"/>
        <v>0</v>
      </c>
      <c r="AU203" s="157">
        <f t="shared" si="498"/>
        <v>0</v>
      </c>
      <c r="AV203" s="271">
        <f t="shared" ca="1" si="558"/>
        <v>9.9999999999999995E-7</v>
      </c>
      <c r="AW203" s="158" t="str">
        <f t="shared" ca="1" si="583"/>
        <v/>
      </c>
      <c r="AX203" s="157">
        <f t="shared" ca="1" si="551"/>
        <v>5.2842380190997899E-5</v>
      </c>
      <c r="AY203" s="157">
        <f t="shared" ca="1" si="552"/>
        <v>1.2071321542161635E-5</v>
      </c>
      <c r="AZ203" s="157">
        <f t="shared" ca="1" si="553"/>
        <v>3.7506920718090376E-7</v>
      </c>
      <c r="BA203" s="157">
        <f t="shared" ca="1" si="554"/>
        <v>4.688365089761297E-8</v>
      </c>
      <c r="BB203" s="157">
        <f t="shared" ca="1" si="555"/>
        <v>2.0645364212279237E-10</v>
      </c>
      <c r="BC203" s="157">
        <f t="shared" ca="1" si="556"/>
        <v>4.3961534429779927E-12</v>
      </c>
      <c r="BD203" s="151">
        <f t="shared" ca="1" si="603"/>
        <v>0</v>
      </c>
      <c r="BE203" s="152">
        <f t="shared" ca="1" si="604"/>
        <v>0</v>
      </c>
      <c r="BF203" s="40">
        <f t="shared" si="605"/>
        <v>2015</v>
      </c>
      <c r="BG203" s="144">
        <f t="shared" si="606"/>
        <v>12</v>
      </c>
      <c r="BH203" s="145">
        <f t="shared" ca="1" si="607"/>
        <v>5579</v>
      </c>
      <c r="BI203" s="313">
        <f t="shared" ca="1" si="608"/>
        <v>15.315537303216974</v>
      </c>
      <c r="BJ203" s="42">
        <f t="shared" ca="1" si="505"/>
        <v>15.367805363698588</v>
      </c>
      <c r="BK203" s="42">
        <f t="shared" ca="1" si="506"/>
        <v>15.370543214485721</v>
      </c>
      <c r="BL203" s="42">
        <f t="shared" ca="1" si="609"/>
        <v>15.397672826830938</v>
      </c>
      <c r="BM203" s="150" t="e">
        <f t="shared" ca="1" si="507"/>
        <v>#DIV/0!</v>
      </c>
      <c r="BN203" s="42" t="e">
        <f t="shared" ca="1" si="508"/>
        <v>#DIV/0!</v>
      </c>
      <c r="BO203" s="293">
        <f t="shared" si="610"/>
        <v>22</v>
      </c>
      <c r="BP203" s="41">
        <f t="shared" si="611"/>
        <v>14</v>
      </c>
      <c r="BQ203" s="41">
        <f t="shared" si="612"/>
        <v>8</v>
      </c>
      <c r="BR203" s="305" t="str">
        <f t="shared" ca="1" si="509"/>
        <v/>
      </c>
      <c r="BS203" s="305" t="str">
        <f t="shared" ca="1" si="613"/>
        <v/>
      </c>
      <c r="BT203" s="307" t="str">
        <f t="shared" ca="1" si="614"/>
        <v/>
      </c>
      <c r="BU203" s="161" t="str">
        <f t="shared" ca="1" si="510"/>
        <v/>
      </c>
      <c r="BV203" s="161" t="str">
        <f t="shared" ca="1" si="511"/>
        <v/>
      </c>
      <c r="BW203" s="308" t="str">
        <f t="shared" ca="1" si="512"/>
        <v/>
      </c>
      <c r="BX203" s="309" t="str">
        <f t="shared" ca="1" si="513"/>
        <v/>
      </c>
      <c r="BY203" s="308" t="str">
        <f t="shared" ca="1" si="615"/>
        <v/>
      </c>
      <c r="BZ203" s="309" t="str">
        <f t="shared" ca="1" si="616"/>
        <v/>
      </c>
      <c r="CA203" s="154" t="str">
        <f t="shared" ca="1" si="514"/>
        <v/>
      </c>
      <c r="CB203" s="154" t="str">
        <f t="shared" ca="1" si="515"/>
        <v/>
      </c>
      <c r="CC203" s="154" t="str">
        <f t="shared" ca="1" si="516"/>
        <v/>
      </c>
      <c r="CD203" s="154" t="str">
        <f t="shared" ca="1" si="517"/>
        <v/>
      </c>
      <c r="CE203" s="310">
        <v>1</v>
      </c>
      <c r="CF203" s="162">
        <f ca="1">IF(BD203,_xll.xCrudeAPO(BU203,BV203,CA203,CB203,S204,S205,BI203,BL203,BP203,BQ203,0,Strike1,AO203,CE203,0,BL203,IF(OptControl=4,0,1),0,1),0)</f>
        <v>0</v>
      </c>
      <c r="CG203" s="163">
        <f ca="1">IF(BD203,_xll.xCrudeAPO(BU203,BV203,CA203,CB203,S204,S205,BI203,BL203,BP203,BQ203,0,Strike1,AO203,CE203,0,BL203,IF(OptControl=4,0,1),1,1)+_xll.xCrudeAPO(BU203,BV203,CA203,CB203,S204,S205,BI203,BL203,BP203,BQ203,0,Strike1,AO203,CE203,0,BL203,IF(OptControl=4,0,1),1,2)+IF(OR(VolSkewFlag=2,ABS(BS203)&lt;0.0001),0,IF(BS203&gt;0,-1,1)*CH203*Strike1/BR203^2*BY203/10%),0)</f>
        <v>0</v>
      </c>
      <c r="CH203" s="163">
        <f ca="1">IF(BD203,(_xll.xCrudeAPO(BU203,BV203,CA203,CB203,S204,S205,BI203,BL203,BP203,BQ203,0,Strike1,AO203,CE203,0,BL203,IF(OptControl=4,0,1),3,1)+_xll.xCrudeAPO(BU203,BV203,CA203,CB203,S204,S205,BI203,BL203,BP203,BQ203,0,Strike1,AO203,CE203,0,BL203,IF(OptControl=4,0,1),3,2))/100,0)</f>
        <v>0</v>
      </c>
      <c r="CI203" s="163">
        <f ca="1">IF(BD203,_xll.xCrudeAPO(BU203,BV203,CA203,CB203,S204,S205,BI203-DaysForThetaCalculation/365.25,BL203-DaysForThetaCalculation/365.25,BP203,BQ203,0,Strike1,AO203,CE203,0,BL203,IF(OptControl=4,0,1),0,1)-_xll.xCrudeAPO(BU203,BV203,CA203,CB203,S204,S205,BI203,BL203,BP203,BQ203,0,Strike1,AO203,CE203,0,BL203,IF(OptControl=4,0,1),0,1),0)</f>
        <v>0</v>
      </c>
      <c r="CJ203" s="311">
        <f ca="1">IF(BD203,_xll.xCrudeAPO(BU203,BV203,CC203,CD203,S204,S205,BI203,BL203,BP203,BQ203,0,Strike2,AO203,CE203,0,BL203,IF(OptControl=3,1,0),0,1),0)</f>
        <v>0</v>
      </c>
      <c r="CK203" s="163">
        <f ca="1">IF(BD203,_xll.xCrudeAPO(BU203,BV203,CC203,CD203,S204,S205,BI203,BL203,BP203,BQ203,0,Strike2,AO203,CE203,0,BL203,IF(OptControl=3,1,0),1,1)+_xll.xCrudeAPO(BU203,BV203,CC203,CD203,S204,S205,BI203,BL203,BP203,BQ203,0,Strike2,AO203,CE203,0,BL203,IF(OptControl=3,1,0),1,2)+IF(OR(VolSkewFlag=2,ABS(BT203)&lt;0.0001),0,IF(BT203&gt;0,-1,1)*CL203*Strike2/BR203^2*BZ203/10%),0)</f>
        <v>0</v>
      </c>
      <c r="CL203" s="163">
        <f ca="1">IF(BD203,(_xll.xCrudeAPO(BU203,BV203,CC203,CD203,S204,S205,BI203,BL203,BP203,BQ203,0,Strike2,AO203,CE203,0,BL203,IF(OptControl=3,1,0),3,1)+_xll.xCrudeAPO(BU203,BV203,CC203,CD203,S204,S205,BI203,BL203,BP203,BQ203,0,Strike2,AO203,CE203,0,BL203,IF(OptControl=3,1,0),3,2))/100,0)</f>
        <v>0</v>
      </c>
      <c r="CM203" s="164">
        <f ca="1">IF(BD203,_xll.xCrudeAPO(BU203,BV203,CC203,CD203,S204,S205,BI203-DaysForThetaCalculation/365.25,BL203-DaysForThetaCalculation/365.25,BP203,BQ203,0,Strike2,AO203,CE203,0,BL203,IF(OptControl=3,1,0),0,1)-_xll.xCrudeAPO(BU203,BV203,CC203,CD203,S204,S205,BI203,BL203,BP203,BQ203,0,Strike2,AO203,CE203,0,BL203,IF(OptControl=3,1,0),0,1),0)</f>
        <v>0</v>
      </c>
      <c r="CN203" s="53"/>
      <c r="CO203" s="796" t="str">
        <f t="shared" ca="1" si="532"/>
        <v/>
      </c>
      <c r="CP203" s="800" t="str">
        <f t="shared" ca="1" si="533"/>
        <v/>
      </c>
      <c r="CQ203" s="797" t="str">
        <f t="shared" ca="1" si="534"/>
        <v/>
      </c>
      <c r="CR203" s="797" t="str">
        <f t="shared" ca="1" si="535"/>
        <v/>
      </c>
      <c r="CS203" s="797" t="str">
        <f t="shared" ca="1" si="536"/>
        <v/>
      </c>
      <c r="CT203" s="797" t="str">
        <f t="shared" ca="1" si="537"/>
        <v/>
      </c>
      <c r="CU203" s="798" t="str">
        <f t="shared" ca="1" si="538"/>
        <v/>
      </c>
      <c r="CV203" s="799" t="str">
        <f t="shared" ca="1" si="539"/>
        <v/>
      </c>
      <c r="CW203" s="799" t="str">
        <f t="shared" ca="1" si="540"/>
        <v/>
      </c>
      <c r="CX203" s="163">
        <f ca="1">IF(BD203,_xll.EURO(CP203,Strike1,AO203,AO203,CV203,CO203,IF(OptControl=4,0,1),0),0)</f>
        <v>0</v>
      </c>
      <c r="CY203" s="163">
        <f ca="1">IF(BD203,_xll.EURO(CP203,Strike1,AO203,AO203,CV203,CO203,IF(OptControl=4,0,1),1)+IF(OR(VolSkewFlag=2,ABS(CQ203)&lt;0.0001),0,IF(CQ203&gt;0,-1,1)*CZ203*100*Strike1/CP203^2*CS203/10%),0)</f>
        <v>0</v>
      </c>
      <c r="CZ203" s="163">
        <f ca="1">IF(BD203,_xll.EURO(CP203,Strike1,AO203,AO203,CV203,CO203,IF(OptControl=4,0,1),3)/100,0)</f>
        <v>0</v>
      </c>
      <c r="DA203" s="163">
        <f ca="1">IF(BD203,_xll.EURO(CP203,Strike1,AO203,AO203,CV203,CO203,IF(OptControl=4,0,1),0)-_xll.EURO(CP203,Strike1,AO203,AO203,CV203,CO203-1,IF(OptControl=4,0,1),0),0)</f>
        <v>0</v>
      </c>
      <c r="DB203" s="163">
        <f ca="1">IF(BD203,_xll.EURO(CP203,Strike2,AO203,AO203,CW203,CO203,IF(OptControl=3,1,0),0),0)</f>
        <v>0</v>
      </c>
      <c r="DC203" s="163">
        <f ca="1">IF(BD203,_xll.EURO(CP203,Strike2,AO203,AO203,CW203,CO203,IF(OptControl=3,1,0),1)+IF(OR(VolSkewFlag=2,ABS(CR203)&lt;0.0001),0,IF(CR203&gt;0,-1,1)*DD203*100*Strike2/CP203^2*CT203/10%),0)</f>
        <v>0</v>
      </c>
      <c r="DD203" s="163">
        <f ca="1">IF(BD203,_xll.EURO(CP203,Strike2,AO203,AO203,CW203,CO203,IF(OptControl=3,1,0),3)/100,0)</f>
        <v>0</v>
      </c>
      <c r="DE203" s="164">
        <f ca="1">IF(BD203,_xll.EURO(CP203,Strike2,AO203,AO203,CW203,CO203,IF(OptControl=3,1,0),0)-_xll.EURO(CP203,Strike2,AO203,AO203,CW203,CO203-1,IF(OptControl=3,1,0),0),0)</f>
        <v>0</v>
      </c>
      <c r="DG203" s="667">
        <f t="shared" ca="1" si="541"/>
        <v>42125</v>
      </c>
      <c r="DH203" s="475">
        <v>23.310000000000077</v>
      </c>
      <c r="DI203" s="665">
        <v>23.376666666666747</v>
      </c>
      <c r="DJ203" s="666">
        <f t="shared" ca="1" si="617"/>
        <v>42125</v>
      </c>
      <c r="DK203" s="475">
        <v>22.146976915253202</v>
      </c>
      <c r="DL203" s="665">
        <v>22.085166666666748</v>
      </c>
      <c r="DM203" s="667">
        <f t="shared" ca="1" si="618"/>
        <v>42125</v>
      </c>
      <c r="DN203" s="668">
        <f t="shared" si="619"/>
        <v>22.196976915253202</v>
      </c>
      <c r="DO203" s="667">
        <f t="shared" ca="1" si="620"/>
        <v>42125</v>
      </c>
      <c r="DP203" s="579">
        <f t="shared" si="621"/>
        <v>22.085166666666748</v>
      </c>
      <c r="DQ203" s="821">
        <v>0</v>
      </c>
      <c r="DR203" s="666">
        <f t="shared" ca="1" si="622"/>
        <v>42125</v>
      </c>
      <c r="DS203" s="669">
        <v>0.11479999999999803</v>
      </c>
      <c r="DT203" s="606">
        <v>0.11399999999999802</v>
      </c>
      <c r="DU203" s="666">
        <f t="shared" ca="1" si="623"/>
        <v>42125</v>
      </c>
      <c r="DV203" s="669">
        <v>0.11479999999999803</v>
      </c>
      <c r="DW203" s="606">
        <v>0.11399999999999802</v>
      </c>
      <c r="DX203" s="667">
        <f t="shared" ca="1" si="624"/>
        <v>42125</v>
      </c>
      <c r="DY203" s="606">
        <v>0.35</v>
      </c>
      <c r="DZ203" s="667">
        <f t="shared" ca="1" si="625"/>
        <v>42125</v>
      </c>
      <c r="EA203" s="606">
        <f t="shared" si="626"/>
        <v>0.11399999999999802</v>
      </c>
      <c r="EB203" s="1"/>
      <c r="EC203" s="118" t="str">
        <f t="shared" ca="1" si="627"/>
        <v/>
      </c>
      <c r="ED203" s="119" t="str">
        <f t="shared" ca="1" si="525"/>
        <v/>
      </c>
      <c r="EE203" s="112" t="str">
        <f t="shared" ca="1" si="526"/>
        <v/>
      </c>
      <c r="EF203" s="120">
        <f ca="1">IF(BD203,_xll.xASN(BR203,Strike1,AO203,ED203,0,BO203,0,BI203,BL203,IF(OptControl=4,0,1),0),0)</f>
        <v>0</v>
      </c>
      <c r="EG203" s="111">
        <f ca="1">IF(BD203,_xll.xASN(BR203,Strike2,AO203,EE203,0,BO203,0,BI203,BL203,IF(OptControl=3,1,0),0),0)</f>
        <v>0</v>
      </c>
      <c r="EL203" s="55"/>
      <c r="EM203" s="1"/>
      <c r="EN203" s="106"/>
      <c r="EO203" s="106"/>
      <c r="EP203" s="1"/>
      <c r="EQ203" s="683" t="s">
        <v>417</v>
      </c>
      <c r="ES203" s="455"/>
      <c r="ET203" s="36"/>
      <c r="EU203" s="107"/>
      <c r="EV203" s="475"/>
      <c r="EW203" s="456"/>
      <c r="EX203" s="456"/>
      <c r="EY203" s="250"/>
      <c r="EZ203" s="250"/>
      <c r="FA203" s="250"/>
      <c r="FB203" s="250"/>
      <c r="FC203" s="250"/>
      <c r="FD203" s="250"/>
      <c r="FE203" s="250"/>
      <c r="FF203" s="250"/>
      <c r="FG203" s="250"/>
      <c r="FH203" s="250"/>
      <c r="FI203" s="250"/>
      <c r="FJ203" s="673">
        <v>34</v>
      </c>
      <c r="FK203" s="479" t="str">
        <f ca="1">IF(OR(FK$169&lt;SwaptionFirstMonthPosition+1,$FJ203&lt;SwaptionFirstMonthPosition+1,FK$169&gt;SwaptionFirstMonthPosition+SwaptionNumOfMonths+1,$FJ203&gt;SwaptionFirstMonthPosition+SwaptionNumOfMonths+1),"",IF($FJ203=FK$169,1,IF($FJ203&lt;FK$169,INDEX($FK$170:$ID$241,FK$169,$FJ203),SUMPRODUCT(INDEX($FK$325:$ID$396,FK$169,1+SwaptionShift):INDEX($FK$325:$ID$396,FK$169,SwaptionMonthsToGo+SwaptionShift),INDEX($FK$245:$ID$316,$FJ203-FK$169,73-FK$169+SwaptionShift):INDEX($FK$245:$ID$316,$FJ203-FK$169,72-FK$169+SwaptionMonthsToGo+SwaptionShift))/SQRT(SUM(INDEX($FK358:$ID358,1+SwaptionShift):INDEX($FK358:$ID358,SwaptionMonthsToGo+SwaptionShift))*SUM(INDEX($FK$325:$ID$396,FK$169,1+SwaptionShift):INDEX($FK$325:$ID$396,FK$169,SwaptionMonthsToGo+SwaptionShift))))))</f>
        <v/>
      </c>
      <c r="FL203" s="479" t="str">
        <f ca="1">IF(OR(FL$169&lt;SwaptionFirstMonthPosition+1,$FJ203&lt;SwaptionFirstMonthPosition+1,FL$169&gt;SwaptionFirstMonthPosition+SwaptionNumOfMonths+1,$FJ203&gt;SwaptionFirstMonthPosition+SwaptionNumOfMonths+1),"",IF($FJ203=FL$169,1,IF($FJ203&lt;FL$169,INDEX($FK$170:$ID$241,FL$169,$FJ203),SUMPRODUCT(INDEX($FK$325:$ID$396,FL$169,1+SwaptionShift):INDEX($FK$325:$ID$396,FL$169,SwaptionMonthsToGo+SwaptionShift),INDEX($FK$245:$ID$316,$FJ203-FL$169,73-FL$169+SwaptionShift):INDEX($FK$245:$ID$316,$FJ203-FL$169,72-FL$169+SwaptionMonthsToGo+SwaptionShift))/SQRT(SUM(INDEX($FK358:$ID358,1+SwaptionShift):INDEX($FK358:$ID358,SwaptionMonthsToGo+SwaptionShift))*SUM(INDEX($FK$325:$ID$396,FL$169,1+SwaptionShift):INDEX($FK$325:$ID$396,FL$169,SwaptionMonthsToGo+SwaptionShift))))))</f>
        <v/>
      </c>
      <c r="FM203" s="479" t="str">
        <f ca="1">IF(OR(FM$169&lt;SwaptionFirstMonthPosition+1,$FJ203&lt;SwaptionFirstMonthPosition+1,FM$169&gt;SwaptionFirstMonthPosition+SwaptionNumOfMonths+1,$FJ203&gt;SwaptionFirstMonthPosition+SwaptionNumOfMonths+1),"",IF($FJ203=FM$169,1,IF($FJ203&lt;FM$169,INDEX($FK$170:$ID$241,FM$169,$FJ203),SUMPRODUCT(INDEX($FK$325:$ID$396,FM$169,1+SwaptionShift):INDEX($FK$325:$ID$396,FM$169,SwaptionMonthsToGo+SwaptionShift),INDEX($FK$245:$ID$316,$FJ203-FM$169,73-FM$169+SwaptionShift):INDEX($FK$245:$ID$316,$FJ203-FM$169,72-FM$169+SwaptionMonthsToGo+SwaptionShift))/SQRT(SUM(INDEX($FK358:$ID358,1+SwaptionShift):INDEX($FK358:$ID358,SwaptionMonthsToGo+SwaptionShift))*SUM(INDEX($FK$325:$ID$396,FM$169,1+SwaptionShift):INDEX($FK$325:$ID$396,FM$169,SwaptionMonthsToGo+SwaptionShift))))))</f>
        <v/>
      </c>
      <c r="FN203" s="479" t="str">
        <f ca="1">IF(OR(FN$169&lt;SwaptionFirstMonthPosition+1,$FJ203&lt;SwaptionFirstMonthPosition+1,FN$169&gt;SwaptionFirstMonthPosition+SwaptionNumOfMonths+1,$FJ203&gt;SwaptionFirstMonthPosition+SwaptionNumOfMonths+1),"",IF($FJ203=FN$169,1,IF($FJ203&lt;FN$169,INDEX($FK$170:$ID$241,FN$169,$FJ203),SUMPRODUCT(INDEX($FK$325:$ID$396,FN$169,1+SwaptionShift):INDEX($FK$325:$ID$396,FN$169,SwaptionMonthsToGo+SwaptionShift),INDEX($FK$245:$ID$316,$FJ203-FN$169,73-FN$169+SwaptionShift):INDEX($FK$245:$ID$316,$FJ203-FN$169,72-FN$169+SwaptionMonthsToGo+SwaptionShift))/SQRT(SUM(INDEX($FK358:$ID358,1+SwaptionShift):INDEX($FK358:$ID358,SwaptionMonthsToGo+SwaptionShift))*SUM(INDEX($FK$325:$ID$396,FN$169,1+SwaptionShift):INDEX($FK$325:$ID$396,FN$169,SwaptionMonthsToGo+SwaptionShift))))))</f>
        <v/>
      </c>
      <c r="FO203" s="479" t="str">
        <f ca="1">IF(OR(FO$169&lt;SwaptionFirstMonthPosition+1,$FJ203&lt;SwaptionFirstMonthPosition+1,FO$169&gt;SwaptionFirstMonthPosition+SwaptionNumOfMonths+1,$FJ203&gt;SwaptionFirstMonthPosition+SwaptionNumOfMonths+1),"",IF($FJ203=FO$169,1,IF($FJ203&lt;FO$169,INDEX($FK$170:$ID$241,FO$169,$FJ203),SUMPRODUCT(INDEX($FK$325:$ID$396,FO$169,1+SwaptionShift):INDEX($FK$325:$ID$396,FO$169,SwaptionMonthsToGo+SwaptionShift),INDEX($FK$245:$ID$316,$FJ203-FO$169,73-FO$169+SwaptionShift):INDEX($FK$245:$ID$316,$FJ203-FO$169,72-FO$169+SwaptionMonthsToGo+SwaptionShift))/SQRT(SUM(INDEX($FK358:$ID358,1+SwaptionShift):INDEX($FK358:$ID358,SwaptionMonthsToGo+SwaptionShift))*SUM(INDEX($FK$325:$ID$396,FO$169,1+SwaptionShift):INDEX($FK$325:$ID$396,FO$169,SwaptionMonthsToGo+SwaptionShift))))))</f>
        <v/>
      </c>
      <c r="FP203" s="479" t="str">
        <f ca="1">IF(OR(FP$169&lt;SwaptionFirstMonthPosition+1,$FJ203&lt;SwaptionFirstMonthPosition+1,FP$169&gt;SwaptionFirstMonthPosition+SwaptionNumOfMonths+1,$FJ203&gt;SwaptionFirstMonthPosition+SwaptionNumOfMonths+1),"",IF($FJ203=FP$169,1,IF($FJ203&lt;FP$169,INDEX($FK$170:$ID$241,FP$169,$FJ203),SUMPRODUCT(INDEX($FK$325:$ID$396,FP$169,1+SwaptionShift):INDEX($FK$325:$ID$396,FP$169,SwaptionMonthsToGo+SwaptionShift),INDEX($FK$245:$ID$316,$FJ203-FP$169,73-FP$169+SwaptionShift):INDEX($FK$245:$ID$316,$FJ203-FP$169,72-FP$169+SwaptionMonthsToGo+SwaptionShift))/SQRT(SUM(INDEX($FK358:$ID358,1+SwaptionShift):INDEX($FK358:$ID358,SwaptionMonthsToGo+SwaptionShift))*SUM(INDEX($FK$325:$ID$396,FP$169,1+SwaptionShift):INDEX($FK$325:$ID$396,FP$169,SwaptionMonthsToGo+SwaptionShift))))))</f>
        <v/>
      </c>
      <c r="FQ203" s="479" t="str">
        <f ca="1">IF(OR(FQ$169&lt;SwaptionFirstMonthPosition+1,$FJ203&lt;SwaptionFirstMonthPosition+1,FQ$169&gt;SwaptionFirstMonthPosition+SwaptionNumOfMonths+1,$FJ203&gt;SwaptionFirstMonthPosition+SwaptionNumOfMonths+1),"",IF($FJ203=FQ$169,1,IF($FJ203&lt;FQ$169,INDEX($FK$170:$ID$241,FQ$169,$FJ203),SUMPRODUCT(INDEX($FK$325:$ID$396,FQ$169,1+SwaptionShift):INDEX($FK$325:$ID$396,FQ$169,SwaptionMonthsToGo+SwaptionShift),INDEX($FK$245:$ID$316,$FJ203-FQ$169,73-FQ$169+SwaptionShift):INDEX($FK$245:$ID$316,$FJ203-FQ$169,72-FQ$169+SwaptionMonthsToGo+SwaptionShift))/SQRT(SUM(INDEX($FK358:$ID358,1+SwaptionShift):INDEX($FK358:$ID358,SwaptionMonthsToGo+SwaptionShift))*SUM(INDEX($FK$325:$ID$396,FQ$169,1+SwaptionShift):INDEX($FK$325:$ID$396,FQ$169,SwaptionMonthsToGo+SwaptionShift))))))</f>
        <v/>
      </c>
      <c r="FR203" s="479" t="str">
        <f ca="1">IF(OR(FR$169&lt;SwaptionFirstMonthPosition+1,$FJ203&lt;SwaptionFirstMonthPosition+1,FR$169&gt;SwaptionFirstMonthPosition+SwaptionNumOfMonths+1,$FJ203&gt;SwaptionFirstMonthPosition+SwaptionNumOfMonths+1),"",IF($FJ203=FR$169,1,IF($FJ203&lt;FR$169,INDEX($FK$170:$ID$241,FR$169,$FJ203),SUMPRODUCT(INDEX($FK$325:$ID$396,FR$169,1+SwaptionShift):INDEX($FK$325:$ID$396,FR$169,SwaptionMonthsToGo+SwaptionShift),INDEX($FK$245:$ID$316,$FJ203-FR$169,73-FR$169+SwaptionShift):INDEX($FK$245:$ID$316,$FJ203-FR$169,72-FR$169+SwaptionMonthsToGo+SwaptionShift))/SQRT(SUM(INDEX($FK358:$ID358,1+SwaptionShift):INDEX($FK358:$ID358,SwaptionMonthsToGo+SwaptionShift))*SUM(INDEX($FK$325:$ID$396,FR$169,1+SwaptionShift):INDEX($FK$325:$ID$396,FR$169,SwaptionMonthsToGo+SwaptionShift))))))</f>
        <v/>
      </c>
      <c r="FS203" s="479" t="str">
        <f ca="1">IF(OR(FS$169&lt;SwaptionFirstMonthPosition+1,$FJ203&lt;SwaptionFirstMonthPosition+1,FS$169&gt;SwaptionFirstMonthPosition+SwaptionNumOfMonths+1,$FJ203&gt;SwaptionFirstMonthPosition+SwaptionNumOfMonths+1),"",IF($FJ203=FS$169,1,IF($FJ203&lt;FS$169,INDEX($FK$170:$ID$241,FS$169,$FJ203),SUMPRODUCT(INDEX($FK$325:$ID$396,FS$169,1+SwaptionShift):INDEX($FK$325:$ID$396,FS$169,SwaptionMonthsToGo+SwaptionShift),INDEX($FK$245:$ID$316,$FJ203-FS$169,73-FS$169+SwaptionShift):INDEX($FK$245:$ID$316,$FJ203-FS$169,72-FS$169+SwaptionMonthsToGo+SwaptionShift))/SQRT(SUM(INDEX($FK358:$ID358,1+SwaptionShift):INDEX($FK358:$ID358,SwaptionMonthsToGo+SwaptionShift))*SUM(INDEX($FK$325:$ID$396,FS$169,1+SwaptionShift):INDEX($FK$325:$ID$396,FS$169,SwaptionMonthsToGo+SwaptionShift))))))</f>
        <v/>
      </c>
      <c r="FT203" s="479" t="str">
        <f ca="1">IF(OR(FT$169&lt;SwaptionFirstMonthPosition+1,$FJ203&lt;SwaptionFirstMonthPosition+1,FT$169&gt;SwaptionFirstMonthPosition+SwaptionNumOfMonths+1,$FJ203&gt;SwaptionFirstMonthPosition+SwaptionNumOfMonths+1),"",IF($FJ203=FT$169,1,IF($FJ203&lt;FT$169,INDEX($FK$170:$ID$241,FT$169,$FJ203),SUMPRODUCT(INDEX($FK$325:$ID$396,FT$169,1+SwaptionShift):INDEX($FK$325:$ID$396,FT$169,SwaptionMonthsToGo+SwaptionShift),INDEX($FK$245:$ID$316,$FJ203-FT$169,73-FT$169+SwaptionShift):INDEX($FK$245:$ID$316,$FJ203-FT$169,72-FT$169+SwaptionMonthsToGo+SwaptionShift))/SQRT(SUM(INDEX($FK358:$ID358,1+SwaptionShift):INDEX($FK358:$ID358,SwaptionMonthsToGo+SwaptionShift))*SUM(INDEX($FK$325:$ID$396,FT$169,1+SwaptionShift):INDEX($FK$325:$ID$396,FT$169,SwaptionMonthsToGo+SwaptionShift))))))</f>
        <v/>
      </c>
      <c r="FU203" s="479" t="str">
        <f ca="1">IF(OR(FU$169&lt;SwaptionFirstMonthPosition+1,$FJ203&lt;SwaptionFirstMonthPosition+1,FU$169&gt;SwaptionFirstMonthPosition+SwaptionNumOfMonths+1,$FJ203&gt;SwaptionFirstMonthPosition+SwaptionNumOfMonths+1),"",IF($FJ203=FU$169,1,IF($FJ203&lt;FU$169,INDEX($FK$170:$ID$241,FU$169,$FJ203),SUMPRODUCT(INDEX($FK$325:$ID$396,FU$169,1+SwaptionShift):INDEX($FK$325:$ID$396,FU$169,SwaptionMonthsToGo+SwaptionShift),INDEX($FK$245:$ID$316,$FJ203-FU$169,73-FU$169+SwaptionShift):INDEX($FK$245:$ID$316,$FJ203-FU$169,72-FU$169+SwaptionMonthsToGo+SwaptionShift))/SQRT(SUM(INDEX($FK358:$ID358,1+SwaptionShift):INDEX($FK358:$ID358,SwaptionMonthsToGo+SwaptionShift))*SUM(INDEX($FK$325:$ID$396,FU$169,1+SwaptionShift):INDEX($FK$325:$ID$396,FU$169,SwaptionMonthsToGo+SwaptionShift))))))</f>
        <v/>
      </c>
      <c r="FV203" s="479" t="str">
        <f ca="1">IF(OR(FV$169&lt;SwaptionFirstMonthPosition+1,$FJ203&lt;SwaptionFirstMonthPosition+1,FV$169&gt;SwaptionFirstMonthPosition+SwaptionNumOfMonths+1,$FJ203&gt;SwaptionFirstMonthPosition+SwaptionNumOfMonths+1),"",IF($FJ203=FV$169,1,IF($FJ203&lt;FV$169,INDEX($FK$170:$ID$241,FV$169,$FJ203),SUMPRODUCT(INDEX($FK$325:$ID$396,FV$169,1+SwaptionShift):INDEX($FK$325:$ID$396,FV$169,SwaptionMonthsToGo+SwaptionShift),INDEX($FK$245:$ID$316,$FJ203-FV$169,73-FV$169+SwaptionShift):INDEX($FK$245:$ID$316,$FJ203-FV$169,72-FV$169+SwaptionMonthsToGo+SwaptionShift))/SQRT(SUM(INDEX($FK358:$ID358,1+SwaptionShift):INDEX($FK358:$ID358,SwaptionMonthsToGo+SwaptionShift))*SUM(INDEX($FK$325:$ID$396,FV$169,1+SwaptionShift):INDEX($FK$325:$ID$396,FV$169,SwaptionMonthsToGo+SwaptionShift))))))</f>
        <v/>
      </c>
      <c r="FW203" s="479" t="str">
        <f ca="1">IF(OR(FW$169&lt;SwaptionFirstMonthPosition+1,$FJ203&lt;SwaptionFirstMonthPosition+1,FW$169&gt;SwaptionFirstMonthPosition+SwaptionNumOfMonths+1,$FJ203&gt;SwaptionFirstMonthPosition+SwaptionNumOfMonths+1),"",IF($FJ203=FW$169,1,IF($FJ203&lt;FW$169,INDEX($FK$170:$ID$241,FW$169,$FJ203),SUMPRODUCT(INDEX($FK$325:$ID$396,FW$169,1+SwaptionShift):INDEX($FK$325:$ID$396,FW$169,SwaptionMonthsToGo+SwaptionShift),INDEX($FK$245:$ID$316,$FJ203-FW$169,73-FW$169+SwaptionShift):INDEX($FK$245:$ID$316,$FJ203-FW$169,72-FW$169+SwaptionMonthsToGo+SwaptionShift))/SQRT(SUM(INDEX($FK358:$ID358,1+SwaptionShift):INDEX($FK358:$ID358,SwaptionMonthsToGo+SwaptionShift))*SUM(INDEX($FK$325:$ID$396,FW$169,1+SwaptionShift):INDEX($FK$325:$ID$396,FW$169,SwaptionMonthsToGo+SwaptionShift))))))</f>
        <v/>
      </c>
      <c r="FX203" s="479" t="str">
        <f ca="1">IF(OR(FX$169&lt;SwaptionFirstMonthPosition+1,$FJ203&lt;SwaptionFirstMonthPosition+1,FX$169&gt;SwaptionFirstMonthPosition+SwaptionNumOfMonths+1,$FJ203&gt;SwaptionFirstMonthPosition+SwaptionNumOfMonths+1),"",IF($FJ203=FX$169,1,IF($FJ203&lt;FX$169,INDEX($FK$170:$ID$241,FX$169,$FJ203),SUMPRODUCT(INDEX($FK$325:$ID$396,FX$169,1+SwaptionShift):INDEX($FK$325:$ID$396,FX$169,SwaptionMonthsToGo+SwaptionShift),INDEX($FK$245:$ID$316,$FJ203-FX$169,73-FX$169+SwaptionShift):INDEX($FK$245:$ID$316,$FJ203-FX$169,72-FX$169+SwaptionMonthsToGo+SwaptionShift))/SQRT(SUM(INDEX($FK358:$ID358,1+SwaptionShift):INDEX($FK358:$ID358,SwaptionMonthsToGo+SwaptionShift))*SUM(INDEX($FK$325:$ID$396,FX$169,1+SwaptionShift):INDEX($FK$325:$ID$396,FX$169,SwaptionMonthsToGo+SwaptionShift))))))</f>
        <v/>
      </c>
      <c r="FY203" s="479" t="str">
        <f ca="1">IF(OR(FY$169&lt;SwaptionFirstMonthPosition+1,$FJ203&lt;SwaptionFirstMonthPosition+1,FY$169&gt;SwaptionFirstMonthPosition+SwaptionNumOfMonths+1,$FJ203&gt;SwaptionFirstMonthPosition+SwaptionNumOfMonths+1),"",IF($FJ203=FY$169,1,IF($FJ203&lt;FY$169,INDEX($FK$170:$ID$241,FY$169,$FJ203),SUMPRODUCT(INDEX($FK$325:$ID$396,FY$169,1+SwaptionShift):INDEX($FK$325:$ID$396,FY$169,SwaptionMonthsToGo+SwaptionShift),INDEX($FK$245:$ID$316,$FJ203-FY$169,73-FY$169+SwaptionShift):INDEX($FK$245:$ID$316,$FJ203-FY$169,72-FY$169+SwaptionMonthsToGo+SwaptionShift))/SQRT(SUM(INDEX($FK358:$ID358,1+SwaptionShift):INDEX($FK358:$ID358,SwaptionMonthsToGo+SwaptionShift))*SUM(INDEX($FK$325:$ID$396,FY$169,1+SwaptionShift):INDEX($FK$325:$ID$396,FY$169,SwaptionMonthsToGo+SwaptionShift))))))</f>
        <v/>
      </c>
      <c r="FZ203" s="479" t="str">
        <f ca="1">IF(OR(FZ$169&lt;SwaptionFirstMonthPosition+1,$FJ203&lt;SwaptionFirstMonthPosition+1,FZ$169&gt;SwaptionFirstMonthPosition+SwaptionNumOfMonths+1,$FJ203&gt;SwaptionFirstMonthPosition+SwaptionNumOfMonths+1),"",IF($FJ203=FZ$169,1,IF($FJ203&lt;FZ$169,INDEX($FK$170:$ID$241,FZ$169,$FJ203),SUMPRODUCT(INDEX($FK$325:$ID$396,FZ$169,1+SwaptionShift):INDEX($FK$325:$ID$396,FZ$169,SwaptionMonthsToGo+SwaptionShift),INDEX($FK$245:$ID$316,$FJ203-FZ$169,73-FZ$169+SwaptionShift):INDEX($FK$245:$ID$316,$FJ203-FZ$169,72-FZ$169+SwaptionMonthsToGo+SwaptionShift))/SQRT(SUM(INDEX($FK358:$ID358,1+SwaptionShift):INDEX($FK358:$ID358,SwaptionMonthsToGo+SwaptionShift))*SUM(INDEX($FK$325:$ID$396,FZ$169,1+SwaptionShift):INDEX($FK$325:$ID$396,FZ$169,SwaptionMonthsToGo+SwaptionShift))))))</f>
        <v/>
      </c>
      <c r="GA203" s="479" t="str">
        <f ca="1">IF(OR(GA$169&lt;SwaptionFirstMonthPosition+1,$FJ203&lt;SwaptionFirstMonthPosition+1,GA$169&gt;SwaptionFirstMonthPosition+SwaptionNumOfMonths+1,$FJ203&gt;SwaptionFirstMonthPosition+SwaptionNumOfMonths+1),"",IF($FJ203=GA$169,1,IF($FJ203&lt;GA$169,INDEX($FK$170:$ID$241,GA$169,$FJ203),SUMPRODUCT(INDEX($FK$325:$ID$396,GA$169,1+SwaptionShift):INDEX($FK$325:$ID$396,GA$169,SwaptionMonthsToGo+SwaptionShift),INDEX($FK$245:$ID$316,$FJ203-GA$169,73-GA$169+SwaptionShift):INDEX($FK$245:$ID$316,$FJ203-GA$169,72-GA$169+SwaptionMonthsToGo+SwaptionShift))/SQRT(SUM(INDEX($FK358:$ID358,1+SwaptionShift):INDEX($FK358:$ID358,SwaptionMonthsToGo+SwaptionShift))*SUM(INDEX($FK$325:$ID$396,GA$169,1+SwaptionShift):INDEX($FK$325:$ID$396,GA$169,SwaptionMonthsToGo+SwaptionShift))))))</f>
        <v/>
      </c>
      <c r="GB203" s="479" t="str">
        <f ca="1">IF(OR(GB$169&lt;SwaptionFirstMonthPosition+1,$FJ203&lt;SwaptionFirstMonthPosition+1,GB$169&gt;SwaptionFirstMonthPosition+SwaptionNumOfMonths+1,$FJ203&gt;SwaptionFirstMonthPosition+SwaptionNumOfMonths+1),"",IF($FJ203=GB$169,1,IF($FJ203&lt;GB$169,INDEX($FK$170:$ID$241,GB$169,$FJ203),SUMPRODUCT(INDEX($FK$325:$ID$396,GB$169,1+SwaptionShift):INDEX($FK$325:$ID$396,GB$169,SwaptionMonthsToGo+SwaptionShift),INDEX($FK$245:$ID$316,$FJ203-GB$169,73-GB$169+SwaptionShift):INDEX($FK$245:$ID$316,$FJ203-GB$169,72-GB$169+SwaptionMonthsToGo+SwaptionShift))/SQRT(SUM(INDEX($FK358:$ID358,1+SwaptionShift):INDEX($FK358:$ID358,SwaptionMonthsToGo+SwaptionShift))*SUM(INDEX($FK$325:$ID$396,GB$169,1+SwaptionShift):INDEX($FK$325:$ID$396,GB$169,SwaptionMonthsToGo+SwaptionShift))))))</f>
        <v/>
      </c>
      <c r="GC203" s="479" t="str">
        <f ca="1">IF(OR(GC$169&lt;SwaptionFirstMonthPosition+1,$FJ203&lt;SwaptionFirstMonthPosition+1,GC$169&gt;SwaptionFirstMonthPosition+SwaptionNumOfMonths+1,$FJ203&gt;SwaptionFirstMonthPosition+SwaptionNumOfMonths+1),"",IF($FJ203=GC$169,1,IF($FJ203&lt;GC$169,INDEX($FK$170:$ID$241,GC$169,$FJ203),SUMPRODUCT(INDEX($FK$325:$ID$396,GC$169,1+SwaptionShift):INDEX($FK$325:$ID$396,GC$169,SwaptionMonthsToGo+SwaptionShift),INDEX($FK$245:$ID$316,$FJ203-GC$169,73-GC$169+SwaptionShift):INDEX($FK$245:$ID$316,$FJ203-GC$169,72-GC$169+SwaptionMonthsToGo+SwaptionShift))/SQRT(SUM(INDEX($FK358:$ID358,1+SwaptionShift):INDEX($FK358:$ID358,SwaptionMonthsToGo+SwaptionShift))*SUM(INDEX($FK$325:$ID$396,GC$169,1+SwaptionShift):INDEX($FK$325:$ID$396,GC$169,SwaptionMonthsToGo+SwaptionShift))))))</f>
        <v/>
      </c>
      <c r="GD203" s="479" t="str">
        <f ca="1">IF(OR(GD$169&lt;SwaptionFirstMonthPosition+1,$FJ203&lt;SwaptionFirstMonthPosition+1,GD$169&gt;SwaptionFirstMonthPosition+SwaptionNumOfMonths+1,$FJ203&gt;SwaptionFirstMonthPosition+SwaptionNumOfMonths+1),"",IF($FJ203=GD$169,1,IF($FJ203&lt;GD$169,INDEX($FK$170:$ID$241,GD$169,$FJ203),SUMPRODUCT(INDEX($FK$325:$ID$396,GD$169,1+SwaptionShift):INDEX($FK$325:$ID$396,GD$169,SwaptionMonthsToGo+SwaptionShift),INDEX($FK$245:$ID$316,$FJ203-GD$169,73-GD$169+SwaptionShift):INDEX($FK$245:$ID$316,$FJ203-GD$169,72-GD$169+SwaptionMonthsToGo+SwaptionShift))/SQRT(SUM(INDEX($FK358:$ID358,1+SwaptionShift):INDEX($FK358:$ID358,SwaptionMonthsToGo+SwaptionShift))*SUM(INDEX($FK$325:$ID$396,GD$169,1+SwaptionShift):INDEX($FK$325:$ID$396,GD$169,SwaptionMonthsToGo+SwaptionShift))))))</f>
        <v/>
      </c>
      <c r="GE203" s="479" t="str">
        <f ca="1">IF(OR(GE$169&lt;SwaptionFirstMonthPosition+1,$FJ203&lt;SwaptionFirstMonthPosition+1,GE$169&gt;SwaptionFirstMonthPosition+SwaptionNumOfMonths+1,$FJ203&gt;SwaptionFirstMonthPosition+SwaptionNumOfMonths+1),"",IF($FJ203=GE$169,1,IF($FJ203&lt;GE$169,INDEX($FK$170:$ID$241,GE$169,$FJ203),SUMPRODUCT(INDEX($FK$325:$ID$396,GE$169,1+SwaptionShift):INDEX($FK$325:$ID$396,GE$169,SwaptionMonthsToGo+SwaptionShift),INDEX($FK$245:$ID$316,$FJ203-GE$169,73-GE$169+SwaptionShift):INDEX($FK$245:$ID$316,$FJ203-GE$169,72-GE$169+SwaptionMonthsToGo+SwaptionShift))/SQRT(SUM(INDEX($FK358:$ID358,1+SwaptionShift):INDEX($FK358:$ID358,SwaptionMonthsToGo+SwaptionShift))*SUM(INDEX($FK$325:$ID$396,GE$169,1+SwaptionShift):INDEX($FK$325:$ID$396,GE$169,SwaptionMonthsToGo+SwaptionShift))))))</f>
        <v/>
      </c>
      <c r="GF203" s="479" t="str">
        <f ca="1">IF(OR(GF$169&lt;SwaptionFirstMonthPosition+1,$FJ203&lt;SwaptionFirstMonthPosition+1,GF$169&gt;SwaptionFirstMonthPosition+SwaptionNumOfMonths+1,$FJ203&gt;SwaptionFirstMonthPosition+SwaptionNumOfMonths+1),"",IF($FJ203=GF$169,1,IF($FJ203&lt;GF$169,INDEX($FK$170:$ID$241,GF$169,$FJ203),SUMPRODUCT(INDEX($FK$325:$ID$396,GF$169,1+SwaptionShift):INDEX($FK$325:$ID$396,GF$169,SwaptionMonthsToGo+SwaptionShift),INDEX($FK$245:$ID$316,$FJ203-GF$169,73-GF$169+SwaptionShift):INDEX($FK$245:$ID$316,$FJ203-GF$169,72-GF$169+SwaptionMonthsToGo+SwaptionShift))/SQRT(SUM(INDEX($FK358:$ID358,1+SwaptionShift):INDEX($FK358:$ID358,SwaptionMonthsToGo+SwaptionShift))*SUM(INDEX($FK$325:$ID$396,GF$169,1+SwaptionShift):INDEX($FK$325:$ID$396,GF$169,SwaptionMonthsToGo+SwaptionShift))))))</f>
        <v/>
      </c>
      <c r="GG203" s="479" t="str">
        <f ca="1">IF(OR(GG$169&lt;SwaptionFirstMonthPosition+1,$FJ203&lt;SwaptionFirstMonthPosition+1,GG$169&gt;SwaptionFirstMonthPosition+SwaptionNumOfMonths+1,$FJ203&gt;SwaptionFirstMonthPosition+SwaptionNumOfMonths+1),"",IF($FJ203=GG$169,1,IF($FJ203&lt;GG$169,INDEX($FK$170:$ID$241,GG$169,$FJ203),SUMPRODUCT(INDEX($FK$325:$ID$396,GG$169,1+SwaptionShift):INDEX($FK$325:$ID$396,GG$169,SwaptionMonthsToGo+SwaptionShift),INDEX($FK$245:$ID$316,$FJ203-GG$169,73-GG$169+SwaptionShift):INDEX($FK$245:$ID$316,$FJ203-GG$169,72-GG$169+SwaptionMonthsToGo+SwaptionShift))/SQRT(SUM(INDEX($FK358:$ID358,1+SwaptionShift):INDEX($FK358:$ID358,SwaptionMonthsToGo+SwaptionShift))*SUM(INDEX($FK$325:$ID$396,GG$169,1+SwaptionShift):INDEX($FK$325:$ID$396,GG$169,SwaptionMonthsToGo+SwaptionShift))))))</f>
        <v/>
      </c>
      <c r="GH203" s="479" t="str">
        <f ca="1">IF(OR(GH$169&lt;SwaptionFirstMonthPosition+1,$FJ203&lt;SwaptionFirstMonthPosition+1,GH$169&gt;SwaptionFirstMonthPosition+SwaptionNumOfMonths+1,$FJ203&gt;SwaptionFirstMonthPosition+SwaptionNumOfMonths+1),"",IF($FJ203=GH$169,1,IF($FJ203&lt;GH$169,INDEX($FK$170:$ID$241,GH$169,$FJ203),SUMPRODUCT(INDEX($FK$325:$ID$396,GH$169,1+SwaptionShift):INDEX($FK$325:$ID$396,GH$169,SwaptionMonthsToGo+SwaptionShift),INDEX($FK$245:$ID$316,$FJ203-GH$169,73-GH$169+SwaptionShift):INDEX($FK$245:$ID$316,$FJ203-GH$169,72-GH$169+SwaptionMonthsToGo+SwaptionShift))/SQRT(SUM(INDEX($FK358:$ID358,1+SwaptionShift):INDEX($FK358:$ID358,SwaptionMonthsToGo+SwaptionShift))*SUM(INDEX($FK$325:$ID$396,GH$169,1+SwaptionShift):INDEX($FK$325:$ID$396,GH$169,SwaptionMonthsToGo+SwaptionShift))))))</f>
        <v/>
      </c>
      <c r="GI203" s="479" t="str">
        <f ca="1">IF(OR(GI$169&lt;SwaptionFirstMonthPosition+1,$FJ203&lt;SwaptionFirstMonthPosition+1,GI$169&gt;SwaptionFirstMonthPosition+SwaptionNumOfMonths+1,$FJ203&gt;SwaptionFirstMonthPosition+SwaptionNumOfMonths+1),"",IF($FJ203=GI$169,1,IF($FJ203&lt;GI$169,INDEX($FK$170:$ID$241,GI$169,$FJ203),SUMPRODUCT(INDEX($FK$325:$ID$396,GI$169,1+SwaptionShift):INDEX($FK$325:$ID$396,GI$169,SwaptionMonthsToGo+SwaptionShift),INDEX($FK$245:$ID$316,$FJ203-GI$169,73-GI$169+SwaptionShift):INDEX($FK$245:$ID$316,$FJ203-GI$169,72-GI$169+SwaptionMonthsToGo+SwaptionShift))/SQRT(SUM(INDEX($FK358:$ID358,1+SwaptionShift):INDEX($FK358:$ID358,SwaptionMonthsToGo+SwaptionShift))*SUM(INDEX($FK$325:$ID$396,GI$169,1+SwaptionShift):INDEX($FK$325:$ID$396,GI$169,SwaptionMonthsToGo+SwaptionShift))))))</f>
        <v/>
      </c>
      <c r="GJ203" s="479" t="str">
        <f ca="1">IF(OR(GJ$169&lt;SwaptionFirstMonthPosition+1,$FJ203&lt;SwaptionFirstMonthPosition+1,GJ$169&gt;SwaptionFirstMonthPosition+SwaptionNumOfMonths+1,$FJ203&gt;SwaptionFirstMonthPosition+SwaptionNumOfMonths+1),"",IF($FJ203=GJ$169,1,IF($FJ203&lt;GJ$169,INDEX($FK$170:$ID$241,GJ$169,$FJ203),SUMPRODUCT(INDEX($FK$325:$ID$396,GJ$169,1+SwaptionShift):INDEX($FK$325:$ID$396,GJ$169,SwaptionMonthsToGo+SwaptionShift),INDEX($FK$245:$ID$316,$FJ203-GJ$169,73-GJ$169+SwaptionShift):INDEX($FK$245:$ID$316,$FJ203-GJ$169,72-GJ$169+SwaptionMonthsToGo+SwaptionShift))/SQRT(SUM(INDEX($FK358:$ID358,1+SwaptionShift):INDEX($FK358:$ID358,SwaptionMonthsToGo+SwaptionShift))*SUM(INDEX($FK$325:$ID$396,GJ$169,1+SwaptionShift):INDEX($FK$325:$ID$396,GJ$169,SwaptionMonthsToGo+SwaptionShift))))))</f>
        <v/>
      </c>
      <c r="GK203" s="479" t="str">
        <f ca="1">IF(OR(GK$169&lt;SwaptionFirstMonthPosition+1,$FJ203&lt;SwaptionFirstMonthPosition+1,GK$169&gt;SwaptionFirstMonthPosition+SwaptionNumOfMonths+1,$FJ203&gt;SwaptionFirstMonthPosition+SwaptionNumOfMonths+1),"",IF($FJ203=GK$169,1,IF($FJ203&lt;GK$169,INDEX($FK$170:$ID$241,GK$169,$FJ203),SUMPRODUCT(INDEX($FK$325:$ID$396,GK$169,1+SwaptionShift):INDEX($FK$325:$ID$396,GK$169,SwaptionMonthsToGo+SwaptionShift),INDEX($FK$245:$ID$316,$FJ203-GK$169,73-GK$169+SwaptionShift):INDEX($FK$245:$ID$316,$FJ203-GK$169,72-GK$169+SwaptionMonthsToGo+SwaptionShift))/SQRT(SUM(INDEX($FK358:$ID358,1+SwaptionShift):INDEX($FK358:$ID358,SwaptionMonthsToGo+SwaptionShift))*SUM(INDEX($FK$325:$ID$396,GK$169,1+SwaptionShift):INDEX($FK$325:$ID$396,GK$169,SwaptionMonthsToGo+SwaptionShift))))))</f>
        <v/>
      </c>
      <c r="GL203" s="479" t="str">
        <f ca="1">IF(OR(GL$169&lt;SwaptionFirstMonthPosition+1,$FJ203&lt;SwaptionFirstMonthPosition+1,GL$169&gt;SwaptionFirstMonthPosition+SwaptionNumOfMonths+1,$FJ203&gt;SwaptionFirstMonthPosition+SwaptionNumOfMonths+1),"",IF($FJ203=GL$169,1,IF($FJ203&lt;GL$169,INDEX($FK$170:$ID$241,GL$169,$FJ203),SUMPRODUCT(INDEX($FK$325:$ID$396,GL$169,1+SwaptionShift):INDEX($FK$325:$ID$396,GL$169,SwaptionMonthsToGo+SwaptionShift),INDEX($FK$245:$ID$316,$FJ203-GL$169,73-GL$169+SwaptionShift):INDEX($FK$245:$ID$316,$FJ203-GL$169,72-GL$169+SwaptionMonthsToGo+SwaptionShift))/SQRT(SUM(INDEX($FK358:$ID358,1+SwaptionShift):INDEX($FK358:$ID358,SwaptionMonthsToGo+SwaptionShift))*SUM(INDEX($FK$325:$ID$396,GL$169,1+SwaptionShift):INDEX($FK$325:$ID$396,GL$169,SwaptionMonthsToGo+SwaptionShift))))))</f>
        <v/>
      </c>
      <c r="GM203" s="479" t="str">
        <f ca="1">IF(OR(GM$169&lt;SwaptionFirstMonthPosition+1,$FJ203&lt;SwaptionFirstMonthPosition+1,GM$169&gt;SwaptionFirstMonthPosition+SwaptionNumOfMonths+1,$FJ203&gt;SwaptionFirstMonthPosition+SwaptionNumOfMonths+1),"",IF($FJ203=GM$169,1,IF($FJ203&lt;GM$169,INDEX($FK$170:$ID$241,GM$169,$FJ203),SUMPRODUCT(INDEX($FK$325:$ID$396,GM$169,1+SwaptionShift):INDEX($FK$325:$ID$396,GM$169,SwaptionMonthsToGo+SwaptionShift),INDEX($FK$245:$ID$316,$FJ203-GM$169,73-GM$169+SwaptionShift):INDEX($FK$245:$ID$316,$FJ203-GM$169,72-GM$169+SwaptionMonthsToGo+SwaptionShift))/SQRT(SUM(INDEX($FK358:$ID358,1+SwaptionShift):INDEX($FK358:$ID358,SwaptionMonthsToGo+SwaptionShift))*SUM(INDEX($FK$325:$ID$396,GM$169,1+SwaptionShift):INDEX($FK$325:$ID$396,GM$169,SwaptionMonthsToGo+SwaptionShift))))))</f>
        <v/>
      </c>
      <c r="GN203" s="479" t="str">
        <f ca="1">IF(OR(GN$169&lt;SwaptionFirstMonthPosition+1,$FJ203&lt;SwaptionFirstMonthPosition+1,GN$169&gt;SwaptionFirstMonthPosition+SwaptionNumOfMonths+1,$FJ203&gt;SwaptionFirstMonthPosition+SwaptionNumOfMonths+1),"",IF($FJ203=GN$169,1,IF($FJ203&lt;GN$169,INDEX($FK$170:$ID$241,GN$169,$FJ203),SUMPRODUCT(INDEX($FK$325:$ID$396,GN$169,1+SwaptionShift):INDEX($FK$325:$ID$396,GN$169,SwaptionMonthsToGo+SwaptionShift),INDEX($FK$245:$ID$316,$FJ203-GN$169,73-GN$169+SwaptionShift):INDEX($FK$245:$ID$316,$FJ203-GN$169,72-GN$169+SwaptionMonthsToGo+SwaptionShift))/SQRT(SUM(INDEX($FK358:$ID358,1+SwaptionShift):INDEX($FK358:$ID358,SwaptionMonthsToGo+SwaptionShift))*SUM(INDEX($FK$325:$ID$396,GN$169,1+SwaptionShift):INDEX($FK$325:$ID$396,GN$169,SwaptionMonthsToGo+SwaptionShift))))))</f>
        <v/>
      </c>
      <c r="GO203" s="479" t="str">
        <f ca="1">IF(OR(GO$169&lt;SwaptionFirstMonthPosition+1,$FJ203&lt;SwaptionFirstMonthPosition+1,GO$169&gt;SwaptionFirstMonthPosition+SwaptionNumOfMonths+1,$FJ203&gt;SwaptionFirstMonthPosition+SwaptionNumOfMonths+1),"",IF($FJ203=GO$169,1,IF($FJ203&lt;GO$169,INDEX($FK$170:$ID$241,GO$169,$FJ203),SUMPRODUCT(INDEX($FK$325:$ID$396,GO$169,1+SwaptionShift):INDEX($FK$325:$ID$396,GO$169,SwaptionMonthsToGo+SwaptionShift),INDEX($FK$245:$ID$316,$FJ203-GO$169,73-GO$169+SwaptionShift):INDEX($FK$245:$ID$316,$FJ203-GO$169,72-GO$169+SwaptionMonthsToGo+SwaptionShift))/SQRT(SUM(INDEX($FK358:$ID358,1+SwaptionShift):INDEX($FK358:$ID358,SwaptionMonthsToGo+SwaptionShift))*SUM(INDEX($FK$325:$ID$396,GO$169,1+SwaptionShift):INDEX($FK$325:$ID$396,GO$169,SwaptionMonthsToGo+SwaptionShift))))))</f>
        <v/>
      </c>
      <c r="GP203" s="479" t="str">
        <f ca="1">IF(OR(GP$169&lt;SwaptionFirstMonthPosition+1,$FJ203&lt;SwaptionFirstMonthPosition+1,GP$169&gt;SwaptionFirstMonthPosition+SwaptionNumOfMonths+1,$FJ203&gt;SwaptionFirstMonthPosition+SwaptionNumOfMonths+1),"",IF($FJ203=GP$169,1,IF($FJ203&lt;GP$169,INDEX($FK$170:$ID$241,GP$169,$FJ203),SUMPRODUCT(INDEX($FK$325:$ID$396,GP$169,1+SwaptionShift):INDEX($FK$325:$ID$396,GP$169,SwaptionMonthsToGo+SwaptionShift),INDEX($FK$245:$ID$316,$FJ203-GP$169,73-GP$169+SwaptionShift):INDEX($FK$245:$ID$316,$FJ203-GP$169,72-GP$169+SwaptionMonthsToGo+SwaptionShift))/SQRT(SUM(INDEX($FK358:$ID358,1+SwaptionShift):INDEX($FK358:$ID358,SwaptionMonthsToGo+SwaptionShift))*SUM(INDEX($FK$325:$ID$396,GP$169,1+SwaptionShift):INDEX($FK$325:$ID$396,GP$169,SwaptionMonthsToGo+SwaptionShift))))))</f>
        <v/>
      </c>
      <c r="GQ203" s="479" t="str">
        <f ca="1">IF(OR(GQ$169&lt;SwaptionFirstMonthPosition+1,$FJ203&lt;SwaptionFirstMonthPosition+1,GQ$169&gt;SwaptionFirstMonthPosition+SwaptionNumOfMonths+1,$FJ203&gt;SwaptionFirstMonthPosition+SwaptionNumOfMonths+1),"",IF($FJ203=GQ$169,1,IF($FJ203&lt;GQ$169,INDEX($FK$170:$ID$241,GQ$169,$FJ203),SUMPRODUCT(INDEX($FK$325:$ID$396,GQ$169,1+SwaptionShift):INDEX($FK$325:$ID$396,GQ$169,SwaptionMonthsToGo+SwaptionShift),INDEX($FK$245:$ID$316,$FJ203-GQ$169,73-GQ$169+SwaptionShift):INDEX($FK$245:$ID$316,$FJ203-GQ$169,72-GQ$169+SwaptionMonthsToGo+SwaptionShift))/SQRT(SUM(INDEX($FK358:$ID358,1+SwaptionShift):INDEX($FK358:$ID358,SwaptionMonthsToGo+SwaptionShift))*SUM(INDEX($FK$325:$ID$396,GQ$169,1+SwaptionShift):INDEX($FK$325:$ID$396,GQ$169,SwaptionMonthsToGo+SwaptionShift))))))</f>
        <v/>
      </c>
      <c r="GR203" s="479" t="str">
        <f ca="1">IF(OR(GR$169&lt;SwaptionFirstMonthPosition+1,$FJ203&lt;SwaptionFirstMonthPosition+1,GR$169&gt;SwaptionFirstMonthPosition+SwaptionNumOfMonths+1,$FJ203&gt;SwaptionFirstMonthPosition+SwaptionNumOfMonths+1),"",IF($FJ203=GR$169,1,IF($FJ203&lt;GR$169,INDEX($FK$170:$ID$241,GR$169,$FJ203),SUMPRODUCT(INDEX($FK$325:$ID$396,GR$169,1+SwaptionShift):INDEX($FK$325:$ID$396,GR$169,SwaptionMonthsToGo+SwaptionShift),INDEX($FK$245:$ID$316,$FJ203-GR$169,73-GR$169+SwaptionShift):INDEX($FK$245:$ID$316,$FJ203-GR$169,72-GR$169+SwaptionMonthsToGo+SwaptionShift))/SQRT(SUM(INDEX($FK358:$ID358,1+SwaptionShift):INDEX($FK358:$ID358,SwaptionMonthsToGo+SwaptionShift))*SUM(INDEX($FK$325:$ID$396,GR$169,1+SwaptionShift):INDEX($FK$325:$ID$396,GR$169,SwaptionMonthsToGo+SwaptionShift))))))</f>
        <v/>
      </c>
      <c r="GS203" s="479" t="str">
        <f ca="1">IF(OR(GS$169&lt;SwaptionFirstMonthPosition+1,$FJ203&lt;SwaptionFirstMonthPosition+1,GS$169&gt;SwaptionFirstMonthPosition+SwaptionNumOfMonths+1,$FJ203&gt;SwaptionFirstMonthPosition+SwaptionNumOfMonths+1),"",IF($FJ203=GS$169,1,IF($FJ203&lt;GS$169,INDEX($FK$170:$ID$241,GS$169,$FJ203),SUMPRODUCT(INDEX($FK$325:$ID$396,GS$169,1+SwaptionShift):INDEX($FK$325:$ID$396,GS$169,SwaptionMonthsToGo+SwaptionShift),INDEX($FK$245:$ID$316,$FJ203-GS$169,73-GS$169+SwaptionShift):INDEX($FK$245:$ID$316,$FJ203-GS$169,72-GS$169+SwaptionMonthsToGo+SwaptionShift))/SQRT(SUM(INDEX($FK358:$ID358,1+SwaptionShift):INDEX($FK358:$ID358,SwaptionMonthsToGo+SwaptionShift))*SUM(INDEX($FK$325:$ID$396,GS$169,1+SwaptionShift):INDEX($FK$325:$ID$396,GS$169,SwaptionMonthsToGo+SwaptionShift))))))</f>
        <v/>
      </c>
      <c r="GT203" s="479" t="str">
        <f ca="1">IF(OR(GT$169&lt;SwaptionFirstMonthPosition+1,$FJ203&lt;SwaptionFirstMonthPosition+1,GT$169&gt;SwaptionFirstMonthPosition+SwaptionNumOfMonths+1,$FJ203&gt;SwaptionFirstMonthPosition+SwaptionNumOfMonths+1),"",IF($FJ203=GT$169,1,IF($FJ203&lt;GT$169,INDEX($FK$170:$ID$241,GT$169,$FJ203),SUMPRODUCT(INDEX($FK$325:$ID$396,GT$169,1+SwaptionShift):INDEX($FK$325:$ID$396,GT$169,SwaptionMonthsToGo+SwaptionShift),INDEX($FK$245:$ID$316,$FJ203-GT$169,73-GT$169+SwaptionShift):INDEX($FK$245:$ID$316,$FJ203-GT$169,72-GT$169+SwaptionMonthsToGo+SwaptionShift))/SQRT(SUM(INDEX($FK358:$ID358,1+SwaptionShift):INDEX($FK358:$ID358,SwaptionMonthsToGo+SwaptionShift))*SUM(INDEX($FK$325:$ID$396,GT$169,1+SwaptionShift):INDEX($FK$325:$ID$396,GT$169,SwaptionMonthsToGo+SwaptionShift))))))</f>
        <v/>
      </c>
      <c r="GU203" s="479" t="str">
        <f ca="1">IF(OR(GU$169&lt;SwaptionFirstMonthPosition+1,$FJ203&lt;SwaptionFirstMonthPosition+1,GU$169&gt;SwaptionFirstMonthPosition+SwaptionNumOfMonths+1,$FJ203&gt;SwaptionFirstMonthPosition+SwaptionNumOfMonths+1),"",IF($FJ203=GU$169,1,IF($FJ203&lt;GU$169,INDEX($FK$170:$ID$241,GU$169,$FJ203),SUMPRODUCT(INDEX($FK$325:$ID$396,GU$169,1+SwaptionShift):INDEX($FK$325:$ID$396,GU$169,SwaptionMonthsToGo+SwaptionShift),INDEX($FK$245:$ID$316,$FJ203-GU$169,73-GU$169+SwaptionShift):INDEX($FK$245:$ID$316,$FJ203-GU$169,72-GU$169+SwaptionMonthsToGo+SwaptionShift))/SQRT(SUM(INDEX($FK358:$ID358,1+SwaptionShift):INDEX($FK358:$ID358,SwaptionMonthsToGo+SwaptionShift))*SUM(INDEX($FK$325:$ID$396,GU$169,1+SwaptionShift):INDEX($FK$325:$ID$396,GU$169,SwaptionMonthsToGo+SwaptionShift))))))</f>
        <v/>
      </c>
      <c r="GV203" s="479" t="str">
        <f ca="1">IF(OR(GV$169&lt;SwaptionFirstMonthPosition+1,$FJ203&lt;SwaptionFirstMonthPosition+1,GV$169&gt;SwaptionFirstMonthPosition+SwaptionNumOfMonths+1,$FJ203&gt;SwaptionFirstMonthPosition+SwaptionNumOfMonths+1),"",IF($FJ203=GV$169,1,IF($FJ203&lt;GV$169,INDEX($FK$170:$ID$241,GV$169,$FJ203),SUMPRODUCT(INDEX($FK$325:$ID$396,GV$169,1+SwaptionShift):INDEX($FK$325:$ID$396,GV$169,SwaptionMonthsToGo+SwaptionShift),INDEX($FK$245:$ID$316,$FJ203-GV$169,73-GV$169+SwaptionShift):INDEX($FK$245:$ID$316,$FJ203-GV$169,72-GV$169+SwaptionMonthsToGo+SwaptionShift))/SQRT(SUM(INDEX($FK358:$ID358,1+SwaptionShift):INDEX($FK358:$ID358,SwaptionMonthsToGo+SwaptionShift))*SUM(INDEX($FK$325:$ID$396,GV$169,1+SwaptionShift):INDEX($FK$325:$ID$396,GV$169,SwaptionMonthsToGo+SwaptionShift))))))</f>
        <v/>
      </c>
      <c r="GW203" s="479" t="str">
        <f ca="1">IF(OR(GW$169&lt;SwaptionFirstMonthPosition+1,$FJ203&lt;SwaptionFirstMonthPosition+1,GW$169&gt;SwaptionFirstMonthPosition+SwaptionNumOfMonths+1,$FJ203&gt;SwaptionFirstMonthPosition+SwaptionNumOfMonths+1),"",IF($FJ203=GW$169,1,IF($FJ203&lt;GW$169,INDEX($FK$170:$ID$241,GW$169,$FJ203),SUMPRODUCT(INDEX($FK$325:$ID$396,GW$169,1+SwaptionShift):INDEX($FK$325:$ID$396,GW$169,SwaptionMonthsToGo+SwaptionShift),INDEX($FK$245:$ID$316,$FJ203-GW$169,73-GW$169+SwaptionShift):INDEX($FK$245:$ID$316,$FJ203-GW$169,72-GW$169+SwaptionMonthsToGo+SwaptionShift))/SQRT(SUM(INDEX($FK358:$ID358,1+SwaptionShift):INDEX($FK358:$ID358,SwaptionMonthsToGo+SwaptionShift))*SUM(INDEX($FK$325:$ID$396,GW$169,1+SwaptionShift):INDEX($FK$325:$ID$396,GW$169,SwaptionMonthsToGo+SwaptionShift))))))</f>
        <v/>
      </c>
      <c r="GX203" s="479" t="str">
        <f ca="1">IF(OR(GX$169&lt;SwaptionFirstMonthPosition+1,$FJ203&lt;SwaptionFirstMonthPosition+1,GX$169&gt;SwaptionFirstMonthPosition+SwaptionNumOfMonths+1,$FJ203&gt;SwaptionFirstMonthPosition+SwaptionNumOfMonths+1),"",IF($FJ203=GX$169,1,IF($FJ203&lt;GX$169,INDEX($FK$170:$ID$241,GX$169,$FJ203),SUMPRODUCT(INDEX($FK$325:$ID$396,GX$169,1+SwaptionShift):INDEX($FK$325:$ID$396,GX$169,SwaptionMonthsToGo+SwaptionShift),INDEX($FK$245:$ID$316,$FJ203-GX$169,73-GX$169+SwaptionShift):INDEX($FK$245:$ID$316,$FJ203-GX$169,72-GX$169+SwaptionMonthsToGo+SwaptionShift))/SQRT(SUM(INDEX($FK358:$ID358,1+SwaptionShift):INDEX($FK358:$ID358,SwaptionMonthsToGo+SwaptionShift))*SUM(INDEX($FK$325:$ID$396,GX$169,1+SwaptionShift):INDEX($FK$325:$ID$396,GX$169,SwaptionMonthsToGo+SwaptionShift))))))</f>
        <v/>
      </c>
      <c r="GY203" s="479" t="str">
        <f ca="1">IF(OR(GY$169&lt;SwaptionFirstMonthPosition+1,$FJ203&lt;SwaptionFirstMonthPosition+1,GY$169&gt;SwaptionFirstMonthPosition+SwaptionNumOfMonths+1,$FJ203&gt;SwaptionFirstMonthPosition+SwaptionNumOfMonths+1),"",IF($FJ203=GY$169,1,IF($FJ203&lt;GY$169,INDEX($FK$170:$ID$241,GY$169,$FJ203),SUMPRODUCT(INDEX($FK$325:$ID$396,GY$169,1+SwaptionShift):INDEX($FK$325:$ID$396,GY$169,SwaptionMonthsToGo+SwaptionShift),INDEX($FK$245:$ID$316,$FJ203-GY$169,73-GY$169+SwaptionShift):INDEX($FK$245:$ID$316,$FJ203-GY$169,72-GY$169+SwaptionMonthsToGo+SwaptionShift))/SQRT(SUM(INDEX($FK358:$ID358,1+SwaptionShift):INDEX($FK358:$ID358,SwaptionMonthsToGo+SwaptionShift))*SUM(INDEX($FK$325:$ID$396,GY$169,1+SwaptionShift):INDEX($FK$325:$ID$396,GY$169,SwaptionMonthsToGo+SwaptionShift))))))</f>
        <v/>
      </c>
      <c r="GZ203" s="479" t="str">
        <f ca="1">IF(OR(GZ$169&lt;SwaptionFirstMonthPosition+1,$FJ203&lt;SwaptionFirstMonthPosition+1,GZ$169&gt;SwaptionFirstMonthPosition+SwaptionNumOfMonths+1,$FJ203&gt;SwaptionFirstMonthPosition+SwaptionNumOfMonths+1),"",IF($FJ203=GZ$169,1,IF($FJ203&lt;GZ$169,INDEX($FK$170:$ID$241,GZ$169,$FJ203),SUMPRODUCT(INDEX($FK$325:$ID$396,GZ$169,1+SwaptionShift):INDEX($FK$325:$ID$396,GZ$169,SwaptionMonthsToGo+SwaptionShift),INDEX($FK$245:$ID$316,$FJ203-GZ$169,73-GZ$169+SwaptionShift):INDEX($FK$245:$ID$316,$FJ203-GZ$169,72-GZ$169+SwaptionMonthsToGo+SwaptionShift))/SQRT(SUM(INDEX($FK358:$ID358,1+SwaptionShift):INDEX($FK358:$ID358,SwaptionMonthsToGo+SwaptionShift))*SUM(INDEX($FK$325:$ID$396,GZ$169,1+SwaptionShift):INDEX($FK$325:$ID$396,GZ$169,SwaptionMonthsToGo+SwaptionShift))))))</f>
        <v/>
      </c>
      <c r="HA203" s="479" t="str">
        <f ca="1">IF(OR(HA$169&lt;SwaptionFirstMonthPosition+1,$FJ203&lt;SwaptionFirstMonthPosition+1,HA$169&gt;SwaptionFirstMonthPosition+SwaptionNumOfMonths+1,$FJ203&gt;SwaptionFirstMonthPosition+SwaptionNumOfMonths+1),"",IF($FJ203=HA$169,1,IF($FJ203&lt;HA$169,INDEX($FK$170:$ID$241,HA$169,$FJ203),SUMPRODUCT(INDEX($FK$325:$ID$396,HA$169,1+SwaptionShift):INDEX($FK$325:$ID$396,HA$169,SwaptionMonthsToGo+SwaptionShift),INDEX($FK$245:$ID$316,$FJ203-HA$169,73-HA$169+SwaptionShift):INDEX($FK$245:$ID$316,$FJ203-HA$169,72-HA$169+SwaptionMonthsToGo+SwaptionShift))/SQRT(SUM(INDEX($FK358:$ID358,1+SwaptionShift):INDEX($FK358:$ID358,SwaptionMonthsToGo+SwaptionShift))*SUM(INDEX($FK$325:$ID$396,HA$169,1+SwaptionShift):INDEX($FK$325:$ID$396,HA$169,SwaptionMonthsToGo+SwaptionShift))))))</f>
        <v/>
      </c>
      <c r="HB203" s="479" t="str">
        <f ca="1">IF(OR(HB$169&lt;SwaptionFirstMonthPosition+1,$FJ203&lt;SwaptionFirstMonthPosition+1,HB$169&gt;SwaptionFirstMonthPosition+SwaptionNumOfMonths+1,$FJ203&gt;SwaptionFirstMonthPosition+SwaptionNumOfMonths+1),"",IF($FJ203=HB$169,1,IF($FJ203&lt;HB$169,INDEX($FK$170:$ID$241,HB$169,$FJ203),SUMPRODUCT(INDEX($FK$325:$ID$396,HB$169,1+SwaptionShift):INDEX($FK$325:$ID$396,HB$169,SwaptionMonthsToGo+SwaptionShift),INDEX($FK$245:$ID$316,$FJ203-HB$169,73-HB$169+SwaptionShift):INDEX($FK$245:$ID$316,$FJ203-HB$169,72-HB$169+SwaptionMonthsToGo+SwaptionShift))/SQRT(SUM(INDEX($FK358:$ID358,1+SwaptionShift):INDEX($FK358:$ID358,SwaptionMonthsToGo+SwaptionShift))*SUM(INDEX($FK$325:$ID$396,HB$169,1+SwaptionShift):INDEX($FK$325:$ID$396,HB$169,SwaptionMonthsToGo+SwaptionShift))))))</f>
        <v/>
      </c>
      <c r="HC203" s="479" t="str">
        <f ca="1">IF(OR(HC$169&lt;SwaptionFirstMonthPosition+1,$FJ203&lt;SwaptionFirstMonthPosition+1,HC$169&gt;SwaptionFirstMonthPosition+SwaptionNumOfMonths+1,$FJ203&gt;SwaptionFirstMonthPosition+SwaptionNumOfMonths+1),"",IF($FJ203=HC$169,1,IF($FJ203&lt;HC$169,INDEX($FK$170:$ID$241,HC$169,$FJ203),SUMPRODUCT(INDEX($FK$325:$ID$396,HC$169,1+SwaptionShift):INDEX($FK$325:$ID$396,HC$169,SwaptionMonthsToGo+SwaptionShift),INDEX($FK$245:$ID$316,$FJ203-HC$169,73-HC$169+SwaptionShift):INDEX($FK$245:$ID$316,$FJ203-HC$169,72-HC$169+SwaptionMonthsToGo+SwaptionShift))/SQRT(SUM(INDEX($FK358:$ID358,1+SwaptionShift):INDEX($FK358:$ID358,SwaptionMonthsToGo+SwaptionShift))*SUM(INDEX($FK$325:$ID$396,HC$169,1+SwaptionShift):INDEX($FK$325:$ID$396,HC$169,SwaptionMonthsToGo+SwaptionShift))))))</f>
        <v/>
      </c>
      <c r="HD203" s="479" t="str">
        <f ca="1">IF(OR(HD$169&lt;SwaptionFirstMonthPosition+1,$FJ203&lt;SwaptionFirstMonthPosition+1,HD$169&gt;SwaptionFirstMonthPosition+SwaptionNumOfMonths+1,$FJ203&gt;SwaptionFirstMonthPosition+SwaptionNumOfMonths+1),"",IF($FJ203=HD$169,1,IF($FJ203&lt;HD$169,INDEX($FK$170:$ID$241,HD$169,$FJ203),SUMPRODUCT(INDEX($FK$325:$ID$396,HD$169,1+SwaptionShift):INDEX($FK$325:$ID$396,HD$169,SwaptionMonthsToGo+SwaptionShift),INDEX($FK$245:$ID$316,$FJ203-HD$169,73-HD$169+SwaptionShift):INDEX($FK$245:$ID$316,$FJ203-HD$169,72-HD$169+SwaptionMonthsToGo+SwaptionShift))/SQRT(SUM(INDEX($FK358:$ID358,1+SwaptionShift):INDEX($FK358:$ID358,SwaptionMonthsToGo+SwaptionShift))*SUM(INDEX($FK$325:$ID$396,HD$169,1+SwaptionShift):INDEX($FK$325:$ID$396,HD$169,SwaptionMonthsToGo+SwaptionShift))))))</f>
        <v/>
      </c>
      <c r="HE203" s="479" t="str">
        <f ca="1">IF(OR(HE$169&lt;SwaptionFirstMonthPosition+1,$FJ203&lt;SwaptionFirstMonthPosition+1,HE$169&gt;SwaptionFirstMonthPosition+SwaptionNumOfMonths+1,$FJ203&gt;SwaptionFirstMonthPosition+SwaptionNumOfMonths+1),"",IF($FJ203=HE$169,1,IF($FJ203&lt;HE$169,INDEX($FK$170:$ID$241,HE$169,$FJ203),SUMPRODUCT(INDEX($FK$325:$ID$396,HE$169,1+SwaptionShift):INDEX($FK$325:$ID$396,HE$169,SwaptionMonthsToGo+SwaptionShift),INDEX($FK$245:$ID$316,$FJ203-HE$169,73-HE$169+SwaptionShift):INDEX($FK$245:$ID$316,$FJ203-HE$169,72-HE$169+SwaptionMonthsToGo+SwaptionShift))/SQRT(SUM(INDEX($FK358:$ID358,1+SwaptionShift):INDEX($FK358:$ID358,SwaptionMonthsToGo+SwaptionShift))*SUM(INDEX($FK$325:$ID$396,HE$169,1+SwaptionShift):INDEX($FK$325:$ID$396,HE$169,SwaptionMonthsToGo+SwaptionShift))))))</f>
        <v/>
      </c>
      <c r="HF203" s="479" t="str">
        <f ca="1">IF(OR(HF$169&lt;SwaptionFirstMonthPosition+1,$FJ203&lt;SwaptionFirstMonthPosition+1,HF$169&gt;SwaptionFirstMonthPosition+SwaptionNumOfMonths+1,$FJ203&gt;SwaptionFirstMonthPosition+SwaptionNumOfMonths+1),"",IF($FJ203=HF$169,1,IF($FJ203&lt;HF$169,INDEX($FK$170:$ID$241,HF$169,$FJ203),SUMPRODUCT(INDEX($FK$325:$ID$396,HF$169,1+SwaptionShift):INDEX($FK$325:$ID$396,HF$169,SwaptionMonthsToGo+SwaptionShift),INDEX($FK$245:$ID$316,$FJ203-HF$169,73-HF$169+SwaptionShift):INDEX($FK$245:$ID$316,$FJ203-HF$169,72-HF$169+SwaptionMonthsToGo+SwaptionShift))/SQRT(SUM(INDEX($FK358:$ID358,1+SwaptionShift):INDEX($FK358:$ID358,SwaptionMonthsToGo+SwaptionShift))*SUM(INDEX($FK$325:$ID$396,HF$169,1+SwaptionShift):INDEX($FK$325:$ID$396,HF$169,SwaptionMonthsToGo+SwaptionShift))))))</f>
        <v/>
      </c>
      <c r="HG203" s="479" t="str">
        <f ca="1">IF(OR(HG$169&lt;SwaptionFirstMonthPosition+1,$FJ203&lt;SwaptionFirstMonthPosition+1,HG$169&gt;SwaptionFirstMonthPosition+SwaptionNumOfMonths+1,$FJ203&gt;SwaptionFirstMonthPosition+SwaptionNumOfMonths+1),"",IF($FJ203=HG$169,1,IF($FJ203&lt;HG$169,INDEX($FK$170:$ID$241,HG$169,$FJ203),SUMPRODUCT(INDEX($FK$325:$ID$396,HG$169,1+SwaptionShift):INDEX($FK$325:$ID$396,HG$169,SwaptionMonthsToGo+SwaptionShift),INDEX($FK$245:$ID$316,$FJ203-HG$169,73-HG$169+SwaptionShift):INDEX($FK$245:$ID$316,$FJ203-HG$169,72-HG$169+SwaptionMonthsToGo+SwaptionShift))/SQRT(SUM(INDEX($FK358:$ID358,1+SwaptionShift):INDEX($FK358:$ID358,SwaptionMonthsToGo+SwaptionShift))*SUM(INDEX($FK$325:$ID$396,HG$169,1+SwaptionShift):INDEX($FK$325:$ID$396,HG$169,SwaptionMonthsToGo+SwaptionShift))))))</f>
        <v/>
      </c>
      <c r="HH203" s="479" t="str">
        <f ca="1">IF(OR(HH$169&lt;SwaptionFirstMonthPosition+1,$FJ203&lt;SwaptionFirstMonthPosition+1,HH$169&gt;SwaptionFirstMonthPosition+SwaptionNumOfMonths+1,$FJ203&gt;SwaptionFirstMonthPosition+SwaptionNumOfMonths+1),"",IF($FJ203=HH$169,1,IF($FJ203&lt;HH$169,INDEX($FK$170:$ID$241,HH$169,$FJ203),SUMPRODUCT(INDEX($FK$325:$ID$396,HH$169,1+SwaptionShift):INDEX($FK$325:$ID$396,HH$169,SwaptionMonthsToGo+SwaptionShift),INDEX($FK$245:$ID$316,$FJ203-HH$169,73-HH$169+SwaptionShift):INDEX($FK$245:$ID$316,$FJ203-HH$169,72-HH$169+SwaptionMonthsToGo+SwaptionShift))/SQRT(SUM(INDEX($FK358:$ID358,1+SwaptionShift):INDEX($FK358:$ID358,SwaptionMonthsToGo+SwaptionShift))*SUM(INDEX($FK$325:$ID$396,HH$169,1+SwaptionShift):INDEX($FK$325:$ID$396,HH$169,SwaptionMonthsToGo+SwaptionShift))))))</f>
        <v/>
      </c>
      <c r="HI203" s="479" t="str">
        <f ca="1">IF(OR(HI$169&lt;SwaptionFirstMonthPosition+1,$FJ203&lt;SwaptionFirstMonthPosition+1,HI$169&gt;SwaptionFirstMonthPosition+SwaptionNumOfMonths+1,$FJ203&gt;SwaptionFirstMonthPosition+SwaptionNumOfMonths+1),"",IF($FJ203=HI$169,1,IF($FJ203&lt;HI$169,INDEX($FK$170:$ID$241,HI$169,$FJ203),SUMPRODUCT(INDEX($FK$325:$ID$396,HI$169,1+SwaptionShift):INDEX($FK$325:$ID$396,HI$169,SwaptionMonthsToGo+SwaptionShift),INDEX($FK$245:$ID$316,$FJ203-HI$169,73-HI$169+SwaptionShift):INDEX($FK$245:$ID$316,$FJ203-HI$169,72-HI$169+SwaptionMonthsToGo+SwaptionShift))/SQRT(SUM(INDEX($FK358:$ID358,1+SwaptionShift):INDEX($FK358:$ID358,SwaptionMonthsToGo+SwaptionShift))*SUM(INDEX($FK$325:$ID$396,HI$169,1+SwaptionShift):INDEX($FK$325:$ID$396,HI$169,SwaptionMonthsToGo+SwaptionShift))))))</f>
        <v/>
      </c>
      <c r="HJ203" s="479" t="str">
        <f ca="1">IF(OR(HJ$169&lt;SwaptionFirstMonthPosition+1,$FJ203&lt;SwaptionFirstMonthPosition+1,HJ$169&gt;SwaptionFirstMonthPosition+SwaptionNumOfMonths+1,$FJ203&gt;SwaptionFirstMonthPosition+SwaptionNumOfMonths+1),"",IF($FJ203=HJ$169,1,IF($FJ203&lt;HJ$169,INDEX($FK$170:$ID$241,HJ$169,$FJ203),SUMPRODUCT(INDEX($FK$325:$ID$396,HJ$169,1+SwaptionShift):INDEX($FK$325:$ID$396,HJ$169,SwaptionMonthsToGo+SwaptionShift),INDEX($FK$245:$ID$316,$FJ203-HJ$169,73-HJ$169+SwaptionShift):INDEX($FK$245:$ID$316,$FJ203-HJ$169,72-HJ$169+SwaptionMonthsToGo+SwaptionShift))/SQRT(SUM(INDEX($FK358:$ID358,1+SwaptionShift):INDEX($FK358:$ID358,SwaptionMonthsToGo+SwaptionShift))*SUM(INDEX($FK$325:$ID$396,HJ$169,1+SwaptionShift):INDEX($FK$325:$ID$396,HJ$169,SwaptionMonthsToGo+SwaptionShift))))))</f>
        <v/>
      </c>
      <c r="HK203" s="479" t="str">
        <f ca="1">IF(OR(HK$169&lt;SwaptionFirstMonthPosition+1,$FJ203&lt;SwaptionFirstMonthPosition+1,HK$169&gt;SwaptionFirstMonthPosition+SwaptionNumOfMonths+1,$FJ203&gt;SwaptionFirstMonthPosition+SwaptionNumOfMonths+1),"",IF($FJ203=HK$169,1,IF($FJ203&lt;HK$169,INDEX($FK$170:$ID$241,HK$169,$FJ203),SUMPRODUCT(INDEX($FK$325:$ID$396,HK$169,1+SwaptionShift):INDEX($FK$325:$ID$396,HK$169,SwaptionMonthsToGo+SwaptionShift),INDEX($FK$245:$ID$316,$FJ203-HK$169,73-HK$169+SwaptionShift):INDEX($FK$245:$ID$316,$FJ203-HK$169,72-HK$169+SwaptionMonthsToGo+SwaptionShift))/SQRT(SUM(INDEX($FK358:$ID358,1+SwaptionShift):INDEX($FK358:$ID358,SwaptionMonthsToGo+SwaptionShift))*SUM(INDEX($FK$325:$ID$396,HK$169,1+SwaptionShift):INDEX($FK$325:$ID$396,HK$169,SwaptionMonthsToGo+SwaptionShift))))))</f>
        <v/>
      </c>
      <c r="HL203" s="479" t="str">
        <f ca="1">IF(OR(HL$169&lt;SwaptionFirstMonthPosition+1,$FJ203&lt;SwaptionFirstMonthPosition+1,HL$169&gt;SwaptionFirstMonthPosition+SwaptionNumOfMonths+1,$FJ203&gt;SwaptionFirstMonthPosition+SwaptionNumOfMonths+1),"",IF($FJ203=HL$169,1,IF($FJ203&lt;HL$169,INDEX($FK$170:$ID$241,HL$169,$FJ203),SUMPRODUCT(INDEX($FK$325:$ID$396,HL$169,1+SwaptionShift):INDEX($FK$325:$ID$396,HL$169,SwaptionMonthsToGo+SwaptionShift),INDEX($FK$245:$ID$316,$FJ203-HL$169,73-HL$169+SwaptionShift):INDEX($FK$245:$ID$316,$FJ203-HL$169,72-HL$169+SwaptionMonthsToGo+SwaptionShift))/SQRT(SUM(INDEX($FK358:$ID358,1+SwaptionShift):INDEX($FK358:$ID358,SwaptionMonthsToGo+SwaptionShift))*SUM(INDEX($FK$325:$ID$396,HL$169,1+SwaptionShift):INDEX($FK$325:$ID$396,HL$169,SwaptionMonthsToGo+SwaptionShift))))))</f>
        <v/>
      </c>
      <c r="HM203" s="479" t="str">
        <f ca="1">IF(OR(HM$169&lt;SwaptionFirstMonthPosition+1,$FJ203&lt;SwaptionFirstMonthPosition+1,HM$169&gt;SwaptionFirstMonthPosition+SwaptionNumOfMonths+1,$FJ203&gt;SwaptionFirstMonthPosition+SwaptionNumOfMonths+1),"",IF($FJ203=HM$169,1,IF($FJ203&lt;HM$169,INDEX($FK$170:$ID$241,HM$169,$FJ203),SUMPRODUCT(INDEX($FK$325:$ID$396,HM$169,1+SwaptionShift):INDEX($FK$325:$ID$396,HM$169,SwaptionMonthsToGo+SwaptionShift),INDEX($FK$245:$ID$316,$FJ203-HM$169,73-HM$169+SwaptionShift):INDEX($FK$245:$ID$316,$FJ203-HM$169,72-HM$169+SwaptionMonthsToGo+SwaptionShift))/SQRT(SUM(INDEX($FK358:$ID358,1+SwaptionShift):INDEX($FK358:$ID358,SwaptionMonthsToGo+SwaptionShift))*SUM(INDEX($FK$325:$ID$396,HM$169,1+SwaptionShift):INDEX($FK$325:$ID$396,HM$169,SwaptionMonthsToGo+SwaptionShift))))))</f>
        <v/>
      </c>
      <c r="HN203" s="479" t="str">
        <f ca="1">IF(OR(HN$169&lt;SwaptionFirstMonthPosition+1,$FJ203&lt;SwaptionFirstMonthPosition+1,HN$169&gt;SwaptionFirstMonthPosition+SwaptionNumOfMonths+1,$FJ203&gt;SwaptionFirstMonthPosition+SwaptionNumOfMonths+1),"",IF($FJ203=HN$169,1,IF($FJ203&lt;HN$169,INDEX($FK$170:$ID$241,HN$169,$FJ203),SUMPRODUCT(INDEX($FK$325:$ID$396,HN$169,1+SwaptionShift):INDEX($FK$325:$ID$396,HN$169,SwaptionMonthsToGo+SwaptionShift),INDEX($FK$245:$ID$316,$FJ203-HN$169,73-HN$169+SwaptionShift):INDEX($FK$245:$ID$316,$FJ203-HN$169,72-HN$169+SwaptionMonthsToGo+SwaptionShift))/SQRT(SUM(INDEX($FK358:$ID358,1+SwaptionShift):INDEX($FK358:$ID358,SwaptionMonthsToGo+SwaptionShift))*SUM(INDEX($FK$325:$ID$396,HN$169,1+SwaptionShift):INDEX($FK$325:$ID$396,HN$169,SwaptionMonthsToGo+SwaptionShift))))))</f>
        <v/>
      </c>
      <c r="HO203" s="479" t="str">
        <f ca="1">IF(OR(HO$169&lt;SwaptionFirstMonthPosition+1,$FJ203&lt;SwaptionFirstMonthPosition+1,HO$169&gt;SwaptionFirstMonthPosition+SwaptionNumOfMonths+1,$FJ203&gt;SwaptionFirstMonthPosition+SwaptionNumOfMonths+1),"",IF($FJ203=HO$169,1,IF($FJ203&lt;HO$169,INDEX($FK$170:$ID$241,HO$169,$FJ203),SUMPRODUCT(INDEX($FK$325:$ID$396,HO$169,1+SwaptionShift):INDEX($FK$325:$ID$396,HO$169,SwaptionMonthsToGo+SwaptionShift),INDEX($FK$245:$ID$316,$FJ203-HO$169,73-HO$169+SwaptionShift):INDEX($FK$245:$ID$316,$FJ203-HO$169,72-HO$169+SwaptionMonthsToGo+SwaptionShift))/SQRT(SUM(INDEX($FK358:$ID358,1+SwaptionShift):INDEX($FK358:$ID358,SwaptionMonthsToGo+SwaptionShift))*SUM(INDEX($FK$325:$ID$396,HO$169,1+SwaptionShift):INDEX($FK$325:$ID$396,HO$169,SwaptionMonthsToGo+SwaptionShift))))))</f>
        <v/>
      </c>
      <c r="HP203" s="479" t="str">
        <f ca="1">IF(OR(HP$169&lt;SwaptionFirstMonthPosition+1,$FJ203&lt;SwaptionFirstMonthPosition+1,HP$169&gt;SwaptionFirstMonthPosition+SwaptionNumOfMonths+1,$FJ203&gt;SwaptionFirstMonthPosition+SwaptionNumOfMonths+1),"",IF($FJ203=HP$169,1,IF($FJ203&lt;HP$169,INDEX($FK$170:$ID$241,HP$169,$FJ203),SUMPRODUCT(INDEX($FK$325:$ID$396,HP$169,1+SwaptionShift):INDEX($FK$325:$ID$396,HP$169,SwaptionMonthsToGo+SwaptionShift),INDEX($FK$245:$ID$316,$FJ203-HP$169,73-HP$169+SwaptionShift):INDEX($FK$245:$ID$316,$FJ203-HP$169,72-HP$169+SwaptionMonthsToGo+SwaptionShift))/SQRT(SUM(INDEX($FK358:$ID358,1+SwaptionShift):INDEX($FK358:$ID358,SwaptionMonthsToGo+SwaptionShift))*SUM(INDEX($FK$325:$ID$396,HP$169,1+SwaptionShift):INDEX($FK$325:$ID$396,HP$169,SwaptionMonthsToGo+SwaptionShift))))))</f>
        <v/>
      </c>
      <c r="HQ203" s="479" t="str">
        <f ca="1">IF(OR(HQ$169&lt;SwaptionFirstMonthPosition+1,$FJ203&lt;SwaptionFirstMonthPosition+1,HQ$169&gt;SwaptionFirstMonthPosition+SwaptionNumOfMonths+1,$FJ203&gt;SwaptionFirstMonthPosition+SwaptionNumOfMonths+1),"",IF($FJ203=HQ$169,1,IF($FJ203&lt;HQ$169,INDEX($FK$170:$ID$241,HQ$169,$FJ203),SUMPRODUCT(INDEX($FK$325:$ID$396,HQ$169,1+SwaptionShift):INDEX($FK$325:$ID$396,HQ$169,SwaptionMonthsToGo+SwaptionShift),INDEX($FK$245:$ID$316,$FJ203-HQ$169,73-HQ$169+SwaptionShift):INDEX($FK$245:$ID$316,$FJ203-HQ$169,72-HQ$169+SwaptionMonthsToGo+SwaptionShift))/SQRT(SUM(INDEX($FK358:$ID358,1+SwaptionShift):INDEX($FK358:$ID358,SwaptionMonthsToGo+SwaptionShift))*SUM(INDEX($FK$325:$ID$396,HQ$169,1+SwaptionShift):INDEX($FK$325:$ID$396,HQ$169,SwaptionMonthsToGo+SwaptionShift))))))</f>
        <v/>
      </c>
      <c r="HR203" s="479" t="str">
        <f ca="1">IF(OR(HR$169&lt;SwaptionFirstMonthPosition+1,$FJ203&lt;SwaptionFirstMonthPosition+1,HR$169&gt;SwaptionFirstMonthPosition+SwaptionNumOfMonths+1,$FJ203&gt;SwaptionFirstMonthPosition+SwaptionNumOfMonths+1),"",IF($FJ203=HR$169,1,IF($FJ203&lt;HR$169,INDEX($FK$170:$ID$241,HR$169,$FJ203),SUMPRODUCT(INDEX($FK$325:$ID$396,HR$169,1+SwaptionShift):INDEX($FK$325:$ID$396,HR$169,SwaptionMonthsToGo+SwaptionShift),INDEX($FK$245:$ID$316,$FJ203-HR$169,73-HR$169+SwaptionShift):INDEX($FK$245:$ID$316,$FJ203-HR$169,72-HR$169+SwaptionMonthsToGo+SwaptionShift))/SQRT(SUM(INDEX($FK358:$ID358,1+SwaptionShift):INDEX($FK358:$ID358,SwaptionMonthsToGo+SwaptionShift))*SUM(INDEX($FK$325:$ID$396,HR$169,1+SwaptionShift):INDEX($FK$325:$ID$396,HR$169,SwaptionMonthsToGo+SwaptionShift))))))</f>
        <v/>
      </c>
      <c r="HS203" s="479" t="str">
        <f ca="1">IF(OR(HS$169&lt;SwaptionFirstMonthPosition+1,$FJ203&lt;SwaptionFirstMonthPosition+1,HS$169&gt;SwaptionFirstMonthPosition+SwaptionNumOfMonths+1,$FJ203&gt;SwaptionFirstMonthPosition+SwaptionNumOfMonths+1),"",IF($FJ203=HS$169,1,IF($FJ203&lt;HS$169,INDEX($FK$170:$ID$241,HS$169,$FJ203),SUMPRODUCT(INDEX($FK$325:$ID$396,HS$169,1+SwaptionShift):INDEX($FK$325:$ID$396,HS$169,SwaptionMonthsToGo+SwaptionShift),INDEX($FK$245:$ID$316,$FJ203-HS$169,73-HS$169+SwaptionShift):INDEX($FK$245:$ID$316,$FJ203-HS$169,72-HS$169+SwaptionMonthsToGo+SwaptionShift))/SQRT(SUM(INDEX($FK358:$ID358,1+SwaptionShift):INDEX($FK358:$ID358,SwaptionMonthsToGo+SwaptionShift))*SUM(INDEX($FK$325:$ID$396,HS$169,1+SwaptionShift):INDEX($FK$325:$ID$396,HS$169,SwaptionMonthsToGo+SwaptionShift))))))</f>
        <v/>
      </c>
      <c r="HT203" s="479" t="str">
        <f ca="1">IF(OR(HT$169&lt;SwaptionFirstMonthPosition+1,$FJ203&lt;SwaptionFirstMonthPosition+1,HT$169&gt;SwaptionFirstMonthPosition+SwaptionNumOfMonths+1,$FJ203&gt;SwaptionFirstMonthPosition+SwaptionNumOfMonths+1),"",IF($FJ203=HT$169,1,IF($FJ203&lt;HT$169,INDEX($FK$170:$ID$241,HT$169,$FJ203),SUMPRODUCT(INDEX($FK$325:$ID$396,HT$169,1+SwaptionShift):INDEX($FK$325:$ID$396,HT$169,SwaptionMonthsToGo+SwaptionShift),INDEX($FK$245:$ID$316,$FJ203-HT$169,73-HT$169+SwaptionShift):INDEX($FK$245:$ID$316,$FJ203-HT$169,72-HT$169+SwaptionMonthsToGo+SwaptionShift))/SQRT(SUM(INDEX($FK358:$ID358,1+SwaptionShift):INDEX($FK358:$ID358,SwaptionMonthsToGo+SwaptionShift))*SUM(INDEX($FK$325:$ID$396,HT$169,1+SwaptionShift):INDEX($FK$325:$ID$396,HT$169,SwaptionMonthsToGo+SwaptionShift))))))</f>
        <v/>
      </c>
      <c r="HU203" s="479" t="str">
        <f ca="1">IF(OR(HU$169&lt;SwaptionFirstMonthPosition+1,$FJ203&lt;SwaptionFirstMonthPosition+1,HU$169&gt;SwaptionFirstMonthPosition+SwaptionNumOfMonths+1,$FJ203&gt;SwaptionFirstMonthPosition+SwaptionNumOfMonths+1),"",IF($FJ203=HU$169,1,IF($FJ203&lt;HU$169,INDEX($FK$170:$ID$241,HU$169,$FJ203),SUMPRODUCT(INDEX($FK$325:$ID$396,HU$169,1+SwaptionShift):INDEX($FK$325:$ID$396,HU$169,SwaptionMonthsToGo+SwaptionShift),INDEX($FK$245:$ID$316,$FJ203-HU$169,73-HU$169+SwaptionShift):INDEX($FK$245:$ID$316,$FJ203-HU$169,72-HU$169+SwaptionMonthsToGo+SwaptionShift))/SQRT(SUM(INDEX($FK358:$ID358,1+SwaptionShift):INDEX($FK358:$ID358,SwaptionMonthsToGo+SwaptionShift))*SUM(INDEX($FK$325:$ID$396,HU$169,1+SwaptionShift):INDEX($FK$325:$ID$396,HU$169,SwaptionMonthsToGo+SwaptionShift))))))</f>
        <v/>
      </c>
      <c r="HV203" s="479" t="str">
        <f ca="1">IF(OR(HV$169&lt;SwaptionFirstMonthPosition+1,$FJ203&lt;SwaptionFirstMonthPosition+1,HV$169&gt;SwaptionFirstMonthPosition+SwaptionNumOfMonths+1,$FJ203&gt;SwaptionFirstMonthPosition+SwaptionNumOfMonths+1),"",IF($FJ203=HV$169,1,IF($FJ203&lt;HV$169,INDEX($FK$170:$ID$241,HV$169,$FJ203),SUMPRODUCT(INDEX($FK$325:$ID$396,HV$169,1+SwaptionShift):INDEX($FK$325:$ID$396,HV$169,SwaptionMonthsToGo+SwaptionShift),INDEX($FK$245:$ID$316,$FJ203-HV$169,73-HV$169+SwaptionShift):INDEX($FK$245:$ID$316,$FJ203-HV$169,72-HV$169+SwaptionMonthsToGo+SwaptionShift))/SQRT(SUM(INDEX($FK358:$ID358,1+SwaptionShift):INDEX($FK358:$ID358,SwaptionMonthsToGo+SwaptionShift))*SUM(INDEX($FK$325:$ID$396,HV$169,1+SwaptionShift):INDEX($FK$325:$ID$396,HV$169,SwaptionMonthsToGo+SwaptionShift))))))</f>
        <v/>
      </c>
      <c r="HW203" s="479" t="str">
        <f ca="1">IF(OR(HW$169&lt;SwaptionFirstMonthPosition+1,$FJ203&lt;SwaptionFirstMonthPosition+1,HW$169&gt;SwaptionFirstMonthPosition+SwaptionNumOfMonths+1,$FJ203&gt;SwaptionFirstMonthPosition+SwaptionNumOfMonths+1),"",IF($FJ203=HW$169,1,IF($FJ203&lt;HW$169,INDEX($FK$170:$ID$241,HW$169,$FJ203),SUMPRODUCT(INDEX($FK$325:$ID$396,HW$169,1+SwaptionShift):INDEX($FK$325:$ID$396,HW$169,SwaptionMonthsToGo+SwaptionShift),INDEX($FK$245:$ID$316,$FJ203-HW$169,73-HW$169+SwaptionShift):INDEX($FK$245:$ID$316,$FJ203-HW$169,72-HW$169+SwaptionMonthsToGo+SwaptionShift))/SQRT(SUM(INDEX($FK358:$ID358,1+SwaptionShift):INDEX($FK358:$ID358,SwaptionMonthsToGo+SwaptionShift))*SUM(INDEX($FK$325:$ID$396,HW$169,1+SwaptionShift):INDEX($FK$325:$ID$396,HW$169,SwaptionMonthsToGo+SwaptionShift))))))</f>
        <v/>
      </c>
      <c r="HX203" s="479" t="str">
        <f ca="1">IF(OR(HX$169&lt;SwaptionFirstMonthPosition+1,$FJ203&lt;SwaptionFirstMonthPosition+1,HX$169&gt;SwaptionFirstMonthPosition+SwaptionNumOfMonths+1,$FJ203&gt;SwaptionFirstMonthPosition+SwaptionNumOfMonths+1),"",IF($FJ203=HX$169,1,IF($FJ203&lt;HX$169,INDEX($FK$170:$ID$241,HX$169,$FJ203),SUMPRODUCT(INDEX($FK$325:$ID$396,HX$169,1+SwaptionShift):INDEX($FK$325:$ID$396,HX$169,SwaptionMonthsToGo+SwaptionShift),INDEX($FK$245:$ID$316,$FJ203-HX$169,73-HX$169+SwaptionShift):INDEX($FK$245:$ID$316,$FJ203-HX$169,72-HX$169+SwaptionMonthsToGo+SwaptionShift))/SQRT(SUM(INDEX($FK358:$ID358,1+SwaptionShift):INDEX($FK358:$ID358,SwaptionMonthsToGo+SwaptionShift))*SUM(INDEX($FK$325:$ID$396,HX$169,1+SwaptionShift):INDEX($FK$325:$ID$396,HX$169,SwaptionMonthsToGo+SwaptionShift))))))</f>
        <v/>
      </c>
      <c r="HY203" s="479" t="str">
        <f ca="1">IF(OR(HY$169&lt;SwaptionFirstMonthPosition+1,$FJ203&lt;SwaptionFirstMonthPosition+1,HY$169&gt;SwaptionFirstMonthPosition+SwaptionNumOfMonths+1,$FJ203&gt;SwaptionFirstMonthPosition+SwaptionNumOfMonths+1),"",IF($FJ203=HY$169,1,IF($FJ203&lt;HY$169,INDEX($FK$170:$ID$241,HY$169,$FJ203),SUMPRODUCT(INDEX($FK$325:$ID$396,HY$169,1+SwaptionShift):INDEX($FK$325:$ID$396,HY$169,SwaptionMonthsToGo+SwaptionShift),INDEX($FK$245:$ID$316,$FJ203-HY$169,73-HY$169+SwaptionShift):INDEX($FK$245:$ID$316,$FJ203-HY$169,72-HY$169+SwaptionMonthsToGo+SwaptionShift))/SQRT(SUM(INDEX($FK358:$ID358,1+SwaptionShift):INDEX($FK358:$ID358,SwaptionMonthsToGo+SwaptionShift))*SUM(INDEX($FK$325:$ID$396,HY$169,1+SwaptionShift):INDEX($FK$325:$ID$396,HY$169,SwaptionMonthsToGo+SwaptionShift))))))</f>
        <v/>
      </c>
      <c r="HZ203" s="479" t="str">
        <f ca="1">IF(OR(HZ$169&lt;SwaptionFirstMonthPosition+1,$FJ203&lt;SwaptionFirstMonthPosition+1,HZ$169&gt;SwaptionFirstMonthPosition+SwaptionNumOfMonths+1,$FJ203&gt;SwaptionFirstMonthPosition+SwaptionNumOfMonths+1),"",IF($FJ203=HZ$169,1,IF($FJ203&lt;HZ$169,INDEX($FK$170:$ID$241,HZ$169,$FJ203),SUMPRODUCT(INDEX($FK$325:$ID$396,HZ$169,1+SwaptionShift):INDEX($FK$325:$ID$396,HZ$169,SwaptionMonthsToGo+SwaptionShift),INDEX($FK$245:$ID$316,$FJ203-HZ$169,73-HZ$169+SwaptionShift):INDEX($FK$245:$ID$316,$FJ203-HZ$169,72-HZ$169+SwaptionMonthsToGo+SwaptionShift))/SQRT(SUM(INDEX($FK358:$ID358,1+SwaptionShift):INDEX($FK358:$ID358,SwaptionMonthsToGo+SwaptionShift))*SUM(INDEX($FK$325:$ID$396,HZ$169,1+SwaptionShift):INDEX($FK$325:$ID$396,HZ$169,SwaptionMonthsToGo+SwaptionShift))))))</f>
        <v/>
      </c>
      <c r="IA203" s="479" t="str">
        <f ca="1">IF(OR(IA$169&lt;SwaptionFirstMonthPosition+1,$FJ203&lt;SwaptionFirstMonthPosition+1,IA$169&gt;SwaptionFirstMonthPosition+SwaptionNumOfMonths+1,$FJ203&gt;SwaptionFirstMonthPosition+SwaptionNumOfMonths+1),"",IF($FJ203=IA$169,1,IF($FJ203&lt;IA$169,INDEX($FK$170:$ID$241,IA$169,$FJ203),SUMPRODUCT(INDEX($FK$325:$ID$396,IA$169,1+SwaptionShift):INDEX($FK$325:$ID$396,IA$169,SwaptionMonthsToGo+SwaptionShift),INDEX($FK$245:$ID$316,$FJ203-IA$169,73-IA$169+SwaptionShift):INDEX($FK$245:$ID$316,$FJ203-IA$169,72-IA$169+SwaptionMonthsToGo+SwaptionShift))/SQRT(SUM(INDEX($FK358:$ID358,1+SwaptionShift):INDEX($FK358:$ID358,SwaptionMonthsToGo+SwaptionShift))*SUM(INDEX($FK$325:$ID$396,IA$169,1+SwaptionShift):INDEX($FK$325:$ID$396,IA$169,SwaptionMonthsToGo+SwaptionShift))))))</f>
        <v/>
      </c>
      <c r="IB203" s="479" t="str">
        <f ca="1">IF(OR(IB$169&lt;SwaptionFirstMonthPosition+1,$FJ203&lt;SwaptionFirstMonthPosition+1,IB$169&gt;SwaptionFirstMonthPosition+SwaptionNumOfMonths+1,$FJ203&gt;SwaptionFirstMonthPosition+SwaptionNumOfMonths+1),"",IF($FJ203=IB$169,1,IF($FJ203&lt;IB$169,INDEX($FK$170:$ID$241,IB$169,$FJ203),SUMPRODUCT(INDEX($FK$325:$ID$396,IB$169,1+SwaptionShift):INDEX($FK$325:$ID$396,IB$169,SwaptionMonthsToGo+SwaptionShift),INDEX($FK$245:$ID$316,$FJ203-IB$169,73-IB$169+SwaptionShift):INDEX($FK$245:$ID$316,$FJ203-IB$169,72-IB$169+SwaptionMonthsToGo+SwaptionShift))/SQRT(SUM(INDEX($FK358:$ID358,1+SwaptionShift):INDEX($FK358:$ID358,SwaptionMonthsToGo+SwaptionShift))*SUM(INDEX($FK$325:$ID$396,IB$169,1+SwaptionShift):INDEX($FK$325:$ID$396,IB$169,SwaptionMonthsToGo+SwaptionShift))))))</f>
        <v/>
      </c>
      <c r="IC203" s="479" t="str">
        <f ca="1">IF(OR(IC$169&lt;SwaptionFirstMonthPosition+1,$FJ203&lt;SwaptionFirstMonthPosition+1,IC$169&gt;SwaptionFirstMonthPosition+SwaptionNumOfMonths+1,$FJ203&gt;SwaptionFirstMonthPosition+SwaptionNumOfMonths+1),"",IF($FJ203=IC$169,1,IF($FJ203&lt;IC$169,INDEX($FK$170:$ID$241,IC$169,$FJ203),SUMPRODUCT(INDEX($FK$325:$ID$396,IC$169,1+SwaptionShift):INDEX($FK$325:$ID$396,IC$169,SwaptionMonthsToGo+SwaptionShift),INDEX($FK$245:$ID$316,$FJ203-IC$169,73-IC$169+SwaptionShift):INDEX($FK$245:$ID$316,$FJ203-IC$169,72-IC$169+SwaptionMonthsToGo+SwaptionShift))/SQRT(SUM(INDEX($FK358:$ID358,1+SwaptionShift):INDEX($FK358:$ID358,SwaptionMonthsToGo+SwaptionShift))*SUM(INDEX($FK$325:$ID$396,IC$169,1+SwaptionShift):INDEX($FK$325:$ID$396,IC$169,SwaptionMonthsToGo+SwaptionShift))))))</f>
        <v/>
      </c>
      <c r="ID203" s="678" t="str">
        <f ca="1">IF(OR(ID$169&lt;SwaptionFirstMonthPosition+1,$FJ203&lt;SwaptionFirstMonthPosition+1,ID$169&gt;SwaptionFirstMonthPosition+SwaptionNumOfMonths+1,$FJ203&gt;SwaptionFirstMonthPosition+SwaptionNumOfMonths+1),"",IF($FJ203=ID$169,1,IF($FJ203&lt;ID$169,INDEX($FK$170:$ID$241,ID$169,$FJ203),SUMPRODUCT(INDEX($FK$325:$ID$396,ID$169,1+SwaptionShift):INDEX($FK$325:$ID$396,ID$169,SwaptionMonthsToGo+SwaptionShift),INDEX($FK$245:$ID$316,$FJ203-ID$169,73-ID$169+SwaptionShift):INDEX($FK$245:$ID$316,$FJ203-ID$169,72-ID$169+SwaptionMonthsToGo+SwaptionShift))/SQRT(SUM(INDEX($FK358:$ID358,1+SwaptionShift):INDEX($FK358:$ID358,SwaptionMonthsToGo+SwaptionShift))*SUM(INDEX($FK$325:$ID$396,ID$169,1+SwaptionShift):INDEX($FK$325:$ID$396,ID$169,SwaptionMonthsToGo+SwaptionShift))))))</f>
        <v/>
      </c>
      <c r="IE203" s="250"/>
    </row>
    <row r="204" spans="8:239">
      <c r="H204" s="51">
        <f t="shared" ca="1" si="527"/>
        <v>0</v>
      </c>
      <c r="I204" s="379">
        <f t="shared" si="528"/>
        <v>42370</v>
      </c>
      <c r="J204" s="377"/>
      <c r="K204" s="104" t="s">
        <v>268</v>
      </c>
      <c r="L204" s="392">
        <f t="shared" si="529"/>
        <v>4.050000000000006</v>
      </c>
      <c r="M204" s="171"/>
      <c r="N204" s="382">
        <v>0</v>
      </c>
      <c r="O204" s="171">
        <f t="shared" si="596"/>
        <v>0</v>
      </c>
      <c r="P204" s="377"/>
      <c r="Q204" s="104" t="s">
        <v>268</v>
      </c>
      <c r="R204" s="377">
        <f t="shared" ca="1" si="597"/>
        <v>2.840974431442548</v>
      </c>
      <c r="S204" s="832">
        <f t="shared" si="564"/>
        <v>0.3600000000000001</v>
      </c>
      <c r="T204" s="831">
        <f t="shared" si="548"/>
        <v>0.99999999999996592</v>
      </c>
      <c r="U204" s="545">
        <f t="shared" si="549"/>
        <v>0.99999999999999978</v>
      </c>
      <c r="V204" s="389">
        <v>0</v>
      </c>
      <c r="W204" s="434">
        <f t="shared" si="598"/>
        <v>0</v>
      </c>
      <c r="X204" s="415">
        <f t="shared" si="599"/>
        <v>4.1006250000000053</v>
      </c>
      <c r="Y204" s="322">
        <f t="shared" si="600"/>
        <v>-1.1684999999999999</v>
      </c>
      <c r="Z204" s="322">
        <f t="shared" ca="1" si="601"/>
        <v>2.9321250000000054</v>
      </c>
      <c r="AA204" s="429">
        <f t="shared" si="495"/>
        <v>1.1684999999999999</v>
      </c>
      <c r="AB204" s="433">
        <f t="shared" ca="1" si="496"/>
        <v>1.1684999999999999</v>
      </c>
      <c r="AC204" s="229">
        <v>42358</v>
      </c>
      <c r="AD204" s="229">
        <v>42354</v>
      </c>
      <c r="AE204" s="229">
        <v>42353</v>
      </c>
      <c r="AF204" s="229">
        <v>42349</v>
      </c>
      <c r="AG204" s="249" t="s">
        <v>499</v>
      </c>
      <c r="AH204" s="247" t="s">
        <v>499</v>
      </c>
      <c r="AI204" s="146">
        <v>20</v>
      </c>
      <c r="AJ204" s="41">
        <v>13</v>
      </c>
      <c r="AK204" s="41">
        <v>7</v>
      </c>
      <c r="AL204" s="293">
        <v>20</v>
      </c>
      <c r="AM204" s="41">
        <v>9</v>
      </c>
      <c r="AN204" s="147">
        <v>11</v>
      </c>
      <c r="AO204" s="374"/>
      <c r="AP204" s="153">
        <f t="shared" ca="1" si="530"/>
        <v>1</v>
      </c>
      <c r="AQ204" s="374"/>
      <c r="AR204" s="153">
        <f t="shared" ca="1" si="550"/>
        <v>1</v>
      </c>
      <c r="AS204" s="272">
        <f t="shared" si="602"/>
        <v>0</v>
      </c>
      <c r="AT204" s="157">
        <f t="shared" si="531"/>
        <v>0</v>
      </c>
      <c r="AU204" s="157">
        <f t="shared" si="498"/>
        <v>0</v>
      </c>
      <c r="AV204" s="271">
        <f t="shared" ca="1" si="558"/>
        <v>9.9999999999999995E-7</v>
      </c>
      <c r="AW204" s="158" t="str">
        <f t="shared" ca="1" si="583"/>
        <v/>
      </c>
      <c r="AX204" s="157">
        <f t="shared" ca="1" si="551"/>
        <v>5.1086729401449909E-5</v>
      </c>
      <c r="AY204" s="157">
        <f t="shared" ca="1" si="552"/>
        <v>1.159267617263941E-5</v>
      </c>
      <c r="AZ204" s="157">
        <f t="shared" ca="1" si="553"/>
        <v>3.5401819013594327E-7</v>
      </c>
      <c r="BA204" s="157">
        <f t="shared" ca="1" si="554"/>
        <v>4.4252273766992909E-8</v>
      </c>
      <c r="BB204" s="157">
        <f t="shared" ca="1" si="555"/>
        <v>1.8839199461109036E-10</v>
      </c>
      <c r="BC204" s="157">
        <f t="shared" ca="1" si="556"/>
        <v>3.9165274670973303E-12</v>
      </c>
      <c r="BD204" s="151">
        <f t="shared" ca="1" si="603"/>
        <v>0</v>
      </c>
      <c r="BE204" s="152">
        <f t="shared" ca="1" si="604"/>
        <v>0</v>
      </c>
      <c r="BF204" s="40">
        <f t="shared" si="605"/>
        <v>2016</v>
      </c>
      <c r="BG204" s="144">
        <f t="shared" si="606"/>
        <v>1</v>
      </c>
      <c r="BH204" s="145">
        <f t="shared" ca="1" si="607"/>
        <v>5609</v>
      </c>
      <c r="BI204" s="313">
        <f t="shared" ca="1" si="608"/>
        <v>15.400410677618069</v>
      </c>
      <c r="BJ204" s="42">
        <f t="shared" ca="1" si="505"/>
        <v>15.453798767967145</v>
      </c>
      <c r="BK204" s="42">
        <f t="shared" ca="1" si="506"/>
        <v>15.456536618754278</v>
      </c>
      <c r="BL204" s="42">
        <f t="shared" ca="1" si="609"/>
        <v>15.482546201232033</v>
      </c>
      <c r="BM204" s="150" t="e">
        <f t="shared" ca="1" si="507"/>
        <v>#DIV/0!</v>
      </c>
      <c r="BN204" s="42" t="e">
        <f t="shared" ca="1" si="508"/>
        <v>#DIV/0!</v>
      </c>
      <c r="BO204" s="293">
        <f t="shared" si="610"/>
        <v>20</v>
      </c>
      <c r="BP204" s="41">
        <f t="shared" si="611"/>
        <v>13</v>
      </c>
      <c r="BQ204" s="41">
        <f t="shared" si="612"/>
        <v>7</v>
      </c>
      <c r="BR204" s="305" t="str">
        <f t="shared" ca="1" si="509"/>
        <v/>
      </c>
      <c r="BS204" s="305" t="str">
        <f t="shared" ca="1" si="613"/>
        <v/>
      </c>
      <c r="BT204" s="307" t="str">
        <f t="shared" ca="1" si="614"/>
        <v/>
      </c>
      <c r="BU204" s="161" t="str">
        <f t="shared" ca="1" si="510"/>
        <v/>
      </c>
      <c r="BV204" s="161" t="str">
        <f t="shared" ca="1" si="511"/>
        <v/>
      </c>
      <c r="BW204" s="308" t="str">
        <f t="shared" ca="1" si="512"/>
        <v/>
      </c>
      <c r="BX204" s="309" t="str">
        <f t="shared" ca="1" si="513"/>
        <v/>
      </c>
      <c r="BY204" s="308" t="str">
        <f t="shared" ca="1" si="615"/>
        <v/>
      </c>
      <c r="BZ204" s="309" t="str">
        <f t="shared" ca="1" si="616"/>
        <v/>
      </c>
      <c r="CA204" s="154" t="str">
        <f t="shared" ca="1" si="514"/>
        <v/>
      </c>
      <c r="CB204" s="154" t="str">
        <f t="shared" ca="1" si="515"/>
        <v/>
      </c>
      <c r="CC204" s="154" t="str">
        <f t="shared" ca="1" si="516"/>
        <v/>
      </c>
      <c r="CD204" s="154" t="str">
        <f t="shared" ca="1" si="517"/>
        <v/>
      </c>
      <c r="CE204" s="310">
        <v>1</v>
      </c>
      <c r="CF204" s="162">
        <f ca="1">IF(BD204,_xll.xCrudeAPO(BU204,BV204,CA204,CB204,S205,S206,BI204,BL204,BP204,BQ204,0,Strike1,AO204,CE204,0,BL204,IF(OptControl=4,0,1),0,1),0)</f>
        <v>0</v>
      </c>
      <c r="CG204" s="163">
        <f ca="1">IF(BD204,_xll.xCrudeAPO(BU204,BV204,CA204,CB204,S205,S206,BI204,BL204,BP204,BQ204,0,Strike1,AO204,CE204,0,BL204,IF(OptControl=4,0,1),1,1)+_xll.xCrudeAPO(BU204,BV204,CA204,CB204,S205,S206,BI204,BL204,BP204,BQ204,0,Strike1,AO204,CE204,0,BL204,IF(OptControl=4,0,1),1,2)+IF(OR(VolSkewFlag=2,ABS(BS204)&lt;0.0001),0,IF(BS204&gt;0,-1,1)*CH204*Strike1/BR204^2*BY204/10%),0)</f>
        <v>0</v>
      </c>
      <c r="CH204" s="163">
        <f ca="1">IF(BD204,(_xll.xCrudeAPO(BU204,BV204,CA204,CB204,S205,S206,BI204,BL204,BP204,BQ204,0,Strike1,AO204,CE204,0,BL204,IF(OptControl=4,0,1),3,1)+_xll.xCrudeAPO(BU204,BV204,CA204,CB204,S205,S206,BI204,BL204,BP204,BQ204,0,Strike1,AO204,CE204,0,BL204,IF(OptControl=4,0,1),3,2))/100,0)</f>
        <v>0</v>
      </c>
      <c r="CI204" s="163">
        <f ca="1">IF(BD204,_xll.xCrudeAPO(BU204,BV204,CA204,CB204,S205,S206,BI204-DaysForThetaCalculation/365.25,BL204-DaysForThetaCalculation/365.25,BP204,BQ204,0,Strike1,AO204,CE204,0,BL204,IF(OptControl=4,0,1),0,1)-_xll.xCrudeAPO(BU204,BV204,CA204,CB204,S205,S206,BI204,BL204,BP204,BQ204,0,Strike1,AO204,CE204,0,BL204,IF(OptControl=4,0,1),0,1),0)</f>
        <v>0</v>
      </c>
      <c r="CJ204" s="311">
        <f ca="1">IF(BD204,_xll.xCrudeAPO(BU204,BV204,CC204,CD204,S205,S206,BI204,BL204,BP204,BQ204,0,Strike2,AO204,CE204,0,BL204,IF(OptControl=3,1,0),0,1),0)</f>
        <v>0</v>
      </c>
      <c r="CK204" s="163">
        <f ca="1">IF(BD204,_xll.xCrudeAPO(BU204,BV204,CC204,CD204,S205,S206,BI204,BL204,BP204,BQ204,0,Strike2,AO204,CE204,0,BL204,IF(OptControl=3,1,0),1,1)+_xll.xCrudeAPO(BU204,BV204,CC204,CD204,S205,S206,BI204,BL204,BP204,BQ204,0,Strike2,AO204,CE204,0,BL204,IF(OptControl=3,1,0),1,2)+IF(OR(VolSkewFlag=2,ABS(BT204)&lt;0.0001),0,IF(BT204&gt;0,-1,1)*CL204*Strike2/BR204^2*BZ204/10%),0)</f>
        <v>0</v>
      </c>
      <c r="CL204" s="163">
        <f ca="1">IF(BD204,(_xll.xCrudeAPO(BU204,BV204,CC204,CD204,S205,S206,BI204,BL204,BP204,BQ204,0,Strike2,AO204,CE204,0,BL204,IF(OptControl=3,1,0),3,1)+_xll.xCrudeAPO(BU204,BV204,CC204,CD204,S205,S206,BI204,BL204,BP204,BQ204,0,Strike2,AO204,CE204,0,BL204,IF(OptControl=3,1,0),3,2))/100,0)</f>
        <v>0</v>
      </c>
      <c r="CM204" s="164">
        <f ca="1">IF(BD204,_xll.xCrudeAPO(BU204,BV204,CC204,CD204,S205,S206,BI204-DaysForThetaCalculation/365.25,BL204-DaysForThetaCalculation/365.25,BP204,BQ204,0,Strike2,AO204,CE204,0,BL204,IF(OptControl=3,1,0),0,1)-_xll.xCrudeAPO(BU204,BV204,CC204,CD204,S205,S206,BI204,BL204,BP204,BQ204,0,Strike2,AO204,CE204,0,BL204,IF(OptControl=3,1,0),0,1),0)</f>
        <v>0</v>
      </c>
      <c r="CN204" s="53"/>
      <c r="CO204" s="796" t="str">
        <f t="shared" ca="1" si="532"/>
        <v/>
      </c>
      <c r="CP204" s="800" t="str">
        <f t="shared" ca="1" si="533"/>
        <v/>
      </c>
      <c r="CQ204" s="797" t="str">
        <f t="shared" ca="1" si="534"/>
        <v/>
      </c>
      <c r="CR204" s="797" t="str">
        <f t="shared" ca="1" si="535"/>
        <v/>
      </c>
      <c r="CS204" s="797" t="str">
        <f t="shared" ca="1" si="536"/>
        <v/>
      </c>
      <c r="CT204" s="797" t="str">
        <f t="shared" ca="1" si="537"/>
        <v/>
      </c>
      <c r="CU204" s="798" t="str">
        <f t="shared" ca="1" si="538"/>
        <v/>
      </c>
      <c r="CV204" s="799" t="str">
        <f t="shared" ca="1" si="539"/>
        <v/>
      </c>
      <c r="CW204" s="799" t="str">
        <f t="shared" ca="1" si="540"/>
        <v/>
      </c>
      <c r="CX204" s="163">
        <f ca="1">IF(BD204,_xll.EURO(CP204,Strike1,AO204,AO204,CV204,CO204,IF(OptControl=4,0,1),0),0)</f>
        <v>0</v>
      </c>
      <c r="CY204" s="163">
        <f ca="1">IF(BD204,_xll.EURO(CP204,Strike1,AO204,AO204,CV204,CO204,IF(OptControl=4,0,1),1)+IF(OR(VolSkewFlag=2,ABS(CQ204)&lt;0.0001),0,IF(CQ204&gt;0,-1,1)*CZ204*100*Strike1/CP204^2*CS204/10%),0)</f>
        <v>0</v>
      </c>
      <c r="CZ204" s="163">
        <f ca="1">IF(BD204,_xll.EURO(CP204,Strike1,AO204,AO204,CV204,CO204,IF(OptControl=4,0,1),3)/100,0)</f>
        <v>0</v>
      </c>
      <c r="DA204" s="163">
        <f ca="1">IF(BD204,_xll.EURO(CP204,Strike1,AO204,AO204,CV204,CO204,IF(OptControl=4,0,1),0)-_xll.EURO(CP204,Strike1,AO204,AO204,CV204,CO204-1,IF(OptControl=4,0,1),0),0)</f>
        <v>0</v>
      </c>
      <c r="DB204" s="163">
        <f ca="1">IF(BD204,_xll.EURO(CP204,Strike2,AO204,AO204,CW204,CO204,IF(OptControl=3,1,0),0),0)</f>
        <v>0</v>
      </c>
      <c r="DC204" s="163">
        <f ca="1">IF(BD204,_xll.EURO(CP204,Strike2,AO204,AO204,CW204,CO204,IF(OptControl=3,1,0),1)+IF(OR(VolSkewFlag=2,ABS(CR204)&lt;0.0001),0,IF(CR204&gt;0,-1,1)*DD204*100*Strike2/CP204^2*CT204/10%),0)</f>
        <v>0</v>
      </c>
      <c r="DD204" s="163">
        <f ca="1">IF(BD204,_xll.EURO(CP204,Strike2,AO204,AO204,CW204,CO204,IF(OptControl=3,1,0),3)/100,0)</f>
        <v>0</v>
      </c>
      <c r="DE204" s="164">
        <f ca="1">IF(BD204,_xll.EURO(CP204,Strike2,AO204,AO204,CW204,CO204,IF(OptControl=3,1,0),0)-_xll.EURO(CP204,Strike2,AO204,AO204,CW204,CO204-1,IF(OptControl=3,1,0),0),0)</f>
        <v>0</v>
      </c>
      <c r="DG204" s="667">
        <f t="shared" ca="1" si="541"/>
        <v>42156</v>
      </c>
      <c r="DH204" s="475">
        <v>23.360000000000078</v>
      </c>
      <c r="DI204" s="665">
        <v>23.425909090909169</v>
      </c>
      <c r="DJ204" s="666">
        <f t="shared" ca="1" si="617"/>
        <v>42156</v>
      </c>
      <c r="DK204" s="475">
        <v>21.944769237289137</v>
      </c>
      <c r="DL204" s="665">
        <v>22.13440909090917</v>
      </c>
      <c r="DM204" s="667">
        <f t="shared" ca="1" si="618"/>
        <v>42156</v>
      </c>
      <c r="DN204" s="668">
        <f t="shared" si="619"/>
        <v>21.994769237289137</v>
      </c>
      <c r="DO204" s="667">
        <f t="shared" ca="1" si="620"/>
        <v>42156</v>
      </c>
      <c r="DP204" s="579">
        <f t="shared" si="621"/>
        <v>22.13440909090917</v>
      </c>
      <c r="DQ204" s="821">
        <v>0</v>
      </c>
      <c r="DR204" s="666">
        <f t="shared" ca="1" si="622"/>
        <v>42156</v>
      </c>
      <c r="DS204" s="669">
        <v>0.11419999999999803</v>
      </c>
      <c r="DT204" s="606">
        <v>0.11340909090908893</v>
      </c>
      <c r="DU204" s="666">
        <f t="shared" ca="1" si="623"/>
        <v>42156</v>
      </c>
      <c r="DV204" s="669">
        <v>0.11419999999999803</v>
      </c>
      <c r="DW204" s="606">
        <v>0.11340909090908893</v>
      </c>
      <c r="DX204" s="667">
        <f t="shared" ca="1" si="624"/>
        <v>42156</v>
      </c>
      <c r="DY204" s="606">
        <v>0.35</v>
      </c>
      <c r="DZ204" s="667">
        <f t="shared" ca="1" si="625"/>
        <v>42156</v>
      </c>
      <c r="EA204" s="606">
        <f t="shared" si="626"/>
        <v>0.11340909090908893</v>
      </c>
      <c r="EB204" s="1"/>
      <c r="EC204" s="118" t="str">
        <f t="shared" ca="1" si="627"/>
        <v/>
      </c>
      <c r="ED204" s="119" t="str">
        <f t="shared" ca="1" si="525"/>
        <v/>
      </c>
      <c r="EE204" s="112" t="str">
        <f t="shared" ca="1" si="526"/>
        <v/>
      </c>
      <c r="EF204" s="120">
        <f ca="1">IF(BD204,_xll.xASN(BR204,Strike1,AO204,ED204,0,BO204,0,BI204,BL204,IF(OptControl=4,0,1),0),0)</f>
        <v>0</v>
      </c>
      <c r="EG204" s="111">
        <f ca="1">IF(BD204,_xll.xASN(BR204,Strike2,AO204,EE204,0,BO204,0,BI204,BL204,IF(OptControl=3,1,0),0),0)</f>
        <v>0</v>
      </c>
      <c r="EL204" s="55"/>
      <c r="EM204" s="1"/>
      <c r="EN204" s="106"/>
      <c r="EO204" s="106"/>
      <c r="EP204" s="1"/>
      <c r="EQ204" s="683" t="s">
        <v>418</v>
      </c>
      <c r="ES204" s="455"/>
      <c r="ET204" s="36"/>
      <c r="EU204" s="107"/>
      <c r="EV204" s="475"/>
      <c r="EW204" s="456"/>
      <c r="EX204" s="456"/>
      <c r="EY204" s="250"/>
      <c r="EZ204" s="250"/>
      <c r="FA204" s="250"/>
      <c r="FB204" s="250"/>
      <c r="FC204" s="250"/>
      <c r="FD204" s="250"/>
      <c r="FE204" s="250"/>
      <c r="FF204" s="250"/>
      <c r="FG204" s="250"/>
      <c r="FH204" s="250"/>
      <c r="FI204" s="250"/>
      <c r="FJ204" s="673">
        <v>35</v>
      </c>
      <c r="FK204" s="479" t="str">
        <f ca="1">IF(OR(FK$169&lt;SwaptionFirstMonthPosition+1,$FJ204&lt;SwaptionFirstMonthPosition+1,FK$169&gt;SwaptionFirstMonthPosition+SwaptionNumOfMonths+1,$FJ204&gt;SwaptionFirstMonthPosition+SwaptionNumOfMonths+1),"",IF($FJ204=FK$169,1,IF($FJ204&lt;FK$169,INDEX($FK$170:$ID$241,FK$169,$FJ204),SUMPRODUCT(INDEX($FK$325:$ID$396,FK$169,1+SwaptionShift):INDEX($FK$325:$ID$396,FK$169,SwaptionMonthsToGo+SwaptionShift),INDEX($FK$245:$ID$316,$FJ204-FK$169,73-FK$169+SwaptionShift):INDEX($FK$245:$ID$316,$FJ204-FK$169,72-FK$169+SwaptionMonthsToGo+SwaptionShift))/SQRT(SUM(INDEX($FK359:$ID359,1+SwaptionShift):INDEX($FK359:$ID359,SwaptionMonthsToGo+SwaptionShift))*SUM(INDEX($FK$325:$ID$396,FK$169,1+SwaptionShift):INDEX($FK$325:$ID$396,FK$169,SwaptionMonthsToGo+SwaptionShift))))))</f>
        <v/>
      </c>
      <c r="FL204" s="479" t="str">
        <f ca="1">IF(OR(FL$169&lt;SwaptionFirstMonthPosition+1,$FJ204&lt;SwaptionFirstMonthPosition+1,FL$169&gt;SwaptionFirstMonthPosition+SwaptionNumOfMonths+1,$FJ204&gt;SwaptionFirstMonthPosition+SwaptionNumOfMonths+1),"",IF($FJ204=FL$169,1,IF($FJ204&lt;FL$169,INDEX($FK$170:$ID$241,FL$169,$FJ204),SUMPRODUCT(INDEX($FK$325:$ID$396,FL$169,1+SwaptionShift):INDEX($FK$325:$ID$396,FL$169,SwaptionMonthsToGo+SwaptionShift),INDEX($FK$245:$ID$316,$FJ204-FL$169,73-FL$169+SwaptionShift):INDEX($FK$245:$ID$316,$FJ204-FL$169,72-FL$169+SwaptionMonthsToGo+SwaptionShift))/SQRT(SUM(INDEX($FK359:$ID359,1+SwaptionShift):INDEX($FK359:$ID359,SwaptionMonthsToGo+SwaptionShift))*SUM(INDEX($FK$325:$ID$396,FL$169,1+SwaptionShift):INDEX($FK$325:$ID$396,FL$169,SwaptionMonthsToGo+SwaptionShift))))))</f>
        <v/>
      </c>
      <c r="FM204" s="479" t="str">
        <f ca="1">IF(OR(FM$169&lt;SwaptionFirstMonthPosition+1,$FJ204&lt;SwaptionFirstMonthPosition+1,FM$169&gt;SwaptionFirstMonthPosition+SwaptionNumOfMonths+1,$FJ204&gt;SwaptionFirstMonthPosition+SwaptionNumOfMonths+1),"",IF($FJ204=FM$169,1,IF($FJ204&lt;FM$169,INDEX($FK$170:$ID$241,FM$169,$FJ204),SUMPRODUCT(INDEX($FK$325:$ID$396,FM$169,1+SwaptionShift):INDEX($FK$325:$ID$396,FM$169,SwaptionMonthsToGo+SwaptionShift),INDEX($FK$245:$ID$316,$FJ204-FM$169,73-FM$169+SwaptionShift):INDEX($FK$245:$ID$316,$FJ204-FM$169,72-FM$169+SwaptionMonthsToGo+SwaptionShift))/SQRT(SUM(INDEX($FK359:$ID359,1+SwaptionShift):INDEX($FK359:$ID359,SwaptionMonthsToGo+SwaptionShift))*SUM(INDEX($FK$325:$ID$396,FM$169,1+SwaptionShift):INDEX($FK$325:$ID$396,FM$169,SwaptionMonthsToGo+SwaptionShift))))))</f>
        <v/>
      </c>
      <c r="FN204" s="479" t="str">
        <f ca="1">IF(OR(FN$169&lt;SwaptionFirstMonthPosition+1,$FJ204&lt;SwaptionFirstMonthPosition+1,FN$169&gt;SwaptionFirstMonthPosition+SwaptionNumOfMonths+1,$FJ204&gt;SwaptionFirstMonthPosition+SwaptionNumOfMonths+1),"",IF($FJ204=FN$169,1,IF($FJ204&lt;FN$169,INDEX($FK$170:$ID$241,FN$169,$FJ204),SUMPRODUCT(INDEX($FK$325:$ID$396,FN$169,1+SwaptionShift):INDEX($FK$325:$ID$396,FN$169,SwaptionMonthsToGo+SwaptionShift),INDEX($FK$245:$ID$316,$FJ204-FN$169,73-FN$169+SwaptionShift):INDEX($FK$245:$ID$316,$FJ204-FN$169,72-FN$169+SwaptionMonthsToGo+SwaptionShift))/SQRT(SUM(INDEX($FK359:$ID359,1+SwaptionShift):INDEX($FK359:$ID359,SwaptionMonthsToGo+SwaptionShift))*SUM(INDEX($FK$325:$ID$396,FN$169,1+SwaptionShift):INDEX($FK$325:$ID$396,FN$169,SwaptionMonthsToGo+SwaptionShift))))))</f>
        <v/>
      </c>
      <c r="FO204" s="479" t="str">
        <f ca="1">IF(OR(FO$169&lt;SwaptionFirstMonthPosition+1,$FJ204&lt;SwaptionFirstMonthPosition+1,FO$169&gt;SwaptionFirstMonthPosition+SwaptionNumOfMonths+1,$FJ204&gt;SwaptionFirstMonthPosition+SwaptionNumOfMonths+1),"",IF($FJ204=FO$169,1,IF($FJ204&lt;FO$169,INDEX($FK$170:$ID$241,FO$169,$FJ204),SUMPRODUCT(INDEX($FK$325:$ID$396,FO$169,1+SwaptionShift):INDEX($FK$325:$ID$396,FO$169,SwaptionMonthsToGo+SwaptionShift),INDEX($FK$245:$ID$316,$FJ204-FO$169,73-FO$169+SwaptionShift):INDEX($FK$245:$ID$316,$FJ204-FO$169,72-FO$169+SwaptionMonthsToGo+SwaptionShift))/SQRT(SUM(INDEX($FK359:$ID359,1+SwaptionShift):INDEX($FK359:$ID359,SwaptionMonthsToGo+SwaptionShift))*SUM(INDEX($FK$325:$ID$396,FO$169,1+SwaptionShift):INDEX($FK$325:$ID$396,FO$169,SwaptionMonthsToGo+SwaptionShift))))))</f>
        <v/>
      </c>
      <c r="FP204" s="479" t="str">
        <f ca="1">IF(OR(FP$169&lt;SwaptionFirstMonthPosition+1,$FJ204&lt;SwaptionFirstMonthPosition+1,FP$169&gt;SwaptionFirstMonthPosition+SwaptionNumOfMonths+1,$FJ204&gt;SwaptionFirstMonthPosition+SwaptionNumOfMonths+1),"",IF($FJ204=FP$169,1,IF($FJ204&lt;FP$169,INDEX($FK$170:$ID$241,FP$169,$FJ204),SUMPRODUCT(INDEX($FK$325:$ID$396,FP$169,1+SwaptionShift):INDEX($FK$325:$ID$396,FP$169,SwaptionMonthsToGo+SwaptionShift),INDEX($FK$245:$ID$316,$FJ204-FP$169,73-FP$169+SwaptionShift):INDEX($FK$245:$ID$316,$FJ204-FP$169,72-FP$169+SwaptionMonthsToGo+SwaptionShift))/SQRT(SUM(INDEX($FK359:$ID359,1+SwaptionShift):INDEX($FK359:$ID359,SwaptionMonthsToGo+SwaptionShift))*SUM(INDEX($FK$325:$ID$396,FP$169,1+SwaptionShift):INDEX($FK$325:$ID$396,FP$169,SwaptionMonthsToGo+SwaptionShift))))))</f>
        <v/>
      </c>
      <c r="FQ204" s="479" t="str">
        <f ca="1">IF(OR(FQ$169&lt;SwaptionFirstMonthPosition+1,$FJ204&lt;SwaptionFirstMonthPosition+1,FQ$169&gt;SwaptionFirstMonthPosition+SwaptionNumOfMonths+1,$FJ204&gt;SwaptionFirstMonthPosition+SwaptionNumOfMonths+1),"",IF($FJ204=FQ$169,1,IF($FJ204&lt;FQ$169,INDEX($FK$170:$ID$241,FQ$169,$FJ204),SUMPRODUCT(INDEX($FK$325:$ID$396,FQ$169,1+SwaptionShift):INDEX($FK$325:$ID$396,FQ$169,SwaptionMonthsToGo+SwaptionShift),INDEX($FK$245:$ID$316,$FJ204-FQ$169,73-FQ$169+SwaptionShift):INDEX($FK$245:$ID$316,$FJ204-FQ$169,72-FQ$169+SwaptionMonthsToGo+SwaptionShift))/SQRT(SUM(INDEX($FK359:$ID359,1+SwaptionShift):INDEX($FK359:$ID359,SwaptionMonthsToGo+SwaptionShift))*SUM(INDEX($FK$325:$ID$396,FQ$169,1+SwaptionShift):INDEX($FK$325:$ID$396,FQ$169,SwaptionMonthsToGo+SwaptionShift))))))</f>
        <v/>
      </c>
      <c r="FR204" s="479" t="str">
        <f ca="1">IF(OR(FR$169&lt;SwaptionFirstMonthPosition+1,$FJ204&lt;SwaptionFirstMonthPosition+1,FR$169&gt;SwaptionFirstMonthPosition+SwaptionNumOfMonths+1,$FJ204&gt;SwaptionFirstMonthPosition+SwaptionNumOfMonths+1),"",IF($FJ204=FR$169,1,IF($FJ204&lt;FR$169,INDEX($FK$170:$ID$241,FR$169,$FJ204),SUMPRODUCT(INDEX($FK$325:$ID$396,FR$169,1+SwaptionShift):INDEX($FK$325:$ID$396,FR$169,SwaptionMonthsToGo+SwaptionShift),INDEX($FK$245:$ID$316,$FJ204-FR$169,73-FR$169+SwaptionShift):INDEX($FK$245:$ID$316,$FJ204-FR$169,72-FR$169+SwaptionMonthsToGo+SwaptionShift))/SQRT(SUM(INDEX($FK359:$ID359,1+SwaptionShift):INDEX($FK359:$ID359,SwaptionMonthsToGo+SwaptionShift))*SUM(INDEX($FK$325:$ID$396,FR$169,1+SwaptionShift):INDEX($FK$325:$ID$396,FR$169,SwaptionMonthsToGo+SwaptionShift))))))</f>
        <v/>
      </c>
      <c r="FS204" s="479" t="str">
        <f ca="1">IF(OR(FS$169&lt;SwaptionFirstMonthPosition+1,$FJ204&lt;SwaptionFirstMonthPosition+1,FS$169&gt;SwaptionFirstMonthPosition+SwaptionNumOfMonths+1,$FJ204&gt;SwaptionFirstMonthPosition+SwaptionNumOfMonths+1),"",IF($FJ204=FS$169,1,IF($FJ204&lt;FS$169,INDEX($FK$170:$ID$241,FS$169,$FJ204),SUMPRODUCT(INDEX($FK$325:$ID$396,FS$169,1+SwaptionShift):INDEX($FK$325:$ID$396,FS$169,SwaptionMonthsToGo+SwaptionShift),INDEX($FK$245:$ID$316,$FJ204-FS$169,73-FS$169+SwaptionShift):INDEX($FK$245:$ID$316,$FJ204-FS$169,72-FS$169+SwaptionMonthsToGo+SwaptionShift))/SQRT(SUM(INDEX($FK359:$ID359,1+SwaptionShift):INDEX($FK359:$ID359,SwaptionMonthsToGo+SwaptionShift))*SUM(INDEX($FK$325:$ID$396,FS$169,1+SwaptionShift):INDEX($FK$325:$ID$396,FS$169,SwaptionMonthsToGo+SwaptionShift))))))</f>
        <v/>
      </c>
      <c r="FT204" s="479" t="str">
        <f ca="1">IF(OR(FT$169&lt;SwaptionFirstMonthPosition+1,$FJ204&lt;SwaptionFirstMonthPosition+1,FT$169&gt;SwaptionFirstMonthPosition+SwaptionNumOfMonths+1,$FJ204&gt;SwaptionFirstMonthPosition+SwaptionNumOfMonths+1),"",IF($FJ204=FT$169,1,IF($FJ204&lt;FT$169,INDEX($FK$170:$ID$241,FT$169,$FJ204),SUMPRODUCT(INDEX($FK$325:$ID$396,FT$169,1+SwaptionShift):INDEX($FK$325:$ID$396,FT$169,SwaptionMonthsToGo+SwaptionShift),INDEX($FK$245:$ID$316,$FJ204-FT$169,73-FT$169+SwaptionShift):INDEX($FK$245:$ID$316,$FJ204-FT$169,72-FT$169+SwaptionMonthsToGo+SwaptionShift))/SQRT(SUM(INDEX($FK359:$ID359,1+SwaptionShift):INDEX($FK359:$ID359,SwaptionMonthsToGo+SwaptionShift))*SUM(INDEX($FK$325:$ID$396,FT$169,1+SwaptionShift):INDEX($FK$325:$ID$396,FT$169,SwaptionMonthsToGo+SwaptionShift))))))</f>
        <v/>
      </c>
      <c r="FU204" s="479" t="str">
        <f ca="1">IF(OR(FU$169&lt;SwaptionFirstMonthPosition+1,$FJ204&lt;SwaptionFirstMonthPosition+1,FU$169&gt;SwaptionFirstMonthPosition+SwaptionNumOfMonths+1,$FJ204&gt;SwaptionFirstMonthPosition+SwaptionNumOfMonths+1),"",IF($FJ204=FU$169,1,IF($FJ204&lt;FU$169,INDEX($FK$170:$ID$241,FU$169,$FJ204),SUMPRODUCT(INDEX($FK$325:$ID$396,FU$169,1+SwaptionShift):INDEX($FK$325:$ID$396,FU$169,SwaptionMonthsToGo+SwaptionShift),INDEX($FK$245:$ID$316,$FJ204-FU$169,73-FU$169+SwaptionShift):INDEX($FK$245:$ID$316,$FJ204-FU$169,72-FU$169+SwaptionMonthsToGo+SwaptionShift))/SQRT(SUM(INDEX($FK359:$ID359,1+SwaptionShift):INDEX($FK359:$ID359,SwaptionMonthsToGo+SwaptionShift))*SUM(INDEX($FK$325:$ID$396,FU$169,1+SwaptionShift):INDEX($FK$325:$ID$396,FU$169,SwaptionMonthsToGo+SwaptionShift))))))</f>
        <v/>
      </c>
      <c r="FV204" s="479" t="str">
        <f ca="1">IF(OR(FV$169&lt;SwaptionFirstMonthPosition+1,$FJ204&lt;SwaptionFirstMonthPosition+1,FV$169&gt;SwaptionFirstMonthPosition+SwaptionNumOfMonths+1,$FJ204&gt;SwaptionFirstMonthPosition+SwaptionNumOfMonths+1),"",IF($FJ204=FV$169,1,IF($FJ204&lt;FV$169,INDEX($FK$170:$ID$241,FV$169,$FJ204),SUMPRODUCT(INDEX($FK$325:$ID$396,FV$169,1+SwaptionShift):INDEX($FK$325:$ID$396,FV$169,SwaptionMonthsToGo+SwaptionShift),INDEX($FK$245:$ID$316,$FJ204-FV$169,73-FV$169+SwaptionShift):INDEX($FK$245:$ID$316,$FJ204-FV$169,72-FV$169+SwaptionMonthsToGo+SwaptionShift))/SQRT(SUM(INDEX($FK359:$ID359,1+SwaptionShift):INDEX($FK359:$ID359,SwaptionMonthsToGo+SwaptionShift))*SUM(INDEX($FK$325:$ID$396,FV$169,1+SwaptionShift):INDEX($FK$325:$ID$396,FV$169,SwaptionMonthsToGo+SwaptionShift))))))</f>
        <v/>
      </c>
      <c r="FW204" s="479" t="str">
        <f ca="1">IF(OR(FW$169&lt;SwaptionFirstMonthPosition+1,$FJ204&lt;SwaptionFirstMonthPosition+1,FW$169&gt;SwaptionFirstMonthPosition+SwaptionNumOfMonths+1,$FJ204&gt;SwaptionFirstMonthPosition+SwaptionNumOfMonths+1),"",IF($FJ204=FW$169,1,IF($FJ204&lt;FW$169,INDEX($FK$170:$ID$241,FW$169,$FJ204),SUMPRODUCT(INDEX($FK$325:$ID$396,FW$169,1+SwaptionShift):INDEX($FK$325:$ID$396,FW$169,SwaptionMonthsToGo+SwaptionShift),INDEX($FK$245:$ID$316,$FJ204-FW$169,73-FW$169+SwaptionShift):INDEX($FK$245:$ID$316,$FJ204-FW$169,72-FW$169+SwaptionMonthsToGo+SwaptionShift))/SQRT(SUM(INDEX($FK359:$ID359,1+SwaptionShift):INDEX($FK359:$ID359,SwaptionMonthsToGo+SwaptionShift))*SUM(INDEX($FK$325:$ID$396,FW$169,1+SwaptionShift):INDEX($FK$325:$ID$396,FW$169,SwaptionMonthsToGo+SwaptionShift))))))</f>
        <v/>
      </c>
      <c r="FX204" s="479" t="str">
        <f ca="1">IF(OR(FX$169&lt;SwaptionFirstMonthPosition+1,$FJ204&lt;SwaptionFirstMonthPosition+1,FX$169&gt;SwaptionFirstMonthPosition+SwaptionNumOfMonths+1,$FJ204&gt;SwaptionFirstMonthPosition+SwaptionNumOfMonths+1),"",IF($FJ204=FX$169,1,IF($FJ204&lt;FX$169,INDEX($FK$170:$ID$241,FX$169,$FJ204),SUMPRODUCT(INDEX($FK$325:$ID$396,FX$169,1+SwaptionShift):INDEX($FK$325:$ID$396,FX$169,SwaptionMonthsToGo+SwaptionShift),INDEX($FK$245:$ID$316,$FJ204-FX$169,73-FX$169+SwaptionShift):INDEX($FK$245:$ID$316,$FJ204-FX$169,72-FX$169+SwaptionMonthsToGo+SwaptionShift))/SQRT(SUM(INDEX($FK359:$ID359,1+SwaptionShift):INDEX($FK359:$ID359,SwaptionMonthsToGo+SwaptionShift))*SUM(INDEX($FK$325:$ID$396,FX$169,1+SwaptionShift):INDEX($FK$325:$ID$396,FX$169,SwaptionMonthsToGo+SwaptionShift))))))</f>
        <v/>
      </c>
      <c r="FY204" s="479" t="str">
        <f ca="1">IF(OR(FY$169&lt;SwaptionFirstMonthPosition+1,$FJ204&lt;SwaptionFirstMonthPosition+1,FY$169&gt;SwaptionFirstMonthPosition+SwaptionNumOfMonths+1,$FJ204&gt;SwaptionFirstMonthPosition+SwaptionNumOfMonths+1),"",IF($FJ204=FY$169,1,IF($FJ204&lt;FY$169,INDEX($FK$170:$ID$241,FY$169,$FJ204),SUMPRODUCT(INDEX($FK$325:$ID$396,FY$169,1+SwaptionShift):INDEX($FK$325:$ID$396,FY$169,SwaptionMonthsToGo+SwaptionShift),INDEX($FK$245:$ID$316,$FJ204-FY$169,73-FY$169+SwaptionShift):INDEX($FK$245:$ID$316,$FJ204-FY$169,72-FY$169+SwaptionMonthsToGo+SwaptionShift))/SQRT(SUM(INDEX($FK359:$ID359,1+SwaptionShift):INDEX($FK359:$ID359,SwaptionMonthsToGo+SwaptionShift))*SUM(INDEX($FK$325:$ID$396,FY$169,1+SwaptionShift):INDEX($FK$325:$ID$396,FY$169,SwaptionMonthsToGo+SwaptionShift))))))</f>
        <v/>
      </c>
      <c r="FZ204" s="479" t="str">
        <f ca="1">IF(OR(FZ$169&lt;SwaptionFirstMonthPosition+1,$FJ204&lt;SwaptionFirstMonthPosition+1,FZ$169&gt;SwaptionFirstMonthPosition+SwaptionNumOfMonths+1,$FJ204&gt;SwaptionFirstMonthPosition+SwaptionNumOfMonths+1),"",IF($FJ204=FZ$169,1,IF($FJ204&lt;FZ$169,INDEX($FK$170:$ID$241,FZ$169,$FJ204),SUMPRODUCT(INDEX($FK$325:$ID$396,FZ$169,1+SwaptionShift):INDEX($FK$325:$ID$396,FZ$169,SwaptionMonthsToGo+SwaptionShift),INDEX($FK$245:$ID$316,$FJ204-FZ$169,73-FZ$169+SwaptionShift):INDEX($FK$245:$ID$316,$FJ204-FZ$169,72-FZ$169+SwaptionMonthsToGo+SwaptionShift))/SQRT(SUM(INDEX($FK359:$ID359,1+SwaptionShift):INDEX($FK359:$ID359,SwaptionMonthsToGo+SwaptionShift))*SUM(INDEX($FK$325:$ID$396,FZ$169,1+SwaptionShift):INDEX($FK$325:$ID$396,FZ$169,SwaptionMonthsToGo+SwaptionShift))))))</f>
        <v/>
      </c>
      <c r="GA204" s="479" t="str">
        <f ca="1">IF(OR(GA$169&lt;SwaptionFirstMonthPosition+1,$FJ204&lt;SwaptionFirstMonthPosition+1,GA$169&gt;SwaptionFirstMonthPosition+SwaptionNumOfMonths+1,$FJ204&gt;SwaptionFirstMonthPosition+SwaptionNumOfMonths+1),"",IF($FJ204=GA$169,1,IF($FJ204&lt;GA$169,INDEX($FK$170:$ID$241,GA$169,$FJ204),SUMPRODUCT(INDEX($FK$325:$ID$396,GA$169,1+SwaptionShift):INDEX($FK$325:$ID$396,GA$169,SwaptionMonthsToGo+SwaptionShift),INDEX($FK$245:$ID$316,$FJ204-GA$169,73-GA$169+SwaptionShift):INDEX($FK$245:$ID$316,$FJ204-GA$169,72-GA$169+SwaptionMonthsToGo+SwaptionShift))/SQRT(SUM(INDEX($FK359:$ID359,1+SwaptionShift):INDEX($FK359:$ID359,SwaptionMonthsToGo+SwaptionShift))*SUM(INDEX($FK$325:$ID$396,GA$169,1+SwaptionShift):INDEX($FK$325:$ID$396,GA$169,SwaptionMonthsToGo+SwaptionShift))))))</f>
        <v/>
      </c>
      <c r="GB204" s="479" t="str">
        <f ca="1">IF(OR(GB$169&lt;SwaptionFirstMonthPosition+1,$FJ204&lt;SwaptionFirstMonthPosition+1,GB$169&gt;SwaptionFirstMonthPosition+SwaptionNumOfMonths+1,$FJ204&gt;SwaptionFirstMonthPosition+SwaptionNumOfMonths+1),"",IF($FJ204=GB$169,1,IF($FJ204&lt;GB$169,INDEX($FK$170:$ID$241,GB$169,$FJ204),SUMPRODUCT(INDEX($FK$325:$ID$396,GB$169,1+SwaptionShift):INDEX($FK$325:$ID$396,GB$169,SwaptionMonthsToGo+SwaptionShift),INDEX($FK$245:$ID$316,$FJ204-GB$169,73-GB$169+SwaptionShift):INDEX($FK$245:$ID$316,$FJ204-GB$169,72-GB$169+SwaptionMonthsToGo+SwaptionShift))/SQRT(SUM(INDEX($FK359:$ID359,1+SwaptionShift):INDEX($FK359:$ID359,SwaptionMonthsToGo+SwaptionShift))*SUM(INDEX($FK$325:$ID$396,GB$169,1+SwaptionShift):INDEX($FK$325:$ID$396,GB$169,SwaptionMonthsToGo+SwaptionShift))))))</f>
        <v/>
      </c>
      <c r="GC204" s="479" t="str">
        <f ca="1">IF(OR(GC$169&lt;SwaptionFirstMonthPosition+1,$FJ204&lt;SwaptionFirstMonthPosition+1,GC$169&gt;SwaptionFirstMonthPosition+SwaptionNumOfMonths+1,$FJ204&gt;SwaptionFirstMonthPosition+SwaptionNumOfMonths+1),"",IF($FJ204=GC$169,1,IF($FJ204&lt;GC$169,INDEX($FK$170:$ID$241,GC$169,$FJ204),SUMPRODUCT(INDEX($FK$325:$ID$396,GC$169,1+SwaptionShift):INDEX($FK$325:$ID$396,GC$169,SwaptionMonthsToGo+SwaptionShift),INDEX($FK$245:$ID$316,$FJ204-GC$169,73-GC$169+SwaptionShift):INDEX($FK$245:$ID$316,$FJ204-GC$169,72-GC$169+SwaptionMonthsToGo+SwaptionShift))/SQRT(SUM(INDEX($FK359:$ID359,1+SwaptionShift):INDEX($FK359:$ID359,SwaptionMonthsToGo+SwaptionShift))*SUM(INDEX($FK$325:$ID$396,GC$169,1+SwaptionShift):INDEX($FK$325:$ID$396,GC$169,SwaptionMonthsToGo+SwaptionShift))))))</f>
        <v/>
      </c>
      <c r="GD204" s="479" t="str">
        <f ca="1">IF(OR(GD$169&lt;SwaptionFirstMonthPosition+1,$FJ204&lt;SwaptionFirstMonthPosition+1,GD$169&gt;SwaptionFirstMonthPosition+SwaptionNumOfMonths+1,$FJ204&gt;SwaptionFirstMonthPosition+SwaptionNumOfMonths+1),"",IF($FJ204=GD$169,1,IF($FJ204&lt;GD$169,INDEX($FK$170:$ID$241,GD$169,$FJ204),SUMPRODUCT(INDEX($FK$325:$ID$396,GD$169,1+SwaptionShift):INDEX($FK$325:$ID$396,GD$169,SwaptionMonthsToGo+SwaptionShift),INDEX($FK$245:$ID$316,$FJ204-GD$169,73-GD$169+SwaptionShift):INDEX($FK$245:$ID$316,$FJ204-GD$169,72-GD$169+SwaptionMonthsToGo+SwaptionShift))/SQRT(SUM(INDEX($FK359:$ID359,1+SwaptionShift):INDEX($FK359:$ID359,SwaptionMonthsToGo+SwaptionShift))*SUM(INDEX($FK$325:$ID$396,GD$169,1+SwaptionShift):INDEX($FK$325:$ID$396,GD$169,SwaptionMonthsToGo+SwaptionShift))))))</f>
        <v/>
      </c>
      <c r="GE204" s="479" t="str">
        <f ca="1">IF(OR(GE$169&lt;SwaptionFirstMonthPosition+1,$FJ204&lt;SwaptionFirstMonthPosition+1,GE$169&gt;SwaptionFirstMonthPosition+SwaptionNumOfMonths+1,$FJ204&gt;SwaptionFirstMonthPosition+SwaptionNumOfMonths+1),"",IF($FJ204=GE$169,1,IF($FJ204&lt;GE$169,INDEX($FK$170:$ID$241,GE$169,$FJ204),SUMPRODUCT(INDEX($FK$325:$ID$396,GE$169,1+SwaptionShift):INDEX($FK$325:$ID$396,GE$169,SwaptionMonthsToGo+SwaptionShift),INDEX($FK$245:$ID$316,$FJ204-GE$169,73-GE$169+SwaptionShift):INDEX($FK$245:$ID$316,$FJ204-GE$169,72-GE$169+SwaptionMonthsToGo+SwaptionShift))/SQRT(SUM(INDEX($FK359:$ID359,1+SwaptionShift):INDEX($FK359:$ID359,SwaptionMonthsToGo+SwaptionShift))*SUM(INDEX($FK$325:$ID$396,GE$169,1+SwaptionShift):INDEX($FK$325:$ID$396,GE$169,SwaptionMonthsToGo+SwaptionShift))))))</f>
        <v/>
      </c>
      <c r="GF204" s="479" t="str">
        <f ca="1">IF(OR(GF$169&lt;SwaptionFirstMonthPosition+1,$FJ204&lt;SwaptionFirstMonthPosition+1,GF$169&gt;SwaptionFirstMonthPosition+SwaptionNumOfMonths+1,$FJ204&gt;SwaptionFirstMonthPosition+SwaptionNumOfMonths+1),"",IF($FJ204=GF$169,1,IF($FJ204&lt;GF$169,INDEX($FK$170:$ID$241,GF$169,$FJ204),SUMPRODUCT(INDEX($FK$325:$ID$396,GF$169,1+SwaptionShift):INDEX($FK$325:$ID$396,GF$169,SwaptionMonthsToGo+SwaptionShift),INDEX($FK$245:$ID$316,$FJ204-GF$169,73-GF$169+SwaptionShift):INDEX($FK$245:$ID$316,$FJ204-GF$169,72-GF$169+SwaptionMonthsToGo+SwaptionShift))/SQRT(SUM(INDEX($FK359:$ID359,1+SwaptionShift):INDEX($FK359:$ID359,SwaptionMonthsToGo+SwaptionShift))*SUM(INDEX($FK$325:$ID$396,GF$169,1+SwaptionShift):INDEX($FK$325:$ID$396,GF$169,SwaptionMonthsToGo+SwaptionShift))))))</f>
        <v/>
      </c>
      <c r="GG204" s="479" t="str">
        <f ca="1">IF(OR(GG$169&lt;SwaptionFirstMonthPosition+1,$FJ204&lt;SwaptionFirstMonthPosition+1,GG$169&gt;SwaptionFirstMonthPosition+SwaptionNumOfMonths+1,$FJ204&gt;SwaptionFirstMonthPosition+SwaptionNumOfMonths+1),"",IF($FJ204=GG$169,1,IF($FJ204&lt;GG$169,INDEX($FK$170:$ID$241,GG$169,$FJ204),SUMPRODUCT(INDEX($FK$325:$ID$396,GG$169,1+SwaptionShift):INDEX($FK$325:$ID$396,GG$169,SwaptionMonthsToGo+SwaptionShift),INDEX($FK$245:$ID$316,$FJ204-GG$169,73-GG$169+SwaptionShift):INDEX($FK$245:$ID$316,$FJ204-GG$169,72-GG$169+SwaptionMonthsToGo+SwaptionShift))/SQRT(SUM(INDEX($FK359:$ID359,1+SwaptionShift):INDEX($FK359:$ID359,SwaptionMonthsToGo+SwaptionShift))*SUM(INDEX($FK$325:$ID$396,GG$169,1+SwaptionShift):INDEX($FK$325:$ID$396,GG$169,SwaptionMonthsToGo+SwaptionShift))))))</f>
        <v/>
      </c>
      <c r="GH204" s="479" t="str">
        <f ca="1">IF(OR(GH$169&lt;SwaptionFirstMonthPosition+1,$FJ204&lt;SwaptionFirstMonthPosition+1,GH$169&gt;SwaptionFirstMonthPosition+SwaptionNumOfMonths+1,$FJ204&gt;SwaptionFirstMonthPosition+SwaptionNumOfMonths+1),"",IF($FJ204=GH$169,1,IF($FJ204&lt;GH$169,INDEX($FK$170:$ID$241,GH$169,$FJ204),SUMPRODUCT(INDEX($FK$325:$ID$396,GH$169,1+SwaptionShift):INDEX($FK$325:$ID$396,GH$169,SwaptionMonthsToGo+SwaptionShift),INDEX($FK$245:$ID$316,$FJ204-GH$169,73-GH$169+SwaptionShift):INDEX($FK$245:$ID$316,$FJ204-GH$169,72-GH$169+SwaptionMonthsToGo+SwaptionShift))/SQRT(SUM(INDEX($FK359:$ID359,1+SwaptionShift):INDEX($FK359:$ID359,SwaptionMonthsToGo+SwaptionShift))*SUM(INDEX($FK$325:$ID$396,GH$169,1+SwaptionShift):INDEX($FK$325:$ID$396,GH$169,SwaptionMonthsToGo+SwaptionShift))))))</f>
        <v/>
      </c>
      <c r="GI204" s="479" t="str">
        <f ca="1">IF(OR(GI$169&lt;SwaptionFirstMonthPosition+1,$FJ204&lt;SwaptionFirstMonthPosition+1,GI$169&gt;SwaptionFirstMonthPosition+SwaptionNumOfMonths+1,$FJ204&gt;SwaptionFirstMonthPosition+SwaptionNumOfMonths+1),"",IF($FJ204=GI$169,1,IF($FJ204&lt;GI$169,INDEX($FK$170:$ID$241,GI$169,$FJ204),SUMPRODUCT(INDEX($FK$325:$ID$396,GI$169,1+SwaptionShift):INDEX($FK$325:$ID$396,GI$169,SwaptionMonthsToGo+SwaptionShift),INDEX($FK$245:$ID$316,$FJ204-GI$169,73-GI$169+SwaptionShift):INDEX($FK$245:$ID$316,$FJ204-GI$169,72-GI$169+SwaptionMonthsToGo+SwaptionShift))/SQRT(SUM(INDEX($FK359:$ID359,1+SwaptionShift):INDEX($FK359:$ID359,SwaptionMonthsToGo+SwaptionShift))*SUM(INDEX($FK$325:$ID$396,GI$169,1+SwaptionShift):INDEX($FK$325:$ID$396,GI$169,SwaptionMonthsToGo+SwaptionShift))))))</f>
        <v/>
      </c>
      <c r="GJ204" s="479" t="str">
        <f ca="1">IF(OR(GJ$169&lt;SwaptionFirstMonthPosition+1,$FJ204&lt;SwaptionFirstMonthPosition+1,GJ$169&gt;SwaptionFirstMonthPosition+SwaptionNumOfMonths+1,$FJ204&gt;SwaptionFirstMonthPosition+SwaptionNumOfMonths+1),"",IF($FJ204=GJ$169,1,IF($FJ204&lt;GJ$169,INDEX($FK$170:$ID$241,GJ$169,$FJ204),SUMPRODUCT(INDEX($FK$325:$ID$396,GJ$169,1+SwaptionShift):INDEX($FK$325:$ID$396,GJ$169,SwaptionMonthsToGo+SwaptionShift),INDEX($FK$245:$ID$316,$FJ204-GJ$169,73-GJ$169+SwaptionShift):INDEX($FK$245:$ID$316,$FJ204-GJ$169,72-GJ$169+SwaptionMonthsToGo+SwaptionShift))/SQRT(SUM(INDEX($FK359:$ID359,1+SwaptionShift):INDEX($FK359:$ID359,SwaptionMonthsToGo+SwaptionShift))*SUM(INDEX($FK$325:$ID$396,GJ$169,1+SwaptionShift):INDEX($FK$325:$ID$396,GJ$169,SwaptionMonthsToGo+SwaptionShift))))))</f>
        <v/>
      </c>
      <c r="GK204" s="479" t="str">
        <f ca="1">IF(OR(GK$169&lt;SwaptionFirstMonthPosition+1,$FJ204&lt;SwaptionFirstMonthPosition+1,GK$169&gt;SwaptionFirstMonthPosition+SwaptionNumOfMonths+1,$FJ204&gt;SwaptionFirstMonthPosition+SwaptionNumOfMonths+1),"",IF($FJ204=GK$169,1,IF($FJ204&lt;GK$169,INDEX($FK$170:$ID$241,GK$169,$FJ204),SUMPRODUCT(INDEX($FK$325:$ID$396,GK$169,1+SwaptionShift):INDEX($FK$325:$ID$396,GK$169,SwaptionMonthsToGo+SwaptionShift),INDEX($FK$245:$ID$316,$FJ204-GK$169,73-GK$169+SwaptionShift):INDEX($FK$245:$ID$316,$FJ204-GK$169,72-GK$169+SwaptionMonthsToGo+SwaptionShift))/SQRT(SUM(INDEX($FK359:$ID359,1+SwaptionShift):INDEX($FK359:$ID359,SwaptionMonthsToGo+SwaptionShift))*SUM(INDEX($FK$325:$ID$396,GK$169,1+SwaptionShift):INDEX($FK$325:$ID$396,GK$169,SwaptionMonthsToGo+SwaptionShift))))))</f>
        <v/>
      </c>
      <c r="GL204" s="479" t="str">
        <f ca="1">IF(OR(GL$169&lt;SwaptionFirstMonthPosition+1,$FJ204&lt;SwaptionFirstMonthPosition+1,GL$169&gt;SwaptionFirstMonthPosition+SwaptionNumOfMonths+1,$FJ204&gt;SwaptionFirstMonthPosition+SwaptionNumOfMonths+1),"",IF($FJ204=GL$169,1,IF($FJ204&lt;GL$169,INDEX($FK$170:$ID$241,GL$169,$FJ204),SUMPRODUCT(INDEX($FK$325:$ID$396,GL$169,1+SwaptionShift):INDEX($FK$325:$ID$396,GL$169,SwaptionMonthsToGo+SwaptionShift),INDEX($FK$245:$ID$316,$FJ204-GL$169,73-GL$169+SwaptionShift):INDEX($FK$245:$ID$316,$FJ204-GL$169,72-GL$169+SwaptionMonthsToGo+SwaptionShift))/SQRT(SUM(INDEX($FK359:$ID359,1+SwaptionShift):INDEX($FK359:$ID359,SwaptionMonthsToGo+SwaptionShift))*SUM(INDEX($FK$325:$ID$396,GL$169,1+SwaptionShift):INDEX($FK$325:$ID$396,GL$169,SwaptionMonthsToGo+SwaptionShift))))))</f>
        <v/>
      </c>
      <c r="GM204" s="479" t="str">
        <f ca="1">IF(OR(GM$169&lt;SwaptionFirstMonthPosition+1,$FJ204&lt;SwaptionFirstMonthPosition+1,GM$169&gt;SwaptionFirstMonthPosition+SwaptionNumOfMonths+1,$FJ204&gt;SwaptionFirstMonthPosition+SwaptionNumOfMonths+1),"",IF($FJ204=GM$169,1,IF($FJ204&lt;GM$169,INDEX($FK$170:$ID$241,GM$169,$FJ204),SUMPRODUCT(INDEX($FK$325:$ID$396,GM$169,1+SwaptionShift):INDEX($FK$325:$ID$396,GM$169,SwaptionMonthsToGo+SwaptionShift),INDEX($FK$245:$ID$316,$FJ204-GM$169,73-GM$169+SwaptionShift):INDEX($FK$245:$ID$316,$FJ204-GM$169,72-GM$169+SwaptionMonthsToGo+SwaptionShift))/SQRT(SUM(INDEX($FK359:$ID359,1+SwaptionShift):INDEX($FK359:$ID359,SwaptionMonthsToGo+SwaptionShift))*SUM(INDEX($FK$325:$ID$396,GM$169,1+SwaptionShift):INDEX($FK$325:$ID$396,GM$169,SwaptionMonthsToGo+SwaptionShift))))))</f>
        <v/>
      </c>
      <c r="GN204" s="479" t="str">
        <f ca="1">IF(OR(GN$169&lt;SwaptionFirstMonthPosition+1,$FJ204&lt;SwaptionFirstMonthPosition+1,GN$169&gt;SwaptionFirstMonthPosition+SwaptionNumOfMonths+1,$FJ204&gt;SwaptionFirstMonthPosition+SwaptionNumOfMonths+1),"",IF($FJ204=GN$169,1,IF($FJ204&lt;GN$169,INDEX($FK$170:$ID$241,GN$169,$FJ204),SUMPRODUCT(INDEX($FK$325:$ID$396,GN$169,1+SwaptionShift):INDEX($FK$325:$ID$396,GN$169,SwaptionMonthsToGo+SwaptionShift),INDEX($FK$245:$ID$316,$FJ204-GN$169,73-GN$169+SwaptionShift):INDEX($FK$245:$ID$316,$FJ204-GN$169,72-GN$169+SwaptionMonthsToGo+SwaptionShift))/SQRT(SUM(INDEX($FK359:$ID359,1+SwaptionShift):INDEX($FK359:$ID359,SwaptionMonthsToGo+SwaptionShift))*SUM(INDEX($FK$325:$ID$396,GN$169,1+SwaptionShift):INDEX($FK$325:$ID$396,GN$169,SwaptionMonthsToGo+SwaptionShift))))))</f>
        <v/>
      </c>
      <c r="GO204" s="479" t="str">
        <f ca="1">IF(OR(GO$169&lt;SwaptionFirstMonthPosition+1,$FJ204&lt;SwaptionFirstMonthPosition+1,GO$169&gt;SwaptionFirstMonthPosition+SwaptionNumOfMonths+1,$FJ204&gt;SwaptionFirstMonthPosition+SwaptionNumOfMonths+1),"",IF($FJ204=GO$169,1,IF($FJ204&lt;GO$169,INDEX($FK$170:$ID$241,GO$169,$FJ204),SUMPRODUCT(INDEX($FK$325:$ID$396,GO$169,1+SwaptionShift):INDEX($FK$325:$ID$396,GO$169,SwaptionMonthsToGo+SwaptionShift),INDEX($FK$245:$ID$316,$FJ204-GO$169,73-GO$169+SwaptionShift):INDEX($FK$245:$ID$316,$FJ204-GO$169,72-GO$169+SwaptionMonthsToGo+SwaptionShift))/SQRT(SUM(INDEX($FK359:$ID359,1+SwaptionShift):INDEX($FK359:$ID359,SwaptionMonthsToGo+SwaptionShift))*SUM(INDEX($FK$325:$ID$396,GO$169,1+SwaptionShift):INDEX($FK$325:$ID$396,GO$169,SwaptionMonthsToGo+SwaptionShift))))))</f>
        <v/>
      </c>
      <c r="GP204" s="479" t="str">
        <f ca="1">IF(OR(GP$169&lt;SwaptionFirstMonthPosition+1,$FJ204&lt;SwaptionFirstMonthPosition+1,GP$169&gt;SwaptionFirstMonthPosition+SwaptionNumOfMonths+1,$FJ204&gt;SwaptionFirstMonthPosition+SwaptionNumOfMonths+1),"",IF($FJ204=GP$169,1,IF($FJ204&lt;GP$169,INDEX($FK$170:$ID$241,GP$169,$FJ204),SUMPRODUCT(INDEX($FK$325:$ID$396,GP$169,1+SwaptionShift):INDEX($FK$325:$ID$396,GP$169,SwaptionMonthsToGo+SwaptionShift),INDEX($FK$245:$ID$316,$FJ204-GP$169,73-GP$169+SwaptionShift):INDEX($FK$245:$ID$316,$FJ204-GP$169,72-GP$169+SwaptionMonthsToGo+SwaptionShift))/SQRT(SUM(INDEX($FK359:$ID359,1+SwaptionShift):INDEX($FK359:$ID359,SwaptionMonthsToGo+SwaptionShift))*SUM(INDEX($FK$325:$ID$396,GP$169,1+SwaptionShift):INDEX($FK$325:$ID$396,GP$169,SwaptionMonthsToGo+SwaptionShift))))))</f>
        <v/>
      </c>
      <c r="GQ204" s="479" t="str">
        <f ca="1">IF(OR(GQ$169&lt;SwaptionFirstMonthPosition+1,$FJ204&lt;SwaptionFirstMonthPosition+1,GQ$169&gt;SwaptionFirstMonthPosition+SwaptionNumOfMonths+1,$FJ204&gt;SwaptionFirstMonthPosition+SwaptionNumOfMonths+1),"",IF($FJ204=GQ$169,1,IF($FJ204&lt;GQ$169,INDEX($FK$170:$ID$241,GQ$169,$FJ204),SUMPRODUCT(INDEX($FK$325:$ID$396,GQ$169,1+SwaptionShift):INDEX($FK$325:$ID$396,GQ$169,SwaptionMonthsToGo+SwaptionShift),INDEX($FK$245:$ID$316,$FJ204-GQ$169,73-GQ$169+SwaptionShift):INDEX($FK$245:$ID$316,$FJ204-GQ$169,72-GQ$169+SwaptionMonthsToGo+SwaptionShift))/SQRT(SUM(INDEX($FK359:$ID359,1+SwaptionShift):INDEX($FK359:$ID359,SwaptionMonthsToGo+SwaptionShift))*SUM(INDEX($FK$325:$ID$396,GQ$169,1+SwaptionShift):INDEX($FK$325:$ID$396,GQ$169,SwaptionMonthsToGo+SwaptionShift))))))</f>
        <v/>
      </c>
      <c r="GR204" s="479" t="str">
        <f ca="1">IF(OR(GR$169&lt;SwaptionFirstMonthPosition+1,$FJ204&lt;SwaptionFirstMonthPosition+1,GR$169&gt;SwaptionFirstMonthPosition+SwaptionNumOfMonths+1,$FJ204&gt;SwaptionFirstMonthPosition+SwaptionNumOfMonths+1),"",IF($FJ204=GR$169,1,IF($FJ204&lt;GR$169,INDEX($FK$170:$ID$241,GR$169,$FJ204),SUMPRODUCT(INDEX($FK$325:$ID$396,GR$169,1+SwaptionShift):INDEX($FK$325:$ID$396,GR$169,SwaptionMonthsToGo+SwaptionShift),INDEX($FK$245:$ID$316,$FJ204-GR$169,73-GR$169+SwaptionShift):INDEX($FK$245:$ID$316,$FJ204-GR$169,72-GR$169+SwaptionMonthsToGo+SwaptionShift))/SQRT(SUM(INDEX($FK359:$ID359,1+SwaptionShift):INDEX($FK359:$ID359,SwaptionMonthsToGo+SwaptionShift))*SUM(INDEX($FK$325:$ID$396,GR$169,1+SwaptionShift):INDEX($FK$325:$ID$396,GR$169,SwaptionMonthsToGo+SwaptionShift))))))</f>
        <v/>
      </c>
      <c r="GS204" s="479" t="str">
        <f ca="1">IF(OR(GS$169&lt;SwaptionFirstMonthPosition+1,$FJ204&lt;SwaptionFirstMonthPosition+1,GS$169&gt;SwaptionFirstMonthPosition+SwaptionNumOfMonths+1,$FJ204&gt;SwaptionFirstMonthPosition+SwaptionNumOfMonths+1),"",IF($FJ204=GS$169,1,IF($FJ204&lt;GS$169,INDEX($FK$170:$ID$241,GS$169,$FJ204),SUMPRODUCT(INDEX($FK$325:$ID$396,GS$169,1+SwaptionShift):INDEX($FK$325:$ID$396,GS$169,SwaptionMonthsToGo+SwaptionShift),INDEX($FK$245:$ID$316,$FJ204-GS$169,73-GS$169+SwaptionShift):INDEX($FK$245:$ID$316,$FJ204-GS$169,72-GS$169+SwaptionMonthsToGo+SwaptionShift))/SQRT(SUM(INDEX($FK359:$ID359,1+SwaptionShift):INDEX($FK359:$ID359,SwaptionMonthsToGo+SwaptionShift))*SUM(INDEX($FK$325:$ID$396,GS$169,1+SwaptionShift):INDEX($FK$325:$ID$396,GS$169,SwaptionMonthsToGo+SwaptionShift))))))</f>
        <v/>
      </c>
      <c r="GT204" s="479" t="str">
        <f ca="1">IF(OR(GT$169&lt;SwaptionFirstMonthPosition+1,$FJ204&lt;SwaptionFirstMonthPosition+1,GT$169&gt;SwaptionFirstMonthPosition+SwaptionNumOfMonths+1,$FJ204&gt;SwaptionFirstMonthPosition+SwaptionNumOfMonths+1),"",IF($FJ204=GT$169,1,IF($FJ204&lt;GT$169,INDEX($FK$170:$ID$241,GT$169,$FJ204),SUMPRODUCT(INDEX($FK$325:$ID$396,GT$169,1+SwaptionShift):INDEX($FK$325:$ID$396,GT$169,SwaptionMonthsToGo+SwaptionShift),INDEX($FK$245:$ID$316,$FJ204-GT$169,73-GT$169+SwaptionShift):INDEX($FK$245:$ID$316,$FJ204-GT$169,72-GT$169+SwaptionMonthsToGo+SwaptionShift))/SQRT(SUM(INDEX($FK359:$ID359,1+SwaptionShift):INDEX($FK359:$ID359,SwaptionMonthsToGo+SwaptionShift))*SUM(INDEX($FK$325:$ID$396,GT$169,1+SwaptionShift):INDEX($FK$325:$ID$396,GT$169,SwaptionMonthsToGo+SwaptionShift))))))</f>
        <v/>
      </c>
      <c r="GU204" s="479" t="str">
        <f ca="1">IF(OR(GU$169&lt;SwaptionFirstMonthPosition+1,$FJ204&lt;SwaptionFirstMonthPosition+1,GU$169&gt;SwaptionFirstMonthPosition+SwaptionNumOfMonths+1,$FJ204&gt;SwaptionFirstMonthPosition+SwaptionNumOfMonths+1),"",IF($FJ204=GU$169,1,IF($FJ204&lt;GU$169,INDEX($FK$170:$ID$241,GU$169,$FJ204),SUMPRODUCT(INDEX($FK$325:$ID$396,GU$169,1+SwaptionShift):INDEX($FK$325:$ID$396,GU$169,SwaptionMonthsToGo+SwaptionShift),INDEX($FK$245:$ID$316,$FJ204-GU$169,73-GU$169+SwaptionShift):INDEX($FK$245:$ID$316,$FJ204-GU$169,72-GU$169+SwaptionMonthsToGo+SwaptionShift))/SQRT(SUM(INDEX($FK359:$ID359,1+SwaptionShift):INDEX($FK359:$ID359,SwaptionMonthsToGo+SwaptionShift))*SUM(INDEX($FK$325:$ID$396,GU$169,1+SwaptionShift):INDEX($FK$325:$ID$396,GU$169,SwaptionMonthsToGo+SwaptionShift))))))</f>
        <v/>
      </c>
      <c r="GV204" s="479" t="str">
        <f ca="1">IF(OR(GV$169&lt;SwaptionFirstMonthPosition+1,$FJ204&lt;SwaptionFirstMonthPosition+1,GV$169&gt;SwaptionFirstMonthPosition+SwaptionNumOfMonths+1,$FJ204&gt;SwaptionFirstMonthPosition+SwaptionNumOfMonths+1),"",IF($FJ204=GV$169,1,IF($FJ204&lt;GV$169,INDEX($FK$170:$ID$241,GV$169,$FJ204),SUMPRODUCT(INDEX($FK$325:$ID$396,GV$169,1+SwaptionShift):INDEX($FK$325:$ID$396,GV$169,SwaptionMonthsToGo+SwaptionShift),INDEX($FK$245:$ID$316,$FJ204-GV$169,73-GV$169+SwaptionShift):INDEX($FK$245:$ID$316,$FJ204-GV$169,72-GV$169+SwaptionMonthsToGo+SwaptionShift))/SQRT(SUM(INDEX($FK359:$ID359,1+SwaptionShift):INDEX($FK359:$ID359,SwaptionMonthsToGo+SwaptionShift))*SUM(INDEX($FK$325:$ID$396,GV$169,1+SwaptionShift):INDEX($FK$325:$ID$396,GV$169,SwaptionMonthsToGo+SwaptionShift))))))</f>
        <v/>
      </c>
      <c r="GW204" s="479" t="str">
        <f ca="1">IF(OR(GW$169&lt;SwaptionFirstMonthPosition+1,$FJ204&lt;SwaptionFirstMonthPosition+1,GW$169&gt;SwaptionFirstMonthPosition+SwaptionNumOfMonths+1,$FJ204&gt;SwaptionFirstMonthPosition+SwaptionNumOfMonths+1),"",IF($FJ204=GW$169,1,IF($FJ204&lt;GW$169,INDEX($FK$170:$ID$241,GW$169,$FJ204),SUMPRODUCT(INDEX($FK$325:$ID$396,GW$169,1+SwaptionShift):INDEX($FK$325:$ID$396,GW$169,SwaptionMonthsToGo+SwaptionShift),INDEX($FK$245:$ID$316,$FJ204-GW$169,73-GW$169+SwaptionShift):INDEX($FK$245:$ID$316,$FJ204-GW$169,72-GW$169+SwaptionMonthsToGo+SwaptionShift))/SQRT(SUM(INDEX($FK359:$ID359,1+SwaptionShift):INDEX($FK359:$ID359,SwaptionMonthsToGo+SwaptionShift))*SUM(INDEX($FK$325:$ID$396,GW$169,1+SwaptionShift):INDEX($FK$325:$ID$396,GW$169,SwaptionMonthsToGo+SwaptionShift))))))</f>
        <v/>
      </c>
      <c r="GX204" s="479" t="str">
        <f ca="1">IF(OR(GX$169&lt;SwaptionFirstMonthPosition+1,$FJ204&lt;SwaptionFirstMonthPosition+1,GX$169&gt;SwaptionFirstMonthPosition+SwaptionNumOfMonths+1,$FJ204&gt;SwaptionFirstMonthPosition+SwaptionNumOfMonths+1),"",IF($FJ204=GX$169,1,IF($FJ204&lt;GX$169,INDEX($FK$170:$ID$241,GX$169,$FJ204),SUMPRODUCT(INDEX($FK$325:$ID$396,GX$169,1+SwaptionShift):INDEX($FK$325:$ID$396,GX$169,SwaptionMonthsToGo+SwaptionShift),INDEX($FK$245:$ID$316,$FJ204-GX$169,73-GX$169+SwaptionShift):INDEX($FK$245:$ID$316,$FJ204-GX$169,72-GX$169+SwaptionMonthsToGo+SwaptionShift))/SQRT(SUM(INDEX($FK359:$ID359,1+SwaptionShift):INDEX($FK359:$ID359,SwaptionMonthsToGo+SwaptionShift))*SUM(INDEX($FK$325:$ID$396,GX$169,1+SwaptionShift):INDEX($FK$325:$ID$396,GX$169,SwaptionMonthsToGo+SwaptionShift))))))</f>
        <v/>
      </c>
      <c r="GY204" s="479" t="str">
        <f ca="1">IF(OR(GY$169&lt;SwaptionFirstMonthPosition+1,$FJ204&lt;SwaptionFirstMonthPosition+1,GY$169&gt;SwaptionFirstMonthPosition+SwaptionNumOfMonths+1,$FJ204&gt;SwaptionFirstMonthPosition+SwaptionNumOfMonths+1),"",IF($FJ204=GY$169,1,IF($FJ204&lt;GY$169,INDEX($FK$170:$ID$241,GY$169,$FJ204),SUMPRODUCT(INDEX($FK$325:$ID$396,GY$169,1+SwaptionShift):INDEX($FK$325:$ID$396,GY$169,SwaptionMonthsToGo+SwaptionShift),INDEX($FK$245:$ID$316,$FJ204-GY$169,73-GY$169+SwaptionShift):INDEX($FK$245:$ID$316,$FJ204-GY$169,72-GY$169+SwaptionMonthsToGo+SwaptionShift))/SQRT(SUM(INDEX($FK359:$ID359,1+SwaptionShift):INDEX($FK359:$ID359,SwaptionMonthsToGo+SwaptionShift))*SUM(INDEX($FK$325:$ID$396,GY$169,1+SwaptionShift):INDEX($FK$325:$ID$396,GY$169,SwaptionMonthsToGo+SwaptionShift))))))</f>
        <v/>
      </c>
      <c r="GZ204" s="479" t="str">
        <f ca="1">IF(OR(GZ$169&lt;SwaptionFirstMonthPosition+1,$FJ204&lt;SwaptionFirstMonthPosition+1,GZ$169&gt;SwaptionFirstMonthPosition+SwaptionNumOfMonths+1,$FJ204&gt;SwaptionFirstMonthPosition+SwaptionNumOfMonths+1),"",IF($FJ204=GZ$169,1,IF($FJ204&lt;GZ$169,INDEX($FK$170:$ID$241,GZ$169,$FJ204),SUMPRODUCT(INDEX($FK$325:$ID$396,GZ$169,1+SwaptionShift):INDEX($FK$325:$ID$396,GZ$169,SwaptionMonthsToGo+SwaptionShift),INDEX($FK$245:$ID$316,$FJ204-GZ$169,73-GZ$169+SwaptionShift):INDEX($FK$245:$ID$316,$FJ204-GZ$169,72-GZ$169+SwaptionMonthsToGo+SwaptionShift))/SQRT(SUM(INDEX($FK359:$ID359,1+SwaptionShift):INDEX($FK359:$ID359,SwaptionMonthsToGo+SwaptionShift))*SUM(INDEX($FK$325:$ID$396,GZ$169,1+SwaptionShift):INDEX($FK$325:$ID$396,GZ$169,SwaptionMonthsToGo+SwaptionShift))))))</f>
        <v/>
      </c>
      <c r="HA204" s="479" t="str">
        <f ca="1">IF(OR(HA$169&lt;SwaptionFirstMonthPosition+1,$FJ204&lt;SwaptionFirstMonthPosition+1,HA$169&gt;SwaptionFirstMonthPosition+SwaptionNumOfMonths+1,$FJ204&gt;SwaptionFirstMonthPosition+SwaptionNumOfMonths+1),"",IF($FJ204=HA$169,1,IF($FJ204&lt;HA$169,INDEX($FK$170:$ID$241,HA$169,$FJ204),SUMPRODUCT(INDEX($FK$325:$ID$396,HA$169,1+SwaptionShift):INDEX($FK$325:$ID$396,HA$169,SwaptionMonthsToGo+SwaptionShift),INDEX($FK$245:$ID$316,$FJ204-HA$169,73-HA$169+SwaptionShift):INDEX($FK$245:$ID$316,$FJ204-HA$169,72-HA$169+SwaptionMonthsToGo+SwaptionShift))/SQRT(SUM(INDEX($FK359:$ID359,1+SwaptionShift):INDEX($FK359:$ID359,SwaptionMonthsToGo+SwaptionShift))*SUM(INDEX($FK$325:$ID$396,HA$169,1+SwaptionShift):INDEX($FK$325:$ID$396,HA$169,SwaptionMonthsToGo+SwaptionShift))))))</f>
        <v/>
      </c>
      <c r="HB204" s="479" t="str">
        <f ca="1">IF(OR(HB$169&lt;SwaptionFirstMonthPosition+1,$FJ204&lt;SwaptionFirstMonthPosition+1,HB$169&gt;SwaptionFirstMonthPosition+SwaptionNumOfMonths+1,$FJ204&gt;SwaptionFirstMonthPosition+SwaptionNumOfMonths+1),"",IF($FJ204=HB$169,1,IF($FJ204&lt;HB$169,INDEX($FK$170:$ID$241,HB$169,$FJ204),SUMPRODUCT(INDEX($FK$325:$ID$396,HB$169,1+SwaptionShift):INDEX($FK$325:$ID$396,HB$169,SwaptionMonthsToGo+SwaptionShift),INDEX($FK$245:$ID$316,$FJ204-HB$169,73-HB$169+SwaptionShift):INDEX($FK$245:$ID$316,$FJ204-HB$169,72-HB$169+SwaptionMonthsToGo+SwaptionShift))/SQRT(SUM(INDEX($FK359:$ID359,1+SwaptionShift):INDEX($FK359:$ID359,SwaptionMonthsToGo+SwaptionShift))*SUM(INDEX($FK$325:$ID$396,HB$169,1+SwaptionShift):INDEX($FK$325:$ID$396,HB$169,SwaptionMonthsToGo+SwaptionShift))))))</f>
        <v/>
      </c>
      <c r="HC204" s="479" t="str">
        <f ca="1">IF(OR(HC$169&lt;SwaptionFirstMonthPosition+1,$FJ204&lt;SwaptionFirstMonthPosition+1,HC$169&gt;SwaptionFirstMonthPosition+SwaptionNumOfMonths+1,$FJ204&gt;SwaptionFirstMonthPosition+SwaptionNumOfMonths+1),"",IF($FJ204=HC$169,1,IF($FJ204&lt;HC$169,INDEX($FK$170:$ID$241,HC$169,$FJ204),SUMPRODUCT(INDEX($FK$325:$ID$396,HC$169,1+SwaptionShift):INDEX($FK$325:$ID$396,HC$169,SwaptionMonthsToGo+SwaptionShift),INDEX($FK$245:$ID$316,$FJ204-HC$169,73-HC$169+SwaptionShift):INDEX($FK$245:$ID$316,$FJ204-HC$169,72-HC$169+SwaptionMonthsToGo+SwaptionShift))/SQRT(SUM(INDEX($FK359:$ID359,1+SwaptionShift):INDEX($FK359:$ID359,SwaptionMonthsToGo+SwaptionShift))*SUM(INDEX($FK$325:$ID$396,HC$169,1+SwaptionShift):INDEX($FK$325:$ID$396,HC$169,SwaptionMonthsToGo+SwaptionShift))))))</f>
        <v/>
      </c>
      <c r="HD204" s="479" t="str">
        <f ca="1">IF(OR(HD$169&lt;SwaptionFirstMonthPosition+1,$FJ204&lt;SwaptionFirstMonthPosition+1,HD$169&gt;SwaptionFirstMonthPosition+SwaptionNumOfMonths+1,$FJ204&gt;SwaptionFirstMonthPosition+SwaptionNumOfMonths+1),"",IF($FJ204=HD$169,1,IF($FJ204&lt;HD$169,INDEX($FK$170:$ID$241,HD$169,$FJ204),SUMPRODUCT(INDEX($FK$325:$ID$396,HD$169,1+SwaptionShift):INDEX($FK$325:$ID$396,HD$169,SwaptionMonthsToGo+SwaptionShift),INDEX($FK$245:$ID$316,$FJ204-HD$169,73-HD$169+SwaptionShift):INDEX($FK$245:$ID$316,$FJ204-HD$169,72-HD$169+SwaptionMonthsToGo+SwaptionShift))/SQRT(SUM(INDEX($FK359:$ID359,1+SwaptionShift):INDEX($FK359:$ID359,SwaptionMonthsToGo+SwaptionShift))*SUM(INDEX($FK$325:$ID$396,HD$169,1+SwaptionShift):INDEX($FK$325:$ID$396,HD$169,SwaptionMonthsToGo+SwaptionShift))))))</f>
        <v/>
      </c>
      <c r="HE204" s="479" t="str">
        <f ca="1">IF(OR(HE$169&lt;SwaptionFirstMonthPosition+1,$FJ204&lt;SwaptionFirstMonthPosition+1,HE$169&gt;SwaptionFirstMonthPosition+SwaptionNumOfMonths+1,$FJ204&gt;SwaptionFirstMonthPosition+SwaptionNumOfMonths+1),"",IF($FJ204=HE$169,1,IF($FJ204&lt;HE$169,INDEX($FK$170:$ID$241,HE$169,$FJ204),SUMPRODUCT(INDEX($FK$325:$ID$396,HE$169,1+SwaptionShift):INDEX($FK$325:$ID$396,HE$169,SwaptionMonthsToGo+SwaptionShift),INDEX($FK$245:$ID$316,$FJ204-HE$169,73-HE$169+SwaptionShift):INDEX($FK$245:$ID$316,$FJ204-HE$169,72-HE$169+SwaptionMonthsToGo+SwaptionShift))/SQRT(SUM(INDEX($FK359:$ID359,1+SwaptionShift):INDEX($FK359:$ID359,SwaptionMonthsToGo+SwaptionShift))*SUM(INDEX($FK$325:$ID$396,HE$169,1+SwaptionShift):INDEX($FK$325:$ID$396,HE$169,SwaptionMonthsToGo+SwaptionShift))))))</f>
        <v/>
      </c>
      <c r="HF204" s="479" t="str">
        <f ca="1">IF(OR(HF$169&lt;SwaptionFirstMonthPosition+1,$FJ204&lt;SwaptionFirstMonthPosition+1,HF$169&gt;SwaptionFirstMonthPosition+SwaptionNumOfMonths+1,$FJ204&gt;SwaptionFirstMonthPosition+SwaptionNumOfMonths+1),"",IF($FJ204=HF$169,1,IF($FJ204&lt;HF$169,INDEX($FK$170:$ID$241,HF$169,$FJ204),SUMPRODUCT(INDEX($FK$325:$ID$396,HF$169,1+SwaptionShift):INDEX($FK$325:$ID$396,HF$169,SwaptionMonthsToGo+SwaptionShift),INDEX($FK$245:$ID$316,$FJ204-HF$169,73-HF$169+SwaptionShift):INDEX($FK$245:$ID$316,$FJ204-HF$169,72-HF$169+SwaptionMonthsToGo+SwaptionShift))/SQRT(SUM(INDEX($FK359:$ID359,1+SwaptionShift):INDEX($FK359:$ID359,SwaptionMonthsToGo+SwaptionShift))*SUM(INDEX($FK$325:$ID$396,HF$169,1+SwaptionShift):INDEX($FK$325:$ID$396,HF$169,SwaptionMonthsToGo+SwaptionShift))))))</f>
        <v/>
      </c>
      <c r="HG204" s="479" t="str">
        <f ca="1">IF(OR(HG$169&lt;SwaptionFirstMonthPosition+1,$FJ204&lt;SwaptionFirstMonthPosition+1,HG$169&gt;SwaptionFirstMonthPosition+SwaptionNumOfMonths+1,$FJ204&gt;SwaptionFirstMonthPosition+SwaptionNumOfMonths+1),"",IF($FJ204=HG$169,1,IF($FJ204&lt;HG$169,INDEX($FK$170:$ID$241,HG$169,$FJ204),SUMPRODUCT(INDEX($FK$325:$ID$396,HG$169,1+SwaptionShift):INDEX($FK$325:$ID$396,HG$169,SwaptionMonthsToGo+SwaptionShift),INDEX($FK$245:$ID$316,$FJ204-HG$169,73-HG$169+SwaptionShift):INDEX($FK$245:$ID$316,$FJ204-HG$169,72-HG$169+SwaptionMonthsToGo+SwaptionShift))/SQRT(SUM(INDEX($FK359:$ID359,1+SwaptionShift):INDEX($FK359:$ID359,SwaptionMonthsToGo+SwaptionShift))*SUM(INDEX($FK$325:$ID$396,HG$169,1+SwaptionShift):INDEX($FK$325:$ID$396,HG$169,SwaptionMonthsToGo+SwaptionShift))))))</f>
        <v/>
      </c>
      <c r="HH204" s="479" t="str">
        <f ca="1">IF(OR(HH$169&lt;SwaptionFirstMonthPosition+1,$FJ204&lt;SwaptionFirstMonthPosition+1,HH$169&gt;SwaptionFirstMonthPosition+SwaptionNumOfMonths+1,$FJ204&gt;SwaptionFirstMonthPosition+SwaptionNumOfMonths+1),"",IF($FJ204=HH$169,1,IF($FJ204&lt;HH$169,INDEX($FK$170:$ID$241,HH$169,$FJ204),SUMPRODUCT(INDEX($FK$325:$ID$396,HH$169,1+SwaptionShift):INDEX($FK$325:$ID$396,HH$169,SwaptionMonthsToGo+SwaptionShift),INDEX($FK$245:$ID$316,$FJ204-HH$169,73-HH$169+SwaptionShift):INDEX($FK$245:$ID$316,$FJ204-HH$169,72-HH$169+SwaptionMonthsToGo+SwaptionShift))/SQRT(SUM(INDEX($FK359:$ID359,1+SwaptionShift):INDEX($FK359:$ID359,SwaptionMonthsToGo+SwaptionShift))*SUM(INDEX($FK$325:$ID$396,HH$169,1+SwaptionShift):INDEX($FK$325:$ID$396,HH$169,SwaptionMonthsToGo+SwaptionShift))))))</f>
        <v/>
      </c>
      <c r="HI204" s="479" t="str">
        <f ca="1">IF(OR(HI$169&lt;SwaptionFirstMonthPosition+1,$FJ204&lt;SwaptionFirstMonthPosition+1,HI$169&gt;SwaptionFirstMonthPosition+SwaptionNumOfMonths+1,$FJ204&gt;SwaptionFirstMonthPosition+SwaptionNumOfMonths+1),"",IF($FJ204=HI$169,1,IF($FJ204&lt;HI$169,INDEX($FK$170:$ID$241,HI$169,$FJ204),SUMPRODUCT(INDEX($FK$325:$ID$396,HI$169,1+SwaptionShift):INDEX($FK$325:$ID$396,HI$169,SwaptionMonthsToGo+SwaptionShift),INDEX($FK$245:$ID$316,$FJ204-HI$169,73-HI$169+SwaptionShift):INDEX($FK$245:$ID$316,$FJ204-HI$169,72-HI$169+SwaptionMonthsToGo+SwaptionShift))/SQRT(SUM(INDEX($FK359:$ID359,1+SwaptionShift):INDEX($FK359:$ID359,SwaptionMonthsToGo+SwaptionShift))*SUM(INDEX($FK$325:$ID$396,HI$169,1+SwaptionShift):INDEX($FK$325:$ID$396,HI$169,SwaptionMonthsToGo+SwaptionShift))))))</f>
        <v/>
      </c>
      <c r="HJ204" s="479" t="str">
        <f ca="1">IF(OR(HJ$169&lt;SwaptionFirstMonthPosition+1,$FJ204&lt;SwaptionFirstMonthPosition+1,HJ$169&gt;SwaptionFirstMonthPosition+SwaptionNumOfMonths+1,$FJ204&gt;SwaptionFirstMonthPosition+SwaptionNumOfMonths+1),"",IF($FJ204=HJ$169,1,IF($FJ204&lt;HJ$169,INDEX($FK$170:$ID$241,HJ$169,$FJ204),SUMPRODUCT(INDEX($FK$325:$ID$396,HJ$169,1+SwaptionShift):INDEX($FK$325:$ID$396,HJ$169,SwaptionMonthsToGo+SwaptionShift),INDEX($FK$245:$ID$316,$FJ204-HJ$169,73-HJ$169+SwaptionShift):INDEX($FK$245:$ID$316,$FJ204-HJ$169,72-HJ$169+SwaptionMonthsToGo+SwaptionShift))/SQRT(SUM(INDEX($FK359:$ID359,1+SwaptionShift):INDEX($FK359:$ID359,SwaptionMonthsToGo+SwaptionShift))*SUM(INDEX($FK$325:$ID$396,HJ$169,1+SwaptionShift):INDEX($FK$325:$ID$396,HJ$169,SwaptionMonthsToGo+SwaptionShift))))))</f>
        <v/>
      </c>
      <c r="HK204" s="479" t="str">
        <f ca="1">IF(OR(HK$169&lt;SwaptionFirstMonthPosition+1,$FJ204&lt;SwaptionFirstMonthPosition+1,HK$169&gt;SwaptionFirstMonthPosition+SwaptionNumOfMonths+1,$FJ204&gt;SwaptionFirstMonthPosition+SwaptionNumOfMonths+1),"",IF($FJ204=HK$169,1,IF($FJ204&lt;HK$169,INDEX($FK$170:$ID$241,HK$169,$FJ204),SUMPRODUCT(INDEX($FK$325:$ID$396,HK$169,1+SwaptionShift):INDEX($FK$325:$ID$396,HK$169,SwaptionMonthsToGo+SwaptionShift),INDEX($FK$245:$ID$316,$FJ204-HK$169,73-HK$169+SwaptionShift):INDEX($FK$245:$ID$316,$FJ204-HK$169,72-HK$169+SwaptionMonthsToGo+SwaptionShift))/SQRT(SUM(INDEX($FK359:$ID359,1+SwaptionShift):INDEX($FK359:$ID359,SwaptionMonthsToGo+SwaptionShift))*SUM(INDEX($FK$325:$ID$396,HK$169,1+SwaptionShift):INDEX($FK$325:$ID$396,HK$169,SwaptionMonthsToGo+SwaptionShift))))))</f>
        <v/>
      </c>
      <c r="HL204" s="479" t="str">
        <f ca="1">IF(OR(HL$169&lt;SwaptionFirstMonthPosition+1,$FJ204&lt;SwaptionFirstMonthPosition+1,HL$169&gt;SwaptionFirstMonthPosition+SwaptionNumOfMonths+1,$FJ204&gt;SwaptionFirstMonthPosition+SwaptionNumOfMonths+1),"",IF($FJ204=HL$169,1,IF($FJ204&lt;HL$169,INDEX($FK$170:$ID$241,HL$169,$FJ204),SUMPRODUCT(INDEX($FK$325:$ID$396,HL$169,1+SwaptionShift):INDEX($FK$325:$ID$396,HL$169,SwaptionMonthsToGo+SwaptionShift),INDEX($FK$245:$ID$316,$FJ204-HL$169,73-HL$169+SwaptionShift):INDEX($FK$245:$ID$316,$FJ204-HL$169,72-HL$169+SwaptionMonthsToGo+SwaptionShift))/SQRT(SUM(INDEX($FK359:$ID359,1+SwaptionShift):INDEX($FK359:$ID359,SwaptionMonthsToGo+SwaptionShift))*SUM(INDEX($FK$325:$ID$396,HL$169,1+SwaptionShift):INDEX($FK$325:$ID$396,HL$169,SwaptionMonthsToGo+SwaptionShift))))))</f>
        <v/>
      </c>
      <c r="HM204" s="479" t="str">
        <f ca="1">IF(OR(HM$169&lt;SwaptionFirstMonthPosition+1,$FJ204&lt;SwaptionFirstMonthPosition+1,HM$169&gt;SwaptionFirstMonthPosition+SwaptionNumOfMonths+1,$FJ204&gt;SwaptionFirstMonthPosition+SwaptionNumOfMonths+1),"",IF($FJ204=HM$169,1,IF($FJ204&lt;HM$169,INDEX($FK$170:$ID$241,HM$169,$FJ204),SUMPRODUCT(INDEX($FK$325:$ID$396,HM$169,1+SwaptionShift):INDEX($FK$325:$ID$396,HM$169,SwaptionMonthsToGo+SwaptionShift),INDEX($FK$245:$ID$316,$FJ204-HM$169,73-HM$169+SwaptionShift):INDEX($FK$245:$ID$316,$FJ204-HM$169,72-HM$169+SwaptionMonthsToGo+SwaptionShift))/SQRT(SUM(INDEX($FK359:$ID359,1+SwaptionShift):INDEX($FK359:$ID359,SwaptionMonthsToGo+SwaptionShift))*SUM(INDEX($FK$325:$ID$396,HM$169,1+SwaptionShift):INDEX($FK$325:$ID$396,HM$169,SwaptionMonthsToGo+SwaptionShift))))))</f>
        <v/>
      </c>
      <c r="HN204" s="479" t="str">
        <f ca="1">IF(OR(HN$169&lt;SwaptionFirstMonthPosition+1,$FJ204&lt;SwaptionFirstMonthPosition+1,HN$169&gt;SwaptionFirstMonthPosition+SwaptionNumOfMonths+1,$FJ204&gt;SwaptionFirstMonthPosition+SwaptionNumOfMonths+1),"",IF($FJ204=HN$169,1,IF($FJ204&lt;HN$169,INDEX($FK$170:$ID$241,HN$169,$FJ204),SUMPRODUCT(INDEX($FK$325:$ID$396,HN$169,1+SwaptionShift):INDEX($FK$325:$ID$396,HN$169,SwaptionMonthsToGo+SwaptionShift),INDEX($FK$245:$ID$316,$FJ204-HN$169,73-HN$169+SwaptionShift):INDEX($FK$245:$ID$316,$FJ204-HN$169,72-HN$169+SwaptionMonthsToGo+SwaptionShift))/SQRT(SUM(INDEX($FK359:$ID359,1+SwaptionShift):INDEX($FK359:$ID359,SwaptionMonthsToGo+SwaptionShift))*SUM(INDEX($FK$325:$ID$396,HN$169,1+SwaptionShift):INDEX($FK$325:$ID$396,HN$169,SwaptionMonthsToGo+SwaptionShift))))))</f>
        <v/>
      </c>
      <c r="HO204" s="479" t="str">
        <f ca="1">IF(OR(HO$169&lt;SwaptionFirstMonthPosition+1,$FJ204&lt;SwaptionFirstMonthPosition+1,HO$169&gt;SwaptionFirstMonthPosition+SwaptionNumOfMonths+1,$FJ204&gt;SwaptionFirstMonthPosition+SwaptionNumOfMonths+1),"",IF($FJ204=HO$169,1,IF($FJ204&lt;HO$169,INDEX($FK$170:$ID$241,HO$169,$FJ204),SUMPRODUCT(INDEX($FK$325:$ID$396,HO$169,1+SwaptionShift):INDEX($FK$325:$ID$396,HO$169,SwaptionMonthsToGo+SwaptionShift),INDEX($FK$245:$ID$316,$FJ204-HO$169,73-HO$169+SwaptionShift):INDEX($FK$245:$ID$316,$FJ204-HO$169,72-HO$169+SwaptionMonthsToGo+SwaptionShift))/SQRT(SUM(INDEX($FK359:$ID359,1+SwaptionShift):INDEX($FK359:$ID359,SwaptionMonthsToGo+SwaptionShift))*SUM(INDEX($FK$325:$ID$396,HO$169,1+SwaptionShift):INDEX($FK$325:$ID$396,HO$169,SwaptionMonthsToGo+SwaptionShift))))))</f>
        <v/>
      </c>
      <c r="HP204" s="479" t="str">
        <f ca="1">IF(OR(HP$169&lt;SwaptionFirstMonthPosition+1,$FJ204&lt;SwaptionFirstMonthPosition+1,HP$169&gt;SwaptionFirstMonthPosition+SwaptionNumOfMonths+1,$FJ204&gt;SwaptionFirstMonthPosition+SwaptionNumOfMonths+1),"",IF($FJ204=HP$169,1,IF($FJ204&lt;HP$169,INDEX($FK$170:$ID$241,HP$169,$FJ204),SUMPRODUCT(INDEX($FK$325:$ID$396,HP$169,1+SwaptionShift):INDEX($FK$325:$ID$396,HP$169,SwaptionMonthsToGo+SwaptionShift),INDEX($FK$245:$ID$316,$FJ204-HP$169,73-HP$169+SwaptionShift):INDEX($FK$245:$ID$316,$FJ204-HP$169,72-HP$169+SwaptionMonthsToGo+SwaptionShift))/SQRT(SUM(INDEX($FK359:$ID359,1+SwaptionShift):INDEX($FK359:$ID359,SwaptionMonthsToGo+SwaptionShift))*SUM(INDEX($FK$325:$ID$396,HP$169,1+SwaptionShift):INDEX($FK$325:$ID$396,HP$169,SwaptionMonthsToGo+SwaptionShift))))))</f>
        <v/>
      </c>
      <c r="HQ204" s="479" t="str">
        <f ca="1">IF(OR(HQ$169&lt;SwaptionFirstMonthPosition+1,$FJ204&lt;SwaptionFirstMonthPosition+1,HQ$169&gt;SwaptionFirstMonthPosition+SwaptionNumOfMonths+1,$FJ204&gt;SwaptionFirstMonthPosition+SwaptionNumOfMonths+1),"",IF($FJ204=HQ$169,1,IF($FJ204&lt;HQ$169,INDEX($FK$170:$ID$241,HQ$169,$FJ204),SUMPRODUCT(INDEX($FK$325:$ID$396,HQ$169,1+SwaptionShift):INDEX($FK$325:$ID$396,HQ$169,SwaptionMonthsToGo+SwaptionShift),INDEX($FK$245:$ID$316,$FJ204-HQ$169,73-HQ$169+SwaptionShift):INDEX($FK$245:$ID$316,$FJ204-HQ$169,72-HQ$169+SwaptionMonthsToGo+SwaptionShift))/SQRT(SUM(INDEX($FK359:$ID359,1+SwaptionShift):INDEX($FK359:$ID359,SwaptionMonthsToGo+SwaptionShift))*SUM(INDEX($FK$325:$ID$396,HQ$169,1+SwaptionShift):INDEX($FK$325:$ID$396,HQ$169,SwaptionMonthsToGo+SwaptionShift))))))</f>
        <v/>
      </c>
      <c r="HR204" s="479" t="str">
        <f ca="1">IF(OR(HR$169&lt;SwaptionFirstMonthPosition+1,$FJ204&lt;SwaptionFirstMonthPosition+1,HR$169&gt;SwaptionFirstMonthPosition+SwaptionNumOfMonths+1,$FJ204&gt;SwaptionFirstMonthPosition+SwaptionNumOfMonths+1),"",IF($FJ204=HR$169,1,IF($FJ204&lt;HR$169,INDEX($FK$170:$ID$241,HR$169,$FJ204),SUMPRODUCT(INDEX($FK$325:$ID$396,HR$169,1+SwaptionShift):INDEX($FK$325:$ID$396,HR$169,SwaptionMonthsToGo+SwaptionShift),INDEX($FK$245:$ID$316,$FJ204-HR$169,73-HR$169+SwaptionShift):INDEX($FK$245:$ID$316,$FJ204-HR$169,72-HR$169+SwaptionMonthsToGo+SwaptionShift))/SQRT(SUM(INDEX($FK359:$ID359,1+SwaptionShift):INDEX($FK359:$ID359,SwaptionMonthsToGo+SwaptionShift))*SUM(INDEX($FK$325:$ID$396,HR$169,1+SwaptionShift):INDEX($FK$325:$ID$396,HR$169,SwaptionMonthsToGo+SwaptionShift))))))</f>
        <v/>
      </c>
      <c r="HS204" s="479" t="str">
        <f ca="1">IF(OR(HS$169&lt;SwaptionFirstMonthPosition+1,$FJ204&lt;SwaptionFirstMonthPosition+1,HS$169&gt;SwaptionFirstMonthPosition+SwaptionNumOfMonths+1,$FJ204&gt;SwaptionFirstMonthPosition+SwaptionNumOfMonths+1),"",IF($FJ204=HS$169,1,IF($FJ204&lt;HS$169,INDEX($FK$170:$ID$241,HS$169,$FJ204),SUMPRODUCT(INDEX($FK$325:$ID$396,HS$169,1+SwaptionShift):INDEX($FK$325:$ID$396,HS$169,SwaptionMonthsToGo+SwaptionShift),INDEX($FK$245:$ID$316,$FJ204-HS$169,73-HS$169+SwaptionShift):INDEX($FK$245:$ID$316,$FJ204-HS$169,72-HS$169+SwaptionMonthsToGo+SwaptionShift))/SQRT(SUM(INDEX($FK359:$ID359,1+SwaptionShift):INDEX($FK359:$ID359,SwaptionMonthsToGo+SwaptionShift))*SUM(INDEX($FK$325:$ID$396,HS$169,1+SwaptionShift):INDEX($FK$325:$ID$396,HS$169,SwaptionMonthsToGo+SwaptionShift))))))</f>
        <v/>
      </c>
      <c r="HT204" s="479" t="str">
        <f ca="1">IF(OR(HT$169&lt;SwaptionFirstMonthPosition+1,$FJ204&lt;SwaptionFirstMonthPosition+1,HT$169&gt;SwaptionFirstMonthPosition+SwaptionNumOfMonths+1,$FJ204&gt;SwaptionFirstMonthPosition+SwaptionNumOfMonths+1),"",IF($FJ204=HT$169,1,IF($FJ204&lt;HT$169,INDEX($FK$170:$ID$241,HT$169,$FJ204),SUMPRODUCT(INDEX($FK$325:$ID$396,HT$169,1+SwaptionShift):INDEX($FK$325:$ID$396,HT$169,SwaptionMonthsToGo+SwaptionShift),INDEX($FK$245:$ID$316,$FJ204-HT$169,73-HT$169+SwaptionShift):INDEX($FK$245:$ID$316,$FJ204-HT$169,72-HT$169+SwaptionMonthsToGo+SwaptionShift))/SQRT(SUM(INDEX($FK359:$ID359,1+SwaptionShift):INDEX($FK359:$ID359,SwaptionMonthsToGo+SwaptionShift))*SUM(INDEX($FK$325:$ID$396,HT$169,1+SwaptionShift):INDEX($FK$325:$ID$396,HT$169,SwaptionMonthsToGo+SwaptionShift))))))</f>
        <v/>
      </c>
      <c r="HU204" s="479" t="str">
        <f ca="1">IF(OR(HU$169&lt;SwaptionFirstMonthPosition+1,$FJ204&lt;SwaptionFirstMonthPosition+1,HU$169&gt;SwaptionFirstMonthPosition+SwaptionNumOfMonths+1,$FJ204&gt;SwaptionFirstMonthPosition+SwaptionNumOfMonths+1),"",IF($FJ204=HU$169,1,IF($FJ204&lt;HU$169,INDEX($FK$170:$ID$241,HU$169,$FJ204),SUMPRODUCT(INDEX($FK$325:$ID$396,HU$169,1+SwaptionShift):INDEX($FK$325:$ID$396,HU$169,SwaptionMonthsToGo+SwaptionShift),INDEX($FK$245:$ID$316,$FJ204-HU$169,73-HU$169+SwaptionShift):INDEX($FK$245:$ID$316,$FJ204-HU$169,72-HU$169+SwaptionMonthsToGo+SwaptionShift))/SQRT(SUM(INDEX($FK359:$ID359,1+SwaptionShift):INDEX($FK359:$ID359,SwaptionMonthsToGo+SwaptionShift))*SUM(INDEX($FK$325:$ID$396,HU$169,1+SwaptionShift):INDEX($FK$325:$ID$396,HU$169,SwaptionMonthsToGo+SwaptionShift))))))</f>
        <v/>
      </c>
      <c r="HV204" s="479" t="str">
        <f ca="1">IF(OR(HV$169&lt;SwaptionFirstMonthPosition+1,$FJ204&lt;SwaptionFirstMonthPosition+1,HV$169&gt;SwaptionFirstMonthPosition+SwaptionNumOfMonths+1,$FJ204&gt;SwaptionFirstMonthPosition+SwaptionNumOfMonths+1),"",IF($FJ204=HV$169,1,IF($FJ204&lt;HV$169,INDEX($FK$170:$ID$241,HV$169,$FJ204),SUMPRODUCT(INDEX($FK$325:$ID$396,HV$169,1+SwaptionShift):INDEX($FK$325:$ID$396,HV$169,SwaptionMonthsToGo+SwaptionShift),INDEX($FK$245:$ID$316,$FJ204-HV$169,73-HV$169+SwaptionShift):INDEX($FK$245:$ID$316,$FJ204-HV$169,72-HV$169+SwaptionMonthsToGo+SwaptionShift))/SQRT(SUM(INDEX($FK359:$ID359,1+SwaptionShift):INDEX($FK359:$ID359,SwaptionMonthsToGo+SwaptionShift))*SUM(INDEX($FK$325:$ID$396,HV$169,1+SwaptionShift):INDEX($FK$325:$ID$396,HV$169,SwaptionMonthsToGo+SwaptionShift))))))</f>
        <v/>
      </c>
      <c r="HW204" s="479" t="str">
        <f ca="1">IF(OR(HW$169&lt;SwaptionFirstMonthPosition+1,$FJ204&lt;SwaptionFirstMonthPosition+1,HW$169&gt;SwaptionFirstMonthPosition+SwaptionNumOfMonths+1,$FJ204&gt;SwaptionFirstMonthPosition+SwaptionNumOfMonths+1),"",IF($FJ204=HW$169,1,IF($FJ204&lt;HW$169,INDEX($FK$170:$ID$241,HW$169,$FJ204),SUMPRODUCT(INDEX($FK$325:$ID$396,HW$169,1+SwaptionShift):INDEX($FK$325:$ID$396,HW$169,SwaptionMonthsToGo+SwaptionShift),INDEX($FK$245:$ID$316,$FJ204-HW$169,73-HW$169+SwaptionShift):INDEX($FK$245:$ID$316,$FJ204-HW$169,72-HW$169+SwaptionMonthsToGo+SwaptionShift))/SQRT(SUM(INDEX($FK359:$ID359,1+SwaptionShift):INDEX($FK359:$ID359,SwaptionMonthsToGo+SwaptionShift))*SUM(INDEX($FK$325:$ID$396,HW$169,1+SwaptionShift):INDEX($FK$325:$ID$396,HW$169,SwaptionMonthsToGo+SwaptionShift))))))</f>
        <v/>
      </c>
      <c r="HX204" s="479" t="str">
        <f ca="1">IF(OR(HX$169&lt;SwaptionFirstMonthPosition+1,$FJ204&lt;SwaptionFirstMonthPosition+1,HX$169&gt;SwaptionFirstMonthPosition+SwaptionNumOfMonths+1,$FJ204&gt;SwaptionFirstMonthPosition+SwaptionNumOfMonths+1),"",IF($FJ204=HX$169,1,IF($FJ204&lt;HX$169,INDEX($FK$170:$ID$241,HX$169,$FJ204),SUMPRODUCT(INDEX($FK$325:$ID$396,HX$169,1+SwaptionShift):INDEX($FK$325:$ID$396,HX$169,SwaptionMonthsToGo+SwaptionShift),INDEX($FK$245:$ID$316,$FJ204-HX$169,73-HX$169+SwaptionShift):INDEX($FK$245:$ID$316,$FJ204-HX$169,72-HX$169+SwaptionMonthsToGo+SwaptionShift))/SQRT(SUM(INDEX($FK359:$ID359,1+SwaptionShift):INDEX($FK359:$ID359,SwaptionMonthsToGo+SwaptionShift))*SUM(INDEX($FK$325:$ID$396,HX$169,1+SwaptionShift):INDEX($FK$325:$ID$396,HX$169,SwaptionMonthsToGo+SwaptionShift))))))</f>
        <v/>
      </c>
      <c r="HY204" s="479" t="str">
        <f ca="1">IF(OR(HY$169&lt;SwaptionFirstMonthPosition+1,$FJ204&lt;SwaptionFirstMonthPosition+1,HY$169&gt;SwaptionFirstMonthPosition+SwaptionNumOfMonths+1,$FJ204&gt;SwaptionFirstMonthPosition+SwaptionNumOfMonths+1),"",IF($FJ204=HY$169,1,IF($FJ204&lt;HY$169,INDEX($FK$170:$ID$241,HY$169,$FJ204),SUMPRODUCT(INDEX($FK$325:$ID$396,HY$169,1+SwaptionShift):INDEX($FK$325:$ID$396,HY$169,SwaptionMonthsToGo+SwaptionShift),INDEX($FK$245:$ID$316,$FJ204-HY$169,73-HY$169+SwaptionShift):INDEX($FK$245:$ID$316,$FJ204-HY$169,72-HY$169+SwaptionMonthsToGo+SwaptionShift))/SQRT(SUM(INDEX($FK359:$ID359,1+SwaptionShift):INDEX($FK359:$ID359,SwaptionMonthsToGo+SwaptionShift))*SUM(INDEX($FK$325:$ID$396,HY$169,1+SwaptionShift):INDEX($FK$325:$ID$396,HY$169,SwaptionMonthsToGo+SwaptionShift))))))</f>
        <v/>
      </c>
      <c r="HZ204" s="479" t="str">
        <f ca="1">IF(OR(HZ$169&lt;SwaptionFirstMonthPosition+1,$FJ204&lt;SwaptionFirstMonthPosition+1,HZ$169&gt;SwaptionFirstMonthPosition+SwaptionNumOfMonths+1,$FJ204&gt;SwaptionFirstMonthPosition+SwaptionNumOfMonths+1),"",IF($FJ204=HZ$169,1,IF($FJ204&lt;HZ$169,INDEX($FK$170:$ID$241,HZ$169,$FJ204),SUMPRODUCT(INDEX($FK$325:$ID$396,HZ$169,1+SwaptionShift):INDEX($FK$325:$ID$396,HZ$169,SwaptionMonthsToGo+SwaptionShift),INDEX($FK$245:$ID$316,$FJ204-HZ$169,73-HZ$169+SwaptionShift):INDEX($FK$245:$ID$316,$FJ204-HZ$169,72-HZ$169+SwaptionMonthsToGo+SwaptionShift))/SQRT(SUM(INDEX($FK359:$ID359,1+SwaptionShift):INDEX($FK359:$ID359,SwaptionMonthsToGo+SwaptionShift))*SUM(INDEX($FK$325:$ID$396,HZ$169,1+SwaptionShift):INDEX($FK$325:$ID$396,HZ$169,SwaptionMonthsToGo+SwaptionShift))))))</f>
        <v/>
      </c>
      <c r="IA204" s="479" t="str">
        <f ca="1">IF(OR(IA$169&lt;SwaptionFirstMonthPosition+1,$FJ204&lt;SwaptionFirstMonthPosition+1,IA$169&gt;SwaptionFirstMonthPosition+SwaptionNumOfMonths+1,$FJ204&gt;SwaptionFirstMonthPosition+SwaptionNumOfMonths+1),"",IF($FJ204=IA$169,1,IF($FJ204&lt;IA$169,INDEX($FK$170:$ID$241,IA$169,$FJ204),SUMPRODUCT(INDEX($FK$325:$ID$396,IA$169,1+SwaptionShift):INDEX($FK$325:$ID$396,IA$169,SwaptionMonthsToGo+SwaptionShift),INDEX($FK$245:$ID$316,$FJ204-IA$169,73-IA$169+SwaptionShift):INDEX($FK$245:$ID$316,$FJ204-IA$169,72-IA$169+SwaptionMonthsToGo+SwaptionShift))/SQRT(SUM(INDEX($FK359:$ID359,1+SwaptionShift):INDEX($FK359:$ID359,SwaptionMonthsToGo+SwaptionShift))*SUM(INDEX($FK$325:$ID$396,IA$169,1+SwaptionShift):INDEX($FK$325:$ID$396,IA$169,SwaptionMonthsToGo+SwaptionShift))))))</f>
        <v/>
      </c>
      <c r="IB204" s="479" t="str">
        <f ca="1">IF(OR(IB$169&lt;SwaptionFirstMonthPosition+1,$FJ204&lt;SwaptionFirstMonthPosition+1,IB$169&gt;SwaptionFirstMonthPosition+SwaptionNumOfMonths+1,$FJ204&gt;SwaptionFirstMonthPosition+SwaptionNumOfMonths+1),"",IF($FJ204=IB$169,1,IF($FJ204&lt;IB$169,INDEX($FK$170:$ID$241,IB$169,$FJ204),SUMPRODUCT(INDEX($FK$325:$ID$396,IB$169,1+SwaptionShift):INDEX($FK$325:$ID$396,IB$169,SwaptionMonthsToGo+SwaptionShift),INDEX($FK$245:$ID$316,$FJ204-IB$169,73-IB$169+SwaptionShift):INDEX($FK$245:$ID$316,$FJ204-IB$169,72-IB$169+SwaptionMonthsToGo+SwaptionShift))/SQRT(SUM(INDEX($FK359:$ID359,1+SwaptionShift):INDEX($FK359:$ID359,SwaptionMonthsToGo+SwaptionShift))*SUM(INDEX($FK$325:$ID$396,IB$169,1+SwaptionShift):INDEX($FK$325:$ID$396,IB$169,SwaptionMonthsToGo+SwaptionShift))))))</f>
        <v/>
      </c>
      <c r="IC204" s="479" t="str">
        <f ca="1">IF(OR(IC$169&lt;SwaptionFirstMonthPosition+1,$FJ204&lt;SwaptionFirstMonthPosition+1,IC$169&gt;SwaptionFirstMonthPosition+SwaptionNumOfMonths+1,$FJ204&gt;SwaptionFirstMonthPosition+SwaptionNumOfMonths+1),"",IF($FJ204=IC$169,1,IF($FJ204&lt;IC$169,INDEX($FK$170:$ID$241,IC$169,$FJ204),SUMPRODUCT(INDEX($FK$325:$ID$396,IC$169,1+SwaptionShift):INDEX($FK$325:$ID$396,IC$169,SwaptionMonthsToGo+SwaptionShift),INDEX($FK$245:$ID$316,$FJ204-IC$169,73-IC$169+SwaptionShift):INDEX($FK$245:$ID$316,$FJ204-IC$169,72-IC$169+SwaptionMonthsToGo+SwaptionShift))/SQRT(SUM(INDEX($FK359:$ID359,1+SwaptionShift):INDEX($FK359:$ID359,SwaptionMonthsToGo+SwaptionShift))*SUM(INDEX($FK$325:$ID$396,IC$169,1+SwaptionShift):INDEX($FK$325:$ID$396,IC$169,SwaptionMonthsToGo+SwaptionShift))))))</f>
        <v/>
      </c>
      <c r="ID204" s="678" t="str">
        <f ca="1">IF(OR(ID$169&lt;SwaptionFirstMonthPosition+1,$FJ204&lt;SwaptionFirstMonthPosition+1,ID$169&gt;SwaptionFirstMonthPosition+SwaptionNumOfMonths+1,$FJ204&gt;SwaptionFirstMonthPosition+SwaptionNumOfMonths+1),"",IF($FJ204=ID$169,1,IF($FJ204&lt;ID$169,INDEX($FK$170:$ID$241,ID$169,$FJ204),SUMPRODUCT(INDEX($FK$325:$ID$396,ID$169,1+SwaptionShift):INDEX($FK$325:$ID$396,ID$169,SwaptionMonthsToGo+SwaptionShift),INDEX($FK$245:$ID$316,$FJ204-ID$169,73-ID$169+SwaptionShift):INDEX($FK$245:$ID$316,$FJ204-ID$169,72-ID$169+SwaptionMonthsToGo+SwaptionShift))/SQRT(SUM(INDEX($FK359:$ID359,1+SwaptionShift):INDEX($FK359:$ID359,SwaptionMonthsToGo+SwaptionShift))*SUM(INDEX($FK$325:$ID$396,ID$169,1+SwaptionShift):INDEX($FK$325:$ID$396,ID$169,SwaptionMonthsToGo+SwaptionShift))))))</f>
        <v/>
      </c>
      <c r="IE204" s="250"/>
    </row>
    <row r="205" spans="8:239">
      <c r="H205" s="51">
        <f t="shared" ca="1" si="527"/>
        <v>0</v>
      </c>
      <c r="I205" s="379">
        <f t="shared" si="528"/>
        <v>42401</v>
      </c>
      <c r="J205" s="377"/>
      <c r="K205" s="104" t="s">
        <v>268</v>
      </c>
      <c r="L205" s="392">
        <f t="shared" si="529"/>
        <v>4.0875000000000057</v>
      </c>
      <c r="M205" s="171"/>
      <c r="N205" s="382">
        <v>0</v>
      </c>
      <c r="O205" s="171">
        <f t="shared" si="596"/>
        <v>0</v>
      </c>
      <c r="P205" s="377"/>
      <c r="Q205" s="104" t="s">
        <v>268</v>
      </c>
      <c r="R205" s="377">
        <f t="shared" ca="1" si="597"/>
        <v>2.8951713071312208</v>
      </c>
      <c r="S205" s="832">
        <f t="shared" si="564"/>
        <v>0.3600000000000001</v>
      </c>
      <c r="T205" s="831">
        <f t="shared" si="548"/>
        <v>0.99999999999997091</v>
      </c>
      <c r="U205" s="545">
        <f t="shared" si="549"/>
        <v>0.99999999999999978</v>
      </c>
      <c r="V205" s="389">
        <v>0</v>
      </c>
      <c r="W205" s="434">
        <f t="shared" si="598"/>
        <v>0</v>
      </c>
      <c r="X205" s="415">
        <f t="shared" si="599"/>
        <v>4.1357142857142906</v>
      </c>
      <c r="Y205" s="322">
        <f t="shared" si="600"/>
        <v>-1.1684999999999999</v>
      </c>
      <c r="Z205" s="322">
        <f t="shared" ca="1" si="601"/>
        <v>2.9672142857142907</v>
      </c>
      <c r="AA205" s="429">
        <f t="shared" si="495"/>
        <v>1.1684999999999999</v>
      </c>
      <c r="AB205" s="433">
        <f t="shared" ca="1" si="496"/>
        <v>1.1684999999999999</v>
      </c>
      <c r="AC205" s="229">
        <v>42389</v>
      </c>
      <c r="AD205" s="229">
        <v>42385</v>
      </c>
      <c r="AE205" s="229">
        <v>42384</v>
      </c>
      <c r="AF205" s="229">
        <v>42380</v>
      </c>
      <c r="AG205" s="249" t="s">
        <v>499</v>
      </c>
      <c r="AH205" s="247" t="s">
        <v>499</v>
      </c>
      <c r="AI205" s="146">
        <v>21</v>
      </c>
      <c r="AJ205" s="41">
        <v>15</v>
      </c>
      <c r="AK205" s="41">
        <v>6</v>
      </c>
      <c r="AL205" s="293">
        <v>21</v>
      </c>
      <c r="AM205" s="41">
        <v>10</v>
      </c>
      <c r="AN205" s="147">
        <v>11</v>
      </c>
      <c r="AO205" s="374"/>
      <c r="AP205" s="153">
        <f t="shared" ca="1" si="530"/>
        <v>1</v>
      </c>
      <c r="AQ205" s="374"/>
      <c r="AR205" s="153">
        <f t="shared" ca="1" si="550"/>
        <v>1</v>
      </c>
      <c r="AS205" s="272">
        <f t="shared" si="602"/>
        <v>0</v>
      </c>
      <c r="AT205" s="157">
        <f t="shared" si="531"/>
        <v>0</v>
      </c>
      <c r="AU205" s="157">
        <f t="shared" si="498"/>
        <v>0</v>
      </c>
      <c r="AV205" s="271">
        <f t="shared" ca="1" si="558"/>
        <v>9.9999999999999995E-7</v>
      </c>
      <c r="AW205" s="158" t="str">
        <f t="shared" ca="1" si="583"/>
        <v/>
      </c>
      <c r="AX205" s="157">
        <f t="shared" ca="1" si="551"/>
        <v>4.938940887037437E-5</v>
      </c>
      <c r="AY205" s="157">
        <f t="shared" ca="1" si="552"/>
        <v>1.1133009784744416E-5</v>
      </c>
      <c r="AZ205" s="157">
        <f t="shared" ca="1" si="553"/>
        <v>3.341486758913806E-7</v>
      </c>
      <c r="BA205" s="157">
        <f t="shared" ca="1" si="554"/>
        <v>4.1768584486422575E-8</v>
      </c>
      <c r="BB205" s="157">
        <f t="shared" ca="1" si="555"/>
        <v>1.7191047476137915E-10</v>
      </c>
      <c r="BC205" s="157">
        <f t="shared" ca="1" si="556"/>
        <v>3.489229299998439E-12</v>
      </c>
      <c r="BD205" s="151">
        <f t="shared" ca="1" si="603"/>
        <v>0</v>
      </c>
      <c r="BE205" s="152">
        <f t="shared" ca="1" si="604"/>
        <v>0</v>
      </c>
      <c r="BF205" s="40">
        <f t="shared" si="605"/>
        <v>2016</v>
      </c>
      <c r="BG205" s="144">
        <f t="shared" si="606"/>
        <v>2</v>
      </c>
      <c r="BH205" s="145">
        <f t="shared" ca="1" si="607"/>
        <v>5640</v>
      </c>
      <c r="BI205" s="313">
        <f t="shared" ca="1" si="608"/>
        <v>15.485284052019164</v>
      </c>
      <c r="BJ205" s="42">
        <f t="shared" ca="1" si="505"/>
        <v>15.540041067761807</v>
      </c>
      <c r="BK205" s="42">
        <f t="shared" ca="1" si="506"/>
        <v>15.54277891854894</v>
      </c>
      <c r="BL205" s="42">
        <f t="shared" ca="1" si="609"/>
        <v>15.561943874058864</v>
      </c>
      <c r="BM205" s="150" t="e">
        <f t="shared" ca="1" si="507"/>
        <v>#DIV/0!</v>
      </c>
      <c r="BN205" s="42" t="e">
        <f t="shared" ca="1" si="508"/>
        <v>#DIV/0!</v>
      </c>
      <c r="BO205" s="293">
        <f t="shared" si="610"/>
        <v>21</v>
      </c>
      <c r="BP205" s="41">
        <f t="shared" si="611"/>
        <v>15</v>
      </c>
      <c r="BQ205" s="41">
        <f t="shared" si="612"/>
        <v>6</v>
      </c>
      <c r="BR205" s="305" t="str">
        <f t="shared" ca="1" si="509"/>
        <v/>
      </c>
      <c r="BS205" s="305" t="str">
        <f t="shared" ca="1" si="613"/>
        <v/>
      </c>
      <c r="BT205" s="307" t="str">
        <f t="shared" ca="1" si="614"/>
        <v/>
      </c>
      <c r="BU205" s="161" t="str">
        <f t="shared" ca="1" si="510"/>
        <v/>
      </c>
      <c r="BV205" s="161" t="str">
        <f t="shared" ca="1" si="511"/>
        <v/>
      </c>
      <c r="BW205" s="308" t="str">
        <f t="shared" ca="1" si="512"/>
        <v/>
      </c>
      <c r="BX205" s="309" t="str">
        <f t="shared" ca="1" si="513"/>
        <v/>
      </c>
      <c r="BY205" s="308" t="str">
        <f t="shared" ca="1" si="615"/>
        <v/>
      </c>
      <c r="BZ205" s="309" t="str">
        <f t="shared" ca="1" si="616"/>
        <v/>
      </c>
      <c r="CA205" s="154" t="str">
        <f t="shared" ca="1" si="514"/>
        <v/>
      </c>
      <c r="CB205" s="154" t="str">
        <f t="shared" ca="1" si="515"/>
        <v/>
      </c>
      <c r="CC205" s="154" t="str">
        <f t="shared" ca="1" si="516"/>
        <v/>
      </c>
      <c r="CD205" s="154" t="str">
        <f t="shared" ca="1" si="517"/>
        <v/>
      </c>
      <c r="CE205" s="310">
        <v>1</v>
      </c>
      <c r="CF205" s="162">
        <f ca="1">IF(BD205,_xll.xCrudeAPO(BU205,BV205,CA205,CB205,S206,S207,BI205,BL205,BP205,BQ205,0,Strike1,AO205,CE205,0,BL205,IF(OptControl=4,0,1),0,1),0)</f>
        <v>0</v>
      </c>
      <c r="CG205" s="163">
        <f ca="1">IF(BD205,_xll.xCrudeAPO(BU205,BV205,CA205,CB205,S206,S207,BI205,BL205,BP205,BQ205,0,Strike1,AO205,CE205,0,BL205,IF(OptControl=4,0,1),1,1)+_xll.xCrudeAPO(BU205,BV205,CA205,CB205,S206,S207,BI205,BL205,BP205,BQ205,0,Strike1,AO205,CE205,0,BL205,IF(OptControl=4,0,1),1,2)+IF(OR(VolSkewFlag=2,ABS(BS205)&lt;0.0001),0,IF(BS205&gt;0,-1,1)*CH205*Strike1/BR205^2*BY205/10%),0)</f>
        <v>0</v>
      </c>
      <c r="CH205" s="163">
        <f ca="1">IF(BD205,(_xll.xCrudeAPO(BU205,BV205,CA205,CB205,S206,S207,BI205,BL205,BP205,BQ205,0,Strike1,AO205,CE205,0,BL205,IF(OptControl=4,0,1),3,1)+_xll.xCrudeAPO(BU205,BV205,CA205,CB205,S206,S207,BI205,BL205,BP205,BQ205,0,Strike1,AO205,CE205,0,BL205,IF(OptControl=4,0,1),3,2))/100,0)</f>
        <v>0</v>
      </c>
      <c r="CI205" s="163">
        <f ca="1">IF(BD205,_xll.xCrudeAPO(BU205,BV205,CA205,CB205,S206,S207,BI205-DaysForThetaCalculation/365.25,BL205-DaysForThetaCalculation/365.25,BP205,BQ205,0,Strike1,AO205,CE205,0,BL205,IF(OptControl=4,0,1),0,1)-_xll.xCrudeAPO(BU205,BV205,CA205,CB205,S206,S207,BI205,BL205,BP205,BQ205,0,Strike1,AO205,CE205,0,BL205,IF(OptControl=4,0,1),0,1),0)</f>
        <v>0</v>
      </c>
      <c r="CJ205" s="311">
        <f ca="1">IF(BD205,_xll.xCrudeAPO(BU205,BV205,CC205,CD205,S206,S207,BI205,BL205,BP205,BQ205,0,Strike2,AO205,CE205,0,BL205,IF(OptControl=3,1,0),0,1),0)</f>
        <v>0</v>
      </c>
      <c r="CK205" s="163">
        <f ca="1">IF(BD205,_xll.xCrudeAPO(BU205,BV205,CC205,CD205,S206,S207,BI205,BL205,BP205,BQ205,0,Strike2,AO205,CE205,0,BL205,IF(OptControl=3,1,0),1,1)+_xll.xCrudeAPO(BU205,BV205,CC205,CD205,S206,S207,BI205,BL205,BP205,BQ205,0,Strike2,AO205,CE205,0,BL205,IF(OptControl=3,1,0),1,2)+IF(OR(VolSkewFlag=2,ABS(BT205)&lt;0.0001),0,IF(BT205&gt;0,-1,1)*CL205*Strike2/BR205^2*BZ205/10%),0)</f>
        <v>0</v>
      </c>
      <c r="CL205" s="163">
        <f ca="1">IF(BD205,(_xll.xCrudeAPO(BU205,BV205,CC205,CD205,S206,S207,BI205,BL205,BP205,BQ205,0,Strike2,AO205,CE205,0,BL205,IF(OptControl=3,1,0),3,1)+_xll.xCrudeAPO(BU205,BV205,CC205,CD205,S206,S207,BI205,BL205,BP205,BQ205,0,Strike2,AO205,CE205,0,BL205,IF(OptControl=3,1,0),3,2))/100,0)</f>
        <v>0</v>
      </c>
      <c r="CM205" s="164">
        <f ca="1">IF(BD205,_xll.xCrudeAPO(BU205,BV205,CC205,CD205,S206,S207,BI205-DaysForThetaCalculation/365.25,BL205-DaysForThetaCalculation/365.25,BP205,BQ205,0,Strike2,AO205,CE205,0,BL205,IF(OptControl=3,1,0),0,1)-_xll.xCrudeAPO(BU205,BV205,CC205,CD205,S206,S207,BI205,BL205,BP205,BQ205,0,Strike2,AO205,CE205,0,BL205,IF(OptControl=3,1,0),0,1),0)</f>
        <v>0</v>
      </c>
      <c r="CN205" s="53"/>
      <c r="CO205" s="796" t="str">
        <f t="shared" ca="1" si="532"/>
        <v/>
      </c>
      <c r="CP205" s="800" t="str">
        <f t="shared" ca="1" si="533"/>
        <v/>
      </c>
      <c r="CQ205" s="797" t="str">
        <f t="shared" ca="1" si="534"/>
        <v/>
      </c>
      <c r="CR205" s="797" t="str">
        <f t="shared" ca="1" si="535"/>
        <v/>
      </c>
      <c r="CS205" s="797" t="str">
        <f t="shared" ca="1" si="536"/>
        <v/>
      </c>
      <c r="CT205" s="797" t="str">
        <f t="shared" ca="1" si="537"/>
        <v/>
      </c>
      <c r="CU205" s="798" t="str">
        <f t="shared" ca="1" si="538"/>
        <v/>
      </c>
      <c r="CV205" s="799" t="str">
        <f t="shared" ca="1" si="539"/>
        <v/>
      </c>
      <c r="CW205" s="799" t="str">
        <f t="shared" ca="1" si="540"/>
        <v/>
      </c>
      <c r="CX205" s="163">
        <f ca="1">IF(BD205,_xll.EURO(CP205,Strike1,AO205,AO205,CV205,CO205,IF(OptControl=4,0,1),0),0)</f>
        <v>0</v>
      </c>
      <c r="CY205" s="163">
        <f ca="1">IF(BD205,_xll.EURO(CP205,Strike1,AO205,AO205,CV205,CO205,IF(OptControl=4,0,1),1)+IF(OR(VolSkewFlag=2,ABS(CQ205)&lt;0.0001),0,IF(CQ205&gt;0,-1,1)*CZ205*100*Strike1/CP205^2*CS205/10%),0)</f>
        <v>0</v>
      </c>
      <c r="CZ205" s="163">
        <f ca="1">IF(BD205,_xll.EURO(CP205,Strike1,AO205,AO205,CV205,CO205,IF(OptControl=4,0,1),3)/100,0)</f>
        <v>0</v>
      </c>
      <c r="DA205" s="163">
        <f ca="1">IF(BD205,_xll.EURO(CP205,Strike1,AO205,AO205,CV205,CO205,IF(OptControl=4,0,1),0)-_xll.EURO(CP205,Strike1,AO205,AO205,CV205,CO205-1,IF(OptControl=4,0,1),0),0)</f>
        <v>0</v>
      </c>
      <c r="DB205" s="163">
        <f ca="1">IF(BD205,_xll.EURO(CP205,Strike2,AO205,AO205,CW205,CO205,IF(OptControl=3,1,0),0),0)</f>
        <v>0</v>
      </c>
      <c r="DC205" s="163">
        <f ca="1">IF(BD205,_xll.EURO(CP205,Strike2,AO205,AO205,CW205,CO205,IF(OptControl=3,1,0),1)+IF(OR(VolSkewFlag=2,ABS(CR205)&lt;0.0001),0,IF(CR205&gt;0,-1,1)*DD205*100*Strike2/CP205^2*CT205/10%),0)</f>
        <v>0</v>
      </c>
      <c r="DD205" s="163">
        <f ca="1">IF(BD205,_xll.EURO(CP205,Strike2,AO205,AO205,CW205,CO205,IF(OptControl=3,1,0),3)/100,0)</f>
        <v>0</v>
      </c>
      <c r="DE205" s="164">
        <f ca="1">IF(BD205,_xll.EURO(CP205,Strike2,AO205,AO205,CW205,CO205,IF(OptControl=3,1,0),0)-_xll.EURO(CP205,Strike2,AO205,AO205,CW205,CO205-1,IF(OptControl=3,1,0),0),0)</f>
        <v>0</v>
      </c>
      <c r="DG205" s="667">
        <f t="shared" ca="1" si="541"/>
        <v>42186</v>
      </c>
      <c r="DH205" s="475">
        <v>23.410000000000078</v>
      </c>
      <c r="DI205" s="665">
        <v>23.479565217391382</v>
      </c>
      <c r="DJ205" s="666">
        <f t="shared" ca="1" si="617"/>
        <v>42186</v>
      </c>
      <c r="DK205" s="475">
        <v>22.212800693373666</v>
      </c>
      <c r="DL205" s="665">
        <v>22.212665217391383</v>
      </c>
      <c r="DM205" s="667">
        <f t="shared" ca="1" si="618"/>
        <v>42186</v>
      </c>
      <c r="DN205" s="668">
        <f t="shared" si="619"/>
        <v>22.262800693373666</v>
      </c>
      <c r="DO205" s="667">
        <f t="shared" ca="1" si="620"/>
        <v>42186</v>
      </c>
      <c r="DP205" s="579">
        <f t="shared" si="621"/>
        <v>22.212665217391383</v>
      </c>
      <c r="DQ205" s="821">
        <v>0</v>
      </c>
      <c r="DR205" s="666">
        <f t="shared" ca="1" si="622"/>
        <v>42186</v>
      </c>
      <c r="DS205" s="669">
        <v>0.11359999999999802</v>
      </c>
      <c r="DT205" s="606">
        <v>0.11276521739130238</v>
      </c>
      <c r="DU205" s="666">
        <f t="shared" ca="1" si="623"/>
        <v>42186</v>
      </c>
      <c r="DV205" s="669">
        <v>0.11359999999999802</v>
      </c>
      <c r="DW205" s="606">
        <v>0.11276521739130238</v>
      </c>
      <c r="DX205" s="667">
        <f t="shared" ca="1" si="624"/>
        <v>42186</v>
      </c>
      <c r="DY205" s="606">
        <v>0.35</v>
      </c>
      <c r="DZ205" s="667">
        <f t="shared" ca="1" si="625"/>
        <v>42186</v>
      </c>
      <c r="EA205" s="606">
        <f t="shared" si="626"/>
        <v>0.11276521739130238</v>
      </c>
      <c r="EB205" s="1"/>
      <c r="EC205" s="118" t="str">
        <f t="shared" ca="1" si="627"/>
        <v/>
      </c>
      <c r="ED205" s="119" t="str">
        <f t="shared" ca="1" si="525"/>
        <v/>
      </c>
      <c r="EE205" s="112" t="str">
        <f t="shared" ca="1" si="526"/>
        <v/>
      </c>
      <c r="EF205" s="120">
        <f ca="1">IF(BD205,_xll.xASN(BR205,Strike1,AO205,ED205,0,BO205,0,BI205,BL205,IF(OptControl=4,0,1),0),0)</f>
        <v>0</v>
      </c>
      <c r="EG205" s="111">
        <f ca="1">IF(BD205,_xll.xASN(BR205,Strike2,AO205,EE205,0,BO205,0,BI205,BL205,IF(OptControl=3,1,0),0),0)</f>
        <v>0</v>
      </c>
      <c r="EL205" s="55"/>
      <c r="EM205" s="1"/>
      <c r="EN205" s="106"/>
      <c r="EO205" s="106"/>
      <c r="EP205" s="1"/>
      <c r="EQ205" s="683" t="s">
        <v>419</v>
      </c>
      <c r="ES205" s="455"/>
      <c r="ET205" s="36"/>
      <c r="EU205" s="107"/>
      <c r="EV205" s="475"/>
      <c r="EW205" s="456"/>
      <c r="EX205" s="456"/>
      <c r="EY205" s="250"/>
      <c r="EZ205" s="250"/>
      <c r="FA205" s="250"/>
      <c r="FB205" s="250"/>
      <c r="FC205" s="250"/>
      <c r="FD205" s="250"/>
      <c r="FE205" s="250"/>
      <c r="FF205" s="250"/>
      <c r="FG205" s="250"/>
      <c r="FH205" s="250"/>
      <c r="FI205" s="250"/>
      <c r="FJ205" s="673">
        <v>36</v>
      </c>
      <c r="FK205" s="479" t="str">
        <f ca="1">IF(OR(FK$169&lt;SwaptionFirstMonthPosition+1,$FJ205&lt;SwaptionFirstMonthPosition+1,FK$169&gt;SwaptionFirstMonthPosition+SwaptionNumOfMonths+1,$FJ205&gt;SwaptionFirstMonthPosition+SwaptionNumOfMonths+1),"",IF($FJ205=FK$169,1,IF($FJ205&lt;FK$169,INDEX($FK$170:$ID$241,FK$169,$FJ205),SUMPRODUCT(INDEX($FK$325:$ID$396,FK$169,1+SwaptionShift):INDEX($FK$325:$ID$396,FK$169,SwaptionMonthsToGo+SwaptionShift),INDEX($FK$245:$ID$316,$FJ205-FK$169,73-FK$169+SwaptionShift):INDEX($FK$245:$ID$316,$FJ205-FK$169,72-FK$169+SwaptionMonthsToGo+SwaptionShift))/SQRT(SUM(INDEX($FK360:$ID360,1+SwaptionShift):INDEX($FK360:$ID360,SwaptionMonthsToGo+SwaptionShift))*SUM(INDEX($FK$325:$ID$396,FK$169,1+SwaptionShift):INDEX($FK$325:$ID$396,FK$169,SwaptionMonthsToGo+SwaptionShift))))))</f>
        <v/>
      </c>
      <c r="FL205" s="479" t="str">
        <f ca="1">IF(OR(FL$169&lt;SwaptionFirstMonthPosition+1,$FJ205&lt;SwaptionFirstMonthPosition+1,FL$169&gt;SwaptionFirstMonthPosition+SwaptionNumOfMonths+1,$FJ205&gt;SwaptionFirstMonthPosition+SwaptionNumOfMonths+1),"",IF($FJ205=FL$169,1,IF($FJ205&lt;FL$169,INDEX($FK$170:$ID$241,FL$169,$FJ205),SUMPRODUCT(INDEX($FK$325:$ID$396,FL$169,1+SwaptionShift):INDEX($FK$325:$ID$396,FL$169,SwaptionMonthsToGo+SwaptionShift),INDEX($FK$245:$ID$316,$FJ205-FL$169,73-FL$169+SwaptionShift):INDEX($FK$245:$ID$316,$FJ205-FL$169,72-FL$169+SwaptionMonthsToGo+SwaptionShift))/SQRT(SUM(INDEX($FK360:$ID360,1+SwaptionShift):INDEX($FK360:$ID360,SwaptionMonthsToGo+SwaptionShift))*SUM(INDEX($FK$325:$ID$396,FL$169,1+SwaptionShift):INDEX($FK$325:$ID$396,FL$169,SwaptionMonthsToGo+SwaptionShift))))))</f>
        <v/>
      </c>
      <c r="FM205" s="479" t="str">
        <f ca="1">IF(OR(FM$169&lt;SwaptionFirstMonthPosition+1,$FJ205&lt;SwaptionFirstMonthPosition+1,FM$169&gt;SwaptionFirstMonthPosition+SwaptionNumOfMonths+1,$FJ205&gt;SwaptionFirstMonthPosition+SwaptionNumOfMonths+1),"",IF($FJ205=FM$169,1,IF($FJ205&lt;FM$169,INDEX($FK$170:$ID$241,FM$169,$FJ205),SUMPRODUCT(INDEX($FK$325:$ID$396,FM$169,1+SwaptionShift):INDEX($FK$325:$ID$396,FM$169,SwaptionMonthsToGo+SwaptionShift),INDEX($FK$245:$ID$316,$FJ205-FM$169,73-FM$169+SwaptionShift):INDEX($FK$245:$ID$316,$FJ205-FM$169,72-FM$169+SwaptionMonthsToGo+SwaptionShift))/SQRT(SUM(INDEX($FK360:$ID360,1+SwaptionShift):INDEX($FK360:$ID360,SwaptionMonthsToGo+SwaptionShift))*SUM(INDEX($FK$325:$ID$396,FM$169,1+SwaptionShift):INDEX($FK$325:$ID$396,FM$169,SwaptionMonthsToGo+SwaptionShift))))))</f>
        <v/>
      </c>
      <c r="FN205" s="479" t="str">
        <f ca="1">IF(OR(FN$169&lt;SwaptionFirstMonthPosition+1,$FJ205&lt;SwaptionFirstMonthPosition+1,FN$169&gt;SwaptionFirstMonthPosition+SwaptionNumOfMonths+1,$FJ205&gt;SwaptionFirstMonthPosition+SwaptionNumOfMonths+1),"",IF($FJ205=FN$169,1,IF($FJ205&lt;FN$169,INDEX($FK$170:$ID$241,FN$169,$FJ205),SUMPRODUCT(INDEX($FK$325:$ID$396,FN$169,1+SwaptionShift):INDEX($FK$325:$ID$396,FN$169,SwaptionMonthsToGo+SwaptionShift),INDEX($FK$245:$ID$316,$FJ205-FN$169,73-FN$169+SwaptionShift):INDEX($FK$245:$ID$316,$FJ205-FN$169,72-FN$169+SwaptionMonthsToGo+SwaptionShift))/SQRT(SUM(INDEX($FK360:$ID360,1+SwaptionShift):INDEX($FK360:$ID360,SwaptionMonthsToGo+SwaptionShift))*SUM(INDEX($FK$325:$ID$396,FN$169,1+SwaptionShift):INDEX($FK$325:$ID$396,FN$169,SwaptionMonthsToGo+SwaptionShift))))))</f>
        <v/>
      </c>
      <c r="FO205" s="479" t="str">
        <f ca="1">IF(OR(FO$169&lt;SwaptionFirstMonthPosition+1,$FJ205&lt;SwaptionFirstMonthPosition+1,FO$169&gt;SwaptionFirstMonthPosition+SwaptionNumOfMonths+1,$FJ205&gt;SwaptionFirstMonthPosition+SwaptionNumOfMonths+1),"",IF($FJ205=FO$169,1,IF($FJ205&lt;FO$169,INDEX($FK$170:$ID$241,FO$169,$FJ205),SUMPRODUCT(INDEX($FK$325:$ID$396,FO$169,1+SwaptionShift):INDEX($FK$325:$ID$396,FO$169,SwaptionMonthsToGo+SwaptionShift),INDEX($FK$245:$ID$316,$FJ205-FO$169,73-FO$169+SwaptionShift):INDEX($FK$245:$ID$316,$FJ205-FO$169,72-FO$169+SwaptionMonthsToGo+SwaptionShift))/SQRT(SUM(INDEX($FK360:$ID360,1+SwaptionShift):INDEX($FK360:$ID360,SwaptionMonthsToGo+SwaptionShift))*SUM(INDEX($FK$325:$ID$396,FO$169,1+SwaptionShift):INDEX($FK$325:$ID$396,FO$169,SwaptionMonthsToGo+SwaptionShift))))))</f>
        <v/>
      </c>
      <c r="FP205" s="479" t="str">
        <f ca="1">IF(OR(FP$169&lt;SwaptionFirstMonthPosition+1,$FJ205&lt;SwaptionFirstMonthPosition+1,FP$169&gt;SwaptionFirstMonthPosition+SwaptionNumOfMonths+1,$FJ205&gt;SwaptionFirstMonthPosition+SwaptionNumOfMonths+1),"",IF($FJ205=FP$169,1,IF($FJ205&lt;FP$169,INDEX($FK$170:$ID$241,FP$169,$FJ205),SUMPRODUCT(INDEX($FK$325:$ID$396,FP$169,1+SwaptionShift):INDEX($FK$325:$ID$396,FP$169,SwaptionMonthsToGo+SwaptionShift),INDEX($FK$245:$ID$316,$FJ205-FP$169,73-FP$169+SwaptionShift):INDEX($FK$245:$ID$316,$FJ205-FP$169,72-FP$169+SwaptionMonthsToGo+SwaptionShift))/SQRT(SUM(INDEX($FK360:$ID360,1+SwaptionShift):INDEX($FK360:$ID360,SwaptionMonthsToGo+SwaptionShift))*SUM(INDEX($FK$325:$ID$396,FP$169,1+SwaptionShift):INDEX($FK$325:$ID$396,FP$169,SwaptionMonthsToGo+SwaptionShift))))))</f>
        <v/>
      </c>
      <c r="FQ205" s="479" t="str">
        <f ca="1">IF(OR(FQ$169&lt;SwaptionFirstMonthPosition+1,$FJ205&lt;SwaptionFirstMonthPosition+1,FQ$169&gt;SwaptionFirstMonthPosition+SwaptionNumOfMonths+1,$FJ205&gt;SwaptionFirstMonthPosition+SwaptionNumOfMonths+1),"",IF($FJ205=FQ$169,1,IF($FJ205&lt;FQ$169,INDEX($FK$170:$ID$241,FQ$169,$FJ205),SUMPRODUCT(INDEX($FK$325:$ID$396,FQ$169,1+SwaptionShift):INDEX($FK$325:$ID$396,FQ$169,SwaptionMonthsToGo+SwaptionShift),INDEX($FK$245:$ID$316,$FJ205-FQ$169,73-FQ$169+SwaptionShift):INDEX($FK$245:$ID$316,$FJ205-FQ$169,72-FQ$169+SwaptionMonthsToGo+SwaptionShift))/SQRT(SUM(INDEX($FK360:$ID360,1+SwaptionShift):INDEX($FK360:$ID360,SwaptionMonthsToGo+SwaptionShift))*SUM(INDEX($FK$325:$ID$396,FQ$169,1+SwaptionShift):INDEX($FK$325:$ID$396,FQ$169,SwaptionMonthsToGo+SwaptionShift))))))</f>
        <v/>
      </c>
      <c r="FR205" s="479" t="str">
        <f ca="1">IF(OR(FR$169&lt;SwaptionFirstMonthPosition+1,$FJ205&lt;SwaptionFirstMonthPosition+1,FR$169&gt;SwaptionFirstMonthPosition+SwaptionNumOfMonths+1,$FJ205&gt;SwaptionFirstMonthPosition+SwaptionNumOfMonths+1),"",IF($FJ205=FR$169,1,IF($FJ205&lt;FR$169,INDEX($FK$170:$ID$241,FR$169,$FJ205),SUMPRODUCT(INDEX($FK$325:$ID$396,FR$169,1+SwaptionShift):INDEX($FK$325:$ID$396,FR$169,SwaptionMonthsToGo+SwaptionShift),INDEX($FK$245:$ID$316,$FJ205-FR$169,73-FR$169+SwaptionShift):INDEX($FK$245:$ID$316,$FJ205-FR$169,72-FR$169+SwaptionMonthsToGo+SwaptionShift))/SQRT(SUM(INDEX($FK360:$ID360,1+SwaptionShift):INDEX($FK360:$ID360,SwaptionMonthsToGo+SwaptionShift))*SUM(INDEX($FK$325:$ID$396,FR$169,1+SwaptionShift):INDEX($FK$325:$ID$396,FR$169,SwaptionMonthsToGo+SwaptionShift))))))</f>
        <v/>
      </c>
      <c r="FS205" s="479" t="str">
        <f ca="1">IF(OR(FS$169&lt;SwaptionFirstMonthPosition+1,$FJ205&lt;SwaptionFirstMonthPosition+1,FS$169&gt;SwaptionFirstMonthPosition+SwaptionNumOfMonths+1,$FJ205&gt;SwaptionFirstMonthPosition+SwaptionNumOfMonths+1),"",IF($FJ205=FS$169,1,IF($FJ205&lt;FS$169,INDEX($FK$170:$ID$241,FS$169,$FJ205),SUMPRODUCT(INDEX($FK$325:$ID$396,FS$169,1+SwaptionShift):INDEX($FK$325:$ID$396,FS$169,SwaptionMonthsToGo+SwaptionShift),INDEX($FK$245:$ID$316,$FJ205-FS$169,73-FS$169+SwaptionShift):INDEX($FK$245:$ID$316,$FJ205-FS$169,72-FS$169+SwaptionMonthsToGo+SwaptionShift))/SQRT(SUM(INDEX($FK360:$ID360,1+SwaptionShift):INDEX($FK360:$ID360,SwaptionMonthsToGo+SwaptionShift))*SUM(INDEX($FK$325:$ID$396,FS$169,1+SwaptionShift):INDEX($FK$325:$ID$396,FS$169,SwaptionMonthsToGo+SwaptionShift))))))</f>
        <v/>
      </c>
      <c r="FT205" s="479" t="str">
        <f ca="1">IF(OR(FT$169&lt;SwaptionFirstMonthPosition+1,$FJ205&lt;SwaptionFirstMonthPosition+1,FT$169&gt;SwaptionFirstMonthPosition+SwaptionNumOfMonths+1,$FJ205&gt;SwaptionFirstMonthPosition+SwaptionNumOfMonths+1),"",IF($FJ205=FT$169,1,IF($FJ205&lt;FT$169,INDEX($FK$170:$ID$241,FT$169,$FJ205),SUMPRODUCT(INDEX($FK$325:$ID$396,FT$169,1+SwaptionShift):INDEX($FK$325:$ID$396,FT$169,SwaptionMonthsToGo+SwaptionShift),INDEX($FK$245:$ID$316,$FJ205-FT$169,73-FT$169+SwaptionShift):INDEX($FK$245:$ID$316,$FJ205-FT$169,72-FT$169+SwaptionMonthsToGo+SwaptionShift))/SQRT(SUM(INDEX($FK360:$ID360,1+SwaptionShift):INDEX($FK360:$ID360,SwaptionMonthsToGo+SwaptionShift))*SUM(INDEX($FK$325:$ID$396,FT$169,1+SwaptionShift):INDEX($FK$325:$ID$396,FT$169,SwaptionMonthsToGo+SwaptionShift))))))</f>
        <v/>
      </c>
      <c r="FU205" s="479" t="str">
        <f ca="1">IF(OR(FU$169&lt;SwaptionFirstMonthPosition+1,$FJ205&lt;SwaptionFirstMonthPosition+1,FU$169&gt;SwaptionFirstMonthPosition+SwaptionNumOfMonths+1,$FJ205&gt;SwaptionFirstMonthPosition+SwaptionNumOfMonths+1),"",IF($FJ205=FU$169,1,IF($FJ205&lt;FU$169,INDEX($FK$170:$ID$241,FU$169,$FJ205),SUMPRODUCT(INDEX($FK$325:$ID$396,FU$169,1+SwaptionShift):INDEX($FK$325:$ID$396,FU$169,SwaptionMonthsToGo+SwaptionShift),INDEX($FK$245:$ID$316,$FJ205-FU$169,73-FU$169+SwaptionShift):INDEX($FK$245:$ID$316,$FJ205-FU$169,72-FU$169+SwaptionMonthsToGo+SwaptionShift))/SQRT(SUM(INDEX($FK360:$ID360,1+SwaptionShift):INDEX($FK360:$ID360,SwaptionMonthsToGo+SwaptionShift))*SUM(INDEX($FK$325:$ID$396,FU$169,1+SwaptionShift):INDEX($FK$325:$ID$396,FU$169,SwaptionMonthsToGo+SwaptionShift))))))</f>
        <v/>
      </c>
      <c r="FV205" s="479" t="str">
        <f ca="1">IF(OR(FV$169&lt;SwaptionFirstMonthPosition+1,$FJ205&lt;SwaptionFirstMonthPosition+1,FV$169&gt;SwaptionFirstMonthPosition+SwaptionNumOfMonths+1,$FJ205&gt;SwaptionFirstMonthPosition+SwaptionNumOfMonths+1),"",IF($FJ205=FV$169,1,IF($FJ205&lt;FV$169,INDEX($FK$170:$ID$241,FV$169,$FJ205),SUMPRODUCT(INDEX($FK$325:$ID$396,FV$169,1+SwaptionShift):INDEX($FK$325:$ID$396,FV$169,SwaptionMonthsToGo+SwaptionShift),INDEX($FK$245:$ID$316,$FJ205-FV$169,73-FV$169+SwaptionShift):INDEX($FK$245:$ID$316,$FJ205-FV$169,72-FV$169+SwaptionMonthsToGo+SwaptionShift))/SQRT(SUM(INDEX($FK360:$ID360,1+SwaptionShift):INDEX($FK360:$ID360,SwaptionMonthsToGo+SwaptionShift))*SUM(INDEX($FK$325:$ID$396,FV$169,1+SwaptionShift):INDEX($FK$325:$ID$396,FV$169,SwaptionMonthsToGo+SwaptionShift))))))</f>
        <v/>
      </c>
      <c r="FW205" s="479" t="str">
        <f ca="1">IF(OR(FW$169&lt;SwaptionFirstMonthPosition+1,$FJ205&lt;SwaptionFirstMonthPosition+1,FW$169&gt;SwaptionFirstMonthPosition+SwaptionNumOfMonths+1,$FJ205&gt;SwaptionFirstMonthPosition+SwaptionNumOfMonths+1),"",IF($FJ205=FW$169,1,IF($FJ205&lt;FW$169,INDEX($FK$170:$ID$241,FW$169,$FJ205),SUMPRODUCT(INDEX($FK$325:$ID$396,FW$169,1+SwaptionShift):INDEX($FK$325:$ID$396,FW$169,SwaptionMonthsToGo+SwaptionShift),INDEX($FK$245:$ID$316,$FJ205-FW$169,73-FW$169+SwaptionShift):INDEX($FK$245:$ID$316,$FJ205-FW$169,72-FW$169+SwaptionMonthsToGo+SwaptionShift))/SQRT(SUM(INDEX($FK360:$ID360,1+SwaptionShift):INDEX($FK360:$ID360,SwaptionMonthsToGo+SwaptionShift))*SUM(INDEX($FK$325:$ID$396,FW$169,1+SwaptionShift):INDEX($FK$325:$ID$396,FW$169,SwaptionMonthsToGo+SwaptionShift))))))</f>
        <v/>
      </c>
      <c r="FX205" s="479" t="str">
        <f ca="1">IF(OR(FX$169&lt;SwaptionFirstMonthPosition+1,$FJ205&lt;SwaptionFirstMonthPosition+1,FX$169&gt;SwaptionFirstMonthPosition+SwaptionNumOfMonths+1,$FJ205&gt;SwaptionFirstMonthPosition+SwaptionNumOfMonths+1),"",IF($FJ205=FX$169,1,IF($FJ205&lt;FX$169,INDEX($FK$170:$ID$241,FX$169,$FJ205),SUMPRODUCT(INDEX($FK$325:$ID$396,FX$169,1+SwaptionShift):INDEX($FK$325:$ID$396,FX$169,SwaptionMonthsToGo+SwaptionShift),INDEX($FK$245:$ID$316,$FJ205-FX$169,73-FX$169+SwaptionShift):INDEX($FK$245:$ID$316,$FJ205-FX$169,72-FX$169+SwaptionMonthsToGo+SwaptionShift))/SQRT(SUM(INDEX($FK360:$ID360,1+SwaptionShift):INDEX($FK360:$ID360,SwaptionMonthsToGo+SwaptionShift))*SUM(INDEX($FK$325:$ID$396,FX$169,1+SwaptionShift):INDEX($FK$325:$ID$396,FX$169,SwaptionMonthsToGo+SwaptionShift))))))</f>
        <v/>
      </c>
      <c r="FY205" s="479" t="str">
        <f ca="1">IF(OR(FY$169&lt;SwaptionFirstMonthPosition+1,$FJ205&lt;SwaptionFirstMonthPosition+1,FY$169&gt;SwaptionFirstMonthPosition+SwaptionNumOfMonths+1,$FJ205&gt;SwaptionFirstMonthPosition+SwaptionNumOfMonths+1),"",IF($FJ205=FY$169,1,IF($FJ205&lt;FY$169,INDEX($FK$170:$ID$241,FY$169,$FJ205),SUMPRODUCT(INDEX($FK$325:$ID$396,FY$169,1+SwaptionShift):INDEX($FK$325:$ID$396,FY$169,SwaptionMonthsToGo+SwaptionShift),INDEX($FK$245:$ID$316,$FJ205-FY$169,73-FY$169+SwaptionShift):INDEX($FK$245:$ID$316,$FJ205-FY$169,72-FY$169+SwaptionMonthsToGo+SwaptionShift))/SQRT(SUM(INDEX($FK360:$ID360,1+SwaptionShift):INDEX($FK360:$ID360,SwaptionMonthsToGo+SwaptionShift))*SUM(INDEX($FK$325:$ID$396,FY$169,1+SwaptionShift):INDEX($FK$325:$ID$396,FY$169,SwaptionMonthsToGo+SwaptionShift))))))</f>
        <v/>
      </c>
      <c r="FZ205" s="479" t="str">
        <f ca="1">IF(OR(FZ$169&lt;SwaptionFirstMonthPosition+1,$FJ205&lt;SwaptionFirstMonthPosition+1,FZ$169&gt;SwaptionFirstMonthPosition+SwaptionNumOfMonths+1,$FJ205&gt;SwaptionFirstMonthPosition+SwaptionNumOfMonths+1),"",IF($FJ205=FZ$169,1,IF($FJ205&lt;FZ$169,INDEX($FK$170:$ID$241,FZ$169,$FJ205),SUMPRODUCT(INDEX($FK$325:$ID$396,FZ$169,1+SwaptionShift):INDEX($FK$325:$ID$396,FZ$169,SwaptionMonthsToGo+SwaptionShift),INDEX($FK$245:$ID$316,$FJ205-FZ$169,73-FZ$169+SwaptionShift):INDEX($FK$245:$ID$316,$FJ205-FZ$169,72-FZ$169+SwaptionMonthsToGo+SwaptionShift))/SQRT(SUM(INDEX($FK360:$ID360,1+SwaptionShift):INDEX($FK360:$ID360,SwaptionMonthsToGo+SwaptionShift))*SUM(INDEX($FK$325:$ID$396,FZ$169,1+SwaptionShift):INDEX($FK$325:$ID$396,FZ$169,SwaptionMonthsToGo+SwaptionShift))))))</f>
        <v/>
      </c>
      <c r="GA205" s="479" t="str">
        <f ca="1">IF(OR(GA$169&lt;SwaptionFirstMonthPosition+1,$FJ205&lt;SwaptionFirstMonthPosition+1,GA$169&gt;SwaptionFirstMonthPosition+SwaptionNumOfMonths+1,$FJ205&gt;SwaptionFirstMonthPosition+SwaptionNumOfMonths+1),"",IF($FJ205=GA$169,1,IF($FJ205&lt;GA$169,INDEX($FK$170:$ID$241,GA$169,$FJ205),SUMPRODUCT(INDEX($FK$325:$ID$396,GA$169,1+SwaptionShift):INDEX($FK$325:$ID$396,GA$169,SwaptionMonthsToGo+SwaptionShift),INDEX($FK$245:$ID$316,$FJ205-GA$169,73-GA$169+SwaptionShift):INDEX($FK$245:$ID$316,$FJ205-GA$169,72-GA$169+SwaptionMonthsToGo+SwaptionShift))/SQRT(SUM(INDEX($FK360:$ID360,1+SwaptionShift):INDEX($FK360:$ID360,SwaptionMonthsToGo+SwaptionShift))*SUM(INDEX($FK$325:$ID$396,GA$169,1+SwaptionShift):INDEX($FK$325:$ID$396,GA$169,SwaptionMonthsToGo+SwaptionShift))))))</f>
        <v/>
      </c>
      <c r="GB205" s="479" t="str">
        <f ca="1">IF(OR(GB$169&lt;SwaptionFirstMonthPosition+1,$FJ205&lt;SwaptionFirstMonthPosition+1,GB$169&gt;SwaptionFirstMonthPosition+SwaptionNumOfMonths+1,$FJ205&gt;SwaptionFirstMonthPosition+SwaptionNumOfMonths+1),"",IF($FJ205=GB$169,1,IF($FJ205&lt;GB$169,INDEX($FK$170:$ID$241,GB$169,$FJ205),SUMPRODUCT(INDEX($FK$325:$ID$396,GB$169,1+SwaptionShift):INDEX($FK$325:$ID$396,GB$169,SwaptionMonthsToGo+SwaptionShift),INDEX($FK$245:$ID$316,$FJ205-GB$169,73-GB$169+SwaptionShift):INDEX($FK$245:$ID$316,$FJ205-GB$169,72-GB$169+SwaptionMonthsToGo+SwaptionShift))/SQRT(SUM(INDEX($FK360:$ID360,1+SwaptionShift):INDEX($FK360:$ID360,SwaptionMonthsToGo+SwaptionShift))*SUM(INDEX($FK$325:$ID$396,GB$169,1+SwaptionShift):INDEX($FK$325:$ID$396,GB$169,SwaptionMonthsToGo+SwaptionShift))))))</f>
        <v/>
      </c>
      <c r="GC205" s="479" t="str">
        <f ca="1">IF(OR(GC$169&lt;SwaptionFirstMonthPosition+1,$FJ205&lt;SwaptionFirstMonthPosition+1,GC$169&gt;SwaptionFirstMonthPosition+SwaptionNumOfMonths+1,$FJ205&gt;SwaptionFirstMonthPosition+SwaptionNumOfMonths+1),"",IF($FJ205=GC$169,1,IF($FJ205&lt;GC$169,INDEX($FK$170:$ID$241,GC$169,$FJ205),SUMPRODUCT(INDEX($FK$325:$ID$396,GC$169,1+SwaptionShift):INDEX($FK$325:$ID$396,GC$169,SwaptionMonthsToGo+SwaptionShift),INDEX($FK$245:$ID$316,$FJ205-GC$169,73-GC$169+SwaptionShift):INDEX($FK$245:$ID$316,$FJ205-GC$169,72-GC$169+SwaptionMonthsToGo+SwaptionShift))/SQRT(SUM(INDEX($FK360:$ID360,1+SwaptionShift):INDEX($FK360:$ID360,SwaptionMonthsToGo+SwaptionShift))*SUM(INDEX($FK$325:$ID$396,GC$169,1+SwaptionShift):INDEX($FK$325:$ID$396,GC$169,SwaptionMonthsToGo+SwaptionShift))))))</f>
        <v/>
      </c>
      <c r="GD205" s="479" t="str">
        <f ca="1">IF(OR(GD$169&lt;SwaptionFirstMonthPosition+1,$FJ205&lt;SwaptionFirstMonthPosition+1,GD$169&gt;SwaptionFirstMonthPosition+SwaptionNumOfMonths+1,$FJ205&gt;SwaptionFirstMonthPosition+SwaptionNumOfMonths+1),"",IF($FJ205=GD$169,1,IF($FJ205&lt;GD$169,INDEX($FK$170:$ID$241,GD$169,$FJ205),SUMPRODUCT(INDEX($FK$325:$ID$396,GD$169,1+SwaptionShift):INDEX($FK$325:$ID$396,GD$169,SwaptionMonthsToGo+SwaptionShift),INDEX($FK$245:$ID$316,$FJ205-GD$169,73-GD$169+SwaptionShift):INDEX($FK$245:$ID$316,$FJ205-GD$169,72-GD$169+SwaptionMonthsToGo+SwaptionShift))/SQRT(SUM(INDEX($FK360:$ID360,1+SwaptionShift):INDEX($FK360:$ID360,SwaptionMonthsToGo+SwaptionShift))*SUM(INDEX($FK$325:$ID$396,GD$169,1+SwaptionShift):INDEX($FK$325:$ID$396,GD$169,SwaptionMonthsToGo+SwaptionShift))))))</f>
        <v/>
      </c>
      <c r="GE205" s="479" t="str">
        <f ca="1">IF(OR(GE$169&lt;SwaptionFirstMonthPosition+1,$FJ205&lt;SwaptionFirstMonthPosition+1,GE$169&gt;SwaptionFirstMonthPosition+SwaptionNumOfMonths+1,$FJ205&gt;SwaptionFirstMonthPosition+SwaptionNumOfMonths+1),"",IF($FJ205=GE$169,1,IF($FJ205&lt;GE$169,INDEX($FK$170:$ID$241,GE$169,$FJ205),SUMPRODUCT(INDEX($FK$325:$ID$396,GE$169,1+SwaptionShift):INDEX($FK$325:$ID$396,GE$169,SwaptionMonthsToGo+SwaptionShift),INDEX($FK$245:$ID$316,$FJ205-GE$169,73-GE$169+SwaptionShift):INDEX($FK$245:$ID$316,$FJ205-GE$169,72-GE$169+SwaptionMonthsToGo+SwaptionShift))/SQRT(SUM(INDEX($FK360:$ID360,1+SwaptionShift):INDEX($FK360:$ID360,SwaptionMonthsToGo+SwaptionShift))*SUM(INDEX($FK$325:$ID$396,GE$169,1+SwaptionShift):INDEX($FK$325:$ID$396,GE$169,SwaptionMonthsToGo+SwaptionShift))))))</f>
        <v/>
      </c>
      <c r="GF205" s="479" t="str">
        <f ca="1">IF(OR(GF$169&lt;SwaptionFirstMonthPosition+1,$FJ205&lt;SwaptionFirstMonthPosition+1,GF$169&gt;SwaptionFirstMonthPosition+SwaptionNumOfMonths+1,$FJ205&gt;SwaptionFirstMonthPosition+SwaptionNumOfMonths+1),"",IF($FJ205=GF$169,1,IF($FJ205&lt;GF$169,INDEX($FK$170:$ID$241,GF$169,$FJ205),SUMPRODUCT(INDEX($FK$325:$ID$396,GF$169,1+SwaptionShift):INDEX($FK$325:$ID$396,GF$169,SwaptionMonthsToGo+SwaptionShift),INDEX($FK$245:$ID$316,$FJ205-GF$169,73-GF$169+SwaptionShift):INDEX($FK$245:$ID$316,$FJ205-GF$169,72-GF$169+SwaptionMonthsToGo+SwaptionShift))/SQRT(SUM(INDEX($FK360:$ID360,1+SwaptionShift):INDEX($FK360:$ID360,SwaptionMonthsToGo+SwaptionShift))*SUM(INDEX($FK$325:$ID$396,GF$169,1+SwaptionShift):INDEX($FK$325:$ID$396,GF$169,SwaptionMonthsToGo+SwaptionShift))))))</f>
        <v/>
      </c>
      <c r="GG205" s="479" t="str">
        <f ca="1">IF(OR(GG$169&lt;SwaptionFirstMonthPosition+1,$FJ205&lt;SwaptionFirstMonthPosition+1,GG$169&gt;SwaptionFirstMonthPosition+SwaptionNumOfMonths+1,$FJ205&gt;SwaptionFirstMonthPosition+SwaptionNumOfMonths+1),"",IF($FJ205=GG$169,1,IF($FJ205&lt;GG$169,INDEX($FK$170:$ID$241,GG$169,$FJ205),SUMPRODUCT(INDEX($FK$325:$ID$396,GG$169,1+SwaptionShift):INDEX($FK$325:$ID$396,GG$169,SwaptionMonthsToGo+SwaptionShift),INDEX($FK$245:$ID$316,$FJ205-GG$169,73-GG$169+SwaptionShift):INDEX($FK$245:$ID$316,$FJ205-GG$169,72-GG$169+SwaptionMonthsToGo+SwaptionShift))/SQRT(SUM(INDEX($FK360:$ID360,1+SwaptionShift):INDEX($FK360:$ID360,SwaptionMonthsToGo+SwaptionShift))*SUM(INDEX($FK$325:$ID$396,GG$169,1+SwaptionShift):INDEX($FK$325:$ID$396,GG$169,SwaptionMonthsToGo+SwaptionShift))))))</f>
        <v/>
      </c>
      <c r="GH205" s="479" t="str">
        <f ca="1">IF(OR(GH$169&lt;SwaptionFirstMonthPosition+1,$FJ205&lt;SwaptionFirstMonthPosition+1,GH$169&gt;SwaptionFirstMonthPosition+SwaptionNumOfMonths+1,$FJ205&gt;SwaptionFirstMonthPosition+SwaptionNumOfMonths+1),"",IF($FJ205=GH$169,1,IF($FJ205&lt;GH$169,INDEX($FK$170:$ID$241,GH$169,$FJ205),SUMPRODUCT(INDEX($FK$325:$ID$396,GH$169,1+SwaptionShift):INDEX($FK$325:$ID$396,GH$169,SwaptionMonthsToGo+SwaptionShift),INDEX($FK$245:$ID$316,$FJ205-GH$169,73-GH$169+SwaptionShift):INDEX($FK$245:$ID$316,$FJ205-GH$169,72-GH$169+SwaptionMonthsToGo+SwaptionShift))/SQRT(SUM(INDEX($FK360:$ID360,1+SwaptionShift):INDEX($FK360:$ID360,SwaptionMonthsToGo+SwaptionShift))*SUM(INDEX($FK$325:$ID$396,GH$169,1+SwaptionShift):INDEX($FK$325:$ID$396,GH$169,SwaptionMonthsToGo+SwaptionShift))))))</f>
        <v/>
      </c>
      <c r="GI205" s="479" t="str">
        <f ca="1">IF(OR(GI$169&lt;SwaptionFirstMonthPosition+1,$FJ205&lt;SwaptionFirstMonthPosition+1,GI$169&gt;SwaptionFirstMonthPosition+SwaptionNumOfMonths+1,$FJ205&gt;SwaptionFirstMonthPosition+SwaptionNumOfMonths+1),"",IF($FJ205=GI$169,1,IF($FJ205&lt;GI$169,INDEX($FK$170:$ID$241,GI$169,$FJ205),SUMPRODUCT(INDEX($FK$325:$ID$396,GI$169,1+SwaptionShift):INDEX($FK$325:$ID$396,GI$169,SwaptionMonthsToGo+SwaptionShift),INDEX($FK$245:$ID$316,$FJ205-GI$169,73-GI$169+SwaptionShift):INDEX($FK$245:$ID$316,$FJ205-GI$169,72-GI$169+SwaptionMonthsToGo+SwaptionShift))/SQRT(SUM(INDEX($FK360:$ID360,1+SwaptionShift):INDEX($FK360:$ID360,SwaptionMonthsToGo+SwaptionShift))*SUM(INDEX($FK$325:$ID$396,GI$169,1+SwaptionShift):INDEX($FK$325:$ID$396,GI$169,SwaptionMonthsToGo+SwaptionShift))))))</f>
        <v/>
      </c>
      <c r="GJ205" s="479" t="str">
        <f ca="1">IF(OR(GJ$169&lt;SwaptionFirstMonthPosition+1,$FJ205&lt;SwaptionFirstMonthPosition+1,GJ$169&gt;SwaptionFirstMonthPosition+SwaptionNumOfMonths+1,$FJ205&gt;SwaptionFirstMonthPosition+SwaptionNumOfMonths+1),"",IF($FJ205=GJ$169,1,IF($FJ205&lt;GJ$169,INDEX($FK$170:$ID$241,GJ$169,$FJ205),SUMPRODUCT(INDEX($FK$325:$ID$396,GJ$169,1+SwaptionShift):INDEX($FK$325:$ID$396,GJ$169,SwaptionMonthsToGo+SwaptionShift),INDEX($FK$245:$ID$316,$FJ205-GJ$169,73-GJ$169+SwaptionShift):INDEX($FK$245:$ID$316,$FJ205-GJ$169,72-GJ$169+SwaptionMonthsToGo+SwaptionShift))/SQRT(SUM(INDEX($FK360:$ID360,1+SwaptionShift):INDEX($FK360:$ID360,SwaptionMonthsToGo+SwaptionShift))*SUM(INDEX($FK$325:$ID$396,GJ$169,1+SwaptionShift):INDEX($FK$325:$ID$396,GJ$169,SwaptionMonthsToGo+SwaptionShift))))))</f>
        <v/>
      </c>
      <c r="GK205" s="479" t="str">
        <f ca="1">IF(OR(GK$169&lt;SwaptionFirstMonthPosition+1,$FJ205&lt;SwaptionFirstMonthPosition+1,GK$169&gt;SwaptionFirstMonthPosition+SwaptionNumOfMonths+1,$FJ205&gt;SwaptionFirstMonthPosition+SwaptionNumOfMonths+1),"",IF($FJ205=GK$169,1,IF($FJ205&lt;GK$169,INDEX($FK$170:$ID$241,GK$169,$FJ205),SUMPRODUCT(INDEX($FK$325:$ID$396,GK$169,1+SwaptionShift):INDEX($FK$325:$ID$396,GK$169,SwaptionMonthsToGo+SwaptionShift),INDEX($FK$245:$ID$316,$FJ205-GK$169,73-GK$169+SwaptionShift):INDEX($FK$245:$ID$316,$FJ205-GK$169,72-GK$169+SwaptionMonthsToGo+SwaptionShift))/SQRT(SUM(INDEX($FK360:$ID360,1+SwaptionShift):INDEX($FK360:$ID360,SwaptionMonthsToGo+SwaptionShift))*SUM(INDEX($FK$325:$ID$396,GK$169,1+SwaptionShift):INDEX($FK$325:$ID$396,GK$169,SwaptionMonthsToGo+SwaptionShift))))))</f>
        <v/>
      </c>
      <c r="GL205" s="479" t="str">
        <f ca="1">IF(OR(GL$169&lt;SwaptionFirstMonthPosition+1,$FJ205&lt;SwaptionFirstMonthPosition+1,GL$169&gt;SwaptionFirstMonthPosition+SwaptionNumOfMonths+1,$FJ205&gt;SwaptionFirstMonthPosition+SwaptionNumOfMonths+1),"",IF($FJ205=GL$169,1,IF($FJ205&lt;GL$169,INDEX($FK$170:$ID$241,GL$169,$FJ205),SUMPRODUCT(INDEX($FK$325:$ID$396,GL$169,1+SwaptionShift):INDEX($FK$325:$ID$396,GL$169,SwaptionMonthsToGo+SwaptionShift),INDEX($FK$245:$ID$316,$FJ205-GL$169,73-GL$169+SwaptionShift):INDEX($FK$245:$ID$316,$FJ205-GL$169,72-GL$169+SwaptionMonthsToGo+SwaptionShift))/SQRT(SUM(INDEX($FK360:$ID360,1+SwaptionShift):INDEX($FK360:$ID360,SwaptionMonthsToGo+SwaptionShift))*SUM(INDEX($FK$325:$ID$396,GL$169,1+SwaptionShift):INDEX($FK$325:$ID$396,GL$169,SwaptionMonthsToGo+SwaptionShift))))))</f>
        <v/>
      </c>
      <c r="GM205" s="479" t="str">
        <f ca="1">IF(OR(GM$169&lt;SwaptionFirstMonthPosition+1,$FJ205&lt;SwaptionFirstMonthPosition+1,GM$169&gt;SwaptionFirstMonthPosition+SwaptionNumOfMonths+1,$FJ205&gt;SwaptionFirstMonthPosition+SwaptionNumOfMonths+1),"",IF($FJ205=GM$169,1,IF($FJ205&lt;GM$169,INDEX($FK$170:$ID$241,GM$169,$FJ205),SUMPRODUCT(INDEX($FK$325:$ID$396,GM$169,1+SwaptionShift):INDEX($FK$325:$ID$396,GM$169,SwaptionMonthsToGo+SwaptionShift),INDEX($FK$245:$ID$316,$FJ205-GM$169,73-GM$169+SwaptionShift):INDEX($FK$245:$ID$316,$FJ205-GM$169,72-GM$169+SwaptionMonthsToGo+SwaptionShift))/SQRT(SUM(INDEX($FK360:$ID360,1+SwaptionShift):INDEX($FK360:$ID360,SwaptionMonthsToGo+SwaptionShift))*SUM(INDEX($FK$325:$ID$396,GM$169,1+SwaptionShift):INDEX($FK$325:$ID$396,GM$169,SwaptionMonthsToGo+SwaptionShift))))))</f>
        <v/>
      </c>
      <c r="GN205" s="479" t="str">
        <f ca="1">IF(OR(GN$169&lt;SwaptionFirstMonthPosition+1,$FJ205&lt;SwaptionFirstMonthPosition+1,GN$169&gt;SwaptionFirstMonthPosition+SwaptionNumOfMonths+1,$FJ205&gt;SwaptionFirstMonthPosition+SwaptionNumOfMonths+1),"",IF($FJ205=GN$169,1,IF($FJ205&lt;GN$169,INDEX($FK$170:$ID$241,GN$169,$FJ205),SUMPRODUCT(INDEX($FK$325:$ID$396,GN$169,1+SwaptionShift):INDEX($FK$325:$ID$396,GN$169,SwaptionMonthsToGo+SwaptionShift),INDEX($FK$245:$ID$316,$FJ205-GN$169,73-GN$169+SwaptionShift):INDEX($FK$245:$ID$316,$FJ205-GN$169,72-GN$169+SwaptionMonthsToGo+SwaptionShift))/SQRT(SUM(INDEX($FK360:$ID360,1+SwaptionShift):INDEX($FK360:$ID360,SwaptionMonthsToGo+SwaptionShift))*SUM(INDEX($FK$325:$ID$396,GN$169,1+SwaptionShift):INDEX($FK$325:$ID$396,GN$169,SwaptionMonthsToGo+SwaptionShift))))))</f>
        <v/>
      </c>
      <c r="GO205" s="479" t="str">
        <f ca="1">IF(OR(GO$169&lt;SwaptionFirstMonthPosition+1,$FJ205&lt;SwaptionFirstMonthPosition+1,GO$169&gt;SwaptionFirstMonthPosition+SwaptionNumOfMonths+1,$FJ205&gt;SwaptionFirstMonthPosition+SwaptionNumOfMonths+1),"",IF($FJ205=GO$169,1,IF($FJ205&lt;GO$169,INDEX($FK$170:$ID$241,GO$169,$FJ205),SUMPRODUCT(INDEX($FK$325:$ID$396,GO$169,1+SwaptionShift):INDEX($FK$325:$ID$396,GO$169,SwaptionMonthsToGo+SwaptionShift),INDEX($FK$245:$ID$316,$FJ205-GO$169,73-GO$169+SwaptionShift):INDEX($FK$245:$ID$316,$FJ205-GO$169,72-GO$169+SwaptionMonthsToGo+SwaptionShift))/SQRT(SUM(INDEX($FK360:$ID360,1+SwaptionShift):INDEX($FK360:$ID360,SwaptionMonthsToGo+SwaptionShift))*SUM(INDEX($FK$325:$ID$396,GO$169,1+SwaptionShift):INDEX($FK$325:$ID$396,GO$169,SwaptionMonthsToGo+SwaptionShift))))))</f>
        <v/>
      </c>
      <c r="GP205" s="479" t="str">
        <f ca="1">IF(OR(GP$169&lt;SwaptionFirstMonthPosition+1,$FJ205&lt;SwaptionFirstMonthPosition+1,GP$169&gt;SwaptionFirstMonthPosition+SwaptionNumOfMonths+1,$FJ205&gt;SwaptionFirstMonthPosition+SwaptionNumOfMonths+1),"",IF($FJ205=GP$169,1,IF($FJ205&lt;GP$169,INDEX($FK$170:$ID$241,GP$169,$FJ205),SUMPRODUCT(INDEX($FK$325:$ID$396,GP$169,1+SwaptionShift):INDEX($FK$325:$ID$396,GP$169,SwaptionMonthsToGo+SwaptionShift),INDEX($FK$245:$ID$316,$FJ205-GP$169,73-GP$169+SwaptionShift):INDEX($FK$245:$ID$316,$FJ205-GP$169,72-GP$169+SwaptionMonthsToGo+SwaptionShift))/SQRT(SUM(INDEX($FK360:$ID360,1+SwaptionShift):INDEX($FK360:$ID360,SwaptionMonthsToGo+SwaptionShift))*SUM(INDEX($FK$325:$ID$396,GP$169,1+SwaptionShift):INDEX($FK$325:$ID$396,GP$169,SwaptionMonthsToGo+SwaptionShift))))))</f>
        <v/>
      </c>
      <c r="GQ205" s="479" t="str">
        <f ca="1">IF(OR(GQ$169&lt;SwaptionFirstMonthPosition+1,$FJ205&lt;SwaptionFirstMonthPosition+1,GQ$169&gt;SwaptionFirstMonthPosition+SwaptionNumOfMonths+1,$FJ205&gt;SwaptionFirstMonthPosition+SwaptionNumOfMonths+1),"",IF($FJ205=GQ$169,1,IF($FJ205&lt;GQ$169,INDEX($FK$170:$ID$241,GQ$169,$FJ205),SUMPRODUCT(INDEX($FK$325:$ID$396,GQ$169,1+SwaptionShift):INDEX($FK$325:$ID$396,GQ$169,SwaptionMonthsToGo+SwaptionShift),INDEX($FK$245:$ID$316,$FJ205-GQ$169,73-GQ$169+SwaptionShift):INDEX($FK$245:$ID$316,$FJ205-GQ$169,72-GQ$169+SwaptionMonthsToGo+SwaptionShift))/SQRT(SUM(INDEX($FK360:$ID360,1+SwaptionShift):INDEX($FK360:$ID360,SwaptionMonthsToGo+SwaptionShift))*SUM(INDEX($FK$325:$ID$396,GQ$169,1+SwaptionShift):INDEX($FK$325:$ID$396,GQ$169,SwaptionMonthsToGo+SwaptionShift))))))</f>
        <v/>
      </c>
      <c r="GR205" s="479" t="str">
        <f ca="1">IF(OR(GR$169&lt;SwaptionFirstMonthPosition+1,$FJ205&lt;SwaptionFirstMonthPosition+1,GR$169&gt;SwaptionFirstMonthPosition+SwaptionNumOfMonths+1,$FJ205&gt;SwaptionFirstMonthPosition+SwaptionNumOfMonths+1),"",IF($FJ205=GR$169,1,IF($FJ205&lt;GR$169,INDEX($FK$170:$ID$241,GR$169,$FJ205),SUMPRODUCT(INDEX($FK$325:$ID$396,GR$169,1+SwaptionShift):INDEX($FK$325:$ID$396,GR$169,SwaptionMonthsToGo+SwaptionShift),INDEX($FK$245:$ID$316,$FJ205-GR$169,73-GR$169+SwaptionShift):INDEX($FK$245:$ID$316,$FJ205-GR$169,72-GR$169+SwaptionMonthsToGo+SwaptionShift))/SQRT(SUM(INDEX($FK360:$ID360,1+SwaptionShift):INDEX($FK360:$ID360,SwaptionMonthsToGo+SwaptionShift))*SUM(INDEX($FK$325:$ID$396,GR$169,1+SwaptionShift):INDEX($FK$325:$ID$396,GR$169,SwaptionMonthsToGo+SwaptionShift))))))</f>
        <v/>
      </c>
      <c r="GS205" s="479" t="str">
        <f ca="1">IF(OR(GS$169&lt;SwaptionFirstMonthPosition+1,$FJ205&lt;SwaptionFirstMonthPosition+1,GS$169&gt;SwaptionFirstMonthPosition+SwaptionNumOfMonths+1,$FJ205&gt;SwaptionFirstMonthPosition+SwaptionNumOfMonths+1),"",IF($FJ205=GS$169,1,IF($FJ205&lt;GS$169,INDEX($FK$170:$ID$241,GS$169,$FJ205),SUMPRODUCT(INDEX($FK$325:$ID$396,GS$169,1+SwaptionShift):INDEX($FK$325:$ID$396,GS$169,SwaptionMonthsToGo+SwaptionShift),INDEX($FK$245:$ID$316,$FJ205-GS$169,73-GS$169+SwaptionShift):INDEX($FK$245:$ID$316,$FJ205-GS$169,72-GS$169+SwaptionMonthsToGo+SwaptionShift))/SQRT(SUM(INDEX($FK360:$ID360,1+SwaptionShift):INDEX($FK360:$ID360,SwaptionMonthsToGo+SwaptionShift))*SUM(INDEX($FK$325:$ID$396,GS$169,1+SwaptionShift):INDEX($FK$325:$ID$396,GS$169,SwaptionMonthsToGo+SwaptionShift))))))</f>
        <v/>
      </c>
      <c r="GT205" s="479" t="str">
        <f ca="1">IF(OR(GT$169&lt;SwaptionFirstMonthPosition+1,$FJ205&lt;SwaptionFirstMonthPosition+1,GT$169&gt;SwaptionFirstMonthPosition+SwaptionNumOfMonths+1,$FJ205&gt;SwaptionFirstMonthPosition+SwaptionNumOfMonths+1),"",IF($FJ205=GT$169,1,IF($FJ205&lt;GT$169,INDEX($FK$170:$ID$241,GT$169,$FJ205),SUMPRODUCT(INDEX($FK$325:$ID$396,GT$169,1+SwaptionShift):INDEX($FK$325:$ID$396,GT$169,SwaptionMonthsToGo+SwaptionShift),INDEX($FK$245:$ID$316,$FJ205-GT$169,73-GT$169+SwaptionShift):INDEX($FK$245:$ID$316,$FJ205-GT$169,72-GT$169+SwaptionMonthsToGo+SwaptionShift))/SQRT(SUM(INDEX($FK360:$ID360,1+SwaptionShift):INDEX($FK360:$ID360,SwaptionMonthsToGo+SwaptionShift))*SUM(INDEX($FK$325:$ID$396,GT$169,1+SwaptionShift):INDEX($FK$325:$ID$396,GT$169,SwaptionMonthsToGo+SwaptionShift))))))</f>
        <v/>
      </c>
      <c r="GU205" s="479" t="str">
        <f ca="1">IF(OR(GU$169&lt;SwaptionFirstMonthPosition+1,$FJ205&lt;SwaptionFirstMonthPosition+1,GU$169&gt;SwaptionFirstMonthPosition+SwaptionNumOfMonths+1,$FJ205&gt;SwaptionFirstMonthPosition+SwaptionNumOfMonths+1),"",IF($FJ205=GU$169,1,IF($FJ205&lt;GU$169,INDEX($FK$170:$ID$241,GU$169,$FJ205),SUMPRODUCT(INDEX($FK$325:$ID$396,GU$169,1+SwaptionShift):INDEX($FK$325:$ID$396,GU$169,SwaptionMonthsToGo+SwaptionShift),INDEX($FK$245:$ID$316,$FJ205-GU$169,73-GU$169+SwaptionShift):INDEX($FK$245:$ID$316,$FJ205-GU$169,72-GU$169+SwaptionMonthsToGo+SwaptionShift))/SQRT(SUM(INDEX($FK360:$ID360,1+SwaptionShift):INDEX($FK360:$ID360,SwaptionMonthsToGo+SwaptionShift))*SUM(INDEX($FK$325:$ID$396,GU$169,1+SwaptionShift):INDEX($FK$325:$ID$396,GU$169,SwaptionMonthsToGo+SwaptionShift))))))</f>
        <v/>
      </c>
      <c r="GV205" s="479" t="str">
        <f ca="1">IF(OR(GV$169&lt;SwaptionFirstMonthPosition+1,$FJ205&lt;SwaptionFirstMonthPosition+1,GV$169&gt;SwaptionFirstMonthPosition+SwaptionNumOfMonths+1,$FJ205&gt;SwaptionFirstMonthPosition+SwaptionNumOfMonths+1),"",IF($FJ205=GV$169,1,IF($FJ205&lt;GV$169,INDEX($FK$170:$ID$241,GV$169,$FJ205),SUMPRODUCT(INDEX($FK$325:$ID$396,GV$169,1+SwaptionShift):INDEX($FK$325:$ID$396,GV$169,SwaptionMonthsToGo+SwaptionShift),INDEX($FK$245:$ID$316,$FJ205-GV$169,73-GV$169+SwaptionShift):INDEX($FK$245:$ID$316,$FJ205-GV$169,72-GV$169+SwaptionMonthsToGo+SwaptionShift))/SQRT(SUM(INDEX($FK360:$ID360,1+SwaptionShift):INDEX($FK360:$ID360,SwaptionMonthsToGo+SwaptionShift))*SUM(INDEX($FK$325:$ID$396,GV$169,1+SwaptionShift):INDEX($FK$325:$ID$396,GV$169,SwaptionMonthsToGo+SwaptionShift))))))</f>
        <v/>
      </c>
      <c r="GW205" s="479" t="str">
        <f ca="1">IF(OR(GW$169&lt;SwaptionFirstMonthPosition+1,$FJ205&lt;SwaptionFirstMonthPosition+1,GW$169&gt;SwaptionFirstMonthPosition+SwaptionNumOfMonths+1,$FJ205&gt;SwaptionFirstMonthPosition+SwaptionNumOfMonths+1),"",IF($FJ205=GW$169,1,IF($FJ205&lt;GW$169,INDEX($FK$170:$ID$241,GW$169,$FJ205),SUMPRODUCT(INDEX($FK$325:$ID$396,GW$169,1+SwaptionShift):INDEX($FK$325:$ID$396,GW$169,SwaptionMonthsToGo+SwaptionShift),INDEX($FK$245:$ID$316,$FJ205-GW$169,73-GW$169+SwaptionShift):INDEX($FK$245:$ID$316,$FJ205-GW$169,72-GW$169+SwaptionMonthsToGo+SwaptionShift))/SQRT(SUM(INDEX($FK360:$ID360,1+SwaptionShift):INDEX($FK360:$ID360,SwaptionMonthsToGo+SwaptionShift))*SUM(INDEX($FK$325:$ID$396,GW$169,1+SwaptionShift):INDEX($FK$325:$ID$396,GW$169,SwaptionMonthsToGo+SwaptionShift))))))</f>
        <v/>
      </c>
      <c r="GX205" s="479" t="str">
        <f ca="1">IF(OR(GX$169&lt;SwaptionFirstMonthPosition+1,$FJ205&lt;SwaptionFirstMonthPosition+1,GX$169&gt;SwaptionFirstMonthPosition+SwaptionNumOfMonths+1,$FJ205&gt;SwaptionFirstMonthPosition+SwaptionNumOfMonths+1),"",IF($FJ205=GX$169,1,IF($FJ205&lt;GX$169,INDEX($FK$170:$ID$241,GX$169,$FJ205),SUMPRODUCT(INDEX($FK$325:$ID$396,GX$169,1+SwaptionShift):INDEX($FK$325:$ID$396,GX$169,SwaptionMonthsToGo+SwaptionShift),INDEX($FK$245:$ID$316,$FJ205-GX$169,73-GX$169+SwaptionShift):INDEX($FK$245:$ID$316,$FJ205-GX$169,72-GX$169+SwaptionMonthsToGo+SwaptionShift))/SQRT(SUM(INDEX($FK360:$ID360,1+SwaptionShift):INDEX($FK360:$ID360,SwaptionMonthsToGo+SwaptionShift))*SUM(INDEX($FK$325:$ID$396,GX$169,1+SwaptionShift):INDEX($FK$325:$ID$396,GX$169,SwaptionMonthsToGo+SwaptionShift))))))</f>
        <v/>
      </c>
      <c r="GY205" s="479" t="str">
        <f ca="1">IF(OR(GY$169&lt;SwaptionFirstMonthPosition+1,$FJ205&lt;SwaptionFirstMonthPosition+1,GY$169&gt;SwaptionFirstMonthPosition+SwaptionNumOfMonths+1,$FJ205&gt;SwaptionFirstMonthPosition+SwaptionNumOfMonths+1),"",IF($FJ205=GY$169,1,IF($FJ205&lt;GY$169,INDEX($FK$170:$ID$241,GY$169,$FJ205),SUMPRODUCT(INDEX($FK$325:$ID$396,GY$169,1+SwaptionShift):INDEX($FK$325:$ID$396,GY$169,SwaptionMonthsToGo+SwaptionShift),INDEX($FK$245:$ID$316,$FJ205-GY$169,73-GY$169+SwaptionShift):INDEX($FK$245:$ID$316,$FJ205-GY$169,72-GY$169+SwaptionMonthsToGo+SwaptionShift))/SQRT(SUM(INDEX($FK360:$ID360,1+SwaptionShift):INDEX($FK360:$ID360,SwaptionMonthsToGo+SwaptionShift))*SUM(INDEX($FK$325:$ID$396,GY$169,1+SwaptionShift):INDEX($FK$325:$ID$396,GY$169,SwaptionMonthsToGo+SwaptionShift))))))</f>
        <v/>
      </c>
      <c r="GZ205" s="479" t="str">
        <f ca="1">IF(OR(GZ$169&lt;SwaptionFirstMonthPosition+1,$FJ205&lt;SwaptionFirstMonthPosition+1,GZ$169&gt;SwaptionFirstMonthPosition+SwaptionNumOfMonths+1,$FJ205&gt;SwaptionFirstMonthPosition+SwaptionNumOfMonths+1),"",IF($FJ205=GZ$169,1,IF($FJ205&lt;GZ$169,INDEX($FK$170:$ID$241,GZ$169,$FJ205),SUMPRODUCT(INDEX($FK$325:$ID$396,GZ$169,1+SwaptionShift):INDEX($FK$325:$ID$396,GZ$169,SwaptionMonthsToGo+SwaptionShift),INDEX($FK$245:$ID$316,$FJ205-GZ$169,73-GZ$169+SwaptionShift):INDEX($FK$245:$ID$316,$FJ205-GZ$169,72-GZ$169+SwaptionMonthsToGo+SwaptionShift))/SQRT(SUM(INDEX($FK360:$ID360,1+SwaptionShift):INDEX($FK360:$ID360,SwaptionMonthsToGo+SwaptionShift))*SUM(INDEX($FK$325:$ID$396,GZ$169,1+SwaptionShift):INDEX($FK$325:$ID$396,GZ$169,SwaptionMonthsToGo+SwaptionShift))))))</f>
        <v/>
      </c>
      <c r="HA205" s="479" t="str">
        <f ca="1">IF(OR(HA$169&lt;SwaptionFirstMonthPosition+1,$FJ205&lt;SwaptionFirstMonthPosition+1,HA$169&gt;SwaptionFirstMonthPosition+SwaptionNumOfMonths+1,$FJ205&gt;SwaptionFirstMonthPosition+SwaptionNumOfMonths+1),"",IF($FJ205=HA$169,1,IF($FJ205&lt;HA$169,INDEX($FK$170:$ID$241,HA$169,$FJ205),SUMPRODUCT(INDEX($FK$325:$ID$396,HA$169,1+SwaptionShift):INDEX($FK$325:$ID$396,HA$169,SwaptionMonthsToGo+SwaptionShift),INDEX($FK$245:$ID$316,$FJ205-HA$169,73-HA$169+SwaptionShift):INDEX($FK$245:$ID$316,$FJ205-HA$169,72-HA$169+SwaptionMonthsToGo+SwaptionShift))/SQRT(SUM(INDEX($FK360:$ID360,1+SwaptionShift):INDEX($FK360:$ID360,SwaptionMonthsToGo+SwaptionShift))*SUM(INDEX($FK$325:$ID$396,HA$169,1+SwaptionShift):INDEX($FK$325:$ID$396,HA$169,SwaptionMonthsToGo+SwaptionShift))))))</f>
        <v/>
      </c>
      <c r="HB205" s="479" t="str">
        <f ca="1">IF(OR(HB$169&lt;SwaptionFirstMonthPosition+1,$FJ205&lt;SwaptionFirstMonthPosition+1,HB$169&gt;SwaptionFirstMonthPosition+SwaptionNumOfMonths+1,$FJ205&gt;SwaptionFirstMonthPosition+SwaptionNumOfMonths+1),"",IF($FJ205=HB$169,1,IF($FJ205&lt;HB$169,INDEX($FK$170:$ID$241,HB$169,$FJ205),SUMPRODUCT(INDEX($FK$325:$ID$396,HB$169,1+SwaptionShift):INDEX($FK$325:$ID$396,HB$169,SwaptionMonthsToGo+SwaptionShift),INDEX($FK$245:$ID$316,$FJ205-HB$169,73-HB$169+SwaptionShift):INDEX($FK$245:$ID$316,$FJ205-HB$169,72-HB$169+SwaptionMonthsToGo+SwaptionShift))/SQRT(SUM(INDEX($FK360:$ID360,1+SwaptionShift):INDEX($FK360:$ID360,SwaptionMonthsToGo+SwaptionShift))*SUM(INDEX($FK$325:$ID$396,HB$169,1+SwaptionShift):INDEX($FK$325:$ID$396,HB$169,SwaptionMonthsToGo+SwaptionShift))))))</f>
        <v/>
      </c>
      <c r="HC205" s="479" t="str">
        <f ca="1">IF(OR(HC$169&lt;SwaptionFirstMonthPosition+1,$FJ205&lt;SwaptionFirstMonthPosition+1,HC$169&gt;SwaptionFirstMonthPosition+SwaptionNumOfMonths+1,$FJ205&gt;SwaptionFirstMonthPosition+SwaptionNumOfMonths+1),"",IF($FJ205=HC$169,1,IF($FJ205&lt;HC$169,INDEX($FK$170:$ID$241,HC$169,$FJ205),SUMPRODUCT(INDEX($FK$325:$ID$396,HC$169,1+SwaptionShift):INDEX($FK$325:$ID$396,HC$169,SwaptionMonthsToGo+SwaptionShift),INDEX($FK$245:$ID$316,$FJ205-HC$169,73-HC$169+SwaptionShift):INDEX($FK$245:$ID$316,$FJ205-HC$169,72-HC$169+SwaptionMonthsToGo+SwaptionShift))/SQRT(SUM(INDEX($FK360:$ID360,1+SwaptionShift):INDEX($FK360:$ID360,SwaptionMonthsToGo+SwaptionShift))*SUM(INDEX($FK$325:$ID$396,HC$169,1+SwaptionShift):INDEX($FK$325:$ID$396,HC$169,SwaptionMonthsToGo+SwaptionShift))))))</f>
        <v/>
      </c>
      <c r="HD205" s="479" t="str">
        <f ca="1">IF(OR(HD$169&lt;SwaptionFirstMonthPosition+1,$FJ205&lt;SwaptionFirstMonthPosition+1,HD$169&gt;SwaptionFirstMonthPosition+SwaptionNumOfMonths+1,$FJ205&gt;SwaptionFirstMonthPosition+SwaptionNumOfMonths+1),"",IF($FJ205=HD$169,1,IF($FJ205&lt;HD$169,INDEX($FK$170:$ID$241,HD$169,$FJ205),SUMPRODUCT(INDEX($FK$325:$ID$396,HD$169,1+SwaptionShift):INDEX($FK$325:$ID$396,HD$169,SwaptionMonthsToGo+SwaptionShift),INDEX($FK$245:$ID$316,$FJ205-HD$169,73-HD$169+SwaptionShift):INDEX($FK$245:$ID$316,$FJ205-HD$169,72-HD$169+SwaptionMonthsToGo+SwaptionShift))/SQRT(SUM(INDEX($FK360:$ID360,1+SwaptionShift):INDEX($FK360:$ID360,SwaptionMonthsToGo+SwaptionShift))*SUM(INDEX($FK$325:$ID$396,HD$169,1+SwaptionShift):INDEX($FK$325:$ID$396,HD$169,SwaptionMonthsToGo+SwaptionShift))))))</f>
        <v/>
      </c>
      <c r="HE205" s="479" t="str">
        <f ca="1">IF(OR(HE$169&lt;SwaptionFirstMonthPosition+1,$FJ205&lt;SwaptionFirstMonthPosition+1,HE$169&gt;SwaptionFirstMonthPosition+SwaptionNumOfMonths+1,$FJ205&gt;SwaptionFirstMonthPosition+SwaptionNumOfMonths+1),"",IF($FJ205=HE$169,1,IF($FJ205&lt;HE$169,INDEX($FK$170:$ID$241,HE$169,$FJ205),SUMPRODUCT(INDEX($FK$325:$ID$396,HE$169,1+SwaptionShift):INDEX($FK$325:$ID$396,HE$169,SwaptionMonthsToGo+SwaptionShift),INDEX($FK$245:$ID$316,$FJ205-HE$169,73-HE$169+SwaptionShift):INDEX($FK$245:$ID$316,$FJ205-HE$169,72-HE$169+SwaptionMonthsToGo+SwaptionShift))/SQRT(SUM(INDEX($FK360:$ID360,1+SwaptionShift):INDEX($FK360:$ID360,SwaptionMonthsToGo+SwaptionShift))*SUM(INDEX($FK$325:$ID$396,HE$169,1+SwaptionShift):INDEX($FK$325:$ID$396,HE$169,SwaptionMonthsToGo+SwaptionShift))))))</f>
        <v/>
      </c>
      <c r="HF205" s="479" t="str">
        <f ca="1">IF(OR(HF$169&lt;SwaptionFirstMonthPosition+1,$FJ205&lt;SwaptionFirstMonthPosition+1,HF$169&gt;SwaptionFirstMonthPosition+SwaptionNumOfMonths+1,$FJ205&gt;SwaptionFirstMonthPosition+SwaptionNumOfMonths+1),"",IF($FJ205=HF$169,1,IF($FJ205&lt;HF$169,INDEX($FK$170:$ID$241,HF$169,$FJ205),SUMPRODUCT(INDEX($FK$325:$ID$396,HF$169,1+SwaptionShift):INDEX($FK$325:$ID$396,HF$169,SwaptionMonthsToGo+SwaptionShift),INDEX($FK$245:$ID$316,$FJ205-HF$169,73-HF$169+SwaptionShift):INDEX($FK$245:$ID$316,$FJ205-HF$169,72-HF$169+SwaptionMonthsToGo+SwaptionShift))/SQRT(SUM(INDEX($FK360:$ID360,1+SwaptionShift):INDEX($FK360:$ID360,SwaptionMonthsToGo+SwaptionShift))*SUM(INDEX($FK$325:$ID$396,HF$169,1+SwaptionShift):INDEX($FK$325:$ID$396,HF$169,SwaptionMonthsToGo+SwaptionShift))))))</f>
        <v/>
      </c>
      <c r="HG205" s="479" t="str">
        <f ca="1">IF(OR(HG$169&lt;SwaptionFirstMonthPosition+1,$FJ205&lt;SwaptionFirstMonthPosition+1,HG$169&gt;SwaptionFirstMonthPosition+SwaptionNumOfMonths+1,$FJ205&gt;SwaptionFirstMonthPosition+SwaptionNumOfMonths+1),"",IF($FJ205=HG$169,1,IF($FJ205&lt;HG$169,INDEX($FK$170:$ID$241,HG$169,$FJ205),SUMPRODUCT(INDEX($FK$325:$ID$396,HG$169,1+SwaptionShift):INDEX($FK$325:$ID$396,HG$169,SwaptionMonthsToGo+SwaptionShift),INDEX($FK$245:$ID$316,$FJ205-HG$169,73-HG$169+SwaptionShift):INDEX($FK$245:$ID$316,$FJ205-HG$169,72-HG$169+SwaptionMonthsToGo+SwaptionShift))/SQRT(SUM(INDEX($FK360:$ID360,1+SwaptionShift):INDEX($FK360:$ID360,SwaptionMonthsToGo+SwaptionShift))*SUM(INDEX($FK$325:$ID$396,HG$169,1+SwaptionShift):INDEX($FK$325:$ID$396,HG$169,SwaptionMonthsToGo+SwaptionShift))))))</f>
        <v/>
      </c>
      <c r="HH205" s="479" t="str">
        <f ca="1">IF(OR(HH$169&lt;SwaptionFirstMonthPosition+1,$FJ205&lt;SwaptionFirstMonthPosition+1,HH$169&gt;SwaptionFirstMonthPosition+SwaptionNumOfMonths+1,$FJ205&gt;SwaptionFirstMonthPosition+SwaptionNumOfMonths+1),"",IF($FJ205=HH$169,1,IF($FJ205&lt;HH$169,INDEX($FK$170:$ID$241,HH$169,$FJ205),SUMPRODUCT(INDEX($FK$325:$ID$396,HH$169,1+SwaptionShift):INDEX($FK$325:$ID$396,HH$169,SwaptionMonthsToGo+SwaptionShift),INDEX($FK$245:$ID$316,$FJ205-HH$169,73-HH$169+SwaptionShift):INDEX($FK$245:$ID$316,$FJ205-HH$169,72-HH$169+SwaptionMonthsToGo+SwaptionShift))/SQRT(SUM(INDEX($FK360:$ID360,1+SwaptionShift):INDEX($FK360:$ID360,SwaptionMonthsToGo+SwaptionShift))*SUM(INDEX($FK$325:$ID$396,HH$169,1+SwaptionShift):INDEX($FK$325:$ID$396,HH$169,SwaptionMonthsToGo+SwaptionShift))))))</f>
        <v/>
      </c>
      <c r="HI205" s="479" t="str">
        <f ca="1">IF(OR(HI$169&lt;SwaptionFirstMonthPosition+1,$FJ205&lt;SwaptionFirstMonthPosition+1,HI$169&gt;SwaptionFirstMonthPosition+SwaptionNumOfMonths+1,$FJ205&gt;SwaptionFirstMonthPosition+SwaptionNumOfMonths+1),"",IF($FJ205=HI$169,1,IF($FJ205&lt;HI$169,INDEX($FK$170:$ID$241,HI$169,$FJ205),SUMPRODUCT(INDEX($FK$325:$ID$396,HI$169,1+SwaptionShift):INDEX($FK$325:$ID$396,HI$169,SwaptionMonthsToGo+SwaptionShift),INDEX($FK$245:$ID$316,$FJ205-HI$169,73-HI$169+SwaptionShift):INDEX($FK$245:$ID$316,$FJ205-HI$169,72-HI$169+SwaptionMonthsToGo+SwaptionShift))/SQRT(SUM(INDEX($FK360:$ID360,1+SwaptionShift):INDEX($FK360:$ID360,SwaptionMonthsToGo+SwaptionShift))*SUM(INDEX($FK$325:$ID$396,HI$169,1+SwaptionShift):INDEX($FK$325:$ID$396,HI$169,SwaptionMonthsToGo+SwaptionShift))))))</f>
        <v/>
      </c>
      <c r="HJ205" s="479" t="str">
        <f ca="1">IF(OR(HJ$169&lt;SwaptionFirstMonthPosition+1,$FJ205&lt;SwaptionFirstMonthPosition+1,HJ$169&gt;SwaptionFirstMonthPosition+SwaptionNumOfMonths+1,$FJ205&gt;SwaptionFirstMonthPosition+SwaptionNumOfMonths+1),"",IF($FJ205=HJ$169,1,IF($FJ205&lt;HJ$169,INDEX($FK$170:$ID$241,HJ$169,$FJ205),SUMPRODUCT(INDEX($FK$325:$ID$396,HJ$169,1+SwaptionShift):INDEX($FK$325:$ID$396,HJ$169,SwaptionMonthsToGo+SwaptionShift),INDEX($FK$245:$ID$316,$FJ205-HJ$169,73-HJ$169+SwaptionShift):INDEX($FK$245:$ID$316,$FJ205-HJ$169,72-HJ$169+SwaptionMonthsToGo+SwaptionShift))/SQRT(SUM(INDEX($FK360:$ID360,1+SwaptionShift):INDEX($FK360:$ID360,SwaptionMonthsToGo+SwaptionShift))*SUM(INDEX($FK$325:$ID$396,HJ$169,1+SwaptionShift):INDEX($FK$325:$ID$396,HJ$169,SwaptionMonthsToGo+SwaptionShift))))))</f>
        <v/>
      </c>
      <c r="HK205" s="479" t="str">
        <f ca="1">IF(OR(HK$169&lt;SwaptionFirstMonthPosition+1,$FJ205&lt;SwaptionFirstMonthPosition+1,HK$169&gt;SwaptionFirstMonthPosition+SwaptionNumOfMonths+1,$FJ205&gt;SwaptionFirstMonthPosition+SwaptionNumOfMonths+1),"",IF($FJ205=HK$169,1,IF($FJ205&lt;HK$169,INDEX($FK$170:$ID$241,HK$169,$FJ205),SUMPRODUCT(INDEX($FK$325:$ID$396,HK$169,1+SwaptionShift):INDEX($FK$325:$ID$396,HK$169,SwaptionMonthsToGo+SwaptionShift),INDEX($FK$245:$ID$316,$FJ205-HK$169,73-HK$169+SwaptionShift):INDEX($FK$245:$ID$316,$FJ205-HK$169,72-HK$169+SwaptionMonthsToGo+SwaptionShift))/SQRT(SUM(INDEX($FK360:$ID360,1+SwaptionShift):INDEX($FK360:$ID360,SwaptionMonthsToGo+SwaptionShift))*SUM(INDEX($FK$325:$ID$396,HK$169,1+SwaptionShift):INDEX($FK$325:$ID$396,HK$169,SwaptionMonthsToGo+SwaptionShift))))))</f>
        <v/>
      </c>
      <c r="HL205" s="479" t="str">
        <f ca="1">IF(OR(HL$169&lt;SwaptionFirstMonthPosition+1,$FJ205&lt;SwaptionFirstMonthPosition+1,HL$169&gt;SwaptionFirstMonthPosition+SwaptionNumOfMonths+1,$FJ205&gt;SwaptionFirstMonthPosition+SwaptionNumOfMonths+1),"",IF($FJ205=HL$169,1,IF($FJ205&lt;HL$169,INDEX($FK$170:$ID$241,HL$169,$FJ205),SUMPRODUCT(INDEX($FK$325:$ID$396,HL$169,1+SwaptionShift):INDEX($FK$325:$ID$396,HL$169,SwaptionMonthsToGo+SwaptionShift),INDEX($FK$245:$ID$316,$FJ205-HL$169,73-HL$169+SwaptionShift):INDEX($FK$245:$ID$316,$FJ205-HL$169,72-HL$169+SwaptionMonthsToGo+SwaptionShift))/SQRT(SUM(INDEX($FK360:$ID360,1+SwaptionShift):INDEX($FK360:$ID360,SwaptionMonthsToGo+SwaptionShift))*SUM(INDEX($FK$325:$ID$396,HL$169,1+SwaptionShift):INDEX($FK$325:$ID$396,HL$169,SwaptionMonthsToGo+SwaptionShift))))))</f>
        <v/>
      </c>
      <c r="HM205" s="479" t="str">
        <f ca="1">IF(OR(HM$169&lt;SwaptionFirstMonthPosition+1,$FJ205&lt;SwaptionFirstMonthPosition+1,HM$169&gt;SwaptionFirstMonthPosition+SwaptionNumOfMonths+1,$FJ205&gt;SwaptionFirstMonthPosition+SwaptionNumOfMonths+1),"",IF($FJ205=HM$169,1,IF($FJ205&lt;HM$169,INDEX($FK$170:$ID$241,HM$169,$FJ205),SUMPRODUCT(INDEX($FK$325:$ID$396,HM$169,1+SwaptionShift):INDEX($FK$325:$ID$396,HM$169,SwaptionMonthsToGo+SwaptionShift),INDEX($FK$245:$ID$316,$FJ205-HM$169,73-HM$169+SwaptionShift):INDEX($FK$245:$ID$316,$FJ205-HM$169,72-HM$169+SwaptionMonthsToGo+SwaptionShift))/SQRT(SUM(INDEX($FK360:$ID360,1+SwaptionShift):INDEX($FK360:$ID360,SwaptionMonthsToGo+SwaptionShift))*SUM(INDEX($FK$325:$ID$396,HM$169,1+SwaptionShift):INDEX($FK$325:$ID$396,HM$169,SwaptionMonthsToGo+SwaptionShift))))))</f>
        <v/>
      </c>
      <c r="HN205" s="479" t="str">
        <f ca="1">IF(OR(HN$169&lt;SwaptionFirstMonthPosition+1,$FJ205&lt;SwaptionFirstMonthPosition+1,HN$169&gt;SwaptionFirstMonthPosition+SwaptionNumOfMonths+1,$FJ205&gt;SwaptionFirstMonthPosition+SwaptionNumOfMonths+1),"",IF($FJ205=HN$169,1,IF($FJ205&lt;HN$169,INDEX($FK$170:$ID$241,HN$169,$FJ205),SUMPRODUCT(INDEX($FK$325:$ID$396,HN$169,1+SwaptionShift):INDEX($FK$325:$ID$396,HN$169,SwaptionMonthsToGo+SwaptionShift),INDEX($FK$245:$ID$316,$FJ205-HN$169,73-HN$169+SwaptionShift):INDEX($FK$245:$ID$316,$FJ205-HN$169,72-HN$169+SwaptionMonthsToGo+SwaptionShift))/SQRT(SUM(INDEX($FK360:$ID360,1+SwaptionShift):INDEX($FK360:$ID360,SwaptionMonthsToGo+SwaptionShift))*SUM(INDEX($FK$325:$ID$396,HN$169,1+SwaptionShift):INDEX($FK$325:$ID$396,HN$169,SwaptionMonthsToGo+SwaptionShift))))))</f>
        <v/>
      </c>
      <c r="HO205" s="479" t="str">
        <f ca="1">IF(OR(HO$169&lt;SwaptionFirstMonthPosition+1,$FJ205&lt;SwaptionFirstMonthPosition+1,HO$169&gt;SwaptionFirstMonthPosition+SwaptionNumOfMonths+1,$FJ205&gt;SwaptionFirstMonthPosition+SwaptionNumOfMonths+1),"",IF($FJ205=HO$169,1,IF($FJ205&lt;HO$169,INDEX($FK$170:$ID$241,HO$169,$FJ205),SUMPRODUCT(INDEX($FK$325:$ID$396,HO$169,1+SwaptionShift):INDEX($FK$325:$ID$396,HO$169,SwaptionMonthsToGo+SwaptionShift),INDEX($FK$245:$ID$316,$FJ205-HO$169,73-HO$169+SwaptionShift):INDEX($FK$245:$ID$316,$FJ205-HO$169,72-HO$169+SwaptionMonthsToGo+SwaptionShift))/SQRT(SUM(INDEX($FK360:$ID360,1+SwaptionShift):INDEX($FK360:$ID360,SwaptionMonthsToGo+SwaptionShift))*SUM(INDEX($FK$325:$ID$396,HO$169,1+SwaptionShift):INDEX($FK$325:$ID$396,HO$169,SwaptionMonthsToGo+SwaptionShift))))))</f>
        <v/>
      </c>
      <c r="HP205" s="479" t="str">
        <f ca="1">IF(OR(HP$169&lt;SwaptionFirstMonthPosition+1,$FJ205&lt;SwaptionFirstMonthPosition+1,HP$169&gt;SwaptionFirstMonthPosition+SwaptionNumOfMonths+1,$FJ205&gt;SwaptionFirstMonthPosition+SwaptionNumOfMonths+1),"",IF($FJ205=HP$169,1,IF($FJ205&lt;HP$169,INDEX($FK$170:$ID$241,HP$169,$FJ205),SUMPRODUCT(INDEX($FK$325:$ID$396,HP$169,1+SwaptionShift):INDEX($FK$325:$ID$396,HP$169,SwaptionMonthsToGo+SwaptionShift),INDEX($FK$245:$ID$316,$FJ205-HP$169,73-HP$169+SwaptionShift):INDEX($FK$245:$ID$316,$FJ205-HP$169,72-HP$169+SwaptionMonthsToGo+SwaptionShift))/SQRT(SUM(INDEX($FK360:$ID360,1+SwaptionShift):INDEX($FK360:$ID360,SwaptionMonthsToGo+SwaptionShift))*SUM(INDEX($FK$325:$ID$396,HP$169,1+SwaptionShift):INDEX($FK$325:$ID$396,HP$169,SwaptionMonthsToGo+SwaptionShift))))))</f>
        <v/>
      </c>
      <c r="HQ205" s="479" t="str">
        <f ca="1">IF(OR(HQ$169&lt;SwaptionFirstMonthPosition+1,$FJ205&lt;SwaptionFirstMonthPosition+1,HQ$169&gt;SwaptionFirstMonthPosition+SwaptionNumOfMonths+1,$FJ205&gt;SwaptionFirstMonthPosition+SwaptionNumOfMonths+1),"",IF($FJ205=HQ$169,1,IF($FJ205&lt;HQ$169,INDEX($FK$170:$ID$241,HQ$169,$FJ205),SUMPRODUCT(INDEX($FK$325:$ID$396,HQ$169,1+SwaptionShift):INDEX($FK$325:$ID$396,HQ$169,SwaptionMonthsToGo+SwaptionShift),INDEX($FK$245:$ID$316,$FJ205-HQ$169,73-HQ$169+SwaptionShift):INDEX($FK$245:$ID$316,$FJ205-HQ$169,72-HQ$169+SwaptionMonthsToGo+SwaptionShift))/SQRT(SUM(INDEX($FK360:$ID360,1+SwaptionShift):INDEX($FK360:$ID360,SwaptionMonthsToGo+SwaptionShift))*SUM(INDEX($FK$325:$ID$396,HQ$169,1+SwaptionShift):INDEX($FK$325:$ID$396,HQ$169,SwaptionMonthsToGo+SwaptionShift))))))</f>
        <v/>
      </c>
      <c r="HR205" s="479" t="str">
        <f ca="1">IF(OR(HR$169&lt;SwaptionFirstMonthPosition+1,$FJ205&lt;SwaptionFirstMonthPosition+1,HR$169&gt;SwaptionFirstMonthPosition+SwaptionNumOfMonths+1,$FJ205&gt;SwaptionFirstMonthPosition+SwaptionNumOfMonths+1),"",IF($FJ205=HR$169,1,IF($FJ205&lt;HR$169,INDEX($FK$170:$ID$241,HR$169,$FJ205),SUMPRODUCT(INDEX($FK$325:$ID$396,HR$169,1+SwaptionShift):INDEX($FK$325:$ID$396,HR$169,SwaptionMonthsToGo+SwaptionShift),INDEX($FK$245:$ID$316,$FJ205-HR$169,73-HR$169+SwaptionShift):INDEX($FK$245:$ID$316,$FJ205-HR$169,72-HR$169+SwaptionMonthsToGo+SwaptionShift))/SQRT(SUM(INDEX($FK360:$ID360,1+SwaptionShift):INDEX($FK360:$ID360,SwaptionMonthsToGo+SwaptionShift))*SUM(INDEX($FK$325:$ID$396,HR$169,1+SwaptionShift):INDEX($FK$325:$ID$396,HR$169,SwaptionMonthsToGo+SwaptionShift))))))</f>
        <v/>
      </c>
      <c r="HS205" s="479" t="str">
        <f ca="1">IF(OR(HS$169&lt;SwaptionFirstMonthPosition+1,$FJ205&lt;SwaptionFirstMonthPosition+1,HS$169&gt;SwaptionFirstMonthPosition+SwaptionNumOfMonths+1,$FJ205&gt;SwaptionFirstMonthPosition+SwaptionNumOfMonths+1),"",IF($FJ205=HS$169,1,IF($FJ205&lt;HS$169,INDEX($FK$170:$ID$241,HS$169,$FJ205),SUMPRODUCT(INDEX($FK$325:$ID$396,HS$169,1+SwaptionShift):INDEX($FK$325:$ID$396,HS$169,SwaptionMonthsToGo+SwaptionShift),INDEX($FK$245:$ID$316,$FJ205-HS$169,73-HS$169+SwaptionShift):INDEX($FK$245:$ID$316,$FJ205-HS$169,72-HS$169+SwaptionMonthsToGo+SwaptionShift))/SQRT(SUM(INDEX($FK360:$ID360,1+SwaptionShift):INDEX($FK360:$ID360,SwaptionMonthsToGo+SwaptionShift))*SUM(INDEX($FK$325:$ID$396,HS$169,1+SwaptionShift):INDEX($FK$325:$ID$396,HS$169,SwaptionMonthsToGo+SwaptionShift))))))</f>
        <v/>
      </c>
      <c r="HT205" s="479" t="str">
        <f ca="1">IF(OR(HT$169&lt;SwaptionFirstMonthPosition+1,$FJ205&lt;SwaptionFirstMonthPosition+1,HT$169&gt;SwaptionFirstMonthPosition+SwaptionNumOfMonths+1,$FJ205&gt;SwaptionFirstMonthPosition+SwaptionNumOfMonths+1),"",IF($FJ205=HT$169,1,IF($FJ205&lt;HT$169,INDEX($FK$170:$ID$241,HT$169,$FJ205),SUMPRODUCT(INDEX($FK$325:$ID$396,HT$169,1+SwaptionShift):INDEX($FK$325:$ID$396,HT$169,SwaptionMonthsToGo+SwaptionShift),INDEX($FK$245:$ID$316,$FJ205-HT$169,73-HT$169+SwaptionShift):INDEX($FK$245:$ID$316,$FJ205-HT$169,72-HT$169+SwaptionMonthsToGo+SwaptionShift))/SQRT(SUM(INDEX($FK360:$ID360,1+SwaptionShift):INDEX($FK360:$ID360,SwaptionMonthsToGo+SwaptionShift))*SUM(INDEX($FK$325:$ID$396,HT$169,1+SwaptionShift):INDEX($FK$325:$ID$396,HT$169,SwaptionMonthsToGo+SwaptionShift))))))</f>
        <v/>
      </c>
      <c r="HU205" s="479" t="str">
        <f ca="1">IF(OR(HU$169&lt;SwaptionFirstMonthPosition+1,$FJ205&lt;SwaptionFirstMonthPosition+1,HU$169&gt;SwaptionFirstMonthPosition+SwaptionNumOfMonths+1,$FJ205&gt;SwaptionFirstMonthPosition+SwaptionNumOfMonths+1),"",IF($FJ205=HU$169,1,IF($FJ205&lt;HU$169,INDEX($FK$170:$ID$241,HU$169,$FJ205),SUMPRODUCT(INDEX($FK$325:$ID$396,HU$169,1+SwaptionShift):INDEX($FK$325:$ID$396,HU$169,SwaptionMonthsToGo+SwaptionShift),INDEX($FK$245:$ID$316,$FJ205-HU$169,73-HU$169+SwaptionShift):INDEX($FK$245:$ID$316,$FJ205-HU$169,72-HU$169+SwaptionMonthsToGo+SwaptionShift))/SQRT(SUM(INDEX($FK360:$ID360,1+SwaptionShift):INDEX($FK360:$ID360,SwaptionMonthsToGo+SwaptionShift))*SUM(INDEX($FK$325:$ID$396,HU$169,1+SwaptionShift):INDEX($FK$325:$ID$396,HU$169,SwaptionMonthsToGo+SwaptionShift))))))</f>
        <v/>
      </c>
      <c r="HV205" s="479" t="str">
        <f ca="1">IF(OR(HV$169&lt;SwaptionFirstMonthPosition+1,$FJ205&lt;SwaptionFirstMonthPosition+1,HV$169&gt;SwaptionFirstMonthPosition+SwaptionNumOfMonths+1,$FJ205&gt;SwaptionFirstMonthPosition+SwaptionNumOfMonths+1),"",IF($FJ205=HV$169,1,IF($FJ205&lt;HV$169,INDEX($FK$170:$ID$241,HV$169,$FJ205),SUMPRODUCT(INDEX($FK$325:$ID$396,HV$169,1+SwaptionShift):INDEX($FK$325:$ID$396,HV$169,SwaptionMonthsToGo+SwaptionShift),INDEX($FK$245:$ID$316,$FJ205-HV$169,73-HV$169+SwaptionShift):INDEX($FK$245:$ID$316,$FJ205-HV$169,72-HV$169+SwaptionMonthsToGo+SwaptionShift))/SQRT(SUM(INDEX($FK360:$ID360,1+SwaptionShift):INDEX($FK360:$ID360,SwaptionMonthsToGo+SwaptionShift))*SUM(INDEX($FK$325:$ID$396,HV$169,1+SwaptionShift):INDEX($FK$325:$ID$396,HV$169,SwaptionMonthsToGo+SwaptionShift))))))</f>
        <v/>
      </c>
      <c r="HW205" s="479" t="str">
        <f ca="1">IF(OR(HW$169&lt;SwaptionFirstMonthPosition+1,$FJ205&lt;SwaptionFirstMonthPosition+1,HW$169&gt;SwaptionFirstMonthPosition+SwaptionNumOfMonths+1,$FJ205&gt;SwaptionFirstMonthPosition+SwaptionNumOfMonths+1),"",IF($FJ205=HW$169,1,IF($FJ205&lt;HW$169,INDEX($FK$170:$ID$241,HW$169,$FJ205),SUMPRODUCT(INDEX($FK$325:$ID$396,HW$169,1+SwaptionShift):INDEX($FK$325:$ID$396,HW$169,SwaptionMonthsToGo+SwaptionShift),INDEX($FK$245:$ID$316,$FJ205-HW$169,73-HW$169+SwaptionShift):INDEX($FK$245:$ID$316,$FJ205-HW$169,72-HW$169+SwaptionMonthsToGo+SwaptionShift))/SQRT(SUM(INDEX($FK360:$ID360,1+SwaptionShift):INDEX($FK360:$ID360,SwaptionMonthsToGo+SwaptionShift))*SUM(INDEX($FK$325:$ID$396,HW$169,1+SwaptionShift):INDEX($FK$325:$ID$396,HW$169,SwaptionMonthsToGo+SwaptionShift))))))</f>
        <v/>
      </c>
      <c r="HX205" s="479" t="str">
        <f ca="1">IF(OR(HX$169&lt;SwaptionFirstMonthPosition+1,$FJ205&lt;SwaptionFirstMonthPosition+1,HX$169&gt;SwaptionFirstMonthPosition+SwaptionNumOfMonths+1,$FJ205&gt;SwaptionFirstMonthPosition+SwaptionNumOfMonths+1),"",IF($FJ205=HX$169,1,IF($FJ205&lt;HX$169,INDEX($FK$170:$ID$241,HX$169,$FJ205),SUMPRODUCT(INDEX($FK$325:$ID$396,HX$169,1+SwaptionShift):INDEX($FK$325:$ID$396,HX$169,SwaptionMonthsToGo+SwaptionShift),INDEX($FK$245:$ID$316,$FJ205-HX$169,73-HX$169+SwaptionShift):INDEX($FK$245:$ID$316,$FJ205-HX$169,72-HX$169+SwaptionMonthsToGo+SwaptionShift))/SQRT(SUM(INDEX($FK360:$ID360,1+SwaptionShift):INDEX($FK360:$ID360,SwaptionMonthsToGo+SwaptionShift))*SUM(INDEX($FK$325:$ID$396,HX$169,1+SwaptionShift):INDEX($FK$325:$ID$396,HX$169,SwaptionMonthsToGo+SwaptionShift))))))</f>
        <v/>
      </c>
      <c r="HY205" s="479" t="str">
        <f ca="1">IF(OR(HY$169&lt;SwaptionFirstMonthPosition+1,$FJ205&lt;SwaptionFirstMonthPosition+1,HY$169&gt;SwaptionFirstMonthPosition+SwaptionNumOfMonths+1,$FJ205&gt;SwaptionFirstMonthPosition+SwaptionNumOfMonths+1),"",IF($FJ205=HY$169,1,IF($FJ205&lt;HY$169,INDEX($FK$170:$ID$241,HY$169,$FJ205),SUMPRODUCT(INDEX($FK$325:$ID$396,HY$169,1+SwaptionShift):INDEX($FK$325:$ID$396,HY$169,SwaptionMonthsToGo+SwaptionShift),INDEX($FK$245:$ID$316,$FJ205-HY$169,73-HY$169+SwaptionShift):INDEX($FK$245:$ID$316,$FJ205-HY$169,72-HY$169+SwaptionMonthsToGo+SwaptionShift))/SQRT(SUM(INDEX($FK360:$ID360,1+SwaptionShift):INDEX($FK360:$ID360,SwaptionMonthsToGo+SwaptionShift))*SUM(INDEX($FK$325:$ID$396,HY$169,1+SwaptionShift):INDEX($FK$325:$ID$396,HY$169,SwaptionMonthsToGo+SwaptionShift))))))</f>
        <v/>
      </c>
      <c r="HZ205" s="479" t="str">
        <f ca="1">IF(OR(HZ$169&lt;SwaptionFirstMonthPosition+1,$FJ205&lt;SwaptionFirstMonthPosition+1,HZ$169&gt;SwaptionFirstMonthPosition+SwaptionNumOfMonths+1,$FJ205&gt;SwaptionFirstMonthPosition+SwaptionNumOfMonths+1),"",IF($FJ205=HZ$169,1,IF($FJ205&lt;HZ$169,INDEX($FK$170:$ID$241,HZ$169,$FJ205),SUMPRODUCT(INDEX($FK$325:$ID$396,HZ$169,1+SwaptionShift):INDEX($FK$325:$ID$396,HZ$169,SwaptionMonthsToGo+SwaptionShift),INDEX($FK$245:$ID$316,$FJ205-HZ$169,73-HZ$169+SwaptionShift):INDEX($FK$245:$ID$316,$FJ205-HZ$169,72-HZ$169+SwaptionMonthsToGo+SwaptionShift))/SQRT(SUM(INDEX($FK360:$ID360,1+SwaptionShift):INDEX($FK360:$ID360,SwaptionMonthsToGo+SwaptionShift))*SUM(INDEX($FK$325:$ID$396,HZ$169,1+SwaptionShift):INDEX($FK$325:$ID$396,HZ$169,SwaptionMonthsToGo+SwaptionShift))))))</f>
        <v/>
      </c>
      <c r="IA205" s="479" t="str">
        <f ca="1">IF(OR(IA$169&lt;SwaptionFirstMonthPosition+1,$FJ205&lt;SwaptionFirstMonthPosition+1,IA$169&gt;SwaptionFirstMonthPosition+SwaptionNumOfMonths+1,$FJ205&gt;SwaptionFirstMonthPosition+SwaptionNumOfMonths+1),"",IF($FJ205=IA$169,1,IF($FJ205&lt;IA$169,INDEX($FK$170:$ID$241,IA$169,$FJ205),SUMPRODUCT(INDEX($FK$325:$ID$396,IA$169,1+SwaptionShift):INDEX($FK$325:$ID$396,IA$169,SwaptionMonthsToGo+SwaptionShift),INDEX($FK$245:$ID$316,$FJ205-IA$169,73-IA$169+SwaptionShift):INDEX($FK$245:$ID$316,$FJ205-IA$169,72-IA$169+SwaptionMonthsToGo+SwaptionShift))/SQRT(SUM(INDEX($FK360:$ID360,1+SwaptionShift):INDEX($FK360:$ID360,SwaptionMonthsToGo+SwaptionShift))*SUM(INDEX($FK$325:$ID$396,IA$169,1+SwaptionShift):INDEX($FK$325:$ID$396,IA$169,SwaptionMonthsToGo+SwaptionShift))))))</f>
        <v/>
      </c>
      <c r="IB205" s="479" t="str">
        <f ca="1">IF(OR(IB$169&lt;SwaptionFirstMonthPosition+1,$FJ205&lt;SwaptionFirstMonthPosition+1,IB$169&gt;SwaptionFirstMonthPosition+SwaptionNumOfMonths+1,$FJ205&gt;SwaptionFirstMonthPosition+SwaptionNumOfMonths+1),"",IF($FJ205=IB$169,1,IF($FJ205&lt;IB$169,INDEX($FK$170:$ID$241,IB$169,$FJ205),SUMPRODUCT(INDEX($FK$325:$ID$396,IB$169,1+SwaptionShift):INDEX($FK$325:$ID$396,IB$169,SwaptionMonthsToGo+SwaptionShift),INDEX($FK$245:$ID$316,$FJ205-IB$169,73-IB$169+SwaptionShift):INDEX($FK$245:$ID$316,$FJ205-IB$169,72-IB$169+SwaptionMonthsToGo+SwaptionShift))/SQRT(SUM(INDEX($FK360:$ID360,1+SwaptionShift):INDEX($FK360:$ID360,SwaptionMonthsToGo+SwaptionShift))*SUM(INDEX($FK$325:$ID$396,IB$169,1+SwaptionShift):INDEX($FK$325:$ID$396,IB$169,SwaptionMonthsToGo+SwaptionShift))))))</f>
        <v/>
      </c>
      <c r="IC205" s="479" t="str">
        <f ca="1">IF(OR(IC$169&lt;SwaptionFirstMonthPosition+1,$FJ205&lt;SwaptionFirstMonthPosition+1,IC$169&gt;SwaptionFirstMonthPosition+SwaptionNumOfMonths+1,$FJ205&gt;SwaptionFirstMonthPosition+SwaptionNumOfMonths+1),"",IF($FJ205=IC$169,1,IF($FJ205&lt;IC$169,INDEX($FK$170:$ID$241,IC$169,$FJ205),SUMPRODUCT(INDEX($FK$325:$ID$396,IC$169,1+SwaptionShift):INDEX($FK$325:$ID$396,IC$169,SwaptionMonthsToGo+SwaptionShift),INDEX($FK$245:$ID$316,$FJ205-IC$169,73-IC$169+SwaptionShift):INDEX($FK$245:$ID$316,$FJ205-IC$169,72-IC$169+SwaptionMonthsToGo+SwaptionShift))/SQRT(SUM(INDEX($FK360:$ID360,1+SwaptionShift):INDEX($FK360:$ID360,SwaptionMonthsToGo+SwaptionShift))*SUM(INDEX($FK$325:$ID$396,IC$169,1+SwaptionShift):INDEX($FK$325:$ID$396,IC$169,SwaptionMonthsToGo+SwaptionShift))))))</f>
        <v/>
      </c>
      <c r="ID205" s="678" t="str">
        <f ca="1">IF(OR(ID$169&lt;SwaptionFirstMonthPosition+1,$FJ205&lt;SwaptionFirstMonthPosition+1,ID$169&gt;SwaptionFirstMonthPosition+SwaptionNumOfMonths+1,$FJ205&gt;SwaptionFirstMonthPosition+SwaptionNumOfMonths+1),"",IF($FJ205=ID$169,1,IF($FJ205&lt;ID$169,INDEX($FK$170:$ID$241,ID$169,$FJ205),SUMPRODUCT(INDEX($FK$325:$ID$396,ID$169,1+SwaptionShift):INDEX($FK$325:$ID$396,ID$169,SwaptionMonthsToGo+SwaptionShift),INDEX($FK$245:$ID$316,$FJ205-ID$169,73-ID$169+SwaptionShift):INDEX($FK$245:$ID$316,$FJ205-ID$169,72-ID$169+SwaptionMonthsToGo+SwaptionShift))/SQRT(SUM(INDEX($FK360:$ID360,1+SwaptionShift):INDEX($FK360:$ID360,SwaptionMonthsToGo+SwaptionShift))*SUM(INDEX($FK$325:$ID$396,ID$169,1+SwaptionShift):INDEX($FK$325:$ID$396,ID$169,SwaptionMonthsToGo+SwaptionShift))))))</f>
        <v/>
      </c>
      <c r="IE205" s="250"/>
    </row>
    <row r="206" spans="8:239">
      <c r="H206" s="51">
        <f t="shared" ca="1" si="527"/>
        <v>0</v>
      </c>
      <c r="I206" s="379">
        <f t="shared" si="528"/>
        <v>42430</v>
      </c>
      <c r="J206" s="377"/>
      <c r="K206" s="104" t="s">
        <v>268</v>
      </c>
      <c r="L206" s="392">
        <f t="shared" si="529"/>
        <v>4.1250000000000053</v>
      </c>
      <c r="M206" s="171"/>
      <c r="N206" s="382">
        <v>0</v>
      </c>
      <c r="O206" s="171">
        <f t="shared" si="596"/>
        <v>0</v>
      </c>
      <c r="P206" s="377"/>
      <c r="Q206" s="104" t="s">
        <v>268</v>
      </c>
      <c r="R206" s="377">
        <f t="shared" ca="1" si="597"/>
        <v>2.96235983961992</v>
      </c>
      <c r="S206" s="832">
        <f t="shared" si="564"/>
        <v>0.3600000000000001</v>
      </c>
      <c r="T206" s="831">
        <f t="shared" si="548"/>
        <v>0.99999999999997513</v>
      </c>
      <c r="U206" s="545">
        <f t="shared" si="549"/>
        <v>0.99999999999999978</v>
      </c>
      <c r="V206" s="389">
        <v>0</v>
      </c>
      <c r="W206" s="434">
        <f t="shared" si="598"/>
        <v>0</v>
      </c>
      <c r="X206" s="415">
        <f t="shared" si="599"/>
        <v>4.1771739130434824</v>
      </c>
      <c r="Y206" s="322">
        <f t="shared" si="600"/>
        <v>-1.1684999999999999</v>
      </c>
      <c r="Z206" s="322">
        <f t="shared" ca="1" si="601"/>
        <v>3.0086739130434825</v>
      </c>
      <c r="AA206" s="429">
        <f t="shared" si="495"/>
        <v>1.1684999999999999</v>
      </c>
      <c r="AB206" s="433">
        <f t="shared" ca="1" si="496"/>
        <v>1.1684999999999999</v>
      </c>
      <c r="AC206" s="229">
        <v>42420</v>
      </c>
      <c r="AD206" s="229">
        <v>42416</v>
      </c>
      <c r="AE206" s="229">
        <v>42415</v>
      </c>
      <c r="AF206" s="229">
        <v>42411</v>
      </c>
      <c r="AG206" s="249" t="s">
        <v>499</v>
      </c>
      <c r="AH206" s="247" t="s">
        <v>499</v>
      </c>
      <c r="AI206" s="146">
        <v>23</v>
      </c>
      <c r="AJ206" s="41">
        <v>14</v>
      </c>
      <c r="AK206" s="41">
        <v>9</v>
      </c>
      <c r="AL206" s="293">
        <v>23</v>
      </c>
      <c r="AM206" s="41">
        <v>10</v>
      </c>
      <c r="AN206" s="147">
        <v>13</v>
      </c>
      <c r="AO206" s="374"/>
      <c r="AP206" s="153">
        <f t="shared" ca="1" si="530"/>
        <v>1</v>
      </c>
      <c r="AQ206" s="374"/>
      <c r="AR206" s="153">
        <f t="shared" ca="1" si="550"/>
        <v>1</v>
      </c>
      <c r="AS206" s="272">
        <f t="shared" si="602"/>
        <v>0</v>
      </c>
      <c r="AT206" s="157">
        <f t="shared" si="531"/>
        <v>0</v>
      </c>
      <c r="AU206" s="157">
        <f t="shared" si="498"/>
        <v>0</v>
      </c>
      <c r="AV206" s="271">
        <f t="shared" ca="1" si="558"/>
        <v>9.9999999999999995E-7</v>
      </c>
      <c r="AW206" s="158" t="str">
        <f t="shared" ca="1" si="583"/>
        <v/>
      </c>
      <c r="AX206" s="157">
        <f t="shared" ca="1" si="551"/>
        <v>4.7748480616098783E-5</v>
      </c>
      <c r="AY206" s="157">
        <f t="shared" ca="1" si="552"/>
        <v>1.0691569834387555E-5</v>
      </c>
      <c r="AZ206" s="157">
        <f t="shared" ca="1" si="553"/>
        <v>3.1539435179047489E-7</v>
      </c>
      <c r="BA206" s="157">
        <f t="shared" ca="1" si="554"/>
        <v>3.9424293973809361E-8</v>
      </c>
      <c r="BB206" s="157">
        <f t="shared" ca="1" si="555"/>
        <v>1.5687084471763974E-10</v>
      </c>
      <c r="BC206" s="157">
        <f t="shared" ca="1" si="556"/>
        <v>3.1085499106663204E-12</v>
      </c>
      <c r="BD206" s="151">
        <f t="shared" ca="1" si="603"/>
        <v>0</v>
      </c>
      <c r="BE206" s="152">
        <f t="shared" ca="1" si="604"/>
        <v>0</v>
      </c>
      <c r="BF206" s="40">
        <f t="shared" si="605"/>
        <v>2016</v>
      </c>
      <c r="BG206" s="144">
        <f t="shared" si="606"/>
        <v>3</v>
      </c>
      <c r="BH206" s="145">
        <f t="shared" ca="1" si="607"/>
        <v>5671</v>
      </c>
      <c r="BI206" s="313">
        <f t="shared" ca="1" si="608"/>
        <v>15.564681724845997</v>
      </c>
      <c r="BJ206" s="42">
        <f t="shared" ca="1" si="505"/>
        <v>15.614677260958842</v>
      </c>
      <c r="BK206" s="42">
        <f t="shared" ca="1" si="506"/>
        <v>15.617415111745975</v>
      </c>
      <c r="BL206" s="42">
        <f t="shared" ca="1" si="609"/>
        <v>15.646817248459959</v>
      </c>
      <c r="BM206" s="150" t="e">
        <f t="shared" ca="1" si="507"/>
        <v>#DIV/0!</v>
      </c>
      <c r="BN206" s="42" t="e">
        <f t="shared" ca="1" si="508"/>
        <v>#DIV/0!</v>
      </c>
      <c r="BO206" s="293">
        <f t="shared" si="610"/>
        <v>23</v>
      </c>
      <c r="BP206" s="41">
        <f t="shared" si="611"/>
        <v>14</v>
      </c>
      <c r="BQ206" s="41">
        <f t="shared" si="612"/>
        <v>9</v>
      </c>
      <c r="BR206" s="305" t="str">
        <f t="shared" ca="1" si="509"/>
        <v/>
      </c>
      <c r="BS206" s="305" t="str">
        <f t="shared" ca="1" si="613"/>
        <v/>
      </c>
      <c r="BT206" s="307" t="str">
        <f t="shared" ca="1" si="614"/>
        <v/>
      </c>
      <c r="BU206" s="161" t="str">
        <f t="shared" ca="1" si="510"/>
        <v/>
      </c>
      <c r="BV206" s="161" t="str">
        <f t="shared" ca="1" si="511"/>
        <v/>
      </c>
      <c r="BW206" s="308" t="str">
        <f t="shared" ca="1" si="512"/>
        <v/>
      </c>
      <c r="BX206" s="309" t="str">
        <f t="shared" ca="1" si="513"/>
        <v/>
      </c>
      <c r="BY206" s="308" t="str">
        <f t="shared" ca="1" si="615"/>
        <v/>
      </c>
      <c r="BZ206" s="309" t="str">
        <f t="shared" ca="1" si="616"/>
        <v/>
      </c>
      <c r="CA206" s="154" t="str">
        <f t="shared" ca="1" si="514"/>
        <v/>
      </c>
      <c r="CB206" s="154" t="str">
        <f t="shared" ca="1" si="515"/>
        <v/>
      </c>
      <c r="CC206" s="154" t="str">
        <f t="shared" ca="1" si="516"/>
        <v/>
      </c>
      <c r="CD206" s="154" t="str">
        <f t="shared" ca="1" si="517"/>
        <v/>
      </c>
      <c r="CE206" s="310">
        <v>1</v>
      </c>
      <c r="CF206" s="162">
        <f ca="1">IF(BD206,_xll.xCrudeAPO(BU206,BV206,CA206,CB206,S207,S208,BI206,BL206,BP206,BQ206,0,Strike1,AO206,CE206,0,BL206,IF(OptControl=4,0,1),0,1),0)</f>
        <v>0</v>
      </c>
      <c r="CG206" s="163">
        <f ca="1">IF(BD206,_xll.xCrudeAPO(BU206,BV206,CA206,CB206,S207,S208,BI206,BL206,BP206,BQ206,0,Strike1,AO206,CE206,0,BL206,IF(OptControl=4,0,1),1,1)+_xll.xCrudeAPO(BU206,BV206,CA206,CB206,S207,S208,BI206,BL206,BP206,BQ206,0,Strike1,AO206,CE206,0,BL206,IF(OptControl=4,0,1),1,2)+IF(OR(VolSkewFlag=2,ABS(BS206)&lt;0.0001),0,IF(BS206&gt;0,-1,1)*CH206*Strike1/BR206^2*BY206/10%),0)</f>
        <v>0</v>
      </c>
      <c r="CH206" s="163">
        <f ca="1">IF(BD206,(_xll.xCrudeAPO(BU206,BV206,CA206,CB206,S207,S208,BI206,BL206,BP206,BQ206,0,Strike1,AO206,CE206,0,BL206,IF(OptControl=4,0,1),3,1)+_xll.xCrudeAPO(BU206,BV206,CA206,CB206,S207,S208,BI206,BL206,BP206,BQ206,0,Strike1,AO206,CE206,0,BL206,IF(OptControl=4,0,1),3,2))/100,0)</f>
        <v>0</v>
      </c>
      <c r="CI206" s="163">
        <f ca="1">IF(BD206,_xll.xCrudeAPO(BU206,BV206,CA206,CB206,S207,S208,BI206-DaysForThetaCalculation/365.25,BL206-DaysForThetaCalculation/365.25,BP206,BQ206,0,Strike1,AO206,CE206,0,BL206,IF(OptControl=4,0,1),0,1)-_xll.xCrudeAPO(BU206,BV206,CA206,CB206,S207,S208,BI206,BL206,BP206,BQ206,0,Strike1,AO206,CE206,0,BL206,IF(OptControl=4,0,1),0,1),0)</f>
        <v>0</v>
      </c>
      <c r="CJ206" s="311">
        <f ca="1">IF(BD206,_xll.xCrudeAPO(BU206,BV206,CC206,CD206,S207,S208,BI206,BL206,BP206,BQ206,0,Strike2,AO206,CE206,0,BL206,IF(OptControl=3,1,0),0,1),0)</f>
        <v>0</v>
      </c>
      <c r="CK206" s="163">
        <f ca="1">IF(BD206,_xll.xCrudeAPO(BU206,BV206,CC206,CD206,S207,S208,BI206,BL206,BP206,BQ206,0,Strike2,AO206,CE206,0,BL206,IF(OptControl=3,1,0),1,1)+_xll.xCrudeAPO(BU206,BV206,CC206,CD206,S207,S208,BI206,BL206,BP206,BQ206,0,Strike2,AO206,CE206,0,BL206,IF(OptControl=3,1,0),1,2)+IF(OR(VolSkewFlag=2,ABS(BT206)&lt;0.0001),0,IF(BT206&gt;0,-1,1)*CL206*Strike2/BR206^2*BZ206/10%),0)</f>
        <v>0</v>
      </c>
      <c r="CL206" s="163">
        <f ca="1">IF(BD206,(_xll.xCrudeAPO(BU206,BV206,CC206,CD206,S207,S208,BI206,BL206,BP206,BQ206,0,Strike2,AO206,CE206,0,BL206,IF(OptControl=3,1,0),3,1)+_xll.xCrudeAPO(BU206,BV206,CC206,CD206,S207,S208,BI206,BL206,BP206,BQ206,0,Strike2,AO206,CE206,0,BL206,IF(OptControl=3,1,0),3,2))/100,0)</f>
        <v>0</v>
      </c>
      <c r="CM206" s="164">
        <f ca="1">IF(BD206,_xll.xCrudeAPO(BU206,BV206,CC206,CD206,S207,S208,BI206-DaysForThetaCalculation/365.25,BL206-DaysForThetaCalculation/365.25,BP206,BQ206,0,Strike2,AO206,CE206,0,BL206,IF(OptControl=3,1,0),0,1)-_xll.xCrudeAPO(BU206,BV206,CC206,CD206,S207,S208,BI206,BL206,BP206,BQ206,0,Strike2,AO206,CE206,0,BL206,IF(OptControl=3,1,0),0,1),0)</f>
        <v>0</v>
      </c>
      <c r="CN206" s="53"/>
      <c r="CO206" s="796" t="str">
        <f t="shared" ca="1" si="532"/>
        <v/>
      </c>
      <c r="CP206" s="800" t="str">
        <f t="shared" ca="1" si="533"/>
        <v/>
      </c>
      <c r="CQ206" s="797" t="str">
        <f t="shared" ca="1" si="534"/>
        <v/>
      </c>
      <c r="CR206" s="797" t="str">
        <f t="shared" ca="1" si="535"/>
        <v/>
      </c>
      <c r="CS206" s="797" t="str">
        <f t="shared" ca="1" si="536"/>
        <v/>
      </c>
      <c r="CT206" s="797" t="str">
        <f t="shared" ca="1" si="537"/>
        <v/>
      </c>
      <c r="CU206" s="798" t="str">
        <f t="shared" ca="1" si="538"/>
        <v/>
      </c>
      <c r="CV206" s="799" t="str">
        <f t="shared" ca="1" si="539"/>
        <v/>
      </c>
      <c r="CW206" s="799" t="str">
        <f t="shared" ca="1" si="540"/>
        <v/>
      </c>
      <c r="CX206" s="163">
        <f ca="1">IF(BD206,_xll.EURO(CP206,Strike1,AO206,AO206,CV206,CO206,IF(OptControl=4,0,1),0),0)</f>
        <v>0</v>
      </c>
      <c r="CY206" s="163">
        <f ca="1">IF(BD206,_xll.EURO(CP206,Strike1,AO206,AO206,CV206,CO206,IF(OptControl=4,0,1),1)+IF(OR(VolSkewFlag=2,ABS(CQ206)&lt;0.0001),0,IF(CQ206&gt;0,-1,1)*CZ206*100*Strike1/CP206^2*CS206/10%),0)</f>
        <v>0</v>
      </c>
      <c r="CZ206" s="163">
        <f ca="1">IF(BD206,_xll.EURO(CP206,Strike1,AO206,AO206,CV206,CO206,IF(OptControl=4,0,1),3)/100,0)</f>
        <v>0</v>
      </c>
      <c r="DA206" s="163">
        <f ca="1">IF(BD206,_xll.EURO(CP206,Strike1,AO206,AO206,CV206,CO206,IF(OptControl=4,0,1),0)-_xll.EURO(CP206,Strike1,AO206,AO206,CV206,CO206-1,IF(OptControl=4,0,1),0),0)</f>
        <v>0</v>
      </c>
      <c r="DB206" s="163">
        <f ca="1">IF(BD206,_xll.EURO(CP206,Strike2,AO206,AO206,CW206,CO206,IF(OptControl=3,1,0),0),0)</f>
        <v>0</v>
      </c>
      <c r="DC206" s="163">
        <f ca="1">IF(BD206,_xll.EURO(CP206,Strike2,AO206,AO206,CW206,CO206,IF(OptControl=3,1,0),1)+IF(OR(VolSkewFlag=2,ABS(CR206)&lt;0.0001),0,IF(CR206&gt;0,-1,1)*DD206*100*Strike2/CP206^2*CT206/10%),0)</f>
        <v>0</v>
      </c>
      <c r="DD206" s="163">
        <f ca="1">IF(BD206,_xll.EURO(CP206,Strike2,AO206,AO206,CW206,CO206,IF(OptControl=3,1,0),3)/100,0)</f>
        <v>0</v>
      </c>
      <c r="DE206" s="164">
        <f ca="1">IF(BD206,_xll.EURO(CP206,Strike2,AO206,AO206,CW206,CO206,IF(OptControl=3,1,0),0)-_xll.EURO(CP206,Strike2,AO206,AO206,CW206,CO206-1,IF(OptControl=3,1,0),0),0)</f>
        <v>0</v>
      </c>
      <c r="DG206" s="667">
        <f t="shared" ca="1" si="541"/>
        <v>42217</v>
      </c>
      <c r="DH206" s="475">
        <v>23.460000000000079</v>
      </c>
      <c r="DI206" s="665">
        <v>23.526666666666745</v>
      </c>
      <c r="DJ206" s="666">
        <f t="shared" ca="1" si="617"/>
        <v>42217</v>
      </c>
      <c r="DK206" s="475">
        <v>22.069082755522089</v>
      </c>
      <c r="DL206" s="665">
        <v>22.259766666666746</v>
      </c>
      <c r="DM206" s="667">
        <f t="shared" ca="1" si="618"/>
        <v>42217</v>
      </c>
      <c r="DN206" s="668">
        <f t="shared" si="619"/>
        <v>22.11908275552209</v>
      </c>
      <c r="DO206" s="667">
        <f t="shared" ca="1" si="620"/>
        <v>42217</v>
      </c>
      <c r="DP206" s="579">
        <f t="shared" si="621"/>
        <v>22.259766666666746</v>
      </c>
      <c r="DQ206" s="821">
        <v>0</v>
      </c>
      <c r="DR206" s="666">
        <f t="shared" ca="1" si="622"/>
        <v>42217</v>
      </c>
      <c r="DS206" s="669">
        <v>0.11299999999999802</v>
      </c>
      <c r="DT206" s="606">
        <v>0.11219999999999802</v>
      </c>
      <c r="DU206" s="666">
        <f t="shared" ca="1" si="623"/>
        <v>42217</v>
      </c>
      <c r="DV206" s="669">
        <v>0.11299999999999802</v>
      </c>
      <c r="DW206" s="606">
        <v>0.11219999999999802</v>
      </c>
      <c r="DX206" s="667">
        <f t="shared" ca="1" si="624"/>
        <v>42217</v>
      </c>
      <c r="DY206" s="606">
        <v>0.35</v>
      </c>
      <c r="DZ206" s="667">
        <f t="shared" ca="1" si="625"/>
        <v>42217</v>
      </c>
      <c r="EA206" s="606">
        <f t="shared" si="626"/>
        <v>0.11219999999999802</v>
      </c>
      <c r="EB206" s="1"/>
      <c r="EC206" s="118" t="str">
        <f t="shared" ca="1" si="627"/>
        <v/>
      </c>
      <c r="ED206" s="119" t="str">
        <f t="shared" ca="1" si="525"/>
        <v/>
      </c>
      <c r="EE206" s="112" t="str">
        <f t="shared" ca="1" si="526"/>
        <v/>
      </c>
      <c r="EF206" s="120">
        <f ca="1">IF(BD206,_xll.xASN(BR206,Strike1,AO206,ED206,0,BO206,0,BI206,BL206,IF(OptControl=4,0,1),0),0)</f>
        <v>0</v>
      </c>
      <c r="EG206" s="111">
        <f ca="1">IF(BD206,_xll.xASN(BR206,Strike2,AO206,EE206,0,BO206,0,BI206,BL206,IF(OptControl=3,1,0),0),0)</f>
        <v>0</v>
      </c>
      <c r="EL206" s="55"/>
      <c r="EM206" s="1"/>
      <c r="EN206" s="106"/>
      <c r="EO206" s="106"/>
      <c r="EP206" s="1"/>
      <c r="EQ206" s="683" t="s">
        <v>420</v>
      </c>
      <c r="ES206" s="455"/>
      <c r="ET206" s="36"/>
      <c r="EU206" s="107"/>
      <c r="EV206" s="475"/>
      <c r="EW206" s="456"/>
      <c r="EX206" s="456"/>
      <c r="EY206" s="250"/>
      <c r="EZ206" s="250"/>
      <c r="FA206" s="250"/>
      <c r="FB206" s="250"/>
      <c r="FC206" s="250"/>
      <c r="FD206" s="250"/>
      <c r="FE206" s="250"/>
      <c r="FF206" s="250"/>
      <c r="FG206" s="250"/>
      <c r="FH206" s="250"/>
      <c r="FI206" s="250"/>
      <c r="FJ206" s="673">
        <v>37</v>
      </c>
      <c r="FK206" s="479" t="str">
        <f ca="1">IF(OR(FK$169&lt;SwaptionFirstMonthPosition+1,$FJ206&lt;SwaptionFirstMonthPosition+1,FK$169&gt;SwaptionFirstMonthPosition+SwaptionNumOfMonths+1,$FJ206&gt;SwaptionFirstMonthPosition+SwaptionNumOfMonths+1),"",IF($FJ206=FK$169,1,IF($FJ206&lt;FK$169,INDEX($FK$170:$ID$241,FK$169,$FJ206),SUMPRODUCT(INDEX($FK$325:$ID$396,FK$169,1+SwaptionShift):INDEX($FK$325:$ID$396,FK$169,SwaptionMonthsToGo+SwaptionShift),INDEX($FK$245:$ID$316,$FJ206-FK$169,73-FK$169+SwaptionShift):INDEX($FK$245:$ID$316,$FJ206-FK$169,72-FK$169+SwaptionMonthsToGo+SwaptionShift))/SQRT(SUM(INDEX($FK361:$ID361,1+SwaptionShift):INDEX($FK361:$ID361,SwaptionMonthsToGo+SwaptionShift))*SUM(INDEX($FK$325:$ID$396,FK$169,1+SwaptionShift):INDEX($FK$325:$ID$396,FK$169,SwaptionMonthsToGo+SwaptionShift))))))</f>
        <v/>
      </c>
      <c r="FL206" s="479" t="str">
        <f ca="1">IF(OR(FL$169&lt;SwaptionFirstMonthPosition+1,$FJ206&lt;SwaptionFirstMonthPosition+1,FL$169&gt;SwaptionFirstMonthPosition+SwaptionNumOfMonths+1,$FJ206&gt;SwaptionFirstMonthPosition+SwaptionNumOfMonths+1),"",IF($FJ206=FL$169,1,IF($FJ206&lt;FL$169,INDEX($FK$170:$ID$241,FL$169,$FJ206),SUMPRODUCT(INDEX($FK$325:$ID$396,FL$169,1+SwaptionShift):INDEX($FK$325:$ID$396,FL$169,SwaptionMonthsToGo+SwaptionShift),INDEX($FK$245:$ID$316,$FJ206-FL$169,73-FL$169+SwaptionShift):INDEX($FK$245:$ID$316,$FJ206-FL$169,72-FL$169+SwaptionMonthsToGo+SwaptionShift))/SQRT(SUM(INDEX($FK361:$ID361,1+SwaptionShift):INDEX($FK361:$ID361,SwaptionMonthsToGo+SwaptionShift))*SUM(INDEX($FK$325:$ID$396,FL$169,1+SwaptionShift):INDEX($FK$325:$ID$396,FL$169,SwaptionMonthsToGo+SwaptionShift))))))</f>
        <v/>
      </c>
      <c r="FM206" s="479" t="str">
        <f ca="1">IF(OR(FM$169&lt;SwaptionFirstMonthPosition+1,$FJ206&lt;SwaptionFirstMonthPosition+1,FM$169&gt;SwaptionFirstMonthPosition+SwaptionNumOfMonths+1,$FJ206&gt;SwaptionFirstMonthPosition+SwaptionNumOfMonths+1),"",IF($FJ206=FM$169,1,IF($FJ206&lt;FM$169,INDEX($FK$170:$ID$241,FM$169,$FJ206),SUMPRODUCT(INDEX($FK$325:$ID$396,FM$169,1+SwaptionShift):INDEX($FK$325:$ID$396,FM$169,SwaptionMonthsToGo+SwaptionShift),INDEX($FK$245:$ID$316,$FJ206-FM$169,73-FM$169+SwaptionShift):INDEX($FK$245:$ID$316,$FJ206-FM$169,72-FM$169+SwaptionMonthsToGo+SwaptionShift))/SQRT(SUM(INDEX($FK361:$ID361,1+SwaptionShift):INDEX($FK361:$ID361,SwaptionMonthsToGo+SwaptionShift))*SUM(INDEX($FK$325:$ID$396,FM$169,1+SwaptionShift):INDEX($FK$325:$ID$396,FM$169,SwaptionMonthsToGo+SwaptionShift))))))</f>
        <v/>
      </c>
      <c r="FN206" s="479" t="str">
        <f ca="1">IF(OR(FN$169&lt;SwaptionFirstMonthPosition+1,$FJ206&lt;SwaptionFirstMonthPosition+1,FN$169&gt;SwaptionFirstMonthPosition+SwaptionNumOfMonths+1,$FJ206&gt;SwaptionFirstMonthPosition+SwaptionNumOfMonths+1),"",IF($FJ206=FN$169,1,IF($FJ206&lt;FN$169,INDEX($FK$170:$ID$241,FN$169,$FJ206),SUMPRODUCT(INDEX($FK$325:$ID$396,FN$169,1+SwaptionShift):INDEX($FK$325:$ID$396,FN$169,SwaptionMonthsToGo+SwaptionShift),INDEX($FK$245:$ID$316,$FJ206-FN$169,73-FN$169+SwaptionShift):INDEX($FK$245:$ID$316,$FJ206-FN$169,72-FN$169+SwaptionMonthsToGo+SwaptionShift))/SQRT(SUM(INDEX($FK361:$ID361,1+SwaptionShift):INDEX($FK361:$ID361,SwaptionMonthsToGo+SwaptionShift))*SUM(INDEX($FK$325:$ID$396,FN$169,1+SwaptionShift):INDEX($FK$325:$ID$396,FN$169,SwaptionMonthsToGo+SwaptionShift))))))</f>
        <v/>
      </c>
      <c r="FO206" s="479" t="str">
        <f ca="1">IF(OR(FO$169&lt;SwaptionFirstMonthPosition+1,$FJ206&lt;SwaptionFirstMonthPosition+1,FO$169&gt;SwaptionFirstMonthPosition+SwaptionNumOfMonths+1,$FJ206&gt;SwaptionFirstMonthPosition+SwaptionNumOfMonths+1),"",IF($FJ206=FO$169,1,IF($FJ206&lt;FO$169,INDEX($FK$170:$ID$241,FO$169,$FJ206),SUMPRODUCT(INDEX($FK$325:$ID$396,FO$169,1+SwaptionShift):INDEX($FK$325:$ID$396,FO$169,SwaptionMonthsToGo+SwaptionShift),INDEX($FK$245:$ID$316,$FJ206-FO$169,73-FO$169+SwaptionShift):INDEX($FK$245:$ID$316,$FJ206-FO$169,72-FO$169+SwaptionMonthsToGo+SwaptionShift))/SQRT(SUM(INDEX($FK361:$ID361,1+SwaptionShift):INDEX($FK361:$ID361,SwaptionMonthsToGo+SwaptionShift))*SUM(INDEX($FK$325:$ID$396,FO$169,1+SwaptionShift):INDEX($FK$325:$ID$396,FO$169,SwaptionMonthsToGo+SwaptionShift))))))</f>
        <v/>
      </c>
      <c r="FP206" s="479" t="str">
        <f ca="1">IF(OR(FP$169&lt;SwaptionFirstMonthPosition+1,$FJ206&lt;SwaptionFirstMonthPosition+1,FP$169&gt;SwaptionFirstMonthPosition+SwaptionNumOfMonths+1,$FJ206&gt;SwaptionFirstMonthPosition+SwaptionNumOfMonths+1),"",IF($FJ206=FP$169,1,IF($FJ206&lt;FP$169,INDEX($FK$170:$ID$241,FP$169,$FJ206),SUMPRODUCT(INDEX($FK$325:$ID$396,FP$169,1+SwaptionShift):INDEX($FK$325:$ID$396,FP$169,SwaptionMonthsToGo+SwaptionShift),INDEX($FK$245:$ID$316,$FJ206-FP$169,73-FP$169+SwaptionShift):INDEX($FK$245:$ID$316,$FJ206-FP$169,72-FP$169+SwaptionMonthsToGo+SwaptionShift))/SQRT(SUM(INDEX($FK361:$ID361,1+SwaptionShift):INDEX($FK361:$ID361,SwaptionMonthsToGo+SwaptionShift))*SUM(INDEX($FK$325:$ID$396,FP$169,1+SwaptionShift):INDEX($FK$325:$ID$396,FP$169,SwaptionMonthsToGo+SwaptionShift))))))</f>
        <v/>
      </c>
      <c r="FQ206" s="479" t="str">
        <f ca="1">IF(OR(FQ$169&lt;SwaptionFirstMonthPosition+1,$FJ206&lt;SwaptionFirstMonthPosition+1,FQ$169&gt;SwaptionFirstMonthPosition+SwaptionNumOfMonths+1,$FJ206&gt;SwaptionFirstMonthPosition+SwaptionNumOfMonths+1),"",IF($FJ206=FQ$169,1,IF($FJ206&lt;FQ$169,INDEX($FK$170:$ID$241,FQ$169,$FJ206),SUMPRODUCT(INDEX($FK$325:$ID$396,FQ$169,1+SwaptionShift):INDEX($FK$325:$ID$396,FQ$169,SwaptionMonthsToGo+SwaptionShift),INDEX($FK$245:$ID$316,$FJ206-FQ$169,73-FQ$169+SwaptionShift):INDEX($FK$245:$ID$316,$FJ206-FQ$169,72-FQ$169+SwaptionMonthsToGo+SwaptionShift))/SQRT(SUM(INDEX($FK361:$ID361,1+SwaptionShift):INDEX($FK361:$ID361,SwaptionMonthsToGo+SwaptionShift))*SUM(INDEX($FK$325:$ID$396,FQ$169,1+SwaptionShift):INDEX($FK$325:$ID$396,FQ$169,SwaptionMonthsToGo+SwaptionShift))))))</f>
        <v/>
      </c>
      <c r="FR206" s="479" t="str">
        <f ca="1">IF(OR(FR$169&lt;SwaptionFirstMonthPosition+1,$FJ206&lt;SwaptionFirstMonthPosition+1,FR$169&gt;SwaptionFirstMonthPosition+SwaptionNumOfMonths+1,$FJ206&gt;SwaptionFirstMonthPosition+SwaptionNumOfMonths+1),"",IF($FJ206=FR$169,1,IF($FJ206&lt;FR$169,INDEX($FK$170:$ID$241,FR$169,$FJ206),SUMPRODUCT(INDEX($FK$325:$ID$396,FR$169,1+SwaptionShift):INDEX($FK$325:$ID$396,FR$169,SwaptionMonthsToGo+SwaptionShift),INDEX($FK$245:$ID$316,$FJ206-FR$169,73-FR$169+SwaptionShift):INDEX($FK$245:$ID$316,$FJ206-FR$169,72-FR$169+SwaptionMonthsToGo+SwaptionShift))/SQRT(SUM(INDEX($FK361:$ID361,1+SwaptionShift):INDEX($FK361:$ID361,SwaptionMonthsToGo+SwaptionShift))*SUM(INDEX($FK$325:$ID$396,FR$169,1+SwaptionShift):INDEX($FK$325:$ID$396,FR$169,SwaptionMonthsToGo+SwaptionShift))))))</f>
        <v/>
      </c>
      <c r="FS206" s="479" t="str">
        <f ca="1">IF(OR(FS$169&lt;SwaptionFirstMonthPosition+1,$FJ206&lt;SwaptionFirstMonthPosition+1,FS$169&gt;SwaptionFirstMonthPosition+SwaptionNumOfMonths+1,$FJ206&gt;SwaptionFirstMonthPosition+SwaptionNumOfMonths+1),"",IF($FJ206=FS$169,1,IF($FJ206&lt;FS$169,INDEX($FK$170:$ID$241,FS$169,$FJ206),SUMPRODUCT(INDEX($FK$325:$ID$396,FS$169,1+SwaptionShift):INDEX($FK$325:$ID$396,FS$169,SwaptionMonthsToGo+SwaptionShift),INDEX($FK$245:$ID$316,$FJ206-FS$169,73-FS$169+SwaptionShift):INDEX($FK$245:$ID$316,$FJ206-FS$169,72-FS$169+SwaptionMonthsToGo+SwaptionShift))/SQRT(SUM(INDEX($FK361:$ID361,1+SwaptionShift):INDEX($FK361:$ID361,SwaptionMonthsToGo+SwaptionShift))*SUM(INDEX($FK$325:$ID$396,FS$169,1+SwaptionShift):INDEX($FK$325:$ID$396,FS$169,SwaptionMonthsToGo+SwaptionShift))))))</f>
        <v/>
      </c>
      <c r="FT206" s="479" t="str">
        <f ca="1">IF(OR(FT$169&lt;SwaptionFirstMonthPosition+1,$FJ206&lt;SwaptionFirstMonthPosition+1,FT$169&gt;SwaptionFirstMonthPosition+SwaptionNumOfMonths+1,$FJ206&gt;SwaptionFirstMonthPosition+SwaptionNumOfMonths+1),"",IF($FJ206=FT$169,1,IF($FJ206&lt;FT$169,INDEX($FK$170:$ID$241,FT$169,$FJ206),SUMPRODUCT(INDEX($FK$325:$ID$396,FT$169,1+SwaptionShift):INDEX($FK$325:$ID$396,FT$169,SwaptionMonthsToGo+SwaptionShift),INDEX($FK$245:$ID$316,$FJ206-FT$169,73-FT$169+SwaptionShift):INDEX($FK$245:$ID$316,$FJ206-FT$169,72-FT$169+SwaptionMonthsToGo+SwaptionShift))/SQRT(SUM(INDEX($FK361:$ID361,1+SwaptionShift):INDEX($FK361:$ID361,SwaptionMonthsToGo+SwaptionShift))*SUM(INDEX($FK$325:$ID$396,FT$169,1+SwaptionShift):INDEX($FK$325:$ID$396,FT$169,SwaptionMonthsToGo+SwaptionShift))))))</f>
        <v/>
      </c>
      <c r="FU206" s="479" t="str">
        <f ca="1">IF(OR(FU$169&lt;SwaptionFirstMonthPosition+1,$FJ206&lt;SwaptionFirstMonthPosition+1,FU$169&gt;SwaptionFirstMonthPosition+SwaptionNumOfMonths+1,$FJ206&gt;SwaptionFirstMonthPosition+SwaptionNumOfMonths+1),"",IF($FJ206=FU$169,1,IF($FJ206&lt;FU$169,INDEX($FK$170:$ID$241,FU$169,$FJ206),SUMPRODUCT(INDEX($FK$325:$ID$396,FU$169,1+SwaptionShift):INDEX($FK$325:$ID$396,FU$169,SwaptionMonthsToGo+SwaptionShift),INDEX($FK$245:$ID$316,$FJ206-FU$169,73-FU$169+SwaptionShift):INDEX($FK$245:$ID$316,$FJ206-FU$169,72-FU$169+SwaptionMonthsToGo+SwaptionShift))/SQRT(SUM(INDEX($FK361:$ID361,1+SwaptionShift):INDEX($FK361:$ID361,SwaptionMonthsToGo+SwaptionShift))*SUM(INDEX($FK$325:$ID$396,FU$169,1+SwaptionShift):INDEX($FK$325:$ID$396,FU$169,SwaptionMonthsToGo+SwaptionShift))))))</f>
        <v/>
      </c>
      <c r="FV206" s="479" t="str">
        <f ca="1">IF(OR(FV$169&lt;SwaptionFirstMonthPosition+1,$FJ206&lt;SwaptionFirstMonthPosition+1,FV$169&gt;SwaptionFirstMonthPosition+SwaptionNumOfMonths+1,$FJ206&gt;SwaptionFirstMonthPosition+SwaptionNumOfMonths+1),"",IF($FJ206=FV$169,1,IF($FJ206&lt;FV$169,INDEX($FK$170:$ID$241,FV$169,$FJ206),SUMPRODUCT(INDEX($FK$325:$ID$396,FV$169,1+SwaptionShift):INDEX($FK$325:$ID$396,FV$169,SwaptionMonthsToGo+SwaptionShift),INDEX($FK$245:$ID$316,$FJ206-FV$169,73-FV$169+SwaptionShift):INDEX($FK$245:$ID$316,$FJ206-FV$169,72-FV$169+SwaptionMonthsToGo+SwaptionShift))/SQRT(SUM(INDEX($FK361:$ID361,1+SwaptionShift):INDEX($FK361:$ID361,SwaptionMonthsToGo+SwaptionShift))*SUM(INDEX($FK$325:$ID$396,FV$169,1+SwaptionShift):INDEX($FK$325:$ID$396,FV$169,SwaptionMonthsToGo+SwaptionShift))))))</f>
        <v/>
      </c>
      <c r="FW206" s="479" t="str">
        <f ca="1">IF(OR(FW$169&lt;SwaptionFirstMonthPosition+1,$FJ206&lt;SwaptionFirstMonthPosition+1,FW$169&gt;SwaptionFirstMonthPosition+SwaptionNumOfMonths+1,$FJ206&gt;SwaptionFirstMonthPosition+SwaptionNumOfMonths+1),"",IF($FJ206=FW$169,1,IF($FJ206&lt;FW$169,INDEX($FK$170:$ID$241,FW$169,$FJ206),SUMPRODUCT(INDEX($FK$325:$ID$396,FW$169,1+SwaptionShift):INDEX($FK$325:$ID$396,FW$169,SwaptionMonthsToGo+SwaptionShift),INDEX($FK$245:$ID$316,$FJ206-FW$169,73-FW$169+SwaptionShift):INDEX($FK$245:$ID$316,$FJ206-FW$169,72-FW$169+SwaptionMonthsToGo+SwaptionShift))/SQRT(SUM(INDEX($FK361:$ID361,1+SwaptionShift):INDEX($FK361:$ID361,SwaptionMonthsToGo+SwaptionShift))*SUM(INDEX($FK$325:$ID$396,FW$169,1+SwaptionShift):INDEX($FK$325:$ID$396,FW$169,SwaptionMonthsToGo+SwaptionShift))))))</f>
        <v/>
      </c>
      <c r="FX206" s="479" t="str">
        <f ca="1">IF(OR(FX$169&lt;SwaptionFirstMonthPosition+1,$FJ206&lt;SwaptionFirstMonthPosition+1,FX$169&gt;SwaptionFirstMonthPosition+SwaptionNumOfMonths+1,$FJ206&gt;SwaptionFirstMonthPosition+SwaptionNumOfMonths+1),"",IF($FJ206=FX$169,1,IF($FJ206&lt;FX$169,INDEX($FK$170:$ID$241,FX$169,$FJ206),SUMPRODUCT(INDEX($FK$325:$ID$396,FX$169,1+SwaptionShift):INDEX($FK$325:$ID$396,FX$169,SwaptionMonthsToGo+SwaptionShift),INDEX($FK$245:$ID$316,$FJ206-FX$169,73-FX$169+SwaptionShift):INDEX($FK$245:$ID$316,$FJ206-FX$169,72-FX$169+SwaptionMonthsToGo+SwaptionShift))/SQRT(SUM(INDEX($FK361:$ID361,1+SwaptionShift):INDEX($FK361:$ID361,SwaptionMonthsToGo+SwaptionShift))*SUM(INDEX($FK$325:$ID$396,FX$169,1+SwaptionShift):INDEX($FK$325:$ID$396,FX$169,SwaptionMonthsToGo+SwaptionShift))))))</f>
        <v/>
      </c>
      <c r="FY206" s="479" t="str">
        <f ca="1">IF(OR(FY$169&lt;SwaptionFirstMonthPosition+1,$FJ206&lt;SwaptionFirstMonthPosition+1,FY$169&gt;SwaptionFirstMonthPosition+SwaptionNumOfMonths+1,$FJ206&gt;SwaptionFirstMonthPosition+SwaptionNumOfMonths+1),"",IF($FJ206=FY$169,1,IF($FJ206&lt;FY$169,INDEX($FK$170:$ID$241,FY$169,$FJ206),SUMPRODUCT(INDEX($FK$325:$ID$396,FY$169,1+SwaptionShift):INDEX($FK$325:$ID$396,FY$169,SwaptionMonthsToGo+SwaptionShift),INDEX($FK$245:$ID$316,$FJ206-FY$169,73-FY$169+SwaptionShift):INDEX($FK$245:$ID$316,$FJ206-FY$169,72-FY$169+SwaptionMonthsToGo+SwaptionShift))/SQRT(SUM(INDEX($FK361:$ID361,1+SwaptionShift):INDEX($FK361:$ID361,SwaptionMonthsToGo+SwaptionShift))*SUM(INDEX($FK$325:$ID$396,FY$169,1+SwaptionShift):INDEX($FK$325:$ID$396,FY$169,SwaptionMonthsToGo+SwaptionShift))))))</f>
        <v/>
      </c>
      <c r="FZ206" s="479" t="str">
        <f ca="1">IF(OR(FZ$169&lt;SwaptionFirstMonthPosition+1,$FJ206&lt;SwaptionFirstMonthPosition+1,FZ$169&gt;SwaptionFirstMonthPosition+SwaptionNumOfMonths+1,$FJ206&gt;SwaptionFirstMonthPosition+SwaptionNumOfMonths+1),"",IF($FJ206=FZ$169,1,IF($FJ206&lt;FZ$169,INDEX($FK$170:$ID$241,FZ$169,$FJ206),SUMPRODUCT(INDEX($FK$325:$ID$396,FZ$169,1+SwaptionShift):INDEX($FK$325:$ID$396,FZ$169,SwaptionMonthsToGo+SwaptionShift),INDEX($FK$245:$ID$316,$FJ206-FZ$169,73-FZ$169+SwaptionShift):INDEX($FK$245:$ID$316,$FJ206-FZ$169,72-FZ$169+SwaptionMonthsToGo+SwaptionShift))/SQRT(SUM(INDEX($FK361:$ID361,1+SwaptionShift):INDEX($FK361:$ID361,SwaptionMonthsToGo+SwaptionShift))*SUM(INDEX($FK$325:$ID$396,FZ$169,1+SwaptionShift):INDEX($FK$325:$ID$396,FZ$169,SwaptionMonthsToGo+SwaptionShift))))))</f>
        <v/>
      </c>
      <c r="GA206" s="479" t="str">
        <f ca="1">IF(OR(GA$169&lt;SwaptionFirstMonthPosition+1,$FJ206&lt;SwaptionFirstMonthPosition+1,GA$169&gt;SwaptionFirstMonthPosition+SwaptionNumOfMonths+1,$FJ206&gt;SwaptionFirstMonthPosition+SwaptionNumOfMonths+1),"",IF($FJ206=GA$169,1,IF($FJ206&lt;GA$169,INDEX($FK$170:$ID$241,GA$169,$FJ206),SUMPRODUCT(INDEX($FK$325:$ID$396,GA$169,1+SwaptionShift):INDEX($FK$325:$ID$396,GA$169,SwaptionMonthsToGo+SwaptionShift),INDEX($FK$245:$ID$316,$FJ206-GA$169,73-GA$169+SwaptionShift):INDEX($FK$245:$ID$316,$FJ206-GA$169,72-GA$169+SwaptionMonthsToGo+SwaptionShift))/SQRT(SUM(INDEX($FK361:$ID361,1+SwaptionShift):INDEX($FK361:$ID361,SwaptionMonthsToGo+SwaptionShift))*SUM(INDEX($FK$325:$ID$396,GA$169,1+SwaptionShift):INDEX($FK$325:$ID$396,GA$169,SwaptionMonthsToGo+SwaptionShift))))))</f>
        <v/>
      </c>
      <c r="GB206" s="479" t="str">
        <f ca="1">IF(OR(GB$169&lt;SwaptionFirstMonthPosition+1,$FJ206&lt;SwaptionFirstMonthPosition+1,GB$169&gt;SwaptionFirstMonthPosition+SwaptionNumOfMonths+1,$FJ206&gt;SwaptionFirstMonthPosition+SwaptionNumOfMonths+1),"",IF($FJ206=GB$169,1,IF($FJ206&lt;GB$169,INDEX($FK$170:$ID$241,GB$169,$FJ206),SUMPRODUCT(INDEX($FK$325:$ID$396,GB$169,1+SwaptionShift):INDEX($FK$325:$ID$396,GB$169,SwaptionMonthsToGo+SwaptionShift),INDEX($FK$245:$ID$316,$FJ206-GB$169,73-GB$169+SwaptionShift):INDEX($FK$245:$ID$316,$FJ206-GB$169,72-GB$169+SwaptionMonthsToGo+SwaptionShift))/SQRT(SUM(INDEX($FK361:$ID361,1+SwaptionShift):INDEX($FK361:$ID361,SwaptionMonthsToGo+SwaptionShift))*SUM(INDEX($FK$325:$ID$396,GB$169,1+SwaptionShift):INDEX($FK$325:$ID$396,GB$169,SwaptionMonthsToGo+SwaptionShift))))))</f>
        <v/>
      </c>
      <c r="GC206" s="479" t="str">
        <f ca="1">IF(OR(GC$169&lt;SwaptionFirstMonthPosition+1,$FJ206&lt;SwaptionFirstMonthPosition+1,GC$169&gt;SwaptionFirstMonthPosition+SwaptionNumOfMonths+1,$FJ206&gt;SwaptionFirstMonthPosition+SwaptionNumOfMonths+1),"",IF($FJ206=GC$169,1,IF($FJ206&lt;GC$169,INDEX($FK$170:$ID$241,GC$169,$FJ206),SUMPRODUCT(INDEX($FK$325:$ID$396,GC$169,1+SwaptionShift):INDEX($FK$325:$ID$396,GC$169,SwaptionMonthsToGo+SwaptionShift),INDEX($FK$245:$ID$316,$FJ206-GC$169,73-GC$169+SwaptionShift):INDEX($FK$245:$ID$316,$FJ206-GC$169,72-GC$169+SwaptionMonthsToGo+SwaptionShift))/SQRT(SUM(INDEX($FK361:$ID361,1+SwaptionShift):INDEX($FK361:$ID361,SwaptionMonthsToGo+SwaptionShift))*SUM(INDEX($FK$325:$ID$396,GC$169,1+SwaptionShift):INDEX($FK$325:$ID$396,GC$169,SwaptionMonthsToGo+SwaptionShift))))))</f>
        <v/>
      </c>
      <c r="GD206" s="479" t="str">
        <f ca="1">IF(OR(GD$169&lt;SwaptionFirstMonthPosition+1,$FJ206&lt;SwaptionFirstMonthPosition+1,GD$169&gt;SwaptionFirstMonthPosition+SwaptionNumOfMonths+1,$FJ206&gt;SwaptionFirstMonthPosition+SwaptionNumOfMonths+1),"",IF($FJ206=GD$169,1,IF($FJ206&lt;GD$169,INDEX($FK$170:$ID$241,GD$169,$FJ206),SUMPRODUCT(INDEX($FK$325:$ID$396,GD$169,1+SwaptionShift):INDEX($FK$325:$ID$396,GD$169,SwaptionMonthsToGo+SwaptionShift),INDEX($FK$245:$ID$316,$FJ206-GD$169,73-GD$169+SwaptionShift):INDEX($FK$245:$ID$316,$FJ206-GD$169,72-GD$169+SwaptionMonthsToGo+SwaptionShift))/SQRT(SUM(INDEX($FK361:$ID361,1+SwaptionShift):INDEX($FK361:$ID361,SwaptionMonthsToGo+SwaptionShift))*SUM(INDEX($FK$325:$ID$396,GD$169,1+SwaptionShift):INDEX($FK$325:$ID$396,GD$169,SwaptionMonthsToGo+SwaptionShift))))))</f>
        <v/>
      </c>
      <c r="GE206" s="479" t="str">
        <f ca="1">IF(OR(GE$169&lt;SwaptionFirstMonthPosition+1,$FJ206&lt;SwaptionFirstMonthPosition+1,GE$169&gt;SwaptionFirstMonthPosition+SwaptionNumOfMonths+1,$FJ206&gt;SwaptionFirstMonthPosition+SwaptionNumOfMonths+1),"",IF($FJ206=GE$169,1,IF($FJ206&lt;GE$169,INDEX($FK$170:$ID$241,GE$169,$FJ206),SUMPRODUCT(INDEX($FK$325:$ID$396,GE$169,1+SwaptionShift):INDEX($FK$325:$ID$396,GE$169,SwaptionMonthsToGo+SwaptionShift),INDEX($FK$245:$ID$316,$FJ206-GE$169,73-GE$169+SwaptionShift):INDEX($FK$245:$ID$316,$FJ206-GE$169,72-GE$169+SwaptionMonthsToGo+SwaptionShift))/SQRT(SUM(INDEX($FK361:$ID361,1+SwaptionShift):INDEX($FK361:$ID361,SwaptionMonthsToGo+SwaptionShift))*SUM(INDEX($FK$325:$ID$396,GE$169,1+SwaptionShift):INDEX($FK$325:$ID$396,GE$169,SwaptionMonthsToGo+SwaptionShift))))))</f>
        <v/>
      </c>
      <c r="GF206" s="479" t="str">
        <f ca="1">IF(OR(GF$169&lt;SwaptionFirstMonthPosition+1,$FJ206&lt;SwaptionFirstMonthPosition+1,GF$169&gt;SwaptionFirstMonthPosition+SwaptionNumOfMonths+1,$FJ206&gt;SwaptionFirstMonthPosition+SwaptionNumOfMonths+1),"",IF($FJ206=GF$169,1,IF($FJ206&lt;GF$169,INDEX($FK$170:$ID$241,GF$169,$FJ206),SUMPRODUCT(INDEX($FK$325:$ID$396,GF$169,1+SwaptionShift):INDEX($FK$325:$ID$396,GF$169,SwaptionMonthsToGo+SwaptionShift),INDEX($FK$245:$ID$316,$FJ206-GF$169,73-GF$169+SwaptionShift):INDEX($FK$245:$ID$316,$FJ206-GF$169,72-GF$169+SwaptionMonthsToGo+SwaptionShift))/SQRT(SUM(INDEX($FK361:$ID361,1+SwaptionShift):INDEX($FK361:$ID361,SwaptionMonthsToGo+SwaptionShift))*SUM(INDEX($FK$325:$ID$396,GF$169,1+SwaptionShift):INDEX($FK$325:$ID$396,GF$169,SwaptionMonthsToGo+SwaptionShift))))))</f>
        <v/>
      </c>
      <c r="GG206" s="479" t="str">
        <f ca="1">IF(OR(GG$169&lt;SwaptionFirstMonthPosition+1,$FJ206&lt;SwaptionFirstMonthPosition+1,GG$169&gt;SwaptionFirstMonthPosition+SwaptionNumOfMonths+1,$FJ206&gt;SwaptionFirstMonthPosition+SwaptionNumOfMonths+1),"",IF($FJ206=GG$169,1,IF($FJ206&lt;GG$169,INDEX($FK$170:$ID$241,GG$169,$FJ206),SUMPRODUCT(INDEX($FK$325:$ID$396,GG$169,1+SwaptionShift):INDEX($FK$325:$ID$396,GG$169,SwaptionMonthsToGo+SwaptionShift),INDEX($FK$245:$ID$316,$FJ206-GG$169,73-GG$169+SwaptionShift):INDEX($FK$245:$ID$316,$FJ206-GG$169,72-GG$169+SwaptionMonthsToGo+SwaptionShift))/SQRT(SUM(INDEX($FK361:$ID361,1+SwaptionShift):INDEX($FK361:$ID361,SwaptionMonthsToGo+SwaptionShift))*SUM(INDEX($FK$325:$ID$396,GG$169,1+SwaptionShift):INDEX($FK$325:$ID$396,GG$169,SwaptionMonthsToGo+SwaptionShift))))))</f>
        <v/>
      </c>
      <c r="GH206" s="479" t="str">
        <f ca="1">IF(OR(GH$169&lt;SwaptionFirstMonthPosition+1,$FJ206&lt;SwaptionFirstMonthPosition+1,GH$169&gt;SwaptionFirstMonthPosition+SwaptionNumOfMonths+1,$FJ206&gt;SwaptionFirstMonthPosition+SwaptionNumOfMonths+1),"",IF($FJ206=GH$169,1,IF($FJ206&lt;GH$169,INDEX($FK$170:$ID$241,GH$169,$FJ206),SUMPRODUCT(INDEX($FK$325:$ID$396,GH$169,1+SwaptionShift):INDEX($FK$325:$ID$396,GH$169,SwaptionMonthsToGo+SwaptionShift),INDEX($FK$245:$ID$316,$FJ206-GH$169,73-GH$169+SwaptionShift):INDEX($FK$245:$ID$316,$FJ206-GH$169,72-GH$169+SwaptionMonthsToGo+SwaptionShift))/SQRT(SUM(INDEX($FK361:$ID361,1+SwaptionShift):INDEX($FK361:$ID361,SwaptionMonthsToGo+SwaptionShift))*SUM(INDEX($FK$325:$ID$396,GH$169,1+SwaptionShift):INDEX($FK$325:$ID$396,GH$169,SwaptionMonthsToGo+SwaptionShift))))))</f>
        <v/>
      </c>
      <c r="GI206" s="479" t="str">
        <f ca="1">IF(OR(GI$169&lt;SwaptionFirstMonthPosition+1,$FJ206&lt;SwaptionFirstMonthPosition+1,GI$169&gt;SwaptionFirstMonthPosition+SwaptionNumOfMonths+1,$FJ206&gt;SwaptionFirstMonthPosition+SwaptionNumOfMonths+1),"",IF($FJ206=GI$169,1,IF($FJ206&lt;GI$169,INDEX($FK$170:$ID$241,GI$169,$FJ206),SUMPRODUCT(INDEX($FK$325:$ID$396,GI$169,1+SwaptionShift):INDEX($FK$325:$ID$396,GI$169,SwaptionMonthsToGo+SwaptionShift),INDEX($FK$245:$ID$316,$FJ206-GI$169,73-GI$169+SwaptionShift):INDEX($FK$245:$ID$316,$FJ206-GI$169,72-GI$169+SwaptionMonthsToGo+SwaptionShift))/SQRT(SUM(INDEX($FK361:$ID361,1+SwaptionShift):INDEX($FK361:$ID361,SwaptionMonthsToGo+SwaptionShift))*SUM(INDEX($FK$325:$ID$396,GI$169,1+SwaptionShift):INDEX($FK$325:$ID$396,GI$169,SwaptionMonthsToGo+SwaptionShift))))))</f>
        <v/>
      </c>
      <c r="GJ206" s="479" t="str">
        <f ca="1">IF(OR(GJ$169&lt;SwaptionFirstMonthPosition+1,$FJ206&lt;SwaptionFirstMonthPosition+1,GJ$169&gt;SwaptionFirstMonthPosition+SwaptionNumOfMonths+1,$FJ206&gt;SwaptionFirstMonthPosition+SwaptionNumOfMonths+1),"",IF($FJ206=GJ$169,1,IF($FJ206&lt;GJ$169,INDEX($FK$170:$ID$241,GJ$169,$FJ206),SUMPRODUCT(INDEX($FK$325:$ID$396,GJ$169,1+SwaptionShift):INDEX($FK$325:$ID$396,GJ$169,SwaptionMonthsToGo+SwaptionShift),INDEX($FK$245:$ID$316,$FJ206-GJ$169,73-GJ$169+SwaptionShift):INDEX($FK$245:$ID$316,$FJ206-GJ$169,72-GJ$169+SwaptionMonthsToGo+SwaptionShift))/SQRT(SUM(INDEX($FK361:$ID361,1+SwaptionShift):INDEX($FK361:$ID361,SwaptionMonthsToGo+SwaptionShift))*SUM(INDEX($FK$325:$ID$396,GJ$169,1+SwaptionShift):INDEX($FK$325:$ID$396,GJ$169,SwaptionMonthsToGo+SwaptionShift))))))</f>
        <v/>
      </c>
      <c r="GK206" s="479" t="str">
        <f ca="1">IF(OR(GK$169&lt;SwaptionFirstMonthPosition+1,$FJ206&lt;SwaptionFirstMonthPosition+1,GK$169&gt;SwaptionFirstMonthPosition+SwaptionNumOfMonths+1,$FJ206&gt;SwaptionFirstMonthPosition+SwaptionNumOfMonths+1),"",IF($FJ206=GK$169,1,IF($FJ206&lt;GK$169,INDEX($FK$170:$ID$241,GK$169,$FJ206),SUMPRODUCT(INDEX($FK$325:$ID$396,GK$169,1+SwaptionShift):INDEX($FK$325:$ID$396,GK$169,SwaptionMonthsToGo+SwaptionShift),INDEX($FK$245:$ID$316,$FJ206-GK$169,73-GK$169+SwaptionShift):INDEX($FK$245:$ID$316,$FJ206-GK$169,72-GK$169+SwaptionMonthsToGo+SwaptionShift))/SQRT(SUM(INDEX($FK361:$ID361,1+SwaptionShift):INDEX($FK361:$ID361,SwaptionMonthsToGo+SwaptionShift))*SUM(INDEX($FK$325:$ID$396,GK$169,1+SwaptionShift):INDEX($FK$325:$ID$396,GK$169,SwaptionMonthsToGo+SwaptionShift))))))</f>
        <v/>
      </c>
      <c r="GL206" s="479" t="str">
        <f ca="1">IF(OR(GL$169&lt;SwaptionFirstMonthPosition+1,$FJ206&lt;SwaptionFirstMonthPosition+1,GL$169&gt;SwaptionFirstMonthPosition+SwaptionNumOfMonths+1,$FJ206&gt;SwaptionFirstMonthPosition+SwaptionNumOfMonths+1),"",IF($FJ206=GL$169,1,IF($FJ206&lt;GL$169,INDEX($FK$170:$ID$241,GL$169,$FJ206),SUMPRODUCT(INDEX($FK$325:$ID$396,GL$169,1+SwaptionShift):INDEX($FK$325:$ID$396,GL$169,SwaptionMonthsToGo+SwaptionShift),INDEX($FK$245:$ID$316,$FJ206-GL$169,73-GL$169+SwaptionShift):INDEX($FK$245:$ID$316,$FJ206-GL$169,72-GL$169+SwaptionMonthsToGo+SwaptionShift))/SQRT(SUM(INDEX($FK361:$ID361,1+SwaptionShift):INDEX($FK361:$ID361,SwaptionMonthsToGo+SwaptionShift))*SUM(INDEX($FK$325:$ID$396,GL$169,1+SwaptionShift):INDEX($FK$325:$ID$396,GL$169,SwaptionMonthsToGo+SwaptionShift))))))</f>
        <v/>
      </c>
      <c r="GM206" s="479" t="str">
        <f ca="1">IF(OR(GM$169&lt;SwaptionFirstMonthPosition+1,$FJ206&lt;SwaptionFirstMonthPosition+1,GM$169&gt;SwaptionFirstMonthPosition+SwaptionNumOfMonths+1,$FJ206&gt;SwaptionFirstMonthPosition+SwaptionNumOfMonths+1),"",IF($FJ206=GM$169,1,IF($FJ206&lt;GM$169,INDEX($FK$170:$ID$241,GM$169,$FJ206),SUMPRODUCT(INDEX($FK$325:$ID$396,GM$169,1+SwaptionShift):INDEX($FK$325:$ID$396,GM$169,SwaptionMonthsToGo+SwaptionShift),INDEX($FK$245:$ID$316,$FJ206-GM$169,73-GM$169+SwaptionShift):INDEX($FK$245:$ID$316,$FJ206-GM$169,72-GM$169+SwaptionMonthsToGo+SwaptionShift))/SQRT(SUM(INDEX($FK361:$ID361,1+SwaptionShift):INDEX($FK361:$ID361,SwaptionMonthsToGo+SwaptionShift))*SUM(INDEX($FK$325:$ID$396,GM$169,1+SwaptionShift):INDEX($FK$325:$ID$396,GM$169,SwaptionMonthsToGo+SwaptionShift))))))</f>
        <v/>
      </c>
      <c r="GN206" s="479" t="str">
        <f ca="1">IF(OR(GN$169&lt;SwaptionFirstMonthPosition+1,$FJ206&lt;SwaptionFirstMonthPosition+1,GN$169&gt;SwaptionFirstMonthPosition+SwaptionNumOfMonths+1,$FJ206&gt;SwaptionFirstMonthPosition+SwaptionNumOfMonths+1),"",IF($FJ206=GN$169,1,IF($FJ206&lt;GN$169,INDEX($FK$170:$ID$241,GN$169,$FJ206),SUMPRODUCT(INDEX($FK$325:$ID$396,GN$169,1+SwaptionShift):INDEX($FK$325:$ID$396,GN$169,SwaptionMonthsToGo+SwaptionShift),INDEX($FK$245:$ID$316,$FJ206-GN$169,73-GN$169+SwaptionShift):INDEX($FK$245:$ID$316,$FJ206-GN$169,72-GN$169+SwaptionMonthsToGo+SwaptionShift))/SQRT(SUM(INDEX($FK361:$ID361,1+SwaptionShift):INDEX($FK361:$ID361,SwaptionMonthsToGo+SwaptionShift))*SUM(INDEX($FK$325:$ID$396,GN$169,1+SwaptionShift):INDEX($FK$325:$ID$396,GN$169,SwaptionMonthsToGo+SwaptionShift))))))</f>
        <v/>
      </c>
      <c r="GO206" s="479" t="str">
        <f ca="1">IF(OR(GO$169&lt;SwaptionFirstMonthPosition+1,$FJ206&lt;SwaptionFirstMonthPosition+1,GO$169&gt;SwaptionFirstMonthPosition+SwaptionNumOfMonths+1,$FJ206&gt;SwaptionFirstMonthPosition+SwaptionNumOfMonths+1),"",IF($FJ206=GO$169,1,IF($FJ206&lt;GO$169,INDEX($FK$170:$ID$241,GO$169,$FJ206),SUMPRODUCT(INDEX($FK$325:$ID$396,GO$169,1+SwaptionShift):INDEX($FK$325:$ID$396,GO$169,SwaptionMonthsToGo+SwaptionShift),INDEX($FK$245:$ID$316,$FJ206-GO$169,73-GO$169+SwaptionShift):INDEX($FK$245:$ID$316,$FJ206-GO$169,72-GO$169+SwaptionMonthsToGo+SwaptionShift))/SQRT(SUM(INDEX($FK361:$ID361,1+SwaptionShift):INDEX($FK361:$ID361,SwaptionMonthsToGo+SwaptionShift))*SUM(INDEX($FK$325:$ID$396,GO$169,1+SwaptionShift):INDEX($FK$325:$ID$396,GO$169,SwaptionMonthsToGo+SwaptionShift))))))</f>
        <v/>
      </c>
      <c r="GP206" s="479" t="str">
        <f ca="1">IF(OR(GP$169&lt;SwaptionFirstMonthPosition+1,$FJ206&lt;SwaptionFirstMonthPosition+1,GP$169&gt;SwaptionFirstMonthPosition+SwaptionNumOfMonths+1,$FJ206&gt;SwaptionFirstMonthPosition+SwaptionNumOfMonths+1),"",IF($FJ206=GP$169,1,IF($FJ206&lt;GP$169,INDEX($FK$170:$ID$241,GP$169,$FJ206),SUMPRODUCT(INDEX($FK$325:$ID$396,GP$169,1+SwaptionShift):INDEX($FK$325:$ID$396,GP$169,SwaptionMonthsToGo+SwaptionShift),INDEX($FK$245:$ID$316,$FJ206-GP$169,73-GP$169+SwaptionShift):INDEX($FK$245:$ID$316,$FJ206-GP$169,72-GP$169+SwaptionMonthsToGo+SwaptionShift))/SQRT(SUM(INDEX($FK361:$ID361,1+SwaptionShift):INDEX($FK361:$ID361,SwaptionMonthsToGo+SwaptionShift))*SUM(INDEX($FK$325:$ID$396,GP$169,1+SwaptionShift):INDEX($FK$325:$ID$396,GP$169,SwaptionMonthsToGo+SwaptionShift))))))</f>
        <v/>
      </c>
      <c r="GQ206" s="479" t="str">
        <f ca="1">IF(OR(GQ$169&lt;SwaptionFirstMonthPosition+1,$FJ206&lt;SwaptionFirstMonthPosition+1,GQ$169&gt;SwaptionFirstMonthPosition+SwaptionNumOfMonths+1,$FJ206&gt;SwaptionFirstMonthPosition+SwaptionNumOfMonths+1),"",IF($FJ206=GQ$169,1,IF($FJ206&lt;GQ$169,INDEX($FK$170:$ID$241,GQ$169,$FJ206),SUMPRODUCT(INDEX($FK$325:$ID$396,GQ$169,1+SwaptionShift):INDEX($FK$325:$ID$396,GQ$169,SwaptionMonthsToGo+SwaptionShift),INDEX($FK$245:$ID$316,$FJ206-GQ$169,73-GQ$169+SwaptionShift):INDEX($FK$245:$ID$316,$FJ206-GQ$169,72-GQ$169+SwaptionMonthsToGo+SwaptionShift))/SQRT(SUM(INDEX($FK361:$ID361,1+SwaptionShift):INDEX($FK361:$ID361,SwaptionMonthsToGo+SwaptionShift))*SUM(INDEX($FK$325:$ID$396,GQ$169,1+SwaptionShift):INDEX($FK$325:$ID$396,GQ$169,SwaptionMonthsToGo+SwaptionShift))))))</f>
        <v/>
      </c>
      <c r="GR206" s="479" t="str">
        <f ca="1">IF(OR(GR$169&lt;SwaptionFirstMonthPosition+1,$FJ206&lt;SwaptionFirstMonthPosition+1,GR$169&gt;SwaptionFirstMonthPosition+SwaptionNumOfMonths+1,$FJ206&gt;SwaptionFirstMonthPosition+SwaptionNumOfMonths+1),"",IF($FJ206=GR$169,1,IF($FJ206&lt;GR$169,INDEX($FK$170:$ID$241,GR$169,$FJ206),SUMPRODUCT(INDEX($FK$325:$ID$396,GR$169,1+SwaptionShift):INDEX($FK$325:$ID$396,GR$169,SwaptionMonthsToGo+SwaptionShift),INDEX($FK$245:$ID$316,$FJ206-GR$169,73-GR$169+SwaptionShift):INDEX($FK$245:$ID$316,$FJ206-GR$169,72-GR$169+SwaptionMonthsToGo+SwaptionShift))/SQRT(SUM(INDEX($FK361:$ID361,1+SwaptionShift):INDEX($FK361:$ID361,SwaptionMonthsToGo+SwaptionShift))*SUM(INDEX($FK$325:$ID$396,GR$169,1+SwaptionShift):INDEX($FK$325:$ID$396,GR$169,SwaptionMonthsToGo+SwaptionShift))))))</f>
        <v/>
      </c>
      <c r="GS206" s="479" t="str">
        <f ca="1">IF(OR(GS$169&lt;SwaptionFirstMonthPosition+1,$FJ206&lt;SwaptionFirstMonthPosition+1,GS$169&gt;SwaptionFirstMonthPosition+SwaptionNumOfMonths+1,$FJ206&gt;SwaptionFirstMonthPosition+SwaptionNumOfMonths+1),"",IF($FJ206=GS$169,1,IF($FJ206&lt;GS$169,INDEX($FK$170:$ID$241,GS$169,$FJ206),SUMPRODUCT(INDEX($FK$325:$ID$396,GS$169,1+SwaptionShift):INDEX($FK$325:$ID$396,GS$169,SwaptionMonthsToGo+SwaptionShift),INDEX($FK$245:$ID$316,$FJ206-GS$169,73-GS$169+SwaptionShift):INDEX($FK$245:$ID$316,$FJ206-GS$169,72-GS$169+SwaptionMonthsToGo+SwaptionShift))/SQRT(SUM(INDEX($FK361:$ID361,1+SwaptionShift):INDEX($FK361:$ID361,SwaptionMonthsToGo+SwaptionShift))*SUM(INDEX($FK$325:$ID$396,GS$169,1+SwaptionShift):INDEX($FK$325:$ID$396,GS$169,SwaptionMonthsToGo+SwaptionShift))))))</f>
        <v/>
      </c>
      <c r="GT206" s="479" t="str">
        <f ca="1">IF(OR(GT$169&lt;SwaptionFirstMonthPosition+1,$FJ206&lt;SwaptionFirstMonthPosition+1,GT$169&gt;SwaptionFirstMonthPosition+SwaptionNumOfMonths+1,$FJ206&gt;SwaptionFirstMonthPosition+SwaptionNumOfMonths+1),"",IF($FJ206=GT$169,1,IF($FJ206&lt;GT$169,INDEX($FK$170:$ID$241,GT$169,$FJ206),SUMPRODUCT(INDEX($FK$325:$ID$396,GT$169,1+SwaptionShift):INDEX($FK$325:$ID$396,GT$169,SwaptionMonthsToGo+SwaptionShift),INDEX($FK$245:$ID$316,$FJ206-GT$169,73-GT$169+SwaptionShift):INDEX($FK$245:$ID$316,$FJ206-GT$169,72-GT$169+SwaptionMonthsToGo+SwaptionShift))/SQRT(SUM(INDEX($FK361:$ID361,1+SwaptionShift):INDEX($FK361:$ID361,SwaptionMonthsToGo+SwaptionShift))*SUM(INDEX($FK$325:$ID$396,GT$169,1+SwaptionShift):INDEX($FK$325:$ID$396,GT$169,SwaptionMonthsToGo+SwaptionShift))))))</f>
        <v/>
      </c>
      <c r="GU206" s="479" t="str">
        <f ca="1">IF(OR(GU$169&lt;SwaptionFirstMonthPosition+1,$FJ206&lt;SwaptionFirstMonthPosition+1,GU$169&gt;SwaptionFirstMonthPosition+SwaptionNumOfMonths+1,$FJ206&gt;SwaptionFirstMonthPosition+SwaptionNumOfMonths+1),"",IF($FJ206=GU$169,1,IF($FJ206&lt;GU$169,INDEX($FK$170:$ID$241,GU$169,$FJ206),SUMPRODUCT(INDEX($FK$325:$ID$396,GU$169,1+SwaptionShift):INDEX($FK$325:$ID$396,GU$169,SwaptionMonthsToGo+SwaptionShift),INDEX($FK$245:$ID$316,$FJ206-GU$169,73-GU$169+SwaptionShift):INDEX($FK$245:$ID$316,$FJ206-GU$169,72-GU$169+SwaptionMonthsToGo+SwaptionShift))/SQRT(SUM(INDEX($FK361:$ID361,1+SwaptionShift):INDEX($FK361:$ID361,SwaptionMonthsToGo+SwaptionShift))*SUM(INDEX($FK$325:$ID$396,GU$169,1+SwaptionShift):INDEX($FK$325:$ID$396,GU$169,SwaptionMonthsToGo+SwaptionShift))))))</f>
        <v/>
      </c>
      <c r="GV206" s="479" t="str">
        <f ca="1">IF(OR(GV$169&lt;SwaptionFirstMonthPosition+1,$FJ206&lt;SwaptionFirstMonthPosition+1,GV$169&gt;SwaptionFirstMonthPosition+SwaptionNumOfMonths+1,$FJ206&gt;SwaptionFirstMonthPosition+SwaptionNumOfMonths+1),"",IF($FJ206=GV$169,1,IF($FJ206&lt;GV$169,INDEX($FK$170:$ID$241,GV$169,$FJ206),SUMPRODUCT(INDEX($FK$325:$ID$396,GV$169,1+SwaptionShift):INDEX($FK$325:$ID$396,GV$169,SwaptionMonthsToGo+SwaptionShift),INDEX($FK$245:$ID$316,$FJ206-GV$169,73-GV$169+SwaptionShift):INDEX($FK$245:$ID$316,$FJ206-GV$169,72-GV$169+SwaptionMonthsToGo+SwaptionShift))/SQRT(SUM(INDEX($FK361:$ID361,1+SwaptionShift):INDEX($FK361:$ID361,SwaptionMonthsToGo+SwaptionShift))*SUM(INDEX($FK$325:$ID$396,GV$169,1+SwaptionShift):INDEX($FK$325:$ID$396,GV$169,SwaptionMonthsToGo+SwaptionShift))))))</f>
        <v/>
      </c>
      <c r="GW206" s="479" t="str">
        <f ca="1">IF(OR(GW$169&lt;SwaptionFirstMonthPosition+1,$FJ206&lt;SwaptionFirstMonthPosition+1,GW$169&gt;SwaptionFirstMonthPosition+SwaptionNumOfMonths+1,$FJ206&gt;SwaptionFirstMonthPosition+SwaptionNumOfMonths+1),"",IF($FJ206=GW$169,1,IF($FJ206&lt;GW$169,INDEX($FK$170:$ID$241,GW$169,$FJ206),SUMPRODUCT(INDEX($FK$325:$ID$396,GW$169,1+SwaptionShift):INDEX($FK$325:$ID$396,GW$169,SwaptionMonthsToGo+SwaptionShift),INDEX($FK$245:$ID$316,$FJ206-GW$169,73-GW$169+SwaptionShift):INDEX($FK$245:$ID$316,$FJ206-GW$169,72-GW$169+SwaptionMonthsToGo+SwaptionShift))/SQRT(SUM(INDEX($FK361:$ID361,1+SwaptionShift):INDEX($FK361:$ID361,SwaptionMonthsToGo+SwaptionShift))*SUM(INDEX($FK$325:$ID$396,GW$169,1+SwaptionShift):INDEX($FK$325:$ID$396,GW$169,SwaptionMonthsToGo+SwaptionShift))))))</f>
        <v/>
      </c>
      <c r="GX206" s="479" t="str">
        <f ca="1">IF(OR(GX$169&lt;SwaptionFirstMonthPosition+1,$FJ206&lt;SwaptionFirstMonthPosition+1,GX$169&gt;SwaptionFirstMonthPosition+SwaptionNumOfMonths+1,$FJ206&gt;SwaptionFirstMonthPosition+SwaptionNumOfMonths+1),"",IF($FJ206=GX$169,1,IF($FJ206&lt;GX$169,INDEX($FK$170:$ID$241,GX$169,$FJ206),SUMPRODUCT(INDEX($FK$325:$ID$396,GX$169,1+SwaptionShift):INDEX($FK$325:$ID$396,GX$169,SwaptionMonthsToGo+SwaptionShift),INDEX($FK$245:$ID$316,$FJ206-GX$169,73-GX$169+SwaptionShift):INDEX($FK$245:$ID$316,$FJ206-GX$169,72-GX$169+SwaptionMonthsToGo+SwaptionShift))/SQRT(SUM(INDEX($FK361:$ID361,1+SwaptionShift):INDEX($FK361:$ID361,SwaptionMonthsToGo+SwaptionShift))*SUM(INDEX($FK$325:$ID$396,GX$169,1+SwaptionShift):INDEX($FK$325:$ID$396,GX$169,SwaptionMonthsToGo+SwaptionShift))))))</f>
        <v/>
      </c>
      <c r="GY206" s="479" t="str">
        <f ca="1">IF(OR(GY$169&lt;SwaptionFirstMonthPosition+1,$FJ206&lt;SwaptionFirstMonthPosition+1,GY$169&gt;SwaptionFirstMonthPosition+SwaptionNumOfMonths+1,$FJ206&gt;SwaptionFirstMonthPosition+SwaptionNumOfMonths+1),"",IF($FJ206=GY$169,1,IF($FJ206&lt;GY$169,INDEX($FK$170:$ID$241,GY$169,$FJ206),SUMPRODUCT(INDEX($FK$325:$ID$396,GY$169,1+SwaptionShift):INDEX($FK$325:$ID$396,GY$169,SwaptionMonthsToGo+SwaptionShift),INDEX($FK$245:$ID$316,$FJ206-GY$169,73-GY$169+SwaptionShift):INDEX($FK$245:$ID$316,$FJ206-GY$169,72-GY$169+SwaptionMonthsToGo+SwaptionShift))/SQRT(SUM(INDEX($FK361:$ID361,1+SwaptionShift):INDEX($FK361:$ID361,SwaptionMonthsToGo+SwaptionShift))*SUM(INDEX($FK$325:$ID$396,GY$169,1+SwaptionShift):INDEX($FK$325:$ID$396,GY$169,SwaptionMonthsToGo+SwaptionShift))))))</f>
        <v/>
      </c>
      <c r="GZ206" s="479" t="str">
        <f ca="1">IF(OR(GZ$169&lt;SwaptionFirstMonthPosition+1,$FJ206&lt;SwaptionFirstMonthPosition+1,GZ$169&gt;SwaptionFirstMonthPosition+SwaptionNumOfMonths+1,$FJ206&gt;SwaptionFirstMonthPosition+SwaptionNumOfMonths+1),"",IF($FJ206=GZ$169,1,IF($FJ206&lt;GZ$169,INDEX($FK$170:$ID$241,GZ$169,$FJ206),SUMPRODUCT(INDEX($FK$325:$ID$396,GZ$169,1+SwaptionShift):INDEX($FK$325:$ID$396,GZ$169,SwaptionMonthsToGo+SwaptionShift),INDEX($FK$245:$ID$316,$FJ206-GZ$169,73-GZ$169+SwaptionShift):INDEX($FK$245:$ID$316,$FJ206-GZ$169,72-GZ$169+SwaptionMonthsToGo+SwaptionShift))/SQRT(SUM(INDEX($FK361:$ID361,1+SwaptionShift):INDEX($FK361:$ID361,SwaptionMonthsToGo+SwaptionShift))*SUM(INDEX($FK$325:$ID$396,GZ$169,1+SwaptionShift):INDEX($FK$325:$ID$396,GZ$169,SwaptionMonthsToGo+SwaptionShift))))))</f>
        <v/>
      </c>
      <c r="HA206" s="479" t="str">
        <f ca="1">IF(OR(HA$169&lt;SwaptionFirstMonthPosition+1,$FJ206&lt;SwaptionFirstMonthPosition+1,HA$169&gt;SwaptionFirstMonthPosition+SwaptionNumOfMonths+1,$FJ206&gt;SwaptionFirstMonthPosition+SwaptionNumOfMonths+1),"",IF($FJ206=HA$169,1,IF($FJ206&lt;HA$169,INDEX($FK$170:$ID$241,HA$169,$FJ206),SUMPRODUCT(INDEX($FK$325:$ID$396,HA$169,1+SwaptionShift):INDEX($FK$325:$ID$396,HA$169,SwaptionMonthsToGo+SwaptionShift),INDEX($FK$245:$ID$316,$FJ206-HA$169,73-HA$169+SwaptionShift):INDEX($FK$245:$ID$316,$FJ206-HA$169,72-HA$169+SwaptionMonthsToGo+SwaptionShift))/SQRT(SUM(INDEX($FK361:$ID361,1+SwaptionShift):INDEX($FK361:$ID361,SwaptionMonthsToGo+SwaptionShift))*SUM(INDEX($FK$325:$ID$396,HA$169,1+SwaptionShift):INDEX($FK$325:$ID$396,HA$169,SwaptionMonthsToGo+SwaptionShift))))))</f>
        <v/>
      </c>
      <c r="HB206" s="479" t="str">
        <f ca="1">IF(OR(HB$169&lt;SwaptionFirstMonthPosition+1,$FJ206&lt;SwaptionFirstMonthPosition+1,HB$169&gt;SwaptionFirstMonthPosition+SwaptionNumOfMonths+1,$FJ206&gt;SwaptionFirstMonthPosition+SwaptionNumOfMonths+1),"",IF($FJ206=HB$169,1,IF($FJ206&lt;HB$169,INDEX($FK$170:$ID$241,HB$169,$FJ206),SUMPRODUCT(INDEX($FK$325:$ID$396,HB$169,1+SwaptionShift):INDEX($FK$325:$ID$396,HB$169,SwaptionMonthsToGo+SwaptionShift),INDEX($FK$245:$ID$316,$FJ206-HB$169,73-HB$169+SwaptionShift):INDEX($FK$245:$ID$316,$FJ206-HB$169,72-HB$169+SwaptionMonthsToGo+SwaptionShift))/SQRT(SUM(INDEX($FK361:$ID361,1+SwaptionShift):INDEX($FK361:$ID361,SwaptionMonthsToGo+SwaptionShift))*SUM(INDEX($FK$325:$ID$396,HB$169,1+SwaptionShift):INDEX($FK$325:$ID$396,HB$169,SwaptionMonthsToGo+SwaptionShift))))))</f>
        <v/>
      </c>
      <c r="HC206" s="479" t="str">
        <f ca="1">IF(OR(HC$169&lt;SwaptionFirstMonthPosition+1,$FJ206&lt;SwaptionFirstMonthPosition+1,HC$169&gt;SwaptionFirstMonthPosition+SwaptionNumOfMonths+1,$FJ206&gt;SwaptionFirstMonthPosition+SwaptionNumOfMonths+1),"",IF($FJ206=HC$169,1,IF($FJ206&lt;HC$169,INDEX($FK$170:$ID$241,HC$169,$FJ206),SUMPRODUCT(INDEX($FK$325:$ID$396,HC$169,1+SwaptionShift):INDEX($FK$325:$ID$396,HC$169,SwaptionMonthsToGo+SwaptionShift),INDEX($FK$245:$ID$316,$FJ206-HC$169,73-HC$169+SwaptionShift):INDEX($FK$245:$ID$316,$FJ206-HC$169,72-HC$169+SwaptionMonthsToGo+SwaptionShift))/SQRT(SUM(INDEX($FK361:$ID361,1+SwaptionShift):INDEX($FK361:$ID361,SwaptionMonthsToGo+SwaptionShift))*SUM(INDEX($FK$325:$ID$396,HC$169,1+SwaptionShift):INDEX($FK$325:$ID$396,HC$169,SwaptionMonthsToGo+SwaptionShift))))))</f>
        <v/>
      </c>
      <c r="HD206" s="479" t="str">
        <f ca="1">IF(OR(HD$169&lt;SwaptionFirstMonthPosition+1,$FJ206&lt;SwaptionFirstMonthPosition+1,HD$169&gt;SwaptionFirstMonthPosition+SwaptionNumOfMonths+1,$FJ206&gt;SwaptionFirstMonthPosition+SwaptionNumOfMonths+1),"",IF($FJ206=HD$169,1,IF($FJ206&lt;HD$169,INDEX($FK$170:$ID$241,HD$169,$FJ206),SUMPRODUCT(INDEX($FK$325:$ID$396,HD$169,1+SwaptionShift):INDEX($FK$325:$ID$396,HD$169,SwaptionMonthsToGo+SwaptionShift),INDEX($FK$245:$ID$316,$FJ206-HD$169,73-HD$169+SwaptionShift):INDEX($FK$245:$ID$316,$FJ206-HD$169,72-HD$169+SwaptionMonthsToGo+SwaptionShift))/SQRT(SUM(INDEX($FK361:$ID361,1+SwaptionShift):INDEX($FK361:$ID361,SwaptionMonthsToGo+SwaptionShift))*SUM(INDEX($FK$325:$ID$396,HD$169,1+SwaptionShift):INDEX($FK$325:$ID$396,HD$169,SwaptionMonthsToGo+SwaptionShift))))))</f>
        <v/>
      </c>
      <c r="HE206" s="479" t="str">
        <f ca="1">IF(OR(HE$169&lt;SwaptionFirstMonthPosition+1,$FJ206&lt;SwaptionFirstMonthPosition+1,HE$169&gt;SwaptionFirstMonthPosition+SwaptionNumOfMonths+1,$FJ206&gt;SwaptionFirstMonthPosition+SwaptionNumOfMonths+1),"",IF($FJ206=HE$169,1,IF($FJ206&lt;HE$169,INDEX($FK$170:$ID$241,HE$169,$FJ206),SUMPRODUCT(INDEX($FK$325:$ID$396,HE$169,1+SwaptionShift):INDEX($FK$325:$ID$396,HE$169,SwaptionMonthsToGo+SwaptionShift),INDEX($FK$245:$ID$316,$FJ206-HE$169,73-HE$169+SwaptionShift):INDEX($FK$245:$ID$316,$FJ206-HE$169,72-HE$169+SwaptionMonthsToGo+SwaptionShift))/SQRT(SUM(INDEX($FK361:$ID361,1+SwaptionShift):INDEX($FK361:$ID361,SwaptionMonthsToGo+SwaptionShift))*SUM(INDEX($FK$325:$ID$396,HE$169,1+SwaptionShift):INDEX($FK$325:$ID$396,HE$169,SwaptionMonthsToGo+SwaptionShift))))))</f>
        <v/>
      </c>
      <c r="HF206" s="479" t="str">
        <f ca="1">IF(OR(HF$169&lt;SwaptionFirstMonthPosition+1,$FJ206&lt;SwaptionFirstMonthPosition+1,HF$169&gt;SwaptionFirstMonthPosition+SwaptionNumOfMonths+1,$FJ206&gt;SwaptionFirstMonthPosition+SwaptionNumOfMonths+1),"",IF($FJ206=HF$169,1,IF($FJ206&lt;HF$169,INDEX($FK$170:$ID$241,HF$169,$FJ206),SUMPRODUCT(INDEX($FK$325:$ID$396,HF$169,1+SwaptionShift):INDEX($FK$325:$ID$396,HF$169,SwaptionMonthsToGo+SwaptionShift),INDEX($FK$245:$ID$316,$FJ206-HF$169,73-HF$169+SwaptionShift):INDEX($FK$245:$ID$316,$FJ206-HF$169,72-HF$169+SwaptionMonthsToGo+SwaptionShift))/SQRT(SUM(INDEX($FK361:$ID361,1+SwaptionShift):INDEX($FK361:$ID361,SwaptionMonthsToGo+SwaptionShift))*SUM(INDEX($FK$325:$ID$396,HF$169,1+SwaptionShift):INDEX($FK$325:$ID$396,HF$169,SwaptionMonthsToGo+SwaptionShift))))))</f>
        <v/>
      </c>
      <c r="HG206" s="479" t="str">
        <f ca="1">IF(OR(HG$169&lt;SwaptionFirstMonthPosition+1,$FJ206&lt;SwaptionFirstMonthPosition+1,HG$169&gt;SwaptionFirstMonthPosition+SwaptionNumOfMonths+1,$FJ206&gt;SwaptionFirstMonthPosition+SwaptionNumOfMonths+1),"",IF($FJ206=HG$169,1,IF($FJ206&lt;HG$169,INDEX($FK$170:$ID$241,HG$169,$FJ206),SUMPRODUCT(INDEX($FK$325:$ID$396,HG$169,1+SwaptionShift):INDEX($FK$325:$ID$396,HG$169,SwaptionMonthsToGo+SwaptionShift),INDEX($FK$245:$ID$316,$FJ206-HG$169,73-HG$169+SwaptionShift):INDEX($FK$245:$ID$316,$FJ206-HG$169,72-HG$169+SwaptionMonthsToGo+SwaptionShift))/SQRT(SUM(INDEX($FK361:$ID361,1+SwaptionShift):INDEX($FK361:$ID361,SwaptionMonthsToGo+SwaptionShift))*SUM(INDEX($FK$325:$ID$396,HG$169,1+SwaptionShift):INDEX($FK$325:$ID$396,HG$169,SwaptionMonthsToGo+SwaptionShift))))))</f>
        <v/>
      </c>
      <c r="HH206" s="479" t="str">
        <f ca="1">IF(OR(HH$169&lt;SwaptionFirstMonthPosition+1,$FJ206&lt;SwaptionFirstMonthPosition+1,HH$169&gt;SwaptionFirstMonthPosition+SwaptionNumOfMonths+1,$FJ206&gt;SwaptionFirstMonthPosition+SwaptionNumOfMonths+1),"",IF($FJ206=HH$169,1,IF($FJ206&lt;HH$169,INDEX($FK$170:$ID$241,HH$169,$FJ206),SUMPRODUCT(INDEX($FK$325:$ID$396,HH$169,1+SwaptionShift):INDEX($FK$325:$ID$396,HH$169,SwaptionMonthsToGo+SwaptionShift),INDEX($FK$245:$ID$316,$FJ206-HH$169,73-HH$169+SwaptionShift):INDEX($FK$245:$ID$316,$FJ206-HH$169,72-HH$169+SwaptionMonthsToGo+SwaptionShift))/SQRT(SUM(INDEX($FK361:$ID361,1+SwaptionShift):INDEX($FK361:$ID361,SwaptionMonthsToGo+SwaptionShift))*SUM(INDEX($FK$325:$ID$396,HH$169,1+SwaptionShift):INDEX($FK$325:$ID$396,HH$169,SwaptionMonthsToGo+SwaptionShift))))))</f>
        <v/>
      </c>
      <c r="HI206" s="479" t="str">
        <f ca="1">IF(OR(HI$169&lt;SwaptionFirstMonthPosition+1,$FJ206&lt;SwaptionFirstMonthPosition+1,HI$169&gt;SwaptionFirstMonthPosition+SwaptionNumOfMonths+1,$FJ206&gt;SwaptionFirstMonthPosition+SwaptionNumOfMonths+1),"",IF($FJ206=HI$169,1,IF($FJ206&lt;HI$169,INDEX($FK$170:$ID$241,HI$169,$FJ206),SUMPRODUCT(INDEX($FK$325:$ID$396,HI$169,1+SwaptionShift):INDEX($FK$325:$ID$396,HI$169,SwaptionMonthsToGo+SwaptionShift),INDEX($FK$245:$ID$316,$FJ206-HI$169,73-HI$169+SwaptionShift):INDEX($FK$245:$ID$316,$FJ206-HI$169,72-HI$169+SwaptionMonthsToGo+SwaptionShift))/SQRT(SUM(INDEX($FK361:$ID361,1+SwaptionShift):INDEX($FK361:$ID361,SwaptionMonthsToGo+SwaptionShift))*SUM(INDEX($FK$325:$ID$396,HI$169,1+SwaptionShift):INDEX($FK$325:$ID$396,HI$169,SwaptionMonthsToGo+SwaptionShift))))))</f>
        <v/>
      </c>
      <c r="HJ206" s="479" t="str">
        <f ca="1">IF(OR(HJ$169&lt;SwaptionFirstMonthPosition+1,$FJ206&lt;SwaptionFirstMonthPosition+1,HJ$169&gt;SwaptionFirstMonthPosition+SwaptionNumOfMonths+1,$FJ206&gt;SwaptionFirstMonthPosition+SwaptionNumOfMonths+1),"",IF($FJ206=HJ$169,1,IF($FJ206&lt;HJ$169,INDEX($FK$170:$ID$241,HJ$169,$FJ206),SUMPRODUCT(INDEX($FK$325:$ID$396,HJ$169,1+SwaptionShift):INDEX($FK$325:$ID$396,HJ$169,SwaptionMonthsToGo+SwaptionShift),INDEX($FK$245:$ID$316,$FJ206-HJ$169,73-HJ$169+SwaptionShift):INDEX($FK$245:$ID$316,$FJ206-HJ$169,72-HJ$169+SwaptionMonthsToGo+SwaptionShift))/SQRT(SUM(INDEX($FK361:$ID361,1+SwaptionShift):INDEX($FK361:$ID361,SwaptionMonthsToGo+SwaptionShift))*SUM(INDEX($FK$325:$ID$396,HJ$169,1+SwaptionShift):INDEX($FK$325:$ID$396,HJ$169,SwaptionMonthsToGo+SwaptionShift))))))</f>
        <v/>
      </c>
      <c r="HK206" s="479" t="str">
        <f ca="1">IF(OR(HK$169&lt;SwaptionFirstMonthPosition+1,$FJ206&lt;SwaptionFirstMonthPosition+1,HK$169&gt;SwaptionFirstMonthPosition+SwaptionNumOfMonths+1,$FJ206&gt;SwaptionFirstMonthPosition+SwaptionNumOfMonths+1),"",IF($FJ206=HK$169,1,IF($FJ206&lt;HK$169,INDEX($FK$170:$ID$241,HK$169,$FJ206),SUMPRODUCT(INDEX($FK$325:$ID$396,HK$169,1+SwaptionShift):INDEX($FK$325:$ID$396,HK$169,SwaptionMonthsToGo+SwaptionShift),INDEX($FK$245:$ID$316,$FJ206-HK$169,73-HK$169+SwaptionShift):INDEX($FK$245:$ID$316,$FJ206-HK$169,72-HK$169+SwaptionMonthsToGo+SwaptionShift))/SQRT(SUM(INDEX($FK361:$ID361,1+SwaptionShift):INDEX($FK361:$ID361,SwaptionMonthsToGo+SwaptionShift))*SUM(INDEX($FK$325:$ID$396,HK$169,1+SwaptionShift):INDEX($FK$325:$ID$396,HK$169,SwaptionMonthsToGo+SwaptionShift))))))</f>
        <v/>
      </c>
      <c r="HL206" s="479" t="str">
        <f ca="1">IF(OR(HL$169&lt;SwaptionFirstMonthPosition+1,$FJ206&lt;SwaptionFirstMonthPosition+1,HL$169&gt;SwaptionFirstMonthPosition+SwaptionNumOfMonths+1,$FJ206&gt;SwaptionFirstMonthPosition+SwaptionNumOfMonths+1),"",IF($FJ206=HL$169,1,IF($FJ206&lt;HL$169,INDEX($FK$170:$ID$241,HL$169,$FJ206),SUMPRODUCT(INDEX($FK$325:$ID$396,HL$169,1+SwaptionShift):INDEX($FK$325:$ID$396,HL$169,SwaptionMonthsToGo+SwaptionShift),INDEX($FK$245:$ID$316,$FJ206-HL$169,73-HL$169+SwaptionShift):INDEX($FK$245:$ID$316,$FJ206-HL$169,72-HL$169+SwaptionMonthsToGo+SwaptionShift))/SQRT(SUM(INDEX($FK361:$ID361,1+SwaptionShift):INDEX($FK361:$ID361,SwaptionMonthsToGo+SwaptionShift))*SUM(INDEX($FK$325:$ID$396,HL$169,1+SwaptionShift):INDEX($FK$325:$ID$396,HL$169,SwaptionMonthsToGo+SwaptionShift))))))</f>
        <v/>
      </c>
      <c r="HM206" s="479" t="str">
        <f ca="1">IF(OR(HM$169&lt;SwaptionFirstMonthPosition+1,$FJ206&lt;SwaptionFirstMonthPosition+1,HM$169&gt;SwaptionFirstMonthPosition+SwaptionNumOfMonths+1,$FJ206&gt;SwaptionFirstMonthPosition+SwaptionNumOfMonths+1),"",IF($FJ206=HM$169,1,IF($FJ206&lt;HM$169,INDEX($FK$170:$ID$241,HM$169,$FJ206),SUMPRODUCT(INDEX($FK$325:$ID$396,HM$169,1+SwaptionShift):INDEX($FK$325:$ID$396,HM$169,SwaptionMonthsToGo+SwaptionShift),INDEX($FK$245:$ID$316,$FJ206-HM$169,73-HM$169+SwaptionShift):INDEX($FK$245:$ID$316,$FJ206-HM$169,72-HM$169+SwaptionMonthsToGo+SwaptionShift))/SQRT(SUM(INDEX($FK361:$ID361,1+SwaptionShift):INDEX($FK361:$ID361,SwaptionMonthsToGo+SwaptionShift))*SUM(INDEX($FK$325:$ID$396,HM$169,1+SwaptionShift):INDEX($FK$325:$ID$396,HM$169,SwaptionMonthsToGo+SwaptionShift))))))</f>
        <v/>
      </c>
      <c r="HN206" s="479" t="str">
        <f ca="1">IF(OR(HN$169&lt;SwaptionFirstMonthPosition+1,$FJ206&lt;SwaptionFirstMonthPosition+1,HN$169&gt;SwaptionFirstMonthPosition+SwaptionNumOfMonths+1,$FJ206&gt;SwaptionFirstMonthPosition+SwaptionNumOfMonths+1),"",IF($FJ206=HN$169,1,IF($FJ206&lt;HN$169,INDEX($FK$170:$ID$241,HN$169,$FJ206),SUMPRODUCT(INDEX($FK$325:$ID$396,HN$169,1+SwaptionShift):INDEX($FK$325:$ID$396,HN$169,SwaptionMonthsToGo+SwaptionShift),INDEX($FK$245:$ID$316,$FJ206-HN$169,73-HN$169+SwaptionShift):INDEX($FK$245:$ID$316,$FJ206-HN$169,72-HN$169+SwaptionMonthsToGo+SwaptionShift))/SQRT(SUM(INDEX($FK361:$ID361,1+SwaptionShift):INDEX($FK361:$ID361,SwaptionMonthsToGo+SwaptionShift))*SUM(INDEX($FK$325:$ID$396,HN$169,1+SwaptionShift):INDEX($FK$325:$ID$396,HN$169,SwaptionMonthsToGo+SwaptionShift))))))</f>
        <v/>
      </c>
      <c r="HO206" s="479" t="str">
        <f ca="1">IF(OR(HO$169&lt;SwaptionFirstMonthPosition+1,$FJ206&lt;SwaptionFirstMonthPosition+1,HO$169&gt;SwaptionFirstMonthPosition+SwaptionNumOfMonths+1,$FJ206&gt;SwaptionFirstMonthPosition+SwaptionNumOfMonths+1),"",IF($FJ206=HO$169,1,IF($FJ206&lt;HO$169,INDEX($FK$170:$ID$241,HO$169,$FJ206),SUMPRODUCT(INDEX($FK$325:$ID$396,HO$169,1+SwaptionShift):INDEX($FK$325:$ID$396,HO$169,SwaptionMonthsToGo+SwaptionShift),INDEX($FK$245:$ID$316,$FJ206-HO$169,73-HO$169+SwaptionShift):INDEX($FK$245:$ID$316,$FJ206-HO$169,72-HO$169+SwaptionMonthsToGo+SwaptionShift))/SQRT(SUM(INDEX($FK361:$ID361,1+SwaptionShift):INDEX($FK361:$ID361,SwaptionMonthsToGo+SwaptionShift))*SUM(INDEX($FK$325:$ID$396,HO$169,1+SwaptionShift):INDEX($FK$325:$ID$396,HO$169,SwaptionMonthsToGo+SwaptionShift))))))</f>
        <v/>
      </c>
      <c r="HP206" s="479" t="str">
        <f ca="1">IF(OR(HP$169&lt;SwaptionFirstMonthPosition+1,$FJ206&lt;SwaptionFirstMonthPosition+1,HP$169&gt;SwaptionFirstMonthPosition+SwaptionNumOfMonths+1,$FJ206&gt;SwaptionFirstMonthPosition+SwaptionNumOfMonths+1),"",IF($FJ206=HP$169,1,IF($FJ206&lt;HP$169,INDEX($FK$170:$ID$241,HP$169,$FJ206),SUMPRODUCT(INDEX($FK$325:$ID$396,HP$169,1+SwaptionShift):INDEX($FK$325:$ID$396,HP$169,SwaptionMonthsToGo+SwaptionShift),INDEX($FK$245:$ID$316,$FJ206-HP$169,73-HP$169+SwaptionShift):INDEX($FK$245:$ID$316,$FJ206-HP$169,72-HP$169+SwaptionMonthsToGo+SwaptionShift))/SQRT(SUM(INDEX($FK361:$ID361,1+SwaptionShift):INDEX($FK361:$ID361,SwaptionMonthsToGo+SwaptionShift))*SUM(INDEX($FK$325:$ID$396,HP$169,1+SwaptionShift):INDEX($FK$325:$ID$396,HP$169,SwaptionMonthsToGo+SwaptionShift))))))</f>
        <v/>
      </c>
      <c r="HQ206" s="479" t="str">
        <f ca="1">IF(OR(HQ$169&lt;SwaptionFirstMonthPosition+1,$FJ206&lt;SwaptionFirstMonthPosition+1,HQ$169&gt;SwaptionFirstMonthPosition+SwaptionNumOfMonths+1,$FJ206&gt;SwaptionFirstMonthPosition+SwaptionNumOfMonths+1),"",IF($FJ206=HQ$169,1,IF($FJ206&lt;HQ$169,INDEX($FK$170:$ID$241,HQ$169,$FJ206),SUMPRODUCT(INDEX($FK$325:$ID$396,HQ$169,1+SwaptionShift):INDEX($FK$325:$ID$396,HQ$169,SwaptionMonthsToGo+SwaptionShift),INDEX($FK$245:$ID$316,$FJ206-HQ$169,73-HQ$169+SwaptionShift):INDEX($FK$245:$ID$316,$FJ206-HQ$169,72-HQ$169+SwaptionMonthsToGo+SwaptionShift))/SQRT(SUM(INDEX($FK361:$ID361,1+SwaptionShift):INDEX($FK361:$ID361,SwaptionMonthsToGo+SwaptionShift))*SUM(INDEX($FK$325:$ID$396,HQ$169,1+SwaptionShift):INDEX($FK$325:$ID$396,HQ$169,SwaptionMonthsToGo+SwaptionShift))))))</f>
        <v/>
      </c>
      <c r="HR206" s="479" t="str">
        <f ca="1">IF(OR(HR$169&lt;SwaptionFirstMonthPosition+1,$FJ206&lt;SwaptionFirstMonthPosition+1,HR$169&gt;SwaptionFirstMonthPosition+SwaptionNumOfMonths+1,$FJ206&gt;SwaptionFirstMonthPosition+SwaptionNumOfMonths+1),"",IF($FJ206=HR$169,1,IF($FJ206&lt;HR$169,INDEX($FK$170:$ID$241,HR$169,$FJ206),SUMPRODUCT(INDEX($FK$325:$ID$396,HR$169,1+SwaptionShift):INDEX($FK$325:$ID$396,HR$169,SwaptionMonthsToGo+SwaptionShift),INDEX($FK$245:$ID$316,$FJ206-HR$169,73-HR$169+SwaptionShift):INDEX($FK$245:$ID$316,$FJ206-HR$169,72-HR$169+SwaptionMonthsToGo+SwaptionShift))/SQRT(SUM(INDEX($FK361:$ID361,1+SwaptionShift):INDEX($FK361:$ID361,SwaptionMonthsToGo+SwaptionShift))*SUM(INDEX($FK$325:$ID$396,HR$169,1+SwaptionShift):INDEX($FK$325:$ID$396,HR$169,SwaptionMonthsToGo+SwaptionShift))))))</f>
        <v/>
      </c>
      <c r="HS206" s="479" t="str">
        <f ca="1">IF(OR(HS$169&lt;SwaptionFirstMonthPosition+1,$FJ206&lt;SwaptionFirstMonthPosition+1,HS$169&gt;SwaptionFirstMonthPosition+SwaptionNumOfMonths+1,$FJ206&gt;SwaptionFirstMonthPosition+SwaptionNumOfMonths+1),"",IF($FJ206=HS$169,1,IF($FJ206&lt;HS$169,INDEX($FK$170:$ID$241,HS$169,$FJ206),SUMPRODUCT(INDEX($FK$325:$ID$396,HS$169,1+SwaptionShift):INDEX($FK$325:$ID$396,HS$169,SwaptionMonthsToGo+SwaptionShift),INDEX($FK$245:$ID$316,$FJ206-HS$169,73-HS$169+SwaptionShift):INDEX($FK$245:$ID$316,$FJ206-HS$169,72-HS$169+SwaptionMonthsToGo+SwaptionShift))/SQRT(SUM(INDEX($FK361:$ID361,1+SwaptionShift):INDEX($FK361:$ID361,SwaptionMonthsToGo+SwaptionShift))*SUM(INDEX($FK$325:$ID$396,HS$169,1+SwaptionShift):INDEX($FK$325:$ID$396,HS$169,SwaptionMonthsToGo+SwaptionShift))))))</f>
        <v/>
      </c>
      <c r="HT206" s="479" t="str">
        <f ca="1">IF(OR(HT$169&lt;SwaptionFirstMonthPosition+1,$FJ206&lt;SwaptionFirstMonthPosition+1,HT$169&gt;SwaptionFirstMonthPosition+SwaptionNumOfMonths+1,$FJ206&gt;SwaptionFirstMonthPosition+SwaptionNumOfMonths+1),"",IF($FJ206=HT$169,1,IF($FJ206&lt;HT$169,INDEX($FK$170:$ID$241,HT$169,$FJ206),SUMPRODUCT(INDEX($FK$325:$ID$396,HT$169,1+SwaptionShift):INDEX($FK$325:$ID$396,HT$169,SwaptionMonthsToGo+SwaptionShift),INDEX($FK$245:$ID$316,$FJ206-HT$169,73-HT$169+SwaptionShift):INDEX($FK$245:$ID$316,$FJ206-HT$169,72-HT$169+SwaptionMonthsToGo+SwaptionShift))/SQRT(SUM(INDEX($FK361:$ID361,1+SwaptionShift):INDEX($FK361:$ID361,SwaptionMonthsToGo+SwaptionShift))*SUM(INDEX($FK$325:$ID$396,HT$169,1+SwaptionShift):INDEX($FK$325:$ID$396,HT$169,SwaptionMonthsToGo+SwaptionShift))))))</f>
        <v/>
      </c>
      <c r="HU206" s="479" t="str">
        <f ca="1">IF(OR(HU$169&lt;SwaptionFirstMonthPosition+1,$FJ206&lt;SwaptionFirstMonthPosition+1,HU$169&gt;SwaptionFirstMonthPosition+SwaptionNumOfMonths+1,$FJ206&gt;SwaptionFirstMonthPosition+SwaptionNumOfMonths+1),"",IF($FJ206=HU$169,1,IF($FJ206&lt;HU$169,INDEX($FK$170:$ID$241,HU$169,$FJ206),SUMPRODUCT(INDEX($FK$325:$ID$396,HU$169,1+SwaptionShift):INDEX($FK$325:$ID$396,HU$169,SwaptionMonthsToGo+SwaptionShift),INDEX($FK$245:$ID$316,$FJ206-HU$169,73-HU$169+SwaptionShift):INDEX($FK$245:$ID$316,$FJ206-HU$169,72-HU$169+SwaptionMonthsToGo+SwaptionShift))/SQRT(SUM(INDEX($FK361:$ID361,1+SwaptionShift):INDEX($FK361:$ID361,SwaptionMonthsToGo+SwaptionShift))*SUM(INDEX($FK$325:$ID$396,HU$169,1+SwaptionShift):INDEX($FK$325:$ID$396,HU$169,SwaptionMonthsToGo+SwaptionShift))))))</f>
        <v/>
      </c>
      <c r="HV206" s="479" t="str">
        <f ca="1">IF(OR(HV$169&lt;SwaptionFirstMonthPosition+1,$FJ206&lt;SwaptionFirstMonthPosition+1,HV$169&gt;SwaptionFirstMonthPosition+SwaptionNumOfMonths+1,$FJ206&gt;SwaptionFirstMonthPosition+SwaptionNumOfMonths+1),"",IF($FJ206=HV$169,1,IF($FJ206&lt;HV$169,INDEX($FK$170:$ID$241,HV$169,$FJ206),SUMPRODUCT(INDEX($FK$325:$ID$396,HV$169,1+SwaptionShift):INDEX($FK$325:$ID$396,HV$169,SwaptionMonthsToGo+SwaptionShift),INDEX($FK$245:$ID$316,$FJ206-HV$169,73-HV$169+SwaptionShift):INDEX($FK$245:$ID$316,$FJ206-HV$169,72-HV$169+SwaptionMonthsToGo+SwaptionShift))/SQRT(SUM(INDEX($FK361:$ID361,1+SwaptionShift):INDEX($FK361:$ID361,SwaptionMonthsToGo+SwaptionShift))*SUM(INDEX($FK$325:$ID$396,HV$169,1+SwaptionShift):INDEX($FK$325:$ID$396,HV$169,SwaptionMonthsToGo+SwaptionShift))))))</f>
        <v/>
      </c>
      <c r="HW206" s="479" t="str">
        <f ca="1">IF(OR(HW$169&lt;SwaptionFirstMonthPosition+1,$FJ206&lt;SwaptionFirstMonthPosition+1,HW$169&gt;SwaptionFirstMonthPosition+SwaptionNumOfMonths+1,$FJ206&gt;SwaptionFirstMonthPosition+SwaptionNumOfMonths+1),"",IF($FJ206=HW$169,1,IF($FJ206&lt;HW$169,INDEX($FK$170:$ID$241,HW$169,$FJ206),SUMPRODUCT(INDEX($FK$325:$ID$396,HW$169,1+SwaptionShift):INDEX($FK$325:$ID$396,HW$169,SwaptionMonthsToGo+SwaptionShift),INDEX($FK$245:$ID$316,$FJ206-HW$169,73-HW$169+SwaptionShift):INDEX($FK$245:$ID$316,$FJ206-HW$169,72-HW$169+SwaptionMonthsToGo+SwaptionShift))/SQRT(SUM(INDEX($FK361:$ID361,1+SwaptionShift):INDEX($FK361:$ID361,SwaptionMonthsToGo+SwaptionShift))*SUM(INDEX($FK$325:$ID$396,HW$169,1+SwaptionShift):INDEX($FK$325:$ID$396,HW$169,SwaptionMonthsToGo+SwaptionShift))))))</f>
        <v/>
      </c>
      <c r="HX206" s="479" t="str">
        <f ca="1">IF(OR(HX$169&lt;SwaptionFirstMonthPosition+1,$FJ206&lt;SwaptionFirstMonthPosition+1,HX$169&gt;SwaptionFirstMonthPosition+SwaptionNumOfMonths+1,$FJ206&gt;SwaptionFirstMonthPosition+SwaptionNumOfMonths+1),"",IF($FJ206=HX$169,1,IF($FJ206&lt;HX$169,INDEX($FK$170:$ID$241,HX$169,$FJ206),SUMPRODUCT(INDEX($FK$325:$ID$396,HX$169,1+SwaptionShift):INDEX($FK$325:$ID$396,HX$169,SwaptionMonthsToGo+SwaptionShift),INDEX($FK$245:$ID$316,$FJ206-HX$169,73-HX$169+SwaptionShift):INDEX($FK$245:$ID$316,$FJ206-HX$169,72-HX$169+SwaptionMonthsToGo+SwaptionShift))/SQRT(SUM(INDEX($FK361:$ID361,1+SwaptionShift):INDEX($FK361:$ID361,SwaptionMonthsToGo+SwaptionShift))*SUM(INDEX($FK$325:$ID$396,HX$169,1+SwaptionShift):INDEX($FK$325:$ID$396,HX$169,SwaptionMonthsToGo+SwaptionShift))))))</f>
        <v/>
      </c>
      <c r="HY206" s="479" t="str">
        <f ca="1">IF(OR(HY$169&lt;SwaptionFirstMonthPosition+1,$FJ206&lt;SwaptionFirstMonthPosition+1,HY$169&gt;SwaptionFirstMonthPosition+SwaptionNumOfMonths+1,$FJ206&gt;SwaptionFirstMonthPosition+SwaptionNumOfMonths+1),"",IF($FJ206=HY$169,1,IF($FJ206&lt;HY$169,INDEX($FK$170:$ID$241,HY$169,$FJ206),SUMPRODUCT(INDEX($FK$325:$ID$396,HY$169,1+SwaptionShift):INDEX($FK$325:$ID$396,HY$169,SwaptionMonthsToGo+SwaptionShift),INDEX($FK$245:$ID$316,$FJ206-HY$169,73-HY$169+SwaptionShift):INDEX($FK$245:$ID$316,$FJ206-HY$169,72-HY$169+SwaptionMonthsToGo+SwaptionShift))/SQRT(SUM(INDEX($FK361:$ID361,1+SwaptionShift):INDEX($FK361:$ID361,SwaptionMonthsToGo+SwaptionShift))*SUM(INDEX($FK$325:$ID$396,HY$169,1+SwaptionShift):INDEX($FK$325:$ID$396,HY$169,SwaptionMonthsToGo+SwaptionShift))))))</f>
        <v/>
      </c>
      <c r="HZ206" s="479" t="str">
        <f ca="1">IF(OR(HZ$169&lt;SwaptionFirstMonthPosition+1,$FJ206&lt;SwaptionFirstMonthPosition+1,HZ$169&gt;SwaptionFirstMonthPosition+SwaptionNumOfMonths+1,$FJ206&gt;SwaptionFirstMonthPosition+SwaptionNumOfMonths+1),"",IF($FJ206=HZ$169,1,IF($FJ206&lt;HZ$169,INDEX($FK$170:$ID$241,HZ$169,$FJ206),SUMPRODUCT(INDEX($FK$325:$ID$396,HZ$169,1+SwaptionShift):INDEX($FK$325:$ID$396,HZ$169,SwaptionMonthsToGo+SwaptionShift),INDEX($FK$245:$ID$316,$FJ206-HZ$169,73-HZ$169+SwaptionShift):INDEX($FK$245:$ID$316,$FJ206-HZ$169,72-HZ$169+SwaptionMonthsToGo+SwaptionShift))/SQRT(SUM(INDEX($FK361:$ID361,1+SwaptionShift):INDEX($FK361:$ID361,SwaptionMonthsToGo+SwaptionShift))*SUM(INDEX($FK$325:$ID$396,HZ$169,1+SwaptionShift):INDEX($FK$325:$ID$396,HZ$169,SwaptionMonthsToGo+SwaptionShift))))))</f>
        <v/>
      </c>
      <c r="IA206" s="479" t="str">
        <f ca="1">IF(OR(IA$169&lt;SwaptionFirstMonthPosition+1,$FJ206&lt;SwaptionFirstMonthPosition+1,IA$169&gt;SwaptionFirstMonthPosition+SwaptionNumOfMonths+1,$FJ206&gt;SwaptionFirstMonthPosition+SwaptionNumOfMonths+1),"",IF($FJ206=IA$169,1,IF($FJ206&lt;IA$169,INDEX($FK$170:$ID$241,IA$169,$FJ206),SUMPRODUCT(INDEX($FK$325:$ID$396,IA$169,1+SwaptionShift):INDEX($FK$325:$ID$396,IA$169,SwaptionMonthsToGo+SwaptionShift),INDEX($FK$245:$ID$316,$FJ206-IA$169,73-IA$169+SwaptionShift):INDEX($FK$245:$ID$316,$FJ206-IA$169,72-IA$169+SwaptionMonthsToGo+SwaptionShift))/SQRT(SUM(INDEX($FK361:$ID361,1+SwaptionShift):INDEX($FK361:$ID361,SwaptionMonthsToGo+SwaptionShift))*SUM(INDEX($FK$325:$ID$396,IA$169,1+SwaptionShift):INDEX($FK$325:$ID$396,IA$169,SwaptionMonthsToGo+SwaptionShift))))))</f>
        <v/>
      </c>
      <c r="IB206" s="479" t="str">
        <f ca="1">IF(OR(IB$169&lt;SwaptionFirstMonthPosition+1,$FJ206&lt;SwaptionFirstMonthPosition+1,IB$169&gt;SwaptionFirstMonthPosition+SwaptionNumOfMonths+1,$FJ206&gt;SwaptionFirstMonthPosition+SwaptionNumOfMonths+1),"",IF($FJ206=IB$169,1,IF($FJ206&lt;IB$169,INDEX($FK$170:$ID$241,IB$169,$FJ206),SUMPRODUCT(INDEX($FK$325:$ID$396,IB$169,1+SwaptionShift):INDEX($FK$325:$ID$396,IB$169,SwaptionMonthsToGo+SwaptionShift),INDEX($FK$245:$ID$316,$FJ206-IB$169,73-IB$169+SwaptionShift):INDEX($FK$245:$ID$316,$FJ206-IB$169,72-IB$169+SwaptionMonthsToGo+SwaptionShift))/SQRT(SUM(INDEX($FK361:$ID361,1+SwaptionShift):INDEX($FK361:$ID361,SwaptionMonthsToGo+SwaptionShift))*SUM(INDEX($FK$325:$ID$396,IB$169,1+SwaptionShift):INDEX($FK$325:$ID$396,IB$169,SwaptionMonthsToGo+SwaptionShift))))))</f>
        <v/>
      </c>
      <c r="IC206" s="479" t="str">
        <f ca="1">IF(OR(IC$169&lt;SwaptionFirstMonthPosition+1,$FJ206&lt;SwaptionFirstMonthPosition+1,IC$169&gt;SwaptionFirstMonthPosition+SwaptionNumOfMonths+1,$FJ206&gt;SwaptionFirstMonthPosition+SwaptionNumOfMonths+1),"",IF($FJ206=IC$169,1,IF($FJ206&lt;IC$169,INDEX($FK$170:$ID$241,IC$169,$FJ206),SUMPRODUCT(INDEX($FK$325:$ID$396,IC$169,1+SwaptionShift):INDEX($FK$325:$ID$396,IC$169,SwaptionMonthsToGo+SwaptionShift),INDEX($FK$245:$ID$316,$FJ206-IC$169,73-IC$169+SwaptionShift):INDEX($FK$245:$ID$316,$FJ206-IC$169,72-IC$169+SwaptionMonthsToGo+SwaptionShift))/SQRT(SUM(INDEX($FK361:$ID361,1+SwaptionShift):INDEX($FK361:$ID361,SwaptionMonthsToGo+SwaptionShift))*SUM(INDEX($FK$325:$ID$396,IC$169,1+SwaptionShift):INDEX($FK$325:$ID$396,IC$169,SwaptionMonthsToGo+SwaptionShift))))))</f>
        <v/>
      </c>
      <c r="ID206" s="678" t="str">
        <f ca="1">IF(OR(ID$169&lt;SwaptionFirstMonthPosition+1,$FJ206&lt;SwaptionFirstMonthPosition+1,ID$169&gt;SwaptionFirstMonthPosition+SwaptionNumOfMonths+1,$FJ206&gt;SwaptionFirstMonthPosition+SwaptionNumOfMonths+1),"",IF($FJ206=ID$169,1,IF($FJ206&lt;ID$169,INDEX($FK$170:$ID$241,ID$169,$FJ206),SUMPRODUCT(INDEX($FK$325:$ID$396,ID$169,1+SwaptionShift):INDEX($FK$325:$ID$396,ID$169,SwaptionMonthsToGo+SwaptionShift),INDEX($FK$245:$ID$316,$FJ206-ID$169,73-ID$169+SwaptionShift):INDEX($FK$245:$ID$316,$FJ206-ID$169,72-ID$169+SwaptionMonthsToGo+SwaptionShift))/SQRT(SUM(INDEX($FK361:$ID361,1+SwaptionShift):INDEX($FK361:$ID361,SwaptionMonthsToGo+SwaptionShift))*SUM(INDEX($FK$325:$ID$396,ID$169,1+SwaptionShift):INDEX($FK$325:$ID$396,ID$169,SwaptionMonthsToGo+SwaptionShift))))))</f>
        <v/>
      </c>
      <c r="IE206" s="250"/>
    </row>
    <row r="207" spans="8:239">
      <c r="H207" s="51">
        <f t="shared" ca="1" si="527"/>
        <v>0</v>
      </c>
      <c r="I207" s="379">
        <f t="shared" si="528"/>
        <v>42461</v>
      </c>
      <c r="J207" s="377"/>
      <c r="K207" s="104" t="s">
        <v>268</v>
      </c>
      <c r="L207" s="392">
        <f t="shared" si="529"/>
        <v>4.162500000000005</v>
      </c>
      <c r="M207" s="171"/>
      <c r="N207" s="382">
        <v>0</v>
      </c>
      <c r="O207" s="171">
        <f t="shared" si="596"/>
        <v>0</v>
      </c>
      <c r="P207" s="377"/>
      <c r="Q207" s="104" t="s">
        <v>268</v>
      </c>
      <c r="R207" s="377">
        <f t="shared" ca="1" si="597"/>
        <v>2.9716274185273548</v>
      </c>
      <c r="S207" s="832">
        <f t="shared" si="564"/>
        <v>0.3600000000000001</v>
      </c>
      <c r="T207" s="831">
        <f t="shared" si="548"/>
        <v>0.99999999999997868</v>
      </c>
      <c r="U207" s="545">
        <f t="shared" si="549"/>
        <v>0.99999999999999978</v>
      </c>
      <c r="V207" s="389">
        <v>0</v>
      </c>
      <c r="W207" s="434">
        <f t="shared" si="598"/>
        <v>0</v>
      </c>
      <c r="X207" s="415">
        <f t="shared" si="599"/>
        <v>4.2125000000000039</v>
      </c>
      <c r="Y207" s="322">
        <f t="shared" si="600"/>
        <v>-1.2915000000000001</v>
      </c>
      <c r="Z207" s="322">
        <f t="shared" ca="1" si="601"/>
        <v>2.9210000000000038</v>
      </c>
      <c r="AA207" s="429">
        <f t="shared" si="495"/>
        <v>1.2915000000000001</v>
      </c>
      <c r="AB207" s="433">
        <f t="shared" ca="1" si="496"/>
        <v>1.2915000000000001</v>
      </c>
      <c r="AC207" s="229">
        <v>42449</v>
      </c>
      <c r="AD207" s="229">
        <v>42445</v>
      </c>
      <c r="AE207" s="229">
        <v>42444</v>
      </c>
      <c r="AF207" s="229">
        <v>42440</v>
      </c>
      <c r="AG207" s="249" t="s">
        <v>499</v>
      </c>
      <c r="AH207" s="247" t="s">
        <v>499</v>
      </c>
      <c r="AI207" s="146">
        <v>21</v>
      </c>
      <c r="AJ207" s="41">
        <v>14</v>
      </c>
      <c r="AK207" s="41">
        <v>7</v>
      </c>
      <c r="AL207" s="293">
        <v>21</v>
      </c>
      <c r="AM207" s="41">
        <v>10</v>
      </c>
      <c r="AN207" s="147">
        <v>11</v>
      </c>
      <c r="AO207" s="374"/>
      <c r="AP207" s="153">
        <f t="shared" ca="1" si="530"/>
        <v>1</v>
      </c>
      <c r="AQ207" s="374"/>
      <c r="AR207" s="153">
        <f t="shared" ca="1" si="550"/>
        <v>1</v>
      </c>
      <c r="AS207" s="272">
        <f t="shared" si="602"/>
        <v>0</v>
      </c>
      <c r="AT207" s="157">
        <f t="shared" si="531"/>
        <v>0</v>
      </c>
      <c r="AU207" s="157">
        <f t="shared" si="498"/>
        <v>0</v>
      </c>
      <c r="AV207" s="271">
        <f t="shared" ca="1" si="558"/>
        <v>9.9999999999999995E-7</v>
      </c>
      <c r="AW207" s="158" t="str">
        <f t="shared" ca="1" si="583"/>
        <v/>
      </c>
      <c r="AX207" s="157">
        <f t="shared" ca="1" si="551"/>
        <v>4.616207104502402E-5</v>
      </c>
      <c r="AY207" s="157">
        <f t="shared" ca="1" si="552"/>
        <v>1.0267633616941995E-5</v>
      </c>
      <c r="AZ207" s="157">
        <f t="shared" ca="1" si="553"/>
        <v>2.9769262701992276E-7</v>
      </c>
      <c r="BA207" s="157">
        <f t="shared" ca="1" si="554"/>
        <v>3.7211578377490345E-8</v>
      </c>
      <c r="BB207" s="157">
        <f t="shared" ca="1" si="555"/>
        <v>1.4314696039658833E-10</v>
      </c>
      <c r="BC207" s="157">
        <f t="shared" ca="1" si="556"/>
        <v>2.7694031306878891E-12</v>
      </c>
      <c r="BD207" s="151">
        <f t="shared" ca="1" si="603"/>
        <v>0</v>
      </c>
      <c r="BE207" s="152">
        <f t="shared" ca="1" si="604"/>
        <v>0</v>
      </c>
      <c r="BF207" s="40">
        <f t="shared" si="605"/>
        <v>2016</v>
      </c>
      <c r="BG207" s="144">
        <f t="shared" si="606"/>
        <v>4</v>
      </c>
      <c r="BH207" s="145">
        <f t="shared" ca="1" si="607"/>
        <v>5700</v>
      </c>
      <c r="BI207" s="313">
        <f t="shared" ca="1" si="608"/>
        <v>15.649555099247092</v>
      </c>
      <c r="BJ207" s="42">
        <f t="shared" ca="1" si="505"/>
        <v>15.702486881131646</v>
      </c>
      <c r="BK207" s="42">
        <f t="shared" ca="1" si="506"/>
        <v>15.705224731918779</v>
      </c>
      <c r="BL207" s="42">
        <f t="shared" ca="1" si="609"/>
        <v>15.728952772073923</v>
      </c>
      <c r="BM207" s="150" t="e">
        <f t="shared" ca="1" si="507"/>
        <v>#DIV/0!</v>
      </c>
      <c r="BN207" s="42" t="e">
        <f t="shared" ca="1" si="508"/>
        <v>#DIV/0!</v>
      </c>
      <c r="BO207" s="293">
        <f t="shared" si="610"/>
        <v>21</v>
      </c>
      <c r="BP207" s="41">
        <f t="shared" si="611"/>
        <v>14</v>
      </c>
      <c r="BQ207" s="41">
        <f t="shared" si="612"/>
        <v>7</v>
      </c>
      <c r="BR207" s="305" t="str">
        <f t="shared" ca="1" si="509"/>
        <v/>
      </c>
      <c r="BS207" s="305" t="str">
        <f t="shared" ca="1" si="613"/>
        <v/>
      </c>
      <c r="BT207" s="307" t="str">
        <f t="shared" ca="1" si="614"/>
        <v/>
      </c>
      <c r="BU207" s="161" t="str">
        <f t="shared" ca="1" si="510"/>
        <v/>
      </c>
      <c r="BV207" s="161" t="str">
        <f t="shared" ca="1" si="511"/>
        <v/>
      </c>
      <c r="BW207" s="308" t="str">
        <f t="shared" ca="1" si="512"/>
        <v/>
      </c>
      <c r="BX207" s="309" t="str">
        <f t="shared" ca="1" si="513"/>
        <v/>
      </c>
      <c r="BY207" s="308" t="str">
        <f t="shared" ca="1" si="615"/>
        <v/>
      </c>
      <c r="BZ207" s="309" t="str">
        <f t="shared" ca="1" si="616"/>
        <v/>
      </c>
      <c r="CA207" s="154" t="str">
        <f t="shared" ca="1" si="514"/>
        <v/>
      </c>
      <c r="CB207" s="154" t="str">
        <f t="shared" ca="1" si="515"/>
        <v/>
      </c>
      <c r="CC207" s="154" t="str">
        <f t="shared" ca="1" si="516"/>
        <v/>
      </c>
      <c r="CD207" s="154" t="str">
        <f t="shared" ca="1" si="517"/>
        <v/>
      </c>
      <c r="CE207" s="310">
        <v>1</v>
      </c>
      <c r="CF207" s="162">
        <f ca="1">IF(BD207,_xll.xCrudeAPO(BU207,BV207,CA207,CB207,S208,S209,BI207,BL207,BP207,BQ207,0,Strike1,AO207,CE207,0,BL207,IF(OptControl=4,0,1),0,1),0)</f>
        <v>0</v>
      </c>
      <c r="CG207" s="163">
        <f ca="1">IF(BD207,_xll.xCrudeAPO(BU207,BV207,CA207,CB207,S208,S209,BI207,BL207,BP207,BQ207,0,Strike1,AO207,CE207,0,BL207,IF(OptControl=4,0,1),1,1)+_xll.xCrudeAPO(BU207,BV207,CA207,CB207,S208,S209,BI207,BL207,BP207,BQ207,0,Strike1,AO207,CE207,0,BL207,IF(OptControl=4,0,1),1,2)+IF(OR(VolSkewFlag=2,ABS(BS207)&lt;0.0001),0,IF(BS207&gt;0,-1,1)*CH207*Strike1/BR207^2*BY207/10%),0)</f>
        <v>0</v>
      </c>
      <c r="CH207" s="163">
        <f ca="1">IF(BD207,(_xll.xCrudeAPO(BU207,BV207,CA207,CB207,S208,S209,BI207,BL207,BP207,BQ207,0,Strike1,AO207,CE207,0,BL207,IF(OptControl=4,0,1),3,1)+_xll.xCrudeAPO(BU207,BV207,CA207,CB207,S208,S209,BI207,BL207,BP207,BQ207,0,Strike1,AO207,CE207,0,BL207,IF(OptControl=4,0,1),3,2))/100,0)</f>
        <v>0</v>
      </c>
      <c r="CI207" s="163">
        <f ca="1">IF(BD207,_xll.xCrudeAPO(BU207,BV207,CA207,CB207,S208,S209,BI207-DaysForThetaCalculation/365.25,BL207-DaysForThetaCalculation/365.25,BP207,BQ207,0,Strike1,AO207,CE207,0,BL207,IF(OptControl=4,0,1),0,1)-_xll.xCrudeAPO(BU207,BV207,CA207,CB207,S208,S209,BI207,BL207,BP207,BQ207,0,Strike1,AO207,CE207,0,BL207,IF(OptControl=4,0,1),0,1),0)</f>
        <v>0</v>
      </c>
      <c r="CJ207" s="311">
        <f ca="1">IF(BD207,_xll.xCrudeAPO(BU207,BV207,CC207,CD207,S208,S209,BI207,BL207,BP207,BQ207,0,Strike2,AO207,CE207,0,BL207,IF(OptControl=3,1,0),0,1),0)</f>
        <v>0</v>
      </c>
      <c r="CK207" s="163">
        <f ca="1">IF(BD207,_xll.xCrudeAPO(BU207,BV207,CC207,CD207,S208,S209,BI207,BL207,BP207,BQ207,0,Strike2,AO207,CE207,0,BL207,IF(OptControl=3,1,0),1,1)+_xll.xCrudeAPO(BU207,BV207,CC207,CD207,S208,S209,BI207,BL207,BP207,BQ207,0,Strike2,AO207,CE207,0,BL207,IF(OptControl=3,1,0),1,2)+IF(OR(VolSkewFlag=2,ABS(BT207)&lt;0.0001),0,IF(BT207&gt;0,-1,1)*CL207*Strike2/BR207^2*BZ207/10%),0)</f>
        <v>0</v>
      </c>
      <c r="CL207" s="163">
        <f ca="1">IF(BD207,(_xll.xCrudeAPO(BU207,BV207,CC207,CD207,S208,S209,BI207,BL207,BP207,BQ207,0,Strike2,AO207,CE207,0,BL207,IF(OptControl=3,1,0),3,1)+_xll.xCrudeAPO(BU207,BV207,CC207,CD207,S208,S209,BI207,BL207,BP207,BQ207,0,Strike2,AO207,CE207,0,BL207,IF(OptControl=3,1,0),3,2))/100,0)</f>
        <v>0</v>
      </c>
      <c r="CM207" s="164">
        <f ca="1">IF(BD207,_xll.xCrudeAPO(BU207,BV207,CC207,CD207,S208,S209,BI207-DaysForThetaCalculation/365.25,BL207-DaysForThetaCalculation/365.25,BP207,BQ207,0,Strike2,AO207,CE207,0,BL207,IF(OptControl=3,1,0),0,1)-_xll.xCrudeAPO(BU207,BV207,CC207,CD207,S208,S209,BI207,BL207,BP207,BQ207,0,Strike2,AO207,CE207,0,BL207,IF(OptControl=3,1,0),0,1),0)</f>
        <v>0</v>
      </c>
      <c r="CN207" s="53"/>
      <c r="CO207" s="796" t="str">
        <f t="shared" ca="1" si="532"/>
        <v/>
      </c>
      <c r="CP207" s="800" t="str">
        <f t="shared" ca="1" si="533"/>
        <v/>
      </c>
      <c r="CQ207" s="797" t="str">
        <f t="shared" ca="1" si="534"/>
        <v/>
      </c>
      <c r="CR207" s="797" t="str">
        <f t="shared" ca="1" si="535"/>
        <v/>
      </c>
      <c r="CS207" s="797" t="str">
        <f t="shared" ca="1" si="536"/>
        <v/>
      </c>
      <c r="CT207" s="797" t="str">
        <f t="shared" ca="1" si="537"/>
        <v/>
      </c>
      <c r="CU207" s="798" t="str">
        <f t="shared" ca="1" si="538"/>
        <v/>
      </c>
      <c r="CV207" s="799" t="str">
        <f t="shared" ca="1" si="539"/>
        <v/>
      </c>
      <c r="CW207" s="799" t="str">
        <f t="shared" ca="1" si="540"/>
        <v/>
      </c>
      <c r="CX207" s="163">
        <f ca="1">IF(BD207,_xll.EURO(CP207,Strike1,AO207,AO207,CV207,CO207,IF(OptControl=4,0,1),0),0)</f>
        <v>0</v>
      </c>
      <c r="CY207" s="163">
        <f ca="1">IF(BD207,_xll.EURO(CP207,Strike1,AO207,AO207,CV207,CO207,IF(OptControl=4,0,1),1)+IF(OR(VolSkewFlag=2,ABS(CQ207)&lt;0.0001),0,IF(CQ207&gt;0,-1,1)*CZ207*100*Strike1/CP207^2*CS207/10%),0)</f>
        <v>0</v>
      </c>
      <c r="CZ207" s="163">
        <f ca="1">IF(BD207,_xll.EURO(CP207,Strike1,AO207,AO207,CV207,CO207,IF(OptControl=4,0,1),3)/100,0)</f>
        <v>0</v>
      </c>
      <c r="DA207" s="163">
        <f ca="1">IF(BD207,_xll.EURO(CP207,Strike1,AO207,AO207,CV207,CO207,IF(OptControl=4,0,1),0)-_xll.EURO(CP207,Strike1,AO207,AO207,CV207,CO207-1,IF(OptControl=4,0,1),0),0)</f>
        <v>0</v>
      </c>
      <c r="DB207" s="163">
        <f ca="1">IF(BD207,_xll.EURO(CP207,Strike2,AO207,AO207,CW207,CO207,IF(OptControl=3,1,0),0),0)</f>
        <v>0</v>
      </c>
      <c r="DC207" s="163">
        <f ca="1">IF(BD207,_xll.EURO(CP207,Strike2,AO207,AO207,CW207,CO207,IF(OptControl=3,1,0),1)+IF(OR(VolSkewFlag=2,ABS(CR207)&lt;0.0001),0,IF(CR207&gt;0,-1,1)*DD207*100*Strike2/CP207^2*CT207/10%),0)</f>
        <v>0</v>
      </c>
      <c r="DD207" s="163">
        <f ca="1">IF(BD207,_xll.EURO(CP207,Strike2,AO207,AO207,CW207,CO207,IF(OptControl=3,1,0),3)/100,0)</f>
        <v>0</v>
      </c>
      <c r="DE207" s="164">
        <f ca="1">IF(BD207,_xll.EURO(CP207,Strike2,AO207,AO207,CW207,CO207,IF(OptControl=3,1,0),0)-_xll.EURO(CP207,Strike2,AO207,AO207,CW207,CO207-1,IF(OptControl=3,1,0),0),0)</f>
        <v>0</v>
      </c>
      <c r="DG207" s="667">
        <f t="shared" ca="1" si="541"/>
        <v>42248</v>
      </c>
      <c r="DH207" s="475">
        <v>23.51000000000008</v>
      </c>
      <c r="DI207" s="665">
        <v>23.578181818181896</v>
      </c>
      <c r="DJ207" s="666">
        <f t="shared" ca="1" si="617"/>
        <v>42248</v>
      </c>
      <c r="DK207" s="475">
        <v>22.323113264983149</v>
      </c>
      <c r="DL207" s="665">
        <v>22.311281818181897</v>
      </c>
      <c r="DM207" s="667">
        <f t="shared" ca="1" si="618"/>
        <v>42248</v>
      </c>
      <c r="DN207" s="668">
        <f t="shared" si="619"/>
        <v>22.37311326498315</v>
      </c>
      <c r="DO207" s="667">
        <f t="shared" ca="1" si="620"/>
        <v>42248</v>
      </c>
      <c r="DP207" s="579">
        <f t="shared" si="621"/>
        <v>22.311281818181897</v>
      </c>
      <c r="DQ207" s="821">
        <v>0</v>
      </c>
      <c r="DR207" s="666">
        <f t="shared" ca="1" si="622"/>
        <v>42248</v>
      </c>
      <c r="DS207" s="669">
        <v>0.11239999999999803</v>
      </c>
      <c r="DT207" s="606">
        <v>0.11158181818181621</v>
      </c>
      <c r="DU207" s="666">
        <f t="shared" ca="1" si="623"/>
        <v>42248</v>
      </c>
      <c r="DV207" s="669">
        <v>0.11239999999999803</v>
      </c>
      <c r="DW207" s="606">
        <v>0.11158181818181621</v>
      </c>
      <c r="DX207" s="667">
        <f t="shared" ca="1" si="624"/>
        <v>42248</v>
      </c>
      <c r="DY207" s="606">
        <v>0.35</v>
      </c>
      <c r="DZ207" s="667">
        <f t="shared" ca="1" si="625"/>
        <v>42248</v>
      </c>
      <c r="EA207" s="606">
        <f t="shared" si="626"/>
        <v>0.11158181818181621</v>
      </c>
      <c r="EB207" s="1"/>
      <c r="EC207" s="118" t="str">
        <f t="shared" ca="1" si="627"/>
        <v/>
      </c>
      <c r="ED207" s="119" t="str">
        <f t="shared" ca="1" si="525"/>
        <v/>
      </c>
      <c r="EE207" s="112" t="str">
        <f t="shared" ca="1" si="526"/>
        <v/>
      </c>
      <c r="EF207" s="120">
        <f ca="1">IF(BD207,_xll.xASN(BR207,Strike1,AO207,ED207,0,BO207,0,BI207,BL207,IF(OptControl=4,0,1),0),0)</f>
        <v>0</v>
      </c>
      <c r="EG207" s="111">
        <f ca="1">IF(BD207,_xll.xASN(BR207,Strike2,AO207,EE207,0,BO207,0,BI207,BL207,IF(OptControl=3,1,0),0),0)</f>
        <v>0</v>
      </c>
      <c r="EL207" s="55"/>
      <c r="EM207" s="1"/>
      <c r="EN207" s="106"/>
      <c r="EO207" s="106"/>
      <c r="EP207" s="1"/>
      <c r="EQ207" s="683" t="s">
        <v>421</v>
      </c>
      <c r="ES207" s="455"/>
      <c r="ET207" s="36"/>
      <c r="EU207" s="107"/>
      <c r="EV207" s="475"/>
      <c r="EW207" s="456"/>
      <c r="EX207" s="456"/>
      <c r="EY207" s="250"/>
      <c r="EZ207" s="250"/>
      <c r="FA207" s="250"/>
      <c r="FB207" s="250"/>
      <c r="FC207" s="250"/>
      <c r="FD207" s="250"/>
      <c r="FE207" s="250"/>
      <c r="FF207" s="250"/>
      <c r="FG207" s="250"/>
      <c r="FH207" s="250"/>
      <c r="FI207" s="250"/>
      <c r="FJ207" s="673">
        <v>38</v>
      </c>
      <c r="FK207" s="479" t="str">
        <f ca="1">IF(OR(FK$169&lt;SwaptionFirstMonthPosition+1,$FJ207&lt;SwaptionFirstMonthPosition+1,FK$169&gt;SwaptionFirstMonthPosition+SwaptionNumOfMonths+1,$FJ207&gt;SwaptionFirstMonthPosition+SwaptionNumOfMonths+1),"",IF($FJ207=FK$169,1,IF($FJ207&lt;FK$169,INDEX($FK$170:$ID$241,FK$169,$FJ207),SUMPRODUCT(INDEX($FK$325:$ID$396,FK$169,1+SwaptionShift):INDEX($FK$325:$ID$396,FK$169,SwaptionMonthsToGo+SwaptionShift),INDEX($FK$245:$ID$316,$FJ207-FK$169,73-FK$169+SwaptionShift):INDEX($FK$245:$ID$316,$FJ207-FK$169,72-FK$169+SwaptionMonthsToGo+SwaptionShift))/SQRT(SUM(INDEX($FK362:$ID362,1+SwaptionShift):INDEX($FK362:$ID362,SwaptionMonthsToGo+SwaptionShift))*SUM(INDEX($FK$325:$ID$396,FK$169,1+SwaptionShift):INDEX($FK$325:$ID$396,FK$169,SwaptionMonthsToGo+SwaptionShift))))))</f>
        <v/>
      </c>
      <c r="FL207" s="479" t="str">
        <f ca="1">IF(OR(FL$169&lt;SwaptionFirstMonthPosition+1,$FJ207&lt;SwaptionFirstMonthPosition+1,FL$169&gt;SwaptionFirstMonthPosition+SwaptionNumOfMonths+1,$FJ207&gt;SwaptionFirstMonthPosition+SwaptionNumOfMonths+1),"",IF($FJ207=FL$169,1,IF($FJ207&lt;FL$169,INDEX($FK$170:$ID$241,FL$169,$FJ207),SUMPRODUCT(INDEX($FK$325:$ID$396,FL$169,1+SwaptionShift):INDEX($FK$325:$ID$396,FL$169,SwaptionMonthsToGo+SwaptionShift),INDEX($FK$245:$ID$316,$FJ207-FL$169,73-FL$169+SwaptionShift):INDEX($FK$245:$ID$316,$FJ207-FL$169,72-FL$169+SwaptionMonthsToGo+SwaptionShift))/SQRT(SUM(INDEX($FK362:$ID362,1+SwaptionShift):INDEX($FK362:$ID362,SwaptionMonthsToGo+SwaptionShift))*SUM(INDEX($FK$325:$ID$396,FL$169,1+SwaptionShift):INDEX($FK$325:$ID$396,FL$169,SwaptionMonthsToGo+SwaptionShift))))))</f>
        <v/>
      </c>
      <c r="FM207" s="479" t="str">
        <f ca="1">IF(OR(FM$169&lt;SwaptionFirstMonthPosition+1,$FJ207&lt;SwaptionFirstMonthPosition+1,FM$169&gt;SwaptionFirstMonthPosition+SwaptionNumOfMonths+1,$FJ207&gt;SwaptionFirstMonthPosition+SwaptionNumOfMonths+1),"",IF($FJ207=FM$169,1,IF($FJ207&lt;FM$169,INDEX($FK$170:$ID$241,FM$169,$FJ207),SUMPRODUCT(INDEX($FK$325:$ID$396,FM$169,1+SwaptionShift):INDEX($FK$325:$ID$396,FM$169,SwaptionMonthsToGo+SwaptionShift),INDEX($FK$245:$ID$316,$FJ207-FM$169,73-FM$169+SwaptionShift):INDEX($FK$245:$ID$316,$FJ207-FM$169,72-FM$169+SwaptionMonthsToGo+SwaptionShift))/SQRT(SUM(INDEX($FK362:$ID362,1+SwaptionShift):INDEX($FK362:$ID362,SwaptionMonthsToGo+SwaptionShift))*SUM(INDEX($FK$325:$ID$396,FM$169,1+SwaptionShift):INDEX($FK$325:$ID$396,FM$169,SwaptionMonthsToGo+SwaptionShift))))))</f>
        <v/>
      </c>
      <c r="FN207" s="479" t="str">
        <f ca="1">IF(OR(FN$169&lt;SwaptionFirstMonthPosition+1,$FJ207&lt;SwaptionFirstMonthPosition+1,FN$169&gt;SwaptionFirstMonthPosition+SwaptionNumOfMonths+1,$FJ207&gt;SwaptionFirstMonthPosition+SwaptionNumOfMonths+1),"",IF($FJ207=FN$169,1,IF($FJ207&lt;FN$169,INDEX($FK$170:$ID$241,FN$169,$FJ207),SUMPRODUCT(INDEX($FK$325:$ID$396,FN$169,1+SwaptionShift):INDEX($FK$325:$ID$396,FN$169,SwaptionMonthsToGo+SwaptionShift),INDEX($FK$245:$ID$316,$FJ207-FN$169,73-FN$169+SwaptionShift):INDEX($FK$245:$ID$316,$FJ207-FN$169,72-FN$169+SwaptionMonthsToGo+SwaptionShift))/SQRT(SUM(INDEX($FK362:$ID362,1+SwaptionShift):INDEX($FK362:$ID362,SwaptionMonthsToGo+SwaptionShift))*SUM(INDEX($FK$325:$ID$396,FN$169,1+SwaptionShift):INDEX($FK$325:$ID$396,FN$169,SwaptionMonthsToGo+SwaptionShift))))))</f>
        <v/>
      </c>
      <c r="FO207" s="479" t="str">
        <f ca="1">IF(OR(FO$169&lt;SwaptionFirstMonthPosition+1,$FJ207&lt;SwaptionFirstMonthPosition+1,FO$169&gt;SwaptionFirstMonthPosition+SwaptionNumOfMonths+1,$FJ207&gt;SwaptionFirstMonthPosition+SwaptionNumOfMonths+1),"",IF($FJ207=FO$169,1,IF($FJ207&lt;FO$169,INDEX($FK$170:$ID$241,FO$169,$FJ207),SUMPRODUCT(INDEX($FK$325:$ID$396,FO$169,1+SwaptionShift):INDEX($FK$325:$ID$396,FO$169,SwaptionMonthsToGo+SwaptionShift),INDEX($FK$245:$ID$316,$FJ207-FO$169,73-FO$169+SwaptionShift):INDEX($FK$245:$ID$316,$FJ207-FO$169,72-FO$169+SwaptionMonthsToGo+SwaptionShift))/SQRT(SUM(INDEX($FK362:$ID362,1+SwaptionShift):INDEX($FK362:$ID362,SwaptionMonthsToGo+SwaptionShift))*SUM(INDEX($FK$325:$ID$396,FO$169,1+SwaptionShift):INDEX($FK$325:$ID$396,FO$169,SwaptionMonthsToGo+SwaptionShift))))))</f>
        <v/>
      </c>
      <c r="FP207" s="479" t="str">
        <f ca="1">IF(OR(FP$169&lt;SwaptionFirstMonthPosition+1,$FJ207&lt;SwaptionFirstMonthPosition+1,FP$169&gt;SwaptionFirstMonthPosition+SwaptionNumOfMonths+1,$FJ207&gt;SwaptionFirstMonthPosition+SwaptionNumOfMonths+1),"",IF($FJ207=FP$169,1,IF($FJ207&lt;FP$169,INDEX($FK$170:$ID$241,FP$169,$FJ207),SUMPRODUCT(INDEX($FK$325:$ID$396,FP$169,1+SwaptionShift):INDEX($FK$325:$ID$396,FP$169,SwaptionMonthsToGo+SwaptionShift),INDEX($FK$245:$ID$316,$FJ207-FP$169,73-FP$169+SwaptionShift):INDEX($FK$245:$ID$316,$FJ207-FP$169,72-FP$169+SwaptionMonthsToGo+SwaptionShift))/SQRT(SUM(INDEX($FK362:$ID362,1+SwaptionShift):INDEX($FK362:$ID362,SwaptionMonthsToGo+SwaptionShift))*SUM(INDEX($FK$325:$ID$396,FP$169,1+SwaptionShift):INDEX($FK$325:$ID$396,FP$169,SwaptionMonthsToGo+SwaptionShift))))))</f>
        <v/>
      </c>
      <c r="FQ207" s="479" t="str">
        <f ca="1">IF(OR(FQ$169&lt;SwaptionFirstMonthPosition+1,$FJ207&lt;SwaptionFirstMonthPosition+1,FQ$169&gt;SwaptionFirstMonthPosition+SwaptionNumOfMonths+1,$FJ207&gt;SwaptionFirstMonthPosition+SwaptionNumOfMonths+1),"",IF($FJ207=FQ$169,1,IF($FJ207&lt;FQ$169,INDEX($FK$170:$ID$241,FQ$169,$FJ207),SUMPRODUCT(INDEX($FK$325:$ID$396,FQ$169,1+SwaptionShift):INDEX($FK$325:$ID$396,FQ$169,SwaptionMonthsToGo+SwaptionShift),INDEX($FK$245:$ID$316,$FJ207-FQ$169,73-FQ$169+SwaptionShift):INDEX($FK$245:$ID$316,$FJ207-FQ$169,72-FQ$169+SwaptionMonthsToGo+SwaptionShift))/SQRT(SUM(INDEX($FK362:$ID362,1+SwaptionShift):INDEX($FK362:$ID362,SwaptionMonthsToGo+SwaptionShift))*SUM(INDEX($FK$325:$ID$396,FQ$169,1+SwaptionShift):INDEX($FK$325:$ID$396,FQ$169,SwaptionMonthsToGo+SwaptionShift))))))</f>
        <v/>
      </c>
      <c r="FR207" s="479" t="str">
        <f ca="1">IF(OR(FR$169&lt;SwaptionFirstMonthPosition+1,$FJ207&lt;SwaptionFirstMonthPosition+1,FR$169&gt;SwaptionFirstMonthPosition+SwaptionNumOfMonths+1,$FJ207&gt;SwaptionFirstMonthPosition+SwaptionNumOfMonths+1),"",IF($FJ207=FR$169,1,IF($FJ207&lt;FR$169,INDEX($FK$170:$ID$241,FR$169,$FJ207),SUMPRODUCT(INDEX($FK$325:$ID$396,FR$169,1+SwaptionShift):INDEX($FK$325:$ID$396,FR$169,SwaptionMonthsToGo+SwaptionShift),INDEX($FK$245:$ID$316,$FJ207-FR$169,73-FR$169+SwaptionShift):INDEX($FK$245:$ID$316,$FJ207-FR$169,72-FR$169+SwaptionMonthsToGo+SwaptionShift))/SQRT(SUM(INDEX($FK362:$ID362,1+SwaptionShift):INDEX($FK362:$ID362,SwaptionMonthsToGo+SwaptionShift))*SUM(INDEX($FK$325:$ID$396,FR$169,1+SwaptionShift):INDEX($FK$325:$ID$396,FR$169,SwaptionMonthsToGo+SwaptionShift))))))</f>
        <v/>
      </c>
      <c r="FS207" s="479" t="str">
        <f ca="1">IF(OR(FS$169&lt;SwaptionFirstMonthPosition+1,$FJ207&lt;SwaptionFirstMonthPosition+1,FS$169&gt;SwaptionFirstMonthPosition+SwaptionNumOfMonths+1,$FJ207&gt;SwaptionFirstMonthPosition+SwaptionNumOfMonths+1),"",IF($FJ207=FS$169,1,IF($FJ207&lt;FS$169,INDEX($FK$170:$ID$241,FS$169,$FJ207),SUMPRODUCT(INDEX($FK$325:$ID$396,FS$169,1+SwaptionShift):INDEX($FK$325:$ID$396,FS$169,SwaptionMonthsToGo+SwaptionShift),INDEX($FK$245:$ID$316,$FJ207-FS$169,73-FS$169+SwaptionShift):INDEX($FK$245:$ID$316,$FJ207-FS$169,72-FS$169+SwaptionMonthsToGo+SwaptionShift))/SQRT(SUM(INDEX($FK362:$ID362,1+SwaptionShift):INDEX($FK362:$ID362,SwaptionMonthsToGo+SwaptionShift))*SUM(INDEX($FK$325:$ID$396,FS$169,1+SwaptionShift):INDEX($FK$325:$ID$396,FS$169,SwaptionMonthsToGo+SwaptionShift))))))</f>
        <v/>
      </c>
      <c r="FT207" s="479" t="str">
        <f ca="1">IF(OR(FT$169&lt;SwaptionFirstMonthPosition+1,$FJ207&lt;SwaptionFirstMonthPosition+1,FT$169&gt;SwaptionFirstMonthPosition+SwaptionNumOfMonths+1,$FJ207&gt;SwaptionFirstMonthPosition+SwaptionNumOfMonths+1),"",IF($FJ207=FT$169,1,IF($FJ207&lt;FT$169,INDEX($FK$170:$ID$241,FT$169,$FJ207),SUMPRODUCT(INDEX($FK$325:$ID$396,FT$169,1+SwaptionShift):INDEX($FK$325:$ID$396,FT$169,SwaptionMonthsToGo+SwaptionShift),INDEX($FK$245:$ID$316,$FJ207-FT$169,73-FT$169+SwaptionShift):INDEX($FK$245:$ID$316,$FJ207-FT$169,72-FT$169+SwaptionMonthsToGo+SwaptionShift))/SQRT(SUM(INDEX($FK362:$ID362,1+SwaptionShift):INDEX($FK362:$ID362,SwaptionMonthsToGo+SwaptionShift))*SUM(INDEX($FK$325:$ID$396,FT$169,1+SwaptionShift):INDEX($FK$325:$ID$396,FT$169,SwaptionMonthsToGo+SwaptionShift))))))</f>
        <v/>
      </c>
      <c r="FU207" s="479" t="str">
        <f ca="1">IF(OR(FU$169&lt;SwaptionFirstMonthPosition+1,$FJ207&lt;SwaptionFirstMonthPosition+1,FU$169&gt;SwaptionFirstMonthPosition+SwaptionNumOfMonths+1,$FJ207&gt;SwaptionFirstMonthPosition+SwaptionNumOfMonths+1),"",IF($FJ207=FU$169,1,IF($FJ207&lt;FU$169,INDEX($FK$170:$ID$241,FU$169,$FJ207),SUMPRODUCT(INDEX($FK$325:$ID$396,FU$169,1+SwaptionShift):INDEX($FK$325:$ID$396,FU$169,SwaptionMonthsToGo+SwaptionShift),INDEX($FK$245:$ID$316,$FJ207-FU$169,73-FU$169+SwaptionShift):INDEX($FK$245:$ID$316,$FJ207-FU$169,72-FU$169+SwaptionMonthsToGo+SwaptionShift))/SQRT(SUM(INDEX($FK362:$ID362,1+SwaptionShift):INDEX($FK362:$ID362,SwaptionMonthsToGo+SwaptionShift))*SUM(INDEX($FK$325:$ID$396,FU$169,1+SwaptionShift):INDEX($FK$325:$ID$396,FU$169,SwaptionMonthsToGo+SwaptionShift))))))</f>
        <v/>
      </c>
      <c r="FV207" s="479" t="str">
        <f ca="1">IF(OR(FV$169&lt;SwaptionFirstMonthPosition+1,$FJ207&lt;SwaptionFirstMonthPosition+1,FV$169&gt;SwaptionFirstMonthPosition+SwaptionNumOfMonths+1,$FJ207&gt;SwaptionFirstMonthPosition+SwaptionNumOfMonths+1),"",IF($FJ207=FV$169,1,IF($FJ207&lt;FV$169,INDEX($FK$170:$ID$241,FV$169,$FJ207),SUMPRODUCT(INDEX($FK$325:$ID$396,FV$169,1+SwaptionShift):INDEX($FK$325:$ID$396,FV$169,SwaptionMonthsToGo+SwaptionShift),INDEX($FK$245:$ID$316,$FJ207-FV$169,73-FV$169+SwaptionShift):INDEX($FK$245:$ID$316,$FJ207-FV$169,72-FV$169+SwaptionMonthsToGo+SwaptionShift))/SQRT(SUM(INDEX($FK362:$ID362,1+SwaptionShift):INDEX($FK362:$ID362,SwaptionMonthsToGo+SwaptionShift))*SUM(INDEX($FK$325:$ID$396,FV$169,1+SwaptionShift):INDEX($FK$325:$ID$396,FV$169,SwaptionMonthsToGo+SwaptionShift))))))</f>
        <v/>
      </c>
      <c r="FW207" s="479" t="str">
        <f ca="1">IF(OR(FW$169&lt;SwaptionFirstMonthPosition+1,$FJ207&lt;SwaptionFirstMonthPosition+1,FW$169&gt;SwaptionFirstMonthPosition+SwaptionNumOfMonths+1,$FJ207&gt;SwaptionFirstMonthPosition+SwaptionNumOfMonths+1),"",IF($FJ207=FW$169,1,IF($FJ207&lt;FW$169,INDEX($FK$170:$ID$241,FW$169,$FJ207),SUMPRODUCT(INDEX($FK$325:$ID$396,FW$169,1+SwaptionShift):INDEX($FK$325:$ID$396,FW$169,SwaptionMonthsToGo+SwaptionShift),INDEX($FK$245:$ID$316,$FJ207-FW$169,73-FW$169+SwaptionShift):INDEX($FK$245:$ID$316,$FJ207-FW$169,72-FW$169+SwaptionMonthsToGo+SwaptionShift))/SQRT(SUM(INDEX($FK362:$ID362,1+SwaptionShift):INDEX($FK362:$ID362,SwaptionMonthsToGo+SwaptionShift))*SUM(INDEX($FK$325:$ID$396,FW$169,1+SwaptionShift):INDEX($FK$325:$ID$396,FW$169,SwaptionMonthsToGo+SwaptionShift))))))</f>
        <v/>
      </c>
      <c r="FX207" s="479" t="str">
        <f ca="1">IF(OR(FX$169&lt;SwaptionFirstMonthPosition+1,$FJ207&lt;SwaptionFirstMonthPosition+1,FX$169&gt;SwaptionFirstMonthPosition+SwaptionNumOfMonths+1,$FJ207&gt;SwaptionFirstMonthPosition+SwaptionNumOfMonths+1),"",IF($FJ207=FX$169,1,IF($FJ207&lt;FX$169,INDEX($FK$170:$ID$241,FX$169,$FJ207),SUMPRODUCT(INDEX($FK$325:$ID$396,FX$169,1+SwaptionShift):INDEX($FK$325:$ID$396,FX$169,SwaptionMonthsToGo+SwaptionShift),INDEX($FK$245:$ID$316,$FJ207-FX$169,73-FX$169+SwaptionShift):INDEX($FK$245:$ID$316,$FJ207-FX$169,72-FX$169+SwaptionMonthsToGo+SwaptionShift))/SQRT(SUM(INDEX($FK362:$ID362,1+SwaptionShift):INDEX($FK362:$ID362,SwaptionMonthsToGo+SwaptionShift))*SUM(INDEX($FK$325:$ID$396,FX$169,1+SwaptionShift):INDEX($FK$325:$ID$396,FX$169,SwaptionMonthsToGo+SwaptionShift))))))</f>
        <v/>
      </c>
      <c r="FY207" s="479" t="str">
        <f ca="1">IF(OR(FY$169&lt;SwaptionFirstMonthPosition+1,$FJ207&lt;SwaptionFirstMonthPosition+1,FY$169&gt;SwaptionFirstMonthPosition+SwaptionNumOfMonths+1,$FJ207&gt;SwaptionFirstMonthPosition+SwaptionNumOfMonths+1),"",IF($FJ207=FY$169,1,IF($FJ207&lt;FY$169,INDEX($FK$170:$ID$241,FY$169,$FJ207),SUMPRODUCT(INDEX($FK$325:$ID$396,FY$169,1+SwaptionShift):INDEX($FK$325:$ID$396,FY$169,SwaptionMonthsToGo+SwaptionShift),INDEX($FK$245:$ID$316,$FJ207-FY$169,73-FY$169+SwaptionShift):INDEX($FK$245:$ID$316,$FJ207-FY$169,72-FY$169+SwaptionMonthsToGo+SwaptionShift))/SQRT(SUM(INDEX($FK362:$ID362,1+SwaptionShift):INDEX($FK362:$ID362,SwaptionMonthsToGo+SwaptionShift))*SUM(INDEX($FK$325:$ID$396,FY$169,1+SwaptionShift):INDEX($FK$325:$ID$396,FY$169,SwaptionMonthsToGo+SwaptionShift))))))</f>
        <v/>
      </c>
      <c r="FZ207" s="479" t="str">
        <f ca="1">IF(OR(FZ$169&lt;SwaptionFirstMonthPosition+1,$FJ207&lt;SwaptionFirstMonthPosition+1,FZ$169&gt;SwaptionFirstMonthPosition+SwaptionNumOfMonths+1,$FJ207&gt;SwaptionFirstMonthPosition+SwaptionNumOfMonths+1),"",IF($FJ207=FZ$169,1,IF($FJ207&lt;FZ$169,INDEX($FK$170:$ID$241,FZ$169,$FJ207),SUMPRODUCT(INDEX($FK$325:$ID$396,FZ$169,1+SwaptionShift):INDEX($FK$325:$ID$396,FZ$169,SwaptionMonthsToGo+SwaptionShift),INDEX($FK$245:$ID$316,$FJ207-FZ$169,73-FZ$169+SwaptionShift):INDEX($FK$245:$ID$316,$FJ207-FZ$169,72-FZ$169+SwaptionMonthsToGo+SwaptionShift))/SQRT(SUM(INDEX($FK362:$ID362,1+SwaptionShift):INDEX($FK362:$ID362,SwaptionMonthsToGo+SwaptionShift))*SUM(INDEX($FK$325:$ID$396,FZ$169,1+SwaptionShift):INDEX($FK$325:$ID$396,FZ$169,SwaptionMonthsToGo+SwaptionShift))))))</f>
        <v/>
      </c>
      <c r="GA207" s="479" t="str">
        <f ca="1">IF(OR(GA$169&lt;SwaptionFirstMonthPosition+1,$FJ207&lt;SwaptionFirstMonthPosition+1,GA$169&gt;SwaptionFirstMonthPosition+SwaptionNumOfMonths+1,$FJ207&gt;SwaptionFirstMonthPosition+SwaptionNumOfMonths+1),"",IF($FJ207=GA$169,1,IF($FJ207&lt;GA$169,INDEX($FK$170:$ID$241,GA$169,$FJ207),SUMPRODUCT(INDEX($FK$325:$ID$396,GA$169,1+SwaptionShift):INDEX($FK$325:$ID$396,GA$169,SwaptionMonthsToGo+SwaptionShift),INDEX($FK$245:$ID$316,$FJ207-GA$169,73-GA$169+SwaptionShift):INDEX($FK$245:$ID$316,$FJ207-GA$169,72-GA$169+SwaptionMonthsToGo+SwaptionShift))/SQRT(SUM(INDEX($FK362:$ID362,1+SwaptionShift):INDEX($FK362:$ID362,SwaptionMonthsToGo+SwaptionShift))*SUM(INDEX($FK$325:$ID$396,GA$169,1+SwaptionShift):INDEX($FK$325:$ID$396,GA$169,SwaptionMonthsToGo+SwaptionShift))))))</f>
        <v/>
      </c>
      <c r="GB207" s="479" t="str">
        <f ca="1">IF(OR(GB$169&lt;SwaptionFirstMonthPosition+1,$FJ207&lt;SwaptionFirstMonthPosition+1,GB$169&gt;SwaptionFirstMonthPosition+SwaptionNumOfMonths+1,$FJ207&gt;SwaptionFirstMonthPosition+SwaptionNumOfMonths+1),"",IF($FJ207=GB$169,1,IF($FJ207&lt;GB$169,INDEX($FK$170:$ID$241,GB$169,$FJ207),SUMPRODUCT(INDEX($FK$325:$ID$396,GB$169,1+SwaptionShift):INDEX($FK$325:$ID$396,GB$169,SwaptionMonthsToGo+SwaptionShift),INDEX($FK$245:$ID$316,$FJ207-GB$169,73-GB$169+SwaptionShift):INDEX($FK$245:$ID$316,$FJ207-GB$169,72-GB$169+SwaptionMonthsToGo+SwaptionShift))/SQRT(SUM(INDEX($FK362:$ID362,1+SwaptionShift):INDEX($FK362:$ID362,SwaptionMonthsToGo+SwaptionShift))*SUM(INDEX($FK$325:$ID$396,GB$169,1+SwaptionShift):INDEX($FK$325:$ID$396,GB$169,SwaptionMonthsToGo+SwaptionShift))))))</f>
        <v/>
      </c>
      <c r="GC207" s="479" t="str">
        <f ca="1">IF(OR(GC$169&lt;SwaptionFirstMonthPosition+1,$FJ207&lt;SwaptionFirstMonthPosition+1,GC$169&gt;SwaptionFirstMonthPosition+SwaptionNumOfMonths+1,$FJ207&gt;SwaptionFirstMonthPosition+SwaptionNumOfMonths+1),"",IF($FJ207=GC$169,1,IF($FJ207&lt;GC$169,INDEX($FK$170:$ID$241,GC$169,$FJ207),SUMPRODUCT(INDEX($FK$325:$ID$396,GC$169,1+SwaptionShift):INDEX($FK$325:$ID$396,GC$169,SwaptionMonthsToGo+SwaptionShift),INDEX($FK$245:$ID$316,$FJ207-GC$169,73-GC$169+SwaptionShift):INDEX($FK$245:$ID$316,$FJ207-GC$169,72-GC$169+SwaptionMonthsToGo+SwaptionShift))/SQRT(SUM(INDEX($FK362:$ID362,1+SwaptionShift):INDEX($FK362:$ID362,SwaptionMonthsToGo+SwaptionShift))*SUM(INDEX($FK$325:$ID$396,GC$169,1+SwaptionShift):INDEX($FK$325:$ID$396,GC$169,SwaptionMonthsToGo+SwaptionShift))))))</f>
        <v/>
      </c>
      <c r="GD207" s="479" t="str">
        <f ca="1">IF(OR(GD$169&lt;SwaptionFirstMonthPosition+1,$FJ207&lt;SwaptionFirstMonthPosition+1,GD$169&gt;SwaptionFirstMonthPosition+SwaptionNumOfMonths+1,$FJ207&gt;SwaptionFirstMonthPosition+SwaptionNumOfMonths+1),"",IF($FJ207=GD$169,1,IF($FJ207&lt;GD$169,INDEX($FK$170:$ID$241,GD$169,$FJ207),SUMPRODUCT(INDEX($FK$325:$ID$396,GD$169,1+SwaptionShift):INDEX($FK$325:$ID$396,GD$169,SwaptionMonthsToGo+SwaptionShift),INDEX($FK$245:$ID$316,$FJ207-GD$169,73-GD$169+SwaptionShift):INDEX($FK$245:$ID$316,$FJ207-GD$169,72-GD$169+SwaptionMonthsToGo+SwaptionShift))/SQRT(SUM(INDEX($FK362:$ID362,1+SwaptionShift):INDEX($FK362:$ID362,SwaptionMonthsToGo+SwaptionShift))*SUM(INDEX($FK$325:$ID$396,GD$169,1+SwaptionShift):INDEX($FK$325:$ID$396,GD$169,SwaptionMonthsToGo+SwaptionShift))))))</f>
        <v/>
      </c>
      <c r="GE207" s="479" t="str">
        <f ca="1">IF(OR(GE$169&lt;SwaptionFirstMonthPosition+1,$FJ207&lt;SwaptionFirstMonthPosition+1,GE$169&gt;SwaptionFirstMonthPosition+SwaptionNumOfMonths+1,$FJ207&gt;SwaptionFirstMonthPosition+SwaptionNumOfMonths+1),"",IF($FJ207=GE$169,1,IF($FJ207&lt;GE$169,INDEX($FK$170:$ID$241,GE$169,$FJ207),SUMPRODUCT(INDEX($FK$325:$ID$396,GE$169,1+SwaptionShift):INDEX($FK$325:$ID$396,GE$169,SwaptionMonthsToGo+SwaptionShift),INDEX($FK$245:$ID$316,$FJ207-GE$169,73-GE$169+SwaptionShift):INDEX($FK$245:$ID$316,$FJ207-GE$169,72-GE$169+SwaptionMonthsToGo+SwaptionShift))/SQRT(SUM(INDEX($FK362:$ID362,1+SwaptionShift):INDEX($FK362:$ID362,SwaptionMonthsToGo+SwaptionShift))*SUM(INDEX($FK$325:$ID$396,GE$169,1+SwaptionShift):INDEX($FK$325:$ID$396,GE$169,SwaptionMonthsToGo+SwaptionShift))))))</f>
        <v/>
      </c>
      <c r="GF207" s="479" t="str">
        <f ca="1">IF(OR(GF$169&lt;SwaptionFirstMonthPosition+1,$FJ207&lt;SwaptionFirstMonthPosition+1,GF$169&gt;SwaptionFirstMonthPosition+SwaptionNumOfMonths+1,$FJ207&gt;SwaptionFirstMonthPosition+SwaptionNumOfMonths+1),"",IF($FJ207=GF$169,1,IF($FJ207&lt;GF$169,INDEX($FK$170:$ID$241,GF$169,$FJ207),SUMPRODUCT(INDEX($FK$325:$ID$396,GF$169,1+SwaptionShift):INDEX($FK$325:$ID$396,GF$169,SwaptionMonthsToGo+SwaptionShift),INDEX($FK$245:$ID$316,$FJ207-GF$169,73-GF$169+SwaptionShift):INDEX($FK$245:$ID$316,$FJ207-GF$169,72-GF$169+SwaptionMonthsToGo+SwaptionShift))/SQRT(SUM(INDEX($FK362:$ID362,1+SwaptionShift):INDEX($FK362:$ID362,SwaptionMonthsToGo+SwaptionShift))*SUM(INDEX($FK$325:$ID$396,GF$169,1+SwaptionShift):INDEX($FK$325:$ID$396,GF$169,SwaptionMonthsToGo+SwaptionShift))))))</f>
        <v/>
      </c>
      <c r="GG207" s="479" t="str">
        <f ca="1">IF(OR(GG$169&lt;SwaptionFirstMonthPosition+1,$FJ207&lt;SwaptionFirstMonthPosition+1,GG$169&gt;SwaptionFirstMonthPosition+SwaptionNumOfMonths+1,$FJ207&gt;SwaptionFirstMonthPosition+SwaptionNumOfMonths+1),"",IF($FJ207=GG$169,1,IF($FJ207&lt;GG$169,INDEX($FK$170:$ID$241,GG$169,$FJ207),SUMPRODUCT(INDEX($FK$325:$ID$396,GG$169,1+SwaptionShift):INDEX($FK$325:$ID$396,GG$169,SwaptionMonthsToGo+SwaptionShift),INDEX($FK$245:$ID$316,$FJ207-GG$169,73-GG$169+SwaptionShift):INDEX($FK$245:$ID$316,$FJ207-GG$169,72-GG$169+SwaptionMonthsToGo+SwaptionShift))/SQRT(SUM(INDEX($FK362:$ID362,1+SwaptionShift):INDEX($FK362:$ID362,SwaptionMonthsToGo+SwaptionShift))*SUM(INDEX($FK$325:$ID$396,GG$169,1+SwaptionShift):INDEX($FK$325:$ID$396,GG$169,SwaptionMonthsToGo+SwaptionShift))))))</f>
        <v/>
      </c>
      <c r="GH207" s="479" t="str">
        <f ca="1">IF(OR(GH$169&lt;SwaptionFirstMonthPosition+1,$FJ207&lt;SwaptionFirstMonthPosition+1,GH$169&gt;SwaptionFirstMonthPosition+SwaptionNumOfMonths+1,$FJ207&gt;SwaptionFirstMonthPosition+SwaptionNumOfMonths+1),"",IF($FJ207=GH$169,1,IF($FJ207&lt;GH$169,INDEX($FK$170:$ID$241,GH$169,$FJ207),SUMPRODUCT(INDEX($FK$325:$ID$396,GH$169,1+SwaptionShift):INDEX($FK$325:$ID$396,GH$169,SwaptionMonthsToGo+SwaptionShift),INDEX($FK$245:$ID$316,$FJ207-GH$169,73-GH$169+SwaptionShift):INDEX($FK$245:$ID$316,$FJ207-GH$169,72-GH$169+SwaptionMonthsToGo+SwaptionShift))/SQRT(SUM(INDEX($FK362:$ID362,1+SwaptionShift):INDEX($FK362:$ID362,SwaptionMonthsToGo+SwaptionShift))*SUM(INDEX($FK$325:$ID$396,GH$169,1+SwaptionShift):INDEX($FK$325:$ID$396,GH$169,SwaptionMonthsToGo+SwaptionShift))))))</f>
        <v/>
      </c>
      <c r="GI207" s="479" t="str">
        <f ca="1">IF(OR(GI$169&lt;SwaptionFirstMonthPosition+1,$FJ207&lt;SwaptionFirstMonthPosition+1,GI$169&gt;SwaptionFirstMonthPosition+SwaptionNumOfMonths+1,$FJ207&gt;SwaptionFirstMonthPosition+SwaptionNumOfMonths+1),"",IF($FJ207=GI$169,1,IF($FJ207&lt;GI$169,INDEX($FK$170:$ID$241,GI$169,$FJ207),SUMPRODUCT(INDEX($FK$325:$ID$396,GI$169,1+SwaptionShift):INDEX($FK$325:$ID$396,GI$169,SwaptionMonthsToGo+SwaptionShift),INDEX($FK$245:$ID$316,$FJ207-GI$169,73-GI$169+SwaptionShift):INDEX($FK$245:$ID$316,$FJ207-GI$169,72-GI$169+SwaptionMonthsToGo+SwaptionShift))/SQRT(SUM(INDEX($FK362:$ID362,1+SwaptionShift):INDEX($FK362:$ID362,SwaptionMonthsToGo+SwaptionShift))*SUM(INDEX($FK$325:$ID$396,GI$169,1+SwaptionShift):INDEX($FK$325:$ID$396,GI$169,SwaptionMonthsToGo+SwaptionShift))))))</f>
        <v/>
      </c>
      <c r="GJ207" s="479" t="str">
        <f ca="1">IF(OR(GJ$169&lt;SwaptionFirstMonthPosition+1,$FJ207&lt;SwaptionFirstMonthPosition+1,GJ$169&gt;SwaptionFirstMonthPosition+SwaptionNumOfMonths+1,$FJ207&gt;SwaptionFirstMonthPosition+SwaptionNumOfMonths+1),"",IF($FJ207=GJ$169,1,IF($FJ207&lt;GJ$169,INDEX($FK$170:$ID$241,GJ$169,$FJ207),SUMPRODUCT(INDEX($FK$325:$ID$396,GJ$169,1+SwaptionShift):INDEX($FK$325:$ID$396,GJ$169,SwaptionMonthsToGo+SwaptionShift),INDEX($FK$245:$ID$316,$FJ207-GJ$169,73-GJ$169+SwaptionShift):INDEX($FK$245:$ID$316,$FJ207-GJ$169,72-GJ$169+SwaptionMonthsToGo+SwaptionShift))/SQRT(SUM(INDEX($FK362:$ID362,1+SwaptionShift):INDEX($FK362:$ID362,SwaptionMonthsToGo+SwaptionShift))*SUM(INDEX($FK$325:$ID$396,GJ$169,1+SwaptionShift):INDEX($FK$325:$ID$396,GJ$169,SwaptionMonthsToGo+SwaptionShift))))))</f>
        <v/>
      </c>
      <c r="GK207" s="479" t="str">
        <f ca="1">IF(OR(GK$169&lt;SwaptionFirstMonthPosition+1,$FJ207&lt;SwaptionFirstMonthPosition+1,GK$169&gt;SwaptionFirstMonthPosition+SwaptionNumOfMonths+1,$FJ207&gt;SwaptionFirstMonthPosition+SwaptionNumOfMonths+1),"",IF($FJ207=GK$169,1,IF($FJ207&lt;GK$169,INDEX($FK$170:$ID$241,GK$169,$FJ207),SUMPRODUCT(INDEX($FK$325:$ID$396,GK$169,1+SwaptionShift):INDEX($FK$325:$ID$396,GK$169,SwaptionMonthsToGo+SwaptionShift),INDEX($FK$245:$ID$316,$FJ207-GK$169,73-GK$169+SwaptionShift):INDEX($FK$245:$ID$316,$FJ207-GK$169,72-GK$169+SwaptionMonthsToGo+SwaptionShift))/SQRT(SUM(INDEX($FK362:$ID362,1+SwaptionShift):INDEX($FK362:$ID362,SwaptionMonthsToGo+SwaptionShift))*SUM(INDEX($FK$325:$ID$396,GK$169,1+SwaptionShift):INDEX($FK$325:$ID$396,GK$169,SwaptionMonthsToGo+SwaptionShift))))))</f>
        <v/>
      </c>
      <c r="GL207" s="479" t="str">
        <f ca="1">IF(OR(GL$169&lt;SwaptionFirstMonthPosition+1,$FJ207&lt;SwaptionFirstMonthPosition+1,GL$169&gt;SwaptionFirstMonthPosition+SwaptionNumOfMonths+1,$FJ207&gt;SwaptionFirstMonthPosition+SwaptionNumOfMonths+1),"",IF($FJ207=GL$169,1,IF($FJ207&lt;GL$169,INDEX($FK$170:$ID$241,GL$169,$FJ207),SUMPRODUCT(INDEX($FK$325:$ID$396,GL$169,1+SwaptionShift):INDEX($FK$325:$ID$396,GL$169,SwaptionMonthsToGo+SwaptionShift),INDEX($FK$245:$ID$316,$FJ207-GL$169,73-GL$169+SwaptionShift):INDEX($FK$245:$ID$316,$FJ207-GL$169,72-GL$169+SwaptionMonthsToGo+SwaptionShift))/SQRT(SUM(INDEX($FK362:$ID362,1+SwaptionShift):INDEX($FK362:$ID362,SwaptionMonthsToGo+SwaptionShift))*SUM(INDEX($FK$325:$ID$396,GL$169,1+SwaptionShift):INDEX($FK$325:$ID$396,GL$169,SwaptionMonthsToGo+SwaptionShift))))))</f>
        <v/>
      </c>
      <c r="GM207" s="479" t="str">
        <f ca="1">IF(OR(GM$169&lt;SwaptionFirstMonthPosition+1,$FJ207&lt;SwaptionFirstMonthPosition+1,GM$169&gt;SwaptionFirstMonthPosition+SwaptionNumOfMonths+1,$FJ207&gt;SwaptionFirstMonthPosition+SwaptionNumOfMonths+1),"",IF($FJ207=GM$169,1,IF($FJ207&lt;GM$169,INDEX($FK$170:$ID$241,GM$169,$FJ207),SUMPRODUCT(INDEX($FK$325:$ID$396,GM$169,1+SwaptionShift):INDEX($FK$325:$ID$396,GM$169,SwaptionMonthsToGo+SwaptionShift),INDEX($FK$245:$ID$316,$FJ207-GM$169,73-GM$169+SwaptionShift):INDEX($FK$245:$ID$316,$FJ207-GM$169,72-GM$169+SwaptionMonthsToGo+SwaptionShift))/SQRT(SUM(INDEX($FK362:$ID362,1+SwaptionShift):INDEX($FK362:$ID362,SwaptionMonthsToGo+SwaptionShift))*SUM(INDEX($FK$325:$ID$396,GM$169,1+SwaptionShift):INDEX($FK$325:$ID$396,GM$169,SwaptionMonthsToGo+SwaptionShift))))))</f>
        <v/>
      </c>
      <c r="GN207" s="479" t="str">
        <f ca="1">IF(OR(GN$169&lt;SwaptionFirstMonthPosition+1,$FJ207&lt;SwaptionFirstMonthPosition+1,GN$169&gt;SwaptionFirstMonthPosition+SwaptionNumOfMonths+1,$FJ207&gt;SwaptionFirstMonthPosition+SwaptionNumOfMonths+1),"",IF($FJ207=GN$169,1,IF($FJ207&lt;GN$169,INDEX($FK$170:$ID$241,GN$169,$FJ207),SUMPRODUCT(INDEX($FK$325:$ID$396,GN$169,1+SwaptionShift):INDEX($FK$325:$ID$396,GN$169,SwaptionMonthsToGo+SwaptionShift),INDEX($FK$245:$ID$316,$FJ207-GN$169,73-GN$169+SwaptionShift):INDEX($FK$245:$ID$316,$FJ207-GN$169,72-GN$169+SwaptionMonthsToGo+SwaptionShift))/SQRT(SUM(INDEX($FK362:$ID362,1+SwaptionShift):INDEX($FK362:$ID362,SwaptionMonthsToGo+SwaptionShift))*SUM(INDEX($FK$325:$ID$396,GN$169,1+SwaptionShift):INDEX($FK$325:$ID$396,GN$169,SwaptionMonthsToGo+SwaptionShift))))))</f>
        <v/>
      </c>
      <c r="GO207" s="479" t="str">
        <f ca="1">IF(OR(GO$169&lt;SwaptionFirstMonthPosition+1,$FJ207&lt;SwaptionFirstMonthPosition+1,GO$169&gt;SwaptionFirstMonthPosition+SwaptionNumOfMonths+1,$FJ207&gt;SwaptionFirstMonthPosition+SwaptionNumOfMonths+1),"",IF($FJ207=GO$169,1,IF($FJ207&lt;GO$169,INDEX($FK$170:$ID$241,GO$169,$FJ207),SUMPRODUCT(INDEX($FK$325:$ID$396,GO$169,1+SwaptionShift):INDEX($FK$325:$ID$396,GO$169,SwaptionMonthsToGo+SwaptionShift),INDEX($FK$245:$ID$316,$FJ207-GO$169,73-GO$169+SwaptionShift):INDEX($FK$245:$ID$316,$FJ207-GO$169,72-GO$169+SwaptionMonthsToGo+SwaptionShift))/SQRT(SUM(INDEX($FK362:$ID362,1+SwaptionShift):INDEX($FK362:$ID362,SwaptionMonthsToGo+SwaptionShift))*SUM(INDEX($FK$325:$ID$396,GO$169,1+SwaptionShift):INDEX($FK$325:$ID$396,GO$169,SwaptionMonthsToGo+SwaptionShift))))))</f>
        <v/>
      </c>
      <c r="GP207" s="479" t="str">
        <f ca="1">IF(OR(GP$169&lt;SwaptionFirstMonthPosition+1,$FJ207&lt;SwaptionFirstMonthPosition+1,GP$169&gt;SwaptionFirstMonthPosition+SwaptionNumOfMonths+1,$FJ207&gt;SwaptionFirstMonthPosition+SwaptionNumOfMonths+1),"",IF($FJ207=GP$169,1,IF($FJ207&lt;GP$169,INDEX($FK$170:$ID$241,GP$169,$FJ207),SUMPRODUCT(INDEX($FK$325:$ID$396,GP$169,1+SwaptionShift):INDEX($FK$325:$ID$396,GP$169,SwaptionMonthsToGo+SwaptionShift),INDEX($FK$245:$ID$316,$FJ207-GP$169,73-GP$169+SwaptionShift):INDEX($FK$245:$ID$316,$FJ207-GP$169,72-GP$169+SwaptionMonthsToGo+SwaptionShift))/SQRT(SUM(INDEX($FK362:$ID362,1+SwaptionShift):INDEX($FK362:$ID362,SwaptionMonthsToGo+SwaptionShift))*SUM(INDEX($FK$325:$ID$396,GP$169,1+SwaptionShift):INDEX($FK$325:$ID$396,GP$169,SwaptionMonthsToGo+SwaptionShift))))))</f>
        <v/>
      </c>
      <c r="GQ207" s="479" t="str">
        <f ca="1">IF(OR(GQ$169&lt;SwaptionFirstMonthPosition+1,$FJ207&lt;SwaptionFirstMonthPosition+1,GQ$169&gt;SwaptionFirstMonthPosition+SwaptionNumOfMonths+1,$FJ207&gt;SwaptionFirstMonthPosition+SwaptionNumOfMonths+1),"",IF($FJ207=GQ$169,1,IF($FJ207&lt;GQ$169,INDEX($FK$170:$ID$241,GQ$169,$FJ207),SUMPRODUCT(INDEX($FK$325:$ID$396,GQ$169,1+SwaptionShift):INDEX($FK$325:$ID$396,GQ$169,SwaptionMonthsToGo+SwaptionShift),INDEX($FK$245:$ID$316,$FJ207-GQ$169,73-GQ$169+SwaptionShift):INDEX($FK$245:$ID$316,$FJ207-GQ$169,72-GQ$169+SwaptionMonthsToGo+SwaptionShift))/SQRT(SUM(INDEX($FK362:$ID362,1+SwaptionShift):INDEX($FK362:$ID362,SwaptionMonthsToGo+SwaptionShift))*SUM(INDEX($FK$325:$ID$396,GQ$169,1+SwaptionShift):INDEX($FK$325:$ID$396,GQ$169,SwaptionMonthsToGo+SwaptionShift))))))</f>
        <v/>
      </c>
      <c r="GR207" s="479" t="str">
        <f ca="1">IF(OR(GR$169&lt;SwaptionFirstMonthPosition+1,$FJ207&lt;SwaptionFirstMonthPosition+1,GR$169&gt;SwaptionFirstMonthPosition+SwaptionNumOfMonths+1,$FJ207&gt;SwaptionFirstMonthPosition+SwaptionNumOfMonths+1),"",IF($FJ207=GR$169,1,IF($FJ207&lt;GR$169,INDEX($FK$170:$ID$241,GR$169,$FJ207),SUMPRODUCT(INDEX($FK$325:$ID$396,GR$169,1+SwaptionShift):INDEX($FK$325:$ID$396,GR$169,SwaptionMonthsToGo+SwaptionShift),INDEX($FK$245:$ID$316,$FJ207-GR$169,73-GR$169+SwaptionShift):INDEX($FK$245:$ID$316,$FJ207-GR$169,72-GR$169+SwaptionMonthsToGo+SwaptionShift))/SQRT(SUM(INDEX($FK362:$ID362,1+SwaptionShift):INDEX($FK362:$ID362,SwaptionMonthsToGo+SwaptionShift))*SUM(INDEX($FK$325:$ID$396,GR$169,1+SwaptionShift):INDEX($FK$325:$ID$396,GR$169,SwaptionMonthsToGo+SwaptionShift))))))</f>
        <v/>
      </c>
      <c r="GS207" s="479" t="str">
        <f ca="1">IF(OR(GS$169&lt;SwaptionFirstMonthPosition+1,$FJ207&lt;SwaptionFirstMonthPosition+1,GS$169&gt;SwaptionFirstMonthPosition+SwaptionNumOfMonths+1,$FJ207&gt;SwaptionFirstMonthPosition+SwaptionNumOfMonths+1),"",IF($FJ207=GS$169,1,IF($FJ207&lt;GS$169,INDEX($FK$170:$ID$241,GS$169,$FJ207),SUMPRODUCT(INDEX($FK$325:$ID$396,GS$169,1+SwaptionShift):INDEX($FK$325:$ID$396,GS$169,SwaptionMonthsToGo+SwaptionShift),INDEX($FK$245:$ID$316,$FJ207-GS$169,73-GS$169+SwaptionShift):INDEX($FK$245:$ID$316,$FJ207-GS$169,72-GS$169+SwaptionMonthsToGo+SwaptionShift))/SQRT(SUM(INDEX($FK362:$ID362,1+SwaptionShift):INDEX($FK362:$ID362,SwaptionMonthsToGo+SwaptionShift))*SUM(INDEX($FK$325:$ID$396,GS$169,1+SwaptionShift):INDEX($FK$325:$ID$396,GS$169,SwaptionMonthsToGo+SwaptionShift))))))</f>
        <v/>
      </c>
      <c r="GT207" s="479" t="str">
        <f ca="1">IF(OR(GT$169&lt;SwaptionFirstMonthPosition+1,$FJ207&lt;SwaptionFirstMonthPosition+1,GT$169&gt;SwaptionFirstMonthPosition+SwaptionNumOfMonths+1,$FJ207&gt;SwaptionFirstMonthPosition+SwaptionNumOfMonths+1),"",IF($FJ207=GT$169,1,IF($FJ207&lt;GT$169,INDEX($FK$170:$ID$241,GT$169,$FJ207),SUMPRODUCT(INDEX($FK$325:$ID$396,GT$169,1+SwaptionShift):INDEX($FK$325:$ID$396,GT$169,SwaptionMonthsToGo+SwaptionShift),INDEX($FK$245:$ID$316,$FJ207-GT$169,73-GT$169+SwaptionShift):INDEX($FK$245:$ID$316,$FJ207-GT$169,72-GT$169+SwaptionMonthsToGo+SwaptionShift))/SQRT(SUM(INDEX($FK362:$ID362,1+SwaptionShift):INDEX($FK362:$ID362,SwaptionMonthsToGo+SwaptionShift))*SUM(INDEX($FK$325:$ID$396,GT$169,1+SwaptionShift):INDEX($FK$325:$ID$396,GT$169,SwaptionMonthsToGo+SwaptionShift))))))</f>
        <v/>
      </c>
      <c r="GU207" s="479" t="str">
        <f ca="1">IF(OR(GU$169&lt;SwaptionFirstMonthPosition+1,$FJ207&lt;SwaptionFirstMonthPosition+1,GU$169&gt;SwaptionFirstMonthPosition+SwaptionNumOfMonths+1,$FJ207&gt;SwaptionFirstMonthPosition+SwaptionNumOfMonths+1),"",IF($FJ207=GU$169,1,IF($FJ207&lt;GU$169,INDEX($FK$170:$ID$241,GU$169,$FJ207),SUMPRODUCT(INDEX($FK$325:$ID$396,GU$169,1+SwaptionShift):INDEX($FK$325:$ID$396,GU$169,SwaptionMonthsToGo+SwaptionShift),INDEX($FK$245:$ID$316,$FJ207-GU$169,73-GU$169+SwaptionShift):INDEX($FK$245:$ID$316,$FJ207-GU$169,72-GU$169+SwaptionMonthsToGo+SwaptionShift))/SQRT(SUM(INDEX($FK362:$ID362,1+SwaptionShift):INDEX($FK362:$ID362,SwaptionMonthsToGo+SwaptionShift))*SUM(INDEX($FK$325:$ID$396,GU$169,1+SwaptionShift):INDEX($FK$325:$ID$396,GU$169,SwaptionMonthsToGo+SwaptionShift))))))</f>
        <v/>
      </c>
      <c r="GV207" s="479" t="str">
        <f ca="1">IF(OR(GV$169&lt;SwaptionFirstMonthPosition+1,$FJ207&lt;SwaptionFirstMonthPosition+1,GV$169&gt;SwaptionFirstMonthPosition+SwaptionNumOfMonths+1,$FJ207&gt;SwaptionFirstMonthPosition+SwaptionNumOfMonths+1),"",IF($FJ207=GV$169,1,IF($FJ207&lt;GV$169,INDEX($FK$170:$ID$241,GV$169,$FJ207),SUMPRODUCT(INDEX($FK$325:$ID$396,GV$169,1+SwaptionShift):INDEX($FK$325:$ID$396,GV$169,SwaptionMonthsToGo+SwaptionShift),INDEX($FK$245:$ID$316,$FJ207-GV$169,73-GV$169+SwaptionShift):INDEX($FK$245:$ID$316,$FJ207-GV$169,72-GV$169+SwaptionMonthsToGo+SwaptionShift))/SQRT(SUM(INDEX($FK362:$ID362,1+SwaptionShift):INDEX($FK362:$ID362,SwaptionMonthsToGo+SwaptionShift))*SUM(INDEX($FK$325:$ID$396,GV$169,1+SwaptionShift):INDEX($FK$325:$ID$396,GV$169,SwaptionMonthsToGo+SwaptionShift))))))</f>
        <v/>
      </c>
      <c r="GW207" s="479" t="str">
        <f ca="1">IF(OR(GW$169&lt;SwaptionFirstMonthPosition+1,$FJ207&lt;SwaptionFirstMonthPosition+1,GW$169&gt;SwaptionFirstMonthPosition+SwaptionNumOfMonths+1,$FJ207&gt;SwaptionFirstMonthPosition+SwaptionNumOfMonths+1),"",IF($FJ207=GW$169,1,IF($FJ207&lt;GW$169,INDEX($FK$170:$ID$241,GW$169,$FJ207),SUMPRODUCT(INDEX($FK$325:$ID$396,GW$169,1+SwaptionShift):INDEX($FK$325:$ID$396,GW$169,SwaptionMonthsToGo+SwaptionShift),INDEX($FK$245:$ID$316,$FJ207-GW$169,73-GW$169+SwaptionShift):INDEX($FK$245:$ID$316,$FJ207-GW$169,72-GW$169+SwaptionMonthsToGo+SwaptionShift))/SQRT(SUM(INDEX($FK362:$ID362,1+SwaptionShift):INDEX($FK362:$ID362,SwaptionMonthsToGo+SwaptionShift))*SUM(INDEX($FK$325:$ID$396,GW$169,1+SwaptionShift):INDEX($FK$325:$ID$396,GW$169,SwaptionMonthsToGo+SwaptionShift))))))</f>
        <v/>
      </c>
      <c r="GX207" s="479" t="str">
        <f ca="1">IF(OR(GX$169&lt;SwaptionFirstMonthPosition+1,$FJ207&lt;SwaptionFirstMonthPosition+1,GX$169&gt;SwaptionFirstMonthPosition+SwaptionNumOfMonths+1,$FJ207&gt;SwaptionFirstMonthPosition+SwaptionNumOfMonths+1),"",IF($FJ207=GX$169,1,IF($FJ207&lt;GX$169,INDEX($FK$170:$ID$241,GX$169,$FJ207),SUMPRODUCT(INDEX($FK$325:$ID$396,GX$169,1+SwaptionShift):INDEX($FK$325:$ID$396,GX$169,SwaptionMonthsToGo+SwaptionShift),INDEX($FK$245:$ID$316,$FJ207-GX$169,73-GX$169+SwaptionShift):INDEX($FK$245:$ID$316,$FJ207-GX$169,72-GX$169+SwaptionMonthsToGo+SwaptionShift))/SQRT(SUM(INDEX($FK362:$ID362,1+SwaptionShift):INDEX($FK362:$ID362,SwaptionMonthsToGo+SwaptionShift))*SUM(INDEX($FK$325:$ID$396,GX$169,1+SwaptionShift):INDEX($FK$325:$ID$396,GX$169,SwaptionMonthsToGo+SwaptionShift))))))</f>
        <v/>
      </c>
      <c r="GY207" s="479" t="str">
        <f ca="1">IF(OR(GY$169&lt;SwaptionFirstMonthPosition+1,$FJ207&lt;SwaptionFirstMonthPosition+1,GY$169&gt;SwaptionFirstMonthPosition+SwaptionNumOfMonths+1,$FJ207&gt;SwaptionFirstMonthPosition+SwaptionNumOfMonths+1),"",IF($FJ207=GY$169,1,IF($FJ207&lt;GY$169,INDEX($FK$170:$ID$241,GY$169,$FJ207),SUMPRODUCT(INDEX($FK$325:$ID$396,GY$169,1+SwaptionShift):INDEX($FK$325:$ID$396,GY$169,SwaptionMonthsToGo+SwaptionShift),INDEX($FK$245:$ID$316,$FJ207-GY$169,73-GY$169+SwaptionShift):INDEX($FK$245:$ID$316,$FJ207-GY$169,72-GY$169+SwaptionMonthsToGo+SwaptionShift))/SQRT(SUM(INDEX($FK362:$ID362,1+SwaptionShift):INDEX($FK362:$ID362,SwaptionMonthsToGo+SwaptionShift))*SUM(INDEX($FK$325:$ID$396,GY$169,1+SwaptionShift):INDEX($FK$325:$ID$396,GY$169,SwaptionMonthsToGo+SwaptionShift))))))</f>
        <v/>
      </c>
      <c r="GZ207" s="479" t="str">
        <f ca="1">IF(OR(GZ$169&lt;SwaptionFirstMonthPosition+1,$FJ207&lt;SwaptionFirstMonthPosition+1,GZ$169&gt;SwaptionFirstMonthPosition+SwaptionNumOfMonths+1,$FJ207&gt;SwaptionFirstMonthPosition+SwaptionNumOfMonths+1),"",IF($FJ207=GZ$169,1,IF($FJ207&lt;GZ$169,INDEX($FK$170:$ID$241,GZ$169,$FJ207),SUMPRODUCT(INDEX($FK$325:$ID$396,GZ$169,1+SwaptionShift):INDEX($FK$325:$ID$396,GZ$169,SwaptionMonthsToGo+SwaptionShift),INDEX($FK$245:$ID$316,$FJ207-GZ$169,73-GZ$169+SwaptionShift):INDEX($FK$245:$ID$316,$FJ207-GZ$169,72-GZ$169+SwaptionMonthsToGo+SwaptionShift))/SQRT(SUM(INDEX($FK362:$ID362,1+SwaptionShift):INDEX($FK362:$ID362,SwaptionMonthsToGo+SwaptionShift))*SUM(INDEX($FK$325:$ID$396,GZ$169,1+SwaptionShift):INDEX($FK$325:$ID$396,GZ$169,SwaptionMonthsToGo+SwaptionShift))))))</f>
        <v/>
      </c>
      <c r="HA207" s="479" t="str">
        <f ca="1">IF(OR(HA$169&lt;SwaptionFirstMonthPosition+1,$FJ207&lt;SwaptionFirstMonthPosition+1,HA$169&gt;SwaptionFirstMonthPosition+SwaptionNumOfMonths+1,$FJ207&gt;SwaptionFirstMonthPosition+SwaptionNumOfMonths+1),"",IF($FJ207=HA$169,1,IF($FJ207&lt;HA$169,INDEX($FK$170:$ID$241,HA$169,$FJ207),SUMPRODUCT(INDEX($FK$325:$ID$396,HA$169,1+SwaptionShift):INDEX($FK$325:$ID$396,HA$169,SwaptionMonthsToGo+SwaptionShift),INDEX($FK$245:$ID$316,$FJ207-HA$169,73-HA$169+SwaptionShift):INDEX($FK$245:$ID$316,$FJ207-HA$169,72-HA$169+SwaptionMonthsToGo+SwaptionShift))/SQRT(SUM(INDEX($FK362:$ID362,1+SwaptionShift):INDEX($FK362:$ID362,SwaptionMonthsToGo+SwaptionShift))*SUM(INDEX($FK$325:$ID$396,HA$169,1+SwaptionShift):INDEX($FK$325:$ID$396,HA$169,SwaptionMonthsToGo+SwaptionShift))))))</f>
        <v/>
      </c>
      <c r="HB207" s="479" t="str">
        <f ca="1">IF(OR(HB$169&lt;SwaptionFirstMonthPosition+1,$FJ207&lt;SwaptionFirstMonthPosition+1,HB$169&gt;SwaptionFirstMonthPosition+SwaptionNumOfMonths+1,$FJ207&gt;SwaptionFirstMonthPosition+SwaptionNumOfMonths+1),"",IF($FJ207=HB$169,1,IF($FJ207&lt;HB$169,INDEX($FK$170:$ID$241,HB$169,$FJ207),SUMPRODUCT(INDEX($FK$325:$ID$396,HB$169,1+SwaptionShift):INDEX($FK$325:$ID$396,HB$169,SwaptionMonthsToGo+SwaptionShift),INDEX($FK$245:$ID$316,$FJ207-HB$169,73-HB$169+SwaptionShift):INDEX($FK$245:$ID$316,$FJ207-HB$169,72-HB$169+SwaptionMonthsToGo+SwaptionShift))/SQRT(SUM(INDEX($FK362:$ID362,1+SwaptionShift):INDEX($FK362:$ID362,SwaptionMonthsToGo+SwaptionShift))*SUM(INDEX($FK$325:$ID$396,HB$169,1+SwaptionShift):INDEX($FK$325:$ID$396,HB$169,SwaptionMonthsToGo+SwaptionShift))))))</f>
        <v/>
      </c>
      <c r="HC207" s="479" t="str">
        <f ca="1">IF(OR(HC$169&lt;SwaptionFirstMonthPosition+1,$FJ207&lt;SwaptionFirstMonthPosition+1,HC$169&gt;SwaptionFirstMonthPosition+SwaptionNumOfMonths+1,$FJ207&gt;SwaptionFirstMonthPosition+SwaptionNumOfMonths+1),"",IF($FJ207=HC$169,1,IF($FJ207&lt;HC$169,INDEX($FK$170:$ID$241,HC$169,$FJ207),SUMPRODUCT(INDEX($FK$325:$ID$396,HC$169,1+SwaptionShift):INDEX($FK$325:$ID$396,HC$169,SwaptionMonthsToGo+SwaptionShift),INDEX($FK$245:$ID$316,$FJ207-HC$169,73-HC$169+SwaptionShift):INDEX($FK$245:$ID$316,$FJ207-HC$169,72-HC$169+SwaptionMonthsToGo+SwaptionShift))/SQRT(SUM(INDEX($FK362:$ID362,1+SwaptionShift):INDEX($FK362:$ID362,SwaptionMonthsToGo+SwaptionShift))*SUM(INDEX($FK$325:$ID$396,HC$169,1+SwaptionShift):INDEX($FK$325:$ID$396,HC$169,SwaptionMonthsToGo+SwaptionShift))))))</f>
        <v/>
      </c>
      <c r="HD207" s="479" t="str">
        <f ca="1">IF(OR(HD$169&lt;SwaptionFirstMonthPosition+1,$FJ207&lt;SwaptionFirstMonthPosition+1,HD$169&gt;SwaptionFirstMonthPosition+SwaptionNumOfMonths+1,$FJ207&gt;SwaptionFirstMonthPosition+SwaptionNumOfMonths+1),"",IF($FJ207=HD$169,1,IF($FJ207&lt;HD$169,INDEX($FK$170:$ID$241,HD$169,$FJ207),SUMPRODUCT(INDEX($FK$325:$ID$396,HD$169,1+SwaptionShift):INDEX($FK$325:$ID$396,HD$169,SwaptionMonthsToGo+SwaptionShift),INDEX($FK$245:$ID$316,$FJ207-HD$169,73-HD$169+SwaptionShift):INDEX($FK$245:$ID$316,$FJ207-HD$169,72-HD$169+SwaptionMonthsToGo+SwaptionShift))/SQRT(SUM(INDEX($FK362:$ID362,1+SwaptionShift):INDEX($FK362:$ID362,SwaptionMonthsToGo+SwaptionShift))*SUM(INDEX($FK$325:$ID$396,HD$169,1+SwaptionShift):INDEX($FK$325:$ID$396,HD$169,SwaptionMonthsToGo+SwaptionShift))))))</f>
        <v/>
      </c>
      <c r="HE207" s="479" t="str">
        <f ca="1">IF(OR(HE$169&lt;SwaptionFirstMonthPosition+1,$FJ207&lt;SwaptionFirstMonthPosition+1,HE$169&gt;SwaptionFirstMonthPosition+SwaptionNumOfMonths+1,$FJ207&gt;SwaptionFirstMonthPosition+SwaptionNumOfMonths+1),"",IF($FJ207=HE$169,1,IF($FJ207&lt;HE$169,INDEX($FK$170:$ID$241,HE$169,$FJ207),SUMPRODUCT(INDEX($FK$325:$ID$396,HE$169,1+SwaptionShift):INDEX($FK$325:$ID$396,HE$169,SwaptionMonthsToGo+SwaptionShift),INDEX($FK$245:$ID$316,$FJ207-HE$169,73-HE$169+SwaptionShift):INDEX($FK$245:$ID$316,$FJ207-HE$169,72-HE$169+SwaptionMonthsToGo+SwaptionShift))/SQRT(SUM(INDEX($FK362:$ID362,1+SwaptionShift):INDEX($FK362:$ID362,SwaptionMonthsToGo+SwaptionShift))*SUM(INDEX($FK$325:$ID$396,HE$169,1+SwaptionShift):INDEX($FK$325:$ID$396,HE$169,SwaptionMonthsToGo+SwaptionShift))))))</f>
        <v/>
      </c>
      <c r="HF207" s="479" t="str">
        <f ca="1">IF(OR(HF$169&lt;SwaptionFirstMonthPosition+1,$FJ207&lt;SwaptionFirstMonthPosition+1,HF$169&gt;SwaptionFirstMonthPosition+SwaptionNumOfMonths+1,$FJ207&gt;SwaptionFirstMonthPosition+SwaptionNumOfMonths+1),"",IF($FJ207=HF$169,1,IF($FJ207&lt;HF$169,INDEX($FK$170:$ID$241,HF$169,$FJ207),SUMPRODUCT(INDEX($FK$325:$ID$396,HF$169,1+SwaptionShift):INDEX($FK$325:$ID$396,HF$169,SwaptionMonthsToGo+SwaptionShift),INDEX($FK$245:$ID$316,$FJ207-HF$169,73-HF$169+SwaptionShift):INDEX($FK$245:$ID$316,$FJ207-HF$169,72-HF$169+SwaptionMonthsToGo+SwaptionShift))/SQRT(SUM(INDEX($FK362:$ID362,1+SwaptionShift):INDEX($FK362:$ID362,SwaptionMonthsToGo+SwaptionShift))*SUM(INDEX($FK$325:$ID$396,HF$169,1+SwaptionShift):INDEX($FK$325:$ID$396,HF$169,SwaptionMonthsToGo+SwaptionShift))))))</f>
        <v/>
      </c>
      <c r="HG207" s="479" t="str">
        <f ca="1">IF(OR(HG$169&lt;SwaptionFirstMonthPosition+1,$FJ207&lt;SwaptionFirstMonthPosition+1,HG$169&gt;SwaptionFirstMonthPosition+SwaptionNumOfMonths+1,$FJ207&gt;SwaptionFirstMonthPosition+SwaptionNumOfMonths+1),"",IF($FJ207=HG$169,1,IF($FJ207&lt;HG$169,INDEX($FK$170:$ID$241,HG$169,$FJ207),SUMPRODUCT(INDEX($FK$325:$ID$396,HG$169,1+SwaptionShift):INDEX($FK$325:$ID$396,HG$169,SwaptionMonthsToGo+SwaptionShift),INDEX($FK$245:$ID$316,$FJ207-HG$169,73-HG$169+SwaptionShift):INDEX($FK$245:$ID$316,$FJ207-HG$169,72-HG$169+SwaptionMonthsToGo+SwaptionShift))/SQRT(SUM(INDEX($FK362:$ID362,1+SwaptionShift):INDEX($FK362:$ID362,SwaptionMonthsToGo+SwaptionShift))*SUM(INDEX($FK$325:$ID$396,HG$169,1+SwaptionShift):INDEX($FK$325:$ID$396,HG$169,SwaptionMonthsToGo+SwaptionShift))))))</f>
        <v/>
      </c>
      <c r="HH207" s="479" t="str">
        <f ca="1">IF(OR(HH$169&lt;SwaptionFirstMonthPosition+1,$FJ207&lt;SwaptionFirstMonthPosition+1,HH$169&gt;SwaptionFirstMonthPosition+SwaptionNumOfMonths+1,$FJ207&gt;SwaptionFirstMonthPosition+SwaptionNumOfMonths+1),"",IF($FJ207=HH$169,1,IF($FJ207&lt;HH$169,INDEX($FK$170:$ID$241,HH$169,$FJ207),SUMPRODUCT(INDEX($FK$325:$ID$396,HH$169,1+SwaptionShift):INDEX($FK$325:$ID$396,HH$169,SwaptionMonthsToGo+SwaptionShift),INDEX($FK$245:$ID$316,$FJ207-HH$169,73-HH$169+SwaptionShift):INDEX($FK$245:$ID$316,$FJ207-HH$169,72-HH$169+SwaptionMonthsToGo+SwaptionShift))/SQRT(SUM(INDEX($FK362:$ID362,1+SwaptionShift):INDEX($FK362:$ID362,SwaptionMonthsToGo+SwaptionShift))*SUM(INDEX($FK$325:$ID$396,HH$169,1+SwaptionShift):INDEX($FK$325:$ID$396,HH$169,SwaptionMonthsToGo+SwaptionShift))))))</f>
        <v/>
      </c>
      <c r="HI207" s="479" t="str">
        <f ca="1">IF(OR(HI$169&lt;SwaptionFirstMonthPosition+1,$FJ207&lt;SwaptionFirstMonthPosition+1,HI$169&gt;SwaptionFirstMonthPosition+SwaptionNumOfMonths+1,$FJ207&gt;SwaptionFirstMonthPosition+SwaptionNumOfMonths+1),"",IF($FJ207=HI$169,1,IF($FJ207&lt;HI$169,INDEX($FK$170:$ID$241,HI$169,$FJ207),SUMPRODUCT(INDEX($FK$325:$ID$396,HI$169,1+SwaptionShift):INDEX($FK$325:$ID$396,HI$169,SwaptionMonthsToGo+SwaptionShift),INDEX($FK$245:$ID$316,$FJ207-HI$169,73-HI$169+SwaptionShift):INDEX($FK$245:$ID$316,$FJ207-HI$169,72-HI$169+SwaptionMonthsToGo+SwaptionShift))/SQRT(SUM(INDEX($FK362:$ID362,1+SwaptionShift):INDEX($FK362:$ID362,SwaptionMonthsToGo+SwaptionShift))*SUM(INDEX($FK$325:$ID$396,HI$169,1+SwaptionShift):INDEX($FK$325:$ID$396,HI$169,SwaptionMonthsToGo+SwaptionShift))))))</f>
        <v/>
      </c>
      <c r="HJ207" s="479" t="str">
        <f ca="1">IF(OR(HJ$169&lt;SwaptionFirstMonthPosition+1,$FJ207&lt;SwaptionFirstMonthPosition+1,HJ$169&gt;SwaptionFirstMonthPosition+SwaptionNumOfMonths+1,$FJ207&gt;SwaptionFirstMonthPosition+SwaptionNumOfMonths+1),"",IF($FJ207=HJ$169,1,IF($FJ207&lt;HJ$169,INDEX($FK$170:$ID$241,HJ$169,$FJ207),SUMPRODUCT(INDEX($FK$325:$ID$396,HJ$169,1+SwaptionShift):INDEX($FK$325:$ID$396,HJ$169,SwaptionMonthsToGo+SwaptionShift),INDEX($FK$245:$ID$316,$FJ207-HJ$169,73-HJ$169+SwaptionShift):INDEX($FK$245:$ID$316,$FJ207-HJ$169,72-HJ$169+SwaptionMonthsToGo+SwaptionShift))/SQRT(SUM(INDEX($FK362:$ID362,1+SwaptionShift):INDEX($FK362:$ID362,SwaptionMonthsToGo+SwaptionShift))*SUM(INDEX($FK$325:$ID$396,HJ$169,1+SwaptionShift):INDEX($FK$325:$ID$396,HJ$169,SwaptionMonthsToGo+SwaptionShift))))))</f>
        <v/>
      </c>
      <c r="HK207" s="479" t="str">
        <f ca="1">IF(OR(HK$169&lt;SwaptionFirstMonthPosition+1,$FJ207&lt;SwaptionFirstMonthPosition+1,HK$169&gt;SwaptionFirstMonthPosition+SwaptionNumOfMonths+1,$FJ207&gt;SwaptionFirstMonthPosition+SwaptionNumOfMonths+1),"",IF($FJ207=HK$169,1,IF($FJ207&lt;HK$169,INDEX($FK$170:$ID$241,HK$169,$FJ207),SUMPRODUCT(INDEX($FK$325:$ID$396,HK$169,1+SwaptionShift):INDEX($FK$325:$ID$396,HK$169,SwaptionMonthsToGo+SwaptionShift),INDEX($FK$245:$ID$316,$FJ207-HK$169,73-HK$169+SwaptionShift):INDEX($FK$245:$ID$316,$FJ207-HK$169,72-HK$169+SwaptionMonthsToGo+SwaptionShift))/SQRT(SUM(INDEX($FK362:$ID362,1+SwaptionShift):INDEX($FK362:$ID362,SwaptionMonthsToGo+SwaptionShift))*SUM(INDEX($FK$325:$ID$396,HK$169,1+SwaptionShift):INDEX($FK$325:$ID$396,HK$169,SwaptionMonthsToGo+SwaptionShift))))))</f>
        <v/>
      </c>
      <c r="HL207" s="479" t="str">
        <f ca="1">IF(OR(HL$169&lt;SwaptionFirstMonthPosition+1,$FJ207&lt;SwaptionFirstMonthPosition+1,HL$169&gt;SwaptionFirstMonthPosition+SwaptionNumOfMonths+1,$FJ207&gt;SwaptionFirstMonthPosition+SwaptionNumOfMonths+1),"",IF($FJ207=HL$169,1,IF($FJ207&lt;HL$169,INDEX($FK$170:$ID$241,HL$169,$FJ207),SUMPRODUCT(INDEX($FK$325:$ID$396,HL$169,1+SwaptionShift):INDEX($FK$325:$ID$396,HL$169,SwaptionMonthsToGo+SwaptionShift),INDEX($FK$245:$ID$316,$FJ207-HL$169,73-HL$169+SwaptionShift):INDEX($FK$245:$ID$316,$FJ207-HL$169,72-HL$169+SwaptionMonthsToGo+SwaptionShift))/SQRT(SUM(INDEX($FK362:$ID362,1+SwaptionShift):INDEX($FK362:$ID362,SwaptionMonthsToGo+SwaptionShift))*SUM(INDEX($FK$325:$ID$396,HL$169,1+SwaptionShift):INDEX($FK$325:$ID$396,HL$169,SwaptionMonthsToGo+SwaptionShift))))))</f>
        <v/>
      </c>
      <c r="HM207" s="479" t="str">
        <f ca="1">IF(OR(HM$169&lt;SwaptionFirstMonthPosition+1,$FJ207&lt;SwaptionFirstMonthPosition+1,HM$169&gt;SwaptionFirstMonthPosition+SwaptionNumOfMonths+1,$FJ207&gt;SwaptionFirstMonthPosition+SwaptionNumOfMonths+1),"",IF($FJ207=HM$169,1,IF($FJ207&lt;HM$169,INDEX($FK$170:$ID$241,HM$169,$FJ207),SUMPRODUCT(INDEX($FK$325:$ID$396,HM$169,1+SwaptionShift):INDEX($FK$325:$ID$396,HM$169,SwaptionMonthsToGo+SwaptionShift),INDEX($FK$245:$ID$316,$FJ207-HM$169,73-HM$169+SwaptionShift):INDEX($FK$245:$ID$316,$FJ207-HM$169,72-HM$169+SwaptionMonthsToGo+SwaptionShift))/SQRT(SUM(INDEX($FK362:$ID362,1+SwaptionShift):INDEX($FK362:$ID362,SwaptionMonthsToGo+SwaptionShift))*SUM(INDEX($FK$325:$ID$396,HM$169,1+SwaptionShift):INDEX($FK$325:$ID$396,HM$169,SwaptionMonthsToGo+SwaptionShift))))))</f>
        <v/>
      </c>
      <c r="HN207" s="479" t="str">
        <f ca="1">IF(OR(HN$169&lt;SwaptionFirstMonthPosition+1,$FJ207&lt;SwaptionFirstMonthPosition+1,HN$169&gt;SwaptionFirstMonthPosition+SwaptionNumOfMonths+1,$FJ207&gt;SwaptionFirstMonthPosition+SwaptionNumOfMonths+1),"",IF($FJ207=HN$169,1,IF($FJ207&lt;HN$169,INDEX($FK$170:$ID$241,HN$169,$FJ207),SUMPRODUCT(INDEX($FK$325:$ID$396,HN$169,1+SwaptionShift):INDEX($FK$325:$ID$396,HN$169,SwaptionMonthsToGo+SwaptionShift),INDEX($FK$245:$ID$316,$FJ207-HN$169,73-HN$169+SwaptionShift):INDEX($FK$245:$ID$316,$FJ207-HN$169,72-HN$169+SwaptionMonthsToGo+SwaptionShift))/SQRT(SUM(INDEX($FK362:$ID362,1+SwaptionShift):INDEX($FK362:$ID362,SwaptionMonthsToGo+SwaptionShift))*SUM(INDEX($FK$325:$ID$396,HN$169,1+SwaptionShift):INDEX($FK$325:$ID$396,HN$169,SwaptionMonthsToGo+SwaptionShift))))))</f>
        <v/>
      </c>
      <c r="HO207" s="479" t="str">
        <f ca="1">IF(OR(HO$169&lt;SwaptionFirstMonthPosition+1,$FJ207&lt;SwaptionFirstMonthPosition+1,HO$169&gt;SwaptionFirstMonthPosition+SwaptionNumOfMonths+1,$FJ207&gt;SwaptionFirstMonthPosition+SwaptionNumOfMonths+1),"",IF($FJ207=HO$169,1,IF($FJ207&lt;HO$169,INDEX($FK$170:$ID$241,HO$169,$FJ207),SUMPRODUCT(INDEX($FK$325:$ID$396,HO$169,1+SwaptionShift):INDEX($FK$325:$ID$396,HO$169,SwaptionMonthsToGo+SwaptionShift),INDEX($FK$245:$ID$316,$FJ207-HO$169,73-HO$169+SwaptionShift):INDEX($FK$245:$ID$316,$FJ207-HO$169,72-HO$169+SwaptionMonthsToGo+SwaptionShift))/SQRT(SUM(INDEX($FK362:$ID362,1+SwaptionShift):INDEX($FK362:$ID362,SwaptionMonthsToGo+SwaptionShift))*SUM(INDEX($FK$325:$ID$396,HO$169,1+SwaptionShift):INDEX($FK$325:$ID$396,HO$169,SwaptionMonthsToGo+SwaptionShift))))))</f>
        <v/>
      </c>
      <c r="HP207" s="479" t="str">
        <f ca="1">IF(OR(HP$169&lt;SwaptionFirstMonthPosition+1,$FJ207&lt;SwaptionFirstMonthPosition+1,HP$169&gt;SwaptionFirstMonthPosition+SwaptionNumOfMonths+1,$FJ207&gt;SwaptionFirstMonthPosition+SwaptionNumOfMonths+1),"",IF($FJ207=HP$169,1,IF($FJ207&lt;HP$169,INDEX($FK$170:$ID$241,HP$169,$FJ207),SUMPRODUCT(INDEX($FK$325:$ID$396,HP$169,1+SwaptionShift):INDEX($FK$325:$ID$396,HP$169,SwaptionMonthsToGo+SwaptionShift),INDEX($FK$245:$ID$316,$FJ207-HP$169,73-HP$169+SwaptionShift):INDEX($FK$245:$ID$316,$FJ207-HP$169,72-HP$169+SwaptionMonthsToGo+SwaptionShift))/SQRT(SUM(INDEX($FK362:$ID362,1+SwaptionShift):INDEX($FK362:$ID362,SwaptionMonthsToGo+SwaptionShift))*SUM(INDEX($FK$325:$ID$396,HP$169,1+SwaptionShift):INDEX($FK$325:$ID$396,HP$169,SwaptionMonthsToGo+SwaptionShift))))))</f>
        <v/>
      </c>
      <c r="HQ207" s="479" t="str">
        <f ca="1">IF(OR(HQ$169&lt;SwaptionFirstMonthPosition+1,$FJ207&lt;SwaptionFirstMonthPosition+1,HQ$169&gt;SwaptionFirstMonthPosition+SwaptionNumOfMonths+1,$FJ207&gt;SwaptionFirstMonthPosition+SwaptionNumOfMonths+1),"",IF($FJ207=HQ$169,1,IF($FJ207&lt;HQ$169,INDEX($FK$170:$ID$241,HQ$169,$FJ207),SUMPRODUCT(INDEX($FK$325:$ID$396,HQ$169,1+SwaptionShift):INDEX($FK$325:$ID$396,HQ$169,SwaptionMonthsToGo+SwaptionShift),INDEX($FK$245:$ID$316,$FJ207-HQ$169,73-HQ$169+SwaptionShift):INDEX($FK$245:$ID$316,$FJ207-HQ$169,72-HQ$169+SwaptionMonthsToGo+SwaptionShift))/SQRT(SUM(INDEX($FK362:$ID362,1+SwaptionShift):INDEX($FK362:$ID362,SwaptionMonthsToGo+SwaptionShift))*SUM(INDEX($FK$325:$ID$396,HQ$169,1+SwaptionShift):INDEX($FK$325:$ID$396,HQ$169,SwaptionMonthsToGo+SwaptionShift))))))</f>
        <v/>
      </c>
      <c r="HR207" s="479" t="str">
        <f ca="1">IF(OR(HR$169&lt;SwaptionFirstMonthPosition+1,$FJ207&lt;SwaptionFirstMonthPosition+1,HR$169&gt;SwaptionFirstMonthPosition+SwaptionNumOfMonths+1,$FJ207&gt;SwaptionFirstMonthPosition+SwaptionNumOfMonths+1),"",IF($FJ207=HR$169,1,IF($FJ207&lt;HR$169,INDEX($FK$170:$ID$241,HR$169,$FJ207),SUMPRODUCT(INDEX($FK$325:$ID$396,HR$169,1+SwaptionShift):INDEX($FK$325:$ID$396,HR$169,SwaptionMonthsToGo+SwaptionShift),INDEX($FK$245:$ID$316,$FJ207-HR$169,73-HR$169+SwaptionShift):INDEX($FK$245:$ID$316,$FJ207-HR$169,72-HR$169+SwaptionMonthsToGo+SwaptionShift))/SQRT(SUM(INDEX($FK362:$ID362,1+SwaptionShift):INDEX($FK362:$ID362,SwaptionMonthsToGo+SwaptionShift))*SUM(INDEX($FK$325:$ID$396,HR$169,1+SwaptionShift):INDEX($FK$325:$ID$396,HR$169,SwaptionMonthsToGo+SwaptionShift))))))</f>
        <v/>
      </c>
      <c r="HS207" s="479" t="str">
        <f ca="1">IF(OR(HS$169&lt;SwaptionFirstMonthPosition+1,$FJ207&lt;SwaptionFirstMonthPosition+1,HS$169&gt;SwaptionFirstMonthPosition+SwaptionNumOfMonths+1,$FJ207&gt;SwaptionFirstMonthPosition+SwaptionNumOfMonths+1),"",IF($FJ207=HS$169,1,IF($FJ207&lt;HS$169,INDEX($FK$170:$ID$241,HS$169,$FJ207),SUMPRODUCT(INDEX($FK$325:$ID$396,HS$169,1+SwaptionShift):INDEX($FK$325:$ID$396,HS$169,SwaptionMonthsToGo+SwaptionShift),INDEX($FK$245:$ID$316,$FJ207-HS$169,73-HS$169+SwaptionShift):INDEX($FK$245:$ID$316,$FJ207-HS$169,72-HS$169+SwaptionMonthsToGo+SwaptionShift))/SQRT(SUM(INDEX($FK362:$ID362,1+SwaptionShift):INDEX($FK362:$ID362,SwaptionMonthsToGo+SwaptionShift))*SUM(INDEX($FK$325:$ID$396,HS$169,1+SwaptionShift):INDEX($FK$325:$ID$396,HS$169,SwaptionMonthsToGo+SwaptionShift))))))</f>
        <v/>
      </c>
      <c r="HT207" s="479" t="str">
        <f ca="1">IF(OR(HT$169&lt;SwaptionFirstMonthPosition+1,$FJ207&lt;SwaptionFirstMonthPosition+1,HT$169&gt;SwaptionFirstMonthPosition+SwaptionNumOfMonths+1,$FJ207&gt;SwaptionFirstMonthPosition+SwaptionNumOfMonths+1),"",IF($FJ207=HT$169,1,IF($FJ207&lt;HT$169,INDEX($FK$170:$ID$241,HT$169,$FJ207),SUMPRODUCT(INDEX($FK$325:$ID$396,HT$169,1+SwaptionShift):INDEX($FK$325:$ID$396,HT$169,SwaptionMonthsToGo+SwaptionShift),INDEX($FK$245:$ID$316,$FJ207-HT$169,73-HT$169+SwaptionShift):INDEX($FK$245:$ID$316,$FJ207-HT$169,72-HT$169+SwaptionMonthsToGo+SwaptionShift))/SQRT(SUM(INDEX($FK362:$ID362,1+SwaptionShift):INDEX($FK362:$ID362,SwaptionMonthsToGo+SwaptionShift))*SUM(INDEX($FK$325:$ID$396,HT$169,1+SwaptionShift):INDEX($FK$325:$ID$396,HT$169,SwaptionMonthsToGo+SwaptionShift))))))</f>
        <v/>
      </c>
      <c r="HU207" s="479" t="str">
        <f ca="1">IF(OR(HU$169&lt;SwaptionFirstMonthPosition+1,$FJ207&lt;SwaptionFirstMonthPosition+1,HU$169&gt;SwaptionFirstMonthPosition+SwaptionNumOfMonths+1,$FJ207&gt;SwaptionFirstMonthPosition+SwaptionNumOfMonths+1),"",IF($FJ207=HU$169,1,IF($FJ207&lt;HU$169,INDEX($FK$170:$ID$241,HU$169,$FJ207),SUMPRODUCT(INDEX($FK$325:$ID$396,HU$169,1+SwaptionShift):INDEX($FK$325:$ID$396,HU$169,SwaptionMonthsToGo+SwaptionShift),INDEX($FK$245:$ID$316,$FJ207-HU$169,73-HU$169+SwaptionShift):INDEX($FK$245:$ID$316,$FJ207-HU$169,72-HU$169+SwaptionMonthsToGo+SwaptionShift))/SQRT(SUM(INDEX($FK362:$ID362,1+SwaptionShift):INDEX($FK362:$ID362,SwaptionMonthsToGo+SwaptionShift))*SUM(INDEX($FK$325:$ID$396,HU$169,1+SwaptionShift):INDEX($FK$325:$ID$396,HU$169,SwaptionMonthsToGo+SwaptionShift))))))</f>
        <v/>
      </c>
      <c r="HV207" s="479" t="str">
        <f ca="1">IF(OR(HV$169&lt;SwaptionFirstMonthPosition+1,$FJ207&lt;SwaptionFirstMonthPosition+1,HV$169&gt;SwaptionFirstMonthPosition+SwaptionNumOfMonths+1,$FJ207&gt;SwaptionFirstMonthPosition+SwaptionNumOfMonths+1),"",IF($FJ207=HV$169,1,IF($FJ207&lt;HV$169,INDEX($FK$170:$ID$241,HV$169,$FJ207),SUMPRODUCT(INDEX($FK$325:$ID$396,HV$169,1+SwaptionShift):INDEX($FK$325:$ID$396,HV$169,SwaptionMonthsToGo+SwaptionShift),INDEX($FK$245:$ID$316,$FJ207-HV$169,73-HV$169+SwaptionShift):INDEX($FK$245:$ID$316,$FJ207-HV$169,72-HV$169+SwaptionMonthsToGo+SwaptionShift))/SQRT(SUM(INDEX($FK362:$ID362,1+SwaptionShift):INDEX($FK362:$ID362,SwaptionMonthsToGo+SwaptionShift))*SUM(INDEX($FK$325:$ID$396,HV$169,1+SwaptionShift):INDEX($FK$325:$ID$396,HV$169,SwaptionMonthsToGo+SwaptionShift))))))</f>
        <v/>
      </c>
      <c r="HW207" s="479" t="str">
        <f ca="1">IF(OR(HW$169&lt;SwaptionFirstMonthPosition+1,$FJ207&lt;SwaptionFirstMonthPosition+1,HW$169&gt;SwaptionFirstMonthPosition+SwaptionNumOfMonths+1,$FJ207&gt;SwaptionFirstMonthPosition+SwaptionNumOfMonths+1),"",IF($FJ207=HW$169,1,IF($FJ207&lt;HW$169,INDEX($FK$170:$ID$241,HW$169,$FJ207),SUMPRODUCT(INDEX($FK$325:$ID$396,HW$169,1+SwaptionShift):INDEX($FK$325:$ID$396,HW$169,SwaptionMonthsToGo+SwaptionShift),INDEX($FK$245:$ID$316,$FJ207-HW$169,73-HW$169+SwaptionShift):INDEX($FK$245:$ID$316,$FJ207-HW$169,72-HW$169+SwaptionMonthsToGo+SwaptionShift))/SQRT(SUM(INDEX($FK362:$ID362,1+SwaptionShift):INDEX($FK362:$ID362,SwaptionMonthsToGo+SwaptionShift))*SUM(INDEX($FK$325:$ID$396,HW$169,1+SwaptionShift):INDEX($FK$325:$ID$396,HW$169,SwaptionMonthsToGo+SwaptionShift))))))</f>
        <v/>
      </c>
      <c r="HX207" s="479" t="str">
        <f ca="1">IF(OR(HX$169&lt;SwaptionFirstMonthPosition+1,$FJ207&lt;SwaptionFirstMonthPosition+1,HX$169&gt;SwaptionFirstMonthPosition+SwaptionNumOfMonths+1,$FJ207&gt;SwaptionFirstMonthPosition+SwaptionNumOfMonths+1),"",IF($FJ207=HX$169,1,IF($FJ207&lt;HX$169,INDEX($FK$170:$ID$241,HX$169,$FJ207),SUMPRODUCT(INDEX($FK$325:$ID$396,HX$169,1+SwaptionShift):INDEX($FK$325:$ID$396,HX$169,SwaptionMonthsToGo+SwaptionShift),INDEX($FK$245:$ID$316,$FJ207-HX$169,73-HX$169+SwaptionShift):INDEX($FK$245:$ID$316,$FJ207-HX$169,72-HX$169+SwaptionMonthsToGo+SwaptionShift))/SQRT(SUM(INDEX($FK362:$ID362,1+SwaptionShift):INDEX($FK362:$ID362,SwaptionMonthsToGo+SwaptionShift))*SUM(INDEX($FK$325:$ID$396,HX$169,1+SwaptionShift):INDEX($FK$325:$ID$396,HX$169,SwaptionMonthsToGo+SwaptionShift))))))</f>
        <v/>
      </c>
      <c r="HY207" s="479" t="str">
        <f ca="1">IF(OR(HY$169&lt;SwaptionFirstMonthPosition+1,$FJ207&lt;SwaptionFirstMonthPosition+1,HY$169&gt;SwaptionFirstMonthPosition+SwaptionNumOfMonths+1,$FJ207&gt;SwaptionFirstMonthPosition+SwaptionNumOfMonths+1),"",IF($FJ207=HY$169,1,IF($FJ207&lt;HY$169,INDEX($FK$170:$ID$241,HY$169,$FJ207),SUMPRODUCT(INDEX($FK$325:$ID$396,HY$169,1+SwaptionShift):INDEX($FK$325:$ID$396,HY$169,SwaptionMonthsToGo+SwaptionShift),INDEX($FK$245:$ID$316,$FJ207-HY$169,73-HY$169+SwaptionShift):INDEX($FK$245:$ID$316,$FJ207-HY$169,72-HY$169+SwaptionMonthsToGo+SwaptionShift))/SQRT(SUM(INDEX($FK362:$ID362,1+SwaptionShift):INDEX($FK362:$ID362,SwaptionMonthsToGo+SwaptionShift))*SUM(INDEX($FK$325:$ID$396,HY$169,1+SwaptionShift):INDEX($FK$325:$ID$396,HY$169,SwaptionMonthsToGo+SwaptionShift))))))</f>
        <v/>
      </c>
      <c r="HZ207" s="479" t="str">
        <f ca="1">IF(OR(HZ$169&lt;SwaptionFirstMonthPosition+1,$FJ207&lt;SwaptionFirstMonthPosition+1,HZ$169&gt;SwaptionFirstMonthPosition+SwaptionNumOfMonths+1,$FJ207&gt;SwaptionFirstMonthPosition+SwaptionNumOfMonths+1),"",IF($FJ207=HZ$169,1,IF($FJ207&lt;HZ$169,INDEX($FK$170:$ID$241,HZ$169,$FJ207),SUMPRODUCT(INDEX($FK$325:$ID$396,HZ$169,1+SwaptionShift):INDEX($FK$325:$ID$396,HZ$169,SwaptionMonthsToGo+SwaptionShift),INDEX($FK$245:$ID$316,$FJ207-HZ$169,73-HZ$169+SwaptionShift):INDEX($FK$245:$ID$316,$FJ207-HZ$169,72-HZ$169+SwaptionMonthsToGo+SwaptionShift))/SQRT(SUM(INDEX($FK362:$ID362,1+SwaptionShift):INDEX($FK362:$ID362,SwaptionMonthsToGo+SwaptionShift))*SUM(INDEX($FK$325:$ID$396,HZ$169,1+SwaptionShift):INDEX($FK$325:$ID$396,HZ$169,SwaptionMonthsToGo+SwaptionShift))))))</f>
        <v/>
      </c>
      <c r="IA207" s="479" t="str">
        <f ca="1">IF(OR(IA$169&lt;SwaptionFirstMonthPosition+1,$FJ207&lt;SwaptionFirstMonthPosition+1,IA$169&gt;SwaptionFirstMonthPosition+SwaptionNumOfMonths+1,$FJ207&gt;SwaptionFirstMonthPosition+SwaptionNumOfMonths+1),"",IF($FJ207=IA$169,1,IF($FJ207&lt;IA$169,INDEX($FK$170:$ID$241,IA$169,$FJ207),SUMPRODUCT(INDEX($FK$325:$ID$396,IA$169,1+SwaptionShift):INDEX($FK$325:$ID$396,IA$169,SwaptionMonthsToGo+SwaptionShift),INDEX($FK$245:$ID$316,$FJ207-IA$169,73-IA$169+SwaptionShift):INDEX($FK$245:$ID$316,$FJ207-IA$169,72-IA$169+SwaptionMonthsToGo+SwaptionShift))/SQRT(SUM(INDEX($FK362:$ID362,1+SwaptionShift):INDEX($FK362:$ID362,SwaptionMonthsToGo+SwaptionShift))*SUM(INDEX($FK$325:$ID$396,IA$169,1+SwaptionShift):INDEX($FK$325:$ID$396,IA$169,SwaptionMonthsToGo+SwaptionShift))))))</f>
        <v/>
      </c>
      <c r="IB207" s="479" t="str">
        <f ca="1">IF(OR(IB$169&lt;SwaptionFirstMonthPosition+1,$FJ207&lt;SwaptionFirstMonthPosition+1,IB$169&gt;SwaptionFirstMonthPosition+SwaptionNumOfMonths+1,$FJ207&gt;SwaptionFirstMonthPosition+SwaptionNumOfMonths+1),"",IF($FJ207=IB$169,1,IF($FJ207&lt;IB$169,INDEX($FK$170:$ID$241,IB$169,$FJ207),SUMPRODUCT(INDEX($FK$325:$ID$396,IB$169,1+SwaptionShift):INDEX($FK$325:$ID$396,IB$169,SwaptionMonthsToGo+SwaptionShift),INDEX($FK$245:$ID$316,$FJ207-IB$169,73-IB$169+SwaptionShift):INDEX($FK$245:$ID$316,$FJ207-IB$169,72-IB$169+SwaptionMonthsToGo+SwaptionShift))/SQRT(SUM(INDEX($FK362:$ID362,1+SwaptionShift):INDEX($FK362:$ID362,SwaptionMonthsToGo+SwaptionShift))*SUM(INDEX($FK$325:$ID$396,IB$169,1+SwaptionShift):INDEX($FK$325:$ID$396,IB$169,SwaptionMonthsToGo+SwaptionShift))))))</f>
        <v/>
      </c>
      <c r="IC207" s="479" t="str">
        <f ca="1">IF(OR(IC$169&lt;SwaptionFirstMonthPosition+1,$FJ207&lt;SwaptionFirstMonthPosition+1,IC$169&gt;SwaptionFirstMonthPosition+SwaptionNumOfMonths+1,$FJ207&gt;SwaptionFirstMonthPosition+SwaptionNumOfMonths+1),"",IF($FJ207=IC$169,1,IF($FJ207&lt;IC$169,INDEX($FK$170:$ID$241,IC$169,$FJ207),SUMPRODUCT(INDEX($FK$325:$ID$396,IC$169,1+SwaptionShift):INDEX($FK$325:$ID$396,IC$169,SwaptionMonthsToGo+SwaptionShift),INDEX($FK$245:$ID$316,$FJ207-IC$169,73-IC$169+SwaptionShift):INDEX($FK$245:$ID$316,$FJ207-IC$169,72-IC$169+SwaptionMonthsToGo+SwaptionShift))/SQRT(SUM(INDEX($FK362:$ID362,1+SwaptionShift):INDEX($FK362:$ID362,SwaptionMonthsToGo+SwaptionShift))*SUM(INDEX($FK$325:$ID$396,IC$169,1+SwaptionShift):INDEX($FK$325:$ID$396,IC$169,SwaptionMonthsToGo+SwaptionShift))))))</f>
        <v/>
      </c>
      <c r="ID207" s="678" t="str">
        <f ca="1">IF(OR(ID$169&lt;SwaptionFirstMonthPosition+1,$FJ207&lt;SwaptionFirstMonthPosition+1,ID$169&gt;SwaptionFirstMonthPosition+SwaptionNumOfMonths+1,$FJ207&gt;SwaptionFirstMonthPosition+SwaptionNumOfMonths+1),"",IF($FJ207=ID$169,1,IF($FJ207&lt;ID$169,INDEX($FK$170:$ID$241,ID$169,$FJ207),SUMPRODUCT(INDEX($FK$325:$ID$396,ID$169,1+SwaptionShift):INDEX($FK$325:$ID$396,ID$169,SwaptionMonthsToGo+SwaptionShift),INDEX($FK$245:$ID$316,$FJ207-ID$169,73-ID$169+SwaptionShift):INDEX($FK$245:$ID$316,$FJ207-ID$169,72-ID$169+SwaptionMonthsToGo+SwaptionShift))/SQRT(SUM(INDEX($FK362:$ID362,1+SwaptionShift):INDEX($FK362:$ID362,SwaptionMonthsToGo+SwaptionShift))*SUM(INDEX($FK$325:$ID$396,ID$169,1+SwaptionShift):INDEX($FK$325:$ID$396,ID$169,SwaptionMonthsToGo+SwaptionShift))))))</f>
        <v/>
      </c>
      <c r="IE207" s="250"/>
    </row>
    <row r="208" spans="8:239">
      <c r="H208" s="51">
        <f t="shared" ca="1" si="527"/>
        <v>0</v>
      </c>
      <c r="I208" s="379">
        <f t="shared" si="528"/>
        <v>42491</v>
      </c>
      <c r="J208" s="377"/>
      <c r="K208" s="104" t="s">
        <v>268</v>
      </c>
      <c r="L208" s="392">
        <f t="shared" si="529"/>
        <v>4.2000000000000046</v>
      </c>
      <c r="M208" s="171"/>
      <c r="N208" s="382">
        <v>0</v>
      </c>
      <c r="O208" s="171">
        <f t="shared" si="596"/>
        <v>0</v>
      </c>
      <c r="P208" s="377"/>
      <c r="Q208" s="104" t="s">
        <v>268</v>
      </c>
      <c r="R208" s="377">
        <f t="shared" ca="1" si="597"/>
        <v>3.0371712165174269</v>
      </c>
      <c r="S208" s="832">
        <f t="shared" si="564"/>
        <v>0.3600000000000001</v>
      </c>
      <c r="T208" s="831">
        <f t="shared" si="548"/>
        <v>0.99999999999998179</v>
      </c>
      <c r="U208" s="545">
        <f t="shared" si="549"/>
        <v>0.99999999999999978</v>
      </c>
      <c r="V208" s="389">
        <v>0</v>
      </c>
      <c r="W208" s="434">
        <f t="shared" si="598"/>
        <v>0</v>
      </c>
      <c r="X208" s="415">
        <f t="shared" si="599"/>
        <v>4.2494318181818223</v>
      </c>
      <c r="Y208" s="322">
        <f t="shared" si="600"/>
        <v>-1.2915000000000001</v>
      </c>
      <c r="Z208" s="322">
        <f t="shared" ca="1" si="601"/>
        <v>2.9579318181818222</v>
      </c>
      <c r="AA208" s="429">
        <f t="shared" si="495"/>
        <v>1.2915000000000001</v>
      </c>
      <c r="AB208" s="433">
        <f t="shared" ca="1" si="496"/>
        <v>1.2915000000000001</v>
      </c>
      <c r="AC208" s="229">
        <v>42480</v>
      </c>
      <c r="AD208" s="229">
        <v>42476</v>
      </c>
      <c r="AE208" s="229">
        <v>42475</v>
      </c>
      <c r="AF208" s="229">
        <v>42471</v>
      </c>
      <c r="AG208" s="249" t="s">
        <v>499</v>
      </c>
      <c r="AH208" s="247" t="s">
        <v>499</v>
      </c>
      <c r="AI208" s="146">
        <v>22</v>
      </c>
      <c r="AJ208" s="41">
        <v>15</v>
      </c>
      <c r="AK208" s="41">
        <v>7</v>
      </c>
      <c r="AL208" s="293">
        <v>22</v>
      </c>
      <c r="AM208" s="41">
        <v>10</v>
      </c>
      <c r="AN208" s="147">
        <v>12</v>
      </c>
      <c r="AO208" s="374"/>
      <c r="AP208" s="153">
        <f t="shared" ca="1" si="530"/>
        <v>1</v>
      </c>
      <c r="AQ208" s="374"/>
      <c r="AR208" s="153">
        <f t="shared" ca="1" si="550"/>
        <v>1</v>
      </c>
      <c r="AS208" s="272">
        <f t="shared" si="602"/>
        <v>0</v>
      </c>
      <c r="AT208" s="157">
        <f t="shared" si="531"/>
        <v>0</v>
      </c>
      <c r="AU208" s="157">
        <f t="shared" si="498"/>
        <v>0</v>
      </c>
      <c r="AV208" s="271">
        <f t="shared" ca="1" si="558"/>
        <v>9.9999999999999995E-7</v>
      </c>
      <c r="AW208" s="158" t="str">
        <f t="shared" ca="1" si="583"/>
        <v/>
      </c>
      <c r="AX208" s="157">
        <f t="shared" ca="1" si="551"/>
        <v>4.4628368812376046E-5</v>
      </c>
      <c r="AY208" s="157">
        <f t="shared" ca="1" si="552"/>
        <v>9.8605070840653E-6</v>
      </c>
      <c r="AZ208" s="157">
        <f t="shared" ca="1" si="553"/>
        <v>2.8098442371883734E-7</v>
      </c>
      <c r="BA208" s="157">
        <f t="shared" ca="1" si="554"/>
        <v>3.5123052964854667E-8</v>
      </c>
      <c r="BB208" s="157">
        <f t="shared" ca="1" si="555"/>
        <v>1.3062371346100272E-10</v>
      </c>
      <c r="BC208" s="157">
        <f t="shared" ca="1" si="556"/>
        <v>2.4672576991436811E-12</v>
      </c>
      <c r="BD208" s="151">
        <f t="shared" ca="1" si="603"/>
        <v>0</v>
      </c>
      <c r="BE208" s="152">
        <f t="shared" ca="1" si="604"/>
        <v>0</v>
      </c>
      <c r="BF208" s="40">
        <f t="shared" si="605"/>
        <v>2016</v>
      </c>
      <c r="BG208" s="144">
        <f t="shared" si="606"/>
        <v>5</v>
      </c>
      <c r="BH208" s="145">
        <f t="shared" ca="1" si="607"/>
        <v>5731</v>
      </c>
      <c r="BI208" s="313">
        <f t="shared" ca="1" si="608"/>
        <v>15.731690622861054</v>
      </c>
      <c r="BJ208" s="42">
        <f t="shared" ca="1" si="505"/>
        <v>15.787692116234211</v>
      </c>
      <c r="BK208" s="42">
        <f t="shared" ca="1" si="506"/>
        <v>15.790429967021344</v>
      </c>
      <c r="BL208" s="42">
        <f t="shared" ca="1" si="609"/>
        <v>15.813826146475018</v>
      </c>
      <c r="BM208" s="150" t="e">
        <f t="shared" ca="1" si="507"/>
        <v>#DIV/0!</v>
      </c>
      <c r="BN208" s="42" t="e">
        <f t="shared" ca="1" si="508"/>
        <v>#DIV/0!</v>
      </c>
      <c r="BO208" s="293">
        <f t="shared" si="610"/>
        <v>22</v>
      </c>
      <c r="BP208" s="41">
        <f t="shared" si="611"/>
        <v>15</v>
      </c>
      <c r="BQ208" s="41">
        <f t="shared" si="612"/>
        <v>7</v>
      </c>
      <c r="BR208" s="305" t="str">
        <f t="shared" ca="1" si="509"/>
        <v/>
      </c>
      <c r="BS208" s="305" t="str">
        <f t="shared" ca="1" si="613"/>
        <v/>
      </c>
      <c r="BT208" s="307" t="str">
        <f t="shared" ca="1" si="614"/>
        <v/>
      </c>
      <c r="BU208" s="161" t="str">
        <f t="shared" ca="1" si="510"/>
        <v/>
      </c>
      <c r="BV208" s="161" t="str">
        <f t="shared" ca="1" si="511"/>
        <v/>
      </c>
      <c r="BW208" s="308" t="str">
        <f t="shared" ca="1" si="512"/>
        <v/>
      </c>
      <c r="BX208" s="309" t="str">
        <f t="shared" ca="1" si="513"/>
        <v/>
      </c>
      <c r="BY208" s="308" t="str">
        <f t="shared" ca="1" si="615"/>
        <v/>
      </c>
      <c r="BZ208" s="309" t="str">
        <f t="shared" ca="1" si="616"/>
        <v/>
      </c>
      <c r="CA208" s="154" t="str">
        <f t="shared" ca="1" si="514"/>
        <v/>
      </c>
      <c r="CB208" s="154" t="str">
        <f t="shared" ca="1" si="515"/>
        <v/>
      </c>
      <c r="CC208" s="154" t="str">
        <f t="shared" ca="1" si="516"/>
        <v/>
      </c>
      <c r="CD208" s="154" t="str">
        <f t="shared" ca="1" si="517"/>
        <v/>
      </c>
      <c r="CE208" s="310">
        <v>1</v>
      </c>
      <c r="CF208" s="162">
        <f ca="1">IF(BD208,_xll.xCrudeAPO(BU208,BV208,CA208,CB208,S209,S210,BI208,BL208,BP208,BQ208,0,Strike1,AO208,CE208,0,BL208,IF(OptControl=4,0,1),0,1),0)</f>
        <v>0</v>
      </c>
      <c r="CG208" s="163">
        <f ca="1">IF(BD208,_xll.xCrudeAPO(BU208,BV208,CA208,CB208,S209,S210,BI208,BL208,BP208,BQ208,0,Strike1,AO208,CE208,0,BL208,IF(OptControl=4,0,1),1,1)+_xll.xCrudeAPO(BU208,BV208,CA208,CB208,S209,S210,BI208,BL208,BP208,BQ208,0,Strike1,AO208,CE208,0,BL208,IF(OptControl=4,0,1),1,2)+IF(OR(VolSkewFlag=2,ABS(BS208)&lt;0.0001),0,IF(BS208&gt;0,-1,1)*CH208*Strike1/BR208^2*BY208/10%),0)</f>
        <v>0</v>
      </c>
      <c r="CH208" s="163">
        <f ca="1">IF(BD208,(_xll.xCrudeAPO(BU208,BV208,CA208,CB208,S209,S210,BI208,BL208,BP208,BQ208,0,Strike1,AO208,CE208,0,BL208,IF(OptControl=4,0,1),3,1)+_xll.xCrudeAPO(BU208,BV208,CA208,CB208,S209,S210,BI208,BL208,BP208,BQ208,0,Strike1,AO208,CE208,0,BL208,IF(OptControl=4,0,1),3,2))/100,0)</f>
        <v>0</v>
      </c>
      <c r="CI208" s="163">
        <f ca="1">IF(BD208,_xll.xCrudeAPO(BU208,BV208,CA208,CB208,S209,S210,BI208-DaysForThetaCalculation/365.25,BL208-DaysForThetaCalculation/365.25,BP208,BQ208,0,Strike1,AO208,CE208,0,BL208,IF(OptControl=4,0,1),0,1)-_xll.xCrudeAPO(BU208,BV208,CA208,CB208,S209,S210,BI208,BL208,BP208,BQ208,0,Strike1,AO208,CE208,0,BL208,IF(OptControl=4,0,1),0,1),0)</f>
        <v>0</v>
      </c>
      <c r="CJ208" s="311">
        <f ca="1">IF(BD208,_xll.xCrudeAPO(BU208,BV208,CC208,CD208,S209,S210,BI208,BL208,BP208,BQ208,0,Strike2,AO208,CE208,0,BL208,IF(OptControl=3,1,0),0,1),0)</f>
        <v>0</v>
      </c>
      <c r="CK208" s="163">
        <f ca="1">IF(BD208,_xll.xCrudeAPO(BU208,BV208,CC208,CD208,S209,S210,BI208,BL208,BP208,BQ208,0,Strike2,AO208,CE208,0,BL208,IF(OptControl=3,1,0),1,1)+_xll.xCrudeAPO(BU208,BV208,CC208,CD208,S209,S210,BI208,BL208,BP208,BQ208,0,Strike2,AO208,CE208,0,BL208,IF(OptControl=3,1,0),1,2)+IF(OR(VolSkewFlag=2,ABS(BT208)&lt;0.0001),0,IF(BT208&gt;0,-1,1)*CL208*Strike2/BR208^2*BZ208/10%),0)</f>
        <v>0</v>
      </c>
      <c r="CL208" s="163">
        <f ca="1">IF(BD208,(_xll.xCrudeAPO(BU208,BV208,CC208,CD208,S209,S210,BI208,BL208,BP208,BQ208,0,Strike2,AO208,CE208,0,BL208,IF(OptControl=3,1,0),3,1)+_xll.xCrudeAPO(BU208,BV208,CC208,CD208,S209,S210,BI208,BL208,BP208,BQ208,0,Strike2,AO208,CE208,0,BL208,IF(OptControl=3,1,0),3,2))/100,0)</f>
        <v>0</v>
      </c>
      <c r="CM208" s="164">
        <f ca="1">IF(BD208,_xll.xCrudeAPO(BU208,BV208,CC208,CD208,S209,S210,BI208-DaysForThetaCalculation/365.25,BL208-DaysForThetaCalculation/365.25,BP208,BQ208,0,Strike2,AO208,CE208,0,BL208,IF(OptControl=3,1,0),0,1)-_xll.xCrudeAPO(BU208,BV208,CC208,CD208,S209,S210,BI208,BL208,BP208,BQ208,0,Strike2,AO208,CE208,0,BL208,IF(OptControl=3,1,0),0,1),0)</f>
        <v>0</v>
      </c>
      <c r="CN208" s="53"/>
      <c r="CO208" s="796" t="str">
        <f t="shared" ca="1" si="532"/>
        <v/>
      </c>
      <c r="CP208" s="800" t="str">
        <f t="shared" ca="1" si="533"/>
        <v/>
      </c>
      <c r="CQ208" s="797" t="str">
        <f t="shared" ca="1" si="534"/>
        <v/>
      </c>
      <c r="CR208" s="797" t="str">
        <f t="shared" ca="1" si="535"/>
        <v/>
      </c>
      <c r="CS208" s="797" t="str">
        <f t="shared" ca="1" si="536"/>
        <v/>
      </c>
      <c r="CT208" s="797" t="str">
        <f t="shared" ca="1" si="537"/>
        <v/>
      </c>
      <c r="CU208" s="798" t="str">
        <f t="shared" ca="1" si="538"/>
        <v/>
      </c>
      <c r="CV208" s="799" t="str">
        <f t="shared" ca="1" si="539"/>
        <v/>
      </c>
      <c r="CW208" s="799" t="str">
        <f t="shared" ca="1" si="540"/>
        <v/>
      </c>
      <c r="CX208" s="163">
        <f ca="1">IF(BD208,_xll.EURO(CP208,Strike1,AO208,AO208,CV208,CO208,IF(OptControl=4,0,1),0),0)</f>
        <v>0</v>
      </c>
      <c r="CY208" s="163">
        <f ca="1">IF(BD208,_xll.EURO(CP208,Strike1,AO208,AO208,CV208,CO208,IF(OptControl=4,0,1),1)+IF(OR(VolSkewFlag=2,ABS(CQ208)&lt;0.0001),0,IF(CQ208&gt;0,-1,1)*CZ208*100*Strike1/CP208^2*CS208/10%),0)</f>
        <v>0</v>
      </c>
      <c r="CZ208" s="163">
        <f ca="1">IF(BD208,_xll.EURO(CP208,Strike1,AO208,AO208,CV208,CO208,IF(OptControl=4,0,1),3)/100,0)</f>
        <v>0</v>
      </c>
      <c r="DA208" s="163">
        <f ca="1">IF(BD208,_xll.EURO(CP208,Strike1,AO208,AO208,CV208,CO208,IF(OptControl=4,0,1),0)-_xll.EURO(CP208,Strike1,AO208,AO208,CV208,CO208-1,IF(OptControl=4,0,1),0),0)</f>
        <v>0</v>
      </c>
      <c r="DB208" s="163">
        <f ca="1">IF(BD208,_xll.EURO(CP208,Strike2,AO208,AO208,CW208,CO208,IF(OptControl=3,1,0),0),0)</f>
        <v>0</v>
      </c>
      <c r="DC208" s="163">
        <f ca="1">IF(BD208,_xll.EURO(CP208,Strike2,AO208,AO208,CW208,CO208,IF(OptControl=3,1,0),1)+IF(OR(VolSkewFlag=2,ABS(CR208)&lt;0.0001),0,IF(CR208&gt;0,-1,1)*DD208*100*Strike2/CP208^2*CT208/10%),0)</f>
        <v>0</v>
      </c>
      <c r="DD208" s="163">
        <f ca="1">IF(BD208,_xll.EURO(CP208,Strike2,AO208,AO208,CW208,CO208,IF(OptControl=3,1,0),3)/100,0)</f>
        <v>0</v>
      </c>
      <c r="DE208" s="164">
        <f ca="1">IF(BD208,_xll.EURO(CP208,Strike2,AO208,AO208,CW208,CO208,IF(OptControl=3,1,0),0)-_xll.EURO(CP208,Strike2,AO208,AO208,CW208,CO208-1,IF(OptControl=3,1,0),0),0)</f>
        <v>0</v>
      </c>
      <c r="DG208" s="667">
        <f t="shared" ca="1" si="541"/>
        <v>42278</v>
      </c>
      <c r="DH208" s="475">
        <v>23.56000000000008</v>
      </c>
      <c r="DI208" s="665">
        <v>23.628181818181897</v>
      </c>
      <c r="DJ208" s="666">
        <f t="shared" ca="1" si="617"/>
        <v>42278</v>
      </c>
      <c r="DK208" s="475">
        <v>22.202178850015471</v>
      </c>
      <c r="DL208" s="665">
        <v>22.435081818181896</v>
      </c>
      <c r="DM208" s="667">
        <f t="shared" ca="1" si="618"/>
        <v>42278</v>
      </c>
      <c r="DN208" s="668">
        <f t="shared" si="619"/>
        <v>22.252178850015472</v>
      </c>
      <c r="DO208" s="667">
        <f t="shared" ca="1" si="620"/>
        <v>42278</v>
      </c>
      <c r="DP208" s="579">
        <f t="shared" si="621"/>
        <v>22.435081818181896</v>
      </c>
      <c r="DQ208" s="821">
        <v>0</v>
      </c>
      <c r="DR208" s="666">
        <f t="shared" ca="1" si="622"/>
        <v>42278</v>
      </c>
      <c r="DS208" s="669">
        <v>0.11179999999999803</v>
      </c>
      <c r="DT208" s="606">
        <v>0.11098181818181621</v>
      </c>
      <c r="DU208" s="666">
        <f t="shared" ca="1" si="623"/>
        <v>42278</v>
      </c>
      <c r="DV208" s="669">
        <v>0.11179999999999803</v>
      </c>
      <c r="DW208" s="606">
        <v>0.11098181818181621</v>
      </c>
      <c r="DX208" s="667">
        <f t="shared" ca="1" si="624"/>
        <v>42278</v>
      </c>
      <c r="DY208" s="606">
        <v>0.35</v>
      </c>
      <c r="DZ208" s="667">
        <f t="shared" ca="1" si="625"/>
        <v>42278</v>
      </c>
      <c r="EA208" s="606">
        <f t="shared" si="626"/>
        <v>0.11098181818181621</v>
      </c>
      <c r="EB208" s="1"/>
      <c r="EC208" s="118" t="str">
        <f t="shared" ca="1" si="627"/>
        <v/>
      </c>
      <c r="ED208" s="119" t="str">
        <f t="shared" ca="1" si="525"/>
        <v/>
      </c>
      <c r="EE208" s="112" t="str">
        <f t="shared" ca="1" si="526"/>
        <v/>
      </c>
      <c r="EF208" s="120">
        <f ca="1">IF(BD208,_xll.xASN(BR208,Strike1,AO208,ED208,0,BO208,0,BI208,BL208,IF(OptControl=4,0,1),0),0)</f>
        <v>0</v>
      </c>
      <c r="EG208" s="111">
        <f ca="1">IF(BD208,_xll.xASN(BR208,Strike2,AO208,EE208,0,BO208,0,BI208,BL208,IF(OptControl=3,1,0),0),0)</f>
        <v>0</v>
      </c>
      <c r="EL208" s="55"/>
      <c r="EM208" s="1"/>
      <c r="EN208" s="106"/>
      <c r="EO208" s="106"/>
      <c r="EP208" s="1"/>
      <c r="EQ208" s="683" t="s">
        <v>422</v>
      </c>
      <c r="ES208" s="455"/>
      <c r="ET208" s="36"/>
      <c r="EU208" s="107"/>
      <c r="EV208" s="475"/>
      <c r="EW208" s="456"/>
      <c r="EX208" s="456"/>
      <c r="EY208" s="250"/>
      <c r="EZ208" s="250"/>
      <c r="FA208" s="250"/>
      <c r="FB208" s="250"/>
      <c r="FC208" s="250"/>
      <c r="FD208" s="250"/>
      <c r="FE208" s="250"/>
      <c r="FF208" s="250"/>
      <c r="FG208" s="250"/>
      <c r="FH208" s="250"/>
      <c r="FI208" s="250"/>
      <c r="FJ208" s="673">
        <v>39</v>
      </c>
      <c r="FK208" s="479" t="str">
        <f ca="1">IF(OR(FK$169&lt;SwaptionFirstMonthPosition+1,$FJ208&lt;SwaptionFirstMonthPosition+1,FK$169&gt;SwaptionFirstMonthPosition+SwaptionNumOfMonths+1,$FJ208&gt;SwaptionFirstMonthPosition+SwaptionNumOfMonths+1),"",IF($FJ208=FK$169,1,IF($FJ208&lt;FK$169,INDEX($FK$170:$ID$241,FK$169,$FJ208),SUMPRODUCT(INDEX($FK$325:$ID$396,FK$169,1+SwaptionShift):INDEX($FK$325:$ID$396,FK$169,SwaptionMonthsToGo+SwaptionShift),INDEX($FK$245:$ID$316,$FJ208-FK$169,73-FK$169+SwaptionShift):INDEX($FK$245:$ID$316,$FJ208-FK$169,72-FK$169+SwaptionMonthsToGo+SwaptionShift))/SQRT(SUM(INDEX($FK363:$ID363,1+SwaptionShift):INDEX($FK363:$ID363,SwaptionMonthsToGo+SwaptionShift))*SUM(INDEX($FK$325:$ID$396,FK$169,1+SwaptionShift):INDEX($FK$325:$ID$396,FK$169,SwaptionMonthsToGo+SwaptionShift))))))</f>
        <v/>
      </c>
      <c r="FL208" s="479" t="str">
        <f ca="1">IF(OR(FL$169&lt;SwaptionFirstMonthPosition+1,$FJ208&lt;SwaptionFirstMonthPosition+1,FL$169&gt;SwaptionFirstMonthPosition+SwaptionNumOfMonths+1,$FJ208&gt;SwaptionFirstMonthPosition+SwaptionNumOfMonths+1),"",IF($FJ208=FL$169,1,IF($FJ208&lt;FL$169,INDEX($FK$170:$ID$241,FL$169,$FJ208),SUMPRODUCT(INDEX($FK$325:$ID$396,FL$169,1+SwaptionShift):INDEX($FK$325:$ID$396,FL$169,SwaptionMonthsToGo+SwaptionShift),INDEX($FK$245:$ID$316,$FJ208-FL$169,73-FL$169+SwaptionShift):INDEX($FK$245:$ID$316,$FJ208-FL$169,72-FL$169+SwaptionMonthsToGo+SwaptionShift))/SQRT(SUM(INDEX($FK363:$ID363,1+SwaptionShift):INDEX($FK363:$ID363,SwaptionMonthsToGo+SwaptionShift))*SUM(INDEX($FK$325:$ID$396,FL$169,1+SwaptionShift):INDEX($FK$325:$ID$396,FL$169,SwaptionMonthsToGo+SwaptionShift))))))</f>
        <v/>
      </c>
      <c r="FM208" s="479" t="str">
        <f ca="1">IF(OR(FM$169&lt;SwaptionFirstMonthPosition+1,$FJ208&lt;SwaptionFirstMonthPosition+1,FM$169&gt;SwaptionFirstMonthPosition+SwaptionNumOfMonths+1,$FJ208&gt;SwaptionFirstMonthPosition+SwaptionNumOfMonths+1),"",IF($FJ208=FM$169,1,IF($FJ208&lt;FM$169,INDEX($FK$170:$ID$241,FM$169,$FJ208),SUMPRODUCT(INDEX($FK$325:$ID$396,FM$169,1+SwaptionShift):INDEX($FK$325:$ID$396,FM$169,SwaptionMonthsToGo+SwaptionShift),INDEX($FK$245:$ID$316,$FJ208-FM$169,73-FM$169+SwaptionShift):INDEX($FK$245:$ID$316,$FJ208-FM$169,72-FM$169+SwaptionMonthsToGo+SwaptionShift))/SQRT(SUM(INDEX($FK363:$ID363,1+SwaptionShift):INDEX($FK363:$ID363,SwaptionMonthsToGo+SwaptionShift))*SUM(INDEX($FK$325:$ID$396,FM$169,1+SwaptionShift):INDEX($FK$325:$ID$396,FM$169,SwaptionMonthsToGo+SwaptionShift))))))</f>
        <v/>
      </c>
      <c r="FN208" s="479" t="str">
        <f ca="1">IF(OR(FN$169&lt;SwaptionFirstMonthPosition+1,$FJ208&lt;SwaptionFirstMonthPosition+1,FN$169&gt;SwaptionFirstMonthPosition+SwaptionNumOfMonths+1,$FJ208&gt;SwaptionFirstMonthPosition+SwaptionNumOfMonths+1),"",IF($FJ208=FN$169,1,IF($FJ208&lt;FN$169,INDEX($FK$170:$ID$241,FN$169,$FJ208),SUMPRODUCT(INDEX($FK$325:$ID$396,FN$169,1+SwaptionShift):INDEX($FK$325:$ID$396,FN$169,SwaptionMonthsToGo+SwaptionShift),INDEX($FK$245:$ID$316,$FJ208-FN$169,73-FN$169+SwaptionShift):INDEX($FK$245:$ID$316,$FJ208-FN$169,72-FN$169+SwaptionMonthsToGo+SwaptionShift))/SQRT(SUM(INDEX($FK363:$ID363,1+SwaptionShift):INDEX($FK363:$ID363,SwaptionMonthsToGo+SwaptionShift))*SUM(INDEX($FK$325:$ID$396,FN$169,1+SwaptionShift):INDEX($FK$325:$ID$396,FN$169,SwaptionMonthsToGo+SwaptionShift))))))</f>
        <v/>
      </c>
      <c r="FO208" s="479" t="str">
        <f ca="1">IF(OR(FO$169&lt;SwaptionFirstMonthPosition+1,$FJ208&lt;SwaptionFirstMonthPosition+1,FO$169&gt;SwaptionFirstMonthPosition+SwaptionNumOfMonths+1,$FJ208&gt;SwaptionFirstMonthPosition+SwaptionNumOfMonths+1),"",IF($FJ208=FO$169,1,IF($FJ208&lt;FO$169,INDEX($FK$170:$ID$241,FO$169,$FJ208),SUMPRODUCT(INDEX($FK$325:$ID$396,FO$169,1+SwaptionShift):INDEX($FK$325:$ID$396,FO$169,SwaptionMonthsToGo+SwaptionShift),INDEX($FK$245:$ID$316,$FJ208-FO$169,73-FO$169+SwaptionShift):INDEX($FK$245:$ID$316,$FJ208-FO$169,72-FO$169+SwaptionMonthsToGo+SwaptionShift))/SQRT(SUM(INDEX($FK363:$ID363,1+SwaptionShift):INDEX($FK363:$ID363,SwaptionMonthsToGo+SwaptionShift))*SUM(INDEX($FK$325:$ID$396,FO$169,1+SwaptionShift):INDEX($FK$325:$ID$396,FO$169,SwaptionMonthsToGo+SwaptionShift))))))</f>
        <v/>
      </c>
      <c r="FP208" s="479" t="str">
        <f ca="1">IF(OR(FP$169&lt;SwaptionFirstMonthPosition+1,$FJ208&lt;SwaptionFirstMonthPosition+1,FP$169&gt;SwaptionFirstMonthPosition+SwaptionNumOfMonths+1,$FJ208&gt;SwaptionFirstMonthPosition+SwaptionNumOfMonths+1),"",IF($FJ208=FP$169,1,IF($FJ208&lt;FP$169,INDEX($FK$170:$ID$241,FP$169,$FJ208),SUMPRODUCT(INDEX($FK$325:$ID$396,FP$169,1+SwaptionShift):INDEX($FK$325:$ID$396,FP$169,SwaptionMonthsToGo+SwaptionShift),INDEX($FK$245:$ID$316,$FJ208-FP$169,73-FP$169+SwaptionShift):INDEX($FK$245:$ID$316,$FJ208-FP$169,72-FP$169+SwaptionMonthsToGo+SwaptionShift))/SQRT(SUM(INDEX($FK363:$ID363,1+SwaptionShift):INDEX($FK363:$ID363,SwaptionMonthsToGo+SwaptionShift))*SUM(INDEX($FK$325:$ID$396,FP$169,1+SwaptionShift):INDEX($FK$325:$ID$396,FP$169,SwaptionMonthsToGo+SwaptionShift))))))</f>
        <v/>
      </c>
      <c r="FQ208" s="479" t="str">
        <f ca="1">IF(OR(FQ$169&lt;SwaptionFirstMonthPosition+1,$FJ208&lt;SwaptionFirstMonthPosition+1,FQ$169&gt;SwaptionFirstMonthPosition+SwaptionNumOfMonths+1,$FJ208&gt;SwaptionFirstMonthPosition+SwaptionNumOfMonths+1),"",IF($FJ208=FQ$169,1,IF($FJ208&lt;FQ$169,INDEX($FK$170:$ID$241,FQ$169,$FJ208),SUMPRODUCT(INDEX($FK$325:$ID$396,FQ$169,1+SwaptionShift):INDEX($FK$325:$ID$396,FQ$169,SwaptionMonthsToGo+SwaptionShift),INDEX($FK$245:$ID$316,$FJ208-FQ$169,73-FQ$169+SwaptionShift):INDEX($FK$245:$ID$316,$FJ208-FQ$169,72-FQ$169+SwaptionMonthsToGo+SwaptionShift))/SQRT(SUM(INDEX($FK363:$ID363,1+SwaptionShift):INDEX($FK363:$ID363,SwaptionMonthsToGo+SwaptionShift))*SUM(INDEX($FK$325:$ID$396,FQ$169,1+SwaptionShift):INDEX($FK$325:$ID$396,FQ$169,SwaptionMonthsToGo+SwaptionShift))))))</f>
        <v/>
      </c>
      <c r="FR208" s="479" t="str">
        <f ca="1">IF(OR(FR$169&lt;SwaptionFirstMonthPosition+1,$FJ208&lt;SwaptionFirstMonthPosition+1,FR$169&gt;SwaptionFirstMonthPosition+SwaptionNumOfMonths+1,$FJ208&gt;SwaptionFirstMonthPosition+SwaptionNumOfMonths+1),"",IF($FJ208=FR$169,1,IF($FJ208&lt;FR$169,INDEX($FK$170:$ID$241,FR$169,$FJ208),SUMPRODUCT(INDEX($FK$325:$ID$396,FR$169,1+SwaptionShift):INDEX($FK$325:$ID$396,FR$169,SwaptionMonthsToGo+SwaptionShift),INDEX($FK$245:$ID$316,$FJ208-FR$169,73-FR$169+SwaptionShift):INDEX($FK$245:$ID$316,$FJ208-FR$169,72-FR$169+SwaptionMonthsToGo+SwaptionShift))/SQRT(SUM(INDEX($FK363:$ID363,1+SwaptionShift):INDEX($FK363:$ID363,SwaptionMonthsToGo+SwaptionShift))*SUM(INDEX($FK$325:$ID$396,FR$169,1+SwaptionShift):INDEX($FK$325:$ID$396,FR$169,SwaptionMonthsToGo+SwaptionShift))))))</f>
        <v/>
      </c>
      <c r="FS208" s="479" t="str">
        <f ca="1">IF(OR(FS$169&lt;SwaptionFirstMonthPosition+1,$FJ208&lt;SwaptionFirstMonthPosition+1,FS$169&gt;SwaptionFirstMonthPosition+SwaptionNumOfMonths+1,$FJ208&gt;SwaptionFirstMonthPosition+SwaptionNumOfMonths+1),"",IF($FJ208=FS$169,1,IF($FJ208&lt;FS$169,INDEX($FK$170:$ID$241,FS$169,$FJ208),SUMPRODUCT(INDEX($FK$325:$ID$396,FS$169,1+SwaptionShift):INDEX($FK$325:$ID$396,FS$169,SwaptionMonthsToGo+SwaptionShift),INDEX($FK$245:$ID$316,$FJ208-FS$169,73-FS$169+SwaptionShift):INDEX($FK$245:$ID$316,$FJ208-FS$169,72-FS$169+SwaptionMonthsToGo+SwaptionShift))/SQRT(SUM(INDEX($FK363:$ID363,1+SwaptionShift):INDEX($FK363:$ID363,SwaptionMonthsToGo+SwaptionShift))*SUM(INDEX($FK$325:$ID$396,FS$169,1+SwaptionShift):INDEX($FK$325:$ID$396,FS$169,SwaptionMonthsToGo+SwaptionShift))))))</f>
        <v/>
      </c>
      <c r="FT208" s="479" t="str">
        <f ca="1">IF(OR(FT$169&lt;SwaptionFirstMonthPosition+1,$FJ208&lt;SwaptionFirstMonthPosition+1,FT$169&gt;SwaptionFirstMonthPosition+SwaptionNumOfMonths+1,$FJ208&gt;SwaptionFirstMonthPosition+SwaptionNumOfMonths+1),"",IF($FJ208=FT$169,1,IF($FJ208&lt;FT$169,INDEX($FK$170:$ID$241,FT$169,$FJ208),SUMPRODUCT(INDEX($FK$325:$ID$396,FT$169,1+SwaptionShift):INDEX($FK$325:$ID$396,FT$169,SwaptionMonthsToGo+SwaptionShift),INDEX($FK$245:$ID$316,$FJ208-FT$169,73-FT$169+SwaptionShift):INDEX($FK$245:$ID$316,$FJ208-FT$169,72-FT$169+SwaptionMonthsToGo+SwaptionShift))/SQRT(SUM(INDEX($FK363:$ID363,1+SwaptionShift):INDEX($FK363:$ID363,SwaptionMonthsToGo+SwaptionShift))*SUM(INDEX($FK$325:$ID$396,FT$169,1+SwaptionShift):INDEX($FK$325:$ID$396,FT$169,SwaptionMonthsToGo+SwaptionShift))))))</f>
        <v/>
      </c>
      <c r="FU208" s="479" t="str">
        <f ca="1">IF(OR(FU$169&lt;SwaptionFirstMonthPosition+1,$FJ208&lt;SwaptionFirstMonthPosition+1,FU$169&gt;SwaptionFirstMonthPosition+SwaptionNumOfMonths+1,$FJ208&gt;SwaptionFirstMonthPosition+SwaptionNumOfMonths+1),"",IF($FJ208=FU$169,1,IF($FJ208&lt;FU$169,INDEX($FK$170:$ID$241,FU$169,$FJ208),SUMPRODUCT(INDEX($FK$325:$ID$396,FU$169,1+SwaptionShift):INDEX($FK$325:$ID$396,FU$169,SwaptionMonthsToGo+SwaptionShift),INDEX($FK$245:$ID$316,$FJ208-FU$169,73-FU$169+SwaptionShift):INDEX($FK$245:$ID$316,$FJ208-FU$169,72-FU$169+SwaptionMonthsToGo+SwaptionShift))/SQRT(SUM(INDEX($FK363:$ID363,1+SwaptionShift):INDEX($FK363:$ID363,SwaptionMonthsToGo+SwaptionShift))*SUM(INDEX($FK$325:$ID$396,FU$169,1+SwaptionShift):INDEX($FK$325:$ID$396,FU$169,SwaptionMonthsToGo+SwaptionShift))))))</f>
        <v/>
      </c>
      <c r="FV208" s="479" t="str">
        <f ca="1">IF(OR(FV$169&lt;SwaptionFirstMonthPosition+1,$FJ208&lt;SwaptionFirstMonthPosition+1,FV$169&gt;SwaptionFirstMonthPosition+SwaptionNumOfMonths+1,$FJ208&gt;SwaptionFirstMonthPosition+SwaptionNumOfMonths+1),"",IF($FJ208=FV$169,1,IF($FJ208&lt;FV$169,INDEX($FK$170:$ID$241,FV$169,$FJ208),SUMPRODUCT(INDEX($FK$325:$ID$396,FV$169,1+SwaptionShift):INDEX($FK$325:$ID$396,FV$169,SwaptionMonthsToGo+SwaptionShift),INDEX($FK$245:$ID$316,$FJ208-FV$169,73-FV$169+SwaptionShift):INDEX($FK$245:$ID$316,$FJ208-FV$169,72-FV$169+SwaptionMonthsToGo+SwaptionShift))/SQRT(SUM(INDEX($FK363:$ID363,1+SwaptionShift):INDEX($FK363:$ID363,SwaptionMonthsToGo+SwaptionShift))*SUM(INDEX($FK$325:$ID$396,FV$169,1+SwaptionShift):INDEX($FK$325:$ID$396,FV$169,SwaptionMonthsToGo+SwaptionShift))))))</f>
        <v/>
      </c>
      <c r="FW208" s="479" t="str">
        <f ca="1">IF(OR(FW$169&lt;SwaptionFirstMonthPosition+1,$FJ208&lt;SwaptionFirstMonthPosition+1,FW$169&gt;SwaptionFirstMonthPosition+SwaptionNumOfMonths+1,$FJ208&gt;SwaptionFirstMonthPosition+SwaptionNumOfMonths+1),"",IF($FJ208=FW$169,1,IF($FJ208&lt;FW$169,INDEX($FK$170:$ID$241,FW$169,$FJ208),SUMPRODUCT(INDEX($FK$325:$ID$396,FW$169,1+SwaptionShift):INDEX($FK$325:$ID$396,FW$169,SwaptionMonthsToGo+SwaptionShift),INDEX($FK$245:$ID$316,$FJ208-FW$169,73-FW$169+SwaptionShift):INDEX($FK$245:$ID$316,$FJ208-FW$169,72-FW$169+SwaptionMonthsToGo+SwaptionShift))/SQRT(SUM(INDEX($FK363:$ID363,1+SwaptionShift):INDEX($FK363:$ID363,SwaptionMonthsToGo+SwaptionShift))*SUM(INDEX($FK$325:$ID$396,FW$169,1+SwaptionShift):INDEX($FK$325:$ID$396,FW$169,SwaptionMonthsToGo+SwaptionShift))))))</f>
        <v/>
      </c>
      <c r="FX208" s="479" t="str">
        <f ca="1">IF(OR(FX$169&lt;SwaptionFirstMonthPosition+1,$FJ208&lt;SwaptionFirstMonthPosition+1,FX$169&gt;SwaptionFirstMonthPosition+SwaptionNumOfMonths+1,$FJ208&gt;SwaptionFirstMonthPosition+SwaptionNumOfMonths+1),"",IF($FJ208=FX$169,1,IF($FJ208&lt;FX$169,INDEX($FK$170:$ID$241,FX$169,$FJ208),SUMPRODUCT(INDEX($FK$325:$ID$396,FX$169,1+SwaptionShift):INDEX($FK$325:$ID$396,FX$169,SwaptionMonthsToGo+SwaptionShift),INDEX($FK$245:$ID$316,$FJ208-FX$169,73-FX$169+SwaptionShift):INDEX($FK$245:$ID$316,$FJ208-FX$169,72-FX$169+SwaptionMonthsToGo+SwaptionShift))/SQRT(SUM(INDEX($FK363:$ID363,1+SwaptionShift):INDEX($FK363:$ID363,SwaptionMonthsToGo+SwaptionShift))*SUM(INDEX($FK$325:$ID$396,FX$169,1+SwaptionShift):INDEX($FK$325:$ID$396,FX$169,SwaptionMonthsToGo+SwaptionShift))))))</f>
        <v/>
      </c>
      <c r="FY208" s="479" t="str">
        <f ca="1">IF(OR(FY$169&lt;SwaptionFirstMonthPosition+1,$FJ208&lt;SwaptionFirstMonthPosition+1,FY$169&gt;SwaptionFirstMonthPosition+SwaptionNumOfMonths+1,$FJ208&gt;SwaptionFirstMonthPosition+SwaptionNumOfMonths+1),"",IF($FJ208=FY$169,1,IF($FJ208&lt;FY$169,INDEX($FK$170:$ID$241,FY$169,$FJ208),SUMPRODUCT(INDEX($FK$325:$ID$396,FY$169,1+SwaptionShift):INDEX($FK$325:$ID$396,FY$169,SwaptionMonthsToGo+SwaptionShift),INDEX($FK$245:$ID$316,$FJ208-FY$169,73-FY$169+SwaptionShift):INDEX($FK$245:$ID$316,$FJ208-FY$169,72-FY$169+SwaptionMonthsToGo+SwaptionShift))/SQRT(SUM(INDEX($FK363:$ID363,1+SwaptionShift):INDEX($FK363:$ID363,SwaptionMonthsToGo+SwaptionShift))*SUM(INDEX($FK$325:$ID$396,FY$169,1+SwaptionShift):INDEX($FK$325:$ID$396,FY$169,SwaptionMonthsToGo+SwaptionShift))))))</f>
        <v/>
      </c>
      <c r="FZ208" s="479" t="str">
        <f ca="1">IF(OR(FZ$169&lt;SwaptionFirstMonthPosition+1,$FJ208&lt;SwaptionFirstMonthPosition+1,FZ$169&gt;SwaptionFirstMonthPosition+SwaptionNumOfMonths+1,$FJ208&gt;SwaptionFirstMonthPosition+SwaptionNumOfMonths+1),"",IF($FJ208=FZ$169,1,IF($FJ208&lt;FZ$169,INDEX($FK$170:$ID$241,FZ$169,$FJ208),SUMPRODUCT(INDEX($FK$325:$ID$396,FZ$169,1+SwaptionShift):INDEX($FK$325:$ID$396,FZ$169,SwaptionMonthsToGo+SwaptionShift),INDEX($FK$245:$ID$316,$FJ208-FZ$169,73-FZ$169+SwaptionShift):INDEX($FK$245:$ID$316,$FJ208-FZ$169,72-FZ$169+SwaptionMonthsToGo+SwaptionShift))/SQRT(SUM(INDEX($FK363:$ID363,1+SwaptionShift):INDEX($FK363:$ID363,SwaptionMonthsToGo+SwaptionShift))*SUM(INDEX($FK$325:$ID$396,FZ$169,1+SwaptionShift):INDEX($FK$325:$ID$396,FZ$169,SwaptionMonthsToGo+SwaptionShift))))))</f>
        <v/>
      </c>
      <c r="GA208" s="479" t="str">
        <f ca="1">IF(OR(GA$169&lt;SwaptionFirstMonthPosition+1,$FJ208&lt;SwaptionFirstMonthPosition+1,GA$169&gt;SwaptionFirstMonthPosition+SwaptionNumOfMonths+1,$FJ208&gt;SwaptionFirstMonthPosition+SwaptionNumOfMonths+1),"",IF($FJ208=GA$169,1,IF($FJ208&lt;GA$169,INDEX($FK$170:$ID$241,GA$169,$FJ208),SUMPRODUCT(INDEX($FK$325:$ID$396,GA$169,1+SwaptionShift):INDEX($FK$325:$ID$396,GA$169,SwaptionMonthsToGo+SwaptionShift),INDEX($FK$245:$ID$316,$FJ208-GA$169,73-GA$169+SwaptionShift):INDEX($FK$245:$ID$316,$FJ208-GA$169,72-GA$169+SwaptionMonthsToGo+SwaptionShift))/SQRT(SUM(INDEX($FK363:$ID363,1+SwaptionShift):INDEX($FK363:$ID363,SwaptionMonthsToGo+SwaptionShift))*SUM(INDEX($FK$325:$ID$396,GA$169,1+SwaptionShift):INDEX($FK$325:$ID$396,GA$169,SwaptionMonthsToGo+SwaptionShift))))))</f>
        <v/>
      </c>
      <c r="GB208" s="479" t="str">
        <f ca="1">IF(OR(GB$169&lt;SwaptionFirstMonthPosition+1,$FJ208&lt;SwaptionFirstMonthPosition+1,GB$169&gt;SwaptionFirstMonthPosition+SwaptionNumOfMonths+1,$FJ208&gt;SwaptionFirstMonthPosition+SwaptionNumOfMonths+1),"",IF($FJ208=GB$169,1,IF($FJ208&lt;GB$169,INDEX($FK$170:$ID$241,GB$169,$FJ208),SUMPRODUCT(INDEX($FK$325:$ID$396,GB$169,1+SwaptionShift):INDEX($FK$325:$ID$396,GB$169,SwaptionMonthsToGo+SwaptionShift),INDEX($FK$245:$ID$316,$FJ208-GB$169,73-GB$169+SwaptionShift):INDEX($FK$245:$ID$316,$FJ208-GB$169,72-GB$169+SwaptionMonthsToGo+SwaptionShift))/SQRT(SUM(INDEX($FK363:$ID363,1+SwaptionShift):INDEX($FK363:$ID363,SwaptionMonthsToGo+SwaptionShift))*SUM(INDEX($FK$325:$ID$396,GB$169,1+SwaptionShift):INDEX($FK$325:$ID$396,GB$169,SwaptionMonthsToGo+SwaptionShift))))))</f>
        <v/>
      </c>
      <c r="GC208" s="479" t="str">
        <f ca="1">IF(OR(GC$169&lt;SwaptionFirstMonthPosition+1,$FJ208&lt;SwaptionFirstMonthPosition+1,GC$169&gt;SwaptionFirstMonthPosition+SwaptionNumOfMonths+1,$FJ208&gt;SwaptionFirstMonthPosition+SwaptionNumOfMonths+1),"",IF($FJ208=GC$169,1,IF($FJ208&lt;GC$169,INDEX($FK$170:$ID$241,GC$169,$FJ208),SUMPRODUCT(INDEX($FK$325:$ID$396,GC$169,1+SwaptionShift):INDEX($FK$325:$ID$396,GC$169,SwaptionMonthsToGo+SwaptionShift),INDEX($FK$245:$ID$316,$FJ208-GC$169,73-GC$169+SwaptionShift):INDEX($FK$245:$ID$316,$FJ208-GC$169,72-GC$169+SwaptionMonthsToGo+SwaptionShift))/SQRT(SUM(INDEX($FK363:$ID363,1+SwaptionShift):INDEX($FK363:$ID363,SwaptionMonthsToGo+SwaptionShift))*SUM(INDEX($FK$325:$ID$396,GC$169,1+SwaptionShift):INDEX($FK$325:$ID$396,GC$169,SwaptionMonthsToGo+SwaptionShift))))))</f>
        <v/>
      </c>
      <c r="GD208" s="479" t="str">
        <f ca="1">IF(OR(GD$169&lt;SwaptionFirstMonthPosition+1,$FJ208&lt;SwaptionFirstMonthPosition+1,GD$169&gt;SwaptionFirstMonthPosition+SwaptionNumOfMonths+1,$FJ208&gt;SwaptionFirstMonthPosition+SwaptionNumOfMonths+1),"",IF($FJ208=GD$169,1,IF($FJ208&lt;GD$169,INDEX($FK$170:$ID$241,GD$169,$FJ208),SUMPRODUCT(INDEX($FK$325:$ID$396,GD$169,1+SwaptionShift):INDEX($FK$325:$ID$396,GD$169,SwaptionMonthsToGo+SwaptionShift),INDEX($FK$245:$ID$316,$FJ208-GD$169,73-GD$169+SwaptionShift):INDEX($FK$245:$ID$316,$FJ208-GD$169,72-GD$169+SwaptionMonthsToGo+SwaptionShift))/SQRT(SUM(INDEX($FK363:$ID363,1+SwaptionShift):INDEX($FK363:$ID363,SwaptionMonthsToGo+SwaptionShift))*SUM(INDEX($FK$325:$ID$396,GD$169,1+SwaptionShift):INDEX($FK$325:$ID$396,GD$169,SwaptionMonthsToGo+SwaptionShift))))))</f>
        <v/>
      </c>
      <c r="GE208" s="479" t="str">
        <f ca="1">IF(OR(GE$169&lt;SwaptionFirstMonthPosition+1,$FJ208&lt;SwaptionFirstMonthPosition+1,GE$169&gt;SwaptionFirstMonthPosition+SwaptionNumOfMonths+1,$FJ208&gt;SwaptionFirstMonthPosition+SwaptionNumOfMonths+1),"",IF($FJ208=GE$169,1,IF($FJ208&lt;GE$169,INDEX($FK$170:$ID$241,GE$169,$FJ208),SUMPRODUCT(INDEX($FK$325:$ID$396,GE$169,1+SwaptionShift):INDEX($FK$325:$ID$396,GE$169,SwaptionMonthsToGo+SwaptionShift),INDEX($FK$245:$ID$316,$FJ208-GE$169,73-GE$169+SwaptionShift):INDEX($FK$245:$ID$316,$FJ208-GE$169,72-GE$169+SwaptionMonthsToGo+SwaptionShift))/SQRT(SUM(INDEX($FK363:$ID363,1+SwaptionShift):INDEX($FK363:$ID363,SwaptionMonthsToGo+SwaptionShift))*SUM(INDEX($FK$325:$ID$396,GE$169,1+SwaptionShift):INDEX($FK$325:$ID$396,GE$169,SwaptionMonthsToGo+SwaptionShift))))))</f>
        <v/>
      </c>
      <c r="GF208" s="479" t="str">
        <f ca="1">IF(OR(GF$169&lt;SwaptionFirstMonthPosition+1,$FJ208&lt;SwaptionFirstMonthPosition+1,GF$169&gt;SwaptionFirstMonthPosition+SwaptionNumOfMonths+1,$FJ208&gt;SwaptionFirstMonthPosition+SwaptionNumOfMonths+1),"",IF($FJ208=GF$169,1,IF($FJ208&lt;GF$169,INDEX($FK$170:$ID$241,GF$169,$FJ208),SUMPRODUCT(INDEX($FK$325:$ID$396,GF$169,1+SwaptionShift):INDEX($FK$325:$ID$396,GF$169,SwaptionMonthsToGo+SwaptionShift),INDEX($FK$245:$ID$316,$FJ208-GF$169,73-GF$169+SwaptionShift):INDEX($FK$245:$ID$316,$FJ208-GF$169,72-GF$169+SwaptionMonthsToGo+SwaptionShift))/SQRT(SUM(INDEX($FK363:$ID363,1+SwaptionShift):INDEX($FK363:$ID363,SwaptionMonthsToGo+SwaptionShift))*SUM(INDEX($FK$325:$ID$396,GF$169,1+SwaptionShift):INDEX($FK$325:$ID$396,GF$169,SwaptionMonthsToGo+SwaptionShift))))))</f>
        <v/>
      </c>
      <c r="GG208" s="479" t="str">
        <f ca="1">IF(OR(GG$169&lt;SwaptionFirstMonthPosition+1,$FJ208&lt;SwaptionFirstMonthPosition+1,GG$169&gt;SwaptionFirstMonthPosition+SwaptionNumOfMonths+1,$FJ208&gt;SwaptionFirstMonthPosition+SwaptionNumOfMonths+1),"",IF($FJ208=GG$169,1,IF($FJ208&lt;GG$169,INDEX($FK$170:$ID$241,GG$169,$FJ208),SUMPRODUCT(INDEX($FK$325:$ID$396,GG$169,1+SwaptionShift):INDEX($FK$325:$ID$396,GG$169,SwaptionMonthsToGo+SwaptionShift),INDEX($FK$245:$ID$316,$FJ208-GG$169,73-GG$169+SwaptionShift):INDEX($FK$245:$ID$316,$FJ208-GG$169,72-GG$169+SwaptionMonthsToGo+SwaptionShift))/SQRT(SUM(INDEX($FK363:$ID363,1+SwaptionShift):INDEX($FK363:$ID363,SwaptionMonthsToGo+SwaptionShift))*SUM(INDEX($FK$325:$ID$396,GG$169,1+SwaptionShift):INDEX($FK$325:$ID$396,GG$169,SwaptionMonthsToGo+SwaptionShift))))))</f>
        <v/>
      </c>
      <c r="GH208" s="479" t="str">
        <f ca="1">IF(OR(GH$169&lt;SwaptionFirstMonthPosition+1,$FJ208&lt;SwaptionFirstMonthPosition+1,GH$169&gt;SwaptionFirstMonthPosition+SwaptionNumOfMonths+1,$FJ208&gt;SwaptionFirstMonthPosition+SwaptionNumOfMonths+1),"",IF($FJ208=GH$169,1,IF($FJ208&lt;GH$169,INDEX($FK$170:$ID$241,GH$169,$FJ208),SUMPRODUCT(INDEX($FK$325:$ID$396,GH$169,1+SwaptionShift):INDEX($FK$325:$ID$396,GH$169,SwaptionMonthsToGo+SwaptionShift),INDEX($FK$245:$ID$316,$FJ208-GH$169,73-GH$169+SwaptionShift):INDEX($FK$245:$ID$316,$FJ208-GH$169,72-GH$169+SwaptionMonthsToGo+SwaptionShift))/SQRT(SUM(INDEX($FK363:$ID363,1+SwaptionShift):INDEX($FK363:$ID363,SwaptionMonthsToGo+SwaptionShift))*SUM(INDEX($FK$325:$ID$396,GH$169,1+SwaptionShift):INDEX($FK$325:$ID$396,GH$169,SwaptionMonthsToGo+SwaptionShift))))))</f>
        <v/>
      </c>
      <c r="GI208" s="479" t="str">
        <f ca="1">IF(OR(GI$169&lt;SwaptionFirstMonthPosition+1,$FJ208&lt;SwaptionFirstMonthPosition+1,GI$169&gt;SwaptionFirstMonthPosition+SwaptionNumOfMonths+1,$FJ208&gt;SwaptionFirstMonthPosition+SwaptionNumOfMonths+1),"",IF($FJ208=GI$169,1,IF($FJ208&lt;GI$169,INDEX($FK$170:$ID$241,GI$169,$FJ208),SUMPRODUCT(INDEX($FK$325:$ID$396,GI$169,1+SwaptionShift):INDEX($FK$325:$ID$396,GI$169,SwaptionMonthsToGo+SwaptionShift),INDEX($FK$245:$ID$316,$FJ208-GI$169,73-GI$169+SwaptionShift):INDEX($FK$245:$ID$316,$FJ208-GI$169,72-GI$169+SwaptionMonthsToGo+SwaptionShift))/SQRT(SUM(INDEX($FK363:$ID363,1+SwaptionShift):INDEX($FK363:$ID363,SwaptionMonthsToGo+SwaptionShift))*SUM(INDEX($FK$325:$ID$396,GI$169,1+SwaptionShift):INDEX($FK$325:$ID$396,GI$169,SwaptionMonthsToGo+SwaptionShift))))))</f>
        <v/>
      </c>
      <c r="GJ208" s="479" t="str">
        <f ca="1">IF(OR(GJ$169&lt;SwaptionFirstMonthPosition+1,$FJ208&lt;SwaptionFirstMonthPosition+1,GJ$169&gt;SwaptionFirstMonthPosition+SwaptionNumOfMonths+1,$FJ208&gt;SwaptionFirstMonthPosition+SwaptionNumOfMonths+1),"",IF($FJ208=GJ$169,1,IF($FJ208&lt;GJ$169,INDEX($FK$170:$ID$241,GJ$169,$FJ208),SUMPRODUCT(INDEX($FK$325:$ID$396,GJ$169,1+SwaptionShift):INDEX($FK$325:$ID$396,GJ$169,SwaptionMonthsToGo+SwaptionShift),INDEX($FK$245:$ID$316,$FJ208-GJ$169,73-GJ$169+SwaptionShift):INDEX($FK$245:$ID$316,$FJ208-GJ$169,72-GJ$169+SwaptionMonthsToGo+SwaptionShift))/SQRT(SUM(INDEX($FK363:$ID363,1+SwaptionShift):INDEX($FK363:$ID363,SwaptionMonthsToGo+SwaptionShift))*SUM(INDEX($FK$325:$ID$396,GJ$169,1+SwaptionShift):INDEX($FK$325:$ID$396,GJ$169,SwaptionMonthsToGo+SwaptionShift))))))</f>
        <v/>
      </c>
      <c r="GK208" s="479" t="str">
        <f ca="1">IF(OR(GK$169&lt;SwaptionFirstMonthPosition+1,$FJ208&lt;SwaptionFirstMonthPosition+1,GK$169&gt;SwaptionFirstMonthPosition+SwaptionNumOfMonths+1,$FJ208&gt;SwaptionFirstMonthPosition+SwaptionNumOfMonths+1),"",IF($FJ208=GK$169,1,IF($FJ208&lt;GK$169,INDEX($FK$170:$ID$241,GK$169,$FJ208),SUMPRODUCT(INDEX($FK$325:$ID$396,GK$169,1+SwaptionShift):INDEX($FK$325:$ID$396,GK$169,SwaptionMonthsToGo+SwaptionShift),INDEX($FK$245:$ID$316,$FJ208-GK$169,73-GK$169+SwaptionShift):INDEX($FK$245:$ID$316,$FJ208-GK$169,72-GK$169+SwaptionMonthsToGo+SwaptionShift))/SQRT(SUM(INDEX($FK363:$ID363,1+SwaptionShift):INDEX($FK363:$ID363,SwaptionMonthsToGo+SwaptionShift))*SUM(INDEX($FK$325:$ID$396,GK$169,1+SwaptionShift):INDEX($FK$325:$ID$396,GK$169,SwaptionMonthsToGo+SwaptionShift))))))</f>
        <v/>
      </c>
      <c r="GL208" s="479" t="str">
        <f ca="1">IF(OR(GL$169&lt;SwaptionFirstMonthPosition+1,$FJ208&lt;SwaptionFirstMonthPosition+1,GL$169&gt;SwaptionFirstMonthPosition+SwaptionNumOfMonths+1,$FJ208&gt;SwaptionFirstMonthPosition+SwaptionNumOfMonths+1),"",IF($FJ208=GL$169,1,IF($FJ208&lt;GL$169,INDEX($FK$170:$ID$241,GL$169,$FJ208),SUMPRODUCT(INDEX($FK$325:$ID$396,GL$169,1+SwaptionShift):INDEX($FK$325:$ID$396,GL$169,SwaptionMonthsToGo+SwaptionShift),INDEX($FK$245:$ID$316,$FJ208-GL$169,73-GL$169+SwaptionShift):INDEX($FK$245:$ID$316,$FJ208-GL$169,72-GL$169+SwaptionMonthsToGo+SwaptionShift))/SQRT(SUM(INDEX($FK363:$ID363,1+SwaptionShift):INDEX($FK363:$ID363,SwaptionMonthsToGo+SwaptionShift))*SUM(INDEX($FK$325:$ID$396,GL$169,1+SwaptionShift):INDEX($FK$325:$ID$396,GL$169,SwaptionMonthsToGo+SwaptionShift))))))</f>
        <v/>
      </c>
      <c r="GM208" s="479" t="str">
        <f ca="1">IF(OR(GM$169&lt;SwaptionFirstMonthPosition+1,$FJ208&lt;SwaptionFirstMonthPosition+1,GM$169&gt;SwaptionFirstMonthPosition+SwaptionNumOfMonths+1,$FJ208&gt;SwaptionFirstMonthPosition+SwaptionNumOfMonths+1),"",IF($FJ208=GM$169,1,IF($FJ208&lt;GM$169,INDEX($FK$170:$ID$241,GM$169,$FJ208),SUMPRODUCT(INDEX($FK$325:$ID$396,GM$169,1+SwaptionShift):INDEX($FK$325:$ID$396,GM$169,SwaptionMonthsToGo+SwaptionShift),INDEX($FK$245:$ID$316,$FJ208-GM$169,73-GM$169+SwaptionShift):INDEX($FK$245:$ID$316,$FJ208-GM$169,72-GM$169+SwaptionMonthsToGo+SwaptionShift))/SQRT(SUM(INDEX($FK363:$ID363,1+SwaptionShift):INDEX($FK363:$ID363,SwaptionMonthsToGo+SwaptionShift))*SUM(INDEX($FK$325:$ID$396,GM$169,1+SwaptionShift):INDEX($FK$325:$ID$396,GM$169,SwaptionMonthsToGo+SwaptionShift))))))</f>
        <v/>
      </c>
      <c r="GN208" s="479" t="str">
        <f ca="1">IF(OR(GN$169&lt;SwaptionFirstMonthPosition+1,$FJ208&lt;SwaptionFirstMonthPosition+1,GN$169&gt;SwaptionFirstMonthPosition+SwaptionNumOfMonths+1,$FJ208&gt;SwaptionFirstMonthPosition+SwaptionNumOfMonths+1),"",IF($FJ208=GN$169,1,IF($FJ208&lt;GN$169,INDEX($FK$170:$ID$241,GN$169,$FJ208),SUMPRODUCT(INDEX($FK$325:$ID$396,GN$169,1+SwaptionShift):INDEX($FK$325:$ID$396,GN$169,SwaptionMonthsToGo+SwaptionShift),INDEX($FK$245:$ID$316,$FJ208-GN$169,73-GN$169+SwaptionShift):INDEX($FK$245:$ID$316,$FJ208-GN$169,72-GN$169+SwaptionMonthsToGo+SwaptionShift))/SQRT(SUM(INDEX($FK363:$ID363,1+SwaptionShift):INDEX($FK363:$ID363,SwaptionMonthsToGo+SwaptionShift))*SUM(INDEX($FK$325:$ID$396,GN$169,1+SwaptionShift):INDEX($FK$325:$ID$396,GN$169,SwaptionMonthsToGo+SwaptionShift))))))</f>
        <v/>
      </c>
      <c r="GO208" s="479" t="str">
        <f ca="1">IF(OR(GO$169&lt;SwaptionFirstMonthPosition+1,$FJ208&lt;SwaptionFirstMonthPosition+1,GO$169&gt;SwaptionFirstMonthPosition+SwaptionNumOfMonths+1,$FJ208&gt;SwaptionFirstMonthPosition+SwaptionNumOfMonths+1),"",IF($FJ208=GO$169,1,IF($FJ208&lt;GO$169,INDEX($FK$170:$ID$241,GO$169,$FJ208),SUMPRODUCT(INDEX($FK$325:$ID$396,GO$169,1+SwaptionShift):INDEX($FK$325:$ID$396,GO$169,SwaptionMonthsToGo+SwaptionShift),INDEX($FK$245:$ID$316,$FJ208-GO$169,73-GO$169+SwaptionShift):INDEX($FK$245:$ID$316,$FJ208-GO$169,72-GO$169+SwaptionMonthsToGo+SwaptionShift))/SQRT(SUM(INDEX($FK363:$ID363,1+SwaptionShift):INDEX($FK363:$ID363,SwaptionMonthsToGo+SwaptionShift))*SUM(INDEX($FK$325:$ID$396,GO$169,1+SwaptionShift):INDEX($FK$325:$ID$396,GO$169,SwaptionMonthsToGo+SwaptionShift))))))</f>
        <v/>
      </c>
      <c r="GP208" s="479" t="str">
        <f ca="1">IF(OR(GP$169&lt;SwaptionFirstMonthPosition+1,$FJ208&lt;SwaptionFirstMonthPosition+1,GP$169&gt;SwaptionFirstMonthPosition+SwaptionNumOfMonths+1,$FJ208&gt;SwaptionFirstMonthPosition+SwaptionNumOfMonths+1),"",IF($FJ208=GP$169,1,IF($FJ208&lt;GP$169,INDEX($FK$170:$ID$241,GP$169,$FJ208),SUMPRODUCT(INDEX($FK$325:$ID$396,GP$169,1+SwaptionShift):INDEX($FK$325:$ID$396,GP$169,SwaptionMonthsToGo+SwaptionShift),INDEX($FK$245:$ID$316,$FJ208-GP$169,73-GP$169+SwaptionShift):INDEX($FK$245:$ID$316,$FJ208-GP$169,72-GP$169+SwaptionMonthsToGo+SwaptionShift))/SQRT(SUM(INDEX($FK363:$ID363,1+SwaptionShift):INDEX($FK363:$ID363,SwaptionMonthsToGo+SwaptionShift))*SUM(INDEX($FK$325:$ID$396,GP$169,1+SwaptionShift):INDEX($FK$325:$ID$396,GP$169,SwaptionMonthsToGo+SwaptionShift))))))</f>
        <v/>
      </c>
      <c r="GQ208" s="479" t="str">
        <f ca="1">IF(OR(GQ$169&lt;SwaptionFirstMonthPosition+1,$FJ208&lt;SwaptionFirstMonthPosition+1,GQ$169&gt;SwaptionFirstMonthPosition+SwaptionNumOfMonths+1,$FJ208&gt;SwaptionFirstMonthPosition+SwaptionNumOfMonths+1),"",IF($FJ208=GQ$169,1,IF($FJ208&lt;GQ$169,INDEX($FK$170:$ID$241,GQ$169,$FJ208),SUMPRODUCT(INDEX($FK$325:$ID$396,GQ$169,1+SwaptionShift):INDEX($FK$325:$ID$396,GQ$169,SwaptionMonthsToGo+SwaptionShift),INDEX($FK$245:$ID$316,$FJ208-GQ$169,73-GQ$169+SwaptionShift):INDEX($FK$245:$ID$316,$FJ208-GQ$169,72-GQ$169+SwaptionMonthsToGo+SwaptionShift))/SQRT(SUM(INDEX($FK363:$ID363,1+SwaptionShift):INDEX($FK363:$ID363,SwaptionMonthsToGo+SwaptionShift))*SUM(INDEX($FK$325:$ID$396,GQ$169,1+SwaptionShift):INDEX($FK$325:$ID$396,GQ$169,SwaptionMonthsToGo+SwaptionShift))))))</f>
        <v/>
      </c>
      <c r="GR208" s="479" t="str">
        <f ca="1">IF(OR(GR$169&lt;SwaptionFirstMonthPosition+1,$FJ208&lt;SwaptionFirstMonthPosition+1,GR$169&gt;SwaptionFirstMonthPosition+SwaptionNumOfMonths+1,$FJ208&gt;SwaptionFirstMonthPosition+SwaptionNumOfMonths+1),"",IF($FJ208=GR$169,1,IF($FJ208&lt;GR$169,INDEX($FK$170:$ID$241,GR$169,$FJ208),SUMPRODUCT(INDEX($FK$325:$ID$396,GR$169,1+SwaptionShift):INDEX($FK$325:$ID$396,GR$169,SwaptionMonthsToGo+SwaptionShift),INDEX($FK$245:$ID$316,$FJ208-GR$169,73-GR$169+SwaptionShift):INDEX($FK$245:$ID$316,$FJ208-GR$169,72-GR$169+SwaptionMonthsToGo+SwaptionShift))/SQRT(SUM(INDEX($FK363:$ID363,1+SwaptionShift):INDEX($FK363:$ID363,SwaptionMonthsToGo+SwaptionShift))*SUM(INDEX($FK$325:$ID$396,GR$169,1+SwaptionShift):INDEX($FK$325:$ID$396,GR$169,SwaptionMonthsToGo+SwaptionShift))))))</f>
        <v/>
      </c>
      <c r="GS208" s="479" t="str">
        <f ca="1">IF(OR(GS$169&lt;SwaptionFirstMonthPosition+1,$FJ208&lt;SwaptionFirstMonthPosition+1,GS$169&gt;SwaptionFirstMonthPosition+SwaptionNumOfMonths+1,$FJ208&gt;SwaptionFirstMonthPosition+SwaptionNumOfMonths+1),"",IF($FJ208=GS$169,1,IF($FJ208&lt;GS$169,INDEX($FK$170:$ID$241,GS$169,$FJ208),SUMPRODUCT(INDEX($FK$325:$ID$396,GS$169,1+SwaptionShift):INDEX($FK$325:$ID$396,GS$169,SwaptionMonthsToGo+SwaptionShift),INDEX($FK$245:$ID$316,$FJ208-GS$169,73-GS$169+SwaptionShift):INDEX($FK$245:$ID$316,$FJ208-GS$169,72-GS$169+SwaptionMonthsToGo+SwaptionShift))/SQRT(SUM(INDEX($FK363:$ID363,1+SwaptionShift):INDEX($FK363:$ID363,SwaptionMonthsToGo+SwaptionShift))*SUM(INDEX($FK$325:$ID$396,GS$169,1+SwaptionShift):INDEX($FK$325:$ID$396,GS$169,SwaptionMonthsToGo+SwaptionShift))))))</f>
        <v/>
      </c>
      <c r="GT208" s="479" t="str">
        <f ca="1">IF(OR(GT$169&lt;SwaptionFirstMonthPosition+1,$FJ208&lt;SwaptionFirstMonthPosition+1,GT$169&gt;SwaptionFirstMonthPosition+SwaptionNumOfMonths+1,$FJ208&gt;SwaptionFirstMonthPosition+SwaptionNumOfMonths+1),"",IF($FJ208=GT$169,1,IF($FJ208&lt;GT$169,INDEX($FK$170:$ID$241,GT$169,$FJ208),SUMPRODUCT(INDEX($FK$325:$ID$396,GT$169,1+SwaptionShift):INDEX($FK$325:$ID$396,GT$169,SwaptionMonthsToGo+SwaptionShift),INDEX($FK$245:$ID$316,$FJ208-GT$169,73-GT$169+SwaptionShift):INDEX($FK$245:$ID$316,$FJ208-GT$169,72-GT$169+SwaptionMonthsToGo+SwaptionShift))/SQRT(SUM(INDEX($FK363:$ID363,1+SwaptionShift):INDEX($FK363:$ID363,SwaptionMonthsToGo+SwaptionShift))*SUM(INDEX($FK$325:$ID$396,GT$169,1+SwaptionShift):INDEX($FK$325:$ID$396,GT$169,SwaptionMonthsToGo+SwaptionShift))))))</f>
        <v/>
      </c>
      <c r="GU208" s="479" t="str">
        <f ca="1">IF(OR(GU$169&lt;SwaptionFirstMonthPosition+1,$FJ208&lt;SwaptionFirstMonthPosition+1,GU$169&gt;SwaptionFirstMonthPosition+SwaptionNumOfMonths+1,$FJ208&gt;SwaptionFirstMonthPosition+SwaptionNumOfMonths+1),"",IF($FJ208=GU$169,1,IF($FJ208&lt;GU$169,INDEX($FK$170:$ID$241,GU$169,$FJ208),SUMPRODUCT(INDEX($FK$325:$ID$396,GU$169,1+SwaptionShift):INDEX($FK$325:$ID$396,GU$169,SwaptionMonthsToGo+SwaptionShift),INDEX($FK$245:$ID$316,$FJ208-GU$169,73-GU$169+SwaptionShift):INDEX($FK$245:$ID$316,$FJ208-GU$169,72-GU$169+SwaptionMonthsToGo+SwaptionShift))/SQRT(SUM(INDEX($FK363:$ID363,1+SwaptionShift):INDEX($FK363:$ID363,SwaptionMonthsToGo+SwaptionShift))*SUM(INDEX($FK$325:$ID$396,GU$169,1+SwaptionShift):INDEX($FK$325:$ID$396,GU$169,SwaptionMonthsToGo+SwaptionShift))))))</f>
        <v/>
      </c>
      <c r="GV208" s="479" t="str">
        <f ca="1">IF(OR(GV$169&lt;SwaptionFirstMonthPosition+1,$FJ208&lt;SwaptionFirstMonthPosition+1,GV$169&gt;SwaptionFirstMonthPosition+SwaptionNumOfMonths+1,$FJ208&gt;SwaptionFirstMonthPosition+SwaptionNumOfMonths+1),"",IF($FJ208=GV$169,1,IF($FJ208&lt;GV$169,INDEX($FK$170:$ID$241,GV$169,$FJ208),SUMPRODUCT(INDEX($FK$325:$ID$396,GV$169,1+SwaptionShift):INDEX($FK$325:$ID$396,GV$169,SwaptionMonthsToGo+SwaptionShift),INDEX($FK$245:$ID$316,$FJ208-GV$169,73-GV$169+SwaptionShift):INDEX($FK$245:$ID$316,$FJ208-GV$169,72-GV$169+SwaptionMonthsToGo+SwaptionShift))/SQRT(SUM(INDEX($FK363:$ID363,1+SwaptionShift):INDEX($FK363:$ID363,SwaptionMonthsToGo+SwaptionShift))*SUM(INDEX($FK$325:$ID$396,GV$169,1+SwaptionShift):INDEX($FK$325:$ID$396,GV$169,SwaptionMonthsToGo+SwaptionShift))))))</f>
        <v/>
      </c>
      <c r="GW208" s="479" t="str">
        <f ca="1">IF(OR(GW$169&lt;SwaptionFirstMonthPosition+1,$FJ208&lt;SwaptionFirstMonthPosition+1,GW$169&gt;SwaptionFirstMonthPosition+SwaptionNumOfMonths+1,$FJ208&gt;SwaptionFirstMonthPosition+SwaptionNumOfMonths+1),"",IF($FJ208=GW$169,1,IF($FJ208&lt;GW$169,INDEX($FK$170:$ID$241,GW$169,$FJ208),SUMPRODUCT(INDEX($FK$325:$ID$396,GW$169,1+SwaptionShift):INDEX($FK$325:$ID$396,GW$169,SwaptionMonthsToGo+SwaptionShift),INDEX($FK$245:$ID$316,$FJ208-GW$169,73-GW$169+SwaptionShift):INDEX($FK$245:$ID$316,$FJ208-GW$169,72-GW$169+SwaptionMonthsToGo+SwaptionShift))/SQRT(SUM(INDEX($FK363:$ID363,1+SwaptionShift):INDEX($FK363:$ID363,SwaptionMonthsToGo+SwaptionShift))*SUM(INDEX($FK$325:$ID$396,GW$169,1+SwaptionShift):INDEX($FK$325:$ID$396,GW$169,SwaptionMonthsToGo+SwaptionShift))))))</f>
        <v/>
      </c>
      <c r="GX208" s="479" t="str">
        <f ca="1">IF(OR(GX$169&lt;SwaptionFirstMonthPosition+1,$FJ208&lt;SwaptionFirstMonthPosition+1,GX$169&gt;SwaptionFirstMonthPosition+SwaptionNumOfMonths+1,$FJ208&gt;SwaptionFirstMonthPosition+SwaptionNumOfMonths+1),"",IF($FJ208=GX$169,1,IF($FJ208&lt;GX$169,INDEX($FK$170:$ID$241,GX$169,$FJ208),SUMPRODUCT(INDEX($FK$325:$ID$396,GX$169,1+SwaptionShift):INDEX($FK$325:$ID$396,GX$169,SwaptionMonthsToGo+SwaptionShift),INDEX($FK$245:$ID$316,$FJ208-GX$169,73-GX$169+SwaptionShift):INDEX($FK$245:$ID$316,$FJ208-GX$169,72-GX$169+SwaptionMonthsToGo+SwaptionShift))/SQRT(SUM(INDEX($FK363:$ID363,1+SwaptionShift):INDEX($FK363:$ID363,SwaptionMonthsToGo+SwaptionShift))*SUM(INDEX($FK$325:$ID$396,GX$169,1+SwaptionShift):INDEX($FK$325:$ID$396,GX$169,SwaptionMonthsToGo+SwaptionShift))))))</f>
        <v/>
      </c>
      <c r="GY208" s="479" t="str">
        <f ca="1">IF(OR(GY$169&lt;SwaptionFirstMonthPosition+1,$FJ208&lt;SwaptionFirstMonthPosition+1,GY$169&gt;SwaptionFirstMonthPosition+SwaptionNumOfMonths+1,$FJ208&gt;SwaptionFirstMonthPosition+SwaptionNumOfMonths+1),"",IF($FJ208=GY$169,1,IF($FJ208&lt;GY$169,INDEX($FK$170:$ID$241,GY$169,$FJ208),SUMPRODUCT(INDEX($FK$325:$ID$396,GY$169,1+SwaptionShift):INDEX($FK$325:$ID$396,GY$169,SwaptionMonthsToGo+SwaptionShift),INDEX($FK$245:$ID$316,$FJ208-GY$169,73-GY$169+SwaptionShift):INDEX($FK$245:$ID$316,$FJ208-GY$169,72-GY$169+SwaptionMonthsToGo+SwaptionShift))/SQRT(SUM(INDEX($FK363:$ID363,1+SwaptionShift):INDEX($FK363:$ID363,SwaptionMonthsToGo+SwaptionShift))*SUM(INDEX($FK$325:$ID$396,GY$169,1+SwaptionShift):INDEX($FK$325:$ID$396,GY$169,SwaptionMonthsToGo+SwaptionShift))))))</f>
        <v/>
      </c>
      <c r="GZ208" s="479" t="str">
        <f ca="1">IF(OR(GZ$169&lt;SwaptionFirstMonthPosition+1,$FJ208&lt;SwaptionFirstMonthPosition+1,GZ$169&gt;SwaptionFirstMonthPosition+SwaptionNumOfMonths+1,$FJ208&gt;SwaptionFirstMonthPosition+SwaptionNumOfMonths+1),"",IF($FJ208=GZ$169,1,IF($FJ208&lt;GZ$169,INDEX($FK$170:$ID$241,GZ$169,$FJ208),SUMPRODUCT(INDEX($FK$325:$ID$396,GZ$169,1+SwaptionShift):INDEX($FK$325:$ID$396,GZ$169,SwaptionMonthsToGo+SwaptionShift),INDEX($FK$245:$ID$316,$FJ208-GZ$169,73-GZ$169+SwaptionShift):INDEX($FK$245:$ID$316,$FJ208-GZ$169,72-GZ$169+SwaptionMonthsToGo+SwaptionShift))/SQRT(SUM(INDEX($FK363:$ID363,1+SwaptionShift):INDEX($FK363:$ID363,SwaptionMonthsToGo+SwaptionShift))*SUM(INDEX($FK$325:$ID$396,GZ$169,1+SwaptionShift):INDEX($FK$325:$ID$396,GZ$169,SwaptionMonthsToGo+SwaptionShift))))))</f>
        <v/>
      </c>
      <c r="HA208" s="479" t="str">
        <f ca="1">IF(OR(HA$169&lt;SwaptionFirstMonthPosition+1,$FJ208&lt;SwaptionFirstMonthPosition+1,HA$169&gt;SwaptionFirstMonthPosition+SwaptionNumOfMonths+1,$FJ208&gt;SwaptionFirstMonthPosition+SwaptionNumOfMonths+1),"",IF($FJ208=HA$169,1,IF($FJ208&lt;HA$169,INDEX($FK$170:$ID$241,HA$169,$FJ208),SUMPRODUCT(INDEX($FK$325:$ID$396,HA$169,1+SwaptionShift):INDEX($FK$325:$ID$396,HA$169,SwaptionMonthsToGo+SwaptionShift),INDEX($FK$245:$ID$316,$FJ208-HA$169,73-HA$169+SwaptionShift):INDEX($FK$245:$ID$316,$FJ208-HA$169,72-HA$169+SwaptionMonthsToGo+SwaptionShift))/SQRT(SUM(INDEX($FK363:$ID363,1+SwaptionShift):INDEX($FK363:$ID363,SwaptionMonthsToGo+SwaptionShift))*SUM(INDEX($FK$325:$ID$396,HA$169,1+SwaptionShift):INDEX($FK$325:$ID$396,HA$169,SwaptionMonthsToGo+SwaptionShift))))))</f>
        <v/>
      </c>
      <c r="HB208" s="479" t="str">
        <f ca="1">IF(OR(HB$169&lt;SwaptionFirstMonthPosition+1,$FJ208&lt;SwaptionFirstMonthPosition+1,HB$169&gt;SwaptionFirstMonthPosition+SwaptionNumOfMonths+1,$FJ208&gt;SwaptionFirstMonthPosition+SwaptionNumOfMonths+1),"",IF($FJ208=HB$169,1,IF($FJ208&lt;HB$169,INDEX($FK$170:$ID$241,HB$169,$FJ208),SUMPRODUCT(INDEX($FK$325:$ID$396,HB$169,1+SwaptionShift):INDEX($FK$325:$ID$396,HB$169,SwaptionMonthsToGo+SwaptionShift),INDEX($FK$245:$ID$316,$FJ208-HB$169,73-HB$169+SwaptionShift):INDEX($FK$245:$ID$316,$FJ208-HB$169,72-HB$169+SwaptionMonthsToGo+SwaptionShift))/SQRT(SUM(INDEX($FK363:$ID363,1+SwaptionShift):INDEX($FK363:$ID363,SwaptionMonthsToGo+SwaptionShift))*SUM(INDEX($FK$325:$ID$396,HB$169,1+SwaptionShift):INDEX($FK$325:$ID$396,HB$169,SwaptionMonthsToGo+SwaptionShift))))))</f>
        <v/>
      </c>
      <c r="HC208" s="479" t="str">
        <f ca="1">IF(OR(HC$169&lt;SwaptionFirstMonthPosition+1,$FJ208&lt;SwaptionFirstMonthPosition+1,HC$169&gt;SwaptionFirstMonthPosition+SwaptionNumOfMonths+1,$FJ208&gt;SwaptionFirstMonthPosition+SwaptionNumOfMonths+1),"",IF($FJ208=HC$169,1,IF($FJ208&lt;HC$169,INDEX($FK$170:$ID$241,HC$169,$FJ208),SUMPRODUCT(INDEX($FK$325:$ID$396,HC$169,1+SwaptionShift):INDEX($FK$325:$ID$396,HC$169,SwaptionMonthsToGo+SwaptionShift),INDEX($FK$245:$ID$316,$FJ208-HC$169,73-HC$169+SwaptionShift):INDEX($FK$245:$ID$316,$FJ208-HC$169,72-HC$169+SwaptionMonthsToGo+SwaptionShift))/SQRT(SUM(INDEX($FK363:$ID363,1+SwaptionShift):INDEX($FK363:$ID363,SwaptionMonthsToGo+SwaptionShift))*SUM(INDEX($FK$325:$ID$396,HC$169,1+SwaptionShift):INDEX($FK$325:$ID$396,HC$169,SwaptionMonthsToGo+SwaptionShift))))))</f>
        <v/>
      </c>
      <c r="HD208" s="479" t="str">
        <f ca="1">IF(OR(HD$169&lt;SwaptionFirstMonthPosition+1,$FJ208&lt;SwaptionFirstMonthPosition+1,HD$169&gt;SwaptionFirstMonthPosition+SwaptionNumOfMonths+1,$FJ208&gt;SwaptionFirstMonthPosition+SwaptionNumOfMonths+1),"",IF($FJ208=HD$169,1,IF($FJ208&lt;HD$169,INDEX($FK$170:$ID$241,HD$169,$FJ208),SUMPRODUCT(INDEX($FK$325:$ID$396,HD$169,1+SwaptionShift):INDEX($FK$325:$ID$396,HD$169,SwaptionMonthsToGo+SwaptionShift),INDEX($FK$245:$ID$316,$FJ208-HD$169,73-HD$169+SwaptionShift):INDEX($FK$245:$ID$316,$FJ208-HD$169,72-HD$169+SwaptionMonthsToGo+SwaptionShift))/SQRT(SUM(INDEX($FK363:$ID363,1+SwaptionShift):INDEX($FK363:$ID363,SwaptionMonthsToGo+SwaptionShift))*SUM(INDEX($FK$325:$ID$396,HD$169,1+SwaptionShift):INDEX($FK$325:$ID$396,HD$169,SwaptionMonthsToGo+SwaptionShift))))))</f>
        <v/>
      </c>
      <c r="HE208" s="479" t="str">
        <f ca="1">IF(OR(HE$169&lt;SwaptionFirstMonthPosition+1,$FJ208&lt;SwaptionFirstMonthPosition+1,HE$169&gt;SwaptionFirstMonthPosition+SwaptionNumOfMonths+1,$FJ208&gt;SwaptionFirstMonthPosition+SwaptionNumOfMonths+1),"",IF($FJ208=HE$169,1,IF($FJ208&lt;HE$169,INDEX($FK$170:$ID$241,HE$169,$FJ208),SUMPRODUCT(INDEX($FK$325:$ID$396,HE$169,1+SwaptionShift):INDEX($FK$325:$ID$396,HE$169,SwaptionMonthsToGo+SwaptionShift),INDEX($FK$245:$ID$316,$FJ208-HE$169,73-HE$169+SwaptionShift):INDEX($FK$245:$ID$316,$FJ208-HE$169,72-HE$169+SwaptionMonthsToGo+SwaptionShift))/SQRT(SUM(INDEX($FK363:$ID363,1+SwaptionShift):INDEX($FK363:$ID363,SwaptionMonthsToGo+SwaptionShift))*SUM(INDEX($FK$325:$ID$396,HE$169,1+SwaptionShift):INDEX($FK$325:$ID$396,HE$169,SwaptionMonthsToGo+SwaptionShift))))))</f>
        <v/>
      </c>
      <c r="HF208" s="479" t="str">
        <f ca="1">IF(OR(HF$169&lt;SwaptionFirstMonthPosition+1,$FJ208&lt;SwaptionFirstMonthPosition+1,HF$169&gt;SwaptionFirstMonthPosition+SwaptionNumOfMonths+1,$FJ208&gt;SwaptionFirstMonthPosition+SwaptionNumOfMonths+1),"",IF($FJ208=HF$169,1,IF($FJ208&lt;HF$169,INDEX($FK$170:$ID$241,HF$169,$FJ208),SUMPRODUCT(INDEX($FK$325:$ID$396,HF$169,1+SwaptionShift):INDEX($FK$325:$ID$396,HF$169,SwaptionMonthsToGo+SwaptionShift),INDEX($FK$245:$ID$316,$FJ208-HF$169,73-HF$169+SwaptionShift):INDEX($FK$245:$ID$316,$FJ208-HF$169,72-HF$169+SwaptionMonthsToGo+SwaptionShift))/SQRT(SUM(INDEX($FK363:$ID363,1+SwaptionShift):INDEX($FK363:$ID363,SwaptionMonthsToGo+SwaptionShift))*SUM(INDEX($FK$325:$ID$396,HF$169,1+SwaptionShift):INDEX($FK$325:$ID$396,HF$169,SwaptionMonthsToGo+SwaptionShift))))))</f>
        <v/>
      </c>
      <c r="HG208" s="479" t="str">
        <f ca="1">IF(OR(HG$169&lt;SwaptionFirstMonthPosition+1,$FJ208&lt;SwaptionFirstMonthPosition+1,HG$169&gt;SwaptionFirstMonthPosition+SwaptionNumOfMonths+1,$FJ208&gt;SwaptionFirstMonthPosition+SwaptionNumOfMonths+1),"",IF($FJ208=HG$169,1,IF($FJ208&lt;HG$169,INDEX($FK$170:$ID$241,HG$169,$FJ208),SUMPRODUCT(INDEX($FK$325:$ID$396,HG$169,1+SwaptionShift):INDEX($FK$325:$ID$396,HG$169,SwaptionMonthsToGo+SwaptionShift),INDEX($FK$245:$ID$316,$FJ208-HG$169,73-HG$169+SwaptionShift):INDEX($FK$245:$ID$316,$FJ208-HG$169,72-HG$169+SwaptionMonthsToGo+SwaptionShift))/SQRT(SUM(INDEX($FK363:$ID363,1+SwaptionShift):INDEX($FK363:$ID363,SwaptionMonthsToGo+SwaptionShift))*SUM(INDEX($FK$325:$ID$396,HG$169,1+SwaptionShift):INDEX($FK$325:$ID$396,HG$169,SwaptionMonthsToGo+SwaptionShift))))))</f>
        <v/>
      </c>
      <c r="HH208" s="479" t="str">
        <f ca="1">IF(OR(HH$169&lt;SwaptionFirstMonthPosition+1,$FJ208&lt;SwaptionFirstMonthPosition+1,HH$169&gt;SwaptionFirstMonthPosition+SwaptionNumOfMonths+1,$FJ208&gt;SwaptionFirstMonthPosition+SwaptionNumOfMonths+1),"",IF($FJ208=HH$169,1,IF($FJ208&lt;HH$169,INDEX($FK$170:$ID$241,HH$169,$FJ208),SUMPRODUCT(INDEX($FK$325:$ID$396,HH$169,1+SwaptionShift):INDEX($FK$325:$ID$396,HH$169,SwaptionMonthsToGo+SwaptionShift),INDEX($FK$245:$ID$316,$FJ208-HH$169,73-HH$169+SwaptionShift):INDEX($FK$245:$ID$316,$FJ208-HH$169,72-HH$169+SwaptionMonthsToGo+SwaptionShift))/SQRT(SUM(INDEX($FK363:$ID363,1+SwaptionShift):INDEX($FK363:$ID363,SwaptionMonthsToGo+SwaptionShift))*SUM(INDEX($FK$325:$ID$396,HH$169,1+SwaptionShift):INDEX($FK$325:$ID$396,HH$169,SwaptionMonthsToGo+SwaptionShift))))))</f>
        <v/>
      </c>
      <c r="HI208" s="479" t="str">
        <f ca="1">IF(OR(HI$169&lt;SwaptionFirstMonthPosition+1,$FJ208&lt;SwaptionFirstMonthPosition+1,HI$169&gt;SwaptionFirstMonthPosition+SwaptionNumOfMonths+1,$FJ208&gt;SwaptionFirstMonthPosition+SwaptionNumOfMonths+1),"",IF($FJ208=HI$169,1,IF($FJ208&lt;HI$169,INDEX($FK$170:$ID$241,HI$169,$FJ208),SUMPRODUCT(INDEX($FK$325:$ID$396,HI$169,1+SwaptionShift):INDEX($FK$325:$ID$396,HI$169,SwaptionMonthsToGo+SwaptionShift),INDEX($FK$245:$ID$316,$FJ208-HI$169,73-HI$169+SwaptionShift):INDEX($FK$245:$ID$316,$FJ208-HI$169,72-HI$169+SwaptionMonthsToGo+SwaptionShift))/SQRT(SUM(INDEX($FK363:$ID363,1+SwaptionShift):INDEX($FK363:$ID363,SwaptionMonthsToGo+SwaptionShift))*SUM(INDEX($FK$325:$ID$396,HI$169,1+SwaptionShift):INDEX($FK$325:$ID$396,HI$169,SwaptionMonthsToGo+SwaptionShift))))))</f>
        <v/>
      </c>
      <c r="HJ208" s="479" t="str">
        <f ca="1">IF(OR(HJ$169&lt;SwaptionFirstMonthPosition+1,$FJ208&lt;SwaptionFirstMonthPosition+1,HJ$169&gt;SwaptionFirstMonthPosition+SwaptionNumOfMonths+1,$FJ208&gt;SwaptionFirstMonthPosition+SwaptionNumOfMonths+1),"",IF($FJ208=HJ$169,1,IF($FJ208&lt;HJ$169,INDEX($FK$170:$ID$241,HJ$169,$FJ208),SUMPRODUCT(INDEX($FK$325:$ID$396,HJ$169,1+SwaptionShift):INDEX($FK$325:$ID$396,HJ$169,SwaptionMonthsToGo+SwaptionShift),INDEX($FK$245:$ID$316,$FJ208-HJ$169,73-HJ$169+SwaptionShift):INDEX($FK$245:$ID$316,$FJ208-HJ$169,72-HJ$169+SwaptionMonthsToGo+SwaptionShift))/SQRT(SUM(INDEX($FK363:$ID363,1+SwaptionShift):INDEX($FK363:$ID363,SwaptionMonthsToGo+SwaptionShift))*SUM(INDEX($FK$325:$ID$396,HJ$169,1+SwaptionShift):INDEX($FK$325:$ID$396,HJ$169,SwaptionMonthsToGo+SwaptionShift))))))</f>
        <v/>
      </c>
      <c r="HK208" s="479" t="str">
        <f ca="1">IF(OR(HK$169&lt;SwaptionFirstMonthPosition+1,$FJ208&lt;SwaptionFirstMonthPosition+1,HK$169&gt;SwaptionFirstMonthPosition+SwaptionNumOfMonths+1,$FJ208&gt;SwaptionFirstMonthPosition+SwaptionNumOfMonths+1),"",IF($FJ208=HK$169,1,IF($FJ208&lt;HK$169,INDEX($FK$170:$ID$241,HK$169,$FJ208),SUMPRODUCT(INDEX($FK$325:$ID$396,HK$169,1+SwaptionShift):INDEX($FK$325:$ID$396,HK$169,SwaptionMonthsToGo+SwaptionShift),INDEX($FK$245:$ID$316,$FJ208-HK$169,73-HK$169+SwaptionShift):INDEX($FK$245:$ID$316,$FJ208-HK$169,72-HK$169+SwaptionMonthsToGo+SwaptionShift))/SQRT(SUM(INDEX($FK363:$ID363,1+SwaptionShift):INDEX($FK363:$ID363,SwaptionMonthsToGo+SwaptionShift))*SUM(INDEX($FK$325:$ID$396,HK$169,1+SwaptionShift):INDEX($FK$325:$ID$396,HK$169,SwaptionMonthsToGo+SwaptionShift))))))</f>
        <v/>
      </c>
      <c r="HL208" s="479" t="str">
        <f ca="1">IF(OR(HL$169&lt;SwaptionFirstMonthPosition+1,$FJ208&lt;SwaptionFirstMonthPosition+1,HL$169&gt;SwaptionFirstMonthPosition+SwaptionNumOfMonths+1,$FJ208&gt;SwaptionFirstMonthPosition+SwaptionNumOfMonths+1),"",IF($FJ208=HL$169,1,IF($FJ208&lt;HL$169,INDEX($FK$170:$ID$241,HL$169,$FJ208),SUMPRODUCT(INDEX($FK$325:$ID$396,HL$169,1+SwaptionShift):INDEX($FK$325:$ID$396,HL$169,SwaptionMonthsToGo+SwaptionShift),INDEX($FK$245:$ID$316,$FJ208-HL$169,73-HL$169+SwaptionShift):INDEX($FK$245:$ID$316,$FJ208-HL$169,72-HL$169+SwaptionMonthsToGo+SwaptionShift))/SQRT(SUM(INDEX($FK363:$ID363,1+SwaptionShift):INDEX($FK363:$ID363,SwaptionMonthsToGo+SwaptionShift))*SUM(INDEX($FK$325:$ID$396,HL$169,1+SwaptionShift):INDEX($FK$325:$ID$396,HL$169,SwaptionMonthsToGo+SwaptionShift))))))</f>
        <v/>
      </c>
      <c r="HM208" s="479" t="str">
        <f ca="1">IF(OR(HM$169&lt;SwaptionFirstMonthPosition+1,$FJ208&lt;SwaptionFirstMonthPosition+1,HM$169&gt;SwaptionFirstMonthPosition+SwaptionNumOfMonths+1,$FJ208&gt;SwaptionFirstMonthPosition+SwaptionNumOfMonths+1),"",IF($FJ208=HM$169,1,IF($FJ208&lt;HM$169,INDEX($FK$170:$ID$241,HM$169,$FJ208),SUMPRODUCT(INDEX($FK$325:$ID$396,HM$169,1+SwaptionShift):INDEX($FK$325:$ID$396,HM$169,SwaptionMonthsToGo+SwaptionShift),INDEX($FK$245:$ID$316,$FJ208-HM$169,73-HM$169+SwaptionShift):INDEX($FK$245:$ID$316,$FJ208-HM$169,72-HM$169+SwaptionMonthsToGo+SwaptionShift))/SQRT(SUM(INDEX($FK363:$ID363,1+SwaptionShift):INDEX($FK363:$ID363,SwaptionMonthsToGo+SwaptionShift))*SUM(INDEX($FK$325:$ID$396,HM$169,1+SwaptionShift):INDEX($FK$325:$ID$396,HM$169,SwaptionMonthsToGo+SwaptionShift))))))</f>
        <v/>
      </c>
      <c r="HN208" s="479" t="str">
        <f ca="1">IF(OR(HN$169&lt;SwaptionFirstMonthPosition+1,$FJ208&lt;SwaptionFirstMonthPosition+1,HN$169&gt;SwaptionFirstMonthPosition+SwaptionNumOfMonths+1,$FJ208&gt;SwaptionFirstMonthPosition+SwaptionNumOfMonths+1),"",IF($FJ208=HN$169,1,IF($FJ208&lt;HN$169,INDEX($FK$170:$ID$241,HN$169,$FJ208),SUMPRODUCT(INDEX($FK$325:$ID$396,HN$169,1+SwaptionShift):INDEX($FK$325:$ID$396,HN$169,SwaptionMonthsToGo+SwaptionShift),INDEX($FK$245:$ID$316,$FJ208-HN$169,73-HN$169+SwaptionShift):INDEX($FK$245:$ID$316,$FJ208-HN$169,72-HN$169+SwaptionMonthsToGo+SwaptionShift))/SQRT(SUM(INDEX($FK363:$ID363,1+SwaptionShift):INDEX($FK363:$ID363,SwaptionMonthsToGo+SwaptionShift))*SUM(INDEX($FK$325:$ID$396,HN$169,1+SwaptionShift):INDEX($FK$325:$ID$396,HN$169,SwaptionMonthsToGo+SwaptionShift))))))</f>
        <v/>
      </c>
      <c r="HO208" s="479" t="str">
        <f ca="1">IF(OR(HO$169&lt;SwaptionFirstMonthPosition+1,$FJ208&lt;SwaptionFirstMonthPosition+1,HO$169&gt;SwaptionFirstMonthPosition+SwaptionNumOfMonths+1,$FJ208&gt;SwaptionFirstMonthPosition+SwaptionNumOfMonths+1),"",IF($FJ208=HO$169,1,IF($FJ208&lt;HO$169,INDEX($FK$170:$ID$241,HO$169,$FJ208),SUMPRODUCT(INDEX($FK$325:$ID$396,HO$169,1+SwaptionShift):INDEX($FK$325:$ID$396,HO$169,SwaptionMonthsToGo+SwaptionShift),INDEX($FK$245:$ID$316,$FJ208-HO$169,73-HO$169+SwaptionShift):INDEX($FK$245:$ID$316,$FJ208-HO$169,72-HO$169+SwaptionMonthsToGo+SwaptionShift))/SQRT(SUM(INDEX($FK363:$ID363,1+SwaptionShift):INDEX($FK363:$ID363,SwaptionMonthsToGo+SwaptionShift))*SUM(INDEX($FK$325:$ID$396,HO$169,1+SwaptionShift):INDEX($FK$325:$ID$396,HO$169,SwaptionMonthsToGo+SwaptionShift))))))</f>
        <v/>
      </c>
      <c r="HP208" s="479" t="str">
        <f ca="1">IF(OR(HP$169&lt;SwaptionFirstMonthPosition+1,$FJ208&lt;SwaptionFirstMonthPosition+1,HP$169&gt;SwaptionFirstMonthPosition+SwaptionNumOfMonths+1,$FJ208&gt;SwaptionFirstMonthPosition+SwaptionNumOfMonths+1),"",IF($FJ208=HP$169,1,IF($FJ208&lt;HP$169,INDEX($FK$170:$ID$241,HP$169,$FJ208),SUMPRODUCT(INDEX($FK$325:$ID$396,HP$169,1+SwaptionShift):INDEX($FK$325:$ID$396,HP$169,SwaptionMonthsToGo+SwaptionShift),INDEX($FK$245:$ID$316,$FJ208-HP$169,73-HP$169+SwaptionShift):INDEX($FK$245:$ID$316,$FJ208-HP$169,72-HP$169+SwaptionMonthsToGo+SwaptionShift))/SQRT(SUM(INDEX($FK363:$ID363,1+SwaptionShift):INDEX($FK363:$ID363,SwaptionMonthsToGo+SwaptionShift))*SUM(INDEX($FK$325:$ID$396,HP$169,1+SwaptionShift):INDEX($FK$325:$ID$396,HP$169,SwaptionMonthsToGo+SwaptionShift))))))</f>
        <v/>
      </c>
      <c r="HQ208" s="479" t="str">
        <f ca="1">IF(OR(HQ$169&lt;SwaptionFirstMonthPosition+1,$FJ208&lt;SwaptionFirstMonthPosition+1,HQ$169&gt;SwaptionFirstMonthPosition+SwaptionNumOfMonths+1,$FJ208&gt;SwaptionFirstMonthPosition+SwaptionNumOfMonths+1),"",IF($FJ208=HQ$169,1,IF($FJ208&lt;HQ$169,INDEX($FK$170:$ID$241,HQ$169,$FJ208),SUMPRODUCT(INDEX($FK$325:$ID$396,HQ$169,1+SwaptionShift):INDEX($FK$325:$ID$396,HQ$169,SwaptionMonthsToGo+SwaptionShift),INDEX($FK$245:$ID$316,$FJ208-HQ$169,73-HQ$169+SwaptionShift):INDEX($FK$245:$ID$316,$FJ208-HQ$169,72-HQ$169+SwaptionMonthsToGo+SwaptionShift))/SQRT(SUM(INDEX($FK363:$ID363,1+SwaptionShift):INDEX($FK363:$ID363,SwaptionMonthsToGo+SwaptionShift))*SUM(INDEX($FK$325:$ID$396,HQ$169,1+SwaptionShift):INDEX($FK$325:$ID$396,HQ$169,SwaptionMonthsToGo+SwaptionShift))))))</f>
        <v/>
      </c>
      <c r="HR208" s="479" t="str">
        <f ca="1">IF(OR(HR$169&lt;SwaptionFirstMonthPosition+1,$FJ208&lt;SwaptionFirstMonthPosition+1,HR$169&gt;SwaptionFirstMonthPosition+SwaptionNumOfMonths+1,$FJ208&gt;SwaptionFirstMonthPosition+SwaptionNumOfMonths+1),"",IF($FJ208=HR$169,1,IF($FJ208&lt;HR$169,INDEX($FK$170:$ID$241,HR$169,$FJ208),SUMPRODUCT(INDEX($FK$325:$ID$396,HR$169,1+SwaptionShift):INDEX($FK$325:$ID$396,HR$169,SwaptionMonthsToGo+SwaptionShift),INDEX($FK$245:$ID$316,$FJ208-HR$169,73-HR$169+SwaptionShift):INDEX($FK$245:$ID$316,$FJ208-HR$169,72-HR$169+SwaptionMonthsToGo+SwaptionShift))/SQRT(SUM(INDEX($FK363:$ID363,1+SwaptionShift):INDEX($FK363:$ID363,SwaptionMonthsToGo+SwaptionShift))*SUM(INDEX($FK$325:$ID$396,HR$169,1+SwaptionShift):INDEX($FK$325:$ID$396,HR$169,SwaptionMonthsToGo+SwaptionShift))))))</f>
        <v/>
      </c>
      <c r="HS208" s="479" t="str">
        <f ca="1">IF(OR(HS$169&lt;SwaptionFirstMonthPosition+1,$FJ208&lt;SwaptionFirstMonthPosition+1,HS$169&gt;SwaptionFirstMonthPosition+SwaptionNumOfMonths+1,$FJ208&gt;SwaptionFirstMonthPosition+SwaptionNumOfMonths+1),"",IF($FJ208=HS$169,1,IF($FJ208&lt;HS$169,INDEX($FK$170:$ID$241,HS$169,$FJ208),SUMPRODUCT(INDEX($FK$325:$ID$396,HS$169,1+SwaptionShift):INDEX($FK$325:$ID$396,HS$169,SwaptionMonthsToGo+SwaptionShift),INDEX($FK$245:$ID$316,$FJ208-HS$169,73-HS$169+SwaptionShift):INDEX($FK$245:$ID$316,$FJ208-HS$169,72-HS$169+SwaptionMonthsToGo+SwaptionShift))/SQRT(SUM(INDEX($FK363:$ID363,1+SwaptionShift):INDEX($FK363:$ID363,SwaptionMonthsToGo+SwaptionShift))*SUM(INDEX($FK$325:$ID$396,HS$169,1+SwaptionShift):INDEX($FK$325:$ID$396,HS$169,SwaptionMonthsToGo+SwaptionShift))))))</f>
        <v/>
      </c>
      <c r="HT208" s="479" t="str">
        <f ca="1">IF(OR(HT$169&lt;SwaptionFirstMonthPosition+1,$FJ208&lt;SwaptionFirstMonthPosition+1,HT$169&gt;SwaptionFirstMonthPosition+SwaptionNumOfMonths+1,$FJ208&gt;SwaptionFirstMonthPosition+SwaptionNumOfMonths+1),"",IF($FJ208=HT$169,1,IF($FJ208&lt;HT$169,INDEX($FK$170:$ID$241,HT$169,$FJ208),SUMPRODUCT(INDEX($FK$325:$ID$396,HT$169,1+SwaptionShift):INDEX($FK$325:$ID$396,HT$169,SwaptionMonthsToGo+SwaptionShift),INDEX($FK$245:$ID$316,$FJ208-HT$169,73-HT$169+SwaptionShift):INDEX($FK$245:$ID$316,$FJ208-HT$169,72-HT$169+SwaptionMonthsToGo+SwaptionShift))/SQRT(SUM(INDEX($FK363:$ID363,1+SwaptionShift):INDEX($FK363:$ID363,SwaptionMonthsToGo+SwaptionShift))*SUM(INDEX($FK$325:$ID$396,HT$169,1+SwaptionShift):INDEX($FK$325:$ID$396,HT$169,SwaptionMonthsToGo+SwaptionShift))))))</f>
        <v/>
      </c>
      <c r="HU208" s="479" t="str">
        <f ca="1">IF(OR(HU$169&lt;SwaptionFirstMonthPosition+1,$FJ208&lt;SwaptionFirstMonthPosition+1,HU$169&gt;SwaptionFirstMonthPosition+SwaptionNumOfMonths+1,$FJ208&gt;SwaptionFirstMonthPosition+SwaptionNumOfMonths+1),"",IF($FJ208=HU$169,1,IF($FJ208&lt;HU$169,INDEX($FK$170:$ID$241,HU$169,$FJ208),SUMPRODUCT(INDEX($FK$325:$ID$396,HU$169,1+SwaptionShift):INDEX($FK$325:$ID$396,HU$169,SwaptionMonthsToGo+SwaptionShift),INDEX($FK$245:$ID$316,$FJ208-HU$169,73-HU$169+SwaptionShift):INDEX($FK$245:$ID$316,$FJ208-HU$169,72-HU$169+SwaptionMonthsToGo+SwaptionShift))/SQRT(SUM(INDEX($FK363:$ID363,1+SwaptionShift):INDEX($FK363:$ID363,SwaptionMonthsToGo+SwaptionShift))*SUM(INDEX($FK$325:$ID$396,HU$169,1+SwaptionShift):INDEX($FK$325:$ID$396,HU$169,SwaptionMonthsToGo+SwaptionShift))))))</f>
        <v/>
      </c>
      <c r="HV208" s="479" t="str">
        <f ca="1">IF(OR(HV$169&lt;SwaptionFirstMonthPosition+1,$FJ208&lt;SwaptionFirstMonthPosition+1,HV$169&gt;SwaptionFirstMonthPosition+SwaptionNumOfMonths+1,$FJ208&gt;SwaptionFirstMonthPosition+SwaptionNumOfMonths+1),"",IF($FJ208=HV$169,1,IF($FJ208&lt;HV$169,INDEX($FK$170:$ID$241,HV$169,$FJ208),SUMPRODUCT(INDEX($FK$325:$ID$396,HV$169,1+SwaptionShift):INDEX($FK$325:$ID$396,HV$169,SwaptionMonthsToGo+SwaptionShift),INDEX($FK$245:$ID$316,$FJ208-HV$169,73-HV$169+SwaptionShift):INDEX($FK$245:$ID$316,$FJ208-HV$169,72-HV$169+SwaptionMonthsToGo+SwaptionShift))/SQRT(SUM(INDEX($FK363:$ID363,1+SwaptionShift):INDEX($FK363:$ID363,SwaptionMonthsToGo+SwaptionShift))*SUM(INDEX($FK$325:$ID$396,HV$169,1+SwaptionShift):INDEX($FK$325:$ID$396,HV$169,SwaptionMonthsToGo+SwaptionShift))))))</f>
        <v/>
      </c>
      <c r="HW208" s="479" t="str">
        <f ca="1">IF(OR(HW$169&lt;SwaptionFirstMonthPosition+1,$FJ208&lt;SwaptionFirstMonthPosition+1,HW$169&gt;SwaptionFirstMonthPosition+SwaptionNumOfMonths+1,$FJ208&gt;SwaptionFirstMonthPosition+SwaptionNumOfMonths+1),"",IF($FJ208=HW$169,1,IF($FJ208&lt;HW$169,INDEX($FK$170:$ID$241,HW$169,$FJ208),SUMPRODUCT(INDEX($FK$325:$ID$396,HW$169,1+SwaptionShift):INDEX($FK$325:$ID$396,HW$169,SwaptionMonthsToGo+SwaptionShift),INDEX($FK$245:$ID$316,$FJ208-HW$169,73-HW$169+SwaptionShift):INDEX($FK$245:$ID$316,$FJ208-HW$169,72-HW$169+SwaptionMonthsToGo+SwaptionShift))/SQRT(SUM(INDEX($FK363:$ID363,1+SwaptionShift):INDEX($FK363:$ID363,SwaptionMonthsToGo+SwaptionShift))*SUM(INDEX($FK$325:$ID$396,HW$169,1+SwaptionShift):INDEX($FK$325:$ID$396,HW$169,SwaptionMonthsToGo+SwaptionShift))))))</f>
        <v/>
      </c>
      <c r="HX208" s="479" t="str">
        <f ca="1">IF(OR(HX$169&lt;SwaptionFirstMonthPosition+1,$FJ208&lt;SwaptionFirstMonthPosition+1,HX$169&gt;SwaptionFirstMonthPosition+SwaptionNumOfMonths+1,$FJ208&gt;SwaptionFirstMonthPosition+SwaptionNumOfMonths+1),"",IF($FJ208=HX$169,1,IF($FJ208&lt;HX$169,INDEX($FK$170:$ID$241,HX$169,$FJ208),SUMPRODUCT(INDEX($FK$325:$ID$396,HX$169,1+SwaptionShift):INDEX($FK$325:$ID$396,HX$169,SwaptionMonthsToGo+SwaptionShift),INDEX($FK$245:$ID$316,$FJ208-HX$169,73-HX$169+SwaptionShift):INDEX($FK$245:$ID$316,$FJ208-HX$169,72-HX$169+SwaptionMonthsToGo+SwaptionShift))/SQRT(SUM(INDEX($FK363:$ID363,1+SwaptionShift):INDEX($FK363:$ID363,SwaptionMonthsToGo+SwaptionShift))*SUM(INDEX($FK$325:$ID$396,HX$169,1+SwaptionShift):INDEX($FK$325:$ID$396,HX$169,SwaptionMonthsToGo+SwaptionShift))))))</f>
        <v/>
      </c>
      <c r="HY208" s="479" t="str">
        <f ca="1">IF(OR(HY$169&lt;SwaptionFirstMonthPosition+1,$FJ208&lt;SwaptionFirstMonthPosition+1,HY$169&gt;SwaptionFirstMonthPosition+SwaptionNumOfMonths+1,$FJ208&gt;SwaptionFirstMonthPosition+SwaptionNumOfMonths+1),"",IF($FJ208=HY$169,1,IF($FJ208&lt;HY$169,INDEX($FK$170:$ID$241,HY$169,$FJ208),SUMPRODUCT(INDEX($FK$325:$ID$396,HY$169,1+SwaptionShift):INDEX($FK$325:$ID$396,HY$169,SwaptionMonthsToGo+SwaptionShift),INDEX($FK$245:$ID$316,$FJ208-HY$169,73-HY$169+SwaptionShift):INDEX($FK$245:$ID$316,$FJ208-HY$169,72-HY$169+SwaptionMonthsToGo+SwaptionShift))/SQRT(SUM(INDEX($FK363:$ID363,1+SwaptionShift):INDEX($FK363:$ID363,SwaptionMonthsToGo+SwaptionShift))*SUM(INDEX($FK$325:$ID$396,HY$169,1+SwaptionShift):INDEX($FK$325:$ID$396,HY$169,SwaptionMonthsToGo+SwaptionShift))))))</f>
        <v/>
      </c>
      <c r="HZ208" s="479" t="str">
        <f ca="1">IF(OR(HZ$169&lt;SwaptionFirstMonthPosition+1,$FJ208&lt;SwaptionFirstMonthPosition+1,HZ$169&gt;SwaptionFirstMonthPosition+SwaptionNumOfMonths+1,$FJ208&gt;SwaptionFirstMonthPosition+SwaptionNumOfMonths+1),"",IF($FJ208=HZ$169,1,IF($FJ208&lt;HZ$169,INDEX($FK$170:$ID$241,HZ$169,$FJ208),SUMPRODUCT(INDEX($FK$325:$ID$396,HZ$169,1+SwaptionShift):INDEX($FK$325:$ID$396,HZ$169,SwaptionMonthsToGo+SwaptionShift),INDEX($FK$245:$ID$316,$FJ208-HZ$169,73-HZ$169+SwaptionShift):INDEX($FK$245:$ID$316,$FJ208-HZ$169,72-HZ$169+SwaptionMonthsToGo+SwaptionShift))/SQRT(SUM(INDEX($FK363:$ID363,1+SwaptionShift):INDEX($FK363:$ID363,SwaptionMonthsToGo+SwaptionShift))*SUM(INDEX($FK$325:$ID$396,HZ$169,1+SwaptionShift):INDEX($FK$325:$ID$396,HZ$169,SwaptionMonthsToGo+SwaptionShift))))))</f>
        <v/>
      </c>
      <c r="IA208" s="479" t="str">
        <f ca="1">IF(OR(IA$169&lt;SwaptionFirstMonthPosition+1,$FJ208&lt;SwaptionFirstMonthPosition+1,IA$169&gt;SwaptionFirstMonthPosition+SwaptionNumOfMonths+1,$FJ208&gt;SwaptionFirstMonthPosition+SwaptionNumOfMonths+1),"",IF($FJ208=IA$169,1,IF($FJ208&lt;IA$169,INDEX($FK$170:$ID$241,IA$169,$FJ208),SUMPRODUCT(INDEX($FK$325:$ID$396,IA$169,1+SwaptionShift):INDEX($FK$325:$ID$396,IA$169,SwaptionMonthsToGo+SwaptionShift),INDEX($FK$245:$ID$316,$FJ208-IA$169,73-IA$169+SwaptionShift):INDEX($FK$245:$ID$316,$FJ208-IA$169,72-IA$169+SwaptionMonthsToGo+SwaptionShift))/SQRT(SUM(INDEX($FK363:$ID363,1+SwaptionShift):INDEX($FK363:$ID363,SwaptionMonthsToGo+SwaptionShift))*SUM(INDEX($FK$325:$ID$396,IA$169,1+SwaptionShift):INDEX($FK$325:$ID$396,IA$169,SwaptionMonthsToGo+SwaptionShift))))))</f>
        <v/>
      </c>
      <c r="IB208" s="479" t="str">
        <f ca="1">IF(OR(IB$169&lt;SwaptionFirstMonthPosition+1,$FJ208&lt;SwaptionFirstMonthPosition+1,IB$169&gt;SwaptionFirstMonthPosition+SwaptionNumOfMonths+1,$FJ208&gt;SwaptionFirstMonthPosition+SwaptionNumOfMonths+1),"",IF($FJ208=IB$169,1,IF($FJ208&lt;IB$169,INDEX($FK$170:$ID$241,IB$169,$FJ208),SUMPRODUCT(INDEX($FK$325:$ID$396,IB$169,1+SwaptionShift):INDEX($FK$325:$ID$396,IB$169,SwaptionMonthsToGo+SwaptionShift),INDEX($FK$245:$ID$316,$FJ208-IB$169,73-IB$169+SwaptionShift):INDEX($FK$245:$ID$316,$FJ208-IB$169,72-IB$169+SwaptionMonthsToGo+SwaptionShift))/SQRT(SUM(INDEX($FK363:$ID363,1+SwaptionShift):INDEX($FK363:$ID363,SwaptionMonthsToGo+SwaptionShift))*SUM(INDEX($FK$325:$ID$396,IB$169,1+SwaptionShift):INDEX($FK$325:$ID$396,IB$169,SwaptionMonthsToGo+SwaptionShift))))))</f>
        <v/>
      </c>
      <c r="IC208" s="479" t="str">
        <f ca="1">IF(OR(IC$169&lt;SwaptionFirstMonthPosition+1,$FJ208&lt;SwaptionFirstMonthPosition+1,IC$169&gt;SwaptionFirstMonthPosition+SwaptionNumOfMonths+1,$FJ208&gt;SwaptionFirstMonthPosition+SwaptionNumOfMonths+1),"",IF($FJ208=IC$169,1,IF($FJ208&lt;IC$169,INDEX($FK$170:$ID$241,IC$169,$FJ208),SUMPRODUCT(INDEX($FK$325:$ID$396,IC$169,1+SwaptionShift):INDEX($FK$325:$ID$396,IC$169,SwaptionMonthsToGo+SwaptionShift),INDEX($FK$245:$ID$316,$FJ208-IC$169,73-IC$169+SwaptionShift):INDEX($FK$245:$ID$316,$FJ208-IC$169,72-IC$169+SwaptionMonthsToGo+SwaptionShift))/SQRT(SUM(INDEX($FK363:$ID363,1+SwaptionShift):INDEX($FK363:$ID363,SwaptionMonthsToGo+SwaptionShift))*SUM(INDEX($FK$325:$ID$396,IC$169,1+SwaptionShift):INDEX($FK$325:$ID$396,IC$169,SwaptionMonthsToGo+SwaptionShift))))))</f>
        <v/>
      </c>
      <c r="ID208" s="678" t="str">
        <f ca="1">IF(OR(ID$169&lt;SwaptionFirstMonthPosition+1,$FJ208&lt;SwaptionFirstMonthPosition+1,ID$169&gt;SwaptionFirstMonthPosition+SwaptionNumOfMonths+1,$FJ208&gt;SwaptionFirstMonthPosition+SwaptionNumOfMonths+1),"",IF($FJ208=ID$169,1,IF($FJ208&lt;ID$169,INDEX($FK$170:$ID$241,ID$169,$FJ208),SUMPRODUCT(INDEX($FK$325:$ID$396,ID$169,1+SwaptionShift):INDEX($FK$325:$ID$396,ID$169,SwaptionMonthsToGo+SwaptionShift),INDEX($FK$245:$ID$316,$FJ208-ID$169,73-ID$169+SwaptionShift):INDEX($FK$245:$ID$316,$FJ208-ID$169,72-ID$169+SwaptionMonthsToGo+SwaptionShift))/SQRT(SUM(INDEX($FK363:$ID363,1+SwaptionShift):INDEX($FK363:$ID363,SwaptionMonthsToGo+SwaptionShift))*SUM(INDEX($FK$325:$ID$396,ID$169,1+SwaptionShift):INDEX($FK$325:$ID$396,ID$169,SwaptionMonthsToGo+SwaptionShift))))))</f>
        <v/>
      </c>
      <c r="IE208" s="250"/>
    </row>
    <row r="209" spans="8:239">
      <c r="H209" s="51">
        <f t="shared" ca="1" si="527"/>
        <v>0</v>
      </c>
      <c r="I209" s="379">
        <f t="shared" si="528"/>
        <v>42522</v>
      </c>
      <c r="J209" s="377"/>
      <c r="K209" s="104" t="s">
        <v>268</v>
      </c>
      <c r="L209" s="392">
        <f t="shared" si="529"/>
        <v>4.2375000000000043</v>
      </c>
      <c r="M209" s="171"/>
      <c r="N209" s="382">
        <v>0</v>
      </c>
      <c r="O209" s="171">
        <f t="shared" si="596"/>
        <v>0</v>
      </c>
      <c r="P209" s="377"/>
      <c r="Q209" s="104" t="s">
        <v>268</v>
      </c>
      <c r="R209" s="377">
        <f t="shared" ca="1" si="597"/>
        <v>2.8153898031659828</v>
      </c>
      <c r="S209" s="832">
        <f t="shared" si="564"/>
        <v>0.3600000000000001</v>
      </c>
      <c r="T209" s="831">
        <f t="shared" si="548"/>
        <v>0.99999999999998446</v>
      </c>
      <c r="U209" s="545">
        <f t="shared" si="549"/>
        <v>0.99999999999999978</v>
      </c>
      <c r="V209" s="389">
        <v>0</v>
      </c>
      <c r="W209" s="434">
        <f t="shared" si="598"/>
        <v>0</v>
      </c>
      <c r="X209" s="415">
        <f t="shared" si="599"/>
        <v>4.2886363636363676</v>
      </c>
      <c r="Y209" s="322">
        <f t="shared" si="600"/>
        <v>-1.2915000000000001</v>
      </c>
      <c r="Z209" s="322">
        <f t="shared" ca="1" si="601"/>
        <v>2.9971363636363675</v>
      </c>
      <c r="AA209" s="429">
        <f t="shared" si="495"/>
        <v>1.2915000000000001</v>
      </c>
      <c r="AB209" s="433">
        <f t="shared" ca="1" si="496"/>
        <v>1.2915000000000001</v>
      </c>
      <c r="AC209" s="229">
        <v>42510</v>
      </c>
      <c r="AD209" s="229">
        <v>42506</v>
      </c>
      <c r="AE209" s="229">
        <v>42505</v>
      </c>
      <c r="AF209" s="229">
        <v>42501</v>
      </c>
      <c r="AG209" s="249" t="s">
        <v>499</v>
      </c>
      <c r="AH209" s="247" t="s">
        <v>499</v>
      </c>
      <c r="AI209" s="146">
        <v>22</v>
      </c>
      <c r="AJ209" s="41">
        <v>14</v>
      </c>
      <c r="AK209" s="41">
        <v>8</v>
      </c>
      <c r="AL209" s="293">
        <v>22</v>
      </c>
      <c r="AM209" s="41">
        <v>10</v>
      </c>
      <c r="AN209" s="147">
        <v>12</v>
      </c>
      <c r="AO209" s="374"/>
      <c r="AP209" s="153">
        <f t="shared" ca="1" si="530"/>
        <v>1</v>
      </c>
      <c r="AQ209" s="374"/>
      <c r="AR209" s="153">
        <f t="shared" ca="1" si="550"/>
        <v>1</v>
      </c>
      <c r="AS209" s="272">
        <f t="shared" si="602"/>
        <v>0</v>
      </c>
      <c r="AT209" s="157">
        <f t="shared" si="531"/>
        <v>0</v>
      </c>
      <c r="AU209" s="157">
        <f t="shared" si="498"/>
        <v>0</v>
      </c>
      <c r="AV209" s="271">
        <f t="shared" ca="1" si="558"/>
        <v>9.9999999999999995E-7</v>
      </c>
      <c r="AW209" s="158" t="str">
        <f t="shared" ca="1" si="583"/>
        <v/>
      </c>
      <c r="AX209" s="157">
        <f t="shared" ca="1" si="551"/>
        <v>4.3145622754032629E-5</v>
      </c>
      <c r="AY209" s="157">
        <f t="shared" ca="1" si="552"/>
        <v>9.4695237074362824E-6</v>
      </c>
      <c r="AZ209" s="157">
        <f t="shared" ca="1" si="553"/>
        <v>2.6521397981187934E-7</v>
      </c>
      <c r="BA209" s="157">
        <f t="shared" ca="1" si="554"/>
        <v>3.3151747476484918E-8</v>
      </c>
      <c r="BB209" s="157">
        <f t="shared" ca="1" si="555"/>
        <v>1.1919606585477172E-10</v>
      </c>
      <c r="BC209" s="157">
        <f t="shared" ca="1" si="556"/>
        <v>2.1980767214889866E-12</v>
      </c>
      <c r="BD209" s="151">
        <f t="shared" ca="1" si="603"/>
        <v>0</v>
      </c>
      <c r="BE209" s="152">
        <f t="shared" ca="1" si="604"/>
        <v>0</v>
      </c>
      <c r="BF209" s="40">
        <f t="shared" si="605"/>
        <v>2016</v>
      </c>
      <c r="BG209" s="144">
        <f t="shared" si="606"/>
        <v>6</v>
      </c>
      <c r="BH209" s="145">
        <f t="shared" ca="1" si="607"/>
        <v>5761</v>
      </c>
      <c r="BI209" s="313">
        <f t="shared" ca="1" si="608"/>
        <v>15.816563997262149</v>
      </c>
      <c r="BJ209" s="42">
        <f t="shared" ca="1" si="505"/>
        <v>15.867089789061041</v>
      </c>
      <c r="BK209" s="42">
        <f t="shared" ca="1" si="506"/>
        <v>15.869827639848173</v>
      </c>
      <c r="BL209" s="42">
        <f t="shared" ca="1" si="609"/>
        <v>15.89596167008898</v>
      </c>
      <c r="BM209" s="150" t="e">
        <f t="shared" ca="1" si="507"/>
        <v>#DIV/0!</v>
      </c>
      <c r="BN209" s="42" t="e">
        <f t="shared" ca="1" si="508"/>
        <v>#DIV/0!</v>
      </c>
      <c r="BO209" s="293">
        <f t="shared" si="610"/>
        <v>22</v>
      </c>
      <c r="BP209" s="41">
        <f t="shared" si="611"/>
        <v>14</v>
      </c>
      <c r="BQ209" s="41">
        <f t="shared" si="612"/>
        <v>8</v>
      </c>
      <c r="BR209" s="305" t="str">
        <f t="shared" ca="1" si="509"/>
        <v/>
      </c>
      <c r="BS209" s="305" t="str">
        <f t="shared" ca="1" si="613"/>
        <v/>
      </c>
      <c r="BT209" s="307" t="str">
        <f t="shared" ca="1" si="614"/>
        <v/>
      </c>
      <c r="BU209" s="161" t="str">
        <f t="shared" ca="1" si="510"/>
        <v/>
      </c>
      <c r="BV209" s="161" t="str">
        <f t="shared" ca="1" si="511"/>
        <v/>
      </c>
      <c r="BW209" s="308" t="str">
        <f t="shared" ca="1" si="512"/>
        <v/>
      </c>
      <c r="BX209" s="309" t="str">
        <f t="shared" ca="1" si="513"/>
        <v/>
      </c>
      <c r="BY209" s="308" t="str">
        <f t="shared" ca="1" si="615"/>
        <v/>
      </c>
      <c r="BZ209" s="309" t="str">
        <f t="shared" ca="1" si="616"/>
        <v/>
      </c>
      <c r="CA209" s="154" t="str">
        <f t="shared" ca="1" si="514"/>
        <v/>
      </c>
      <c r="CB209" s="154" t="str">
        <f t="shared" ca="1" si="515"/>
        <v/>
      </c>
      <c r="CC209" s="154" t="str">
        <f t="shared" ca="1" si="516"/>
        <v/>
      </c>
      <c r="CD209" s="154" t="str">
        <f t="shared" ca="1" si="517"/>
        <v/>
      </c>
      <c r="CE209" s="310">
        <v>1</v>
      </c>
      <c r="CF209" s="162">
        <f ca="1">IF(BD209,_xll.xCrudeAPO(BU209,BV209,CA209,CB209,S210,S211,BI209,BL209,BP209,BQ209,0,Strike1,AO209,CE209,0,BL209,IF(OptControl=4,0,1),0,1),0)</f>
        <v>0</v>
      </c>
      <c r="CG209" s="163">
        <f ca="1">IF(BD209,_xll.xCrudeAPO(BU209,BV209,CA209,CB209,S210,S211,BI209,BL209,BP209,BQ209,0,Strike1,AO209,CE209,0,BL209,IF(OptControl=4,0,1),1,1)+_xll.xCrudeAPO(BU209,BV209,CA209,CB209,S210,S211,BI209,BL209,BP209,BQ209,0,Strike1,AO209,CE209,0,BL209,IF(OptControl=4,0,1),1,2)+IF(OR(VolSkewFlag=2,ABS(BS209)&lt;0.0001),0,IF(BS209&gt;0,-1,1)*CH209*Strike1/BR209^2*BY209/10%),0)</f>
        <v>0</v>
      </c>
      <c r="CH209" s="163">
        <f ca="1">IF(BD209,(_xll.xCrudeAPO(BU209,BV209,CA209,CB209,S210,S211,BI209,BL209,BP209,BQ209,0,Strike1,AO209,CE209,0,BL209,IF(OptControl=4,0,1),3,1)+_xll.xCrudeAPO(BU209,BV209,CA209,CB209,S210,S211,BI209,BL209,BP209,BQ209,0,Strike1,AO209,CE209,0,BL209,IF(OptControl=4,0,1),3,2))/100,0)</f>
        <v>0</v>
      </c>
      <c r="CI209" s="163">
        <f ca="1">IF(BD209,_xll.xCrudeAPO(BU209,BV209,CA209,CB209,S210,S211,BI209-DaysForThetaCalculation/365.25,BL209-DaysForThetaCalculation/365.25,BP209,BQ209,0,Strike1,AO209,CE209,0,BL209,IF(OptControl=4,0,1),0,1)-_xll.xCrudeAPO(BU209,BV209,CA209,CB209,S210,S211,BI209,BL209,BP209,BQ209,0,Strike1,AO209,CE209,0,BL209,IF(OptControl=4,0,1),0,1),0)</f>
        <v>0</v>
      </c>
      <c r="CJ209" s="311">
        <f ca="1">IF(BD209,_xll.xCrudeAPO(BU209,BV209,CC209,CD209,S210,S211,BI209,BL209,BP209,BQ209,0,Strike2,AO209,CE209,0,BL209,IF(OptControl=3,1,0),0,1),0)</f>
        <v>0</v>
      </c>
      <c r="CK209" s="163">
        <f ca="1">IF(BD209,_xll.xCrudeAPO(BU209,BV209,CC209,CD209,S210,S211,BI209,BL209,BP209,BQ209,0,Strike2,AO209,CE209,0,BL209,IF(OptControl=3,1,0),1,1)+_xll.xCrudeAPO(BU209,BV209,CC209,CD209,S210,S211,BI209,BL209,BP209,BQ209,0,Strike2,AO209,CE209,0,BL209,IF(OptControl=3,1,0),1,2)+IF(OR(VolSkewFlag=2,ABS(BT209)&lt;0.0001),0,IF(BT209&gt;0,-1,1)*CL209*Strike2/BR209^2*BZ209/10%),0)</f>
        <v>0</v>
      </c>
      <c r="CL209" s="163">
        <f ca="1">IF(BD209,(_xll.xCrudeAPO(BU209,BV209,CC209,CD209,S210,S211,BI209,BL209,BP209,BQ209,0,Strike2,AO209,CE209,0,BL209,IF(OptControl=3,1,0),3,1)+_xll.xCrudeAPO(BU209,BV209,CC209,CD209,S210,S211,BI209,BL209,BP209,BQ209,0,Strike2,AO209,CE209,0,BL209,IF(OptControl=3,1,0),3,2))/100,0)</f>
        <v>0</v>
      </c>
      <c r="CM209" s="164">
        <f ca="1">IF(BD209,_xll.xCrudeAPO(BU209,BV209,CC209,CD209,S210,S211,BI209-DaysForThetaCalculation/365.25,BL209-DaysForThetaCalculation/365.25,BP209,BQ209,0,Strike2,AO209,CE209,0,BL209,IF(OptControl=3,1,0),0,1)-_xll.xCrudeAPO(BU209,BV209,CC209,CD209,S210,S211,BI209,BL209,BP209,BQ209,0,Strike2,AO209,CE209,0,BL209,IF(OptControl=3,1,0),0,1),0)</f>
        <v>0</v>
      </c>
      <c r="CN209" s="53"/>
      <c r="CO209" s="796" t="str">
        <f t="shared" ca="1" si="532"/>
        <v/>
      </c>
      <c r="CP209" s="800" t="str">
        <f t="shared" ca="1" si="533"/>
        <v/>
      </c>
      <c r="CQ209" s="797" t="str">
        <f t="shared" ca="1" si="534"/>
        <v/>
      </c>
      <c r="CR209" s="797" t="str">
        <f t="shared" ca="1" si="535"/>
        <v/>
      </c>
      <c r="CS209" s="797" t="str">
        <f t="shared" ca="1" si="536"/>
        <v/>
      </c>
      <c r="CT209" s="797" t="str">
        <f t="shared" ca="1" si="537"/>
        <v/>
      </c>
      <c r="CU209" s="798" t="str">
        <f t="shared" ca="1" si="538"/>
        <v/>
      </c>
      <c r="CV209" s="799" t="str">
        <f t="shared" ca="1" si="539"/>
        <v/>
      </c>
      <c r="CW209" s="799" t="str">
        <f t="shared" ca="1" si="540"/>
        <v/>
      </c>
      <c r="CX209" s="163">
        <f ca="1">IF(BD209,_xll.EURO(CP209,Strike1,AO209,AO209,CV209,CO209,IF(OptControl=4,0,1),0),0)</f>
        <v>0</v>
      </c>
      <c r="CY209" s="163">
        <f ca="1">IF(BD209,_xll.EURO(CP209,Strike1,AO209,AO209,CV209,CO209,IF(OptControl=4,0,1),1)+IF(OR(VolSkewFlag=2,ABS(CQ209)&lt;0.0001),0,IF(CQ209&gt;0,-1,1)*CZ209*100*Strike1/CP209^2*CS209/10%),0)</f>
        <v>0</v>
      </c>
      <c r="CZ209" s="163">
        <f ca="1">IF(BD209,_xll.EURO(CP209,Strike1,AO209,AO209,CV209,CO209,IF(OptControl=4,0,1),3)/100,0)</f>
        <v>0</v>
      </c>
      <c r="DA209" s="163">
        <f ca="1">IF(BD209,_xll.EURO(CP209,Strike1,AO209,AO209,CV209,CO209,IF(OptControl=4,0,1),0)-_xll.EURO(CP209,Strike1,AO209,AO209,CV209,CO209-1,IF(OptControl=4,0,1),0),0)</f>
        <v>0</v>
      </c>
      <c r="DB209" s="163">
        <f ca="1">IF(BD209,_xll.EURO(CP209,Strike2,AO209,AO209,CW209,CO209,IF(OptControl=3,1,0),0),0)</f>
        <v>0</v>
      </c>
      <c r="DC209" s="163">
        <f ca="1">IF(BD209,_xll.EURO(CP209,Strike2,AO209,AO209,CW209,CO209,IF(OptControl=3,1,0),1)+IF(OR(VolSkewFlag=2,ABS(CR209)&lt;0.0001),0,IF(CR209&gt;0,-1,1)*DD209*100*Strike2/CP209^2*CT209/10%),0)</f>
        <v>0</v>
      </c>
      <c r="DD209" s="163">
        <f ca="1">IF(BD209,_xll.EURO(CP209,Strike2,AO209,AO209,CW209,CO209,IF(OptControl=3,1,0),3)/100,0)</f>
        <v>0</v>
      </c>
      <c r="DE209" s="164">
        <f ca="1">IF(BD209,_xll.EURO(CP209,Strike2,AO209,AO209,CW209,CO209,IF(OptControl=3,1,0),0)-_xll.EURO(CP209,Strike2,AO209,AO209,CW209,CO209-1,IF(OptControl=3,1,0),0),0)</f>
        <v>0</v>
      </c>
      <c r="DG209" s="667">
        <f t="shared" ca="1" si="541"/>
        <v>42309</v>
      </c>
      <c r="DH209" s="475">
        <v>23.610000000000081</v>
      </c>
      <c r="DI209" s="665">
        <v>23.674285714285798</v>
      </c>
      <c r="DJ209" s="666">
        <f t="shared" ca="1" si="617"/>
        <v>42309</v>
      </c>
      <c r="DK209" s="475">
        <v>22.402200958320588</v>
      </c>
      <c r="DL209" s="665">
        <v>22.481185714285797</v>
      </c>
      <c r="DM209" s="667">
        <f t="shared" ca="1" si="618"/>
        <v>42309</v>
      </c>
      <c r="DN209" s="668">
        <f t="shared" si="619"/>
        <v>22.452200958320589</v>
      </c>
      <c r="DO209" s="667">
        <f t="shared" ca="1" si="620"/>
        <v>42309</v>
      </c>
      <c r="DP209" s="579">
        <f t="shared" si="621"/>
        <v>22.481185714285797</v>
      </c>
      <c r="DQ209" s="821">
        <v>0</v>
      </c>
      <c r="DR209" s="666">
        <f t="shared" ca="1" si="622"/>
        <v>42309</v>
      </c>
      <c r="DS209" s="669">
        <v>0.11119999999999802</v>
      </c>
      <c r="DT209" s="606">
        <v>0.11042857142856943</v>
      </c>
      <c r="DU209" s="666">
        <f t="shared" ca="1" si="623"/>
        <v>42309</v>
      </c>
      <c r="DV209" s="669">
        <v>0.11119999999999802</v>
      </c>
      <c r="DW209" s="606">
        <v>0.11042857142856943</v>
      </c>
      <c r="DX209" s="667">
        <f t="shared" ca="1" si="624"/>
        <v>42309</v>
      </c>
      <c r="DY209" s="606">
        <v>0.35</v>
      </c>
      <c r="DZ209" s="667">
        <f t="shared" ca="1" si="625"/>
        <v>42309</v>
      </c>
      <c r="EA209" s="606">
        <f t="shared" si="626"/>
        <v>0.11042857142856943</v>
      </c>
      <c r="EB209" s="1"/>
      <c r="EC209" s="118" t="str">
        <f t="shared" ca="1" si="627"/>
        <v/>
      </c>
      <c r="ED209" s="119" t="str">
        <f t="shared" ca="1" si="525"/>
        <v/>
      </c>
      <c r="EE209" s="112" t="str">
        <f t="shared" ca="1" si="526"/>
        <v/>
      </c>
      <c r="EF209" s="120">
        <f ca="1">IF(BD209,_xll.xASN(BR209,Strike1,AO209,ED209,0,BO209,0,BI209,BL209,IF(OptControl=4,0,1),0),0)</f>
        <v>0</v>
      </c>
      <c r="EG209" s="111">
        <f ca="1">IF(BD209,_xll.xASN(BR209,Strike2,AO209,EE209,0,BO209,0,BI209,BL209,IF(OptControl=3,1,0),0),0)</f>
        <v>0</v>
      </c>
      <c r="EL209" s="55"/>
      <c r="EM209" s="1"/>
      <c r="EN209" s="106"/>
      <c r="EO209" s="106"/>
      <c r="EP209" s="1"/>
      <c r="EQ209" s="683" t="s">
        <v>423</v>
      </c>
      <c r="ES209" s="55"/>
      <c r="EU209" s="107"/>
      <c r="FJ209" s="673">
        <v>40</v>
      </c>
      <c r="FK209" s="479" t="str">
        <f ca="1">IF(OR(FK$169&lt;SwaptionFirstMonthPosition+1,$FJ209&lt;SwaptionFirstMonthPosition+1,FK$169&gt;SwaptionFirstMonthPosition+SwaptionNumOfMonths+1,$FJ209&gt;SwaptionFirstMonthPosition+SwaptionNumOfMonths+1),"",IF($FJ209=FK$169,1,IF($FJ209&lt;FK$169,INDEX($FK$170:$ID$241,FK$169,$FJ209),SUMPRODUCT(INDEX($FK$325:$ID$396,FK$169,1+SwaptionShift):INDEX($FK$325:$ID$396,FK$169,SwaptionMonthsToGo+SwaptionShift),INDEX($FK$245:$ID$316,$FJ209-FK$169,73-FK$169+SwaptionShift):INDEX($FK$245:$ID$316,$FJ209-FK$169,72-FK$169+SwaptionMonthsToGo+SwaptionShift))/SQRT(SUM(INDEX($FK364:$ID364,1+SwaptionShift):INDEX($FK364:$ID364,SwaptionMonthsToGo+SwaptionShift))*SUM(INDEX($FK$325:$ID$396,FK$169,1+SwaptionShift):INDEX($FK$325:$ID$396,FK$169,SwaptionMonthsToGo+SwaptionShift))))))</f>
        <v/>
      </c>
      <c r="FL209" s="479" t="str">
        <f ca="1">IF(OR(FL$169&lt;SwaptionFirstMonthPosition+1,$FJ209&lt;SwaptionFirstMonthPosition+1,FL$169&gt;SwaptionFirstMonthPosition+SwaptionNumOfMonths+1,$FJ209&gt;SwaptionFirstMonthPosition+SwaptionNumOfMonths+1),"",IF($FJ209=FL$169,1,IF($FJ209&lt;FL$169,INDEX($FK$170:$ID$241,FL$169,$FJ209),SUMPRODUCT(INDEX($FK$325:$ID$396,FL$169,1+SwaptionShift):INDEX($FK$325:$ID$396,FL$169,SwaptionMonthsToGo+SwaptionShift),INDEX($FK$245:$ID$316,$FJ209-FL$169,73-FL$169+SwaptionShift):INDEX($FK$245:$ID$316,$FJ209-FL$169,72-FL$169+SwaptionMonthsToGo+SwaptionShift))/SQRT(SUM(INDEX($FK364:$ID364,1+SwaptionShift):INDEX($FK364:$ID364,SwaptionMonthsToGo+SwaptionShift))*SUM(INDEX($FK$325:$ID$396,FL$169,1+SwaptionShift):INDEX($FK$325:$ID$396,FL$169,SwaptionMonthsToGo+SwaptionShift))))))</f>
        <v/>
      </c>
      <c r="FM209" s="479" t="str">
        <f ca="1">IF(OR(FM$169&lt;SwaptionFirstMonthPosition+1,$FJ209&lt;SwaptionFirstMonthPosition+1,FM$169&gt;SwaptionFirstMonthPosition+SwaptionNumOfMonths+1,$FJ209&gt;SwaptionFirstMonthPosition+SwaptionNumOfMonths+1),"",IF($FJ209=FM$169,1,IF($FJ209&lt;FM$169,INDEX($FK$170:$ID$241,FM$169,$FJ209),SUMPRODUCT(INDEX($FK$325:$ID$396,FM$169,1+SwaptionShift):INDEX($FK$325:$ID$396,FM$169,SwaptionMonthsToGo+SwaptionShift),INDEX($FK$245:$ID$316,$FJ209-FM$169,73-FM$169+SwaptionShift):INDEX($FK$245:$ID$316,$FJ209-FM$169,72-FM$169+SwaptionMonthsToGo+SwaptionShift))/SQRT(SUM(INDEX($FK364:$ID364,1+SwaptionShift):INDEX($FK364:$ID364,SwaptionMonthsToGo+SwaptionShift))*SUM(INDEX($FK$325:$ID$396,FM$169,1+SwaptionShift):INDEX($FK$325:$ID$396,FM$169,SwaptionMonthsToGo+SwaptionShift))))))</f>
        <v/>
      </c>
      <c r="FN209" s="479" t="str">
        <f ca="1">IF(OR(FN$169&lt;SwaptionFirstMonthPosition+1,$FJ209&lt;SwaptionFirstMonthPosition+1,FN$169&gt;SwaptionFirstMonthPosition+SwaptionNumOfMonths+1,$FJ209&gt;SwaptionFirstMonthPosition+SwaptionNumOfMonths+1),"",IF($FJ209=FN$169,1,IF($FJ209&lt;FN$169,INDEX($FK$170:$ID$241,FN$169,$FJ209),SUMPRODUCT(INDEX($FK$325:$ID$396,FN$169,1+SwaptionShift):INDEX($FK$325:$ID$396,FN$169,SwaptionMonthsToGo+SwaptionShift),INDEX($FK$245:$ID$316,$FJ209-FN$169,73-FN$169+SwaptionShift):INDEX($FK$245:$ID$316,$FJ209-FN$169,72-FN$169+SwaptionMonthsToGo+SwaptionShift))/SQRT(SUM(INDEX($FK364:$ID364,1+SwaptionShift):INDEX($FK364:$ID364,SwaptionMonthsToGo+SwaptionShift))*SUM(INDEX($FK$325:$ID$396,FN$169,1+SwaptionShift):INDEX($FK$325:$ID$396,FN$169,SwaptionMonthsToGo+SwaptionShift))))))</f>
        <v/>
      </c>
      <c r="FO209" s="479" t="str">
        <f ca="1">IF(OR(FO$169&lt;SwaptionFirstMonthPosition+1,$FJ209&lt;SwaptionFirstMonthPosition+1,FO$169&gt;SwaptionFirstMonthPosition+SwaptionNumOfMonths+1,$FJ209&gt;SwaptionFirstMonthPosition+SwaptionNumOfMonths+1),"",IF($FJ209=FO$169,1,IF($FJ209&lt;FO$169,INDEX($FK$170:$ID$241,FO$169,$FJ209),SUMPRODUCT(INDEX($FK$325:$ID$396,FO$169,1+SwaptionShift):INDEX($FK$325:$ID$396,FO$169,SwaptionMonthsToGo+SwaptionShift),INDEX($FK$245:$ID$316,$FJ209-FO$169,73-FO$169+SwaptionShift):INDEX($FK$245:$ID$316,$FJ209-FO$169,72-FO$169+SwaptionMonthsToGo+SwaptionShift))/SQRT(SUM(INDEX($FK364:$ID364,1+SwaptionShift):INDEX($FK364:$ID364,SwaptionMonthsToGo+SwaptionShift))*SUM(INDEX($FK$325:$ID$396,FO$169,1+SwaptionShift):INDEX($FK$325:$ID$396,FO$169,SwaptionMonthsToGo+SwaptionShift))))))</f>
        <v/>
      </c>
      <c r="FP209" s="479" t="str">
        <f ca="1">IF(OR(FP$169&lt;SwaptionFirstMonthPosition+1,$FJ209&lt;SwaptionFirstMonthPosition+1,FP$169&gt;SwaptionFirstMonthPosition+SwaptionNumOfMonths+1,$FJ209&gt;SwaptionFirstMonthPosition+SwaptionNumOfMonths+1),"",IF($FJ209=FP$169,1,IF($FJ209&lt;FP$169,INDEX($FK$170:$ID$241,FP$169,$FJ209),SUMPRODUCT(INDEX($FK$325:$ID$396,FP$169,1+SwaptionShift):INDEX($FK$325:$ID$396,FP$169,SwaptionMonthsToGo+SwaptionShift),INDEX($FK$245:$ID$316,$FJ209-FP$169,73-FP$169+SwaptionShift):INDEX($FK$245:$ID$316,$FJ209-FP$169,72-FP$169+SwaptionMonthsToGo+SwaptionShift))/SQRT(SUM(INDEX($FK364:$ID364,1+SwaptionShift):INDEX($FK364:$ID364,SwaptionMonthsToGo+SwaptionShift))*SUM(INDEX($FK$325:$ID$396,FP$169,1+SwaptionShift):INDEX($FK$325:$ID$396,FP$169,SwaptionMonthsToGo+SwaptionShift))))))</f>
        <v/>
      </c>
      <c r="FQ209" s="479" t="str">
        <f ca="1">IF(OR(FQ$169&lt;SwaptionFirstMonthPosition+1,$FJ209&lt;SwaptionFirstMonthPosition+1,FQ$169&gt;SwaptionFirstMonthPosition+SwaptionNumOfMonths+1,$FJ209&gt;SwaptionFirstMonthPosition+SwaptionNumOfMonths+1),"",IF($FJ209=FQ$169,1,IF($FJ209&lt;FQ$169,INDEX($FK$170:$ID$241,FQ$169,$FJ209),SUMPRODUCT(INDEX($FK$325:$ID$396,FQ$169,1+SwaptionShift):INDEX($FK$325:$ID$396,FQ$169,SwaptionMonthsToGo+SwaptionShift),INDEX($FK$245:$ID$316,$FJ209-FQ$169,73-FQ$169+SwaptionShift):INDEX($FK$245:$ID$316,$FJ209-FQ$169,72-FQ$169+SwaptionMonthsToGo+SwaptionShift))/SQRT(SUM(INDEX($FK364:$ID364,1+SwaptionShift):INDEX($FK364:$ID364,SwaptionMonthsToGo+SwaptionShift))*SUM(INDEX($FK$325:$ID$396,FQ$169,1+SwaptionShift):INDEX($FK$325:$ID$396,FQ$169,SwaptionMonthsToGo+SwaptionShift))))))</f>
        <v/>
      </c>
      <c r="FR209" s="479" t="str">
        <f ca="1">IF(OR(FR$169&lt;SwaptionFirstMonthPosition+1,$FJ209&lt;SwaptionFirstMonthPosition+1,FR$169&gt;SwaptionFirstMonthPosition+SwaptionNumOfMonths+1,$FJ209&gt;SwaptionFirstMonthPosition+SwaptionNumOfMonths+1),"",IF($FJ209=FR$169,1,IF($FJ209&lt;FR$169,INDEX($FK$170:$ID$241,FR$169,$FJ209),SUMPRODUCT(INDEX($FK$325:$ID$396,FR$169,1+SwaptionShift):INDEX($FK$325:$ID$396,FR$169,SwaptionMonthsToGo+SwaptionShift),INDEX($FK$245:$ID$316,$FJ209-FR$169,73-FR$169+SwaptionShift):INDEX($FK$245:$ID$316,$FJ209-FR$169,72-FR$169+SwaptionMonthsToGo+SwaptionShift))/SQRT(SUM(INDEX($FK364:$ID364,1+SwaptionShift):INDEX($FK364:$ID364,SwaptionMonthsToGo+SwaptionShift))*SUM(INDEX($FK$325:$ID$396,FR$169,1+SwaptionShift):INDEX($FK$325:$ID$396,FR$169,SwaptionMonthsToGo+SwaptionShift))))))</f>
        <v/>
      </c>
      <c r="FS209" s="479" t="str">
        <f ca="1">IF(OR(FS$169&lt;SwaptionFirstMonthPosition+1,$FJ209&lt;SwaptionFirstMonthPosition+1,FS$169&gt;SwaptionFirstMonthPosition+SwaptionNumOfMonths+1,$FJ209&gt;SwaptionFirstMonthPosition+SwaptionNumOfMonths+1),"",IF($FJ209=FS$169,1,IF($FJ209&lt;FS$169,INDEX($FK$170:$ID$241,FS$169,$FJ209),SUMPRODUCT(INDEX($FK$325:$ID$396,FS$169,1+SwaptionShift):INDEX($FK$325:$ID$396,FS$169,SwaptionMonthsToGo+SwaptionShift),INDEX($FK$245:$ID$316,$FJ209-FS$169,73-FS$169+SwaptionShift):INDEX($FK$245:$ID$316,$FJ209-FS$169,72-FS$169+SwaptionMonthsToGo+SwaptionShift))/SQRT(SUM(INDEX($FK364:$ID364,1+SwaptionShift):INDEX($FK364:$ID364,SwaptionMonthsToGo+SwaptionShift))*SUM(INDEX($FK$325:$ID$396,FS$169,1+SwaptionShift):INDEX($FK$325:$ID$396,FS$169,SwaptionMonthsToGo+SwaptionShift))))))</f>
        <v/>
      </c>
      <c r="FT209" s="479" t="str">
        <f ca="1">IF(OR(FT$169&lt;SwaptionFirstMonthPosition+1,$FJ209&lt;SwaptionFirstMonthPosition+1,FT$169&gt;SwaptionFirstMonthPosition+SwaptionNumOfMonths+1,$FJ209&gt;SwaptionFirstMonthPosition+SwaptionNumOfMonths+1),"",IF($FJ209=FT$169,1,IF($FJ209&lt;FT$169,INDEX($FK$170:$ID$241,FT$169,$FJ209),SUMPRODUCT(INDEX($FK$325:$ID$396,FT$169,1+SwaptionShift):INDEX($FK$325:$ID$396,FT$169,SwaptionMonthsToGo+SwaptionShift),INDEX($FK$245:$ID$316,$FJ209-FT$169,73-FT$169+SwaptionShift):INDEX($FK$245:$ID$316,$FJ209-FT$169,72-FT$169+SwaptionMonthsToGo+SwaptionShift))/SQRT(SUM(INDEX($FK364:$ID364,1+SwaptionShift):INDEX($FK364:$ID364,SwaptionMonthsToGo+SwaptionShift))*SUM(INDEX($FK$325:$ID$396,FT$169,1+SwaptionShift):INDEX($FK$325:$ID$396,FT$169,SwaptionMonthsToGo+SwaptionShift))))))</f>
        <v/>
      </c>
      <c r="FU209" s="479" t="str">
        <f ca="1">IF(OR(FU$169&lt;SwaptionFirstMonthPosition+1,$FJ209&lt;SwaptionFirstMonthPosition+1,FU$169&gt;SwaptionFirstMonthPosition+SwaptionNumOfMonths+1,$FJ209&gt;SwaptionFirstMonthPosition+SwaptionNumOfMonths+1),"",IF($FJ209=FU$169,1,IF($FJ209&lt;FU$169,INDEX($FK$170:$ID$241,FU$169,$FJ209),SUMPRODUCT(INDEX($FK$325:$ID$396,FU$169,1+SwaptionShift):INDEX($FK$325:$ID$396,FU$169,SwaptionMonthsToGo+SwaptionShift),INDEX($FK$245:$ID$316,$FJ209-FU$169,73-FU$169+SwaptionShift):INDEX($FK$245:$ID$316,$FJ209-FU$169,72-FU$169+SwaptionMonthsToGo+SwaptionShift))/SQRT(SUM(INDEX($FK364:$ID364,1+SwaptionShift):INDEX($FK364:$ID364,SwaptionMonthsToGo+SwaptionShift))*SUM(INDEX($FK$325:$ID$396,FU$169,1+SwaptionShift):INDEX($FK$325:$ID$396,FU$169,SwaptionMonthsToGo+SwaptionShift))))))</f>
        <v/>
      </c>
      <c r="FV209" s="479" t="str">
        <f ca="1">IF(OR(FV$169&lt;SwaptionFirstMonthPosition+1,$FJ209&lt;SwaptionFirstMonthPosition+1,FV$169&gt;SwaptionFirstMonthPosition+SwaptionNumOfMonths+1,$FJ209&gt;SwaptionFirstMonthPosition+SwaptionNumOfMonths+1),"",IF($FJ209=FV$169,1,IF($FJ209&lt;FV$169,INDEX($FK$170:$ID$241,FV$169,$FJ209),SUMPRODUCT(INDEX($FK$325:$ID$396,FV$169,1+SwaptionShift):INDEX($FK$325:$ID$396,FV$169,SwaptionMonthsToGo+SwaptionShift),INDEX($FK$245:$ID$316,$FJ209-FV$169,73-FV$169+SwaptionShift):INDEX($FK$245:$ID$316,$FJ209-FV$169,72-FV$169+SwaptionMonthsToGo+SwaptionShift))/SQRT(SUM(INDEX($FK364:$ID364,1+SwaptionShift):INDEX($FK364:$ID364,SwaptionMonthsToGo+SwaptionShift))*SUM(INDEX($FK$325:$ID$396,FV$169,1+SwaptionShift):INDEX($FK$325:$ID$396,FV$169,SwaptionMonthsToGo+SwaptionShift))))))</f>
        <v/>
      </c>
      <c r="FW209" s="479" t="str">
        <f ca="1">IF(OR(FW$169&lt;SwaptionFirstMonthPosition+1,$FJ209&lt;SwaptionFirstMonthPosition+1,FW$169&gt;SwaptionFirstMonthPosition+SwaptionNumOfMonths+1,$FJ209&gt;SwaptionFirstMonthPosition+SwaptionNumOfMonths+1),"",IF($FJ209=FW$169,1,IF($FJ209&lt;FW$169,INDEX($FK$170:$ID$241,FW$169,$FJ209),SUMPRODUCT(INDEX($FK$325:$ID$396,FW$169,1+SwaptionShift):INDEX($FK$325:$ID$396,FW$169,SwaptionMonthsToGo+SwaptionShift),INDEX($FK$245:$ID$316,$FJ209-FW$169,73-FW$169+SwaptionShift):INDEX($FK$245:$ID$316,$FJ209-FW$169,72-FW$169+SwaptionMonthsToGo+SwaptionShift))/SQRT(SUM(INDEX($FK364:$ID364,1+SwaptionShift):INDEX($FK364:$ID364,SwaptionMonthsToGo+SwaptionShift))*SUM(INDEX($FK$325:$ID$396,FW$169,1+SwaptionShift):INDEX($FK$325:$ID$396,FW$169,SwaptionMonthsToGo+SwaptionShift))))))</f>
        <v/>
      </c>
      <c r="FX209" s="479" t="str">
        <f ca="1">IF(OR(FX$169&lt;SwaptionFirstMonthPosition+1,$FJ209&lt;SwaptionFirstMonthPosition+1,FX$169&gt;SwaptionFirstMonthPosition+SwaptionNumOfMonths+1,$FJ209&gt;SwaptionFirstMonthPosition+SwaptionNumOfMonths+1),"",IF($FJ209=FX$169,1,IF($FJ209&lt;FX$169,INDEX($FK$170:$ID$241,FX$169,$FJ209),SUMPRODUCT(INDEX($FK$325:$ID$396,FX$169,1+SwaptionShift):INDEX($FK$325:$ID$396,FX$169,SwaptionMonthsToGo+SwaptionShift),INDEX($FK$245:$ID$316,$FJ209-FX$169,73-FX$169+SwaptionShift):INDEX($FK$245:$ID$316,$FJ209-FX$169,72-FX$169+SwaptionMonthsToGo+SwaptionShift))/SQRT(SUM(INDEX($FK364:$ID364,1+SwaptionShift):INDEX($FK364:$ID364,SwaptionMonthsToGo+SwaptionShift))*SUM(INDEX($FK$325:$ID$396,FX$169,1+SwaptionShift):INDEX($FK$325:$ID$396,FX$169,SwaptionMonthsToGo+SwaptionShift))))))</f>
        <v/>
      </c>
      <c r="FY209" s="479" t="str">
        <f ca="1">IF(OR(FY$169&lt;SwaptionFirstMonthPosition+1,$FJ209&lt;SwaptionFirstMonthPosition+1,FY$169&gt;SwaptionFirstMonthPosition+SwaptionNumOfMonths+1,$FJ209&gt;SwaptionFirstMonthPosition+SwaptionNumOfMonths+1),"",IF($FJ209=FY$169,1,IF($FJ209&lt;FY$169,INDEX($FK$170:$ID$241,FY$169,$FJ209),SUMPRODUCT(INDEX($FK$325:$ID$396,FY$169,1+SwaptionShift):INDEX($FK$325:$ID$396,FY$169,SwaptionMonthsToGo+SwaptionShift),INDEX($FK$245:$ID$316,$FJ209-FY$169,73-FY$169+SwaptionShift):INDEX($FK$245:$ID$316,$FJ209-FY$169,72-FY$169+SwaptionMonthsToGo+SwaptionShift))/SQRT(SUM(INDEX($FK364:$ID364,1+SwaptionShift):INDEX($FK364:$ID364,SwaptionMonthsToGo+SwaptionShift))*SUM(INDEX($FK$325:$ID$396,FY$169,1+SwaptionShift):INDEX($FK$325:$ID$396,FY$169,SwaptionMonthsToGo+SwaptionShift))))))</f>
        <v/>
      </c>
      <c r="FZ209" s="479" t="str">
        <f ca="1">IF(OR(FZ$169&lt;SwaptionFirstMonthPosition+1,$FJ209&lt;SwaptionFirstMonthPosition+1,FZ$169&gt;SwaptionFirstMonthPosition+SwaptionNumOfMonths+1,$FJ209&gt;SwaptionFirstMonthPosition+SwaptionNumOfMonths+1),"",IF($FJ209=FZ$169,1,IF($FJ209&lt;FZ$169,INDEX($FK$170:$ID$241,FZ$169,$FJ209),SUMPRODUCT(INDEX($FK$325:$ID$396,FZ$169,1+SwaptionShift):INDEX($FK$325:$ID$396,FZ$169,SwaptionMonthsToGo+SwaptionShift),INDEX($FK$245:$ID$316,$FJ209-FZ$169,73-FZ$169+SwaptionShift):INDEX($FK$245:$ID$316,$FJ209-FZ$169,72-FZ$169+SwaptionMonthsToGo+SwaptionShift))/SQRT(SUM(INDEX($FK364:$ID364,1+SwaptionShift):INDEX($FK364:$ID364,SwaptionMonthsToGo+SwaptionShift))*SUM(INDEX($FK$325:$ID$396,FZ$169,1+SwaptionShift):INDEX($FK$325:$ID$396,FZ$169,SwaptionMonthsToGo+SwaptionShift))))))</f>
        <v/>
      </c>
      <c r="GA209" s="479" t="str">
        <f ca="1">IF(OR(GA$169&lt;SwaptionFirstMonthPosition+1,$FJ209&lt;SwaptionFirstMonthPosition+1,GA$169&gt;SwaptionFirstMonthPosition+SwaptionNumOfMonths+1,$FJ209&gt;SwaptionFirstMonthPosition+SwaptionNumOfMonths+1),"",IF($FJ209=GA$169,1,IF($FJ209&lt;GA$169,INDEX($FK$170:$ID$241,GA$169,$FJ209),SUMPRODUCT(INDEX($FK$325:$ID$396,GA$169,1+SwaptionShift):INDEX($FK$325:$ID$396,GA$169,SwaptionMonthsToGo+SwaptionShift),INDEX($FK$245:$ID$316,$FJ209-GA$169,73-GA$169+SwaptionShift):INDEX($FK$245:$ID$316,$FJ209-GA$169,72-GA$169+SwaptionMonthsToGo+SwaptionShift))/SQRT(SUM(INDEX($FK364:$ID364,1+SwaptionShift):INDEX($FK364:$ID364,SwaptionMonthsToGo+SwaptionShift))*SUM(INDEX($FK$325:$ID$396,GA$169,1+SwaptionShift):INDEX($FK$325:$ID$396,GA$169,SwaptionMonthsToGo+SwaptionShift))))))</f>
        <v/>
      </c>
      <c r="GB209" s="479" t="str">
        <f ca="1">IF(OR(GB$169&lt;SwaptionFirstMonthPosition+1,$FJ209&lt;SwaptionFirstMonthPosition+1,GB$169&gt;SwaptionFirstMonthPosition+SwaptionNumOfMonths+1,$FJ209&gt;SwaptionFirstMonthPosition+SwaptionNumOfMonths+1),"",IF($FJ209=GB$169,1,IF($FJ209&lt;GB$169,INDEX($FK$170:$ID$241,GB$169,$FJ209),SUMPRODUCT(INDEX($FK$325:$ID$396,GB$169,1+SwaptionShift):INDEX($FK$325:$ID$396,GB$169,SwaptionMonthsToGo+SwaptionShift),INDEX($FK$245:$ID$316,$FJ209-GB$169,73-GB$169+SwaptionShift):INDEX($FK$245:$ID$316,$FJ209-GB$169,72-GB$169+SwaptionMonthsToGo+SwaptionShift))/SQRT(SUM(INDEX($FK364:$ID364,1+SwaptionShift):INDEX($FK364:$ID364,SwaptionMonthsToGo+SwaptionShift))*SUM(INDEX($FK$325:$ID$396,GB$169,1+SwaptionShift):INDEX($FK$325:$ID$396,GB$169,SwaptionMonthsToGo+SwaptionShift))))))</f>
        <v/>
      </c>
      <c r="GC209" s="479" t="str">
        <f ca="1">IF(OR(GC$169&lt;SwaptionFirstMonthPosition+1,$FJ209&lt;SwaptionFirstMonthPosition+1,GC$169&gt;SwaptionFirstMonthPosition+SwaptionNumOfMonths+1,$FJ209&gt;SwaptionFirstMonthPosition+SwaptionNumOfMonths+1),"",IF($FJ209=GC$169,1,IF($FJ209&lt;GC$169,INDEX($FK$170:$ID$241,GC$169,$FJ209),SUMPRODUCT(INDEX($FK$325:$ID$396,GC$169,1+SwaptionShift):INDEX($FK$325:$ID$396,GC$169,SwaptionMonthsToGo+SwaptionShift),INDEX($FK$245:$ID$316,$FJ209-GC$169,73-GC$169+SwaptionShift):INDEX($FK$245:$ID$316,$FJ209-GC$169,72-GC$169+SwaptionMonthsToGo+SwaptionShift))/SQRT(SUM(INDEX($FK364:$ID364,1+SwaptionShift):INDEX($FK364:$ID364,SwaptionMonthsToGo+SwaptionShift))*SUM(INDEX($FK$325:$ID$396,GC$169,1+SwaptionShift):INDEX($FK$325:$ID$396,GC$169,SwaptionMonthsToGo+SwaptionShift))))))</f>
        <v/>
      </c>
      <c r="GD209" s="479" t="str">
        <f ca="1">IF(OR(GD$169&lt;SwaptionFirstMonthPosition+1,$FJ209&lt;SwaptionFirstMonthPosition+1,GD$169&gt;SwaptionFirstMonthPosition+SwaptionNumOfMonths+1,$FJ209&gt;SwaptionFirstMonthPosition+SwaptionNumOfMonths+1),"",IF($FJ209=GD$169,1,IF($FJ209&lt;GD$169,INDEX($FK$170:$ID$241,GD$169,$FJ209),SUMPRODUCT(INDEX($FK$325:$ID$396,GD$169,1+SwaptionShift):INDEX($FK$325:$ID$396,GD$169,SwaptionMonthsToGo+SwaptionShift),INDEX($FK$245:$ID$316,$FJ209-GD$169,73-GD$169+SwaptionShift):INDEX($FK$245:$ID$316,$FJ209-GD$169,72-GD$169+SwaptionMonthsToGo+SwaptionShift))/SQRT(SUM(INDEX($FK364:$ID364,1+SwaptionShift):INDEX($FK364:$ID364,SwaptionMonthsToGo+SwaptionShift))*SUM(INDEX($FK$325:$ID$396,GD$169,1+SwaptionShift):INDEX($FK$325:$ID$396,GD$169,SwaptionMonthsToGo+SwaptionShift))))))</f>
        <v/>
      </c>
      <c r="GE209" s="479" t="str">
        <f ca="1">IF(OR(GE$169&lt;SwaptionFirstMonthPosition+1,$FJ209&lt;SwaptionFirstMonthPosition+1,GE$169&gt;SwaptionFirstMonthPosition+SwaptionNumOfMonths+1,$FJ209&gt;SwaptionFirstMonthPosition+SwaptionNumOfMonths+1),"",IF($FJ209=GE$169,1,IF($FJ209&lt;GE$169,INDEX($FK$170:$ID$241,GE$169,$FJ209),SUMPRODUCT(INDEX($FK$325:$ID$396,GE$169,1+SwaptionShift):INDEX($FK$325:$ID$396,GE$169,SwaptionMonthsToGo+SwaptionShift),INDEX($FK$245:$ID$316,$FJ209-GE$169,73-GE$169+SwaptionShift):INDEX($FK$245:$ID$316,$FJ209-GE$169,72-GE$169+SwaptionMonthsToGo+SwaptionShift))/SQRT(SUM(INDEX($FK364:$ID364,1+SwaptionShift):INDEX($FK364:$ID364,SwaptionMonthsToGo+SwaptionShift))*SUM(INDEX($FK$325:$ID$396,GE$169,1+SwaptionShift):INDEX($FK$325:$ID$396,GE$169,SwaptionMonthsToGo+SwaptionShift))))))</f>
        <v/>
      </c>
      <c r="GF209" s="479" t="str">
        <f ca="1">IF(OR(GF$169&lt;SwaptionFirstMonthPosition+1,$FJ209&lt;SwaptionFirstMonthPosition+1,GF$169&gt;SwaptionFirstMonthPosition+SwaptionNumOfMonths+1,$FJ209&gt;SwaptionFirstMonthPosition+SwaptionNumOfMonths+1),"",IF($FJ209=GF$169,1,IF($FJ209&lt;GF$169,INDEX($FK$170:$ID$241,GF$169,$FJ209),SUMPRODUCT(INDEX($FK$325:$ID$396,GF$169,1+SwaptionShift):INDEX($FK$325:$ID$396,GF$169,SwaptionMonthsToGo+SwaptionShift),INDEX($FK$245:$ID$316,$FJ209-GF$169,73-GF$169+SwaptionShift):INDEX($FK$245:$ID$316,$FJ209-GF$169,72-GF$169+SwaptionMonthsToGo+SwaptionShift))/SQRT(SUM(INDEX($FK364:$ID364,1+SwaptionShift):INDEX($FK364:$ID364,SwaptionMonthsToGo+SwaptionShift))*SUM(INDEX($FK$325:$ID$396,GF$169,1+SwaptionShift):INDEX($FK$325:$ID$396,GF$169,SwaptionMonthsToGo+SwaptionShift))))))</f>
        <v/>
      </c>
      <c r="GG209" s="479" t="str">
        <f ca="1">IF(OR(GG$169&lt;SwaptionFirstMonthPosition+1,$FJ209&lt;SwaptionFirstMonthPosition+1,GG$169&gt;SwaptionFirstMonthPosition+SwaptionNumOfMonths+1,$FJ209&gt;SwaptionFirstMonthPosition+SwaptionNumOfMonths+1),"",IF($FJ209=GG$169,1,IF($FJ209&lt;GG$169,INDEX($FK$170:$ID$241,GG$169,$FJ209),SUMPRODUCT(INDEX($FK$325:$ID$396,GG$169,1+SwaptionShift):INDEX($FK$325:$ID$396,GG$169,SwaptionMonthsToGo+SwaptionShift),INDEX($FK$245:$ID$316,$FJ209-GG$169,73-GG$169+SwaptionShift):INDEX($FK$245:$ID$316,$FJ209-GG$169,72-GG$169+SwaptionMonthsToGo+SwaptionShift))/SQRT(SUM(INDEX($FK364:$ID364,1+SwaptionShift):INDEX($FK364:$ID364,SwaptionMonthsToGo+SwaptionShift))*SUM(INDEX($FK$325:$ID$396,GG$169,1+SwaptionShift):INDEX($FK$325:$ID$396,GG$169,SwaptionMonthsToGo+SwaptionShift))))))</f>
        <v/>
      </c>
      <c r="GH209" s="479" t="str">
        <f ca="1">IF(OR(GH$169&lt;SwaptionFirstMonthPosition+1,$FJ209&lt;SwaptionFirstMonthPosition+1,GH$169&gt;SwaptionFirstMonthPosition+SwaptionNumOfMonths+1,$FJ209&gt;SwaptionFirstMonthPosition+SwaptionNumOfMonths+1),"",IF($FJ209=GH$169,1,IF($FJ209&lt;GH$169,INDEX($FK$170:$ID$241,GH$169,$FJ209),SUMPRODUCT(INDEX($FK$325:$ID$396,GH$169,1+SwaptionShift):INDEX($FK$325:$ID$396,GH$169,SwaptionMonthsToGo+SwaptionShift),INDEX($FK$245:$ID$316,$FJ209-GH$169,73-GH$169+SwaptionShift):INDEX($FK$245:$ID$316,$FJ209-GH$169,72-GH$169+SwaptionMonthsToGo+SwaptionShift))/SQRT(SUM(INDEX($FK364:$ID364,1+SwaptionShift):INDEX($FK364:$ID364,SwaptionMonthsToGo+SwaptionShift))*SUM(INDEX($FK$325:$ID$396,GH$169,1+SwaptionShift):INDEX($FK$325:$ID$396,GH$169,SwaptionMonthsToGo+SwaptionShift))))))</f>
        <v/>
      </c>
      <c r="GI209" s="479" t="str">
        <f ca="1">IF(OR(GI$169&lt;SwaptionFirstMonthPosition+1,$FJ209&lt;SwaptionFirstMonthPosition+1,GI$169&gt;SwaptionFirstMonthPosition+SwaptionNumOfMonths+1,$FJ209&gt;SwaptionFirstMonthPosition+SwaptionNumOfMonths+1),"",IF($FJ209=GI$169,1,IF($FJ209&lt;GI$169,INDEX($FK$170:$ID$241,GI$169,$FJ209),SUMPRODUCT(INDEX($FK$325:$ID$396,GI$169,1+SwaptionShift):INDEX($FK$325:$ID$396,GI$169,SwaptionMonthsToGo+SwaptionShift),INDEX($FK$245:$ID$316,$FJ209-GI$169,73-GI$169+SwaptionShift):INDEX($FK$245:$ID$316,$FJ209-GI$169,72-GI$169+SwaptionMonthsToGo+SwaptionShift))/SQRT(SUM(INDEX($FK364:$ID364,1+SwaptionShift):INDEX($FK364:$ID364,SwaptionMonthsToGo+SwaptionShift))*SUM(INDEX($FK$325:$ID$396,GI$169,1+SwaptionShift):INDEX($FK$325:$ID$396,GI$169,SwaptionMonthsToGo+SwaptionShift))))))</f>
        <v/>
      </c>
      <c r="GJ209" s="479" t="str">
        <f ca="1">IF(OR(GJ$169&lt;SwaptionFirstMonthPosition+1,$FJ209&lt;SwaptionFirstMonthPosition+1,GJ$169&gt;SwaptionFirstMonthPosition+SwaptionNumOfMonths+1,$FJ209&gt;SwaptionFirstMonthPosition+SwaptionNumOfMonths+1),"",IF($FJ209=GJ$169,1,IF($FJ209&lt;GJ$169,INDEX($FK$170:$ID$241,GJ$169,$FJ209),SUMPRODUCT(INDEX($FK$325:$ID$396,GJ$169,1+SwaptionShift):INDEX($FK$325:$ID$396,GJ$169,SwaptionMonthsToGo+SwaptionShift),INDEX($FK$245:$ID$316,$FJ209-GJ$169,73-GJ$169+SwaptionShift):INDEX($FK$245:$ID$316,$FJ209-GJ$169,72-GJ$169+SwaptionMonthsToGo+SwaptionShift))/SQRT(SUM(INDEX($FK364:$ID364,1+SwaptionShift):INDEX($FK364:$ID364,SwaptionMonthsToGo+SwaptionShift))*SUM(INDEX($FK$325:$ID$396,GJ$169,1+SwaptionShift):INDEX($FK$325:$ID$396,GJ$169,SwaptionMonthsToGo+SwaptionShift))))))</f>
        <v/>
      </c>
      <c r="GK209" s="479" t="str">
        <f ca="1">IF(OR(GK$169&lt;SwaptionFirstMonthPosition+1,$FJ209&lt;SwaptionFirstMonthPosition+1,GK$169&gt;SwaptionFirstMonthPosition+SwaptionNumOfMonths+1,$FJ209&gt;SwaptionFirstMonthPosition+SwaptionNumOfMonths+1),"",IF($FJ209=GK$169,1,IF($FJ209&lt;GK$169,INDEX($FK$170:$ID$241,GK$169,$FJ209),SUMPRODUCT(INDEX($FK$325:$ID$396,GK$169,1+SwaptionShift):INDEX($FK$325:$ID$396,GK$169,SwaptionMonthsToGo+SwaptionShift),INDEX($FK$245:$ID$316,$FJ209-GK$169,73-GK$169+SwaptionShift):INDEX($FK$245:$ID$316,$FJ209-GK$169,72-GK$169+SwaptionMonthsToGo+SwaptionShift))/SQRT(SUM(INDEX($FK364:$ID364,1+SwaptionShift):INDEX($FK364:$ID364,SwaptionMonthsToGo+SwaptionShift))*SUM(INDEX($FK$325:$ID$396,GK$169,1+SwaptionShift):INDEX($FK$325:$ID$396,GK$169,SwaptionMonthsToGo+SwaptionShift))))))</f>
        <v/>
      </c>
      <c r="GL209" s="479" t="str">
        <f ca="1">IF(OR(GL$169&lt;SwaptionFirstMonthPosition+1,$FJ209&lt;SwaptionFirstMonthPosition+1,GL$169&gt;SwaptionFirstMonthPosition+SwaptionNumOfMonths+1,$FJ209&gt;SwaptionFirstMonthPosition+SwaptionNumOfMonths+1),"",IF($FJ209=GL$169,1,IF($FJ209&lt;GL$169,INDEX($FK$170:$ID$241,GL$169,$FJ209),SUMPRODUCT(INDEX($FK$325:$ID$396,GL$169,1+SwaptionShift):INDEX($FK$325:$ID$396,GL$169,SwaptionMonthsToGo+SwaptionShift),INDEX($FK$245:$ID$316,$FJ209-GL$169,73-GL$169+SwaptionShift):INDEX($FK$245:$ID$316,$FJ209-GL$169,72-GL$169+SwaptionMonthsToGo+SwaptionShift))/SQRT(SUM(INDEX($FK364:$ID364,1+SwaptionShift):INDEX($FK364:$ID364,SwaptionMonthsToGo+SwaptionShift))*SUM(INDEX($FK$325:$ID$396,GL$169,1+SwaptionShift):INDEX($FK$325:$ID$396,GL$169,SwaptionMonthsToGo+SwaptionShift))))))</f>
        <v/>
      </c>
      <c r="GM209" s="479" t="str">
        <f ca="1">IF(OR(GM$169&lt;SwaptionFirstMonthPosition+1,$FJ209&lt;SwaptionFirstMonthPosition+1,GM$169&gt;SwaptionFirstMonthPosition+SwaptionNumOfMonths+1,$FJ209&gt;SwaptionFirstMonthPosition+SwaptionNumOfMonths+1),"",IF($FJ209=GM$169,1,IF($FJ209&lt;GM$169,INDEX($FK$170:$ID$241,GM$169,$FJ209),SUMPRODUCT(INDEX($FK$325:$ID$396,GM$169,1+SwaptionShift):INDEX($FK$325:$ID$396,GM$169,SwaptionMonthsToGo+SwaptionShift),INDEX($FK$245:$ID$316,$FJ209-GM$169,73-GM$169+SwaptionShift):INDEX($FK$245:$ID$316,$FJ209-GM$169,72-GM$169+SwaptionMonthsToGo+SwaptionShift))/SQRT(SUM(INDEX($FK364:$ID364,1+SwaptionShift):INDEX($FK364:$ID364,SwaptionMonthsToGo+SwaptionShift))*SUM(INDEX($FK$325:$ID$396,GM$169,1+SwaptionShift):INDEX($FK$325:$ID$396,GM$169,SwaptionMonthsToGo+SwaptionShift))))))</f>
        <v/>
      </c>
      <c r="GN209" s="479" t="str">
        <f ca="1">IF(OR(GN$169&lt;SwaptionFirstMonthPosition+1,$FJ209&lt;SwaptionFirstMonthPosition+1,GN$169&gt;SwaptionFirstMonthPosition+SwaptionNumOfMonths+1,$FJ209&gt;SwaptionFirstMonthPosition+SwaptionNumOfMonths+1),"",IF($FJ209=GN$169,1,IF($FJ209&lt;GN$169,INDEX($FK$170:$ID$241,GN$169,$FJ209),SUMPRODUCT(INDEX($FK$325:$ID$396,GN$169,1+SwaptionShift):INDEX($FK$325:$ID$396,GN$169,SwaptionMonthsToGo+SwaptionShift),INDEX($FK$245:$ID$316,$FJ209-GN$169,73-GN$169+SwaptionShift):INDEX($FK$245:$ID$316,$FJ209-GN$169,72-GN$169+SwaptionMonthsToGo+SwaptionShift))/SQRT(SUM(INDEX($FK364:$ID364,1+SwaptionShift):INDEX($FK364:$ID364,SwaptionMonthsToGo+SwaptionShift))*SUM(INDEX($FK$325:$ID$396,GN$169,1+SwaptionShift):INDEX($FK$325:$ID$396,GN$169,SwaptionMonthsToGo+SwaptionShift))))))</f>
        <v/>
      </c>
      <c r="GO209" s="479" t="str">
        <f ca="1">IF(OR(GO$169&lt;SwaptionFirstMonthPosition+1,$FJ209&lt;SwaptionFirstMonthPosition+1,GO$169&gt;SwaptionFirstMonthPosition+SwaptionNumOfMonths+1,$FJ209&gt;SwaptionFirstMonthPosition+SwaptionNumOfMonths+1),"",IF($FJ209=GO$169,1,IF($FJ209&lt;GO$169,INDEX($FK$170:$ID$241,GO$169,$FJ209),SUMPRODUCT(INDEX($FK$325:$ID$396,GO$169,1+SwaptionShift):INDEX($FK$325:$ID$396,GO$169,SwaptionMonthsToGo+SwaptionShift),INDEX($FK$245:$ID$316,$FJ209-GO$169,73-GO$169+SwaptionShift):INDEX($FK$245:$ID$316,$FJ209-GO$169,72-GO$169+SwaptionMonthsToGo+SwaptionShift))/SQRT(SUM(INDEX($FK364:$ID364,1+SwaptionShift):INDEX($FK364:$ID364,SwaptionMonthsToGo+SwaptionShift))*SUM(INDEX($FK$325:$ID$396,GO$169,1+SwaptionShift):INDEX($FK$325:$ID$396,GO$169,SwaptionMonthsToGo+SwaptionShift))))))</f>
        <v/>
      </c>
      <c r="GP209" s="479" t="str">
        <f ca="1">IF(OR(GP$169&lt;SwaptionFirstMonthPosition+1,$FJ209&lt;SwaptionFirstMonthPosition+1,GP$169&gt;SwaptionFirstMonthPosition+SwaptionNumOfMonths+1,$FJ209&gt;SwaptionFirstMonthPosition+SwaptionNumOfMonths+1),"",IF($FJ209=GP$169,1,IF($FJ209&lt;GP$169,INDEX($FK$170:$ID$241,GP$169,$FJ209),SUMPRODUCT(INDEX($FK$325:$ID$396,GP$169,1+SwaptionShift):INDEX($FK$325:$ID$396,GP$169,SwaptionMonthsToGo+SwaptionShift),INDEX($FK$245:$ID$316,$FJ209-GP$169,73-GP$169+SwaptionShift):INDEX($FK$245:$ID$316,$FJ209-GP$169,72-GP$169+SwaptionMonthsToGo+SwaptionShift))/SQRT(SUM(INDEX($FK364:$ID364,1+SwaptionShift):INDEX($FK364:$ID364,SwaptionMonthsToGo+SwaptionShift))*SUM(INDEX($FK$325:$ID$396,GP$169,1+SwaptionShift):INDEX($FK$325:$ID$396,GP$169,SwaptionMonthsToGo+SwaptionShift))))))</f>
        <v/>
      </c>
      <c r="GQ209" s="479" t="str">
        <f ca="1">IF(OR(GQ$169&lt;SwaptionFirstMonthPosition+1,$FJ209&lt;SwaptionFirstMonthPosition+1,GQ$169&gt;SwaptionFirstMonthPosition+SwaptionNumOfMonths+1,$FJ209&gt;SwaptionFirstMonthPosition+SwaptionNumOfMonths+1),"",IF($FJ209=GQ$169,1,IF($FJ209&lt;GQ$169,INDEX($FK$170:$ID$241,GQ$169,$FJ209),SUMPRODUCT(INDEX($FK$325:$ID$396,GQ$169,1+SwaptionShift):INDEX($FK$325:$ID$396,GQ$169,SwaptionMonthsToGo+SwaptionShift),INDEX($FK$245:$ID$316,$FJ209-GQ$169,73-GQ$169+SwaptionShift):INDEX($FK$245:$ID$316,$FJ209-GQ$169,72-GQ$169+SwaptionMonthsToGo+SwaptionShift))/SQRT(SUM(INDEX($FK364:$ID364,1+SwaptionShift):INDEX($FK364:$ID364,SwaptionMonthsToGo+SwaptionShift))*SUM(INDEX($FK$325:$ID$396,GQ$169,1+SwaptionShift):INDEX($FK$325:$ID$396,GQ$169,SwaptionMonthsToGo+SwaptionShift))))))</f>
        <v/>
      </c>
      <c r="GR209" s="479" t="str">
        <f ca="1">IF(OR(GR$169&lt;SwaptionFirstMonthPosition+1,$FJ209&lt;SwaptionFirstMonthPosition+1,GR$169&gt;SwaptionFirstMonthPosition+SwaptionNumOfMonths+1,$FJ209&gt;SwaptionFirstMonthPosition+SwaptionNumOfMonths+1),"",IF($FJ209=GR$169,1,IF($FJ209&lt;GR$169,INDEX($FK$170:$ID$241,GR$169,$FJ209),SUMPRODUCT(INDEX($FK$325:$ID$396,GR$169,1+SwaptionShift):INDEX($FK$325:$ID$396,GR$169,SwaptionMonthsToGo+SwaptionShift),INDEX($FK$245:$ID$316,$FJ209-GR$169,73-GR$169+SwaptionShift):INDEX($FK$245:$ID$316,$FJ209-GR$169,72-GR$169+SwaptionMonthsToGo+SwaptionShift))/SQRT(SUM(INDEX($FK364:$ID364,1+SwaptionShift):INDEX($FK364:$ID364,SwaptionMonthsToGo+SwaptionShift))*SUM(INDEX($FK$325:$ID$396,GR$169,1+SwaptionShift):INDEX($FK$325:$ID$396,GR$169,SwaptionMonthsToGo+SwaptionShift))))))</f>
        <v/>
      </c>
      <c r="GS209" s="479" t="str">
        <f ca="1">IF(OR(GS$169&lt;SwaptionFirstMonthPosition+1,$FJ209&lt;SwaptionFirstMonthPosition+1,GS$169&gt;SwaptionFirstMonthPosition+SwaptionNumOfMonths+1,$FJ209&gt;SwaptionFirstMonthPosition+SwaptionNumOfMonths+1),"",IF($FJ209=GS$169,1,IF($FJ209&lt;GS$169,INDEX($FK$170:$ID$241,GS$169,$FJ209),SUMPRODUCT(INDEX($FK$325:$ID$396,GS$169,1+SwaptionShift):INDEX($FK$325:$ID$396,GS$169,SwaptionMonthsToGo+SwaptionShift),INDEX($FK$245:$ID$316,$FJ209-GS$169,73-GS$169+SwaptionShift):INDEX($FK$245:$ID$316,$FJ209-GS$169,72-GS$169+SwaptionMonthsToGo+SwaptionShift))/SQRT(SUM(INDEX($FK364:$ID364,1+SwaptionShift):INDEX($FK364:$ID364,SwaptionMonthsToGo+SwaptionShift))*SUM(INDEX($FK$325:$ID$396,GS$169,1+SwaptionShift):INDEX($FK$325:$ID$396,GS$169,SwaptionMonthsToGo+SwaptionShift))))))</f>
        <v/>
      </c>
      <c r="GT209" s="479" t="str">
        <f ca="1">IF(OR(GT$169&lt;SwaptionFirstMonthPosition+1,$FJ209&lt;SwaptionFirstMonthPosition+1,GT$169&gt;SwaptionFirstMonthPosition+SwaptionNumOfMonths+1,$FJ209&gt;SwaptionFirstMonthPosition+SwaptionNumOfMonths+1),"",IF($FJ209=GT$169,1,IF($FJ209&lt;GT$169,INDEX($FK$170:$ID$241,GT$169,$FJ209),SUMPRODUCT(INDEX($FK$325:$ID$396,GT$169,1+SwaptionShift):INDEX($FK$325:$ID$396,GT$169,SwaptionMonthsToGo+SwaptionShift),INDEX($FK$245:$ID$316,$FJ209-GT$169,73-GT$169+SwaptionShift):INDEX($FK$245:$ID$316,$FJ209-GT$169,72-GT$169+SwaptionMonthsToGo+SwaptionShift))/SQRT(SUM(INDEX($FK364:$ID364,1+SwaptionShift):INDEX($FK364:$ID364,SwaptionMonthsToGo+SwaptionShift))*SUM(INDEX($FK$325:$ID$396,GT$169,1+SwaptionShift):INDEX($FK$325:$ID$396,GT$169,SwaptionMonthsToGo+SwaptionShift))))))</f>
        <v/>
      </c>
      <c r="GU209" s="479" t="str">
        <f ca="1">IF(OR(GU$169&lt;SwaptionFirstMonthPosition+1,$FJ209&lt;SwaptionFirstMonthPosition+1,GU$169&gt;SwaptionFirstMonthPosition+SwaptionNumOfMonths+1,$FJ209&gt;SwaptionFirstMonthPosition+SwaptionNumOfMonths+1),"",IF($FJ209=GU$169,1,IF($FJ209&lt;GU$169,INDEX($FK$170:$ID$241,GU$169,$FJ209),SUMPRODUCT(INDEX($FK$325:$ID$396,GU$169,1+SwaptionShift):INDEX($FK$325:$ID$396,GU$169,SwaptionMonthsToGo+SwaptionShift),INDEX($FK$245:$ID$316,$FJ209-GU$169,73-GU$169+SwaptionShift):INDEX($FK$245:$ID$316,$FJ209-GU$169,72-GU$169+SwaptionMonthsToGo+SwaptionShift))/SQRT(SUM(INDEX($FK364:$ID364,1+SwaptionShift):INDEX($FK364:$ID364,SwaptionMonthsToGo+SwaptionShift))*SUM(INDEX($FK$325:$ID$396,GU$169,1+SwaptionShift):INDEX($FK$325:$ID$396,GU$169,SwaptionMonthsToGo+SwaptionShift))))))</f>
        <v/>
      </c>
      <c r="GV209" s="479" t="str">
        <f ca="1">IF(OR(GV$169&lt;SwaptionFirstMonthPosition+1,$FJ209&lt;SwaptionFirstMonthPosition+1,GV$169&gt;SwaptionFirstMonthPosition+SwaptionNumOfMonths+1,$FJ209&gt;SwaptionFirstMonthPosition+SwaptionNumOfMonths+1),"",IF($FJ209=GV$169,1,IF($FJ209&lt;GV$169,INDEX($FK$170:$ID$241,GV$169,$FJ209),SUMPRODUCT(INDEX($FK$325:$ID$396,GV$169,1+SwaptionShift):INDEX($FK$325:$ID$396,GV$169,SwaptionMonthsToGo+SwaptionShift),INDEX($FK$245:$ID$316,$FJ209-GV$169,73-GV$169+SwaptionShift):INDEX($FK$245:$ID$316,$FJ209-GV$169,72-GV$169+SwaptionMonthsToGo+SwaptionShift))/SQRT(SUM(INDEX($FK364:$ID364,1+SwaptionShift):INDEX($FK364:$ID364,SwaptionMonthsToGo+SwaptionShift))*SUM(INDEX($FK$325:$ID$396,GV$169,1+SwaptionShift):INDEX($FK$325:$ID$396,GV$169,SwaptionMonthsToGo+SwaptionShift))))))</f>
        <v/>
      </c>
      <c r="GW209" s="479" t="str">
        <f ca="1">IF(OR(GW$169&lt;SwaptionFirstMonthPosition+1,$FJ209&lt;SwaptionFirstMonthPosition+1,GW$169&gt;SwaptionFirstMonthPosition+SwaptionNumOfMonths+1,$FJ209&gt;SwaptionFirstMonthPosition+SwaptionNumOfMonths+1),"",IF($FJ209=GW$169,1,IF($FJ209&lt;GW$169,INDEX($FK$170:$ID$241,GW$169,$FJ209),SUMPRODUCT(INDEX($FK$325:$ID$396,GW$169,1+SwaptionShift):INDEX($FK$325:$ID$396,GW$169,SwaptionMonthsToGo+SwaptionShift),INDEX($FK$245:$ID$316,$FJ209-GW$169,73-GW$169+SwaptionShift):INDEX($FK$245:$ID$316,$FJ209-GW$169,72-GW$169+SwaptionMonthsToGo+SwaptionShift))/SQRT(SUM(INDEX($FK364:$ID364,1+SwaptionShift):INDEX($FK364:$ID364,SwaptionMonthsToGo+SwaptionShift))*SUM(INDEX($FK$325:$ID$396,GW$169,1+SwaptionShift):INDEX($FK$325:$ID$396,GW$169,SwaptionMonthsToGo+SwaptionShift))))))</f>
        <v/>
      </c>
      <c r="GX209" s="479" t="str">
        <f ca="1">IF(OR(GX$169&lt;SwaptionFirstMonthPosition+1,$FJ209&lt;SwaptionFirstMonthPosition+1,GX$169&gt;SwaptionFirstMonthPosition+SwaptionNumOfMonths+1,$FJ209&gt;SwaptionFirstMonthPosition+SwaptionNumOfMonths+1),"",IF($FJ209=GX$169,1,IF($FJ209&lt;GX$169,INDEX($FK$170:$ID$241,GX$169,$FJ209),SUMPRODUCT(INDEX($FK$325:$ID$396,GX$169,1+SwaptionShift):INDEX($FK$325:$ID$396,GX$169,SwaptionMonthsToGo+SwaptionShift),INDEX($FK$245:$ID$316,$FJ209-GX$169,73-GX$169+SwaptionShift):INDEX($FK$245:$ID$316,$FJ209-GX$169,72-GX$169+SwaptionMonthsToGo+SwaptionShift))/SQRT(SUM(INDEX($FK364:$ID364,1+SwaptionShift):INDEX($FK364:$ID364,SwaptionMonthsToGo+SwaptionShift))*SUM(INDEX($FK$325:$ID$396,GX$169,1+SwaptionShift):INDEX($FK$325:$ID$396,GX$169,SwaptionMonthsToGo+SwaptionShift))))))</f>
        <v/>
      </c>
      <c r="GY209" s="479" t="str">
        <f ca="1">IF(OR(GY$169&lt;SwaptionFirstMonthPosition+1,$FJ209&lt;SwaptionFirstMonthPosition+1,GY$169&gt;SwaptionFirstMonthPosition+SwaptionNumOfMonths+1,$FJ209&gt;SwaptionFirstMonthPosition+SwaptionNumOfMonths+1),"",IF($FJ209=GY$169,1,IF($FJ209&lt;GY$169,INDEX($FK$170:$ID$241,GY$169,$FJ209),SUMPRODUCT(INDEX($FK$325:$ID$396,GY$169,1+SwaptionShift):INDEX($FK$325:$ID$396,GY$169,SwaptionMonthsToGo+SwaptionShift),INDEX($FK$245:$ID$316,$FJ209-GY$169,73-GY$169+SwaptionShift):INDEX($FK$245:$ID$316,$FJ209-GY$169,72-GY$169+SwaptionMonthsToGo+SwaptionShift))/SQRT(SUM(INDEX($FK364:$ID364,1+SwaptionShift):INDEX($FK364:$ID364,SwaptionMonthsToGo+SwaptionShift))*SUM(INDEX($FK$325:$ID$396,GY$169,1+SwaptionShift):INDEX($FK$325:$ID$396,GY$169,SwaptionMonthsToGo+SwaptionShift))))))</f>
        <v/>
      </c>
      <c r="GZ209" s="479" t="str">
        <f ca="1">IF(OR(GZ$169&lt;SwaptionFirstMonthPosition+1,$FJ209&lt;SwaptionFirstMonthPosition+1,GZ$169&gt;SwaptionFirstMonthPosition+SwaptionNumOfMonths+1,$FJ209&gt;SwaptionFirstMonthPosition+SwaptionNumOfMonths+1),"",IF($FJ209=GZ$169,1,IF($FJ209&lt;GZ$169,INDEX($FK$170:$ID$241,GZ$169,$FJ209),SUMPRODUCT(INDEX($FK$325:$ID$396,GZ$169,1+SwaptionShift):INDEX($FK$325:$ID$396,GZ$169,SwaptionMonthsToGo+SwaptionShift),INDEX($FK$245:$ID$316,$FJ209-GZ$169,73-GZ$169+SwaptionShift):INDEX($FK$245:$ID$316,$FJ209-GZ$169,72-GZ$169+SwaptionMonthsToGo+SwaptionShift))/SQRT(SUM(INDEX($FK364:$ID364,1+SwaptionShift):INDEX($FK364:$ID364,SwaptionMonthsToGo+SwaptionShift))*SUM(INDEX($FK$325:$ID$396,GZ$169,1+SwaptionShift):INDEX($FK$325:$ID$396,GZ$169,SwaptionMonthsToGo+SwaptionShift))))))</f>
        <v/>
      </c>
      <c r="HA209" s="479" t="str">
        <f ca="1">IF(OR(HA$169&lt;SwaptionFirstMonthPosition+1,$FJ209&lt;SwaptionFirstMonthPosition+1,HA$169&gt;SwaptionFirstMonthPosition+SwaptionNumOfMonths+1,$FJ209&gt;SwaptionFirstMonthPosition+SwaptionNumOfMonths+1),"",IF($FJ209=HA$169,1,IF($FJ209&lt;HA$169,INDEX($FK$170:$ID$241,HA$169,$FJ209),SUMPRODUCT(INDEX($FK$325:$ID$396,HA$169,1+SwaptionShift):INDEX($FK$325:$ID$396,HA$169,SwaptionMonthsToGo+SwaptionShift),INDEX($FK$245:$ID$316,$FJ209-HA$169,73-HA$169+SwaptionShift):INDEX($FK$245:$ID$316,$FJ209-HA$169,72-HA$169+SwaptionMonthsToGo+SwaptionShift))/SQRT(SUM(INDEX($FK364:$ID364,1+SwaptionShift):INDEX($FK364:$ID364,SwaptionMonthsToGo+SwaptionShift))*SUM(INDEX($FK$325:$ID$396,HA$169,1+SwaptionShift):INDEX($FK$325:$ID$396,HA$169,SwaptionMonthsToGo+SwaptionShift))))))</f>
        <v/>
      </c>
      <c r="HB209" s="479" t="str">
        <f ca="1">IF(OR(HB$169&lt;SwaptionFirstMonthPosition+1,$FJ209&lt;SwaptionFirstMonthPosition+1,HB$169&gt;SwaptionFirstMonthPosition+SwaptionNumOfMonths+1,$FJ209&gt;SwaptionFirstMonthPosition+SwaptionNumOfMonths+1),"",IF($FJ209=HB$169,1,IF($FJ209&lt;HB$169,INDEX($FK$170:$ID$241,HB$169,$FJ209),SUMPRODUCT(INDEX($FK$325:$ID$396,HB$169,1+SwaptionShift):INDEX($FK$325:$ID$396,HB$169,SwaptionMonthsToGo+SwaptionShift),INDEX($FK$245:$ID$316,$FJ209-HB$169,73-HB$169+SwaptionShift):INDEX($FK$245:$ID$316,$FJ209-HB$169,72-HB$169+SwaptionMonthsToGo+SwaptionShift))/SQRT(SUM(INDEX($FK364:$ID364,1+SwaptionShift):INDEX($FK364:$ID364,SwaptionMonthsToGo+SwaptionShift))*SUM(INDEX($FK$325:$ID$396,HB$169,1+SwaptionShift):INDEX($FK$325:$ID$396,HB$169,SwaptionMonthsToGo+SwaptionShift))))))</f>
        <v/>
      </c>
      <c r="HC209" s="479" t="str">
        <f ca="1">IF(OR(HC$169&lt;SwaptionFirstMonthPosition+1,$FJ209&lt;SwaptionFirstMonthPosition+1,HC$169&gt;SwaptionFirstMonthPosition+SwaptionNumOfMonths+1,$FJ209&gt;SwaptionFirstMonthPosition+SwaptionNumOfMonths+1),"",IF($FJ209=HC$169,1,IF($FJ209&lt;HC$169,INDEX($FK$170:$ID$241,HC$169,$FJ209),SUMPRODUCT(INDEX($FK$325:$ID$396,HC$169,1+SwaptionShift):INDEX($FK$325:$ID$396,HC$169,SwaptionMonthsToGo+SwaptionShift),INDEX($FK$245:$ID$316,$FJ209-HC$169,73-HC$169+SwaptionShift):INDEX($FK$245:$ID$316,$FJ209-HC$169,72-HC$169+SwaptionMonthsToGo+SwaptionShift))/SQRT(SUM(INDEX($FK364:$ID364,1+SwaptionShift):INDEX($FK364:$ID364,SwaptionMonthsToGo+SwaptionShift))*SUM(INDEX($FK$325:$ID$396,HC$169,1+SwaptionShift):INDEX($FK$325:$ID$396,HC$169,SwaptionMonthsToGo+SwaptionShift))))))</f>
        <v/>
      </c>
      <c r="HD209" s="479" t="str">
        <f ca="1">IF(OR(HD$169&lt;SwaptionFirstMonthPosition+1,$FJ209&lt;SwaptionFirstMonthPosition+1,HD$169&gt;SwaptionFirstMonthPosition+SwaptionNumOfMonths+1,$FJ209&gt;SwaptionFirstMonthPosition+SwaptionNumOfMonths+1),"",IF($FJ209=HD$169,1,IF($FJ209&lt;HD$169,INDEX($FK$170:$ID$241,HD$169,$FJ209),SUMPRODUCT(INDEX($FK$325:$ID$396,HD$169,1+SwaptionShift):INDEX($FK$325:$ID$396,HD$169,SwaptionMonthsToGo+SwaptionShift),INDEX($FK$245:$ID$316,$FJ209-HD$169,73-HD$169+SwaptionShift):INDEX($FK$245:$ID$316,$FJ209-HD$169,72-HD$169+SwaptionMonthsToGo+SwaptionShift))/SQRT(SUM(INDEX($FK364:$ID364,1+SwaptionShift):INDEX($FK364:$ID364,SwaptionMonthsToGo+SwaptionShift))*SUM(INDEX($FK$325:$ID$396,HD$169,1+SwaptionShift):INDEX($FK$325:$ID$396,HD$169,SwaptionMonthsToGo+SwaptionShift))))))</f>
        <v/>
      </c>
      <c r="HE209" s="479" t="str">
        <f ca="1">IF(OR(HE$169&lt;SwaptionFirstMonthPosition+1,$FJ209&lt;SwaptionFirstMonthPosition+1,HE$169&gt;SwaptionFirstMonthPosition+SwaptionNumOfMonths+1,$FJ209&gt;SwaptionFirstMonthPosition+SwaptionNumOfMonths+1),"",IF($FJ209=HE$169,1,IF($FJ209&lt;HE$169,INDEX($FK$170:$ID$241,HE$169,$FJ209),SUMPRODUCT(INDEX($FK$325:$ID$396,HE$169,1+SwaptionShift):INDEX($FK$325:$ID$396,HE$169,SwaptionMonthsToGo+SwaptionShift),INDEX($FK$245:$ID$316,$FJ209-HE$169,73-HE$169+SwaptionShift):INDEX($FK$245:$ID$316,$FJ209-HE$169,72-HE$169+SwaptionMonthsToGo+SwaptionShift))/SQRT(SUM(INDEX($FK364:$ID364,1+SwaptionShift):INDEX($FK364:$ID364,SwaptionMonthsToGo+SwaptionShift))*SUM(INDEX($FK$325:$ID$396,HE$169,1+SwaptionShift):INDEX($FK$325:$ID$396,HE$169,SwaptionMonthsToGo+SwaptionShift))))))</f>
        <v/>
      </c>
      <c r="HF209" s="479" t="str">
        <f ca="1">IF(OR(HF$169&lt;SwaptionFirstMonthPosition+1,$FJ209&lt;SwaptionFirstMonthPosition+1,HF$169&gt;SwaptionFirstMonthPosition+SwaptionNumOfMonths+1,$FJ209&gt;SwaptionFirstMonthPosition+SwaptionNumOfMonths+1),"",IF($FJ209=HF$169,1,IF($FJ209&lt;HF$169,INDEX($FK$170:$ID$241,HF$169,$FJ209),SUMPRODUCT(INDEX($FK$325:$ID$396,HF$169,1+SwaptionShift):INDEX($FK$325:$ID$396,HF$169,SwaptionMonthsToGo+SwaptionShift),INDEX($FK$245:$ID$316,$FJ209-HF$169,73-HF$169+SwaptionShift):INDEX($FK$245:$ID$316,$FJ209-HF$169,72-HF$169+SwaptionMonthsToGo+SwaptionShift))/SQRT(SUM(INDEX($FK364:$ID364,1+SwaptionShift):INDEX($FK364:$ID364,SwaptionMonthsToGo+SwaptionShift))*SUM(INDEX($FK$325:$ID$396,HF$169,1+SwaptionShift):INDEX($FK$325:$ID$396,HF$169,SwaptionMonthsToGo+SwaptionShift))))))</f>
        <v/>
      </c>
      <c r="HG209" s="479" t="str">
        <f ca="1">IF(OR(HG$169&lt;SwaptionFirstMonthPosition+1,$FJ209&lt;SwaptionFirstMonthPosition+1,HG$169&gt;SwaptionFirstMonthPosition+SwaptionNumOfMonths+1,$FJ209&gt;SwaptionFirstMonthPosition+SwaptionNumOfMonths+1),"",IF($FJ209=HG$169,1,IF($FJ209&lt;HG$169,INDEX($FK$170:$ID$241,HG$169,$FJ209),SUMPRODUCT(INDEX($FK$325:$ID$396,HG$169,1+SwaptionShift):INDEX($FK$325:$ID$396,HG$169,SwaptionMonthsToGo+SwaptionShift),INDEX($FK$245:$ID$316,$FJ209-HG$169,73-HG$169+SwaptionShift):INDEX($FK$245:$ID$316,$FJ209-HG$169,72-HG$169+SwaptionMonthsToGo+SwaptionShift))/SQRT(SUM(INDEX($FK364:$ID364,1+SwaptionShift):INDEX($FK364:$ID364,SwaptionMonthsToGo+SwaptionShift))*SUM(INDEX($FK$325:$ID$396,HG$169,1+SwaptionShift):INDEX($FK$325:$ID$396,HG$169,SwaptionMonthsToGo+SwaptionShift))))))</f>
        <v/>
      </c>
      <c r="HH209" s="479" t="str">
        <f ca="1">IF(OR(HH$169&lt;SwaptionFirstMonthPosition+1,$FJ209&lt;SwaptionFirstMonthPosition+1,HH$169&gt;SwaptionFirstMonthPosition+SwaptionNumOfMonths+1,$FJ209&gt;SwaptionFirstMonthPosition+SwaptionNumOfMonths+1),"",IF($FJ209=HH$169,1,IF($FJ209&lt;HH$169,INDEX($FK$170:$ID$241,HH$169,$FJ209),SUMPRODUCT(INDEX($FK$325:$ID$396,HH$169,1+SwaptionShift):INDEX($FK$325:$ID$396,HH$169,SwaptionMonthsToGo+SwaptionShift),INDEX($FK$245:$ID$316,$FJ209-HH$169,73-HH$169+SwaptionShift):INDEX($FK$245:$ID$316,$FJ209-HH$169,72-HH$169+SwaptionMonthsToGo+SwaptionShift))/SQRT(SUM(INDEX($FK364:$ID364,1+SwaptionShift):INDEX($FK364:$ID364,SwaptionMonthsToGo+SwaptionShift))*SUM(INDEX($FK$325:$ID$396,HH$169,1+SwaptionShift):INDEX($FK$325:$ID$396,HH$169,SwaptionMonthsToGo+SwaptionShift))))))</f>
        <v/>
      </c>
      <c r="HI209" s="479" t="str">
        <f ca="1">IF(OR(HI$169&lt;SwaptionFirstMonthPosition+1,$FJ209&lt;SwaptionFirstMonthPosition+1,HI$169&gt;SwaptionFirstMonthPosition+SwaptionNumOfMonths+1,$FJ209&gt;SwaptionFirstMonthPosition+SwaptionNumOfMonths+1),"",IF($FJ209=HI$169,1,IF($FJ209&lt;HI$169,INDEX($FK$170:$ID$241,HI$169,$FJ209),SUMPRODUCT(INDEX($FK$325:$ID$396,HI$169,1+SwaptionShift):INDEX($FK$325:$ID$396,HI$169,SwaptionMonthsToGo+SwaptionShift),INDEX($FK$245:$ID$316,$FJ209-HI$169,73-HI$169+SwaptionShift):INDEX($FK$245:$ID$316,$FJ209-HI$169,72-HI$169+SwaptionMonthsToGo+SwaptionShift))/SQRT(SUM(INDEX($FK364:$ID364,1+SwaptionShift):INDEX($FK364:$ID364,SwaptionMonthsToGo+SwaptionShift))*SUM(INDEX($FK$325:$ID$396,HI$169,1+SwaptionShift):INDEX($FK$325:$ID$396,HI$169,SwaptionMonthsToGo+SwaptionShift))))))</f>
        <v/>
      </c>
      <c r="HJ209" s="479" t="str">
        <f ca="1">IF(OR(HJ$169&lt;SwaptionFirstMonthPosition+1,$FJ209&lt;SwaptionFirstMonthPosition+1,HJ$169&gt;SwaptionFirstMonthPosition+SwaptionNumOfMonths+1,$FJ209&gt;SwaptionFirstMonthPosition+SwaptionNumOfMonths+1),"",IF($FJ209=HJ$169,1,IF($FJ209&lt;HJ$169,INDEX($FK$170:$ID$241,HJ$169,$FJ209),SUMPRODUCT(INDEX($FK$325:$ID$396,HJ$169,1+SwaptionShift):INDEX($FK$325:$ID$396,HJ$169,SwaptionMonthsToGo+SwaptionShift),INDEX($FK$245:$ID$316,$FJ209-HJ$169,73-HJ$169+SwaptionShift):INDEX($FK$245:$ID$316,$FJ209-HJ$169,72-HJ$169+SwaptionMonthsToGo+SwaptionShift))/SQRT(SUM(INDEX($FK364:$ID364,1+SwaptionShift):INDEX($FK364:$ID364,SwaptionMonthsToGo+SwaptionShift))*SUM(INDEX($FK$325:$ID$396,HJ$169,1+SwaptionShift):INDEX($FK$325:$ID$396,HJ$169,SwaptionMonthsToGo+SwaptionShift))))))</f>
        <v/>
      </c>
      <c r="HK209" s="479" t="str">
        <f ca="1">IF(OR(HK$169&lt;SwaptionFirstMonthPosition+1,$FJ209&lt;SwaptionFirstMonthPosition+1,HK$169&gt;SwaptionFirstMonthPosition+SwaptionNumOfMonths+1,$FJ209&gt;SwaptionFirstMonthPosition+SwaptionNumOfMonths+1),"",IF($FJ209=HK$169,1,IF($FJ209&lt;HK$169,INDEX($FK$170:$ID$241,HK$169,$FJ209),SUMPRODUCT(INDEX($FK$325:$ID$396,HK$169,1+SwaptionShift):INDEX($FK$325:$ID$396,HK$169,SwaptionMonthsToGo+SwaptionShift),INDEX($FK$245:$ID$316,$FJ209-HK$169,73-HK$169+SwaptionShift):INDEX($FK$245:$ID$316,$FJ209-HK$169,72-HK$169+SwaptionMonthsToGo+SwaptionShift))/SQRT(SUM(INDEX($FK364:$ID364,1+SwaptionShift):INDEX($FK364:$ID364,SwaptionMonthsToGo+SwaptionShift))*SUM(INDEX($FK$325:$ID$396,HK$169,1+SwaptionShift):INDEX($FK$325:$ID$396,HK$169,SwaptionMonthsToGo+SwaptionShift))))))</f>
        <v/>
      </c>
      <c r="HL209" s="479" t="str">
        <f ca="1">IF(OR(HL$169&lt;SwaptionFirstMonthPosition+1,$FJ209&lt;SwaptionFirstMonthPosition+1,HL$169&gt;SwaptionFirstMonthPosition+SwaptionNumOfMonths+1,$FJ209&gt;SwaptionFirstMonthPosition+SwaptionNumOfMonths+1),"",IF($FJ209=HL$169,1,IF($FJ209&lt;HL$169,INDEX($FK$170:$ID$241,HL$169,$FJ209),SUMPRODUCT(INDEX($FK$325:$ID$396,HL$169,1+SwaptionShift):INDEX($FK$325:$ID$396,HL$169,SwaptionMonthsToGo+SwaptionShift),INDEX($FK$245:$ID$316,$FJ209-HL$169,73-HL$169+SwaptionShift):INDEX($FK$245:$ID$316,$FJ209-HL$169,72-HL$169+SwaptionMonthsToGo+SwaptionShift))/SQRT(SUM(INDEX($FK364:$ID364,1+SwaptionShift):INDEX($FK364:$ID364,SwaptionMonthsToGo+SwaptionShift))*SUM(INDEX($FK$325:$ID$396,HL$169,1+SwaptionShift):INDEX($FK$325:$ID$396,HL$169,SwaptionMonthsToGo+SwaptionShift))))))</f>
        <v/>
      </c>
      <c r="HM209" s="479" t="str">
        <f ca="1">IF(OR(HM$169&lt;SwaptionFirstMonthPosition+1,$FJ209&lt;SwaptionFirstMonthPosition+1,HM$169&gt;SwaptionFirstMonthPosition+SwaptionNumOfMonths+1,$FJ209&gt;SwaptionFirstMonthPosition+SwaptionNumOfMonths+1),"",IF($FJ209=HM$169,1,IF($FJ209&lt;HM$169,INDEX($FK$170:$ID$241,HM$169,$FJ209),SUMPRODUCT(INDEX($FK$325:$ID$396,HM$169,1+SwaptionShift):INDEX($FK$325:$ID$396,HM$169,SwaptionMonthsToGo+SwaptionShift),INDEX($FK$245:$ID$316,$FJ209-HM$169,73-HM$169+SwaptionShift):INDEX($FK$245:$ID$316,$FJ209-HM$169,72-HM$169+SwaptionMonthsToGo+SwaptionShift))/SQRT(SUM(INDEX($FK364:$ID364,1+SwaptionShift):INDEX($FK364:$ID364,SwaptionMonthsToGo+SwaptionShift))*SUM(INDEX($FK$325:$ID$396,HM$169,1+SwaptionShift):INDEX($FK$325:$ID$396,HM$169,SwaptionMonthsToGo+SwaptionShift))))))</f>
        <v/>
      </c>
      <c r="HN209" s="479" t="str">
        <f ca="1">IF(OR(HN$169&lt;SwaptionFirstMonthPosition+1,$FJ209&lt;SwaptionFirstMonthPosition+1,HN$169&gt;SwaptionFirstMonthPosition+SwaptionNumOfMonths+1,$FJ209&gt;SwaptionFirstMonthPosition+SwaptionNumOfMonths+1),"",IF($FJ209=HN$169,1,IF($FJ209&lt;HN$169,INDEX($FK$170:$ID$241,HN$169,$FJ209),SUMPRODUCT(INDEX($FK$325:$ID$396,HN$169,1+SwaptionShift):INDEX($FK$325:$ID$396,HN$169,SwaptionMonthsToGo+SwaptionShift),INDEX($FK$245:$ID$316,$FJ209-HN$169,73-HN$169+SwaptionShift):INDEX($FK$245:$ID$316,$FJ209-HN$169,72-HN$169+SwaptionMonthsToGo+SwaptionShift))/SQRT(SUM(INDEX($FK364:$ID364,1+SwaptionShift):INDEX($FK364:$ID364,SwaptionMonthsToGo+SwaptionShift))*SUM(INDEX($FK$325:$ID$396,HN$169,1+SwaptionShift):INDEX($FK$325:$ID$396,HN$169,SwaptionMonthsToGo+SwaptionShift))))))</f>
        <v/>
      </c>
      <c r="HO209" s="479" t="str">
        <f ca="1">IF(OR(HO$169&lt;SwaptionFirstMonthPosition+1,$FJ209&lt;SwaptionFirstMonthPosition+1,HO$169&gt;SwaptionFirstMonthPosition+SwaptionNumOfMonths+1,$FJ209&gt;SwaptionFirstMonthPosition+SwaptionNumOfMonths+1),"",IF($FJ209=HO$169,1,IF($FJ209&lt;HO$169,INDEX($FK$170:$ID$241,HO$169,$FJ209),SUMPRODUCT(INDEX($FK$325:$ID$396,HO$169,1+SwaptionShift):INDEX($FK$325:$ID$396,HO$169,SwaptionMonthsToGo+SwaptionShift),INDEX($FK$245:$ID$316,$FJ209-HO$169,73-HO$169+SwaptionShift):INDEX($FK$245:$ID$316,$FJ209-HO$169,72-HO$169+SwaptionMonthsToGo+SwaptionShift))/SQRT(SUM(INDEX($FK364:$ID364,1+SwaptionShift):INDEX($FK364:$ID364,SwaptionMonthsToGo+SwaptionShift))*SUM(INDEX($FK$325:$ID$396,HO$169,1+SwaptionShift):INDEX($FK$325:$ID$396,HO$169,SwaptionMonthsToGo+SwaptionShift))))))</f>
        <v/>
      </c>
      <c r="HP209" s="479" t="str">
        <f ca="1">IF(OR(HP$169&lt;SwaptionFirstMonthPosition+1,$FJ209&lt;SwaptionFirstMonthPosition+1,HP$169&gt;SwaptionFirstMonthPosition+SwaptionNumOfMonths+1,$FJ209&gt;SwaptionFirstMonthPosition+SwaptionNumOfMonths+1),"",IF($FJ209=HP$169,1,IF($FJ209&lt;HP$169,INDEX($FK$170:$ID$241,HP$169,$FJ209),SUMPRODUCT(INDEX($FK$325:$ID$396,HP$169,1+SwaptionShift):INDEX($FK$325:$ID$396,HP$169,SwaptionMonthsToGo+SwaptionShift),INDEX($FK$245:$ID$316,$FJ209-HP$169,73-HP$169+SwaptionShift):INDEX($FK$245:$ID$316,$FJ209-HP$169,72-HP$169+SwaptionMonthsToGo+SwaptionShift))/SQRT(SUM(INDEX($FK364:$ID364,1+SwaptionShift):INDEX($FK364:$ID364,SwaptionMonthsToGo+SwaptionShift))*SUM(INDEX($FK$325:$ID$396,HP$169,1+SwaptionShift):INDEX($FK$325:$ID$396,HP$169,SwaptionMonthsToGo+SwaptionShift))))))</f>
        <v/>
      </c>
      <c r="HQ209" s="479" t="str">
        <f ca="1">IF(OR(HQ$169&lt;SwaptionFirstMonthPosition+1,$FJ209&lt;SwaptionFirstMonthPosition+1,HQ$169&gt;SwaptionFirstMonthPosition+SwaptionNumOfMonths+1,$FJ209&gt;SwaptionFirstMonthPosition+SwaptionNumOfMonths+1),"",IF($FJ209=HQ$169,1,IF($FJ209&lt;HQ$169,INDEX($FK$170:$ID$241,HQ$169,$FJ209),SUMPRODUCT(INDEX($FK$325:$ID$396,HQ$169,1+SwaptionShift):INDEX($FK$325:$ID$396,HQ$169,SwaptionMonthsToGo+SwaptionShift),INDEX($FK$245:$ID$316,$FJ209-HQ$169,73-HQ$169+SwaptionShift):INDEX($FK$245:$ID$316,$FJ209-HQ$169,72-HQ$169+SwaptionMonthsToGo+SwaptionShift))/SQRT(SUM(INDEX($FK364:$ID364,1+SwaptionShift):INDEX($FK364:$ID364,SwaptionMonthsToGo+SwaptionShift))*SUM(INDEX($FK$325:$ID$396,HQ$169,1+SwaptionShift):INDEX($FK$325:$ID$396,HQ$169,SwaptionMonthsToGo+SwaptionShift))))))</f>
        <v/>
      </c>
      <c r="HR209" s="479" t="str">
        <f ca="1">IF(OR(HR$169&lt;SwaptionFirstMonthPosition+1,$FJ209&lt;SwaptionFirstMonthPosition+1,HR$169&gt;SwaptionFirstMonthPosition+SwaptionNumOfMonths+1,$FJ209&gt;SwaptionFirstMonthPosition+SwaptionNumOfMonths+1),"",IF($FJ209=HR$169,1,IF($FJ209&lt;HR$169,INDEX($FK$170:$ID$241,HR$169,$FJ209),SUMPRODUCT(INDEX($FK$325:$ID$396,HR$169,1+SwaptionShift):INDEX($FK$325:$ID$396,HR$169,SwaptionMonthsToGo+SwaptionShift),INDEX($FK$245:$ID$316,$FJ209-HR$169,73-HR$169+SwaptionShift):INDEX($FK$245:$ID$316,$FJ209-HR$169,72-HR$169+SwaptionMonthsToGo+SwaptionShift))/SQRT(SUM(INDEX($FK364:$ID364,1+SwaptionShift):INDEX($FK364:$ID364,SwaptionMonthsToGo+SwaptionShift))*SUM(INDEX($FK$325:$ID$396,HR$169,1+SwaptionShift):INDEX($FK$325:$ID$396,HR$169,SwaptionMonthsToGo+SwaptionShift))))))</f>
        <v/>
      </c>
      <c r="HS209" s="479" t="str">
        <f ca="1">IF(OR(HS$169&lt;SwaptionFirstMonthPosition+1,$FJ209&lt;SwaptionFirstMonthPosition+1,HS$169&gt;SwaptionFirstMonthPosition+SwaptionNumOfMonths+1,$FJ209&gt;SwaptionFirstMonthPosition+SwaptionNumOfMonths+1),"",IF($FJ209=HS$169,1,IF($FJ209&lt;HS$169,INDEX($FK$170:$ID$241,HS$169,$FJ209),SUMPRODUCT(INDEX($FK$325:$ID$396,HS$169,1+SwaptionShift):INDEX($FK$325:$ID$396,HS$169,SwaptionMonthsToGo+SwaptionShift),INDEX($FK$245:$ID$316,$FJ209-HS$169,73-HS$169+SwaptionShift):INDEX($FK$245:$ID$316,$FJ209-HS$169,72-HS$169+SwaptionMonthsToGo+SwaptionShift))/SQRT(SUM(INDEX($FK364:$ID364,1+SwaptionShift):INDEX($FK364:$ID364,SwaptionMonthsToGo+SwaptionShift))*SUM(INDEX($FK$325:$ID$396,HS$169,1+SwaptionShift):INDEX($FK$325:$ID$396,HS$169,SwaptionMonthsToGo+SwaptionShift))))))</f>
        <v/>
      </c>
      <c r="HT209" s="479" t="str">
        <f ca="1">IF(OR(HT$169&lt;SwaptionFirstMonthPosition+1,$FJ209&lt;SwaptionFirstMonthPosition+1,HT$169&gt;SwaptionFirstMonthPosition+SwaptionNumOfMonths+1,$FJ209&gt;SwaptionFirstMonthPosition+SwaptionNumOfMonths+1),"",IF($FJ209=HT$169,1,IF($FJ209&lt;HT$169,INDEX($FK$170:$ID$241,HT$169,$FJ209),SUMPRODUCT(INDEX($FK$325:$ID$396,HT$169,1+SwaptionShift):INDEX($FK$325:$ID$396,HT$169,SwaptionMonthsToGo+SwaptionShift),INDEX($FK$245:$ID$316,$FJ209-HT$169,73-HT$169+SwaptionShift):INDEX($FK$245:$ID$316,$FJ209-HT$169,72-HT$169+SwaptionMonthsToGo+SwaptionShift))/SQRT(SUM(INDEX($FK364:$ID364,1+SwaptionShift):INDEX($FK364:$ID364,SwaptionMonthsToGo+SwaptionShift))*SUM(INDEX($FK$325:$ID$396,HT$169,1+SwaptionShift):INDEX($FK$325:$ID$396,HT$169,SwaptionMonthsToGo+SwaptionShift))))))</f>
        <v/>
      </c>
      <c r="HU209" s="479" t="str">
        <f ca="1">IF(OR(HU$169&lt;SwaptionFirstMonthPosition+1,$FJ209&lt;SwaptionFirstMonthPosition+1,HU$169&gt;SwaptionFirstMonthPosition+SwaptionNumOfMonths+1,$FJ209&gt;SwaptionFirstMonthPosition+SwaptionNumOfMonths+1),"",IF($FJ209=HU$169,1,IF($FJ209&lt;HU$169,INDEX($FK$170:$ID$241,HU$169,$FJ209),SUMPRODUCT(INDEX($FK$325:$ID$396,HU$169,1+SwaptionShift):INDEX($FK$325:$ID$396,HU$169,SwaptionMonthsToGo+SwaptionShift),INDEX($FK$245:$ID$316,$FJ209-HU$169,73-HU$169+SwaptionShift):INDEX($FK$245:$ID$316,$FJ209-HU$169,72-HU$169+SwaptionMonthsToGo+SwaptionShift))/SQRT(SUM(INDEX($FK364:$ID364,1+SwaptionShift):INDEX($FK364:$ID364,SwaptionMonthsToGo+SwaptionShift))*SUM(INDEX($FK$325:$ID$396,HU$169,1+SwaptionShift):INDEX($FK$325:$ID$396,HU$169,SwaptionMonthsToGo+SwaptionShift))))))</f>
        <v/>
      </c>
      <c r="HV209" s="479" t="str">
        <f ca="1">IF(OR(HV$169&lt;SwaptionFirstMonthPosition+1,$FJ209&lt;SwaptionFirstMonthPosition+1,HV$169&gt;SwaptionFirstMonthPosition+SwaptionNumOfMonths+1,$FJ209&gt;SwaptionFirstMonthPosition+SwaptionNumOfMonths+1),"",IF($FJ209=HV$169,1,IF($FJ209&lt;HV$169,INDEX($FK$170:$ID$241,HV$169,$FJ209),SUMPRODUCT(INDEX($FK$325:$ID$396,HV$169,1+SwaptionShift):INDEX($FK$325:$ID$396,HV$169,SwaptionMonthsToGo+SwaptionShift),INDEX($FK$245:$ID$316,$FJ209-HV$169,73-HV$169+SwaptionShift):INDEX($FK$245:$ID$316,$FJ209-HV$169,72-HV$169+SwaptionMonthsToGo+SwaptionShift))/SQRT(SUM(INDEX($FK364:$ID364,1+SwaptionShift):INDEX($FK364:$ID364,SwaptionMonthsToGo+SwaptionShift))*SUM(INDEX($FK$325:$ID$396,HV$169,1+SwaptionShift):INDEX($FK$325:$ID$396,HV$169,SwaptionMonthsToGo+SwaptionShift))))))</f>
        <v/>
      </c>
      <c r="HW209" s="479" t="str">
        <f ca="1">IF(OR(HW$169&lt;SwaptionFirstMonthPosition+1,$FJ209&lt;SwaptionFirstMonthPosition+1,HW$169&gt;SwaptionFirstMonthPosition+SwaptionNumOfMonths+1,$FJ209&gt;SwaptionFirstMonthPosition+SwaptionNumOfMonths+1),"",IF($FJ209=HW$169,1,IF($FJ209&lt;HW$169,INDEX($FK$170:$ID$241,HW$169,$FJ209),SUMPRODUCT(INDEX($FK$325:$ID$396,HW$169,1+SwaptionShift):INDEX($FK$325:$ID$396,HW$169,SwaptionMonthsToGo+SwaptionShift),INDEX($FK$245:$ID$316,$FJ209-HW$169,73-HW$169+SwaptionShift):INDEX($FK$245:$ID$316,$FJ209-HW$169,72-HW$169+SwaptionMonthsToGo+SwaptionShift))/SQRT(SUM(INDEX($FK364:$ID364,1+SwaptionShift):INDEX($FK364:$ID364,SwaptionMonthsToGo+SwaptionShift))*SUM(INDEX($FK$325:$ID$396,HW$169,1+SwaptionShift):INDEX($FK$325:$ID$396,HW$169,SwaptionMonthsToGo+SwaptionShift))))))</f>
        <v/>
      </c>
      <c r="HX209" s="479" t="str">
        <f ca="1">IF(OR(HX$169&lt;SwaptionFirstMonthPosition+1,$FJ209&lt;SwaptionFirstMonthPosition+1,HX$169&gt;SwaptionFirstMonthPosition+SwaptionNumOfMonths+1,$FJ209&gt;SwaptionFirstMonthPosition+SwaptionNumOfMonths+1),"",IF($FJ209=HX$169,1,IF($FJ209&lt;HX$169,INDEX($FK$170:$ID$241,HX$169,$FJ209),SUMPRODUCT(INDEX($FK$325:$ID$396,HX$169,1+SwaptionShift):INDEX($FK$325:$ID$396,HX$169,SwaptionMonthsToGo+SwaptionShift),INDEX($FK$245:$ID$316,$FJ209-HX$169,73-HX$169+SwaptionShift):INDEX($FK$245:$ID$316,$FJ209-HX$169,72-HX$169+SwaptionMonthsToGo+SwaptionShift))/SQRT(SUM(INDEX($FK364:$ID364,1+SwaptionShift):INDEX($FK364:$ID364,SwaptionMonthsToGo+SwaptionShift))*SUM(INDEX($FK$325:$ID$396,HX$169,1+SwaptionShift):INDEX($FK$325:$ID$396,HX$169,SwaptionMonthsToGo+SwaptionShift))))))</f>
        <v/>
      </c>
      <c r="HY209" s="479" t="str">
        <f ca="1">IF(OR(HY$169&lt;SwaptionFirstMonthPosition+1,$FJ209&lt;SwaptionFirstMonthPosition+1,HY$169&gt;SwaptionFirstMonthPosition+SwaptionNumOfMonths+1,$FJ209&gt;SwaptionFirstMonthPosition+SwaptionNumOfMonths+1),"",IF($FJ209=HY$169,1,IF($FJ209&lt;HY$169,INDEX($FK$170:$ID$241,HY$169,$FJ209),SUMPRODUCT(INDEX($FK$325:$ID$396,HY$169,1+SwaptionShift):INDEX($FK$325:$ID$396,HY$169,SwaptionMonthsToGo+SwaptionShift),INDEX($FK$245:$ID$316,$FJ209-HY$169,73-HY$169+SwaptionShift):INDEX($FK$245:$ID$316,$FJ209-HY$169,72-HY$169+SwaptionMonthsToGo+SwaptionShift))/SQRT(SUM(INDEX($FK364:$ID364,1+SwaptionShift):INDEX($FK364:$ID364,SwaptionMonthsToGo+SwaptionShift))*SUM(INDEX($FK$325:$ID$396,HY$169,1+SwaptionShift):INDEX($FK$325:$ID$396,HY$169,SwaptionMonthsToGo+SwaptionShift))))))</f>
        <v/>
      </c>
      <c r="HZ209" s="479" t="str">
        <f ca="1">IF(OR(HZ$169&lt;SwaptionFirstMonthPosition+1,$FJ209&lt;SwaptionFirstMonthPosition+1,HZ$169&gt;SwaptionFirstMonthPosition+SwaptionNumOfMonths+1,$FJ209&gt;SwaptionFirstMonthPosition+SwaptionNumOfMonths+1),"",IF($FJ209=HZ$169,1,IF($FJ209&lt;HZ$169,INDEX($FK$170:$ID$241,HZ$169,$FJ209),SUMPRODUCT(INDEX($FK$325:$ID$396,HZ$169,1+SwaptionShift):INDEX($FK$325:$ID$396,HZ$169,SwaptionMonthsToGo+SwaptionShift),INDEX($FK$245:$ID$316,$FJ209-HZ$169,73-HZ$169+SwaptionShift):INDEX($FK$245:$ID$316,$FJ209-HZ$169,72-HZ$169+SwaptionMonthsToGo+SwaptionShift))/SQRT(SUM(INDEX($FK364:$ID364,1+SwaptionShift):INDEX($FK364:$ID364,SwaptionMonthsToGo+SwaptionShift))*SUM(INDEX($FK$325:$ID$396,HZ$169,1+SwaptionShift):INDEX($FK$325:$ID$396,HZ$169,SwaptionMonthsToGo+SwaptionShift))))))</f>
        <v/>
      </c>
      <c r="IA209" s="479" t="str">
        <f ca="1">IF(OR(IA$169&lt;SwaptionFirstMonthPosition+1,$FJ209&lt;SwaptionFirstMonthPosition+1,IA$169&gt;SwaptionFirstMonthPosition+SwaptionNumOfMonths+1,$FJ209&gt;SwaptionFirstMonthPosition+SwaptionNumOfMonths+1),"",IF($FJ209=IA$169,1,IF($FJ209&lt;IA$169,INDEX($FK$170:$ID$241,IA$169,$FJ209),SUMPRODUCT(INDEX($FK$325:$ID$396,IA$169,1+SwaptionShift):INDEX($FK$325:$ID$396,IA$169,SwaptionMonthsToGo+SwaptionShift),INDEX($FK$245:$ID$316,$FJ209-IA$169,73-IA$169+SwaptionShift):INDEX($FK$245:$ID$316,$FJ209-IA$169,72-IA$169+SwaptionMonthsToGo+SwaptionShift))/SQRT(SUM(INDEX($FK364:$ID364,1+SwaptionShift):INDEX($FK364:$ID364,SwaptionMonthsToGo+SwaptionShift))*SUM(INDEX($FK$325:$ID$396,IA$169,1+SwaptionShift):INDEX($FK$325:$ID$396,IA$169,SwaptionMonthsToGo+SwaptionShift))))))</f>
        <v/>
      </c>
      <c r="IB209" s="479" t="str">
        <f ca="1">IF(OR(IB$169&lt;SwaptionFirstMonthPosition+1,$FJ209&lt;SwaptionFirstMonthPosition+1,IB$169&gt;SwaptionFirstMonthPosition+SwaptionNumOfMonths+1,$FJ209&gt;SwaptionFirstMonthPosition+SwaptionNumOfMonths+1),"",IF($FJ209=IB$169,1,IF($FJ209&lt;IB$169,INDEX($FK$170:$ID$241,IB$169,$FJ209),SUMPRODUCT(INDEX($FK$325:$ID$396,IB$169,1+SwaptionShift):INDEX($FK$325:$ID$396,IB$169,SwaptionMonthsToGo+SwaptionShift),INDEX($FK$245:$ID$316,$FJ209-IB$169,73-IB$169+SwaptionShift):INDEX($FK$245:$ID$316,$FJ209-IB$169,72-IB$169+SwaptionMonthsToGo+SwaptionShift))/SQRT(SUM(INDEX($FK364:$ID364,1+SwaptionShift):INDEX($FK364:$ID364,SwaptionMonthsToGo+SwaptionShift))*SUM(INDEX($FK$325:$ID$396,IB$169,1+SwaptionShift):INDEX($FK$325:$ID$396,IB$169,SwaptionMonthsToGo+SwaptionShift))))))</f>
        <v/>
      </c>
      <c r="IC209" s="479" t="str">
        <f ca="1">IF(OR(IC$169&lt;SwaptionFirstMonthPosition+1,$FJ209&lt;SwaptionFirstMonthPosition+1,IC$169&gt;SwaptionFirstMonthPosition+SwaptionNumOfMonths+1,$FJ209&gt;SwaptionFirstMonthPosition+SwaptionNumOfMonths+1),"",IF($FJ209=IC$169,1,IF($FJ209&lt;IC$169,INDEX($FK$170:$ID$241,IC$169,$FJ209),SUMPRODUCT(INDEX($FK$325:$ID$396,IC$169,1+SwaptionShift):INDEX($FK$325:$ID$396,IC$169,SwaptionMonthsToGo+SwaptionShift),INDEX($FK$245:$ID$316,$FJ209-IC$169,73-IC$169+SwaptionShift):INDEX($FK$245:$ID$316,$FJ209-IC$169,72-IC$169+SwaptionMonthsToGo+SwaptionShift))/SQRT(SUM(INDEX($FK364:$ID364,1+SwaptionShift):INDEX($FK364:$ID364,SwaptionMonthsToGo+SwaptionShift))*SUM(INDEX($FK$325:$ID$396,IC$169,1+SwaptionShift):INDEX($FK$325:$ID$396,IC$169,SwaptionMonthsToGo+SwaptionShift))))))</f>
        <v/>
      </c>
      <c r="ID209" s="678" t="str">
        <f ca="1">IF(OR(ID$169&lt;SwaptionFirstMonthPosition+1,$FJ209&lt;SwaptionFirstMonthPosition+1,ID$169&gt;SwaptionFirstMonthPosition+SwaptionNumOfMonths+1,$FJ209&gt;SwaptionFirstMonthPosition+SwaptionNumOfMonths+1),"",IF($FJ209=ID$169,1,IF($FJ209&lt;ID$169,INDEX($FK$170:$ID$241,ID$169,$FJ209),SUMPRODUCT(INDEX($FK$325:$ID$396,ID$169,1+SwaptionShift):INDEX($FK$325:$ID$396,ID$169,SwaptionMonthsToGo+SwaptionShift),INDEX($FK$245:$ID$316,$FJ209-ID$169,73-ID$169+SwaptionShift):INDEX($FK$245:$ID$316,$FJ209-ID$169,72-ID$169+SwaptionMonthsToGo+SwaptionShift))/SQRT(SUM(INDEX($FK364:$ID364,1+SwaptionShift):INDEX($FK364:$ID364,SwaptionMonthsToGo+SwaptionShift))*SUM(INDEX($FK$325:$ID$396,ID$169,1+SwaptionShift):INDEX($FK$325:$ID$396,ID$169,SwaptionMonthsToGo+SwaptionShift))))))</f>
        <v/>
      </c>
      <c r="IE209" s="250"/>
    </row>
    <row r="210" spans="8:239">
      <c r="H210" s="51">
        <f t="shared" ca="1" si="527"/>
        <v>0</v>
      </c>
      <c r="I210" s="379">
        <f t="shared" si="528"/>
        <v>42552</v>
      </c>
      <c r="J210" s="377"/>
      <c r="K210" s="104" t="s">
        <v>268</v>
      </c>
      <c r="L210" s="392">
        <f t="shared" si="529"/>
        <v>4.2750000000000039</v>
      </c>
      <c r="M210" s="171"/>
      <c r="N210" s="382">
        <v>0</v>
      </c>
      <c r="O210" s="171">
        <f t="shared" si="596"/>
        <v>0</v>
      </c>
      <c r="P210" s="377"/>
      <c r="Q210" s="104" t="s">
        <v>268</v>
      </c>
      <c r="R210" s="377">
        <f t="shared" ca="1" si="597"/>
        <v>3.0767168306950214</v>
      </c>
      <c r="S210" s="832">
        <f t="shared" si="564"/>
        <v>0.3600000000000001</v>
      </c>
      <c r="T210" s="831">
        <f t="shared" si="548"/>
        <v>0.99999999999998668</v>
      </c>
      <c r="U210" s="545">
        <f t="shared" si="549"/>
        <v>0.99999999999999978</v>
      </c>
      <c r="V210" s="389">
        <v>0</v>
      </c>
      <c r="W210" s="434">
        <f t="shared" si="598"/>
        <v>0</v>
      </c>
      <c r="X210" s="415">
        <f t="shared" si="599"/>
        <v>4.3256250000000041</v>
      </c>
      <c r="Y210" s="322">
        <f t="shared" si="600"/>
        <v>-1.2668999999999999</v>
      </c>
      <c r="Z210" s="322">
        <f t="shared" ca="1" si="601"/>
        <v>3.0587250000000044</v>
      </c>
      <c r="AA210" s="429">
        <f t="shared" si="495"/>
        <v>1.2668999999999999</v>
      </c>
      <c r="AB210" s="433">
        <f t="shared" ca="1" si="496"/>
        <v>1.2668999999999999</v>
      </c>
      <c r="AC210" s="229">
        <v>42541</v>
      </c>
      <c r="AD210" s="229">
        <v>42537</v>
      </c>
      <c r="AE210" s="229">
        <v>42536</v>
      </c>
      <c r="AF210" s="229">
        <v>42532</v>
      </c>
      <c r="AG210" s="249" t="s">
        <v>499</v>
      </c>
      <c r="AH210" s="247" t="s">
        <v>499</v>
      </c>
      <c r="AI210" s="146">
        <v>20</v>
      </c>
      <c r="AJ210" s="41">
        <v>13</v>
      </c>
      <c r="AK210" s="41">
        <v>7</v>
      </c>
      <c r="AL210" s="293">
        <v>21</v>
      </c>
      <c r="AM210" s="41">
        <v>10</v>
      </c>
      <c r="AN210" s="147">
        <v>11</v>
      </c>
      <c r="AO210" s="374"/>
      <c r="AP210" s="153">
        <f t="shared" ca="1" si="530"/>
        <v>1</v>
      </c>
      <c r="AQ210" s="374"/>
      <c r="AR210" s="153">
        <f t="shared" ca="1" si="550"/>
        <v>1</v>
      </c>
      <c r="AS210" s="272">
        <f t="shared" si="602"/>
        <v>0</v>
      </c>
      <c r="AT210" s="157">
        <f t="shared" si="531"/>
        <v>0</v>
      </c>
      <c r="AU210" s="157">
        <f t="shared" si="498"/>
        <v>0</v>
      </c>
      <c r="AV210" s="271">
        <f t="shared" ca="1" si="558"/>
        <v>9.9999999999999995E-7</v>
      </c>
      <c r="AW210" s="158" t="str">
        <f t="shared" ca="1" si="583"/>
        <v/>
      </c>
      <c r="AX210" s="157">
        <f t="shared" ca="1" si="551"/>
        <v>4.1712139887063646E-5</v>
      </c>
      <c r="AY210" s="157">
        <f t="shared" ca="1" si="552"/>
        <v>9.0940433875463308E-6</v>
      </c>
      <c r="AZ210" s="157">
        <f t="shared" ca="1" si="553"/>
        <v>2.5032866290851415E-7</v>
      </c>
      <c r="BA210" s="157">
        <f t="shared" ca="1" si="554"/>
        <v>3.1291082863564269E-8</v>
      </c>
      <c r="BB210" s="157">
        <f t="shared" ca="1" si="555"/>
        <v>1.0876816880188251E-10</v>
      </c>
      <c r="BC210" s="157">
        <f t="shared" ca="1" si="556"/>
        <v>1.9582637335486563E-12</v>
      </c>
      <c r="BD210" s="151">
        <f t="shared" ca="1" si="603"/>
        <v>0</v>
      </c>
      <c r="BE210" s="152">
        <f t="shared" ca="1" si="604"/>
        <v>0</v>
      </c>
      <c r="BF210" s="40">
        <f t="shared" si="605"/>
        <v>2016</v>
      </c>
      <c r="BG210" s="144">
        <f t="shared" si="606"/>
        <v>7</v>
      </c>
      <c r="BH210" s="145">
        <f t="shared" ca="1" si="607"/>
        <v>5792</v>
      </c>
      <c r="BI210" s="313">
        <f t="shared" ca="1" si="608"/>
        <v>15.898699520876113</v>
      </c>
      <c r="BJ210" s="42">
        <f t="shared" ca="1" si="505"/>
        <v>15.952087611225188</v>
      </c>
      <c r="BK210" s="42">
        <f t="shared" ca="1" si="506"/>
        <v>15.954825462012321</v>
      </c>
      <c r="BL210" s="42">
        <f t="shared" ca="1" si="609"/>
        <v>15.980835044490075</v>
      </c>
      <c r="BM210" s="150" t="e">
        <f t="shared" ca="1" si="507"/>
        <v>#DIV/0!</v>
      </c>
      <c r="BN210" s="42" t="e">
        <f t="shared" ca="1" si="508"/>
        <v>#DIV/0!</v>
      </c>
      <c r="BO210" s="293">
        <f t="shared" si="610"/>
        <v>20</v>
      </c>
      <c r="BP210" s="41">
        <f t="shared" si="611"/>
        <v>13</v>
      </c>
      <c r="BQ210" s="41">
        <f t="shared" si="612"/>
        <v>7</v>
      </c>
      <c r="BR210" s="305" t="str">
        <f t="shared" ca="1" si="509"/>
        <v/>
      </c>
      <c r="BS210" s="305" t="str">
        <f t="shared" ca="1" si="613"/>
        <v/>
      </c>
      <c r="BT210" s="307" t="str">
        <f t="shared" ca="1" si="614"/>
        <v/>
      </c>
      <c r="BU210" s="161" t="str">
        <f t="shared" ca="1" si="510"/>
        <v/>
      </c>
      <c r="BV210" s="161" t="str">
        <f t="shared" ca="1" si="511"/>
        <v/>
      </c>
      <c r="BW210" s="308" t="str">
        <f t="shared" ca="1" si="512"/>
        <v/>
      </c>
      <c r="BX210" s="309" t="str">
        <f t="shared" ca="1" si="513"/>
        <v/>
      </c>
      <c r="BY210" s="308" t="str">
        <f t="shared" ca="1" si="615"/>
        <v/>
      </c>
      <c r="BZ210" s="309" t="str">
        <f t="shared" ca="1" si="616"/>
        <v/>
      </c>
      <c r="CA210" s="154" t="str">
        <f t="shared" ca="1" si="514"/>
        <v/>
      </c>
      <c r="CB210" s="154" t="str">
        <f t="shared" ca="1" si="515"/>
        <v/>
      </c>
      <c r="CC210" s="154" t="str">
        <f t="shared" ca="1" si="516"/>
        <v/>
      </c>
      <c r="CD210" s="154" t="str">
        <f t="shared" ca="1" si="517"/>
        <v/>
      </c>
      <c r="CE210" s="310">
        <v>1</v>
      </c>
      <c r="CF210" s="162">
        <f ca="1">IF(BD210,_xll.xCrudeAPO(BU210,BV210,CA210,CB210,S211,S212,BI210,BL210,BP210,BQ210,0,Strike1,AO210,CE210,0,BL210,IF(OptControl=4,0,1),0,1),0)</f>
        <v>0</v>
      </c>
      <c r="CG210" s="163">
        <f ca="1">IF(BD210,_xll.xCrudeAPO(BU210,BV210,CA210,CB210,S211,S212,BI210,BL210,BP210,BQ210,0,Strike1,AO210,CE210,0,BL210,IF(OptControl=4,0,1),1,1)+_xll.xCrudeAPO(BU210,BV210,CA210,CB210,S211,S212,BI210,BL210,BP210,BQ210,0,Strike1,AO210,CE210,0,BL210,IF(OptControl=4,0,1),1,2)+IF(OR(VolSkewFlag=2,ABS(BS210)&lt;0.0001),0,IF(BS210&gt;0,-1,1)*CH210*Strike1/BR210^2*BY210/10%),0)</f>
        <v>0</v>
      </c>
      <c r="CH210" s="163">
        <f ca="1">IF(BD210,(_xll.xCrudeAPO(BU210,BV210,CA210,CB210,S211,S212,BI210,BL210,BP210,BQ210,0,Strike1,AO210,CE210,0,BL210,IF(OptControl=4,0,1),3,1)+_xll.xCrudeAPO(BU210,BV210,CA210,CB210,S211,S212,BI210,BL210,BP210,BQ210,0,Strike1,AO210,CE210,0,BL210,IF(OptControl=4,0,1),3,2))/100,0)</f>
        <v>0</v>
      </c>
      <c r="CI210" s="163">
        <f ca="1">IF(BD210,_xll.xCrudeAPO(BU210,BV210,CA210,CB210,S211,S212,BI210-DaysForThetaCalculation/365.25,BL210-DaysForThetaCalculation/365.25,BP210,BQ210,0,Strike1,AO210,CE210,0,BL210,IF(OptControl=4,0,1),0,1)-_xll.xCrudeAPO(BU210,BV210,CA210,CB210,S211,S212,BI210,BL210,BP210,BQ210,0,Strike1,AO210,CE210,0,BL210,IF(OptControl=4,0,1),0,1),0)</f>
        <v>0</v>
      </c>
      <c r="CJ210" s="311">
        <f ca="1">IF(BD210,_xll.xCrudeAPO(BU210,BV210,CC210,CD210,S211,S212,BI210,BL210,BP210,BQ210,0,Strike2,AO210,CE210,0,BL210,IF(OptControl=3,1,0),0,1),0)</f>
        <v>0</v>
      </c>
      <c r="CK210" s="163">
        <f ca="1">IF(BD210,_xll.xCrudeAPO(BU210,BV210,CC210,CD210,S211,S212,BI210,BL210,BP210,BQ210,0,Strike2,AO210,CE210,0,BL210,IF(OptControl=3,1,0),1,1)+_xll.xCrudeAPO(BU210,BV210,CC210,CD210,S211,S212,BI210,BL210,BP210,BQ210,0,Strike2,AO210,CE210,0,BL210,IF(OptControl=3,1,0),1,2)+IF(OR(VolSkewFlag=2,ABS(BT210)&lt;0.0001),0,IF(BT210&gt;0,-1,1)*CL210*Strike2/BR210^2*BZ210/10%),0)</f>
        <v>0</v>
      </c>
      <c r="CL210" s="163">
        <f ca="1">IF(BD210,(_xll.xCrudeAPO(BU210,BV210,CC210,CD210,S211,S212,BI210,BL210,BP210,BQ210,0,Strike2,AO210,CE210,0,BL210,IF(OptControl=3,1,0),3,1)+_xll.xCrudeAPO(BU210,BV210,CC210,CD210,S211,S212,BI210,BL210,BP210,BQ210,0,Strike2,AO210,CE210,0,BL210,IF(OptControl=3,1,0),3,2))/100,0)</f>
        <v>0</v>
      </c>
      <c r="CM210" s="164">
        <f ca="1">IF(BD210,_xll.xCrudeAPO(BU210,BV210,CC210,CD210,S211,S212,BI210-DaysForThetaCalculation/365.25,BL210-DaysForThetaCalculation/365.25,BP210,BQ210,0,Strike2,AO210,CE210,0,BL210,IF(OptControl=3,1,0),0,1)-_xll.xCrudeAPO(BU210,BV210,CC210,CD210,S211,S212,BI210,BL210,BP210,BQ210,0,Strike2,AO210,CE210,0,BL210,IF(OptControl=3,1,0),0,1),0)</f>
        <v>0</v>
      </c>
      <c r="CN210" s="53"/>
      <c r="CO210" s="796" t="str">
        <f t="shared" ca="1" si="532"/>
        <v/>
      </c>
      <c r="CP210" s="800" t="str">
        <f t="shared" ca="1" si="533"/>
        <v/>
      </c>
      <c r="CQ210" s="797" t="str">
        <f t="shared" ca="1" si="534"/>
        <v/>
      </c>
      <c r="CR210" s="797" t="str">
        <f t="shared" ca="1" si="535"/>
        <v/>
      </c>
      <c r="CS210" s="797" t="str">
        <f t="shared" ca="1" si="536"/>
        <v/>
      </c>
      <c r="CT210" s="797" t="str">
        <f t="shared" ca="1" si="537"/>
        <v/>
      </c>
      <c r="CU210" s="798" t="str">
        <f t="shared" ca="1" si="538"/>
        <v/>
      </c>
      <c r="CV210" s="799" t="str">
        <f t="shared" ca="1" si="539"/>
        <v/>
      </c>
      <c r="CW210" s="799" t="str">
        <f t="shared" ca="1" si="540"/>
        <v/>
      </c>
      <c r="CX210" s="163">
        <f ca="1">IF(BD210,_xll.EURO(CP210,Strike1,AO210,AO210,CV210,CO210,IF(OptControl=4,0,1),0),0)</f>
        <v>0</v>
      </c>
      <c r="CY210" s="163">
        <f ca="1">IF(BD210,_xll.EURO(CP210,Strike1,AO210,AO210,CV210,CO210,IF(OptControl=4,0,1),1)+IF(OR(VolSkewFlag=2,ABS(CQ210)&lt;0.0001),0,IF(CQ210&gt;0,-1,1)*CZ210*100*Strike1/CP210^2*CS210/10%),0)</f>
        <v>0</v>
      </c>
      <c r="CZ210" s="163">
        <f ca="1">IF(BD210,_xll.EURO(CP210,Strike1,AO210,AO210,CV210,CO210,IF(OptControl=4,0,1),3)/100,0)</f>
        <v>0</v>
      </c>
      <c r="DA210" s="163">
        <f ca="1">IF(BD210,_xll.EURO(CP210,Strike1,AO210,AO210,CV210,CO210,IF(OptControl=4,0,1),0)-_xll.EURO(CP210,Strike1,AO210,AO210,CV210,CO210-1,IF(OptControl=4,0,1),0),0)</f>
        <v>0</v>
      </c>
      <c r="DB210" s="163">
        <f ca="1">IF(BD210,_xll.EURO(CP210,Strike2,AO210,AO210,CW210,CO210,IF(OptControl=3,1,0),0),0)</f>
        <v>0</v>
      </c>
      <c r="DC210" s="163">
        <f ca="1">IF(BD210,_xll.EURO(CP210,Strike2,AO210,AO210,CW210,CO210,IF(OptControl=3,1,0),1)+IF(OR(VolSkewFlag=2,ABS(CR210)&lt;0.0001),0,IF(CR210&gt;0,-1,1)*DD210*100*Strike2/CP210^2*CT210/10%),0)</f>
        <v>0</v>
      </c>
      <c r="DD210" s="163">
        <f ca="1">IF(BD210,_xll.EURO(CP210,Strike2,AO210,AO210,CW210,CO210,IF(OptControl=3,1,0),3)/100,0)</f>
        <v>0</v>
      </c>
      <c r="DE210" s="164">
        <f ca="1">IF(BD210,_xll.EURO(CP210,Strike2,AO210,AO210,CW210,CO210,IF(OptControl=3,1,0),0)-_xll.EURO(CP210,Strike2,AO210,AO210,CW210,CO210-1,IF(OptControl=3,1,0),0),0)</f>
        <v>0</v>
      </c>
      <c r="DG210" s="667">
        <f t="shared" ca="1" si="541"/>
        <v>42339</v>
      </c>
      <c r="DH210" s="475">
        <v>23.660000000000082</v>
      </c>
      <c r="DI210" s="665">
        <v>23.728181818181898</v>
      </c>
      <c r="DJ210" s="666">
        <f t="shared" ca="1" si="617"/>
        <v>42339</v>
      </c>
      <c r="DK210" s="475">
        <v>22.462482534732985</v>
      </c>
      <c r="DL210" s="665">
        <v>22.535081818181897</v>
      </c>
      <c r="DM210" s="667">
        <f t="shared" ca="1" si="618"/>
        <v>42339</v>
      </c>
      <c r="DN210" s="668">
        <f t="shared" si="619"/>
        <v>22.512482534732985</v>
      </c>
      <c r="DO210" s="667">
        <f t="shared" ca="1" si="620"/>
        <v>42339</v>
      </c>
      <c r="DP210" s="579">
        <f t="shared" si="621"/>
        <v>22.535081818181897</v>
      </c>
      <c r="DQ210" s="821">
        <v>0</v>
      </c>
      <c r="DR210" s="666">
        <f t="shared" ca="1" si="622"/>
        <v>42339</v>
      </c>
      <c r="DS210" s="669">
        <v>0.11059999999999802</v>
      </c>
      <c r="DT210" s="606">
        <v>0.10978181818181622</v>
      </c>
      <c r="DU210" s="666">
        <f t="shared" ca="1" si="623"/>
        <v>42339</v>
      </c>
      <c r="DV210" s="669">
        <v>0.11059999999999802</v>
      </c>
      <c r="DW210" s="606">
        <v>0.10978181818181622</v>
      </c>
      <c r="DX210" s="667">
        <f t="shared" ca="1" si="624"/>
        <v>42339</v>
      </c>
      <c r="DY210" s="606">
        <v>0.35</v>
      </c>
      <c r="DZ210" s="667">
        <f t="shared" ca="1" si="625"/>
        <v>42339</v>
      </c>
      <c r="EA210" s="606">
        <f t="shared" si="626"/>
        <v>0.10978181818181622</v>
      </c>
      <c r="EB210" s="1"/>
      <c r="EC210" s="118" t="str">
        <f t="shared" ca="1" si="627"/>
        <v/>
      </c>
      <c r="ED210" s="119" t="str">
        <f t="shared" ca="1" si="525"/>
        <v/>
      </c>
      <c r="EE210" s="112" t="str">
        <f t="shared" ca="1" si="526"/>
        <v/>
      </c>
      <c r="EF210" s="120">
        <f ca="1">IF(BD210,_xll.xASN(BR210,Strike1,AO210,ED210,0,BO210,0,BI210,BL210,IF(OptControl=4,0,1),0),0)</f>
        <v>0</v>
      </c>
      <c r="EG210" s="111">
        <f ca="1">IF(BD210,_xll.xASN(BR210,Strike2,AO210,EE210,0,BO210,0,BI210,BL210,IF(OptControl=3,1,0),0),0)</f>
        <v>0</v>
      </c>
      <c r="EL210" s="55"/>
      <c r="EM210" s="1"/>
      <c r="EN210" s="106"/>
      <c r="EO210" s="106"/>
      <c r="EP210" s="1"/>
      <c r="EQ210" s="683" t="s">
        <v>424</v>
      </c>
      <c r="ES210" s="55"/>
      <c r="EU210" s="107"/>
      <c r="FJ210" s="673">
        <v>41</v>
      </c>
      <c r="FK210" s="479" t="str">
        <f ca="1">IF(OR(FK$169&lt;SwaptionFirstMonthPosition+1,$FJ210&lt;SwaptionFirstMonthPosition+1,FK$169&gt;SwaptionFirstMonthPosition+SwaptionNumOfMonths+1,$FJ210&gt;SwaptionFirstMonthPosition+SwaptionNumOfMonths+1),"",IF($FJ210=FK$169,1,IF($FJ210&lt;FK$169,INDEX($FK$170:$ID$241,FK$169,$FJ210),SUMPRODUCT(INDEX($FK$325:$ID$396,FK$169,1+SwaptionShift):INDEX($FK$325:$ID$396,FK$169,SwaptionMonthsToGo+SwaptionShift),INDEX($FK$245:$ID$316,$FJ210-FK$169,73-FK$169+SwaptionShift):INDEX($FK$245:$ID$316,$FJ210-FK$169,72-FK$169+SwaptionMonthsToGo+SwaptionShift))/SQRT(SUM(INDEX($FK365:$ID365,1+SwaptionShift):INDEX($FK365:$ID365,SwaptionMonthsToGo+SwaptionShift))*SUM(INDEX($FK$325:$ID$396,FK$169,1+SwaptionShift):INDEX($FK$325:$ID$396,FK$169,SwaptionMonthsToGo+SwaptionShift))))))</f>
        <v/>
      </c>
      <c r="FL210" s="479" t="str">
        <f ca="1">IF(OR(FL$169&lt;SwaptionFirstMonthPosition+1,$FJ210&lt;SwaptionFirstMonthPosition+1,FL$169&gt;SwaptionFirstMonthPosition+SwaptionNumOfMonths+1,$FJ210&gt;SwaptionFirstMonthPosition+SwaptionNumOfMonths+1),"",IF($FJ210=FL$169,1,IF($FJ210&lt;FL$169,INDEX($FK$170:$ID$241,FL$169,$FJ210),SUMPRODUCT(INDEX($FK$325:$ID$396,FL$169,1+SwaptionShift):INDEX($FK$325:$ID$396,FL$169,SwaptionMonthsToGo+SwaptionShift),INDEX($FK$245:$ID$316,$FJ210-FL$169,73-FL$169+SwaptionShift):INDEX($FK$245:$ID$316,$FJ210-FL$169,72-FL$169+SwaptionMonthsToGo+SwaptionShift))/SQRT(SUM(INDEX($FK365:$ID365,1+SwaptionShift):INDEX($FK365:$ID365,SwaptionMonthsToGo+SwaptionShift))*SUM(INDEX($FK$325:$ID$396,FL$169,1+SwaptionShift):INDEX($FK$325:$ID$396,FL$169,SwaptionMonthsToGo+SwaptionShift))))))</f>
        <v/>
      </c>
      <c r="FM210" s="479" t="str">
        <f ca="1">IF(OR(FM$169&lt;SwaptionFirstMonthPosition+1,$FJ210&lt;SwaptionFirstMonthPosition+1,FM$169&gt;SwaptionFirstMonthPosition+SwaptionNumOfMonths+1,$FJ210&gt;SwaptionFirstMonthPosition+SwaptionNumOfMonths+1),"",IF($FJ210=FM$169,1,IF($FJ210&lt;FM$169,INDEX($FK$170:$ID$241,FM$169,$FJ210),SUMPRODUCT(INDEX($FK$325:$ID$396,FM$169,1+SwaptionShift):INDEX($FK$325:$ID$396,FM$169,SwaptionMonthsToGo+SwaptionShift),INDEX($FK$245:$ID$316,$FJ210-FM$169,73-FM$169+SwaptionShift):INDEX($FK$245:$ID$316,$FJ210-FM$169,72-FM$169+SwaptionMonthsToGo+SwaptionShift))/SQRT(SUM(INDEX($FK365:$ID365,1+SwaptionShift):INDEX($FK365:$ID365,SwaptionMonthsToGo+SwaptionShift))*SUM(INDEX($FK$325:$ID$396,FM$169,1+SwaptionShift):INDEX($FK$325:$ID$396,FM$169,SwaptionMonthsToGo+SwaptionShift))))))</f>
        <v/>
      </c>
      <c r="FN210" s="479" t="str">
        <f ca="1">IF(OR(FN$169&lt;SwaptionFirstMonthPosition+1,$FJ210&lt;SwaptionFirstMonthPosition+1,FN$169&gt;SwaptionFirstMonthPosition+SwaptionNumOfMonths+1,$FJ210&gt;SwaptionFirstMonthPosition+SwaptionNumOfMonths+1),"",IF($FJ210=FN$169,1,IF($FJ210&lt;FN$169,INDEX($FK$170:$ID$241,FN$169,$FJ210),SUMPRODUCT(INDEX($FK$325:$ID$396,FN$169,1+SwaptionShift):INDEX($FK$325:$ID$396,FN$169,SwaptionMonthsToGo+SwaptionShift),INDEX($FK$245:$ID$316,$FJ210-FN$169,73-FN$169+SwaptionShift):INDEX($FK$245:$ID$316,$FJ210-FN$169,72-FN$169+SwaptionMonthsToGo+SwaptionShift))/SQRT(SUM(INDEX($FK365:$ID365,1+SwaptionShift):INDEX($FK365:$ID365,SwaptionMonthsToGo+SwaptionShift))*SUM(INDEX($FK$325:$ID$396,FN$169,1+SwaptionShift):INDEX($FK$325:$ID$396,FN$169,SwaptionMonthsToGo+SwaptionShift))))))</f>
        <v/>
      </c>
      <c r="FO210" s="479" t="str">
        <f ca="1">IF(OR(FO$169&lt;SwaptionFirstMonthPosition+1,$FJ210&lt;SwaptionFirstMonthPosition+1,FO$169&gt;SwaptionFirstMonthPosition+SwaptionNumOfMonths+1,$FJ210&gt;SwaptionFirstMonthPosition+SwaptionNumOfMonths+1),"",IF($FJ210=FO$169,1,IF($FJ210&lt;FO$169,INDEX($FK$170:$ID$241,FO$169,$FJ210),SUMPRODUCT(INDEX($FK$325:$ID$396,FO$169,1+SwaptionShift):INDEX($FK$325:$ID$396,FO$169,SwaptionMonthsToGo+SwaptionShift),INDEX($FK$245:$ID$316,$FJ210-FO$169,73-FO$169+SwaptionShift):INDEX($FK$245:$ID$316,$FJ210-FO$169,72-FO$169+SwaptionMonthsToGo+SwaptionShift))/SQRT(SUM(INDEX($FK365:$ID365,1+SwaptionShift):INDEX($FK365:$ID365,SwaptionMonthsToGo+SwaptionShift))*SUM(INDEX($FK$325:$ID$396,FO$169,1+SwaptionShift):INDEX($FK$325:$ID$396,FO$169,SwaptionMonthsToGo+SwaptionShift))))))</f>
        <v/>
      </c>
      <c r="FP210" s="479" t="str">
        <f ca="1">IF(OR(FP$169&lt;SwaptionFirstMonthPosition+1,$FJ210&lt;SwaptionFirstMonthPosition+1,FP$169&gt;SwaptionFirstMonthPosition+SwaptionNumOfMonths+1,$FJ210&gt;SwaptionFirstMonthPosition+SwaptionNumOfMonths+1),"",IF($FJ210=FP$169,1,IF($FJ210&lt;FP$169,INDEX($FK$170:$ID$241,FP$169,$FJ210),SUMPRODUCT(INDEX($FK$325:$ID$396,FP$169,1+SwaptionShift):INDEX($FK$325:$ID$396,FP$169,SwaptionMonthsToGo+SwaptionShift),INDEX($FK$245:$ID$316,$FJ210-FP$169,73-FP$169+SwaptionShift):INDEX($FK$245:$ID$316,$FJ210-FP$169,72-FP$169+SwaptionMonthsToGo+SwaptionShift))/SQRT(SUM(INDEX($FK365:$ID365,1+SwaptionShift):INDEX($FK365:$ID365,SwaptionMonthsToGo+SwaptionShift))*SUM(INDEX($FK$325:$ID$396,FP$169,1+SwaptionShift):INDEX($FK$325:$ID$396,FP$169,SwaptionMonthsToGo+SwaptionShift))))))</f>
        <v/>
      </c>
      <c r="FQ210" s="479" t="str">
        <f ca="1">IF(OR(FQ$169&lt;SwaptionFirstMonthPosition+1,$FJ210&lt;SwaptionFirstMonthPosition+1,FQ$169&gt;SwaptionFirstMonthPosition+SwaptionNumOfMonths+1,$FJ210&gt;SwaptionFirstMonthPosition+SwaptionNumOfMonths+1),"",IF($FJ210=FQ$169,1,IF($FJ210&lt;FQ$169,INDEX($FK$170:$ID$241,FQ$169,$FJ210),SUMPRODUCT(INDEX($FK$325:$ID$396,FQ$169,1+SwaptionShift):INDEX($FK$325:$ID$396,FQ$169,SwaptionMonthsToGo+SwaptionShift),INDEX($FK$245:$ID$316,$FJ210-FQ$169,73-FQ$169+SwaptionShift):INDEX($FK$245:$ID$316,$FJ210-FQ$169,72-FQ$169+SwaptionMonthsToGo+SwaptionShift))/SQRT(SUM(INDEX($FK365:$ID365,1+SwaptionShift):INDEX($FK365:$ID365,SwaptionMonthsToGo+SwaptionShift))*SUM(INDEX($FK$325:$ID$396,FQ$169,1+SwaptionShift):INDEX($FK$325:$ID$396,FQ$169,SwaptionMonthsToGo+SwaptionShift))))))</f>
        <v/>
      </c>
      <c r="FR210" s="479" t="str">
        <f ca="1">IF(OR(FR$169&lt;SwaptionFirstMonthPosition+1,$FJ210&lt;SwaptionFirstMonthPosition+1,FR$169&gt;SwaptionFirstMonthPosition+SwaptionNumOfMonths+1,$FJ210&gt;SwaptionFirstMonthPosition+SwaptionNumOfMonths+1),"",IF($FJ210=FR$169,1,IF($FJ210&lt;FR$169,INDEX($FK$170:$ID$241,FR$169,$FJ210),SUMPRODUCT(INDEX($FK$325:$ID$396,FR$169,1+SwaptionShift):INDEX($FK$325:$ID$396,FR$169,SwaptionMonthsToGo+SwaptionShift),INDEX($FK$245:$ID$316,$FJ210-FR$169,73-FR$169+SwaptionShift):INDEX($FK$245:$ID$316,$FJ210-FR$169,72-FR$169+SwaptionMonthsToGo+SwaptionShift))/SQRT(SUM(INDEX($FK365:$ID365,1+SwaptionShift):INDEX($FK365:$ID365,SwaptionMonthsToGo+SwaptionShift))*SUM(INDEX($FK$325:$ID$396,FR$169,1+SwaptionShift):INDEX($FK$325:$ID$396,FR$169,SwaptionMonthsToGo+SwaptionShift))))))</f>
        <v/>
      </c>
      <c r="FS210" s="479" t="str">
        <f ca="1">IF(OR(FS$169&lt;SwaptionFirstMonthPosition+1,$FJ210&lt;SwaptionFirstMonthPosition+1,FS$169&gt;SwaptionFirstMonthPosition+SwaptionNumOfMonths+1,$FJ210&gt;SwaptionFirstMonthPosition+SwaptionNumOfMonths+1),"",IF($FJ210=FS$169,1,IF($FJ210&lt;FS$169,INDEX($FK$170:$ID$241,FS$169,$FJ210),SUMPRODUCT(INDEX($FK$325:$ID$396,FS$169,1+SwaptionShift):INDEX($FK$325:$ID$396,FS$169,SwaptionMonthsToGo+SwaptionShift),INDEX($FK$245:$ID$316,$FJ210-FS$169,73-FS$169+SwaptionShift):INDEX($FK$245:$ID$316,$FJ210-FS$169,72-FS$169+SwaptionMonthsToGo+SwaptionShift))/SQRT(SUM(INDEX($FK365:$ID365,1+SwaptionShift):INDEX($FK365:$ID365,SwaptionMonthsToGo+SwaptionShift))*SUM(INDEX($FK$325:$ID$396,FS$169,1+SwaptionShift):INDEX($FK$325:$ID$396,FS$169,SwaptionMonthsToGo+SwaptionShift))))))</f>
        <v/>
      </c>
      <c r="FT210" s="479" t="str">
        <f ca="1">IF(OR(FT$169&lt;SwaptionFirstMonthPosition+1,$FJ210&lt;SwaptionFirstMonthPosition+1,FT$169&gt;SwaptionFirstMonthPosition+SwaptionNumOfMonths+1,$FJ210&gt;SwaptionFirstMonthPosition+SwaptionNumOfMonths+1),"",IF($FJ210=FT$169,1,IF($FJ210&lt;FT$169,INDEX($FK$170:$ID$241,FT$169,$FJ210),SUMPRODUCT(INDEX($FK$325:$ID$396,FT$169,1+SwaptionShift):INDEX($FK$325:$ID$396,FT$169,SwaptionMonthsToGo+SwaptionShift),INDEX($FK$245:$ID$316,$FJ210-FT$169,73-FT$169+SwaptionShift):INDEX($FK$245:$ID$316,$FJ210-FT$169,72-FT$169+SwaptionMonthsToGo+SwaptionShift))/SQRT(SUM(INDEX($FK365:$ID365,1+SwaptionShift):INDEX($FK365:$ID365,SwaptionMonthsToGo+SwaptionShift))*SUM(INDEX($FK$325:$ID$396,FT$169,1+SwaptionShift):INDEX($FK$325:$ID$396,FT$169,SwaptionMonthsToGo+SwaptionShift))))))</f>
        <v/>
      </c>
      <c r="FU210" s="479" t="str">
        <f ca="1">IF(OR(FU$169&lt;SwaptionFirstMonthPosition+1,$FJ210&lt;SwaptionFirstMonthPosition+1,FU$169&gt;SwaptionFirstMonthPosition+SwaptionNumOfMonths+1,$FJ210&gt;SwaptionFirstMonthPosition+SwaptionNumOfMonths+1),"",IF($FJ210=FU$169,1,IF($FJ210&lt;FU$169,INDEX($FK$170:$ID$241,FU$169,$FJ210),SUMPRODUCT(INDEX($FK$325:$ID$396,FU$169,1+SwaptionShift):INDEX($FK$325:$ID$396,FU$169,SwaptionMonthsToGo+SwaptionShift),INDEX($FK$245:$ID$316,$FJ210-FU$169,73-FU$169+SwaptionShift):INDEX($FK$245:$ID$316,$FJ210-FU$169,72-FU$169+SwaptionMonthsToGo+SwaptionShift))/SQRT(SUM(INDEX($FK365:$ID365,1+SwaptionShift):INDEX($FK365:$ID365,SwaptionMonthsToGo+SwaptionShift))*SUM(INDEX($FK$325:$ID$396,FU$169,1+SwaptionShift):INDEX($FK$325:$ID$396,FU$169,SwaptionMonthsToGo+SwaptionShift))))))</f>
        <v/>
      </c>
      <c r="FV210" s="479" t="str">
        <f ca="1">IF(OR(FV$169&lt;SwaptionFirstMonthPosition+1,$FJ210&lt;SwaptionFirstMonthPosition+1,FV$169&gt;SwaptionFirstMonthPosition+SwaptionNumOfMonths+1,$FJ210&gt;SwaptionFirstMonthPosition+SwaptionNumOfMonths+1),"",IF($FJ210=FV$169,1,IF($FJ210&lt;FV$169,INDEX($FK$170:$ID$241,FV$169,$FJ210),SUMPRODUCT(INDEX($FK$325:$ID$396,FV$169,1+SwaptionShift):INDEX($FK$325:$ID$396,FV$169,SwaptionMonthsToGo+SwaptionShift),INDEX($FK$245:$ID$316,$FJ210-FV$169,73-FV$169+SwaptionShift):INDEX($FK$245:$ID$316,$FJ210-FV$169,72-FV$169+SwaptionMonthsToGo+SwaptionShift))/SQRT(SUM(INDEX($FK365:$ID365,1+SwaptionShift):INDEX($FK365:$ID365,SwaptionMonthsToGo+SwaptionShift))*SUM(INDEX($FK$325:$ID$396,FV$169,1+SwaptionShift):INDEX($FK$325:$ID$396,FV$169,SwaptionMonthsToGo+SwaptionShift))))))</f>
        <v/>
      </c>
      <c r="FW210" s="479" t="str">
        <f ca="1">IF(OR(FW$169&lt;SwaptionFirstMonthPosition+1,$FJ210&lt;SwaptionFirstMonthPosition+1,FW$169&gt;SwaptionFirstMonthPosition+SwaptionNumOfMonths+1,$FJ210&gt;SwaptionFirstMonthPosition+SwaptionNumOfMonths+1),"",IF($FJ210=FW$169,1,IF($FJ210&lt;FW$169,INDEX($FK$170:$ID$241,FW$169,$FJ210),SUMPRODUCT(INDEX($FK$325:$ID$396,FW$169,1+SwaptionShift):INDEX($FK$325:$ID$396,FW$169,SwaptionMonthsToGo+SwaptionShift),INDEX($FK$245:$ID$316,$FJ210-FW$169,73-FW$169+SwaptionShift):INDEX($FK$245:$ID$316,$FJ210-FW$169,72-FW$169+SwaptionMonthsToGo+SwaptionShift))/SQRT(SUM(INDEX($FK365:$ID365,1+SwaptionShift):INDEX($FK365:$ID365,SwaptionMonthsToGo+SwaptionShift))*SUM(INDEX($FK$325:$ID$396,FW$169,1+SwaptionShift):INDEX($FK$325:$ID$396,FW$169,SwaptionMonthsToGo+SwaptionShift))))))</f>
        <v/>
      </c>
      <c r="FX210" s="479" t="str">
        <f ca="1">IF(OR(FX$169&lt;SwaptionFirstMonthPosition+1,$FJ210&lt;SwaptionFirstMonthPosition+1,FX$169&gt;SwaptionFirstMonthPosition+SwaptionNumOfMonths+1,$FJ210&gt;SwaptionFirstMonthPosition+SwaptionNumOfMonths+1),"",IF($FJ210=FX$169,1,IF($FJ210&lt;FX$169,INDEX($FK$170:$ID$241,FX$169,$FJ210),SUMPRODUCT(INDEX($FK$325:$ID$396,FX$169,1+SwaptionShift):INDEX($FK$325:$ID$396,FX$169,SwaptionMonthsToGo+SwaptionShift),INDEX($FK$245:$ID$316,$FJ210-FX$169,73-FX$169+SwaptionShift):INDEX($FK$245:$ID$316,$FJ210-FX$169,72-FX$169+SwaptionMonthsToGo+SwaptionShift))/SQRT(SUM(INDEX($FK365:$ID365,1+SwaptionShift):INDEX($FK365:$ID365,SwaptionMonthsToGo+SwaptionShift))*SUM(INDEX($FK$325:$ID$396,FX$169,1+SwaptionShift):INDEX($FK$325:$ID$396,FX$169,SwaptionMonthsToGo+SwaptionShift))))))</f>
        <v/>
      </c>
      <c r="FY210" s="479" t="str">
        <f ca="1">IF(OR(FY$169&lt;SwaptionFirstMonthPosition+1,$FJ210&lt;SwaptionFirstMonthPosition+1,FY$169&gt;SwaptionFirstMonthPosition+SwaptionNumOfMonths+1,$FJ210&gt;SwaptionFirstMonthPosition+SwaptionNumOfMonths+1),"",IF($FJ210=FY$169,1,IF($FJ210&lt;FY$169,INDEX($FK$170:$ID$241,FY$169,$FJ210),SUMPRODUCT(INDEX($FK$325:$ID$396,FY$169,1+SwaptionShift):INDEX($FK$325:$ID$396,FY$169,SwaptionMonthsToGo+SwaptionShift),INDEX($FK$245:$ID$316,$FJ210-FY$169,73-FY$169+SwaptionShift):INDEX($FK$245:$ID$316,$FJ210-FY$169,72-FY$169+SwaptionMonthsToGo+SwaptionShift))/SQRT(SUM(INDEX($FK365:$ID365,1+SwaptionShift):INDEX($FK365:$ID365,SwaptionMonthsToGo+SwaptionShift))*SUM(INDEX($FK$325:$ID$396,FY$169,1+SwaptionShift):INDEX($FK$325:$ID$396,FY$169,SwaptionMonthsToGo+SwaptionShift))))))</f>
        <v/>
      </c>
      <c r="FZ210" s="479" t="str">
        <f ca="1">IF(OR(FZ$169&lt;SwaptionFirstMonthPosition+1,$FJ210&lt;SwaptionFirstMonthPosition+1,FZ$169&gt;SwaptionFirstMonthPosition+SwaptionNumOfMonths+1,$FJ210&gt;SwaptionFirstMonthPosition+SwaptionNumOfMonths+1),"",IF($FJ210=FZ$169,1,IF($FJ210&lt;FZ$169,INDEX($FK$170:$ID$241,FZ$169,$FJ210),SUMPRODUCT(INDEX($FK$325:$ID$396,FZ$169,1+SwaptionShift):INDEX($FK$325:$ID$396,FZ$169,SwaptionMonthsToGo+SwaptionShift),INDEX($FK$245:$ID$316,$FJ210-FZ$169,73-FZ$169+SwaptionShift):INDEX($FK$245:$ID$316,$FJ210-FZ$169,72-FZ$169+SwaptionMonthsToGo+SwaptionShift))/SQRT(SUM(INDEX($FK365:$ID365,1+SwaptionShift):INDEX($FK365:$ID365,SwaptionMonthsToGo+SwaptionShift))*SUM(INDEX($FK$325:$ID$396,FZ$169,1+SwaptionShift):INDEX($FK$325:$ID$396,FZ$169,SwaptionMonthsToGo+SwaptionShift))))))</f>
        <v/>
      </c>
      <c r="GA210" s="479" t="str">
        <f ca="1">IF(OR(GA$169&lt;SwaptionFirstMonthPosition+1,$FJ210&lt;SwaptionFirstMonthPosition+1,GA$169&gt;SwaptionFirstMonthPosition+SwaptionNumOfMonths+1,$FJ210&gt;SwaptionFirstMonthPosition+SwaptionNumOfMonths+1),"",IF($FJ210=GA$169,1,IF($FJ210&lt;GA$169,INDEX($FK$170:$ID$241,GA$169,$FJ210),SUMPRODUCT(INDEX($FK$325:$ID$396,GA$169,1+SwaptionShift):INDEX($FK$325:$ID$396,GA$169,SwaptionMonthsToGo+SwaptionShift),INDEX($FK$245:$ID$316,$FJ210-GA$169,73-GA$169+SwaptionShift):INDEX($FK$245:$ID$316,$FJ210-GA$169,72-GA$169+SwaptionMonthsToGo+SwaptionShift))/SQRT(SUM(INDEX($FK365:$ID365,1+SwaptionShift):INDEX($FK365:$ID365,SwaptionMonthsToGo+SwaptionShift))*SUM(INDEX($FK$325:$ID$396,GA$169,1+SwaptionShift):INDEX($FK$325:$ID$396,GA$169,SwaptionMonthsToGo+SwaptionShift))))))</f>
        <v/>
      </c>
      <c r="GB210" s="479" t="str">
        <f ca="1">IF(OR(GB$169&lt;SwaptionFirstMonthPosition+1,$FJ210&lt;SwaptionFirstMonthPosition+1,GB$169&gt;SwaptionFirstMonthPosition+SwaptionNumOfMonths+1,$FJ210&gt;SwaptionFirstMonthPosition+SwaptionNumOfMonths+1),"",IF($FJ210=GB$169,1,IF($FJ210&lt;GB$169,INDEX($FK$170:$ID$241,GB$169,$FJ210),SUMPRODUCT(INDEX($FK$325:$ID$396,GB$169,1+SwaptionShift):INDEX($FK$325:$ID$396,GB$169,SwaptionMonthsToGo+SwaptionShift),INDEX($FK$245:$ID$316,$FJ210-GB$169,73-GB$169+SwaptionShift):INDEX($FK$245:$ID$316,$FJ210-GB$169,72-GB$169+SwaptionMonthsToGo+SwaptionShift))/SQRT(SUM(INDEX($FK365:$ID365,1+SwaptionShift):INDEX($FK365:$ID365,SwaptionMonthsToGo+SwaptionShift))*SUM(INDEX($FK$325:$ID$396,GB$169,1+SwaptionShift):INDEX($FK$325:$ID$396,GB$169,SwaptionMonthsToGo+SwaptionShift))))))</f>
        <v/>
      </c>
      <c r="GC210" s="479" t="str">
        <f ca="1">IF(OR(GC$169&lt;SwaptionFirstMonthPosition+1,$FJ210&lt;SwaptionFirstMonthPosition+1,GC$169&gt;SwaptionFirstMonthPosition+SwaptionNumOfMonths+1,$FJ210&gt;SwaptionFirstMonthPosition+SwaptionNumOfMonths+1),"",IF($FJ210=GC$169,1,IF($FJ210&lt;GC$169,INDEX($FK$170:$ID$241,GC$169,$FJ210),SUMPRODUCT(INDEX($FK$325:$ID$396,GC$169,1+SwaptionShift):INDEX($FK$325:$ID$396,GC$169,SwaptionMonthsToGo+SwaptionShift),INDEX($FK$245:$ID$316,$FJ210-GC$169,73-GC$169+SwaptionShift):INDEX($FK$245:$ID$316,$FJ210-GC$169,72-GC$169+SwaptionMonthsToGo+SwaptionShift))/SQRT(SUM(INDEX($FK365:$ID365,1+SwaptionShift):INDEX($FK365:$ID365,SwaptionMonthsToGo+SwaptionShift))*SUM(INDEX($FK$325:$ID$396,GC$169,1+SwaptionShift):INDEX($FK$325:$ID$396,GC$169,SwaptionMonthsToGo+SwaptionShift))))))</f>
        <v/>
      </c>
      <c r="GD210" s="479" t="str">
        <f ca="1">IF(OR(GD$169&lt;SwaptionFirstMonthPosition+1,$FJ210&lt;SwaptionFirstMonthPosition+1,GD$169&gt;SwaptionFirstMonthPosition+SwaptionNumOfMonths+1,$FJ210&gt;SwaptionFirstMonthPosition+SwaptionNumOfMonths+1),"",IF($FJ210=GD$169,1,IF($FJ210&lt;GD$169,INDEX($FK$170:$ID$241,GD$169,$FJ210),SUMPRODUCT(INDEX($FK$325:$ID$396,GD$169,1+SwaptionShift):INDEX($FK$325:$ID$396,GD$169,SwaptionMonthsToGo+SwaptionShift),INDEX($FK$245:$ID$316,$FJ210-GD$169,73-GD$169+SwaptionShift):INDEX($FK$245:$ID$316,$FJ210-GD$169,72-GD$169+SwaptionMonthsToGo+SwaptionShift))/SQRT(SUM(INDEX($FK365:$ID365,1+SwaptionShift):INDEX($FK365:$ID365,SwaptionMonthsToGo+SwaptionShift))*SUM(INDEX($FK$325:$ID$396,GD$169,1+SwaptionShift):INDEX($FK$325:$ID$396,GD$169,SwaptionMonthsToGo+SwaptionShift))))))</f>
        <v/>
      </c>
      <c r="GE210" s="479" t="str">
        <f ca="1">IF(OR(GE$169&lt;SwaptionFirstMonthPosition+1,$FJ210&lt;SwaptionFirstMonthPosition+1,GE$169&gt;SwaptionFirstMonthPosition+SwaptionNumOfMonths+1,$FJ210&gt;SwaptionFirstMonthPosition+SwaptionNumOfMonths+1),"",IF($FJ210=GE$169,1,IF($FJ210&lt;GE$169,INDEX($FK$170:$ID$241,GE$169,$FJ210),SUMPRODUCT(INDEX($FK$325:$ID$396,GE$169,1+SwaptionShift):INDEX($FK$325:$ID$396,GE$169,SwaptionMonthsToGo+SwaptionShift),INDEX($FK$245:$ID$316,$FJ210-GE$169,73-GE$169+SwaptionShift):INDEX($FK$245:$ID$316,$FJ210-GE$169,72-GE$169+SwaptionMonthsToGo+SwaptionShift))/SQRT(SUM(INDEX($FK365:$ID365,1+SwaptionShift):INDEX($FK365:$ID365,SwaptionMonthsToGo+SwaptionShift))*SUM(INDEX($FK$325:$ID$396,GE$169,1+SwaptionShift):INDEX($FK$325:$ID$396,GE$169,SwaptionMonthsToGo+SwaptionShift))))))</f>
        <v/>
      </c>
      <c r="GF210" s="479" t="str">
        <f ca="1">IF(OR(GF$169&lt;SwaptionFirstMonthPosition+1,$FJ210&lt;SwaptionFirstMonthPosition+1,GF$169&gt;SwaptionFirstMonthPosition+SwaptionNumOfMonths+1,$FJ210&gt;SwaptionFirstMonthPosition+SwaptionNumOfMonths+1),"",IF($FJ210=GF$169,1,IF($FJ210&lt;GF$169,INDEX($FK$170:$ID$241,GF$169,$FJ210),SUMPRODUCT(INDEX($FK$325:$ID$396,GF$169,1+SwaptionShift):INDEX($FK$325:$ID$396,GF$169,SwaptionMonthsToGo+SwaptionShift),INDEX($FK$245:$ID$316,$FJ210-GF$169,73-GF$169+SwaptionShift):INDEX($FK$245:$ID$316,$FJ210-GF$169,72-GF$169+SwaptionMonthsToGo+SwaptionShift))/SQRT(SUM(INDEX($FK365:$ID365,1+SwaptionShift):INDEX($FK365:$ID365,SwaptionMonthsToGo+SwaptionShift))*SUM(INDEX($FK$325:$ID$396,GF$169,1+SwaptionShift):INDEX($FK$325:$ID$396,GF$169,SwaptionMonthsToGo+SwaptionShift))))))</f>
        <v/>
      </c>
      <c r="GG210" s="479" t="str">
        <f ca="1">IF(OR(GG$169&lt;SwaptionFirstMonthPosition+1,$FJ210&lt;SwaptionFirstMonthPosition+1,GG$169&gt;SwaptionFirstMonthPosition+SwaptionNumOfMonths+1,$FJ210&gt;SwaptionFirstMonthPosition+SwaptionNumOfMonths+1),"",IF($FJ210=GG$169,1,IF($FJ210&lt;GG$169,INDEX($FK$170:$ID$241,GG$169,$FJ210),SUMPRODUCT(INDEX($FK$325:$ID$396,GG$169,1+SwaptionShift):INDEX($FK$325:$ID$396,GG$169,SwaptionMonthsToGo+SwaptionShift),INDEX($FK$245:$ID$316,$FJ210-GG$169,73-GG$169+SwaptionShift):INDEX($FK$245:$ID$316,$FJ210-GG$169,72-GG$169+SwaptionMonthsToGo+SwaptionShift))/SQRT(SUM(INDEX($FK365:$ID365,1+SwaptionShift):INDEX($FK365:$ID365,SwaptionMonthsToGo+SwaptionShift))*SUM(INDEX($FK$325:$ID$396,GG$169,1+SwaptionShift):INDEX($FK$325:$ID$396,GG$169,SwaptionMonthsToGo+SwaptionShift))))))</f>
        <v/>
      </c>
      <c r="GH210" s="479" t="str">
        <f ca="1">IF(OR(GH$169&lt;SwaptionFirstMonthPosition+1,$FJ210&lt;SwaptionFirstMonthPosition+1,GH$169&gt;SwaptionFirstMonthPosition+SwaptionNumOfMonths+1,$FJ210&gt;SwaptionFirstMonthPosition+SwaptionNumOfMonths+1),"",IF($FJ210=GH$169,1,IF($FJ210&lt;GH$169,INDEX($FK$170:$ID$241,GH$169,$FJ210),SUMPRODUCT(INDEX($FK$325:$ID$396,GH$169,1+SwaptionShift):INDEX($FK$325:$ID$396,GH$169,SwaptionMonthsToGo+SwaptionShift),INDEX($FK$245:$ID$316,$FJ210-GH$169,73-GH$169+SwaptionShift):INDEX($FK$245:$ID$316,$FJ210-GH$169,72-GH$169+SwaptionMonthsToGo+SwaptionShift))/SQRT(SUM(INDEX($FK365:$ID365,1+SwaptionShift):INDEX($FK365:$ID365,SwaptionMonthsToGo+SwaptionShift))*SUM(INDEX($FK$325:$ID$396,GH$169,1+SwaptionShift):INDEX($FK$325:$ID$396,GH$169,SwaptionMonthsToGo+SwaptionShift))))))</f>
        <v/>
      </c>
      <c r="GI210" s="479" t="str">
        <f ca="1">IF(OR(GI$169&lt;SwaptionFirstMonthPosition+1,$FJ210&lt;SwaptionFirstMonthPosition+1,GI$169&gt;SwaptionFirstMonthPosition+SwaptionNumOfMonths+1,$FJ210&gt;SwaptionFirstMonthPosition+SwaptionNumOfMonths+1),"",IF($FJ210=GI$169,1,IF($FJ210&lt;GI$169,INDEX($FK$170:$ID$241,GI$169,$FJ210),SUMPRODUCT(INDEX($FK$325:$ID$396,GI$169,1+SwaptionShift):INDEX($FK$325:$ID$396,GI$169,SwaptionMonthsToGo+SwaptionShift),INDEX($FK$245:$ID$316,$FJ210-GI$169,73-GI$169+SwaptionShift):INDEX($FK$245:$ID$316,$FJ210-GI$169,72-GI$169+SwaptionMonthsToGo+SwaptionShift))/SQRT(SUM(INDEX($FK365:$ID365,1+SwaptionShift):INDEX($FK365:$ID365,SwaptionMonthsToGo+SwaptionShift))*SUM(INDEX($FK$325:$ID$396,GI$169,1+SwaptionShift):INDEX($FK$325:$ID$396,GI$169,SwaptionMonthsToGo+SwaptionShift))))))</f>
        <v/>
      </c>
      <c r="GJ210" s="479" t="str">
        <f ca="1">IF(OR(GJ$169&lt;SwaptionFirstMonthPosition+1,$FJ210&lt;SwaptionFirstMonthPosition+1,GJ$169&gt;SwaptionFirstMonthPosition+SwaptionNumOfMonths+1,$FJ210&gt;SwaptionFirstMonthPosition+SwaptionNumOfMonths+1),"",IF($FJ210=GJ$169,1,IF($FJ210&lt;GJ$169,INDEX($FK$170:$ID$241,GJ$169,$FJ210),SUMPRODUCT(INDEX($FK$325:$ID$396,GJ$169,1+SwaptionShift):INDEX($FK$325:$ID$396,GJ$169,SwaptionMonthsToGo+SwaptionShift),INDEX($FK$245:$ID$316,$FJ210-GJ$169,73-GJ$169+SwaptionShift):INDEX($FK$245:$ID$316,$FJ210-GJ$169,72-GJ$169+SwaptionMonthsToGo+SwaptionShift))/SQRT(SUM(INDEX($FK365:$ID365,1+SwaptionShift):INDEX($FK365:$ID365,SwaptionMonthsToGo+SwaptionShift))*SUM(INDEX($FK$325:$ID$396,GJ$169,1+SwaptionShift):INDEX($FK$325:$ID$396,GJ$169,SwaptionMonthsToGo+SwaptionShift))))))</f>
        <v/>
      </c>
      <c r="GK210" s="479" t="str">
        <f ca="1">IF(OR(GK$169&lt;SwaptionFirstMonthPosition+1,$FJ210&lt;SwaptionFirstMonthPosition+1,GK$169&gt;SwaptionFirstMonthPosition+SwaptionNumOfMonths+1,$FJ210&gt;SwaptionFirstMonthPosition+SwaptionNumOfMonths+1),"",IF($FJ210=GK$169,1,IF($FJ210&lt;GK$169,INDEX($FK$170:$ID$241,GK$169,$FJ210),SUMPRODUCT(INDEX($FK$325:$ID$396,GK$169,1+SwaptionShift):INDEX($FK$325:$ID$396,GK$169,SwaptionMonthsToGo+SwaptionShift),INDEX($FK$245:$ID$316,$FJ210-GK$169,73-GK$169+SwaptionShift):INDEX($FK$245:$ID$316,$FJ210-GK$169,72-GK$169+SwaptionMonthsToGo+SwaptionShift))/SQRT(SUM(INDEX($FK365:$ID365,1+SwaptionShift):INDEX($FK365:$ID365,SwaptionMonthsToGo+SwaptionShift))*SUM(INDEX($FK$325:$ID$396,GK$169,1+SwaptionShift):INDEX($FK$325:$ID$396,GK$169,SwaptionMonthsToGo+SwaptionShift))))))</f>
        <v/>
      </c>
      <c r="GL210" s="479" t="str">
        <f ca="1">IF(OR(GL$169&lt;SwaptionFirstMonthPosition+1,$FJ210&lt;SwaptionFirstMonthPosition+1,GL$169&gt;SwaptionFirstMonthPosition+SwaptionNumOfMonths+1,$FJ210&gt;SwaptionFirstMonthPosition+SwaptionNumOfMonths+1),"",IF($FJ210=GL$169,1,IF($FJ210&lt;GL$169,INDEX($FK$170:$ID$241,GL$169,$FJ210),SUMPRODUCT(INDEX($FK$325:$ID$396,GL$169,1+SwaptionShift):INDEX($FK$325:$ID$396,GL$169,SwaptionMonthsToGo+SwaptionShift),INDEX($FK$245:$ID$316,$FJ210-GL$169,73-GL$169+SwaptionShift):INDEX($FK$245:$ID$316,$FJ210-GL$169,72-GL$169+SwaptionMonthsToGo+SwaptionShift))/SQRT(SUM(INDEX($FK365:$ID365,1+SwaptionShift):INDEX($FK365:$ID365,SwaptionMonthsToGo+SwaptionShift))*SUM(INDEX($FK$325:$ID$396,GL$169,1+SwaptionShift):INDEX($FK$325:$ID$396,GL$169,SwaptionMonthsToGo+SwaptionShift))))))</f>
        <v/>
      </c>
      <c r="GM210" s="479" t="str">
        <f ca="1">IF(OR(GM$169&lt;SwaptionFirstMonthPosition+1,$FJ210&lt;SwaptionFirstMonthPosition+1,GM$169&gt;SwaptionFirstMonthPosition+SwaptionNumOfMonths+1,$FJ210&gt;SwaptionFirstMonthPosition+SwaptionNumOfMonths+1),"",IF($FJ210=GM$169,1,IF($FJ210&lt;GM$169,INDEX($FK$170:$ID$241,GM$169,$FJ210),SUMPRODUCT(INDEX($FK$325:$ID$396,GM$169,1+SwaptionShift):INDEX($FK$325:$ID$396,GM$169,SwaptionMonthsToGo+SwaptionShift),INDEX($FK$245:$ID$316,$FJ210-GM$169,73-GM$169+SwaptionShift):INDEX($FK$245:$ID$316,$FJ210-GM$169,72-GM$169+SwaptionMonthsToGo+SwaptionShift))/SQRT(SUM(INDEX($FK365:$ID365,1+SwaptionShift):INDEX($FK365:$ID365,SwaptionMonthsToGo+SwaptionShift))*SUM(INDEX($FK$325:$ID$396,GM$169,1+SwaptionShift):INDEX($FK$325:$ID$396,GM$169,SwaptionMonthsToGo+SwaptionShift))))))</f>
        <v/>
      </c>
      <c r="GN210" s="479" t="str">
        <f ca="1">IF(OR(GN$169&lt;SwaptionFirstMonthPosition+1,$FJ210&lt;SwaptionFirstMonthPosition+1,GN$169&gt;SwaptionFirstMonthPosition+SwaptionNumOfMonths+1,$FJ210&gt;SwaptionFirstMonthPosition+SwaptionNumOfMonths+1),"",IF($FJ210=GN$169,1,IF($FJ210&lt;GN$169,INDEX($FK$170:$ID$241,GN$169,$FJ210),SUMPRODUCT(INDEX($FK$325:$ID$396,GN$169,1+SwaptionShift):INDEX($FK$325:$ID$396,GN$169,SwaptionMonthsToGo+SwaptionShift),INDEX($FK$245:$ID$316,$FJ210-GN$169,73-GN$169+SwaptionShift):INDEX($FK$245:$ID$316,$FJ210-GN$169,72-GN$169+SwaptionMonthsToGo+SwaptionShift))/SQRT(SUM(INDEX($FK365:$ID365,1+SwaptionShift):INDEX($FK365:$ID365,SwaptionMonthsToGo+SwaptionShift))*SUM(INDEX($FK$325:$ID$396,GN$169,1+SwaptionShift):INDEX($FK$325:$ID$396,GN$169,SwaptionMonthsToGo+SwaptionShift))))))</f>
        <v/>
      </c>
      <c r="GO210" s="479" t="str">
        <f ca="1">IF(OR(GO$169&lt;SwaptionFirstMonthPosition+1,$FJ210&lt;SwaptionFirstMonthPosition+1,GO$169&gt;SwaptionFirstMonthPosition+SwaptionNumOfMonths+1,$FJ210&gt;SwaptionFirstMonthPosition+SwaptionNumOfMonths+1),"",IF($FJ210=GO$169,1,IF($FJ210&lt;GO$169,INDEX($FK$170:$ID$241,GO$169,$FJ210),SUMPRODUCT(INDEX($FK$325:$ID$396,GO$169,1+SwaptionShift):INDEX($FK$325:$ID$396,GO$169,SwaptionMonthsToGo+SwaptionShift),INDEX($FK$245:$ID$316,$FJ210-GO$169,73-GO$169+SwaptionShift):INDEX($FK$245:$ID$316,$FJ210-GO$169,72-GO$169+SwaptionMonthsToGo+SwaptionShift))/SQRT(SUM(INDEX($FK365:$ID365,1+SwaptionShift):INDEX($FK365:$ID365,SwaptionMonthsToGo+SwaptionShift))*SUM(INDEX($FK$325:$ID$396,GO$169,1+SwaptionShift):INDEX($FK$325:$ID$396,GO$169,SwaptionMonthsToGo+SwaptionShift))))))</f>
        <v/>
      </c>
      <c r="GP210" s="479" t="str">
        <f ca="1">IF(OR(GP$169&lt;SwaptionFirstMonthPosition+1,$FJ210&lt;SwaptionFirstMonthPosition+1,GP$169&gt;SwaptionFirstMonthPosition+SwaptionNumOfMonths+1,$FJ210&gt;SwaptionFirstMonthPosition+SwaptionNumOfMonths+1),"",IF($FJ210=GP$169,1,IF($FJ210&lt;GP$169,INDEX($FK$170:$ID$241,GP$169,$FJ210),SUMPRODUCT(INDEX($FK$325:$ID$396,GP$169,1+SwaptionShift):INDEX($FK$325:$ID$396,GP$169,SwaptionMonthsToGo+SwaptionShift),INDEX($FK$245:$ID$316,$FJ210-GP$169,73-GP$169+SwaptionShift):INDEX($FK$245:$ID$316,$FJ210-GP$169,72-GP$169+SwaptionMonthsToGo+SwaptionShift))/SQRT(SUM(INDEX($FK365:$ID365,1+SwaptionShift):INDEX($FK365:$ID365,SwaptionMonthsToGo+SwaptionShift))*SUM(INDEX($FK$325:$ID$396,GP$169,1+SwaptionShift):INDEX($FK$325:$ID$396,GP$169,SwaptionMonthsToGo+SwaptionShift))))))</f>
        <v/>
      </c>
      <c r="GQ210" s="479" t="str">
        <f ca="1">IF(OR(GQ$169&lt;SwaptionFirstMonthPosition+1,$FJ210&lt;SwaptionFirstMonthPosition+1,GQ$169&gt;SwaptionFirstMonthPosition+SwaptionNumOfMonths+1,$FJ210&gt;SwaptionFirstMonthPosition+SwaptionNumOfMonths+1),"",IF($FJ210=GQ$169,1,IF($FJ210&lt;GQ$169,INDEX($FK$170:$ID$241,GQ$169,$FJ210),SUMPRODUCT(INDEX($FK$325:$ID$396,GQ$169,1+SwaptionShift):INDEX($FK$325:$ID$396,GQ$169,SwaptionMonthsToGo+SwaptionShift),INDEX($FK$245:$ID$316,$FJ210-GQ$169,73-GQ$169+SwaptionShift):INDEX($FK$245:$ID$316,$FJ210-GQ$169,72-GQ$169+SwaptionMonthsToGo+SwaptionShift))/SQRT(SUM(INDEX($FK365:$ID365,1+SwaptionShift):INDEX($FK365:$ID365,SwaptionMonthsToGo+SwaptionShift))*SUM(INDEX($FK$325:$ID$396,GQ$169,1+SwaptionShift):INDEX($FK$325:$ID$396,GQ$169,SwaptionMonthsToGo+SwaptionShift))))))</f>
        <v/>
      </c>
      <c r="GR210" s="479" t="str">
        <f ca="1">IF(OR(GR$169&lt;SwaptionFirstMonthPosition+1,$FJ210&lt;SwaptionFirstMonthPosition+1,GR$169&gt;SwaptionFirstMonthPosition+SwaptionNumOfMonths+1,$FJ210&gt;SwaptionFirstMonthPosition+SwaptionNumOfMonths+1),"",IF($FJ210=GR$169,1,IF($FJ210&lt;GR$169,INDEX($FK$170:$ID$241,GR$169,$FJ210),SUMPRODUCT(INDEX($FK$325:$ID$396,GR$169,1+SwaptionShift):INDEX($FK$325:$ID$396,GR$169,SwaptionMonthsToGo+SwaptionShift),INDEX($FK$245:$ID$316,$FJ210-GR$169,73-GR$169+SwaptionShift):INDEX($FK$245:$ID$316,$FJ210-GR$169,72-GR$169+SwaptionMonthsToGo+SwaptionShift))/SQRT(SUM(INDEX($FK365:$ID365,1+SwaptionShift):INDEX($FK365:$ID365,SwaptionMonthsToGo+SwaptionShift))*SUM(INDEX($FK$325:$ID$396,GR$169,1+SwaptionShift):INDEX($FK$325:$ID$396,GR$169,SwaptionMonthsToGo+SwaptionShift))))))</f>
        <v/>
      </c>
      <c r="GS210" s="479" t="str">
        <f ca="1">IF(OR(GS$169&lt;SwaptionFirstMonthPosition+1,$FJ210&lt;SwaptionFirstMonthPosition+1,GS$169&gt;SwaptionFirstMonthPosition+SwaptionNumOfMonths+1,$FJ210&gt;SwaptionFirstMonthPosition+SwaptionNumOfMonths+1),"",IF($FJ210=GS$169,1,IF($FJ210&lt;GS$169,INDEX($FK$170:$ID$241,GS$169,$FJ210),SUMPRODUCT(INDEX($FK$325:$ID$396,GS$169,1+SwaptionShift):INDEX($FK$325:$ID$396,GS$169,SwaptionMonthsToGo+SwaptionShift),INDEX($FK$245:$ID$316,$FJ210-GS$169,73-GS$169+SwaptionShift):INDEX($FK$245:$ID$316,$FJ210-GS$169,72-GS$169+SwaptionMonthsToGo+SwaptionShift))/SQRT(SUM(INDEX($FK365:$ID365,1+SwaptionShift):INDEX($FK365:$ID365,SwaptionMonthsToGo+SwaptionShift))*SUM(INDEX($FK$325:$ID$396,GS$169,1+SwaptionShift):INDEX($FK$325:$ID$396,GS$169,SwaptionMonthsToGo+SwaptionShift))))))</f>
        <v/>
      </c>
      <c r="GT210" s="479" t="str">
        <f ca="1">IF(OR(GT$169&lt;SwaptionFirstMonthPosition+1,$FJ210&lt;SwaptionFirstMonthPosition+1,GT$169&gt;SwaptionFirstMonthPosition+SwaptionNumOfMonths+1,$FJ210&gt;SwaptionFirstMonthPosition+SwaptionNumOfMonths+1),"",IF($FJ210=GT$169,1,IF($FJ210&lt;GT$169,INDEX($FK$170:$ID$241,GT$169,$FJ210),SUMPRODUCT(INDEX($FK$325:$ID$396,GT$169,1+SwaptionShift):INDEX($FK$325:$ID$396,GT$169,SwaptionMonthsToGo+SwaptionShift),INDEX($FK$245:$ID$316,$FJ210-GT$169,73-GT$169+SwaptionShift):INDEX($FK$245:$ID$316,$FJ210-GT$169,72-GT$169+SwaptionMonthsToGo+SwaptionShift))/SQRT(SUM(INDEX($FK365:$ID365,1+SwaptionShift):INDEX($FK365:$ID365,SwaptionMonthsToGo+SwaptionShift))*SUM(INDEX($FK$325:$ID$396,GT$169,1+SwaptionShift):INDEX($FK$325:$ID$396,GT$169,SwaptionMonthsToGo+SwaptionShift))))))</f>
        <v/>
      </c>
      <c r="GU210" s="479" t="str">
        <f ca="1">IF(OR(GU$169&lt;SwaptionFirstMonthPosition+1,$FJ210&lt;SwaptionFirstMonthPosition+1,GU$169&gt;SwaptionFirstMonthPosition+SwaptionNumOfMonths+1,$FJ210&gt;SwaptionFirstMonthPosition+SwaptionNumOfMonths+1),"",IF($FJ210=GU$169,1,IF($FJ210&lt;GU$169,INDEX($FK$170:$ID$241,GU$169,$FJ210),SUMPRODUCT(INDEX($FK$325:$ID$396,GU$169,1+SwaptionShift):INDEX($FK$325:$ID$396,GU$169,SwaptionMonthsToGo+SwaptionShift),INDEX($FK$245:$ID$316,$FJ210-GU$169,73-GU$169+SwaptionShift):INDEX($FK$245:$ID$316,$FJ210-GU$169,72-GU$169+SwaptionMonthsToGo+SwaptionShift))/SQRT(SUM(INDEX($FK365:$ID365,1+SwaptionShift):INDEX($FK365:$ID365,SwaptionMonthsToGo+SwaptionShift))*SUM(INDEX($FK$325:$ID$396,GU$169,1+SwaptionShift):INDEX($FK$325:$ID$396,GU$169,SwaptionMonthsToGo+SwaptionShift))))))</f>
        <v/>
      </c>
      <c r="GV210" s="479" t="str">
        <f ca="1">IF(OR(GV$169&lt;SwaptionFirstMonthPosition+1,$FJ210&lt;SwaptionFirstMonthPosition+1,GV$169&gt;SwaptionFirstMonthPosition+SwaptionNumOfMonths+1,$FJ210&gt;SwaptionFirstMonthPosition+SwaptionNumOfMonths+1),"",IF($FJ210=GV$169,1,IF($FJ210&lt;GV$169,INDEX($FK$170:$ID$241,GV$169,$FJ210),SUMPRODUCT(INDEX($FK$325:$ID$396,GV$169,1+SwaptionShift):INDEX($FK$325:$ID$396,GV$169,SwaptionMonthsToGo+SwaptionShift),INDEX($FK$245:$ID$316,$FJ210-GV$169,73-GV$169+SwaptionShift):INDEX($FK$245:$ID$316,$FJ210-GV$169,72-GV$169+SwaptionMonthsToGo+SwaptionShift))/SQRT(SUM(INDEX($FK365:$ID365,1+SwaptionShift):INDEX($FK365:$ID365,SwaptionMonthsToGo+SwaptionShift))*SUM(INDEX($FK$325:$ID$396,GV$169,1+SwaptionShift):INDEX($FK$325:$ID$396,GV$169,SwaptionMonthsToGo+SwaptionShift))))))</f>
        <v/>
      </c>
      <c r="GW210" s="479" t="str">
        <f ca="1">IF(OR(GW$169&lt;SwaptionFirstMonthPosition+1,$FJ210&lt;SwaptionFirstMonthPosition+1,GW$169&gt;SwaptionFirstMonthPosition+SwaptionNumOfMonths+1,$FJ210&gt;SwaptionFirstMonthPosition+SwaptionNumOfMonths+1),"",IF($FJ210=GW$169,1,IF($FJ210&lt;GW$169,INDEX($FK$170:$ID$241,GW$169,$FJ210),SUMPRODUCT(INDEX($FK$325:$ID$396,GW$169,1+SwaptionShift):INDEX($FK$325:$ID$396,GW$169,SwaptionMonthsToGo+SwaptionShift),INDEX($FK$245:$ID$316,$FJ210-GW$169,73-GW$169+SwaptionShift):INDEX($FK$245:$ID$316,$FJ210-GW$169,72-GW$169+SwaptionMonthsToGo+SwaptionShift))/SQRT(SUM(INDEX($FK365:$ID365,1+SwaptionShift):INDEX($FK365:$ID365,SwaptionMonthsToGo+SwaptionShift))*SUM(INDEX($FK$325:$ID$396,GW$169,1+SwaptionShift):INDEX($FK$325:$ID$396,GW$169,SwaptionMonthsToGo+SwaptionShift))))))</f>
        <v/>
      </c>
      <c r="GX210" s="479" t="str">
        <f ca="1">IF(OR(GX$169&lt;SwaptionFirstMonthPosition+1,$FJ210&lt;SwaptionFirstMonthPosition+1,GX$169&gt;SwaptionFirstMonthPosition+SwaptionNumOfMonths+1,$FJ210&gt;SwaptionFirstMonthPosition+SwaptionNumOfMonths+1),"",IF($FJ210=GX$169,1,IF($FJ210&lt;GX$169,INDEX($FK$170:$ID$241,GX$169,$FJ210),SUMPRODUCT(INDEX($FK$325:$ID$396,GX$169,1+SwaptionShift):INDEX($FK$325:$ID$396,GX$169,SwaptionMonthsToGo+SwaptionShift),INDEX($FK$245:$ID$316,$FJ210-GX$169,73-GX$169+SwaptionShift):INDEX($FK$245:$ID$316,$FJ210-GX$169,72-GX$169+SwaptionMonthsToGo+SwaptionShift))/SQRT(SUM(INDEX($FK365:$ID365,1+SwaptionShift):INDEX($FK365:$ID365,SwaptionMonthsToGo+SwaptionShift))*SUM(INDEX($FK$325:$ID$396,GX$169,1+SwaptionShift):INDEX($FK$325:$ID$396,GX$169,SwaptionMonthsToGo+SwaptionShift))))))</f>
        <v/>
      </c>
      <c r="GY210" s="479" t="str">
        <f ca="1">IF(OR(GY$169&lt;SwaptionFirstMonthPosition+1,$FJ210&lt;SwaptionFirstMonthPosition+1,GY$169&gt;SwaptionFirstMonthPosition+SwaptionNumOfMonths+1,$FJ210&gt;SwaptionFirstMonthPosition+SwaptionNumOfMonths+1),"",IF($FJ210=GY$169,1,IF($FJ210&lt;GY$169,INDEX($FK$170:$ID$241,GY$169,$FJ210),SUMPRODUCT(INDEX($FK$325:$ID$396,GY$169,1+SwaptionShift):INDEX($FK$325:$ID$396,GY$169,SwaptionMonthsToGo+SwaptionShift),INDEX($FK$245:$ID$316,$FJ210-GY$169,73-GY$169+SwaptionShift):INDEX($FK$245:$ID$316,$FJ210-GY$169,72-GY$169+SwaptionMonthsToGo+SwaptionShift))/SQRT(SUM(INDEX($FK365:$ID365,1+SwaptionShift):INDEX($FK365:$ID365,SwaptionMonthsToGo+SwaptionShift))*SUM(INDEX($FK$325:$ID$396,GY$169,1+SwaptionShift):INDEX($FK$325:$ID$396,GY$169,SwaptionMonthsToGo+SwaptionShift))))))</f>
        <v/>
      </c>
      <c r="GZ210" s="479" t="str">
        <f ca="1">IF(OR(GZ$169&lt;SwaptionFirstMonthPosition+1,$FJ210&lt;SwaptionFirstMonthPosition+1,GZ$169&gt;SwaptionFirstMonthPosition+SwaptionNumOfMonths+1,$FJ210&gt;SwaptionFirstMonthPosition+SwaptionNumOfMonths+1),"",IF($FJ210=GZ$169,1,IF($FJ210&lt;GZ$169,INDEX($FK$170:$ID$241,GZ$169,$FJ210),SUMPRODUCT(INDEX($FK$325:$ID$396,GZ$169,1+SwaptionShift):INDEX($FK$325:$ID$396,GZ$169,SwaptionMonthsToGo+SwaptionShift),INDEX($FK$245:$ID$316,$FJ210-GZ$169,73-GZ$169+SwaptionShift):INDEX($FK$245:$ID$316,$FJ210-GZ$169,72-GZ$169+SwaptionMonthsToGo+SwaptionShift))/SQRT(SUM(INDEX($FK365:$ID365,1+SwaptionShift):INDEX($FK365:$ID365,SwaptionMonthsToGo+SwaptionShift))*SUM(INDEX($FK$325:$ID$396,GZ$169,1+SwaptionShift):INDEX($FK$325:$ID$396,GZ$169,SwaptionMonthsToGo+SwaptionShift))))))</f>
        <v/>
      </c>
      <c r="HA210" s="479" t="str">
        <f ca="1">IF(OR(HA$169&lt;SwaptionFirstMonthPosition+1,$FJ210&lt;SwaptionFirstMonthPosition+1,HA$169&gt;SwaptionFirstMonthPosition+SwaptionNumOfMonths+1,$FJ210&gt;SwaptionFirstMonthPosition+SwaptionNumOfMonths+1),"",IF($FJ210=HA$169,1,IF($FJ210&lt;HA$169,INDEX($FK$170:$ID$241,HA$169,$FJ210),SUMPRODUCT(INDEX($FK$325:$ID$396,HA$169,1+SwaptionShift):INDEX($FK$325:$ID$396,HA$169,SwaptionMonthsToGo+SwaptionShift),INDEX($FK$245:$ID$316,$FJ210-HA$169,73-HA$169+SwaptionShift):INDEX($FK$245:$ID$316,$FJ210-HA$169,72-HA$169+SwaptionMonthsToGo+SwaptionShift))/SQRT(SUM(INDEX($FK365:$ID365,1+SwaptionShift):INDEX($FK365:$ID365,SwaptionMonthsToGo+SwaptionShift))*SUM(INDEX($FK$325:$ID$396,HA$169,1+SwaptionShift):INDEX($FK$325:$ID$396,HA$169,SwaptionMonthsToGo+SwaptionShift))))))</f>
        <v/>
      </c>
      <c r="HB210" s="479" t="str">
        <f ca="1">IF(OR(HB$169&lt;SwaptionFirstMonthPosition+1,$FJ210&lt;SwaptionFirstMonthPosition+1,HB$169&gt;SwaptionFirstMonthPosition+SwaptionNumOfMonths+1,$FJ210&gt;SwaptionFirstMonthPosition+SwaptionNumOfMonths+1),"",IF($FJ210=HB$169,1,IF($FJ210&lt;HB$169,INDEX($FK$170:$ID$241,HB$169,$FJ210),SUMPRODUCT(INDEX($FK$325:$ID$396,HB$169,1+SwaptionShift):INDEX($FK$325:$ID$396,HB$169,SwaptionMonthsToGo+SwaptionShift),INDEX($FK$245:$ID$316,$FJ210-HB$169,73-HB$169+SwaptionShift):INDEX($FK$245:$ID$316,$FJ210-HB$169,72-HB$169+SwaptionMonthsToGo+SwaptionShift))/SQRT(SUM(INDEX($FK365:$ID365,1+SwaptionShift):INDEX($FK365:$ID365,SwaptionMonthsToGo+SwaptionShift))*SUM(INDEX($FK$325:$ID$396,HB$169,1+SwaptionShift):INDEX($FK$325:$ID$396,HB$169,SwaptionMonthsToGo+SwaptionShift))))))</f>
        <v/>
      </c>
      <c r="HC210" s="479" t="str">
        <f ca="1">IF(OR(HC$169&lt;SwaptionFirstMonthPosition+1,$FJ210&lt;SwaptionFirstMonthPosition+1,HC$169&gt;SwaptionFirstMonthPosition+SwaptionNumOfMonths+1,$FJ210&gt;SwaptionFirstMonthPosition+SwaptionNumOfMonths+1),"",IF($FJ210=HC$169,1,IF($FJ210&lt;HC$169,INDEX($FK$170:$ID$241,HC$169,$FJ210),SUMPRODUCT(INDEX($FK$325:$ID$396,HC$169,1+SwaptionShift):INDEX($FK$325:$ID$396,HC$169,SwaptionMonthsToGo+SwaptionShift),INDEX($FK$245:$ID$316,$FJ210-HC$169,73-HC$169+SwaptionShift):INDEX($FK$245:$ID$316,$FJ210-HC$169,72-HC$169+SwaptionMonthsToGo+SwaptionShift))/SQRT(SUM(INDEX($FK365:$ID365,1+SwaptionShift):INDEX($FK365:$ID365,SwaptionMonthsToGo+SwaptionShift))*SUM(INDEX($FK$325:$ID$396,HC$169,1+SwaptionShift):INDEX($FK$325:$ID$396,HC$169,SwaptionMonthsToGo+SwaptionShift))))))</f>
        <v/>
      </c>
      <c r="HD210" s="479" t="str">
        <f ca="1">IF(OR(HD$169&lt;SwaptionFirstMonthPosition+1,$FJ210&lt;SwaptionFirstMonthPosition+1,HD$169&gt;SwaptionFirstMonthPosition+SwaptionNumOfMonths+1,$FJ210&gt;SwaptionFirstMonthPosition+SwaptionNumOfMonths+1),"",IF($FJ210=HD$169,1,IF($FJ210&lt;HD$169,INDEX($FK$170:$ID$241,HD$169,$FJ210),SUMPRODUCT(INDEX($FK$325:$ID$396,HD$169,1+SwaptionShift):INDEX($FK$325:$ID$396,HD$169,SwaptionMonthsToGo+SwaptionShift),INDEX($FK$245:$ID$316,$FJ210-HD$169,73-HD$169+SwaptionShift):INDEX($FK$245:$ID$316,$FJ210-HD$169,72-HD$169+SwaptionMonthsToGo+SwaptionShift))/SQRT(SUM(INDEX($FK365:$ID365,1+SwaptionShift):INDEX($FK365:$ID365,SwaptionMonthsToGo+SwaptionShift))*SUM(INDEX($FK$325:$ID$396,HD$169,1+SwaptionShift):INDEX($FK$325:$ID$396,HD$169,SwaptionMonthsToGo+SwaptionShift))))))</f>
        <v/>
      </c>
      <c r="HE210" s="479" t="str">
        <f ca="1">IF(OR(HE$169&lt;SwaptionFirstMonthPosition+1,$FJ210&lt;SwaptionFirstMonthPosition+1,HE$169&gt;SwaptionFirstMonthPosition+SwaptionNumOfMonths+1,$FJ210&gt;SwaptionFirstMonthPosition+SwaptionNumOfMonths+1),"",IF($FJ210=HE$169,1,IF($FJ210&lt;HE$169,INDEX($FK$170:$ID$241,HE$169,$FJ210),SUMPRODUCT(INDEX($FK$325:$ID$396,HE$169,1+SwaptionShift):INDEX($FK$325:$ID$396,HE$169,SwaptionMonthsToGo+SwaptionShift),INDEX($FK$245:$ID$316,$FJ210-HE$169,73-HE$169+SwaptionShift):INDEX($FK$245:$ID$316,$FJ210-HE$169,72-HE$169+SwaptionMonthsToGo+SwaptionShift))/SQRT(SUM(INDEX($FK365:$ID365,1+SwaptionShift):INDEX($FK365:$ID365,SwaptionMonthsToGo+SwaptionShift))*SUM(INDEX($FK$325:$ID$396,HE$169,1+SwaptionShift):INDEX($FK$325:$ID$396,HE$169,SwaptionMonthsToGo+SwaptionShift))))))</f>
        <v/>
      </c>
      <c r="HF210" s="479" t="str">
        <f ca="1">IF(OR(HF$169&lt;SwaptionFirstMonthPosition+1,$FJ210&lt;SwaptionFirstMonthPosition+1,HF$169&gt;SwaptionFirstMonthPosition+SwaptionNumOfMonths+1,$FJ210&gt;SwaptionFirstMonthPosition+SwaptionNumOfMonths+1),"",IF($FJ210=HF$169,1,IF($FJ210&lt;HF$169,INDEX($FK$170:$ID$241,HF$169,$FJ210),SUMPRODUCT(INDEX($FK$325:$ID$396,HF$169,1+SwaptionShift):INDEX($FK$325:$ID$396,HF$169,SwaptionMonthsToGo+SwaptionShift),INDEX($FK$245:$ID$316,$FJ210-HF$169,73-HF$169+SwaptionShift):INDEX($FK$245:$ID$316,$FJ210-HF$169,72-HF$169+SwaptionMonthsToGo+SwaptionShift))/SQRT(SUM(INDEX($FK365:$ID365,1+SwaptionShift):INDEX($FK365:$ID365,SwaptionMonthsToGo+SwaptionShift))*SUM(INDEX($FK$325:$ID$396,HF$169,1+SwaptionShift):INDEX($FK$325:$ID$396,HF$169,SwaptionMonthsToGo+SwaptionShift))))))</f>
        <v/>
      </c>
      <c r="HG210" s="479" t="str">
        <f ca="1">IF(OR(HG$169&lt;SwaptionFirstMonthPosition+1,$FJ210&lt;SwaptionFirstMonthPosition+1,HG$169&gt;SwaptionFirstMonthPosition+SwaptionNumOfMonths+1,$FJ210&gt;SwaptionFirstMonthPosition+SwaptionNumOfMonths+1),"",IF($FJ210=HG$169,1,IF($FJ210&lt;HG$169,INDEX($FK$170:$ID$241,HG$169,$FJ210),SUMPRODUCT(INDEX($FK$325:$ID$396,HG$169,1+SwaptionShift):INDEX($FK$325:$ID$396,HG$169,SwaptionMonthsToGo+SwaptionShift),INDEX($FK$245:$ID$316,$FJ210-HG$169,73-HG$169+SwaptionShift):INDEX($FK$245:$ID$316,$FJ210-HG$169,72-HG$169+SwaptionMonthsToGo+SwaptionShift))/SQRT(SUM(INDEX($FK365:$ID365,1+SwaptionShift):INDEX($FK365:$ID365,SwaptionMonthsToGo+SwaptionShift))*SUM(INDEX($FK$325:$ID$396,HG$169,1+SwaptionShift):INDEX($FK$325:$ID$396,HG$169,SwaptionMonthsToGo+SwaptionShift))))))</f>
        <v/>
      </c>
      <c r="HH210" s="479" t="str">
        <f ca="1">IF(OR(HH$169&lt;SwaptionFirstMonthPosition+1,$FJ210&lt;SwaptionFirstMonthPosition+1,HH$169&gt;SwaptionFirstMonthPosition+SwaptionNumOfMonths+1,$FJ210&gt;SwaptionFirstMonthPosition+SwaptionNumOfMonths+1),"",IF($FJ210=HH$169,1,IF($FJ210&lt;HH$169,INDEX($FK$170:$ID$241,HH$169,$FJ210),SUMPRODUCT(INDEX($FK$325:$ID$396,HH$169,1+SwaptionShift):INDEX($FK$325:$ID$396,HH$169,SwaptionMonthsToGo+SwaptionShift),INDEX($FK$245:$ID$316,$FJ210-HH$169,73-HH$169+SwaptionShift):INDEX($FK$245:$ID$316,$FJ210-HH$169,72-HH$169+SwaptionMonthsToGo+SwaptionShift))/SQRT(SUM(INDEX($FK365:$ID365,1+SwaptionShift):INDEX($FK365:$ID365,SwaptionMonthsToGo+SwaptionShift))*SUM(INDEX($FK$325:$ID$396,HH$169,1+SwaptionShift):INDEX($FK$325:$ID$396,HH$169,SwaptionMonthsToGo+SwaptionShift))))))</f>
        <v/>
      </c>
      <c r="HI210" s="479" t="str">
        <f ca="1">IF(OR(HI$169&lt;SwaptionFirstMonthPosition+1,$FJ210&lt;SwaptionFirstMonthPosition+1,HI$169&gt;SwaptionFirstMonthPosition+SwaptionNumOfMonths+1,$FJ210&gt;SwaptionFirstMonthPosition+SwaptionNumOfMonths+1),"",IF($FJ210=HI$169,1,IF($FJ210&lt;HI$169,INDEX($FK$170:$ID$241,HI$169,$FJ210),SUMPRODUCT(INDEX($FK$325:$ID$396,HI$169,1+SwaptionShift):INDEX($FK$325:$ID$396,HI$169,SwaptionMonthsToGo+SwaptionShift),INDEX($FK$245:$ID$316,$FJ210-HI$169,73-HI$169+SwaptionShift):INDEX($FK$245:$ID$316,$FJ210-HI$169,72-HI$169+SwaptionMonthsToGo+SwaptionShift))/SQRT(SUM(INDEX($FK365:$ID365,1+SwaptionShift):INDEX($FK365:$ID365,SwaptionMonthsToGo+SwaptionShift))*SUM(INDEX($FK$325:$ID$396,HI$169,1+SwaptionShift):INDEX($FK$325:$ID$396,HI$169,SwaptionMonthsToGo+SwaptionShift))))))</f>
        <v/>
      </c>
      <c r="HJ210" s="479" t="str">
        <f ca="1">IF(OR(HJ$169&lt;SwaptionFirstMonthPosition+1,$FJ210&lt;SwaptionFirstMonthPosition+1,HJ$169&gt;SwaptionFirstMonthPosition+SwaptionNumOfMonths+1,$FJ210&gt;SwaptionFirstMonthPosition+SwaptionNumOfMonths+1),"",IF($FJ210=HJ$169,1,IF($FJ210&lt;HJ$169,INDEX($FK$170:$ID$241,HJ$169,$FJ210),SUMPRODUCT(INDEX($FK$325:$ID$396,HJ$169,1+SwaptionShift):INDEX($FK$325:$ID$396,HJ$169,SwaptionMonthsToGo+SwaptionShift),INDEX($FK$245:$ID$316,$FJ210-HJ$169,73-HJ$169+SwaptionShift):INDEX($FK$245:$ID$316,$FJ210-HJ$169,72-HJ$169+SwaptionMonthsToGo+SwaptionShift))/SQRT(SUM(INDEX($FK365:$ID365,1+SwaptionShift):INDEX($FK365:$ID365,SwaptionMonthsToGo+SwaptionShift))*SUM(INDEX($FK$325:$ID$396,HJ$169,1+SwaptionShift):INDEX($FK$325:$ID$396,HJ$169,SwaptionMonthsToGo+SwaptionShift))))))</f>
        <v/>
      </c>
      <c r="HK210" s="479" t="str">
        <f ca="1">IF(OR(HK$169&lt;SwaptionFirstMonthPosition+1,$FJ210&lt;SwaptionFirstMonthPosition+1,HK$169&gt;SwaptionFirstMonthPosition+SwaptionNumOfMonths+1,$FJ210&gt;SwaptionFirstMonthPosition+SwaptionNumOfMonths+1),"",IF($FJ210=HK$169,1,IF($FJ210&lt;HK$169,INDEX($FK$170:$ID$241,HK$169,$FJ210),SUMPRODUCT(INDEX($FK$325:$ID$396,HK$169,1+SwaptionShift):INDEX($FK$325:$ID$396,HK$169,SwaptionMonthsToGo+SwaptionShift),INDEX($FK$245:$ID$316,$FJ210-HK$169,73-HK$169+SwaptionShift):INDEX($FK$245:$ID$316,$FJ210-HK$169,72-HK$169+SwaptionMonthsToGo+SwaptionShift))/SQRT(SUM(INDEX($FK365:$ID365,1+SwaptionShift):INDEX($FK365:$ID365,SwaptionMonthsToGo+SwaptionShift))*SUM(INDEX($FK$325:$ID$396,HK$169,1+SwaptionShift):INDEX($FK$325:$ID$396,HK$169,SwaptionMonthsToGo+SwaptionShift))))))</f>
        <v/>
      </c>
      <c r="HL210" s="479" t="str">
        <f ca="1">IF(OR(HL$169&lt;SwaptionFirstMonthPosition+1,$FJ210&lt;SwaptionFirstMonthPosition+1,HL$169&gt;SwaptionFirstMonthPosition+SwaptionNumOfMonths+1,$FJ210&gt;SwaptionFirstMonthPosition+SwaptionNumOfMonths+1),"",IF($FJ210=HL$169,1,IF($FJ210&lt;HL$169,INDEX($FK$170:$ID$241,HL$169,$FJ210),SUMPRODUCT(INDEX($FK$325:$ID$396,HL$169,1+SwaptionShift):INDEX($FK$325:$ID$396,HL$169,SwaptionMonthsToGo+SwaptionShift),INDEX($FK$245:$ID$316,$FJ210-HL$169,73-HL$169+SwaptionShift):INDEX($FK$245:$ID$316,$FJ210-HL$169,72-HL$169+SwaptionMonthsToGo+SwaptionShift))/SQRT(SUM(INDEX($FK365:$ID365,1+SwaptionShift):INDEX($FK365:$ID365,SwaptionMonthsToGo+SwaptionShift))*SUM(INDEX($FK$325:$ID$396,HL$169,1+SwaptionShift):INDEX($FK$325:$ID$396,HL$169,SwaptionMonthsToGo+SwaptionShift))))))</f>
        <v/>
      </c>
      <c r="HM210" s="479" t="str">
        <f ca="1">IF(OR(HM$169&lt;SwaptionFirstMonthPosition+1,$FJ210&lt;SwaptionFirstMonthPosition+1,HM$169&gt;SwaptionFirstMonthPosition+SwaptionNumOfMonths+1,$FJ210&gt;SwaptionFirstMonthPosition+SwaptionNumOfMonths+1),"",IF($FJ210=HM$169,1,IF($FJ210&lt;HM$169,INDEX($FK$170:$ID$241,HM$169,$FJ210),SUMPRODUCT(INDEX($FK$325:$ID$396,HM$169,1+SwaptionShift):INDEX($FK$325:$ID$396,HM$169,SwaptionMonthsToGo+SwaptionShift),INDEX($FK$245:$ID$316,$FJ210-HM$169,73-HM$169+SwaptionShift):INDEX($FK$245:$ID$316,$FJ210-HM$169,72-HM$169+SwaptionMonthsToGo+SwaptionShift))/SQRT(SUM(INDEX($FK365:$ID365,1+SwaptionShift):INDEX($FK365:$ID365,SwaptionMonthsToGo+SwaptionShift))*SUM(INDEX($FK$325:$ID$396,HM$169,1+SwaptionShift):INDEX($FK$325:$ID$396,HM$169,SwaptionMonthsToGo+SwaptionShift))))))</f>
        <v/>
      </c>
      <c r="HN210" s="479" t="str">
        <f ca="1">IF(OR(HN$169&lt;SwaptionFirstMonthPosition+1,$FJ210&lt;SwaptionFirstMonthPosition+1,HN$169&gt;SwaptionFirstMonthPosition+SwaptionNumOfMonths+1,$FJ210&gt;SwaptionFirstMonthPosition+SwaptionNumOfMonths+1),"",IF($FJ210=HN$169,1,IF($FJ210&lt;HN$169,INDEX($FK$170:$ID$241,HN$169,$FJ210),SUMPRODUCT(INDEX($FK$325:$ID$396,HN$169,1+SwaptionShift):INDEX($FK$325:$ID$396,HN$169,SwaptionMonthsToGo+SwaptionShift),INDEX($FK$245:$ID$316,$FJ210-HN$169,73-HN$169+SwaptionShift):INDEX($FK$245:$ID$316,$FJ210-HN$169,72-HN$169+SwaptionMonthsToGo+SwaptionShift))/SQRT(SUM(INDEX($FK365:$ID365,1+SwaptionShift):INDEX($FK365:$ID365,SwaptionMonthsToGo+SwaptionShift))*SUM(INDEX($FK$325:$ID$396,HN$169,1+SwaptionShift):INDEX($FK$325:$ID$396,HN$169,SwaptionMonthsToGo+SwaptionShift))))))</f>
        <v/>
      </c>
      <c r="HO210" s="479" t="str">
        <f ca="1">IF(OR(HO$169&lt;SwaptionFirstMonthPosition+1,$FJ210&lt;SwaptionFirstMonthPosition+1,HO$169&gt;SwaptionFirstMonthPosition+SwaptionNumOfMonths+1,$FJ210&gt;SwaptionFirstMonthPosition+SwaptionNumOfMonths+1),"",IF($FJ210=HO$169,1,IF($FJ210&lt;HO$169,INDEX($FK$170:$ID$241,HO$169,$FJ210),SUMPRODUCT(INDEX($FK$325:$ID$396,HO$169,1+SwaptionShift):INDEX($FK$325:$ID$396,HO$169,SwaptionMonthsToGo+SwaptionShift),INDEX($FK$245:$ID$316,$FJ210-HO$169,73-HO$169+SwaptionShift):INDEX($FK$245:$ID$316,$FJ210-HO$169,72-HO$169+SwaptionMonthsToGo+SwaptionShift))/SQRT(SUM(INDEX($FK365:$ID365,1+SwaptionShift):INDEX($FK365:$ID365,SwaptionMonthsToGo+SwaptionShift))*SUM(INDEX($FK$325:$ID$396,HO$169,1+SwaptionShift):INDEX($FK$325:$ID$396,HO$169,SwaptionMonthsToGo+SwaptionShift))))))</f>
        <v/>
      </c>
      <c r="HP210" s="479" t="str">
        <f ca="1">IF(OR(HP$169&lt;SwaptionFirstMonthPosition+1,$FJ210&lt;SwaptionFirstMonthPosition+1,HP$169&gt;SwaptionFirstMonthPosition+SwaptionNumOfMonths+1,$FJ210&gt;SwaptionFirstMonthPosition+SwaptionNumOfMonths+1),"",IF($FJ210=HP$169,1,IF($FJ210&lt;HP$169,INDEX($FK$170:$ID$241,HP$169,$FJ210),SUMPRODUCT(INDEX($FK$325:$ID$396,HP$169,1+SwaptionShift):INDEX($FK$325:$ID$396,HP$169,SwaptionMonthsToGo+SwaptionShift),INDEX($FK$245:$ID$316,$FJ210-HP$169,73-HP$169+SwaptionShift):INDEX($FK$245:$ID$316,$FJ210-HP$169,72-HP$169+SwaptionMonthsToGo+SwaptionShift))/SQRT(SUM(INDEX($FK365:$ID365,1+SwaptionShift):INDEX($FK365:$ID365,SwaptionMonthsToGo+SwaptionShift))*SUM(INDEX($FK$325:$ID$396,HP$169,1+SwaptionShift):INDEX($FK$325:$ID$396,HP$169,SwaptionMonthsToGo+SwaptionShift))))))</f>
        <v/>
      </c>
      <c r="HQ210" s="479" t="str">
        <f ca="1">IF(OR(HQ$169&lt;SwaptionFirstMonthPosition+1,$FJ210&lt;SwaptionFirstMonthPosition+1,HQ$169&gt;SwaptionFirstMonthPosition+SwaptionNumOfMonths+1,$FJ210&gt;SwaptionFirstMonthPosition+SwaptionNumOfMonths+1),"",IF($FJ210=HQ$169,1,IF($FJ210&lt;HQ$169,INDEX($FK$170:$ID$241,HQ$169,$FJ210),SUMPRODUCT(INDEX($FK$325:$ID$396,HQ$169,1+SwaptionShift):INDEX($FK$325:$ID$396,HQ$169,SwaptionMonthsToGo+SwaptionShift),INDEX($FK$245:$ID$316,$FJ210-HQ$169,73-HQ$169+SwaptionShift):INDEX($FK$245:$ID$316,$FJ210-HQ$169,72-HQ$169+SwaptionMonthsToGo+SwaptionShift))/SQRT(SUM(INDEX($FK365:$ID365,1+SwaptionShift):INDEX($FK365:$ID365,SwaptionMonthsToGo+SwaptionShift))*SUM(INDEX($FK$325:$ID$396,HQ$169,1+SwaptionShift):INDEX($FK$325:$ID$396,HQ$169,SwaptionMonthsToGo+SwaptionShift))))))</f>
        <v/>
      </c>
      <c r="HR210" s="479" t="str">
        <f ca="1">IF(OR(HR$169&lt;SwaptionFirstMonthPosition+1,$FJ210&lt;SwaptionFirstMonthPosition+1,HR$169&gt;SwaptionFirstMonthPosition+SwaptionNumOfMonths+1,$FJ210&gt;SwaptionFirstMonthPosition+SwaptionNumOfMonths+1),"",IF($FJ210=HR$169,1,IF($FJ210&lt;HR$169,INDEX($FK$170:$ID$241,HR$169,$FJ210),SUMPRODUCT(INDEX($FK$325:$ID$396,HR$169,1+SwaptionShift):INDEX($FK$325:$ID$396,HR$169,SwaptionMonthsToGo+SwaptionShift),INDEX($FK$245:$ID$316,$FJ210-HR$169,73-HR$169+SwaptionShift):INDEX($FK$245:$ID$316,$FJ210-HR$169,72-HR$169+SwaptionMonthsToGo+SwaptionShift))/SQRT(SUM(INDEX($FK365:$ID365,1+SwaptionShift):INDEX($FK365:$ID365,SwaptionMonthsToGo+SwaptionShift))*SUM(INDEX($FK$325:$ID$396,HR$169,1+SwaptionShift):INDEX($FK$325:$ID$396,HR$169,SwaptionMonthsToGo+SwaptionShift))))))</f>
        <v/>
      </c>
      <c r="HS210" s="479" t="str">
        <f ca="1">IF(OR(HS$169&lt;SwaptionFirstMonthPosition+1,$FJ210&lt;SwaptionFirstMonthPosition+1,HS$169&gt;SwaptionFirstMonthPosition+SwaptionNumOfMonths+1,$FJ210&gt;SwaptionFirstMonthPosition+SwaptionNumOfMonths+1),"",IF($FJ210=HS$169,1,IF($FJ210&lt;HS$169,INDEX($FK$170:$ID$241,HS$169,$FJ210),SUMPRODUCT(INDEX($FK$325:$ID$396,HS$169,1+SwaptionShift):INDEX($FK$325:$ID$396,HS$169,SwaptionMonthsToGo+SwaptionShift),INDEX($FK$245:$ID$316,$FJ210-HS$169,73-HS$169+SwaptionShift):INDEX($FK$245:$ID$316,$FJ210-HS$169,72-HS$169+SwaptionMonthsToGo+SwaptionShift))/SQRT(SUM(INDEX($FK365:$ID365,1+SwaptionShift):INDEX($FK365:$ID365,SwaptionMonthsToGo+SwaptionShift))*SUM(INDEX($FK$325:$ID$396,HS$169,1+SwaptionShift):INDEX($FK$325:$ID$396,HS$169,SwaptionMonthsToGo+SwaptionShift))))))</f>
        <v/>
      </c>
      <c r="HT210" s="479" t="str">
        <f ca="1">IF(OR(HT$169&lt;SwaptionFirstMonthPosition+1,$FJ210&lt;SwaptionFirstMonthPosition+1,HT$169&gt;SwaptionFirstMonthPosition+SwaptionNumOfMonths+1,$FJ210&gt;SwaptionFirstMonthPosition+SwaptionNumOfMonths+1),"",IF($FJ210=HT$169,1,IF($FJ210&lt;HT$169,INDEX($FK$170:$ID$241,HT$169,$FJ210),SUMPRODUCT(INDEX($FK$325:$ID$396,HT$169,1+SwaptionShift):INDEX($FK$325:$ID$396,HT$169,SwaptionMonthsToGo+SwaptionShift),INDEX($FK$245:$ID$316,$FJ210-HT$169,73-HT$169+SwaptionShift):INDEX($FK$245:$ID$316,$FJ210-HT$169,72-HT$169+SwaptionMonthsToGo+SwaptionShift))/SQRT(SUM(INDEX($FK365:$ID365,1+SwaptionShift):INDEX($FK365:$ID365,SwaptionMonthsToGo+SwaptionShift))*SUM(INDEX($FK$325:$ID$396,HT$169,1+SwaptionShift):INDEX($FK$325:$ID$396,HT$169,SwaptionMonthsToGo+SwaptionShift))))))</f>
        <v/>
      </c>
      <c r="HU210" s="479" t="str">
        <f ca="1">IF(OR(HU$169&lt;SwaptionFirstMonthPosition+1,$FJ210&lt;SwaptionFirstMonthPosition+1,HU$169&gt;SwaptionFirstMonthPosition+SwaptionNumOfMonths+1,$FJ210&gt;SwaptionFirstMonthPosition+SwaptionNumOfMonths+1),"",IF($FJ210=HU$169,1,IF($FJ210&lt;HU$169,INDEX($FK$170:$ID$241,HU$169,$FJ210),SUMPRODUCT(INDEX($FK$325:$ID$396,HU$169,1+SwaptionShift):INDEX($FK$325:$ID$396,HU$169,SwaptionMonthsToGo+SwaptionShift),INDEX($FK$245:$ID$316,$FJ210-HU$169,73-HU$169+SwaptionShift):INDEX($FK$245:$ID$316,$FJ210-HU$169,72-HU$169+SwaptionMonthsToGo+SwaptionShift))/SQRT(SUM(INDEX($FK365:$ID365,1+SwaptionShift):INDEX($FK365:$ID365,SwaptionMonthsToGo+SwaptionShift))*SUM(INDEX($FK$325:$ID$396,HU$169,1+SwaptionShift):INDEX($FK$325:$ID$396,HU$169,SwaptionMonthsToGo+SwaptionShift))))))</f>
        <v/>
      </c>
      <c r="HV210" s="479" t="str">
        <f ca="1">IF(OR(HV$169&lt;SwaptionFirstMonthPosition+1,$FJ210&lt;SwaptionFirstMonthPosition+1,HV$169&gt;SwaptionFirstMonthPosition+SwaptionNumOfMonths+1,$FJ210&gt;SwaptionFirstMonthPosition+SwaptionNumOfMonths+1),"",IF($FJ210=HV$169,1,IF($FJ210&lt;HV$169,INDEX($FK$170:$ID$241,HV$169,$FJ210),SUMPRODUCT(INDEX($FK$325:$ID$396,HV$169,1+SwaptionShift):INDEX($FK$325:$ID$396,HV$169,SwaptionMonthsToGo+SwaptionShift),INDEX($FK$245:$ID$316,$FJ210-HV$169,73-HV$169+SwaptionShift):INDEX($FK$245:$ID$316,$FJ210-HV$169,72-HV$169+SwaptionMonthsToGo+SwaptionShift))/SQRT(SUM(INDEX($FK365:$ID365,1+SwaptionShift):INDEX($FK365:$ID365,SwaptionMonthsToGo+SwaptionShift))*SUM(INDEX($FK$325:$ID$396,HV$169,1+SwaptionShift):INDEX($FK$325:$ID$396,HV$169,SwaptionMonthsToGo+SwaptionShift))))))</f>
        <v/>
      </c>
      <c r="HW210" s="479" t="str">
        <f ca="1">IF(OR(HW$169&lt;SwaptionFirstMonthPosition+1,$FJ210&lt;SwaptionFirstMonthPosition+1,HW$169&gt;SwaptionFirstMonthPosition+SwaptionNumOfMonths+1,$FJ210&gt;SwaptionFirstMonthPosition+SwaptionNumOfMonths+1),"",IF($FJ210=HW$169,1,IF($FJ210&lt;HW$169,INDEX($FK$170:$ID$241,HW$169,$FJ210),SUMPRODUCT(INDEX($FK$325:$ID$396,HW$169,1+SwaptionShift):INDEX($FK$325:$ID$396,HW$169,SwaptionMonthsToGo+SwaptionShift),INDEX($FK$245:$ID$316,$FJ210-HW$169,73-HW$169+SwaptionShift):INDEX($FK$245:$ID$316,$FJ210-HW$169,72-HW$169+SwaptionMonthsToGo+SwaptionShift))/SQRT(SUM(INDEX($FK365:$ID365,1+SwaptionShift):INDEX($FK365:$ID365,SwaptionMonthsToGo+SwaptionShift))*SUM(INDEX($FK$325:$ID$396,HW$169,1+SwaptionShift):INDEX($FK$325:$ID$396,HW$169,SwaptionMonthsToGo+SwaptionShift))))))</f>
        <v/>
      </c>
      <c r="HX210" s="479" t="str">
        <f ca="1">IF(OR(HX$169&lt;SwaptionFirstMonthPosition+1,$FJ210&lt;SwaptionFirstMonthPosition+1,HX$169&gt;SwaptionFirstMonthPosition+SwaptionNumOfMonths+1,$FJ210&gt;SwaptionFirstMonthPosition+SwaptionNumOfMonths+1),"",IF($FJ210=HX$169,1,IF($FJ210&lt;HX$169,INDEX($FK$170:$ID$241,HX$169,$FJ210),SUMPRODUCT(INDEX($FK$325:$ID$396,HX$169,1+SwaptionShift):INDEX($FK$325:$ID$396,HX$169,SwaptionMonthsToGo+SwaptionShift),INDEX($FK$245:$ID$316,$FJ210-HX$169,73-HX$169+SwaptionShift):INDEX($FK$245:$ID$316,$FJ210-HX$169,72-HX$169+SwaptionMonthsToGo+SwaptionShift))/SQRT(SUM(INDEX($FK365:$ID365,1+SwaptionShift):INDEX($FK365:$ID365,SwaptionMonthsToGo+SwaptionShift))*SUM(INDEX($FK$325:$ID$396,HX$169,1+SwaptionShift):INDEX($FK$325:$ID$396,HX$169,SwaptionMonthsToGo+SwaptionShift))))))</f>
        <v/>
      </c>
      <c r="HY210" s="479" t="str">
        <f ca="1">IF(OR(HY$169&lt;SwaptionFirstMonthPosition+1,$FJ210&lt;SwaptionFirstMonthPosition+1,HY$169&gt;SwaptionFirstMonthPosition+SwaptionNumOfMonths+1,$FJ210&gt;SwaptionFirstMonthPosition+SwaptionNumOfMonths+1),"",IF($FJ210=HY$169,1,IF($FJ210&lt;HY$169,INDEX($FK$170:$ID$241,HY$169,$FJ210),SUMPRODUCT(INDEX($FK$325:$ID$396,HY$169,1+SwaptionShift):INDEX($FK$325:$ID$396,HY$169,SwaptionMonthsToGo+SwaptionShift),INDEX($FK$245:$ID$316,$FJ210-HY$169,73-HY$169+SwaptionShift):INDEX($FK$245:$ID$316,$FJ210-HY$169,72-HY$169+SwaptionMonthsToGo+SwaptionShift))/SQRT(SUM(INDEX($FK365:$ID365,1+SwaptionShift):INDEX($FK365:$ID365,SwaptionMonthsToGo+SwaptionShift))*SUM(INDEX($FK$325:$ID$396,HY$169,1+SwaptionShift):INDEX($FK$325:$ID$396,HY$169,SwaptionMonthsToGo+SwaptionShift))))))</f>
        <v/>
      </c>
      <c r="HZ210" s="479" t="str">
        <f ca="1">IF(OR(HZ$169&lt;SwaptionFirstMonthPosition+1,$FJ210&lt;SwaptionFirstMonthPosition+1,HZ$169&gt;SwaptionFirstMonthPosition+SwaptionNumOfMonths+1,$FJ210&gt;SwaptionFirstMonthPosition+SwaptionNumOfMonths+1),"",IF($FJ210=HZ$169,1,IF($FJ210&lt;HZ$169,INDEX($FK$170:$ID$241,HZ$169,$FJ210),SUMPRODUCT(INDEX($FK$325:$ID$396,HZ$169,1+SwaptionShift):INDEX($FK$325:$ID$396,HZ$169,SwaptionMonthsToGo+SwaptionShift),INDEX($FK$245:$ID$316,$FJ210-HZ$169,73-HZ$169+SwaptionShift):INDEX($FK$245:$ID$316,$FJ210-HZ$169,72-HZ$169+SwaptionMonthsToGo+SwaptionShift))/SQRT(SUM(INDEX($FK365:$ID365,1+SwaptionShift):INDEX($FK365:$ID365,SwaptionMonthsToGo+SwaptionShift))*SUM(INDEX($FK$325:$ID$396,HZ$169,1+SwaptionShift):INDEX($FK$325:$ID$396,HZ$169,SwaptionMonthsToGo+SwaptionShift))))))</f>
        <v/>
      </c>
      <c r="IA210" s="479" t="str">
        <f ca="1">IF(OR(IA$169&lt;SwaptionFirstMonthPosition+1,$FJ210&lt;SwaptionFirstMonthPosition+1,IA$169&gt;SwaptionFirstMonthPosition+SwaptionNumOfMonths+1,$FJ210&gt;SwaptionFirstMonthPosition+SwaptionNumOfMonths+1),"",IF($FJ210=IA$169,1,IF($FJ210&lt;IA$169,INDEX($FK$170:$ID$241,IA$169,$FJ210),SUMPRODUCT(INDEX($FK$325:$ID$396,IA$169,1+SwaptionShift):INDEX($FK$325:$ID$396,IA$169,SwaptionMonthsToGo+SwaptionShift),INDEX($FK$245:$ID$316,$FJ210-IA$169,73-IA$169+SwaptionShift):INDEX($FK$245:$ID$316,$FJ210-IA$169,72-IA$169+SwaptionMonthsToGo+SwaptionShift))/SQRT(SUM(INDEX($FK365:$ID365,1+SwaptionShift):INDEX($FK365:$ID365,SwaptionMonthsToGo+SwaptionShift))*SUM(INDEX($FK$325:$ID$396,IA$169,1+SwaptionShift):INDEX($FK$325:$ID$396,IA$169,SwaptionMonthsToGo+SwaptionShift))))))</f>
        <v/>
      </c>
      <c r="IB210" s="479" t="str">
        <f ca="1">IF(OR(IB$169&lt;SwaptionFirstMonthPosition+1,$FJ210&lt;SwaptionFirstMonthPosition+1,IB$169&gt;SwaptionFirstMonthPosition+SwaptionNumOfMonths+1,$FJ210&gt;SwaptionFirstMonthPosition+SwaptionNumOfMonths+1),"",IF($FJ210=IB$169,1,IF($FJ210&lt;IB$169,INDEX($FK$170:$ID$241,IB$169,$FJ210),SUMPRODUCT(INDEX($FK$325:$ID$396,IB$169,1+SwaptionShift):INDEX($FK$325:$ID$396,IB$169,SwaptionMonthsToGo+SwaptionShift),INDEX($FK$245:$ID$316,$FJ210-IB$169,73-IB$169+SwaptionShift):INDEX($FK$245:$ID$316,$FJ210-IB$169,72-IB$169+SwaptionMonthsToGo+SwaptionShift))/SQRT(SUM(INDEX($FK365:$ID365,1+SwaptionShift):INDEX($FK365:$ID365,SwaptionMonthsToGo+SwaptionShift))*SUM(INDEX($FK$325:$ID$396,IB$169,1+SwaptionShift):INDEX($FK$325:$ID$396,IB$169,SwaptionMonthsToGo+SwaptionShift))))))</f>
        <v/>
      </c>
      <c r="IC210" s="479" t="str">
        <f ca="1">IF(OR(IC$169&lt;SwaptionFirstMonthPosition+1,$FJ210&lt;SwaptionFirstMonthPosition+1,IC$169&gt;SwaptionFirstMonthPosition+SwaptionNumOfMonths+1,$FJ210&gt;SwaptionFirstMonthPosition+SwaptionNumOfMonths+1),"",IF($FJ210=IC$169,1,IF($FJ210&lt;IC$169,INDEX($FK$170:$ID$241,IC$169,$FJ210),SUMPRODUCT(INDEX($FK$325:$ID$396,IC$169,1+SwaptionShift):INDEX($FK$325:$ID$396,IC$169,SwaptionMonthsToGo+SwaptionShift),INDEX($FK$245:$ID$316,$FJ210-IC$169,73-IC$169+SwaptionShift):INDEX($FK$245:$ID$316,$FJ210-IC$169,72-IC$169+SwaptionMonthsToGo+SwaptionShift))/SQRT(SUM(INDEX($FK365:$ID365,1+SwaptionShift):INDEX($FK365:$ID365,SwaptionMonthsToGo+SwaptionShift))*SUM(INDEX($FK$325:$ID$396,IC$169,1+SwaptionShift):INDEX($FK$325:$ID$396,IC$169,SwaptionMonthsToGo+SwaptionShift))))))</f>
        <v/>
      </c>
      <c r="ID210" s="678" t="str">
        <f ca="1">IF(OR(ID$169&lt;SwaptionFirstMonthPosition+1,$FJ210&lt;SwaptionFirstMonthPosition+1,ID$169&gt;SwaptionFirstMonthPosition+SwaptionNumOfMonths+1,$FJ210&gt;SwaptionFirstMonthPosition+SwaptionNumOfMonths+1),"",IF($FJ210=ID$169,1,IF($FJ210&lt;ID$169,INDEX($FK$170:$ID$241,ID$169,$FJ210),SUMPRODUCT(INDEX($FK$325:$ID$396,ID$169,1+SwaptionShift):INDEX($FK$325:$ID$396,ID$169,SwaptionMonthsToGo+SwaptionShift),INDEX($FK$245:$ID$316,$FJ210-ID$169,73-ID$169+SwaptionShift):INDEX($FK$245:$ID$316,$FJ210-ID$169,72-ID$169+SwaptionMonthsToGo+SwaptionShift))/SQRT(SUM(INDEX($FK365:$ID365,1+SwaptionShift):INDEX($FK365:$ID365,SwaptionMonthsToGo+SwaptionShift))*SUM(INDEX($FK$325:$ID$396,ID$169,1+SwaptionShift):INDEX($FK$325:$ID$396,ID$169,SwaptionMonthsToGo+SwaptionShift))))))</f>
        <v/>
      </c>
      <c r="IE210" s="250"/>
    </row>
    <row r="211" spans="8:239">
      <c r="H211" s="51">
        <f t="shared" ca="1" si="527"/>
        <v>0</v>
      </c>
      <c r="I211" s="379">
        <f t="shared" si="528"/>
        <v>42583</v>
      </c>
      <c r="J211" s="377"/>
      <c r="K211" s="104" t="s">
        <v>268</v>
      </c>
      <c r="L211" s="392">
        <f t="shared" si="529"/>
        <v>4.3125000000000036</v>
      </c>
      <c r="M211" s="171"/>
      <c r="N211" s="382">
        <v>0</v>
      </c>
      <c r="O211" s="171">
        <f t="shared" si="596"/>
        <v>0</v>
      </c>
      <c r="P211" s="377"/>
      <c r="Q211" s="104" t="s">
        <v>268</v>
      </c>
      <c r="R211" s="377">
        <f t="shared" ca="1" si="597"/>
        <v>2.930819307754156</v>
      </c>
      <c r="S211" s="832">
        <f t="shared" si="564"/>
        <v>0.3600000000000001</v>
      </c>
      <c r="T211" s="831">
        <f t="shared" si="548"/>
        <v>0.99999999999998868</v>
      </c>
      <c r="U211" s="545">
        <f t="shared" si="549"/>
        <v>0.99999999999999978</v>
      </c>
      <c r="V211" s="389">
        <v>0</v>
      </c>
      <c r="W211" s="434">
        <f t="shared" si="598"/>
        <v>0</v>
      </c>
      <c r="X211" s="415">
        <f t="shared" si="599"/>
        <v>4.363043478260872</v>
      </c>
      <c r="Y211" s="322">
        <f t="shared" si="600"/>
        <v>-1.2668999999999999</v>
      </c>
      <c r="Z211" s="322">
        <f t="shared" ca="1" si="601"/>
        <v>3.0961434782608723</v>
      </c>
      <c r="AA211" s="429">
        <f t="shared" ref="AA211:AA258" si="628">IF(Q213="extra",INDEX(BrentSeasonalityTable,INT((BG211-1)/3)+1)*VLOOKUP(MAX(BF211,$AB$4),PriceSpreadTable,3),W211-Y211)</f>
        <v>1.2668999999999999</v>
      </c>
      <c r="AB211" s="433">
        <f t="shared" ref="AB211:AB258" ca="1" si="629">IF(Q213="extra",INDEX(BrentSeasonalityTable,INT((BG211-1)/3)+1)*VLOOKUP(MAX(BF211,$AB$4),PriceSpreadTable,3),X211-Z211)</f>
        <v>1.2668999999999999</v>
      </c>
      <c r="AC211" s="229">
        <v>42571</v>
      </c>
      <c r="AD211" s="229">
        <v>42567</v>
      </c>
      <c r="AE211" s="229">
        <v>42566</v>
      </c>
      <c r="AF211" s="229">
        <v>42562</v>
      </c>
      <c r="AG211" s="249" t="s">
        <v>499</v>
      </c>
      <c r="AH211" s="247" t="s">
        <v>499</v>
      </c>
      <c r="AI211" s="146">
        <v>23</v>
      </c>
      <c r="AJ211" s="41">
        <v>15</v>
      </c>
      <c r="AK211" s="41">
        <v>8</v>
      </c>
      <c r="AL211" s="293">
        <v>23</v>
      </c>
      <c r="AM211" s="41">
        <v>10</v>
      </c>
      <c r="AN211" s="147">
        <v>13</v>
      </c>
      <c r="AO211" s="374"/>
      <c r="AP211" s="153">
        <f t="shared" ca="1" si="530"/>
        <v>1</v>
      </c>
      <c r="AQ211" s="374"/>
      <c r="AR211" s="153">
        <f t="shared" ca="1" si="550"/>
        <v>1</v>
      </c>
      <c r="AS211" s="272">
        <f t="shared" si="602"/>
        <v>0</v>
      </c>
      <c r="AT211" s="157">
        <f t="shared" si="531"/>
        <v>0</v>
      </c>
      <c r="AU211" s="157">
        <f t="shared" ref="AU211:AU260" si="630">(AT212*AM211+AT213*AN211)/AL211</f>
        <v>0</v>
      </c>
      <c r="AV211" s="271">
        <f t="shared" ca="1" si="558"/>
        <v>9.9999999999999995E-7</v>
      </c>
      <c r="AW211" s="158" t="str">
        <f t="shared" ca="1" si="583"/>
        <v/>
      </c>
      <c r="AX211" s="157">
        <f t="shared" ca="1" si="551"/>
        <v>4.0326283476702052E-5</v>
      </c>
      <c r="AY211" s="157">
        <f t="shared" ca="1" si="552"/>
        <v>8.7334514057587443E-6</v>
      </c>
      <c r="AZ211" s="157">
        <f t="shared" ca="1" si="553"/>
        <v>2.3627879464730114E-7</v>
      </c>
      <c r="BA211" s="157">
        <f t="shared" ca="1" si="554"/>
        <v>2.9534849330912642E-8</v>
      </c>
      <c r="BB211" s="157">
        <f t="shared" ca="1" si="555"/>
        <v>9.9252558879997655E-11</v>
      </c>
      <c r="BC211" s="157">
        <f t="shared" ca="1" si="556"/>
        <v>1.7446146499992114E-12</v>
      </c>
      <c r="BD211" s="151">
        <f t="shared" ca="1" si="603"/>
        <v>0</v>
      </c>
      <c r="BE211" s="152">
        <f t="shared" ca="1" si="604"/>
        <v>0</v>
      </c>
      <c r="BF211" s="40">
        <f t="shared" si="605"/>
        <v>2016</v>
      </c>
      <c r="BG211" s="144">
        <f t="shared" si="606"/>
        <v>8</v>
      </c>
      <c r="BH211" s="145">
        <f t="shared" ca="1" si="607"/>
        <v>5822</v>
      </c>
      <c r="BI211" s="313">
        <f t="shared" ca="1" si="608"/>
        <v>15.983572895277208</v>
      </c>
      <c r="BJ211" s="42">
        <f t="shared" ref="BJ211:BJ260" ca="1" si="631">BI211+(BL211-BI211)*CHOOSE(Underlying,AJ211/AI211,AM211/AL211)</f>
        <v>16.037139541112399</v>
      </c>
      <c r="BK211" s="42">
        <f t="shared" ref="BK211:BK260" ca="1" si="632">BJ211+1/365.25</f>
        <v>16.03987739189953</v>
      </c>
      <c r="BL211" s="42">
        <f t="shared" ca="1" si="609"/>
        <v>16.06570841889117</v>
      </c>
      <c r="BM211" s="150" t="e">
        <f t="shared" ref="BM211:BM260" ca="1" si="633">MAX(BI211-(BJ211-BI211)*(S212^2/O212^2-1),0)</f>
        <v>#DIV/0!</v>
      </c>
      <c r="BN211" s="42" t="e">
        <f t="shared" ref="BN211:BN260" ca="1" si="634">MAX(BL211+(BL211-BK211)*(S213^2/O213^2-1),0)</f>
        <v>#DIV/0!</v>
      </c>
      <c r="BO211" s="293">
        <f t="shared" si="610"/>
        <v>23</v>
      </c>
      <c r="BP211" s="41">
        <f t="shared" si="611"/>
        <v>15</v>
      </c>
      <c r="BQ211" s="41">
        <f t="shared" si="612"/>
        <v>8</v>
      </c>
      <c r="BR211" s="305" t="str">
        <f t="shared" ref="BR211:BR260" ca="1" si="635">IF(BD211,IF(Underlying=1,X211,Z211)+UnderlyingPriceAsian-SwapPriceCurve,"")</f>
        <v/>
      </c>
      <c r="BS211" s="305" t="str">
        <f t="shared" ca="1" si="613"/>
        <v/>
      </c>
      <c r="BT211" s="307" t="str">
        <f t="shared" ca="1" si="614"/>
        <v/>
      </c>
      <c r="BU211" s="161" t="str">
        <f t="shared" ref="BU211:BU260" ca="1" si="636">IF(BD211,IF(Underlying=1,L212,R212)+UnderlyingPriceAsian-SwapPriceCurve,"")</f>
        <v/>
      </c>
      <c r="BV211" s="161" t="str">
        <f t="shared" ref="BV211:BV260" ca="1" si="637">IF(BD211,IF(Underlying=1,L213,R213)+UnderlyingPriceAsian-SwapPriceCurve,"")</f>
        <v/>
      </c>
      <c r="BW211" s="308" t="str">
        <f t="shared" ref="BW211:BW260" ca="1" si="638">IF(BD211,IF(Underlying=1,O212,AT212),"")</f>
        <v/>
      </c>
      <c r="BX211" s="309" t="str">
        <f t="shared" ref="BX211:BX260" ca="1" si="639">IF(BD211,IF(Underlying=1,O213,AT213),"")</f>
        <v/>
      </c>
      <c r="BY211" s="308" t="str">
        <f t="shared" ca="1" si="615"/>
        <v/>
      </c>
      <c r="BZ211" s="309" t="str">
        <f t="shared" ca="1" si="616"/>
        <v/>
      </c>
      <c r="CA211" s="154" t="str">
        <f t="shared" ref="CA211:CA260" ca="1" si="640">IF($BD211,$BW211+IF(VolSkewFlag=1,IF(BS211&gt;0,$BA211*MIN(BS211/10%,1)+($BB211-$BA211)*MAX(0,MIN(BS211/10%-1,1))+($BC211-$BB211)*MAX(0,BS211/10%-2),$AZ211*MIN(-BS211/10%,1)+($AY211-$AZ211)*MAX(0,MIN(-BS211/10%-1,1))+($AX211-$AY211)*MAX(0,-BS211/10%-2)),0),"")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CB211" s="154" t="str">
        <f t="shared" ref="CB211:CB260" ca="1" si="641">IF($BD211,$BX211+IF(VolSkewFlag=1,IF(BS211&gt;0,$BA211*MIN(BS211/10%,1)+($BB211-$BA211)*MAX(0,MIN(BS211/10%-1,1))+($BC211-$BB211)*MAX(0,BS211/10%-2),$AZ211*MIN(-BS211/10%,1)+($AY211-$AZ211)*MAX(0,MIN(-BS211/10%-1,1))+($AX211-$AY211)*MAX(0,-BS211/10%-2)),0),"")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CC211" s="154" t="str">
        <f t="shared" ref="CC211:CC260" ca="1" si="642">IF($BD211,$BW211+IF(VolSkewFlag=1,IF(BT211&gt;0,$BA211*MIN(BT211/10%,1)+($BB211-$BA211)*MAX(0,MIN(BT211/10%-1,1))+($BC211-$BB211)*MAX(0,BT211/10%-2),$AZ211*MIN(-BT211/10%,1)+($AY211-$AZ211)*MAX(0,MIN(-BT211/10%-1,1))+($AX211-$AY211)*MAX(0,-BT211/10%-2)),0),"")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CD211" s="154" t="str">
        <f t="shared" ref="CD211:CD260" ca="1" si="643">IF($BD211,$BX211+IF(VolSkewFlag=1,IF(BT211&gt;0,$BA211*MIN(BT211/10%,1)+($BB211-$BA211)*MAX(0,MIN(BT211/10%-1,1))+($BC211-$BB211)*MAX(0,BT211/10%-2),$AZ211*MIN(-BT211/10%,1)+($AY211-$AZ211)*MAX(0,MIN(-BT211/10%-1,1))+($AX211-$AY211)*MAX(0,-BT211/10%-2)),0),"")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CE211" s="310">
        <v>1</v>
      </c>
      <c r="CF211" s="162">
        <f ca="1">IF(BD211,_xll.xCrudeAPO(BU211,BV211,CA211,CB211,S212,S213,BI211,BL211,BP211,BQ211,0,Strike1,AO211,CE211,0,BL211,IF(OptControl=4,0,1),0,1),0)</f>
        <v>0</v>
      </c>
      <c r="CG211" s="163">
        <f ca="1">IF(BD211,_xll.xCrudeAPO(BU211,BV211,CA211,CB211,S212,S213,BI211,BL211,BP211,BQ211,0,Strike1,AO211,CE211,0,BL211,IF(OptControl=4,0,1),1,1)+_xll.xCrudeAPO(BU211,BV211,CA211,CB211,S212,S213,BI211,BL211,BP211,BQ211,0,Strike1,AO211,CE211,0,BL211,IF(OptControl=4,0,1),1,2)+IF(OR(VolSkewFlag=2,ABS(BS211)&lt;0.0001),0,IF(BS211&gt;0,-1,1)*CH211*Strike1/BR211^2*BY211/10%),0)</f>
        <v>0</v>
      </c>
      <c r="CH211" s="163">
        <f ca="1">IF(BD211,(_xll.xCrudeAPO(BU211,BV211,CA211,CB211,S212,S213,BI211,BL211,BP211,BQ211,0,Strike1,AO211,CE211,0,BL211,IF(OptControl=4,0,1),3,1)+_xll.xCrudeAPO(BU211,BV211,CA211,CB211,S212,S213,BI211,BL211,BP211,BQ211,0,Strike1,AO211,CE211,0,BL211,IF(OptControl=4,0,1),3,2))/100,0)</f>
        <v>0</v>
      </c>
      <c r="CI211" s="163">
        <f ca="1">IF(BD211,_xll.xCrudeAPO(BU211,BV211,CA211,CB211,S212,S213,BI211-DaysForThetaCalculation/365.25,BL211-DaysForThetaCalculation/365.25,BP211,BQ211,0,Strike1,AO211,CE211,0,BL211,IF(OptControl=4,0,1),0,1)-_xll.xCrudeAPO(BU211,BV211,CA211,CB211,S212,S213,BI211,BL211,BP211,BQ211,0,Strike1,AO211,CE211,0,BL211,IF(OptControl=4,0,1),0,1),0)</f>
        <v>0</v>
      </c>
      <c r="CJ211" s="311">
        <f ca="1">IF(BD211,_xll.xCrudeAPO(BU211,BV211,CC211,CD211,S212,S213,BI211,BL211,BP211,BQ211,0,Strike2,AO211,CE211,0,BL211,IF(OptControl=3,1,0),0,1),0)</f>
        <v>0</v>
      </c>
      <c r="CK211" s="163">
        <f ca="1">IF(BD211,_xll.xCrudeAPO(BU211,BV211,CC211,CD211,S212,S213,BI211,BL211,BP211,BQ211,0,Strike2,AO211,CE211,0,BL211,IF(OptControl=3,1,0),1,1)+_xll.xCrudeAPO(BU211,BV211,CC211,CD211,S212,S213,BI211,BL211,BP211,BQ211,0,Strike2,AO211,CE211,0,BL211,IF(OptControl=3,1,0),1,2)+IF(OR(VolSkewFlag=2,ABS(BT211)&lt;0.0001),0,IF(BT211&gt;0,-1,1)*CL211*Strike2/BR211^2*BZ211/10%),0)</f>
        <v>0</v>
      </c>
      <c r="CL211" s="163">
        <f ca="1">IF(BD211,(_xll.xCrudeAPO(BU211,BV211,CC211,CD211,S212,S213,BI211,BL211,BP211,BQ211,0,Strike2,AO211,CE211,0,BL211,IF(OptControl=3,1,0),3,1)+_xll.xCrudeAPO(BU211,BV211,CC211,CD211,S212,S213,BI211,BL211,BP211,BQ211,0,Strike2,AO211,CE211,0,BL211,IF(OptControl=3,1,0),3,2))/100,0)</f>
        <v>0</v>
      </c>
      <c r="CM211" s="164">
        <f ca="1">IF(BD211,_xll.xCrudeAPO(BU211,BV211,CC211,CD211,S212,S213,BI211-DaysForThetaCalculation/365.25,BL211-DaysForThetaCalculation/365.25,BP211,BQ211,0,Strike2,AO211,CE211,0,BL211,IF(OptControl=3,1,0),0,1)-_xll.xCrudeAPO(BU211,BV211,CC211,CD211,S212,S213,BI211,BL211,BP211,BQ211,0,Strike2,AO211,CE211,0,BL211,IF(OptControl=3,1,0),0,1),0)</f>
        <v>0</v>
      </c>
      <c r="CN211" s="53"/>
      <c r="CO211" s="796" t="str">
        <f t="shared" ca="1" si="532"/>
        <v/>
      </c>
      <c r="CP211" s="800" t="str">
        <f t="shared" ca="1" si="533"/>
        <v/>
      </c>
      <c r="CQ211" s="797" t="str">
        <f t="shared" ca="1" si="534"/>
        <v/>
      </c>
      <c r="CR211" s="797" t="str">
        <f t="shared" ca="1" si="535"/>
        <v/>
      </c>
      <c r="CS211" s="797" t="str">
        <f t="shared" ca="1" si="536"/>
        <v/>
      </c>
      <c r="CT211" s="797" t="str">
        <f t="shared" ca="1" si="537"/>
        <v/>
      </c>
      <c r="CU211" s="798" t="str">
        <f t="shared" ca="1" si="538"/>
        <v/>
      </c>
      <c r="CV211" s="799" t="str">
        <f t="shared" ca="1" si="539"/>
        <v/>
      </c>
      <c r="CW211" s="799" t="str">
        <f t="shared" ca="1" si="540"/>
        <v/>
      </c>
      <c r="CX211" s="163">
        <f ca="1">IF(BD211,_xll.EURO(CP211,Strike1,AO211,AO211,CV211,CO211,IF(OptControl=4,0,1),0),0)</f>
        <v>0</v>
      </c>
      <c r="CY211" s="163">
        <f ca="1">IF(BD211,_xll.EURO(CP211,Strike1,AO211,AO211,CV211,CO211,IF(OptControl=4,0,1),1)+IF(OR(VolSkewFlag=2,ABS(CQ211)&lt;0.0001),0,IF(CQ211&gt;0,-1,1)*CZ211*100*Strike1/CP211^2*CS211/10%),0)</f>
        <v>0</v>
      </c>
      <c r="CZ211" s="163">
        <f ca="1">IF(BD211,_xll.EURO(CP211,Strike1,AO211,AO211,CV211,CO211,IF(OptControl=4,0,1),3)/100,0)</f>
        <v>0</v>
      </c>
      <c r="DA211" s="163">
        <f ca="1">IF(BD211,_xll.EURO(CP211,Strike1,AO211,AO211,CV211,CO211,IF(OptControl=4,0,1),0)-_xll.EURO(CP211,Strike1,AO211,AO211,CV211,CO211-1,IF(OptControl=4,0,1),0),0)</f>
        <v>0</v>
      </c>
      <c r="DB211" s="163">
        <f ca="1">IF(BD211,_xll.EURO(CP211,Strike2,AO211,AO211,CW211,CO211,IF(OptControl=3,1,0),0),0)</f>
        <v>0</v>
      </c>
      <c r="DC211" s="163">
        <f ca="1">IF(BD211,_xll.EURO(CP211,Strike2,AO211,AO211,CW211,CO211,IF(OptControl=3,1,0),1)+IF(OR(VolSkewFlag=2,ABS(CR211)&lt;0.0001),0,IF(CR211&gt;0,-1,1)*DD211*100*Strike2/CP211^2*CT211/10%),0)</f>
        <v>0</v>
      </c>
      <c r="DD211" s="163">
        <f ca="1">IF(BD211,_xll.EURO(CP211,Strike2,AO211,AO211,CW211,CO211,IF(OptControl=3,1,0),3)/100,0)</f>
        <v>0</v>
      </c>
      <c r="DE211" s="164">
        <f ca="1">IF(BD211,_xll.EURO(CP211,Strike2,AO211,AO211,CW211,CO211,IF(OptControl=3,1,0),0)-_xll.EURO(CP211,Strike2,AO211,AO211,CW211,CO211-1,IF(OptControl=3,1,0),0),0)</f>
        <v>0</v>
      </c>
      <c r="DG211" s="667">
        <f t="shared" ca="1" si="541"/>
        <v>42370</v>
      </c>
      <c r="DH211" s="475">
        <v>23.710000000000083</v>
      </c>
      <c r="DI211" s="665">
        <v>23.777500000000082</v>
      </c>
      <c r="DJ211" s="666">
        <f t="shared" ca="1" si="617"/>
        <v>42370</v>
      </c>
      <c r="DK211" s="475">
        <v>22.498188604788353</v>
      </c>
      <c r="DL211" s="665">
        <v>22.60900000000008</v>
      </c>
      <c r="DM211" s="667">
        <f t="shared" ca="1" si="618"/>
        <v>42370</v>
      </c>
      <c r="DN211" s="668">
        <f t="shared" si="619"/>
        <v>22.548188604788354</v>
      </c>
      <c r="DO211" s="667">
        <f t="shared" ca="1" si="620"/>
        <v>42370</v>
      </c>
      <c r="DP211" s="579">
        <f t="shared" si="621"/>
        <v>22.60900000000008</v>
      </c>
      <c r="DQ211" s="821">
        <v>0</v>
      </c>
      <c r="DR211" s="666">
        <f t="shared" ca="1" si="622"/>
        <v>42370</v>
      </c>
      <c r="DS211" s="669">
        <v>0.10999999999999803</v>
      </c>
      <c r="DT211" s="606">
        <v>0.10918999999999804</v>
      </c>
      <c r="DU211" s="666">
        <f t="shared" ca="1" si="623"/>
        <v>42370</v>
      </c>
      <c r="DV211" s="669">
        <v>0.10999999999999803</v>
      </c>
      <c r="DW211" s="606">
        <v>0.10918999999999804</v>
      </c>
      <c r="DX211" s="667">
        <f t="shared" ca="1" si="624"/>
        <v>42370</v>
      </c>
      <c r="DY211" s="606">
        <v>0.35</v>
      </c>
      <c r="DZ211" s="667">
        <f t="shared" ca="1" si="625"/>
        <v>42370</v>
      </c>
      <c r="EA211" s="606">
        <f t="shared" si="626"/>
        <v>0.10918999999999804</v>
      </c>
      <c r="EB211" s="1"/>
      <c r="EC211" s="118" t="str">
        <f t="shared" ca="1" si="627"/>
        <v/>
      </c>
      <c r="ED211" s="119" t="str">
        <f t="shared" ref="ED211:ED260" ca="1" si="644">IF($BD211,$EC211+IF(VolSkewFlag=1,IF(BS211&gt;0,$BA211*MIN(BS211/10%,1)+($BB211-$BA211)*MAX(0,MIN(BS211/10%-1,1))+($BC211-$BB211)*MAX(0,BS211/10%-2),$AZ211*MIN(-BS211/10%,1)+($AY211-$AZ211)*MAX(0,MIN(-BS211/10%-1,1))+($AX211-$AY211)*MAX(0,-BS211/10%-2)),0),"")</f>
        <v/>
      </c>
      <c r="EE211" s="112" t="str">
        <f t="shared" ref="EE211:EE260" ca="1" si="645">IF($BD211,$EC211+IF(VolSkewFlag=1,IF(BT211&gt;0,$BA211*MIN(BT211/10%,1)+($BB211-$BA211)*MAX(0,MIN(BT211/10%-1,1))+($BC211-$BB211)*MAX(0,BT211/10%-2),$AZ211*MIN(-BT211/10%,1)+($AY211-$AZ211)*MAX(0,MIN(-BT211/10%-1,1))+($AX211-$AY211)*MAX(0,-BT211/10%-2)),0),"")</f>
        <v/>
      </c>
      <c r="EF211" s="120">
        <f ca="1">IF(BD211,_xll.xASN(BR211,Strike1,AO211,ED211,0,BO211,0,BI211,BL211,IF(OptControl=4,0,1),0),0)</f>
        <v>0</v>
      </c>
      <c r="EG211" s="111">
        <f ca="1">IF(BD211,_xll.xASN(BR211,Strike2,AO211,EE211,0,BO211,0,BI211,BL211,IF(OptControl=3,1,0),0),0)</f>
        <v>0</v>
      </c>
      <c r="EL211" s="55"/>
      <c r="EM211" s="1"/>
      <c r="EN211" s="106"/>
      <c r="EO211" s="106"/>
      <c r="EP211" s="1"/>
      <c r="EQ211" s="683" t="s">
        <v>425</v>
      </c>
      <c r="ES211" s="55"/>
      <c r="EU211" s="107"/>
      <c r="FJ211" s="673">
        <v>42</v>
      </c>
      <c r="FK211" s="479" t="str">
        <f ca="1">IF(OR(FK$169&lt;SwaptionFirstMonthPosition+1,$FJ211&lt;SwaptionFirstMonthPosition+1,FK$169&gt;SwaptionFirstMonthPosition+SwaptionNumOfMonths+1,$FJ211&gt;SwaptionFirstMonthPosition+SwaptionNumOfMonths+1),"",IF($FJ211=FK$169,1,IF($FJ211&lt;FK$169,INDEX($FK$170:$ID$241,FK$169,$FJ211),SUMPRODUCT(INDEX($FK$325:$ID$396,FK$169,1+SwaptionShift):INDEX($FK$325:$ID$396,FK$169,SwaptionMonthsToGo+SwaptionShift),INDEX($FK$245:$ID$316,$FJ211-FK$169,73-FK$169+SwaptionShift):INDEX($FK$245:$ID$316,$FJ211-FK$169,72-FK$169+SwaptionMonthsToGo+SwaptionShift))/SQRT(SUM(INDEX($FK366:$ID366,1+SwaptionShift):INDEX($FK366:$ID366,SwaptionMonthsToGo+SwaptionShift))*SUM(INDEX($FK$325:$ID$396,FK$169,1+SwaptionShift):INDEX($FK$325:$ID$396,FK$169,SwaptionMonthsToGo+SwaptionShift))))))</f>
        <v/>
      </c>
      <c r="FL211" s="479" t="str">
        <f ca="1">IF(OR(FL$169&lt;SwaptionFirstMonthPosition+1,$FJ211&lt;SwaptionFirstMonthPosition+1,FL$169&gt;SwaptionFirstMonthPosition+SwaptionNumOfMonths+1,$FJ211&gt;SwaptionFirstMonthPosition+SwaptionNumOfMonths+1),"",IF($FJ211=FL$169,1,IF($FJ211&lt;FL$169,INDEX($FK$170:$ID$241,FL$169,$FJ211),SUMPRODUCT(INDEX($FK$325:$ID$396,FL$169,1+SwaptionShift):INDEX($FK$325:$ID$396,FL$169,SwaptionMonthsToGo+SwaptionShift),INDEX($FK$245:$ID$316,$FJ211-FL$169,73-FL$169+SwaptionShift):INDEX($FK$245:$ID$316,$FJ211-FL$169,72-FL$169+SwaptionMonthsToGo+SwaptionShift))/SQRT(SUM(INDEX($FK366:$ID366,1+SwaptionShift):INDEX($FK366:$ID366,SwaptionMonthsToGo+SwaptionShift))*SUM(INDEX($FK$325:$ID$396,FL$169,1+SwaptionShift):INDEX($FK$325:$ID$396,FL$169,SwaptionMonthsToGo+SwaptionShift))))))</f>
        <v/>
      </c>
      <c r="FM211" s="479" t="str">
        <f ca="1">IF(OR(FM$169&lt;SwaptionFirstMonthPosition+1,$FJ211&lt;SwaptionFirstMonthPosition+1,FM$169&gt;SwaptionFirstMonthPosition+SwaptionNumOfMonths+1,$FJ211&gt;SwaptionFirstMonthPosition+SwaptionNumOfMonths+1),"",IF($FJ211=FM$169,1,IF($FJ211&lt;FM$169,INDEX($FK$170:$ID$241,FM$169,$FJ211),SUMPRODUCT(INDEX($FK$325:$ID$396,FM$169,1+SwaptionShift):INDEX($FK$325:$ID$396,FM$169,SwaptionMonthsToGo+SwaptionShift),INDEX($FK$245:$ID$316,$FJ211-FM$169,73-FM$169+SwaptionShift):INDEX($FK$245:$ID$316,$FJ211-FM$169,72-FM$169+SwaptionMonthsToGo+SwaptionShift))/SQRT(SUM(INDEX($FK366:$ID366,1+SwaptionShift):INDEX($FK366:$ID366,SwaptionMonthsToGo+SwaptionShift))*SUM(INDEX($FK$325:$ID$396,FM$169,1+SwaptionShift):INDEX($FK$325:$ID$396,FM$169,SwaptionMonthsToGo+SwaptionShift))))))</f>
        <v/>
      </c>
      <c r="FN211" s="479" t="str">
        <f ca="1">IF(OR(FN$169&lt;SwaptionFirstMonthPosition+1,$FJ211&lt;SwaptionFirstMonthPosition+1,FN$169&gt;SwaptionFirstMonthPosition+SwaptionNumOfMonths+1,$FJ211&gt;SwaptionFirstMonthPosition+SwaptionNumOfMonths+1),"",IF($FJ211=FN$169,1,IF($FJ211&lt;FN$169,INDEX($FK$170:$ID$241,FN$169,$FJ211),SUMPRODUCT(INDEX($FK$325:$ID$396,FN$169,1+SwaptionShift):INDEX($FK$325:$ID$396,FN$169,SwaptionMonthsToGo+SwaptionShift),INDEX($FK$245:$ID$316,$FJ211-FN$169,73-FN$169+SwaptionShift):INDEX($FK$245:$ID$316,$FJ211-FN$169,72-FN$169+SwaptionMonthsToGo+SwaptionShift))/SQRT(SUM(INDEX($FK366:$ID366,1+SwaptionShift):INDEX($FK366:$ID366,SwaptionMonthsToGo+SwaptionShift))*SUM(INDEX($FK$325:$ID$396,FN$169,1+SwaptionShift):INDEX($FK$325:$ID$396,FN$169,SwaptionMonthsToGo+SwaptionShift))))))</f>
        <v/>
      </c>
      <c r="FO211" s="479" t="str">
        <f ca="1">IF(OR(FO$169&lt;SwaptionFirstMonthPosition+1,$FJ211&lt;SwaptionFirstMonthPosition+1,FO$169&gt;SwaptionFirstMonthPosition+SwaptionNumOfMonths+1,$FJ211&gt;SwaptionFirstMonthPosition+SwaptionNumOfMonths+1),"",IF($FJ211=FO$169,1,IF($FJ211&lt;FO$169,INDEX($FK$170:$ID$241,FO$169,$FJ211),SUMPRODUCT(INDEX($FK$325:$ID$396,FO$169,1+SwaptionShift):INDEX($FK$325:$ID$396,FO$169,SwaptionMonthsToGo+SwaptionShift),INDEX($FK$245:$ID$316,$FJ211-FO$169,73-FO$169+SwaptionShift):INDEX($FK$245:$ID$316,$FJ211-FO$169,72-FO$169+SwaptionMonthsToGo+SwaptionShift))/SQRT(SUM(INDEX($FK366:$ID366,1+SwaptionShift):INDEX($FK366:$ID366,SwaptionMonthsToGo+SwaptionShift))*SUM(INDEX($FK$325:$ID$396,FO$169,1+SwaptionShift):INDEX($FK$325:$ID$396,FO$169,SwaptionMonthsToGo+SwaptionShift))))))</f>
        <v/>
      </c>
      <c r="FP211" s="479" t="str">
        <f ca="1">IF(OR(FP$169&lt;SwaptionFirstMonthPosition+1,$FJ211&lt;SwaptionFirstMonthPosition+1,FP$169&gt;SwaptionFirstMonthPosition+SwaptionNumOfMonths+1,$FJ211&gt;SwaptionFirstMonthPosition+SwaptionNumOfMonths+1),"",IF($FJ211=FP$169,1,IF($FJ211&lt;FP$169,INDEX($FK$170:$ID$241,FP$169,$FJ211),SUMPRODUCT(INDEX($FK$325:$ID$396,FP$169,1+SwaptionShift):INDEX($FK$325:$ID$396,FP$169,SwaptionMonthsToGo+SwaptionShift),INDEX($FK$245:$ID$316,$FJ211-FP$169,73-FP$169+SwaptionShift):INDEX($FK$245:$ID$316,$FJ211-FP$169,72-FP$169+SwaptionMonthsToGo+SwaptionShift))/SQRT(SUM(INDEX($FK366:$ID366,1+SwaptionShift):INDEX($FK366:$ID366,SwaptionMonthsToGo+SwaptionShift))*SUM(INDEX($FK$325:$ID$396,FP$169,1+SwaptionShift):INDEX($FK$325:$ID$396,FP$169,SwaptionMonthsToGo+SwaptionShift))))))</f>
        <v/>
      </c>
      <c r="FQ211" s="479" t="str">
        <f ca="1">IF(OR(FQ$169&lt;SwaptionFirstMonthPosition+1,$FJ211&lt;SwaptionFirstMonthPosition+1,FQ$169&gt;SwaptionFirstMonthPosition+SwaptionNumOfMonths+1,$FJ211&gt;SwaptionFirstMonthPosition+SwaptionNumOfMonths+1),"",IF($FJ211=FQ$169,1,IF($FJ211&lt;FQ$169,INDEX($FK$170:$ID$241,FQ$169,$FJ211),SUMPRODUCT(INDEX($FK$325:$ID$396,FQ$169,1+SwaptionShift):INDEX($FK$325:$ID$396,FQ$169,SwaptionMonthsToGo+SwaptionShift),INDEX($FK$245:$ID$316,$FJ211-FQ$169,73-FQ$169+SwaptionShift):INDEX($FK$245:$ID$316,$FJ211-FQ$169,72-FQ$169+SwaptionMonthsToGo+SwaptionShift))/SQRT(SUM(INDEX($FK366:$ID366,1+SwaptionShift):INDEX($FK366:$ID366,SwaptionMonthsToGo+SwaptionShift))*SUM(INDEX($FK$325:$ID$396,FQ$169,1+SwaptionShift):INDEX($FK$325:$ID$396,FQ$169,SwaptionMonthsToGo+SwaptionShift))))))</f>
        <v/>
      </c>
      <c r="FR211" s="479" t="str">
        <f ca="1">IF(OR(FR$169&lt;SwaptionFirstMonthPosition+1,$FJ211&lt;SwaptionFirstMonthPosition+1,FR$169&gt;SwaptionFirstMonthPosition+SwaptionNumOfMonths+1,$FJ211&gt;SwaptionFirstMonthPosition+SwaptionNumOfMonths+1),"",IF($FJ211=FR$169,1,IF($FJ211&lt;FR$169,INDEX($FK$170:$ID$241,FR$169,$FJ211),SUMPRODUCT(INDEX($FK$325:$ID$396,FR$169,1+SwaptionShift):INDEX($FK$325:$ID$396,FR$169,SwaptionMonthsToGo+SwaptionShift),INDEX($FK$245:$ID$316,$FJ211-FR$169,73-FR$169+SwaptionShift):INDEX($FK$245:$ID$316,$FJ211-FR$169,72-FR$169+SwaptionMonthsToGo+SwaptionShift))/SQRT(SUM(INDEX($FK366:$ID366,1+SwaptionShift):INDEX($FK366:$ID366,SwaptionMonthsToGo+SwaptionShift))*SUM(INDEX($FK$325:$ID$396,FR$169,1+SwaptionShift):INDEX($FK$325:$ID$396,FR$169,SwaptionMonthsToGo+SwaptionShift))))))</f>
        <v/>
      </c>
      <c r="FS211" s="479" t="str">
        <f ca="1">IF(OR(FS$169&lt;SwaptionFirstMonthPosition+1,$FJ211&lt;SwaptionFirstMonthPosition+1,FS$169&gt;SwaptionFirstMonthPosition+SwaptionNumOfMonths+1,$FJ211&gt;SwaptionFirstMonthPosition+SwaptionNumOfMonths+1),"",IF($FJ211=FS$169,1,IF($FJ211&lt;FS$169,INDEX($FK$170:$ID$241,FS$169,$FJ211),SUMPRODUCT(INDEX($FK$325:$ID$396,FS$169,1+SwaptionShift):INDEX($FK$325:$ID$396,FS$169,SwaptionMonthsToGo+SwaptionShift),INDEX($FK$245:$ID$316,$FJ211-FS$169,73-FS$169+SwaptionShift):INDEX($FK$245:$ID$316,$FJ211-FS$169,72-FS$169+SwaptionMonthsToGo+SwaptionShift))/SQRT(SUM(INDEX($FK366:$ID366,1+SwaptionShift):INDEX($FK366:$ID366,SwaptionMonthsToGo+SwaptionShift))*SUM(INDEX($FK$325:$ID$396,FS$169,1+SwaptionShift):INDEX($FK$325:$ID$396,FS$169,SwaptionMonthsToGo+SwaptionShift))))))</f>
        <v/>
      </c>
      <c r="FT211" s="479" t="str">
        <f ca="1">IF(OR(FT$169&lt;SwaptionFirstMonthPosition+1,$FJ211&lt;SwaptionFirstMonthPosition+1,FT$169&gt;SwaptionFirstMonthPosition+SwaptionNumOfMonths+1,$FJ211&gt;SwaptionFirstMonthPosition+SwaptionNumOfMonths+1),"",IF($FJ211=FT$169,1,IF($FJ211&lt;FT$169,INDEX($FK$170:$ID$241,FT$169,$FJ211),SUMPRODUCT(INDEX($FK$325:$ID$396,FT$169,1+SwaptionShift):INDEX($FK$325:$ID$396,FT$169,SwaptionMonthsToGo+SwaptionShift),INDEX($FK$245:$ID$316,$FJ211-FT$169,73-FT$169+SwaptionShift):INDEX($FK$245:$ID$316,$FJ211-FT$169,72-FT$169+SwaptionMonthsToGo+SwaptionShift))/SQRT(SUM(INDEX($FK366:$ID366,1+SwaptionShift):INDEX($FK366:$ID366,SwaptionMonthsToGo+SwaptionShift))*SUM(INDEX($FK$325:$ID$396,FT$169,1+SwaptionShift):INDEX($FK$325:$ID$396,FT$169,SwaptionMonthsToGo+SwaptionShift))))))</f>
        <v/>
      </c>
      <c r="FU211" s="479" t="str">
        <f ca="1">IF(OR(FU$169&lt;SwaptionFirstMonthPosition+1,$FJ211&lt;SwaptionFirstMonthPosition+1,FU$169&gt;SwaptionFirstMonthPosition+SwaptionNumOfMonths+1,$FJ211&gt;SwaptionFirstMonthPosition+SwaptionNumOfMonths+1),"",IF($FJ211=FU$169,1,IF($FJ211&lt;FU$169,INDEX($FK$170:$ID$241,FU$169,$FJ211),SUMPRODUCT(INDEX($FK$325:$ID$396,FU$169,1+SwaptionShift):INDEX($FK$325:$ID$396,FU$169,SwaptionMonthsToGo+SwaptionShift),INDEX($FK$245:$ID$316,$FJ211-FU$169,73-FU$169+SwaptionShift):INDEX($FK$245:$ID$316,$FJ211-FU$169,72-FU$169+SwaptionMonthsToGo+SwaptionShift))/SQRT(SUM(INDEX($FK366:$ID366,1+SwaptionShift):INDEX($FK366:$ID366,SwaptionMonthsToGo+SwaptionShift))*SUM(INDEX($FK$325:$ID$396,FU$169,1+SwaptionShift):INDEX($FK$325:$ID$396,FU$169,SwaptionMonthsToGo+SwaptionShift))))))</f>
        <v/>
      </c>
      <c r="FV211" s="479" t="str">
        <f ca="1">IF(OR(FV$169&lt;SwaptionFirstMonthPosition+1,$FJ211&lt;SwaptionFirstMonthPosition+1,FV$169&gt;SwaptionFirstMonthPosition+SwaptionNumOfMonths+1,$FJ211&gt;SwaptionFirstMonthPosition+SwaptionNumOfMonths+1),"",IF($FJ211=FV$169,1,IF($FJ211&lt;FV$169,INDEX($FK$170:$ID$241,FV$169,$FJ211),SUMPRODUCT(INDEX($FK$325:$ID$396,FV$169,1+SwaptionShift):INDEX($FK$325:$ID$396,FV$169,SwaptionMonthsToGo+SwaptionShift),INDEX($FK$245:$ID$316,$FJ211-FV$169,73-FV$169+SwaptionShift):INDEX($FK$245:$ID$316,$FJ211-FV$169,72-FV$169+SwaptionMonthsToGo+SwaptionShift))/SQRT(SUM(INDEX($FK366:$ID366,1+SwaptionShift):INDEX($FK366:$ID366,SwaptionMonthsToGo+SwaptionShift))*SUM(INDEX($FK$325:$ID$396,FV$169,1+SwaptionShift):INDEX($FK$325:$ID$396,FV$169,SwaptionMonthsToGo+SwaptionShift))))))</f>
        <v/>
      </c>
      <c r="FW211" s="479" t="str">
        <f ca="1">IF(OR(FW$169&lt;SwaptionFirstMonthPosition+1,$FJ211&lt;SwaptionFirstMonthPosition+1,FW$169&gt;SwaptionFirstMonthPosition+SwaptionNumOfMonths+1,$FJ211&gt;SwaptionFirstMonthPosition+SwaptionNumOfMonths+1),"",IF($FJ211=FW$169,1,IF($FJ211&lt;FW$169,INDEX($FK$170:$ID$241,FW$169,$FJ211),SUMPRODUCT(INDEX($FK$325:$ID$396,FW$169,1+SwaptionShift):INDEX($FK$325:$ID$396,FW$169,SwaptionMonthsToGo+SwaptionShift),INDEX($FK$245:$ID$316,$FJ211-FW$169,73-FW$169+SwaptionShift):INDEX($FK$245:$ID$316,$FJ211-FW$169,72-FW$169+SwaptionMonthsToGo+SwaptionShift))/SQRT(SUM(INDEX($FK366:$ID366,1+SwaptionShift):INDEX($FK366:$ID366,SwaptionMonthsToGo+SwaptionShift))*SUM(INDEX($FK$325:$ID$396,FW$169,1+SwaptionShift):INDEX($FK$325:$ID$396,FW$169,SwaptionMonthsToGo+SwaptionShift))))))</f>
        <v/>
      </c>
      <c r="FX211" s="479" t="str">
        <f ca="1">IF(OR(FX$169&lt;SwaptionFirstMonthPosition+1,$FJ211&lt;SwaptionFirstMonthPosition+1,FX$169&gt;SwaptionFirstMonthPosition+SwaptionNumOfMonths+1,$FJ211&gt;SwaptionFirstMonthPosition+SwaptionNumOfMonths+1),"",IF($FJ211=FX$169,1,IF($FJ211&lt;FX$169,INDEX($FK$170:$ID$241,FX$169,$FJ211),SUMPRODUCT(INDEX($FK$325:$ID$396,FX$169,1+SwaptionShift):INDEX($FK$325:$ID$396,FX$169,SwaptionMonthsToGo+SwaptionShift),INDEX($FK$245:$ID$316,$FJ211-FX$169,73-FX$169+SwaptionShift):INDEX($FK$245:$ID$316,$FJ211-FX$169,72-FX$169+SwaptionMonthsToGo+SwaptionShift))/SQRT(SUM(INDEX($FK366:$ID366,1+SwaptionShift):INDEX($FK366:$ID366,SwaptionMonthsToGo+SwaptionShift))*SUM(INDEX($FK$325:$ID$396,FX$169,1+SwaptionShift):INDEX($FK$325:$ID$396,FX$169,SwaptionMonthsToGo+SwaptionShift))))))</f>
        <v/>
      </c>
      <c r="FY211" s="479" t="str">
        <f ca="1">IF(OR(FY$169&lt;SwaptionFirstMonthPosition+1,$FJ211&lt;SwaptionFirstMonthPosition+1,FY$169&gt;SwaptionFirstMonthPosition+SwaptionNumOfMonths+1,$FJ211&gt;SwaptionFirstMonthPosition+SwaptionNumOfMonths+1),"",IF($FJ211=FY$169,1,IF($FJ211&lt;FY$169,INDEX($FK$170:$ID$241,FY$169,$FJ211),SUMPRODUCT(INDEX($FK$325:$ID$396,FY$169,1+SwaptionShift):INDEX($FK$325:$ID$396,FY$169,SwaptionMonthsToGo+SwaptionShift),INDEX($FK$245:$ID$316,$FJ211-FY$169,73-FY$169+SwaptionShift):INDEX($FK$245:$ID$316,$FJ211-FY$169,72-FY$169+SwaptionMonthsToGo+SwaptionShift))/SQRT(SUM(INDEX($FK366:$ID366,1+SwaptionShift):INDEX($FK366:$ID366,SwaptionMonthsToGo+SwaptionShift))*SUM(INDEX($FK$325:$ID$396,FY$169,1+SwaptionShift):INDEX($FK$325:$ID$396,FY$169,SwaptionMonthsToGo+SwaptionShift))))))</f>
        <v/>
      </c>
      <c r="FZ211" s="479" t="str">
        <f ca="1">IF(OR(FZ$169&lt;SwaptionFirstMonthPosition+1,$FJ211&lt;SwaptionFirstMonthPosition+1,FZ$169&gt;SwaptionFirstMonthPosition+SwaptionNumOfMonths+1,$FJ211&gt;SwaptionFirstMonthPosition+SwaptionNumOfMonths+1),"",IF($FJ211=FZ$169,1,IF($FJ211&lt;FZ$169,INDEX($FK$170:$ID$241,FZ$169,$FJ211),SUMPRODUCT(INDEX($FK$325:$ID$396,FZ$169,1+SwaptionShift):INDEX($FK$325:$ID$396,FZ$169,SwaptionMonthsToGo+SwaptionShift),INDEX($FK$245:$ID$316,$FJ211-FZ$169,73-FZ$169+SwaptionShift):INDEX($FK$245:$ID$316,$FJ211-FZ$169,72-FZ$169+SwaptionMonthsToGo+SwaptionShift))/SQRT(SUM(INDEX($FK366:$ID366,1+SwaptionShift):INDEX($FK366:$ID366,SwaptionMonthsToGo+SwaptionShift))*SUM(INDEX($FK$325:$ID$396,FZ$169,1+SwaptionShift):INDEX($FK$325:$ID$396,FZ$169,SwaptionMonthsToGo+SwaptionShift))))))</f>
        <v/>
      </c>
      <c r="GA211" s="479" t="str">
        <f ca="1">IF(OR(GA$169&lt;SwaptionFirstMonthPosition+1,$FJ211&lt;SwaptionFirstMonthPosition+1,GA$169&gt;SwaptionFirstMonthPosition+SwaptionNumOfMonths+1,$FJ211&gt;SwaptionFirstMonthPosition+SwaptionNumOfMonths+1),"",IF($FJ211=GA$169,1,IF($FJ211&lt;GA$169,INDEX($FK$170:$ID$241,GA$169,$FJ211),SUMPRODUCT(INDEX($FK$325:$ID$396,GA$169,1+SwaptionShift):INDEX($FK$325:$ID$396,GA$169,SwaptionMonthsToGo+SwaptionShift),INDEX($FK$245:$ID$316,$FJ211-GA$169,73-GA$169+SwaptionShift):INDEX($FK$245:$ID$316,$FJ211-GA$169,72-GA$169+SwaptionMonthsToGo+SwaptionShift))/SQRT(SUM(INDEX($FK366:$ID366,1+SwaptionShift):INDEX($FK366:$ID366,SwaptionMonthsToGo+SwaptionShift))*SUM(INDEX($FK$325:$ID$396,GA$169,1+SwaptionShift):INDEX($FK$325:$ID$396,GA$169,SwaptionMonthsToGo+SwaptionShift))))))</f>
        <v/>
      </c>
      <c r="GB211" s="479" t="str">
        <f ca="1">IF(OR(GB$169&lt;SwaptionFirstMonthPosition+1,$FJ211&lt;SwaptionFirstMonthPosition+1,GB$169&gt;SwaptionFirstMonthPosition+SwaptionNumOfMonths+1,$FJ211&gt;SwaptionFirstMonthPosition+SwaptionNumOfMonths+1),"",IF($FJ211=GB$169,1,IF($FJ211&lt;GB$169,INDEX($FK$170:$ID$241,GB$169,$FJ211),SUMPRODUCT(INDEX($FK$325:$ID$396,GB$169,1+SwaptionShift):INDEX($FK$325:$ID$396,GB$169,SwaptionMonthsToGo+SwaptionShift),INDEX($FK$245:$ID$316,$FJ211-GB$169,73-GB$169+SwaptionShift):INDEX($FK$245:$ID$316,$FJ211-GB$169,72-GB$169+SwaptionMonthsToGo+SwaptionShift))/SQRT(SUM(INDEX($FK366:$ID366,1+SwaptionShift):INDEX($FK366:$ID366,SwaptionMonthsToGo+SwaptionShift))*SUM(INDEX($FK$325:$ID$396,GB$169,1+SwaptionShift):INDEX($FK$325:$ID$396,GB$169,SwaptionMonthsToGo+SwaptionShift))))))</f>
        <v/>
      </c>
      <c r="GC211" s="479" t="str">
        <f ca="1">IF(OR(GC$169&lt;SwaptionFirstMonthPosition+1,$FJ211&lt;SwaptionFirstMonthPosition+1,GC$169&gt;SwaptionFirstMonthPosition+SwaptionNumOfMonths+1,$FJ211&gt;SwaptionFirstMonthPosition+SwaptionNumOfMonths+1),"",IF($FJ211=GC$169,1,IF($FJ211&lt;GC$169,INDEX($FK$170:$ID$241,GC$169,$FJ211),SUMPRODUCT(INDEX($FK$325:$ID$396,GC$169,1+SwaptionShift):INDEX($FK$325:$ID$396,GC$169,SwaptionMonthsToGo+SwaptionShift),INDEX($FK$245:$ID$316,$FJ211-GC$169,73-GC$169+SwaptionShift):INDEX($FK$245:$ID$316,$FJ211-GC$169,72-GC$169+SwaptionMonthsToGo+SwaptionShift))/SQRT(SUM(INDEX($FK366:$ID366,1+SwaptionShift):INDEX($FK366:$ID366,SwaptionMonthsToGo+SwaptionShift))*SUM(INDEX($FK$325:$ID$396,GC$169,1+SwaptionShift):INDEX($FK$325:$ID$396,GC$169,SwaptionMonthsToGo+SwaptionShift))))))</f>
        <v/>
      </c>
      <c r="GD211" s="479" t="str">
        <f ca="1">IF(OR(GD$169&lt;SwaptionFirstMonthPosition+1,$FJ211&lt;SwaptionFirstMonthPosition+1,GD$169&gt;SwaptionFirstMonthPosition+SwaptionNumOfMonths+1,$FJ211&gt;SwaptionFirstMonthPosition+SwaptionNumOfMonths+1),"",IF($FJ211=GD$169,1,IF($FJ211&lt;GD$169,INDEX($FK$170:$ID$241,GD$169,$FJ211),SUMPRODUCT(INDEX($FK$325:$ID$396,GD$169,1+SwaptionShift):INDEX($FK$325:$ID$396,GD$169,SwaptionMonthsToGo+SwaptionShift),INDEX($FK$245:$ID$316,$FJ211-GD$169,73-GD$169+SwaptionShift):INDEX($FK$245:$ID$316,$FJ211-GD$169,72-GD$169+SwaptionMonthsToGo+SwaptionShift))/SQRT(SUM(INDEX($FK366:$ID366,1+SwaptionShift):INDEX($FK366:$ID366,SwaptionMonthsToGo+SwaptionShift))*SUM(INDEX($FK$325:$ID$396,GD$169,1+SwaptionShift):INDEX($FK$325:$ID$396,GD$169,SwaptionMonthsToGo+SwaptionShift))))))</f>
        <v/>
      </c>
      <c r="GE211" s="479" t="str">
        <f ca="1">IF(OR(GE$169&lt;SwaptionFirstMonthPosition+1,$FJ211&lt;SwaptionFirstMonthPosition+1,GE$169&gt;SwaptionFirstMonthPosition+SwaptionNumOfMonths+1,$FJ211&gt;SwaptionFirstMonthPosition+SwaptionNumOfMonths+1),"",IF($FJ211=GE$169,1,IF($FJ211&lt;GE$169,INDEX($FK$170:$ID$241,GE$169,$FJ211),SUMPRODUCT(INDEX($FK$325:$ID$396,GE$169,1+SwaptionShift):INDEX($FK$325:$ID$396,GE$169,SwaptionMonthsToGo+SwaptionShift),INDEX($FK$245:$ID$316,$FJ211-GE$169,73-GE$169+SwaptionShift):INDEX($FK$245:$ID$316,$FJ211-GE$169,72-GE$169+SwaptionMonthsToGo+SwaptionShift))/SQRT(SUM(INDEX($FK366:$ID366,1+SwaptionShift):INDEX($FK366:$ID366,SwaptionMonthsToGo+SwaptionShift))*SUM(INDEX($FK$325:$ID$396,GE$169,1+SwaptionShift):INDEX($FK$325:$ID$396,GE$169,SwaptionMonthsToGo+SwaptionShift))))))</f>
        <v/>
      </c>
      <c r="GF211" s="479" t="str">
        <f ca="1">IF(OR(GF$169&lt;SwaptionFirstMonthPosition+1,$FJ211&lt;SwaptionFirstMonthPosition+1,GF$169&gt;SwaptionFirstMonthPosition+SwaptionNumOfMonths+1,$FJ211&gt;SwaptionFirstMonthPosition+SwaptionNumOfMonths+1),"",IF($FJ211=GF$169,1,IF($FJ211&lt;GF$169,INDEX($FK$170:$ID$241,GF$169,$FJ211),SUMPRODUCT(INDEX($FK$325:$ID$396,GF$169,1+SwaptionShift):INDEX($FK$325:$ID$396,GF$169,SwaptionMonthsToGo+SwaptionShift),INDEX($FK$245:$ID$316,$FJ211-GF$169,73-GF$169+SwaptionShift):INDEX($FK$245:$ID$316,$FJ211-GF$169,72-GF$169+SwaptionMonthsToGo+SwaptionShift))/SQRT(SUM(INDEX($FK366:$ID366,1+SwaptionShift):INDEX($FK366:$ID366,SwaptionMonthsToGo+SwaptionShift))*SUM(INDEX($FK$325:$ID$396,GF$169,1+SwaptionShift):INDEX($FK$325:$ID$396,GF$169,SwaptionMonthsToGo+SwaptionShift))))))</f>
        <v/>
      </c>
      <c r="GG211" s="479" t="str">
        <f ca="1">IF(OR(GG$169&lt;SwaptionFirstMonthPosition+1,$FJ211&lt;SwaptionFirstMonthPosition+1,GG$169&gt;SwaptionFirstMonthPosition+SwaptionNumOfMonths+1,$FJ211&gt;SwaptionFirstMonthPosition+SwaptionNumOfMonths+1),"",IF($FJ211=GG$169,1,IF($FJ211&lt;GG$169,INDEX($FK$170:$ID$241,GG$169,$FJ211),SUMPRODUCT(INDEX($FK$325:$ID$396,GG$169,1+SwaptionShift):INDEX($FK$325:$ID$396,GG$169,SwaptionMonthsToGo+SwaptionShift),INDEX($FK$245:$ID$316,$FJ211-GG$169,73-GG$169+SwaptionShift):INDEX($FK$245:$ID$316,$FJ211-GG$169,72-GG$169+SwaptionMonthsToGo+SwaptionShift))/SQRT(SUM(INDEX($FK366:$ID366,1+SwaptionShift):INDEX($FK366:$ID366,SwaptionMonthsToGo+SwaptionShift))*SUM(INDEX($FK$325:$ID$396,GG$169,1+SwaptionShift):INDEX($FK$325:$ID$396,GG$169,SwaptionMonthsToGo+SwaptionShift))))))</f>
        <v/>
      </c>
      <c r="GH211" s="479" t="str">
        <f ca="1">IF(OR(GH$169&lt;SwaptionFirstMonthPosition+1,$FJ211&lt;SwaptionFirstMonthPosition+1,GH$169&gt;SwaptionFirstMonthPosition+SwaptionNumOfMonths+1,$FJ211&gt;SwaptionFirstMonthPosition+SwaptionNumOfMonths+1),"",IF($FJ211=GH$169,1,IF($FJ211&lt;GH$169,INDEX($FK$170:$ID$241,GH$169,$FJ211),SUMPRODUCT(INDEX($FK$325:$ID$396,GH$169,1+SwaptionShift):INDEX($FK$325:$ID$396,GH$169,SwaptionMonthsToGo+SwaptionShift),INDEX($FK$245:$ID$316,$FJ211-GH$169,73-GH$169+SwaptionShift):INDEX($FK$245:$ID$316,$FJ211-GH$169,72-GH$169+SwaptionMonthsToGo+SwaptionShift))/SQRT(SUM(INDEX($FK366:$ID366,1+SwaptionShift):INDEX($FK366:$ID366,SwaptionMonthsToGo+SwaptionShift))*SUM(INDEX($FK$325:$ID$396,GH$169,1+SwaptionShift):INDEX($FK$325:$ID$396,GH$169,SwaptionMonthsToGo+SwaptionShift))))))</f>
        <v/>
      </c>
      <c r="GI211" s="479" t="str">
        <f ca="1">IF(OR(GI$169&lt;SwaptionFirstMonthPosition+1,$FJ211&lt;SwaptionFirstMonthPosition+1,GI$169&gt;SwaptionFirstMonthPosition+SwaptionNumOfMonths+1,$FJ211&gt;SwaptionFirstMonthPosition+SwaptionNumOfMonths+1),"",IF($FJ211=GI$169,1,IF($FJ211&lt;GI$169,INDEX($FK$170:$ID$241,GI$169,$FJ211),SUMPRODUCT(INDEX($FK$325:$ID$396,GI$169,1+SwaptionShift):INDEX($FK$325:$ID$396,GI$169,SwaptionMonthsToGo+SwaptionShift),INDEX($FK$245:$ID$316,$FJ211-GI$169,73-GI$169+SwaptionShift):INDEX($FK$245:$ID$316,$FJ211-GI$169,72-GI$169+SwaptionMonthsToGo+SwaptionShift))/SQRT(SUM(INDEX($FK366:$ID366,1+SwaptionShift):INDEX($FK366:$ID366,SwaptionMonthsToGo+SwaptionShift))*SUM(INDEX($FK$325:$ID$396,GI$169,1+SwaptionShift):INDEX($FK$325:$ID$396,GI$169,SwaptionMonthsToGo+SwaptionShift))))))</f>
        <v/>
      </c>
      <c r="GJ211" s="479" t="str">
        <f ca="1">IF(OR(GJ$169&lt;SwaptionFirstMonthPosition+1,$FJ211&lt;SwaptionFirstMonthPosition+1,GJ$169&gt;SwaptionFirstMonthPosition+SwaptionNumOfMonths+1,$FJ211&gt;SwaptionFirstMonthPosition+SwaptionNumOfMonths+1),"",IF($FJ211=GJ$169,1,IF($FJ211&lt;GJ$169,INDEX($FK$170:$ID$241,GJ$169,$FJ211),SUMPRODUCT(INDEX($FK$325:$ID$396,GJ$169,1+SwaptionShift):INDEX($FK$325:$ID$396,GJ$169,SwaptionMonthsToGo+SwaptionShift),INDEX($FK$245:$ID$316,$FJ211-GJ$169,73-GJ$169+SwaptionShift):INDEX($FK$245:$ID$316,$FJ211-GJ$169,72-GJ$169+SwaptionMonthsToGo+SwaptionShift))/SQRT(SUM(INDEX($FK366:$ID366,1+SwaptionShift):INDEX($FK366:$ID366,SwaptionMonthsToGo+SwaptionShift))*SUM(INDEX($FK$325:$ID$396,GJ$169,1+SwaptionShift):INDEX($FK$325:$ID$396,GJ$169,SwaptionMonthsToGo+SwaptionShift))))))</f>
        <v/>
      </c>
      <c r="GK211" s="479" t="str">
        <f ca="1">IF(OR(GK$169&lt;SwaptionFirstMonthPosition+1,$FJ211&lt;SwaptionFirstMonthPosition+1,GK$169&gt;SwaptionFirstMonthPosition+SwaptionNumOfMonths+1,$FJ211&gt;SwaptionFirstMonthPosition+SwaptionNumOfMonths+1),"",IF($FJ211=GK$169,1,IF($FJ211&lt;GK$169,INDEX($FK$170:$ID$241,GK$169,$FJ211),SUMPRODUCT(INDEX($FK$325:$ID$396,GK$169,1+SwaptionShift):INDEX($FK$325:$ID$396,GK$169,SwaptionMonthsToGo+SwaptionShift),INDEX($FK$245:$ID$316,$FJ211-GK$169,73-GK$169+SwaptionShift):INDEX($FK$245:$ID$316,$FJ211-GK$169,72-GK$169+SwaptionMonthsToGo+SwaptionShift))/SQRT(SUM(INDEX($FK366:$ID366,1+SwaptionShift):INDEX($FK366:$ID366,SwaptionMonthsToGo+SwaptionShift))*SUM(INDEX($FK$325:$ID$396,GK$169,1+SwaptionShift):INDEX($FK$325:$ID$396,GK$169,SwaptionMonthsToGo+SwaptionShift))))))</f>
        <v/>
      </c>
      <c r="GL211" s="479" t="str">
        <f ca="1">IF(OR(GL$169&lt;SwaptionFirstMonthPosition+1,$FJ211&lt;SwaptionFirstMonthPosition+1,GL$169&gt;SwaptionFirstMonthPosition+SwaptionNumOfMonths+1,$FJ211&gt;SwaptionFirstMonthPosition+SwaptionNumOfMonths+1),"",IF($FJ211=GL$169,1,IF($FJ211&lt;GL$169,INDEX($FK$170:$ID$241,GL$169,$FJ211),SUMPRODUCT(INDEX($FK$325:$ID$396,GL$169,1+SwaptionShift):INDEX($FK$325:$ID$396,GL$169,SwaptionMonthsToGo+SwaptionShift),INDEX($FK$245:$ID$316,$FJ211-GL$169,73-GL$169+SwaptionShift):INDEX($FK$245:$ID$316,$FJ211-GL$169,72-GL$169+SwaptionMonthsToGo+SwaptionShift))/SQRT(SUM(INDEX($FK366:$ID366,1+SwaptionShift):INDEX($FK366:$ID366,SwaptionMonthsToGo+SwaptionShift))*SUM(INDEX($FK$325:$ID$396,GL$169,1+SwaptionShift):INDEX($FK$325:$ID$396,GL$169,SwaptionMonthsToGo+SwaptionShift))))))</f>
        <v/>
      </c>
      <c r="GM211" s="479" t="str">
        <f ca="1">IF(OR(GM$169&lt;SwaptionFirstMonthPosition+1,$FJ211&lt;SwaptionFirstMonthPosition+1,GM$169&gt;SwaptionFirstMonthPosition+SwaptionNumOfMonths+1,$FJ211&gt;SwaptionFirstMonthPosition+SwaptionNumOfMonths+1),"",IF($FJ211=GM$169,1,IF($FJ211&lt;GM$169,INDEX($FK$170:$ID$241,GM$169,$FJ211),SUMPRODUCT(INDEX($FK$325:$ID$396,GM$169,1+SwaptionShift):INDEX($FK$325:$ID$396,GM$169,SwaptionMonthsToGo+SwaptionShift),INDEX($FK$245:$ID$316,$FJ211-GM$169,73-GM$169+SwaptionShift):INDEX($FK$245:$ID$316,$FJ211-GM$169,72-GM$169+SwaptionMonthsToGo+SwaptionShift))/SQRT(SUM(INDEX($FK366:$ID366,1+SwaptionShift):INDEX($FK366:$ID366,SwaptionMonthsToGo+SwaptionShift))*SUM(INDEX($FK$325:$ID$396,GM$169,1+SwaptionShift):INDEX($FK$325:$ID$396,GM$169,SwaptionMonthsToGo+SwaptionShift))))))</f>
        <v/>
      </c>
      <c r="GN211" s="479" t="str">
        <f ca="1">IF(OR(GN$169&lt;SwaptionFirstMonthPosition+1,$FJ211&lt;SwaptionFirstMonthPosition+1,GN$169&gt;SwaptionFirstMonthPosition+SwaptionNumOfMonths+1,$FJ211&gt;SwaptionFirstMonthPosition+SwaptionNumOfMonths+1),"",IF($FJ211=GN$169,1,IF($FJ211&lt;GN$169,INDEX($FK$170:$ID$241,GN$169,$FJ211),SUMPRODUCT(INDEX($FK$325:$ID$396,GN$169,1+SwaptionShift):INDEX($FK$325:$ID$396,GN$169,SwaptionMonthsToGo+SwaptionShift),INDEX($FK$245:$ID$316,$FJ211-GN$169,73-GN$169+SwaptionShift):INDEX($FK$245:$ID$316,$FJ211-GN$169,72-GN$169+SwaptionMonthsToGo+SwaptionShift))/SQRT(SUM(INDEX($FK366:$ID366,1+SwaptionShift):INDEX($FK366:$ID366,SwaptionMonthsToGo+SwaptionShift))*SUM(INDEX($FK$325:$ID$396,GN$169,1+SwaptionShift):INDEX($FK$325:$ID$396,GN$169,SwaptionMonthsToGo+SwaptionShift))))))</f>
        <v/>
      </c>
      <c r="GO211" s="479" t="str">
        <f ca="1">IF(OR(GO$169&lt;SwaptionFirstMonthPosition+1,$FJ211&lt;SwaptionFirstMonthPosition+1,GO$169&gt;SwaptionFirstMonthPosition+SwaptionNumOfMonths+1,$FJ211&gt;SwaptionFirstMonthPosition+SwaptionNumOfMonths+1),"",IF($FJ211=GO$169,1,IF($FJ211&lt;GO$169,INDEX($FK$170:$ID$241,GO$169,$FJ211),SUMPRODUCT(INDEX($FK$325:$ID$396,GO$169,1+SwaptionShift):INDEX($FK$325:$ID$396,GO$169,SwaptionMonthsToGo+SwaptionShift),INDEX($FK$245:$ID$316,$FJ211-GO$169,73-GO$169+SwaptionShift):INDEX($FK$245:$ID$316,$FJ211-GO$169,72-GO$169+SwaptionMonthsToGo+SwaptionShift))/SQRT(SUM(INDEX($FK366:$ID366,1+SwaptionShift):INDEX($FK366:$ID366,SwaptionMonthsToGo+SwaptionShift))*SUM(INDEX($FK$325:$ID$396,GO$169,1+SwaptionShift):INDEX($FK$325:$ID$396,GO$169,SwaptionMonthsToGo+SwaptionShift))))))</f>
        <v/>
      </c>
      <c r="GP211" s="479" t="str">
        <f ca="1">IF(OR(GP$169&lt;SwaptionFirstMonthPosition+1,$FJ211&lt;SwaptionFirstMonthPosition+1,GP$169&gt;SwaptionFirstMonthPosition+SwaptionNumOfMonths+1,$FJ211&gt;SwaptionFirstMonthPosition+SwaptionNumOfMonths+1),"",IF($FJ211=GP$169,1,IF($FJ211&lt;GP$169,INDEX($FK$170:$ID$241,GP$169,$FJ211),SUMPRODUCT(INDEX($FK$325:$ID$396,GP$169,1+SwaptionShift):INDEX($FK$325:$ID$396,GP$169,SwaptionMonthsToGo+SwaptionShift),INDEX($FK$245:$ID$316,$FJ211-GP$169,73-GP$169+SwaptionShift):INDEX($FK$245:$ID$316,$FJ211-GP$169,72-GP$169+SwaptionMonthsToGo+SwaptionShift))/SQRT(SUM(INDEX($FK366:$ID366,1+SwaptionShift):INDEX($FK366:$ID366,SwaptionMonthsToGo+SwaptionShift))*SUM(INDEX($FK$325:$ID$396,GP$169,1+SwaptionShift):INDEX($FK$325:$ID$396,GP$169,SwaptionMonthsToGo+SwaptionShift))))))</f>
        <v/>
      </c>
      <c r="GQ211" s="479" t="str">
        <f ca="1">IF(OR(GQ$169&lt;SwaptionFirstMonthPosition+1,$FJ211&lt;SwaptionFirstMonthPosition+1,GQ$169&gt;SwaptionFirstMonthPosition+SwaptionNumOfMonths+1,$FJ211&gt;SwaptionFirstMonthPosition+SwaptionNumOfMonths+1),"",IF($FJ211=GQ$169,1,IF($FJ211&lt;GQ$169,INDEX($FK$170:$ID$241,GQ$169,$FJ211),SUMPRODUCT(INDEX($FK$325:$ID$396,GQ$169,1+SwaptionShift):INDEX($FK$325:$ID$396,GQ$169,SwaptionMonthsToGo+SwaptionShift),INDEX($FK$245:$ID$316,$FJ211-GQ$169,73-GQ$169+SwaptionShift):INDEX($FK$245:$ID$316,$FJ211-GQ$169,72-GQ$169+SwaptionMonthsToGo+SwaptionShift))/SQRT(SUM(INDEX($FK366:$ID366,1+SwaptionShift):INDEX($FK366:$ID366,SwaptionMonthsToGo+SwaptionShift))*SUM(INDEX($FK$325:$ID$396,GQ$169,1+SwaptionShift):INDEX($FK$325:$ID$396,GQ$169,SwaptionMonthsToGo+SwaptionShift))))))</f>
        <v/>
      </c>
      <c r="GR211" s="479" t="str">
        <f ca="1">IF(OR(GR$169&lt;SwaptionFirstMonthPosition+1,$FJ211&lt;SwaptionFirstMonthPosition+1,GR$169&gt;SwaptionFirstMonthPosition+SwaptionNumOfMonths+1,$FJ211&gt;SwaptionFirstMonthPosition+SwaptionNumOfMonths+1),"",IF($FJ211=GR$169,1,IF($FJ211&lt;GR$169,INDEX($FK$170:$ID$241,GR$169,$FJ211),SUMPRODUCT(INDEX($FK$325:$ID$396,GR$169,1+SwaptionShift):INDEX($FK$325:$ID$396,GR$169,SwaptionMonthsToGo+SwaptionShift),INDEX($FK$245:$ID$316,$FJ211-GR$169,73-GR$169+SwaptionShift):INDEX($FK$245:$ID$316,$FJ211-GR$169,72-GR$169+SwaptionMonthsToGo+SwaptionShift))/SQRT(SUM(INDEX($FK366:$ID366,1+SwaptionShift):INDEX($FK366:$ID366,SwaptionMonthsToGo+SwaptionShift))*SUM(INDEX($FK$325:$ID$396,GR$169,1+SwaptionShift):INDEX($FK$325:$ID$396,GR$169,SwaptionMonthsToGo+SwaptionShift))))))</f>
        <v/>
      </c>
      <c r="GS211" s="479" t="str">
        <f ca="1">IF(OR(GS$169&lt;SwaptionFirstMonthPosition+1,$FJ211&lt;SwaptionFirstMonthPosition+1,GS$169&gt;SwaptionFirstMonthPosition+SwaptionNumOfMonths+1,$FJ211&gt;SwaptionFirstMonthPosition+SwaptionNumOfMonths+1),"",IF($FJ211=GS$169,1,IF($FJ211&lt;GS$169,INDEX($FK$170:$ID$241,GS$169,$FJ211),SUMPRODUCT(INDEX($FK$325:$ID$396,GS$169,1+SwaptionShift):INDEX($FK$325:$ID$396,GS$169,SwaptionMonthsToGo+SwaptionShift),INDEX($FK$245:$ID$316,$FJ211-GS$169,73-GS$169+SwaptionShift):INDEX($FK$245:$ID$316,$FJ211-GS$169,72-GS$169+SwaptionMonthsToGo+SwaptionShift))/SQRT(SUM(INDEX($FK366:$ID366,1+SwaptionShift):INDEX($FK366:$ID366,SwaptionMonthsToGo+SwaptionShift))*SUM(INDEX($FK$325:$ID$396,GS$169,1+SwaptionShift):INDEX($FK$325:$ID$396,GS$169,SwaptionMonthsToGo+SwaptionShift))))))</f>
        <v/>
      </c>
      <c r="GT211" s="479" t="str">
        <f ca="1">IF(OR(GT$169&lt;SwaptionFirstMonthPosition+1,$FJ211&lt;SwaptionFirstMonthPosition+1,GT$169&gt;SwaptionFirstMonthPosition+SwaptionNumOfMonths+1,$FJ211&gt;SwaptionFirstMonthPosition+SwaptionNumOfMonths+1),"",IF($FJ211=GT$169,1,IF($FJ211&lt;GT$169,INDEX($FK$170:$ID$241,GT$169,$FJ211),SUMPRODUCT(INDEX($FK$325:$ID$396,GT$169,1+SwaptionShift):INDEX($FK$325:$ID$396,GT$169,SwaptionMonthsToGo+SwaptionShift),INDEX($FK$245:$ID$316,$FJ211-GT$169,73-GT$169+SwaptionShift):INDEX($FK$245:$ID$316,$FJ211-GT$169,72-GT$169+SwaptionMonthsToGo+SwaptionShift))/SQRT(SUM(INDEX($FK366:$ID366,1+SwaptionShift):INDEX($FK366:$ID366,SwaptionMonthsToGo+SwaptionShift))*SUM(INDEX($FK$325:$ID$396,GT$169,1+SwaptionShift):INDEX($FK$325:$ID$396,GT$169,SwaptionMonthsToGo+SwaptionShift))))))</f>
        <v/>
      </c>
      <c r="GU211" s="479" t="str">
        <f ca="1">IF(OR(GU$169&lt;SwaptionFirstMonthPosition+1,$FJ211&lt;SwaptionFirstMonthPosition+1,GU$169&gt;SwaptionFirstMonthPosition+SwaptionNumOfMonths+1,$FJ211&gt;SwaptionFirstMonthPosition+SwaptionNumOfMonths+1),"",IF($FJ211=GU$169,1,IF($FJ211&lt;GU$169,INDEX($FK$170:$ID$241,GU$169,$FJ211),SUMPRODUCT(INDEX($FK$325:$ID$396,GU$169,1+SwaptionShift):INDEX($FK$325:$ID$396,GU$169,SwaptionMonthsToGo+SwaptionShift),INDEX($FK$245:$ID$316,$FJ211-GU$169,73-GU$169+SwaptionShift):INDEX($FK$245:$ID$316,$FJ211-GU$169,72-GU$169+SwaptionMonthsToGo+SwaptionShift))/SQRT(SUM(INDEX($FK366:$ID366,1+SwaptionShift):INDEX($FK366:$ID366,SwaptionMonthsToGo+SwaptionShift))*SUM(INDEX($FK$325:$ID$396,GU$169,1+SwaptionShift):INDEX($FK$325:$ID$396,GU$169,SwaptionMonthsToGo+SwaptionShift))))))</f>
        <v/>
      </c>
      <c r="GV211" s="479" t="str">
        <f ca="1">IF(OR(GV$169&lt;SwaptionFirstMonthPosition+1,$FJ211&lt;SwaptionFirstMonthPosition+1,GV$169&gt;SwaptionFirstMonthPosition+SwaptionNumOfMonths+1,$FJ211&gt;SwaptionFirstMonthPosition+SwaptionNumOfMonths+1),"",IF($FJ211=GV$169,1,IF($FJ211&lt;GV$169,INDEX($FK$170:$ID$241,GV$169,$FJ211),SUMPRODUCT(INDEX($FK$325:$ID$396,GV$169,1+SwaptionShift):INDEX($FK$325:$ID$396,GV$169,SwaptionMonthsToGo+SwaptionShift),INDEX($FK$245:$ID$316,$FJ211-GV$169,73-GV$169+SwaptionShift):INDEX($FK$245:$ID$316,$FJ211-GV$169,72-GV$169+SwaptionMonthsToGo+SwaptionShift))/SQRT(SUM(INDEX($FK366:$ID366,1+SwaptionShift):INDEX($FK366:$ID366,SwaptionMonthsToGo+SwaptionShift))*SUM(INDEX($FK$325:$ID$396,GV$169,1+SwaptionShift):INDEX($FK$325:$ID$396,GV$169,SwaptionMonthsToGo+SwaptionShift))))))</f>
        <v/>
      </c>
      <c r="GW211" s="479" t="str">
        <f ca="1">IF(OR(GW$169&lt;SwaptionFirstMonthPosition+1,$FJ211&lt;SwaptionFirstMonthPosition+1,GW$169&gt;SwaptionFirstMonthPosition+SwaptionNumOfMonths+1,$FJ211&gt;SwaptionFirstMonthPosition+SwaptionNumOfMonths+1),"",IF($FJ211=GW$169,1,IF($FJ211&lt;GW$169,INDEX($FK$170:$ID$241,GW$169,$FJ211),SUMPRODUCT(INDEX($FK$325:$ID$396,GW$169,1+SwaptionShift):INDEX($FK$325:$ID$396,GW$169,SwaptionMonthsToGo+SwaptionShift),INDEX($FK$245:$ID$316,$FJ211-GW$169,73-GW$169+SwaptionShift):INDEX($FK$245:$ID$316,$FJ211-GW$169,72-GW$169+SwaptionMonthsToGo+SwaptionShift))/SQRT(SUM(INDEX($FK366:$ID366,1+SwaptionShift):INDEX($FK366:$ID366,SwaptionMonthsToGo+SwaptionShift))*SUM(INDEX($FK$325:$ID$396,GW$169,1+SwaptionShift):INDEX($FK$325:$ID$396,GW$169,SwaptionMonthsToGo+SwaptionShift))))))</f>
        <v/>
      </c>
      <c r="GX211" s="479" t="str">
        <f ca="1">IF(OR(GX$169&lt;SwaptionFirstMonthPosition+1,$FJ211&lt;SwaptionFirstMonthPosition+1,GX$169&gt;SwaptionFirstMonthPosition+SwaptionNumOfMonths+1,$FJ211&gt;SwaptionFirstMonthPosition+SwaptionNumOfMonths+1),"",IF($FJ211=GX$169,1,IF($FJ211&lt;GX$169,INDEX($FK$170:$ID$241,GX$169,$FJ211),SUMPRODUCT(INDEX($FK$325:$ID$396,GX$169,1+SwaptionShift):INDEX($FK$325:$ID$396,GX$169,SwaptionMonthsToGo+SwaptionShift),INDEX($FK$245:$ID$316,$FJ211-GX$169,73-GX$169+SwaptionShift):INDEX($FK$245:$ID$316,$FJ211-GX$169,72-GX$169+SwaptionMonthsToGo+SwaptionShift))/SQRT(SUM(INDEX($FK366:$ID366,1+SwaptionShift):INDEX($FK366:$ID366,SwaptionMonthsToGo+SwaptionShift))*SUM(INDEX($FK$325:$ID$396,GX$169,1+SwaptionShift):INDEX($FK$325:$ID$396,GX$169,SwaptionMonthsToGo+SwaptionShift))))))</f>
        <v/>
      </c>
      <c r="GY211" s="479" t="str">
        <f ca="1">IF(OR(GY$169&lt;SwaptionFirstMonthPosition+1,$FJ211&lt;SwaptionFirstMonthPosition+1,GY$169&gt;SwaptionFirstMonthPosition+SwaptionNumOfMonths+1,$FJ211&gt;SwaptionFirstMonthPosition+SwaptionNumOfMonths+1),"",IF($FJ211=GY$169,1,IF($FJ211&lt;GY$169,INDEX($FK$170:$ID$241,GY$169,$FJ211),SUMPRODUCT(INDEX($FK$325:$ID$396,GY$169,1+SwaptionShift):INDEX($FK$325:$ID$396,GY$169,SwaptionMonthsToGo+SwaptionShift),INDEX($FK$245:$ID$316,$FJ211-GY$169,73-GY$169+SwaptionShift):INDEX($FK$245:$ID$316,$FJ211-GY$169,72-GY$169+SwaptionMonthsToGo+SwaptionShift))/SQRT(SUM(INDEX($FK366:$ID366,1+SwaptionShift):INDEX($FK366:$ID366,SwaptionMonthsToGo+SwaptionShift))*SUM(INDEX($FK$325:$ID$396,GY$169,1+SwaptionShift):INDEX($FK$325:$ID$396,GY$169,SwaptionMonthsToGo+SwaptionShift))))))</f>
        <v/>
      </c>
      <c r="GZ211" s="479" t="str">
        <f ca="1">IF(OR(GZ$169&lt;SwaptionFirstMonthPosition+1,$FJ211&lt;SwaptionFirstMonthPosition+1,GZ$169&gt;SwaptionFirstMonthPosition+SwaptionNumOfMonths+1,$FJ211&gt;SwaptionFirstMonthPosition+SwaptionNumOfMonths+1),"",IF($FJ211=GZ$169,1,IF($FJ211&lt;GZ$169,INDEX($FK$170:$ID$241,GZ$169,$FJ211),SUMPRODUCT(INDEX($FK$325:$ID$396,GZ$169,1+SwaptionShift):INDEX($FK$325:$ID$396,GZ$169,SwaptionMonthsToGo+SwaptionShift),INDEX($FK$245:$ID$316,$FJ211-GZ$169,73-GZ$169+SwaptionShift):INDEX($FK$245:$ID$316,$FJ211-GZ$169,72-GZ$169+SwaptionMonthsToGo+SwaptionShift))/SQRT(SUM(INDEX($FK366:$ID366,1+SwaptionShift):INDEX($FK366:$ID366,SwaptionMonthsToGo+SwaptionShift))*SUM(INDEX($FK$325:$ID$396,GZ$169,1+SwaptionShift):INDEX($FK$325:$ID$396,GZ$169,SwaptionMonthsToGo+SwaptionShift))))))</f>
        <v/>
      </c>
      <c r="HA211" s="479" t="str">
        <f ca="1">IF(OR(HA$169&lt;SwaptionFirstMonthPosition+1,$FJ211&lt;SwaptionFirstMonthPosition+1,HA$169&gt;SwaptionFirstMonthPosition+SwaptionNumOfMonths+1,$FJ211&gt;SwaptionFirstMonthPosition+SwaptionNumOfMonths+1),"",IF($FJ211=HA$169,1,IF($FJ211&lt;HA$169,INDEX($FK$170:$ID$241,HA$169,$FJ211),SUMPRODUCT(INDEX($FK$325:$ID$396,HA$169,1+SwaptionShift):INDEX($FK$325:$ID$396,HA$169,SwaptionMonthsToGo+SwaptionShift),INDEX($FK$245:$ID$316,$FJ211-HA$169,73-HA$169+SwaptionShift):INDEX($FK$245:$ID$316,$FJ211-HA$169,72-HA$169+SwaptionMonthsToGo+SwaptionShift))/SQRT(SUM(INDEX($FK366:$ID366,1+SwaptionShift):INDEX($FK366:$ID366,SwaptionMonthsToGo+SwaptionShift))*SUM(INDEX($FK$325:$ID$396,HA$169,1+SwaptionShift):INDEX($FK$325:$ID$396,HA$169,SwaptionMonthsToGo+SwaptionShift))))))</f>
        <v/>
      </c>
      <c r="HB211" s="479" t="str">
        <f ca="1">IF(OR(HB$169&lt;SwaptionFirstMonthPosition+1,$FJ211&lt;SwaptionFirstMonthPosition+1,HB$169&gt;SwaptionFirstMonthPosition+SwaptionNumOfMonths+1,$FJ211&gt;SwaptionFirstMonthPosition+SwaptionNumOfMonths+1),"",IF($FJ211=HB$169,1,IF($FJ211&lt;HB$169,INDEX($FK$170:$ID$241,HB$169,$FJ211),SUMPRODUCT(INDEX($FK$325:$ID$396,HB$169,1+SwaptionShift):INDEX($FK$325:$ID$396,HB$169,SwaptionMonthsToGo+SwaptionShift),INDEX($FK$245:$ID$316,$FJ211-HB$169,73-HB$169+SwaptionShift):INDEX($FK$245:$ID$316,$FJ211-HB$169,72-HB$169+SwaptionMonthsToGo+SwaptionShift))/SQRT(SUM(INDEX($FK366:$ID366,1+SwaptionShift):INDEX($FK366:$ID366,SwaptionMonthsToGo+SwaptionShift))*SUM(INDEX($FK$325:$ID$396,HB$169,1+SwaptionShift):INDEX($FK$325:$ID$396,HB$169,SwaptionMonthsToGo+SwaptionShift))))))</f>
        <v/>
      </c>
      <c r="HC211" s="479" t="str">
        <f ca="1">IF(OR(HC$169&lt;SwaptionFirstMonthPosition+1,$FJ211&lt;SwaptionFirstMonthPosition+1,HC$169&gt;SwaptionFirstMonthPosition+SwaptionNumOfMonths+1,$FJ211&gt;SwaptionFirstMonthPosition+SwaptionNumOfMonths+1),"",IF($FJ211=HC$169,1,IF($FJ211&lt;HC$169,INDEX($FK$170:$ID$241,HC$169,$FJ211),SUMPRODUCT(INDEX($FK$325:$ID$396,HC$169,1+SwaptionShift):INDEX($FK$325:$ID$396,HC$169,SwaptionMonthsToGo+SwaptionShift),INDEX($FK$245:$ID$316,$FJ211-HC$169,73-HC$169+SwaptionShift):INDEX($FK$245:$ID$316,$FJ211-HC$169,72-HC$169+SwaptionMonthsToGo+SwaptionShift))/SQRT(SUM(INDEX($FK366:$ID366,1+SwaptionShift):INDEX($FK366:$ID366,SwaptionMonthsToGo+SwaptionShift))*SUM(INDEX($FK$325:$ID$396,HC$169,1+SwaptionShift):INDEX($FK$325:$ID$396,HC$169,SwaptionMonthsToGo+SwaptionShift))))))</f>
        <v/>
      </c>
      <c r="HD211" s="479" t="str">
        <f ca="1">IF(OR(HD$169&lt;SwaptionFirstMonthPosition+1,$FJ211&lt;SwaptionFirstMonthPosition+1,HD$169&gt;SwaptionFirstMonthPosition+SwaptionNumOfMonths+1,$FJ211&gt;SwaptionFirstMonthPosition+SwaptionNumOfMonths+1),"",IF($FJ211=HD$169,1,IF($FJ211&lt;HD$169,INDEX($FK$170:$ID$241,HD$169,$FJ211),SUMPRODUCT(INDEX($FK$325:$ID$396,HD$169,1+SwaptionShift):INDEX($FK$325:$ID$396,HD$169,SwaptionMonthsToGo+SwaptionShift),INDEX($FK$245:$ID$316,$FJ211-HD$169,73-HD$169+SwaptionShift):INDEX($FK$245:$ID$316,$FJ211-HD$169,72-HD$169+SwaptionMonthsToGo+SwaptionShift))/SQRT(SUM(INDEX($FK366:$ID366,1+SwaptionShift):INDEX($FK366:$ID366,SwaptionMonthsToGo+SwaptionShift))*SUM(INDEX($FK$325:$ID$396,HD$169,1+SwaptionShift):INDEX($FK$325:$ID$396,HD$169,SwaptionMonthsToGo+SwaptionShift))))))</f>
        <v/>
      </c>
      <c r="HE211" s="479" t="str">
        <f ca="1">IF(OR(HE$169&lt;SwaptionFirstMonthPosition+1,$FJ211&lt;SwaptionFirstMonthPosition+1,HE$169&gt;SwaptionFirstMonthPosition+SwaptionNumOfMonths+1,$FJ211&gt;SwaptionFirstMonthPosition+SwaptionNumOfMonths+1),"",IF($FJ211=HE$169,1,IF($FJ211&lt;HE$169,INDEX($FK$170:$ID$241,HE$169,$FJ211),SUMPRODUCT(INDEX($FK$325:$ID$396,HE$169,1+SwaptionShift):INDEX($FK$325:$ID$396,HE$169,SwaptionMonthsToGo+SwaptionShift),INDEX($FK$245:$ID$316,$FJ211-HE$169,73-HE$169+SwaptionShift):INDEX($FK$245:$ID$316,$FJ211-HE$169,72-HE$169+SwaptionMonthsToGo+SwaptionShift))/SQRT(SUM(INDEX($FK366:$ID366,1+SwaptionShift):INDEX($FK366:$ID366,SwaptionMonthsToGo+SwaptionShift))*SUM(INDEX($FK$325:$ID$396,HE$169,1+SwaptionShift):INDEX($FK$325:$ID$396,HE$169,SwaptionMonthsToGo+SwaptionShift))))))</f>
        <v/>
      </c>
      <c r="HF211" s="479" t="str">
        <f ca="1">IF(OR(HF$169&lt;SwaptionFirstMonthPosition+1,$FJ211&lt;SwaptionFirstMonthPosition+1,HF$169&gt;SwaptionFirstMonthPosition+SwaptionNumOfMonths+1,$FJ211&gt;SwaptionFirstMonthPosition+SwaptionNumOfMonths+1),"",IF($FJ211=HF$169,1,IF($FJ211&lt;HF$169,INDEX($FK$170:$ID$241,HF$169,$FJ211),SUMPRODUCT(INDEX($FK$325:$ID$396,HF$169,1+SwaptionShift):INDEX($FK$325:$ID$396,HF$169,SwaptionMonthsToGo+SwaptionShift),INDEX($FK$245:$ID$316,$FJ211-HF$169,73-HF$169+SwaptionShift):INDEX($FK$245:$ID$316,$FJ211-HF$169,72-HF$169+SwaptionMonthsToGo+SwaptionShift))/SQRT(SUM(INDEX($FK366:$ID366,1+SwaptionShift):INDEX($FK366:$ID366,SwaptionMonthsToGo+SwaptionShift))*SUM(INDEX($FK$325:$ID$396,HF$169,1+SwaptionShift):INDEX($FK$325:$ID$396,HF$169,SwaptionMonthsToGo+SwaptionShift))))))</f>
        <v/>
      </c>
      <c r="HG211" s="479" t="str">
        <f ca="1">IF(OR(HG$169&lt;SwaptionFirstMonthPosition+1,$FJ211&lt;SwaptionFirstMonthPosition+1,HG$169&gt;SwaptionFirstMonthPosition+SwaptionNumOfMonths+1,$FJ211&gt;SwaptionFirstMonthPosition+SwaptionNumOfMonths+1),"",IF($FJ211=HG$169,1,IF($FJ211&lt;HG$169,INDEX($FK$170:$ID$241,HG$169,$FJ211),SUMPRODUCT(INDEX($FK$325:$ID$396,HG$169,1+SwaptionShift):INDEX($FK$325:$ID$396,HG$169,SwaptionMonthsToGo+SwaptionShift),INDEX($FK$245:$ID$316,$FJ211-HG$169,73-HG$169+SwaptionShift):INDEX($FK$245:$ID$316,$FJ211-HG$169,72-HG$169+SwaptionMonthsToGo+SwaptionShift))/SQRT(SUM(INDEX($FK366:$ID366,1+SwaptionShift):INDEX($FK366:$ID366,SwaptionMonthsToGo+SwaptionShift))*SUM(INDEX($FK$325:$ID$396,HG$169,1+SwaptionShift):INDEX($FK$325:$ID$396,HG$169,SwaptionMonthsToGo+SwaptionShift))))))</f>
        <v/>
      </c>
      <c r="HH211" s="479" t="str">
        <f ca="1">IF(OR(HH$169&lt;SwaptionFirstMonthPosition+1,$FJ211&lt;SwaptionFirstMonthPosition+1,HH$169&gt;SwaptionFirstMonthPosition+SwaptionNumOfMonths+1,$FJ211&gt;SwaptionFirstMonthPosition+SwaptionNumOfMonths+1),"",IF($FJ211=HH$169,1,IF($FJ211&lt;HH$169,INDEX($FK$170:$ID$241,HH$169,$FJ211),SUMPRODUCT(INDEX($FK$325:$ID$396,HH$169,1+SwaptionShift):INDEX($FK$325:$ID$396,HH$169,SwaptionMonthsToGo+SwaptionShift),INDEX($FK$245:$ID$316,$FJ211-HH$169,73-HH$169+SwaptionShift):INDEX($FK$245:$ID$316,$FJ211-HH$169,72-HH$169+SwaptionMonthsToGo+SwaptionShift))/SQRT(SUM(INDEX($FK366:$ID366,1+SwaptionShift):INDEX($FK366:$ID366,SwaptionMonthsToGo+SwaptionShift))*SUM(INDEX($FK$325:$ID$396,HH$169,1+SwaptionShift):INDEX($FK$325:$ID$396,HH$169,SwaptionMonthsToGo+SwaptionShift))))))</f>
        <v/>
      </c>
      <c r="HI211" s="479" t="str">
        <f ca="1">IF(OR(HI$169&lt;SwaptionFirstMonthPosition+1,$FJ211&lt;SwaptionFirstMonthPosition+1,HI$169&gt;SwaptionFirstMonthPosition+SwaptionNumOfMonths+1,$FJ211&gt;SwaptionFirstMonthPosition+SwaptionNumOfMonths+1),"",IF($FJ211=HI$169,1,IF($FJ211&lt;HI$169,INDEX($FK$170:$ID$241,HI$169,$FJ211),SUMPRODUCT(INDEX($FK$325:$ID$396,HI$169,1+SwaptionShift):INDEX($FK$325:$ID$396,HI$169,SwaptionMonthsToGo+SwaptionShift),INDEX($FK$245:$ID$316,$FJ211-HI$169,73-HI$169+SwaptionShift):INDEX($FK$245:$ID$316,$FJ211-HI$169,72-HI$169+SwaptionMonthsToGo+SwaptionShift))/SQRT(SUM(INDEX($FK366:$ID366,1+SwaptionShift):INDEX($FK366:$ID366,SwaptionMonthsToGo+SwaptionShift))*SUM(INDEX($FK$325:$ID$396,HI$169,1+SwaptionShift):INDEX($FK$325:$ID$396,HI$169,SwaptionMonthsToGo+SwaptionShift))))))</f>
        <v/>
      </c>
      <c r="HJ211" s="479" t="str">
        <f ca="1">IF(OR(HJ$169&lt;SwaptionFirstMonthPosition+1,$FJ211&lt;SwaptionFirstMonthPosition+1,HJ$169&gt;SwaptionFirstMonthPosition+SwaptionNumOfMonths+1,$FJ211&gt;SwaptionFirstMonthPosition+SwaptionNumOfMonths+1),"",IF($FJ211=HJ$169,1,IF($FJ211&lt;HJ$169,INDEX($FK$170:$ID$241,HJ$169,$FJ211),SUMPRODUCT(INDEX($FK$325:$ID$396,HJ$169,1+SwaptionShift):INDEX($FK$325:$ID$396,HJ$169,SwaptionMonthsToGo+SwaptionShift),INDEX($FK$245:$ID$316,$FJ211-HJ$169,73-HJ$169+SwaptionShift):INDEX($FK$245:$ID$316,$FJ211-HJ$169,72-HJ$169+SwaptionMonthsToGo+SwaptionShift))/SQRT(SUM(INDEX($FK366:$ID366,1+SwaptionShift):INDEX($FK366:$ID366,SwaptionMonthsToGo+SwaptionShift))*SUM(INDEX($FK$325:$ID$396,HJ$169,1+SwaptionShift):INDEX($FK$325:$ID$396,HJ$169,SwaptionMonthsToGo+SwaptionShift))))))</f>
        <v/>
      </c>
      <c r="HK211" s="479" t="str">
        <f ca="1">IF(OR(HK$169&lt;SwaptionFirstMonthPosition+1,$FJ211&lt;SwaptionFirstMonthPosition+1,HK$169&gt;SwaptionFirstMonthPosition+SwaptionNumOfMonths+1,$FJ211&gt;SwaptionFirstMonthPosition+SwaptionNumOfMonths+1),"",IF($FJ211=HK$169,1,IF($FJ211&lt;HK$169,INDEX($FK$170:$ID$241,HK$169,$FJ211),SUMPRODUCT(INDEX($FK$325:$ID$396,HK$169,1+SwaptionShift):INDEX($FK$325:$ID$396,HK$169,SwaptionMonthsToGo+SwaptionShift),INDEX($FK$245:$ID$316,$FJ211-HK$169,73-HK$169+SwaptionShift):INDEX($FK$245:$ID$316,$FJ211-HK$169,72-HK$169+SwaptionMonthsToGo+SwaptionShift))/SQRT(SUM(INDEX($FK366:$ID366,1+SwaptionShift):INDEX($FK366:$ID366,SwaptionMonthsToGo+SwaptionShift))*SUM(INDEX($FK$325:$ID$396,HK$169,1+SwaptionShift):INDEX($FK$325:$ID$396,HK$169,SwaptionMonthsToGo+SwaptionShift))))))</f>
        <v/>
      </c>
      <c r="HL211" s="479" t="str">
        <f ca="1">IF(OR(HL$169&lt;SwaptionFirstMonthPosition+1,$FJ211&lt;SwaptionFirstMonthPosition+1,HL$169&gt;SwaptionFirstMonthPosition+SwaptionNumOfMonths+1,$FJ211&gt;SwaptionFirstMonthPosition+SwaptionNumOfMonths+1),"",IF($FJ211=HL$169,1,IF($FJ211&lt;HL$169,INDEX($FK$170:$ID$241,HL$169,$FJ211),SUMPRODUCT(INDEX($FK$325:$ID$396,HL$169,1+SwaptionShift):INDEX($FK$325:$ID$396,HL$169,SwaptionMonthsToGo+SwaptionShift),INDEX($FK$245:$ID$316,$FJ211-HL$169,73-HL$169+SwaptionShift):INDEX($FK$245:$ID$316,$FJ211-HL$169,72-HL$169+SwaptionMonthsToGo+SwaptionShift))/SQRT(SUM(INDEX($FK366:$ID366,1+SwaptionShift):INDEX($FK366:$ID366,SwaptionMonthsToGo+SwaptionShift))*SUM(INDEX($FK$325:$ID$396,HL$169,1+SwaptionShift):INDEX($FK$325:$ID$396,HL$169,SwaptionMonthsToGo+SwaptionShift))))))</f>
        <v/>
      </c>
      <c r="HM211" s="479" t="str">
        <f ca="1">IF(OR(HM$169&lt;SwaptionFirstMonthPosition+1,$FJ211&lt;SwaptionFirstMonthPosition+1,HM$169&gt;SwaptionFirstMonthPosition+SwaptionNumOfMonths+1,$FJ211&gt;SwaptionFirstMonthPosition+SwaptionNumOfMonths+1),"",IF($FJ211=HM$169,1,IF($FJ211&lt;HM$169,INDEX($FK$170:$ID$241,HM$169,$FJ211),SUMPRODUCT(INDEX($FK$325:$ID$396,HM$169,1+SwaptionShift):INDEX($FK$325:$ID$396,HM$169,SwaptionMonthsToGo+SwaptionShift),INDEX($FK$245:$ID$316,$FJ211-HM$169,73-HM$169+SwaptionShift):INDEX($FK$245:$ID$316,$FJ211-HM$169,72-HM$169+SwaptionMonthsToGo+SwaptionShift))/SQRT(SUM(INDEX($FK366:$ID366,1+SwaptionShift):INDEX($FK366:$ID366,SwaptionMonthsToGo+SwaptionShift))*SUM(INDEX($FK$325:$ID$396,HM$169,1+SwaptionShift):INDEX($FK$325:$ID$396,HM$169,SwaptionMonthsToGo+SwaptionShift))))))</f>
        <v/>
      </c>
      <c r="HN211" s="479" t="str">
        <f ca="1">IF(OR(HN$169&lt;SwaptionFirstMonthPosition+1,$FJ211&lt;SwaptionFirstMonthPosition+1,HN$169&gt;SwaptionFirstMonthPosition+SwaptionNumOfMonths+1,$FJ211&gt;SwaptionFirstMonthPosition+SwaptionNumOfMonths+1),"",IF($FJ211=HN$169,1,IF($FJ211&lt;HN$169,INDEX($FK$170:$ID$241,HN$169,$FJ211),SUMPRODUCT(INDEX($FK$325:$ID$396,HN$169,1+SwaptionShift):INDEX($FK$325:$ID$396,HN$169,SwaptionMonthsToGo+SwaptionShift),INDEX($FK$245:$ID$316,$FJ211-HN$169,73-HN$169+SwaptionShift):INDEX($FK$245:$ID$316,$FJ211-HN$169,72-HN$169+SwaptionMonthsToGo+SwaptionShift))/SQRT(SUM(INDEX($FK366:$ID366,1+SwaptionShift):INDEX($FK366:$ID366,SwaptionMonthsToGo+SwaptionShift))*SUM(INDEX($FK$325:$ID$396,HN$169,1+SwaptionShift):INDEX($FK$325:$ID$396,HN$169,SwaptionMonthsToGo+SwaptionShift))))))</f>
        <v/>
      </c>
      <c r="HO211" s="479" t="str">
        <f ca="1">IF(OR(HO$169&lt;SwaptionFirstMonthPosition+1,$FJ211&lt;SwaptionFirstMonthPosition+1,HO$169&gt;SwaptionFirstMonthPosition+SwaptionNumOfMonths+1,$FJ211&gt;SwaptionFirstMonthPosition+SwaptionNumOfMonths+1),"",IF($FJ211=HO$169,1,IF($FJ211&lt;HO$169,INDEX($FK$170:$ID$241,HO$169,$FJ211),SUMPRODUCT(INDEX($FK$325:$ID$396,HO$169,1+SwaptionShift):INDEX($FK$325:$ID$396,HO$169,SwaptionMonthsToGo+SwaptionShift),INDEX($FK$245:$ID$316,$FJ211-HO$169,73-HO$169+SwaptionShift):INDEX($FK$245:$ID$316,$FJ211-HO$169,72-HO$169+SwaptionMonthsToGo+SwaptionShift))/SQRT(SUM(INDEX($FK366:$ID366,1+SwaptionShift):INDEX($FK366:$ID366,SwaptionMonthsToGo+SwaptionShift))*SUM(INDEX($FK$325:$ID$396,HO$169,1+SwaptionShift):INDEX($FK$325:$ID$396,HO$169,SwaptionMonthsToGo+SwaptionShift))))))</f>
        <v/>
      </c>
      <c r="HP211" s="479" t="str">
        <f ca="1">IF(OR(HP$169&lt;SwaptionFirstMonthPosition+1,$FJ211&lt;SwaptionFirstMonthPosition+1,HP$169&gt;SwaptionFirstMonthPosition+SwaptionNumOfMonths+1,$FJ211&gt;SwaptionFirstMonthPosition+SwaptionNumOfMonths+1),"",IF($FJ211=HP$169,1,IF($FJ211&lt;HP$169,INDEX($FK$170:$ID$241,HP$169,$FJ211),SUMPRODUCT(INDEX($FK$325:$ID$396,HP$169,1+SwaptionShift):INDEX($FK$325:$ID$396,HP$169,SwaptionMonthsToGo+SwaptionShift),INDEX($FK$245:$ID$316,$FJ211-HP$169,73-HP$169+SwaptionShift):INDEX($FK$245:$ID$316,$FJ211-HP$169,72-HP$169+SwaptionMonthsToGo+SwaptionShift))/SQRT(SUM(INDEX($FK366:$ID366,1+SwaptionShift):INDEX($FK366:$ID366,SwaptionMonthsToGo+SwaptionShift))*SUM(INDEX($FK$325:$ID$396,HP$169,1+SwaptionShift):INDEX($FK$325:$ID$396,HP$169,SwaptionMonthsToGo+SwaptionShift))))))</f>
        <v/>
      </c>
      <c r="HQ211" s="479" t="str">
        <f ca="1">IF(OR(HQ$169&lt;SwaptionFirstMonthPosition+1,$FJ211&lt;SwaptionFirstMonthPosition+1,HQ$169&gt;SwaptionFirstMonthPosition+SwaptionNumOfMonths+1,$FJ211&gt;SwaptionFirstMonthPosition+SwaptionNumOfMonths+1),"",IF($FJ211=HQ$169,1,IF($FJ211&lt;HQ$169,INDEX($FK$170:$ID$241,HQ$169,$FJ211),SUMPRODUCT(INDEX($FK$325:$ID$396,HQ$169,1+SwaptionShift):INDEX($FK$325:$ID$396,HQ$169,SwaptionMonthsToGo+SwaptionShift),INDEX($FK$245:$ID$316,$FJ211-HQ$169,73-HQ$169+SwaptionShift):INDEX($FK$245:$ID$316,$FJ211-HQ$169,72-HQ$169+SwaptionMonthsToGo+SwaptionShift))/SQRT(SUM(INDEX($FK366:$ID366,1+SwaptionShift):INDEX($FK366:$ID366,SwaptionMonthsToGo+SwaptionShift))*SUM(INDEX($FK$325:$ID$396,HQ$169,1+SwaptionShift):INDEX($FK$325:$ID$396,HQ$169,SwaptionMonthsToGo+SwaptionShift))))))</f>
        <v/>
      </c>
      <c r="HR211" s="479" t="str">
        <f ca="1">IF(OR(HR$169&lt;SwaptionFirstMonthPosition+1,$FJ211&lt;SwaptionFirstMonthPosition+1,HR$169&gt;SwaptionFirstMonthPosition+SwaptionNumOfMonths+1,$FJ211&gt;SwaptionFirstMonthPosition+SwaptionNumOfMonths+1),"",IF($FJ211=HR$169,1,IF($FJ211&lt;HR$169,INDEX($FK$170:$ID$241,HR$169,$FJ211),SUMPRODUCT(INDEX($FK$325:$ID$396,HR$169,1+SwaptionShift):INDEX($FK$325:$ID$396,HR$169,SwaptionMonthsToGo+SwaptionShift),INDEX($FK$245:$ID$316,$FJ211-HR$169,73-HR$169+SwaptionShift):INDEX($FK$245:$ID$316,$FJ211-HR$169,72-HR$169+SwaptionMonthsToGo+SwaptionShift))/SQRT(SUM(INDEX($FK366:$ID366,1+SwaptionShift):INDEX($FK366:$ID366,SwaptionMonthsToGo+SwaptionShift))*SUM(INDEX($FK$325:$ID$396,HR$169,1+SwaptionShift):INDEX($FK$325:$ID$396,HR$169,SwaptionMonthsToGo+SwaptionShift))))))</f>
        <v/>
      </c>
      <c r="HS211" s="479" t="str">
        <f ca="1">IF(OR(HS$169&lt;SwaptionFirstMonthPosition+1,$FJ211&lt;SwaptionFirstMonthPosition+1,HS$169&gt;SwaptionFirstMonthPosition+SwaptionNumOfMonths+1,$FJ211&gt;SwaptionFirstMonthPosition+SwaptionNumOfMonths+1),"",IF($FJ211=HS$169,1,IF($FJ211&lt;HS$169,INDEX($FK$170:$ID$241,HS$169,$FJ211),SUMPRODUCT(INDEX($FK$325:$ID$396,HS$169,1+SwaptionShift):INDEX($FK$325:$ID$396,HS$169,SwaptionMonthsToGo+SwaptionShift),INDEX($FK$245:$ID$316,$FJ211-HS$169,73-HS$169+SwaptionShift):INDEX($FK$245:$ID$316,$FJ211-HS$169,72-HS$169+SwaptionMonthsToGo+SwaptionShift))/SQRT(SUM(INDEX($FK366:$ID366,1+SwaptionShift):INDEX($FK366:$ID366,SwaptionMonthsToGo+SwaptionShift))*SUM(INDEX($FK$325:$ID$396,HS$169,1+SwaptionShift):INDEX($FK$325:$ID$396,HS$169,SwaptionMonthsToGo+SwaptionShift))))))</f>
        <v/>
      </c>
      <c r="HT211" s="479" t="str">
        <f ca="1">IF(OR(HT$169&lt;SwaptionFirstMonthPosition+1,$FJ211&lt;SwaptionFirstMonthPosition+1,HT$169&gt;SwaptionFirstMonthPosition+SwaptionNumOfMonths+1,$FJ211&gt;SwaptionFirstMonthPosition+SwaptionNumOfMonths+1),"",IF($FJ211=HT$169,1,IF($FJ211&lt;HT$169,INDEX($FK$170:$ID$241,HT$169,$FJ211),SUMPRODUCT(INDEX($FK$325:$ID$396,HT$169,1+SwaptionShift):INDEX($FK$325:$ID$396,HT$169,SwaptionMonthsToGo+SwaptionShift),INDEX($FK$245:$ID$316,$FJ211-HT$169,73-HT$169+SwaptionShift):INDEX($FK$245:$ID$316,$FJ211-HT$169,72-HT$169+SwaptionMonthsToGo+SwaptionShift))/SQRT(SUM(INDEX($FK366:$ID366,1+SwaptionShift):INDEX($FK366:$ID366,SwaptionMonthsToGo+SwaptionShift))*SUM(INDEX($FK$325:$ID$396,HT$169,1+SwaptionShift):INDEX($FK$325:$ID$396,HT$169,SwaptionMonthsToGo+SwaptionShift))))))</f>
        <v/>
      </c>
      <c r="HU211" s="479" t="str">
        <f ca="1">IF(OR(HU$169&lt;SwaptionFirstMonthPosition+1,$FJ211&lt;SwaptionFirstMonthPosition+1,HU$169&gt;SwaptionFirstMonthPosition+SwaptionNumOfMonths+1,$FJ211&gt;SwaptionFirstMonthPosition+SwaptionNumOfMonths+1),"",IF($FJ211=HU$169,1,IF($FJ211&lt;HU$169,INDEX($FK$170:$ID$241,HU$169,$FJ211),SUMPRODUCT(INDEX($FK$325:$ID$396,HU$169,1+SwaptionShift):INDEX($FK$325:$ID$396,HU$169,SwaptionMonthsToGo+SwaptionShift),INDEX($FK$245:$ID$316,$FJ211-HU$169,73-HU$169+SwaptionShift):INDEX($FK$245:$ID$316,$FJ211-HU$169,72-HU$169+SwaptionMonthsToGo+SwaptionShift))/SQRT(SUM(INDEX($FK366:$ID366,1+SwaptionShift):INDEX($FK366:$ID366,SwaptionMonthsToGo+SwaptionShift))*SUM(INDEX($FK$325:$ID$396,HU$169,1+SwaptionShift):INDEX($FK$325:$ID$396,HU$169,SwaptionMonthsToGo+SwaptionShift))))))</f>
        <v/>
      </c>
      <c r="HV211" s="479" t="str">
        <f ca="1">IF(OR(HV$169&lt;SwaptionFirstMonthPosition+1,$FJ211&lt;SwaptionFirstMonthPosition+1,HV$169&gt;SwaptionFirstMonthPosition+SwaptionNumOfMonths+1,$FJ211&gt;SwaptionFirstMonthPosition+SwaptionNumOfMonths+1),"",IF($FJ211=HV$169,1,IF($FJ211&lt;HV$169,INDEX($FK$170:$ID$241,HV$169,$FJ211),SUMPRODUCT(INDEX($FK$325:$ID$396,HV$169,1+SwaptionShift):INDEX($FK$325:$ID$396,HV$169,SwaptionMonthsToGo+SwaptionShift),INDEX($FK$245:$ID$316,$FJ211-HV$169,73-HV$169+SwaptionShift):INDEX($FK$245:$ID$316,$FJ211-HV$169,72-HV$169+SwaptionMonthsToGo+SwaptionShift))/SQRT(SUM(INDEX($FK366:$ID366,1+SwaptionShift):INDEX($FK366:$ID366,SwaptionMonthsToGo+SwaptionShift))*SUM(INDEX($FK$325:$ID$396,HV$169,1+SwaptionShift):INDEX($FK$325:$ID$396,HV$169,SwaptionMonthsToGo+SwaptionShift))))))</f>
        <v/>
      </c>
      <c r="HW211" s="479" t="str">
        <f ca="1">IF(OR(HW$169&lt;SwaptionFirstMonthPosition+1,$FJ211&lt;SwaptionFirstMonthPosition+1,HW$169&gt;SwaptionFirstMonthPosition+SwaptionNumOfMonths+1,$FJ211&gt;SwaptionFirstMonthPosition+SwaptionNumOfMonths+1),"",IF($FJ211=HW$169,1,IF($FJ211&lt;HW$169,INDEX($FK$170:$ID$241,HW$169,$FJ211),SUMPRODUCT(INDEX($FK$325:$ID$396,HW$169,1+SwaptionShift):INDEX($FK$325:$ID$396,HW$169,SwaptionMonthsToGo+SwaptionShift),INDEX($FK$245:$ID$316,$FJ211-HW$169,73-HW$169+SwaptionShift):INDEX($FK$245:$ID$316,$FJ211-HW$169,72-HW$169+SwaptionMonthsToGo+SwaptionShift))/SQRT(SUM(INDEX($FK366:$ID366,1+SwaptionShift):INDEX($FK366:$ID366,SwaptionMonthsToGo+SwaptionShift))*SUM(INDEX($FK$325:$ID$396,HW$169,1+SwaptionShift):INDEX($FK$325:$ID$396,HW$169,SwaptionMonthsToGo+SwaptionShift))))))</f>
        <v/>
      </c>
      <c r="HX211" s="479" t="str">
        <f ca="1">IF(OR(HX$169&lt;SwaptionFirstMonthPosition+1,$FJ211&lt;SwaptionFirstMonthPosition+1,HX$169&gt;SwaptionFirstMonthPosition+SwaptionNumOfMonths+1,$FJ211&gt;SwaptionFirstMonthPosition+SwaptionNumOfMonths+1),"",IF($FJ211=HX$169,1,IF($FJ211&lt;HX$169,INDEX($FK$170:$ID$241,HX$169,$FJ211),SUMPRODUCT(INDEX($FK$325:$ID$396,HX$169,1+SwaptionShift):INDEX($FK$325:$ID$396,HX$169,SwaptionMonthsToGo+SwaptionShift),INDEX($FK$245:$ID$316,$FJ211-HX$169,73-HX$169+SwaptionShift):INDEX($FK$245:$ID$316,$FJ211-HX$169,72-HX$169+SwaptionMonthsToGo+SwaptionShift))/SQRT(SUM(INDEX($FK366:$ID366,1+SwaptionShift):INDEX($FK366:$ID366,SwaptionMonthsToGo+SwaptionShift))*SUM(INDEX($FK$325:$ID$396,HX$169,1+SwaptionShift):INDEX($FK$325:$ID$396,HX$169,SwaptionMonthsToGo+SwaptionShift))))))</f>
        <v/>
      </c>
      <c r="HY211" s="479" t="str">
        <f ca="1">IF(OR(HY$169&lt;SwaptionFirstMonthPosition+1,$FJ211&lt;SwaptionFirstMonthPosition+1,HY$169&gt;SwaptionFirstMonthPosition+SwaptionNumOfMonths+1,$FJ211&gt;SwaptionFirstMonthPosition+SwaptionNumOfMonths+1),"",IF($FJ211=HY$169,1,IF($FJ211&lt;HY$169,INDEX($FK$170:$ID$241,HY$169,$FJ211),SUMPRODUCT(INDEX($FK$325:$ID$396,HY$169,1+SwaptionShift):INDEX($FK$325:$ID$396,HY$169,SwaptionMonthsToGo+SwaptionShift),INDEX($FK$245:$ID$316,$FJ211-HY$169,73-HY$169+SwaptionShift):INDEX($FK$245:$ID$316,$FJ211-HY$169,72-HY$169+SwaptionMonthsToGo+SwaptionShift))/SQRT(SUM(INDEX($FK366:$ID366,1+SwaptionShift):INDEX($FK366:$ID366,SwaptionMonthsToGo+SwaptionShift))*SUM(INDEX($FK$325:$ID$396,HY$169,1+SwaptionShift):INDEX($FK$325:$ID$396,HY$169,SwaptionMonthsToGo+SwaptionShift))))))</f>
        <v/>
      </c>
      <c r="HZ211" s="479" t="str">
        <f ca="1">IF(OR(HZ$169&lt;SwaptionFirstMonthPosition+1,$FJ211&lt;SwaptionFirstMonthPosition+1,HZ$169&gt;SwaptionFirstMonthPosition+SwaptionNumOfMonths+1,$FJ211&gt;SwaptionFirstMonthPosition+SwaptionNumOfMonths+1),"",IF($FJ211=HZ$169,1,IF($FJ211&lt;HZ$169,INDEX($FK$170:$ID$241,HZ$169,$FJ211),SUMPRODUCT(INDEX($FK$325:$ID$396,HZ$169,1+SwaptionShift):INDEX($FK$325:$ID$396,HZ$169,SwaptionMonthsToGo+SwaptionShift),INDEX($FK$245:$ID$316,$FJ211-HZ$169,73-HZ$169+SwaptionShift):INDEX($FK$245:$ID$316,$FJ211-HZ$169,72-HZ$169+SwaptionMonthsToGo+SwaptionShift))/SQRT(SUM(INDEX($FK366:$ID366,1+SwaptionShift):INDEX($FK366:$ID366,SwaptionMonthsToGo+SwaptionShift))*SUM(INDEX($FK$325:$ID$396,HZ$169,1+SwaptionShift):INDEX($FK$325:$ID$396,HZ$169,SwaptionMonthsToGo+SwaptionShift))))))</f>
        <v/>
      </c>
      <c r="IA211" s="479" t="str">
        <f ca="1">IF(OR(IA$169&lt;SwaptionFirstMonthPosition+1,$FJ211&lt;SwaptionFirstMonthPosition+1,IA$169&gt;SwaptionFirstMonthPosition+SwaptionNumOfMonths+1,$FJ211&gt;SwaptionFirstMonthPosition+SwaptionNumOfMonths+1),"",IF($FJ211=IA$169,1,IF($FJ211&lt;IA$169,INDEX($FK$170:$ID$241,IA$169,$FJ211),SUMPRODUCT(INDEX($FK$325:$ID$396,IA$169,1+SwaptionShift):INDEX($FK$325:$ID$396,IA$169,SwaptionMonthsToGo+SwaptionShift),INDEX($FK$245:$ID$316,$FJ211-IA$169,73-IA$169+SwaptionShift):INDEX($FK$245:$ID$316,$FJ211-IA$169,72-IA$169+SwaptionMonthsToGo+SwaptionShift))/SQRT(SUM(INDEX($FK366:$ID366,1+SwaptionShift):INDEX($FK366:$ID366,SwaptionMonthsToGo+SwaptionShift))*SUM(INDEX($FK$325:$ID$396,IA$169,1+SwaptionShift):INDEX($FK$325:$ID$396,IA$169,SwaptionMonthsToGo+SwaptionShift))))))</f>
        <v/>
      </c>
      <c r="IB211" s="479" t="str">
        <f ca="1">IF(OR(IB$169&lt;SwaptionFirstMonthPosition+1,$FJ211&lt;SwaptionFirstMonthPosition+1,IB$169&gt;SwaptionFirstMonthPosition+SwaptionNumOfMonths+1,$FJ211&gt;SwaptionFirstMonthPosition+SwaptionNumOfMonths+1),"",IF($FJ211=IB$169,1,IF($FJ211&lt;IB$169,INDEX($FK$170:$ID$241,IB$169,$FJ211),SUMPRODUCT(INDEX($FK$325:$ID$396,IB$169,1+SwaptionShift):INDEX($FK$325:$ID$396,IB$169,SwaptionMonthsToGo+SwaptionShift),INDEX($FK$245:$ID$316,$FJ211-IB$169,73-IB$169+SwaptionShift):INDEX($FK$245:$ID$316,$FJ211-IB$169,72-IB$169+SwaptionMonthsToGo+SwaptionShift))/SQRT(SUM(INDEX($FK366:$ID366,1+SwaptionShift):INDEX($FK366:$ID366,SwaptionMonthsToGo+SwaptionShift))*SUM(INDEX($FK$325:$ID$396,IB$169,1+SwaptionShift):INDEX($FK$325:$ID$396,IB$169,SwaptionMonthsToGo+SwaptionShift))))))</f>
        <v/>
      </c>
      <c r="IC211" s="479" t="str">
        <f ca="1">IF(OR(IC$169&lt;SwaptionFirstMonthPosition+1,$FJ211&lt;SwaptionFirstMonthPosition+1,IC$169&gt;SwaptionFirstMonthPosition+SwaptionNumOfMonths+1,$FJ211&gt;SwaptionFirstMonthPosition+SwaptionNumOfMonths+1),"",IF($FJ211=IC$169,1,IF($FJ211&lt;IC$169,INDEX($FK$170:$ID$241,IC$169,$FJ211),SUMPRODUCT(INDEX($FK$325:$ID$396,IC$169,1+SwaptionShift):INDEX($FK$325:$ID$396,IC$169,SwaptionMonthsToGo+SwaptionShift),INDEX($FK$245:$ID$316,$FJ211-IC$169,73-IC$169+SwaptionShift):INDEX($FK$245:$ID$316,$FJ211-IC$169,72-IC$169+SwaptionMonthsToGo+SwaptionShift))/SQRT(SUM(INDEX($FK366:$ID366,1+SwaptionShift):INDEX($FK366:$ID366,SwaptionMonthsToGo+SwaptionShift))*SUM(INDEX($FK$325:$ID$396,IC$169,1+SwaptionShift):INDEX($FK$325:$ID$396,IC$169,SwaptionMonthsToGo+SwaptionShift))))))</f>
        <v/>
      </c>
      <c r="ID211" s="678" t="str">
        <f ca="1">IF(OR(ID$169&lt;SwaptionFirstMonthPosition+1,$FJ211&lt;SwaptionFirstMonthPosition+1,ID$169&gt;SwaptionFirstMonthPosition+SwaptionNumOfMonths+1,$FJ211&gt;SwaptionFirstMonthPosition+SwaptionNumOfMonths+1),"",IF($FJ211=ID$169,1,IF($FJ211&lt;ID$169,INDEX($FK$170:$ID$241,ID$169,$FJ211),SUMPRODUCT(INDEX($FK$325:$ID$396,ID$169,1+SwaptionShift):INDEX($FK$325:$ID$396,ID$169,SwaptionMonthsToGo+SwaptionShift),INDEX($FK$245:$ID$316,$FJ211-ID$169,73-ID$169+SwaptionShift):INDEX($FK$245:$ID$316,$FJ211-ID$169,72-ID$169+SwaptionMonthsToGo+SwaptionShift))/SQRT(SUM(INDEX($FK366:$ID366,1+SwaptionShift):INDEX($FK366:$ID366,SwaptionMonthsToGo+SwaptionShift))*SUM(INDEX($FK$325:$ID$396,ID$169,1+SwaptionShift):INDEX($FK$325:$ID$396,ID$169,SwaptionMonthsToGo+SwaptionShift))))))</f>
        <v/>
      </c>
      <c r="IE211" s="250"/>
    </row>
    <row r="212" spans="8:239">
      <c r="H212" s="51">
        <f t="shared" ref="H212:H260" ca="1" si="646">VLOOKUP(I212,$EJ$20:$EL$54,3)</f>
        <v>0</v>
      </c>
      <c r="I212" s="379">
        <f t="shared" ref="I212:I261" si="647">EOMONTH(I211,0)+1</f>
        <v>42614</v>
      </c>
      <c r="J212" s="377"/>
      <c r="K212" s="104" t="s">
        <v>268</v>
      </c>
      <c r="L212" s="392">
        <f t="shared" ref="L212:L260" si="648">IF(ISNUMBER(K212),J212+K212/100,IF(K212="extra",L211+VLOOKUP(BF212,PriceSpreadTable,2)/12,IF(K212="inter",interpolateprices($K$19:$L$200,ROW(K212)-ROW(FirstPricingMonth)+1),interpolatechanges($J$19:$K$200,ROW(K212)-ROW(FirstPricingMonth)+1))))</f>
        <v>4.3500000000000032</v>
      </c>
      <c r="M212" s="171"/>
      <c r="N212" s="382">
        <v>0</v>
      </c>
      <c r="O212" s="171">
        <f t="shared" si="596"/>
        <v>0</v>
      </c>
      <c r="P212" s="377"/>
      <c r="Q212" s="104" t="s">
        <v>268</v>
      </c>
      <c r="R212" s="377">
        <f t="shared" ca="1" si="597"/>
        <v>3.1750029020416846</v>
      </c>
      <c r="S212" s="832">
        <f t="shared" si="564"/>
        <v>0.3600000000000001</v>
      </c>
      <c r="T212" s="831">
        <f t="shared" si="548"/>
        <v>0.99999999999999023</v>
      </c>
      <c r="U212" s="545">
        <f t="shared" si="549"/>
        <v>0.99999999999999978</v>
      </c>
      <c r="V212" s="389">
        <v>0</v>
      </c>
      <c r="W212" s="434">
        <f t="shared" si="598"/>
        <v>0</v>
      </c>
      <c r="X212" s="415">
        <f t="shared" si="599"/>
        <v>4.4011363636363665</v>
      </c>
      <c r="Y212" s="322">
        <f t="shared" si="600"/>
        <v>-1.2668999999999999</v>
      </c>
      <c r="Z212" s="322">
        <f t="shared" ca="1" si="601"/>
        <v>3.1342363636363668</v>
      </c>
      <c r="AA212" s="429">
        <f t="shared" si="628"/>
        <v>1.2668999999999999</v>
      </c>
      <c r="AB212" s="433">
        <f t="shared" ca="1" si="629"/>
        <v>1.2668999999999999</v>
      </c>
      <c r="AC212" s="229">
        <v>42602</v>
      </c>
      <c r="AD212" s="229">
        <v>42598</v>
      </c>
      <c r="AE212" s="229">
        <v>42597</v>
      </c>
      <c r="AF212" s="229">
        <v>42593</v>
      </c>
      <c r="AG212" s="249" t="s">
        <v>499</v>
      </c>
      <c r="AH212" s="247" t="s">
        <v>499</v>
      </c>
      <c r="AI212" s="146">
        <v>22</v>
      </c>
      <c r="AJ212" s="41">
        <v>14</v>
      </c>
      <c r="AK212" s="41">
        <v>8</v>
      </c>
      <c r="AL212" s="293">
        <v>22</v>
      </c>
      <c r="AM212" s="41">
        <v>10</v>
      </c>
      <c r="AN212" s="147">
        <v>12</v>
      </c>
      <c r="AO212" s="374"/>
      <c r="AP212" s="153">
        <f t="shared" ref="AP212:AP260" ca="1" si="649">(1+AO212/2)^(-2*BL212)</f>
        <v>1</v>
      </c>
      <c r="AQ212" s="374"/>
      <c r="AR212" s="153">
        <f t="shared" ca="1" si="550"/>
        <v>1</v>
      </c>
      <c r="AS212" s="272">
        <f t="shared" si="602"/>
        <v>0</v>
      </c>
      <c r="AT212" s="157">
        <f t="shared" ref="AT212:AT260" si="650">O212*VLOOKUP(BF212,BrentVolTable,2)+VLOOKUP(BF212,BrentVolTable,3)</f>
        <v>0</v>
      </c>
      <c r="AU212" s="157">
        <f t="shared" si="630"/>
        <v>0</v>
      </c>
      <c r="AV212" s="271">
        <f t="shared" ca="1" si="558"/>
        <v>9.9999999999999995E-7</v>
      </c>
      <c r="AW212" s="158" t="str">
        <f t="shared" ca="1" si="583"/>
        <v/>
      </c>
      <c r="AX212" s="157">
        <f t="shared" ca="1" si="551"/>
        <v>3.8986471167538344E-5</v>
      </c>
      <c r="AY212" s="157">
        <f t="shared" ca="1" si="552"/>
        <v>8.3871574179204241E-6</v>
      </c>
      <c r="AZ212" s="157">
        <f t="shared" ca="1" si="553"/>
        <v>2.2301748489898037E-7</v>
      </c>
      <c r="BA212" s="157">
        <f t="shared" ca="1" si="554"/>
        <v>2.7877185612372546E-8</v>
      </c>
      <c r="BB212" s="157">
        <f t="shared" ca="1" si="555"/>
        <v>9.0569424425732394E-11</v>
      </c>
      <c r="BC212" s="157">
        <f t="shared" ca="1" si="556"/>
        <v>1.5542749553331529E-12</v>
      </c>
      <c r="BD212" s="151">
        <f t="shared" ca="1" si="603"/>
        <v>0</v>
      </c>
      <c r="BE212" s="152">
        <f t="shared" ca="1" si="604"/>
        <v>0</v>
      </c>
      <c r="BF212" s="40">
        <f t="shared" si="605"/>
        <v>2016</v>
      </c>
      <c r="BG212" s="144">
        <f t="shared" si="606"/>
        <v>9</v>
      </c>
      <c r="BH212" s="145">
        <f t="shared" ca="1" si="607"/>
        <v>5853</v>
      </c>
      <c r="BI212" s="313">
        <f t="shared" ca="1" si="608"/>
        <v>16.068446269678301</v>
      </c>
      <c r="BJ212" s="42">
        <f t="shared" ca="1" si="631"/>
        <v>16.118972061477194</v>
      </c>
      <c r="BK212" s="42">
        <f t="shared" ca="1" si="632"/>
        <v>16.121709912264325</v>
      </c>
      <c r="BL212" s="42">
        <f t="shared" ca="1" si="609"/>
        <v>16.147843942505133</v>
      </c>
      <c r="BM212" s="150" t="e">
        <f t="shared" ca="1" si="633"/>
        <v>#DIV/0!</v>
      </c>
      <c r="BN212" s="42" t="e">
        <f t="shared" ca="1" si="634"/>
        <v>#DIV/0!</v>
      </c>
      <c r="BO212" s="293">
        <f t="shared" si="610"/>
        <v>22</v>
      </c>
      <c r="BP212" s="41">
        <f t="shared" si="611"/>
        <v>14</v>
      </c>
      <c r="BQ212" s="41">
        <f t="shared" si="612"/>
        <v>8</v>
      </c>
      <c r="BR212" s="305" t="str">
        <f t="shared" ca="1" si="635"/>
        <v/>
      </c>
      <c r="BS212" s="305" t="str">
        <f t="shared" ca="1" si="613"/>
        <v/>
      </c>
      <c r="BT212" s="307" t="str">
        <f t="shared" ca="1" si="614"/>
        <v/>
      </c>
      <c r="BU212" s="161" t="str">
        <f t="shared" ca="1" si="636"/>
        <v/>
      </c>
      <c r="BV212" s="161" t="str">
        <f t="shared" ca="1" si="637"/>
        <v/>
      </c>
      <c r="BW212" s="308" t="str">
        <f t="shared" ca="1" si="638"/>
        <v/>
      </c>
      <c r="BX212" s="309" t="str">
        <f t="shared" ca="1" si="639"/>
        <v/>
      </c>
      <c r="BY212" s="308" t="str">
        <f t="shared" ca="1" si="615"/>
        <v/>
      </c>
      <c r="BZ212" s="309" t="str">
        <f t="shared" ca="1" si="616"/>
        <v/>
      </c>
      <c r="CA212" s="154" t="str">
        <f t="shared" ca="1" si="640"/>
        <v/>
      </c>
      <c r="CB212" s="154" t="str">
        <f t="shared" ca="1" si="641"/>
        <v/>
      </c>
      <c r="CC212" s="154" t="str">
        <f t="shared" ca="1" si="642"/>
        <v/>
      </c>
      <c r="CD212" s="154" t="str">
        <f t="shared" ca="1" si="643"/>
        <v/>
      </c>
      <c r="CE212" s="310">
        <v>1</v>
      </c>
      <c r="CF212" s="162">
        <f ca="1">IF(BD212,_xll.xCrudeAPO(BU212,BV212,CA212,CB212,S213,S214,BI212,BL212,BP212,BQ212,0,Strike1,AO212,CE212,0,BL212,IF(OptControl=4,0,1),0,1),0)</f>
        <v>0</v>
      </c>
      <c r="CG212" s="163">
        <f ca="1">IF(BD212,_xll.xCrudeAPO(BU212,BV212,CA212,CB212,S213,S214,BI212,BL212,BP212,BQ212,0,Strike1,AO212,CE212,0,BL212,IF(OptControl=4,0,1),1,1)+_xll.xCrudeAPO(BU212,BV212,CA212,CB212,S213,S214,BI212,BL212,BP212,BQ212,0,Strike1,AO212,CE212,0,BL212,IF(OptControl=4,0,1),1,2)+IF(OR(VolSkewFlag=2,ABS(BS212)&lt;0.0001),0,IF(BS212&gt;0,-1,1)*CH212*Strike1/BR212^2*BY212/10%),0)</f>
        <v>0</v>
      </c>
      <c r="CH212" s="163">
        <f ca="1">IF(BD212,(_xll.xCrudeAPO(BU212,BV212,CA212,CB212,S213,S214,BI212,BL212,BP212,BQ212,0,Strike1,AO212,CE212,0,BL212,IF(OptControl=4,0,1),3,1)+_xll.xCrudeAPO(BU212,BV212,CA212,CB212,S213,S214,BI212,BL212,BP212,BQ212,0,Strike1,AO212,CE212,0,BL212,IF(OptControl=4,0,1),3,2))/100,0)</f>
        <v>0</v>
      </c>
      <c r="CI212" s="163">
        <f ca="1">IF(BD212,_xll.xCrudeAPO(BU212,BV212,CA212,CB212,S213,S214,BI212-DaysForThetaCalculation/365.25,BL212-DaysForThetaCalculation/365.25,BP212,BQ212,0,Strike1,AO212,CE212,0,BL212,IF(OptControl=4,0,1),0,1)-_xll.xCrudeAPO(BU212,BV212,CA212,CB212,S213,S214,BI212,BL212,BP212,BQ212,0,Strike1,AO212,CE212,0,BL212,IF(OptControl=4,0,1),0,1),0)</f>
        <v>0</v>
      </c>
      <c r="CJ212" s="311">
        <f ca="1">IF(BD212,_xll.xCrudeAPO(BU212,BV212,CC212,CD212,S213,S214,BI212,BL212,BP212,BQ212,0,Strike2,AO212,CE212,0,BL212,IF(OptControl=3,1,0),0,1),0)</f>
        <v>0</v>
      </c>
      <c r="CK212" s="163">
        <f ca="1">IF(BD212,_xll.xCrudeAPO(BU212,BV212,CC212,CD212,S213,S214,BI212,BL212,BP212,BQ212,0,Strike2,AO212,CE212,0,BL212,IF(OptControl=3,1,0),1,1)+_xll.xCrudeAPO(BU212,BV212,CC212,CD212,S213,S214,BI212,BL212,BP212,BQ212,0,Strike2,AO212,CE212,0,BL212,IF(OptControl=3,1,0),1,2)+IF(OR(VolSkewFlag=2,ABS(BT212)&lt;0.0001),0,IF(BT212&gt;0,-1,1)*CL212*Strike2/BR212^2*BZ212/10%),0)</f>
        <v>0</v>
      </c>
      <c r="CL212" s="163">
        <f ca="1">IF(BD212,(_xll.xCrudeAPO(BU212,BV212,CC212,CD212,S213,S214,BI212,BL212,BP212,BQ212,0,Strike2,AO212,CE212,0,BL212,IF(OptControl=3,1,0),3,1)+_xll.xCrudeAPO(BU212,BV212,CC212,CD212,S213,S214,BI212,BL212,BP212,BQ212,0,Strike2,AO212,CE212,0,BL212,IF(OptControl=3,1,0),3,2))/100,0)</f>
        <v>0</v>
      </c>
      <c r="CM212" s="164">
        <f ca="1">IF(BD212,_xll.xCrudeAPO(BU212,BV212,CC212,CD212,S213,S214,BI212-DaysForThetaCalculation/365.25,BL212-DaysForThetaCalculation/365.25,BP212,BQ212,0,Strike2,AO212,CE212,0,BL212,IF(OptControl=3,1,0),0,1)-_xll.xCrudeAPO(BU212,BV212,CC212,CD212,S213,S214,BI212,BL212,BP212,BQ212,0,Strike2,AO212,CE212,0,BL212,IF(OptControl=3,1,0),0,1),0)</f>
        <v>0</v>
      </c>
      <c r="CN212" s="53"/>
      <c r="CO212" s="796" t="str">
        <f t="shared" ref="CO212:CO260" ca="1" si="651">IF(BD212,CHOOSE(Underlying,AD212,AF212)-DateToday+1,"")</f>
        <v/>
      </c>
      <c r="CP212" s="800" t="str">
        <f t="shared" ref="CP212:CP260" ca="1" si="652">IF(BD212,CHOOSE(Underlying,L212,R212),"")</f>
        <v/>
      </c>
      <c r="CQ212" s="797" t="str">
        <f t="shared" ref="CQ212:CQ260" ca="1" si="653">IF(BD212,Strike1/CP212-1,"")</f>
        <v/>
      </c>
      <c r="CR212" s="797" t="str">
        <f t="shared" ref="CR212:CR260" ca="1" si="654">IF(BD212,Strike2/CP212-1,"")</f>
        <v/>
      </c>
      <c r="CS212" s="797" t="str">
        <f t="shared" ref="CS212:CS260" ca="1" si="655">IF(BD212,IF(CQ212&gt;0,IF(CQ212&gt;0.2,BC211-BB211,IF(CQ212&gt;0.1,BB211-BA211,BA211)),IF(CQ212&lt;-0.2,AX211-AY211,IF(CQ212&lt;-0.1,AY211-AZ211,AZ211))),"")</f>
        <v/>
      </c>
      <c r="CT212" s="797" t="str">
        <f t="shared" ref="CT212:CT260" ca="1" si="656">IF(BD212,IF(CR212&gt;0,IF(CR212&gt;0.2,BC211-BB211,IF(CR212&gt;0.1,BB211-BA211,BA211)),IF(CR212&lt;-0.2,AX211-AY211,IF(CR212&lt;-0.1,AY211-AZ211,AZ211))),"")</f>
        <v/>
      </c>
      <c r="CU212" s="798" t="str">
        <f t="shared" ref="CU212:CU260" ca="1" si="657">IF(BD212,CHOOSE(Underlying,O212,AT212),"")</f>
        <v/>
      </c>
      <c r="CV212" s="799" t="str">
        <f t="shared" ref="CV212:CV260" ca="1" si="658">IF(BD212,CU212+IF(VolSkewFlag=1,IF(CQ212&gt;0,BA211*MIN(CQ212/10%,1)+(BB211-BA211)*MAX(0,MIN(CQ212/10%-1,1))+(BC211-BB211)*MAX(0,CQ212/10%-2),AZ211*MIN(-CQ212/10%,1)+(AY211-AZ211)*MAX(0,MIN(-CQ212/10%-1,1))+(AX211-AY211)*MAX(0,-CQ212/10%-2)),0),"")</f>
        <v/>
      </c>
      <c r="CW212" s="799" t="str">
        <f t="shared" ref="CW212:CW260" ca="1" si="659">IF(BD212,CU212+IF(VolSkewFlag=1,IF(CR212&gt;0,BA211*MIN(CR212/10%,1)+(BB211-BA211)*MAX(0,MIN(CR212/10%-1,1))+(BC211-BB211)*MAX(0,CR212/10%-2),AZ211*MIN(-CR212/10%,1)+(AY211-AZ211)*MAX(0,MIN(-CR212/10%-1,1))+(AX211-AY211)*MAX(0,-CR212/10%-2)),0),"")</f>
        <v/>
      </c>
      <c r="CX212" s="163">
        <f ca="1">IF(BD212,_xll.EURO(CP212,Strike1,AO212,AO212,CV212,CO212,IF(OptControl=4,0,1),0),0)</f>
        <v>0</v>
      </c>
      <c r="CY212" s="163">
        <f ca="1">IF(BD212,_xll.EURO(CP212,Strike1,AO212,AO212,CV212,CO212,IF(OptControl=4,0,1),1)+IF(OR(VolSkewFlag=2,ABS(CQ212)&lt;0.0001),0,IF(CQ212&gt;0,-1,1)*CZ212*100*Strike1/CP212^2*CS212/10%),0)</f>
        <v>0</v>
      </c>
      <c r="CZ212" s="163">
        <f ca="1">IF(BD212,_xll.EURO(CP212,Strike1,AO212,AO212,CV212,CO212,IF(OptControl=4,0,1),3)/100,0)</f>
        <v>0</v>
      </c>
      <c r="DA212" s="163">
        <f ca="1">IF(BD212,_xll.EURO(CP212,Strike1,AO212,AO212,CV212,CO212,IF(OptControl=4,0,1),0)-_xll.EURO(CP212,Strike1,AO212,AO212,CV212,CO212-1,IF(OptControl=4,0,1),0),0)</f>
        <v>0</v>
      </c>
      <c r="DB212" s="163">
        <f ca="1">IF(BD212,_xll.EURO(CP212,Strike2,AO212,AO212,CW212,CO212,IF(OptControl=3,1,0),0),0)</f>
        <v>0</v>
      </c>
      <c r="DC212" s="163">
        <f ca="1">IF(BD212,_xll.EURO(CP212,Strike2,AO212,AO212,CW212,CO212,IF(OptControl=3,1,0),1)+IF(OR(VolSkewFlag=2,ABS(CR212)&lt;0.0001),0,IF(CR212&gt;0,-1,1)*DD212*100*Strike2/CP212^2*CT212/10%),0)</f>
        <v>0</v>
      </c>
      <c r="DD212" s="163">
        <f ca="1">IF(BD212,_xll.EURO(CP212,Strike2,AO212,AO212,CW212,CO212,IF(OptControl=3,1,0),3)/100,0)</f>
        <v>0</v>
      </c>
      <c r="DE212" s="164">
        <f ca="1">IF(BD212,_xll.EURO(CP212,Strike2,AO212,AO212,CW212,CO212,IF(OptControl=3,1,0),0)-_xll.EURO(CP212,Strike2,AO212,AO212,CW212,CO212-1,IF(OptControl=3,1,0),0),0)</f>
        <v>0</v>
      </c>
      <c r="DG212" s="667">
        <f t="shared" ref="DG212:DG260" ca="1" si="660">EOMONTH(DG211,0)+1</f>
        <v>42401</v>
      </c>
      <c r="DH212" s="475">
        <v>23.760000000000083</v>
      </c>
      <c r="DI212" s="665">
        <v>23.8242857142858</v>
      </c>
      <c r="DJ212" s="666">
        <f t="shared" ca="1" si="617"/>
        <v>42401</v>
      </c>
      <c r="DK212" s="475">
        <v>22.565826162676519</v>
      </c>
      <c r="DL212" s="665">
        <v>22.655785714285798</v>
      </c>
      <c r="DM212" s="667">
        <f t="shared" ca="1" si="618"/>
        <v>42401</v>
      </c>
      <c r="DN212" s="668">
        <f t="shared" si="619"/>
        <v>22.61582616267652</v>
      </c>
      <c r="DO212" s="667">
        <f t="shared" ca="1" si="620"/>
        <v>42401</v>
      </c>
      <c r="DP212" s="579">
        <f t="shared" si="621"/>
        <v>22.655785714285798</v>
      </c>
      <c r="DQ212" s="821">
        <v>0</v>
      </c>
      <c r="DR212" s="666">
        <f t="shared" ca="1" si="622"/>
        <v>42401</v>
      </c>
      <c r="DS212" s="669">
        <v>0.10939999999999803</v>
      </c>
      <c r="DT212" s="606">
        <v>0.10862857142856945</v>
      </c>
      <c r="DU212" s="666">
        <f t="shared" ca="1" si="623"/>
        <v>42401</v>
      </c>
      <c r="DV212" s="669">
        <v>0.10939999999999803</v>
      </c>
      <c r="DW212" s="606">
        <v>0.10862857142856945</v>
      </c>
      <c r="DX212" s="667">
        <f t="shared" ca="1" si="624"/>
        <v>42401</v>
      </c>
      <c r="DY212" s="606">
        <v>0.35</v>
      </c>
      <c r="DZ212" s="667">
        <f t="shared" ca="1" si="625"/>
        <v>42401</v>
      </c>
      <c r="EA212" s="606">
        <f t="shared" si="626"/>
        <v>0.10862857142856945</v>
      </c>
      <c r="EB212" s="1"/>
      <c r="EC212" s="118" t="str">
        <f t="shared" ca="1" si="627"/>
        <v/>
      </c>
      <c r="ED212" s="119" t="str">
        <f t="shared" ca="1" si="644"/>
        <v/>
      </c>
      <c r="EE212" s="112" t="str">
        <f t="shared" ca="1" si="645"/>
        <v/>
      </c>
      <c r="EF212" s="120">
        <f ca="1">IF(BD212,_xll.xASN(BR212,Strike1,AO212,ED212,0,BO212,0,BI212,BL212,IF(OptControl=4,0,1),0),0)</f>
        <v>0</v>
      </c>
      <c r="EG212" s="111">
        <f ca="1">IF(BD212,_xll.xASN(BR212,Strike2,AO212,EE212,0,BO212,0,BI212,BL212,IF(OptControl=3,1,0),0),0)</f>
        <v>0</v>
      </c>
      <c r="EL212" s="55"/>
      <c r="EM212" s="1"/>
      <c r="EN212" s="106"/>
      <c r="EO212" s="106"/>
      <c r="EP212" s="1"/>
      <c r="EQ212" s="683" t="s">
        <v>426</v>
      </c>
      <c r="ES212" s="55"/>
      <c r="EU212" s="107"/>
      <c r="FJ212" s="673">
        <v>43</v>
      </c>
      <c r="FK212" s="479" t="str">
        <f ca="1">IF(OR(FK$169&lt;SwaptionFirstMonthPosition+1,$FJ212&lt;SwaptionFirstMonthPosition+1,FK$169&gt;SwaptionFirstMonthPosition+SwaptionNumOfMonths+1,$FJ212&gt;SwaptionFirstMonthPosition+SwaptionNumOfMonths+1),"",IF($FJ212=FK$169,1,IF($FJ212&lt;FK$169,INDEX($FK$170:$ID$241,FK$169,$FJ212),SUMPRODUCT(INDEX($FK$325:$ID$396,FK$169,1+SwaptionShift):INDEX($FK$325:$ID$396,FK$169,SwaptionMonthsToGo+SwaptionShift),INDEX($FK$245:$ID$316,$FJ212-FK$169,73-FK$169+SwaptionShift):INDEX($FK$245:$ID$316,$FJ212-FK$169,72-FK$169+SwaptionMonthsToGo+SwaptionShift))/SQRT(SUM(INDEX($FK367:$ID367,1+SwaptionShift):INDEX($FK367:$ID367,SwaptionMonthsToGo+SwaptionShift))*SUM(INDEX($FK$325:$ID$396,FK$169,1+SwaptionShift):INDEX($FK$325:$ID$396,FK$169,SwaptionMonthsToGo+SwaptionShift))))))</f>
        <v/>
      </c>
      <c r="FL212" s="479" t="str">
        <f ca="1">IF(OR(FL$169&lt;SwaptionFirstMonthPosition+1,$FJ212&lt;SwaptionFirstMonthPosition+1,FL$169&gt;SwaptionFirstMonthPosition+SwaptionNumOfMonths+1,$FJ212&gt;SwaptionFirstMonthPosition+SwaptionNumOfMonths+1),"",IF($FJ212=FL$169,1,IF($FJ212&lt;FL$169,INDEX($FK$170:$ID$241,FL$169,$FJ212),SUMPRODUCT(INDEX($FK$325:$ID$396,FL$169,1+SwaptionShift):INDEX($FK$325:$ID$396,FL$169,SwaptionMonthsToGo+SwaptionShift),INDEX($FK$245:$ID$316,$FJ212-FL$169,73-FL$169+SwaptionShift):INDEX($FK$245:$ID$316,$FJ212-FL$169,72-FL$169+SwaptionMonthsToGo+SwaptionShift))/SQRT(SUM(INDEX($FK367:$ID367,1+SwaptionShift):INDEX($FK367:$ID367,SwaptionMonthsToGo+SwaptionShift))*SUM(INDEX($FK$325:$ID$396,FL$169,1+SwaptionShift):INDEX($FK$325:$ID$396,FL$169,SwaptionMonthsToGo+SwaptionShift))))))</f>
        <v/>
      </c>
      <c r="FM212" s="479" t="str">
        <f ca="1">IF(OR(FM$169&lt;SwaptionFirstMonthPosition+1,$FJ212&lt;SwaptionFirstMonthPosition+1,FM$169&gt;SwaptionFirstMonthPosition+SwaptionNumOfMonths+1,$FJ212&gt;SwaptionFirstMonthPosition+SwaptionNumOfMonths+1),"",IF($FJ212=FM$169,1,IF($FJ212&lt;FM$169,INDEX($FK$170:$ID$241,FM$169,$FJ212),SUMPRODUCT(INDEX($FK$325:$ID$396,FM$169,1+SwaptionShift):INDEX($FK$325:$ID$396,FM$169,SwaptionMonthsToGo+SwaptionShift),INDEX($FK$245:$ID$316,$FJ212-FM$169,73-FM$169+SwaptionShift):INDEX($FK$245:$ID$316,$FJ212-FM$169,72-FM$169+SwaptionMonthsToGo+SwaptionShift))/SQRT(SUM(INDEX($FK367:$ID367,1+SwaptionShift):INDEX($FK367:$ID367,SwaptionMonthsToGo+SwaptionShift))*SUM(INDEX($FK$325:$ID$396,FM$169,1+SwaptionShift):INDEX($FK$325:$ID$396,FM$169,SwaptionMonthsToGo+SwaptionShift))))))</f>
        <v/>
      </c>
      <c r="FN212" s="479" t="str">
        <f ca="1">IF(OR(FN$169&lt;SwaptionFirstMonthPosition+1,$FJ212&lt;SwaptionFirstMonthPosition+1,FN$169&gt;SwaptionFirstMonthPosition+SwaptionNumOfMonths+1,$FJ212&gt;SwaptionFirstMonthPosition+SwaptionNumOfMonths+1),"",IF($FJ212=FN$169,1,IF($FJ212&lt;FN$169,INDEX($FK$170:$ID$241,FN$169,$FJ212),SUMPRODUCT(INDEX($FK$325:$ID$396,FN$169,1+SwaptionShift):INDEX($FK$325:$ID$396,FN$169,SwaptionMonthsToGo+SwaptionShift),INDEX($FK$245:$ID$316,$FJ212-FN$169,73-FN$169+SwaptionShift):INDEX($FK$245:$ID$316,$FJ212-FN$169,72-FN$169+SwaptionMonthsToGo+SwaptionShift))/SQRT(SUM(INDEX($FK367:$ID367,1+SwaptionShift):INDEX($FK367:$ID367,SwaptionMonthsToGo+SwaptionShift))*SUM(INDEX($FK$325:$ID$396,FN$169,1+SwaptionShift):INDEX($FK$325:$ID$396,FN$169,SwaptionMonthsToGo+SwaptionShift))))))</f>
        <v/>
      </c>
      <c r="FO212" s="479" t="str">
        <f ca="1">IF(OR(FO$169&lt;SwaptionFirstMonthPosition+1,$FJ212&lt;SwaptionFirstMonthPosition+1,FO$169&gt;SwaptionFirstMonthPosition+SwaptionNumOfMonths+1,$FJ212&gt;SwaptionFirstMonthPosition+SwaptionNumOfMonths+1),"",IF($FJ212=FO$169,1,IF($FJ212&lt;FO$169,INDEX($FK$170:$ID$241,FO$169,$FJ212),SUMPRODUCT(INDEX($FK$325:$ID$396,FO$169,1+SwaptionShift):INDEX($FK$325:$ID$396,FO$169,SwaptionMonthsToGo+SwaptionShift),INDEX($FK$245:$ID$316,$FJ212-FO$169,73-FO$169+SwaptionShift):INDEX($FK$245:$ID$316,$FJ212-FO$169,72-FO$169+SwaptionMonthsToGo+SwaptionShift))/SQRT(SUM(INDEX($FK367:$ID367,1+SwaptionShift):INDEX($FK367:$ID367,SwaptionMonthsToGo+SwaptionShift))*SUM(INDEX($FK$325:$ID$396,FO$169,1+SwaptionShift):INDEX($FK$325:$ID$396,FO$169,SwaptionMonthsToGo+SwaptionShift))))))</f>
        <v/>
      </c>
      <c r="FP212" s="479" t="str">
        <f ca="1">IF(OR(FP$169&lt;SwaptionFirstMonthPosition+1,$FJ212&lt;SwaptionFirstMonthPosition+1,FP$169&gt;SwaptionFirstMonthPosition+SwaptionNumOfMonths+1,$FJ212&gt;SwaptionFirstMonthPosition+SwaptionNumOfMonths+1),"",IF($FJ212=FP$169,1,IF($FJ212&lt;FP$169,INDEX($FK$170:$ID$241,FP$169,$FJ212),SUMPRODUCT(INDEX($FK$325:$ID$396,FP$169,1+SwaptionShift):INDEX($FK$325:$ID$396,FP$169,SwaptionMonthsToGo+SwaptionShift),INDEX($FK$245:$ID$316,$FJ212-FP$169,73-FP$169+SwaptionShift):INDEX($FK$245:$ID$316,$FJ212-FP$169,72-FP$169+SwaptionMonthsToGo+SwaptionShift))/SQRT(SUM(INDEX($FK367:$ID367,1+SwaptionShift):INDEX($FK367:$ID367,SwaptionMonthsToGo+SwaptionShift))*SUM(INDEX($FK$325:$ID$396,FP$169,1+SwaptionShift):INDEX($FK$325:$ID$396,FP$169,SwaptionMonthsToGo+SwaptionShift))))))</f>
        <v/>
      </c>
      <c r="FQ212" s="479" t="str">
        <f ca="1">IF(OR(FQ$169&lt;SwaptionFirstMonthPosition+1,$FJ212&lt;SwaptionFirstMonthPosition+1,FQ$169&gt;SwaptionFirstMonthPosition+SwaptionNumOfMonths+1,$FJ212&gt;SwaptionFirstMonthPosition+SwaptionNumOfMonths+1),"",IF($FJ212=FQ$169,1,IF($FJ212&lt;FQ$169,INDEX($FK$170:$ID$241,FQ$169,$FJ212),SUMPRODUCT(INDEX($FK$325:$ID$396,FQ$169,1+SwaptionShift):INDEX($FK$325:$ID$396,FQ$169,SwaptionMonthsToGo+SwaptionShift),INDEX($FK$245:$ID$316,$FJ212-FQ$169,73-FQ$169+SwaptionShift):INDEX($FK$245:$ID$316,$FJ212-FQ$169,72-FQ$169+SwaptionMonthsToGo+SwaptionShift))/SQRT(SUM(INDEX($FK367:$ID367,1+SwaptionShift):INDEX($FK367:$ID367,SwaptionMonthsToGo+SwaptionShift))*SUM(INDEX($FK$325:$ID$396,FQ$169,1+SwaptionShift):INDEX($FK$325:$ID$396,FQ$169,SwaptionMonthsToGo+SwaptionShift))))))</f>
        <v/>
      </c>
      <c r="FR212" s="479" t="str">
        <f ca="1">IF(OR(FR$169&lt;SwaptionFirstMonthPosition+1,$FJ212&lt;SwaptionFirstMonthPosition+1,FR$169&gt;SwaptionFirstMonthPosition+SwaptionNumOfMonths+1,$FJ212&gt;SwaptionFirstMonthPosition+SwaptionNumOfMonths+1),"",IF($FJ212=FR$169,1,IF($FJ212&lt;FR$169,INDEX($FK$170:$ID$241,FR$169,$FJ212),SUMPRODUCT(INDEX($FK$325:$ID$396,FR$169,1+SwaptionShift):INDEX($FK$325:$ID$396,FR$169,SwaptionMonthsToGo+SwaptionShift),INDEX($FK$245:$ID$316,$FJ212-FR$169,73-FR$169+SwaptionShift):INDEX($FK$245:$ID$316,$FJ212-FR$169,72-FR$169+SwaptionMonthsToGo+SwaptionShift))/SQRT(SUM(INDEX($FK367:$ID367,1+SwaptionShift):INDEX($FK367:$ID367,SwaptionMonthsToGo+SwaptionShift))*SUM(INDEX($FK$325:$ID$396,FR$169,1+SwaptionShift):INDEX($FK$325:$ID$396,FR$169,SwaptionMonthsToGo+SwaptionShift))))))</f>
        <v/>
      </c>
      <c r="FS212" s="479" t="str">
        <f ca="1">IF(OR(FS$169&lt;SwaptionFirstMonthPosition+1,$FJ212&lt;SwaptionFirstMonthPosition+1,FS$169&gt;SwaptionFirstMonthPosition+SwaptionNumOfMonths+1,$FJ212&gt;SwaptionFirstMonthPosition+SwaptionNumOfMonths+1),"",IF($FJ212=FS$169,1,IF($FJ212&lt;FS$169,INDEX($FK$170:$ID$241,FS$169,$FJ212),SUMPRODUCT(INDEX($FK$325:$ID$396,FS$169,1+SwaptionShift):INDEX($FK$325:$ID$396,FS$169,SwaptionMonthsToGo+SwaptionShift),INDEX($FK$245:$ID$316,$FJ212-FS$169,73-FS$169+SwaptionShift):INDEX($FK$245:$ID$316,$FJ212-FS$169,72-FS$169+SwaptionMonthsToGo+SwaptionShift))/SQRT(SUM(INDEX($FK367:$ID367,1+SwaptionShift):INDEX($FK367:$ID367,SwaptionMonthsToGo+SwaptionShift))*SUM(INDEX($FK$325:$ID$396,FS$169,1+SwaptionShift):INDEX($FK$325:$ID$396,FS$169,SwaptionMonthsToGo+SwaptionShift))))))</f>
        <v/>
      </c>
      <c r="FT212" s="479" t="str">
        <f ca="1">IF(OR(FT$169&lt;SwaptionFirstMonthPosition+1,$FJ212&lt;SwaptionFirstMonthPosition+1,FT$169&gt;SwaptionFirstMonthPosition+SwaptionNumOfMonths+1,$FJ212&gt;SwaptionFirstMonthPosition+SwaptionNumOfMonths+1),"",IF($FJ212=FT$169,1,IF($FJ212&lt;FT$169,INDEX($FK$170:$ID$241,FT$169,$FJ212),SUMPRODUCT(INDEX($FK$325:$ID$396,FT$169,1+SwaptionShift):INDEX($FK$325:$ID$396,FT$169,SwaptionMonthsToGo+SwaptionShift),INDEX($FK$245:$ID$316,$FJ212-FT$169,73-FT$169+SwaptionShift):INDEX($FK$245:$ID$316,$FJ212-FT$169,72-FT$169+SwaptionMonthsToGo+SwaptionShift))/SQRT(SUM(INDEX($FK367:$ID367,1+SwaptionShift):INDEX($FK367:$ID367,SwaptionMonthsToGo+SwaptionShift))*SUM(INDEX($FK$325:$ID$396,FT$169,1+SwaptionShift):INDEX($FK$325:$ID$396,FT$169,SwaptionMonthsToGo+SwaptionShift))))))</f>
        <v/>
      </c>
      <c r="FU212" s="479" t="str">
        <f ca="1">IF(OR(FU$169&lt;SwaptionFirstMonthPosition+1,$FJ212&lt;SwaptionFirstMonthPosition+1,FU$169&gt;SwaptionFirstMonthPosition+SwaptionNumOfMonths+1,$FJ212&gt;SwaptionFirstMonthPosition+SwaptionNumOfMonths+1),"",IF($FJ212=FU$169,1,IF($FJ212&lt;FU$169,INDEX($FK$170:$ID$241,FU$169,$FJ212),SUMPRODUCT(INDEX($FK$325:$ID$396,FU$169,1+SwaptionShift):INDEX($FK$325:$ID$396,FU$169,SwaptionMonthsToGo+SwaptionShift),INDEX($FK$245:$ID$316,$FJ212-FU$169,73-FU$169+SwaptionShift):INDEX($FK$245:$ID$316,$FJ212-FU$169,72-FU$169+SwaptionMonthsToGo+SwaptionShift))/SQRT(SUM(INDEX($FK367:$ID367,1+SwaptionShift):INDEX($FK367:$ID367,SwaptionMonthsToGo+SwaptionShift))*SUM(INDEX($FK$325:$ID$396,FU$169,1+SwaptionShift):INDEX($FK$325:$ID$396,FU$169,SwaptionMonthsToGo+SwaptionShift))))))</f>
        <v/>
      </c>
      <c r="FV212" s="479" t="str">
        <f ca="1">IF(OR(FV$169&lt;SwaptionFirstMonthPosition+1,$FJ212&lt;SwaptionFirstMonthPosition+1,FV$169&gt;SwaptionFirstMonthPosition+SwaptionNumOfMonths+1,$FJ212&gt;SwaptionFirstMonthPosition+SwaptionNumOfMonths+1),"",IF($FJ212=FV$169,1,IF($FJ212&lt;FV$169,INDEX($FK$170:$ID$241,FV$169,$FJ212),SUMPRODUCT(INDEX($FK$325:$ID$396,FV$169,1+SwaptionShift):INDEX($FK$325:$ID$396,FV$169,SwaptionMonthsToGo+SwaptionShift),INDEX($FK$245:$ID$316,$FJ212-FV$169,73-FV$169+SwaptionShift):INDEX($FK$245:$ID$316,$FJ212-FV$169,72-FV$169+SwaptionMonthsToGo+SwaptionShift))/SQRT(SUM(INDEX($FK367:$ID367,1+SwaptionShift):INDEX($FK367:$ID367,SwaptionMonthsToGo+SwaptionShift))*SUM(INDEX($FK$325:$ID$396,FV$169,1+SwaptionShift):INDEX($FK$325:$ID$396,FV$169,SwaptionMonthsToGo+SwaptionShift))))))</f>
        <v/>
      </c>
      <c r="FW212" s="479" t="str">
        <f ca="1">IF(OR(FW$169&lt;SwaptionFirstMonthPosition+1,$FJ212&lt;SwaptionFirstMonthPosition+1,FW$169&gt;SwaptionFirstMonthPosition+SwaptionNumOfMonths+1,$FJ212&gt;SwaptionFirstMonthPosition+SwaptionNumOfMonths+1),"",IF($FJ212=FW$169,1,IF($FJ212&lt;FW$169,INDEX($FK$170:$ID$241,FW$169,$FJ212),SUMPRODUCT(INDEX($FK$325:$ID$396,FW$169,1+SwaptionShift):INDEX($FK$325:$ID$396,FW$169,SwaptionMonthsToGo+SwaptionShift),INDEX($FK$245:$ID$316,$FJ212-FW$169,73-FW$169+SwaptionShift):INDEX($FK$245:$ID$316,$FJ212-FW$169,72-FW$169+SwaptionMonthsToGo+SwaptionShift))/SQRT(SUM(INDEX($FK367:$ID367,1+SwaptionShift):INDEX($FK367:$ID367,SwaptionMonthsToGo+SwaptionShift))*SUM(INDEX($FK$325:$ID$396,FW$169,1+SwaptionShift):INDEX($FK$325:$ID$396,FW$169,SwaptionMonthsToGo+SwaptionShift))))))</f>
        <v/>
      </c>
      <c r="FX212" s="479" t="str">
        <f ca="1">IF(OR(FX$169&lt;SwaptionFirstMonthPosition+1,$FJ212&lt;SwaptionFirstMonthPosition+1,FX$169&gt;SwaptionFirstMonthPosition+SwaptionNumOfMonths+1,$FJ212&gt;SwaptionFirstMonthPosition+SwaptionNumOfMonths+1),"",IF($FJ212=FX$169,1,IF($FJ212&lt;FX$169,INDEX($FK$170:$ID$241,FX$169,$FJ212),SUMPRODUCT(INDEX($FK$325:$ID$396,FX$169,1+SwaptionShift):INDEX($FK$325:$ID$396,FX$169,SwaptionMonthsToGo+SwaptionShift),INDEX($FK$245:$ID$316,$FJ212-FX$169,73-FX$169+SwaptionShift):INDEX($FK$245:$ID$316,$FJ212-FX$169,72-FX$169+SwaptionMonthsToGo+SwaptionShift))/SQRT(SUM(INDEX($FK367:$ID367,1+SwaptionShift):INDEX($FK367:$ID367,SwaptionMonthsToGo+SwaptionShift))*SUM(INDEX($FK$325:$ID$396,FX$169,1+SwaptionShift):INDEX($FK$325:$ID$396,FX$169,SwaptionMonthsToGo+SwaptionShift))))))</f>
        <v/>
      </c>
      <c r="FY212" s="479" t="str">
        <f ca="1">IF(OR(FY$169&lt;SwaptionFirstMonthPosition+1,$FJ212&lt;SwaptionFirstMonthPosition+1,FY$169&gt;SwaptionFirstMonthPosition+SwaptionNumOfMonths+1,$FJ212&gt;SwaptionFirstMonthPosition+SwaptionNumOfMonths+1),"",IF($FJ212=FY$169,1,IF($FJ212&lt;FY$169,INDEX($FK$170:$ID$241,FY$169,$FJ212),SUMPRODUCT(INDEX($FK$325:$ID$396,FY$169,1+SwaptionShift):INDEX($FK$325:$ID$396,FY$169,SwaptionMonthsToGo+SwaptionShift),INDEX($FK$245:$ID$316,$FJ212-FY$169,73-FY$169+SwaptionShift):INDEX($FK$245:$ID$316,$FJ212-FY$169,72-FY$169+SwaptionMonthsToGo+SwaptionShift))/SQRT(SUM(INDEX($FK367:$ID367,1+SwaptionShift):INDEX($FK367:$ID367,SwaptionMonthsToGo+SwaptionShift))*SUM(INDEX($FK$325:$ID$396,FY$169,1+SwaptionShift):INDEX($FK$325:$ID$396,FY$169,SwaptionMonthsToGo+SwaptionShift))))))</f>
        <v/>
      </c>
      <c r="FZ212" s="479" t="str">
        <f ca="1">IF(OR(FZ$169&lt;SwaptionFirstMonthPosition+1,$FJ212&lt;SwaptionFirstMonthPosition+1,FZ$169&gt;SwaptionFirstMonthPosition+SwaptionNumOfMonths+1,$FJ212&gt;SwaptionFirstMonthPosition+SwaptionNumOfMonths+1),"",IF($FJ212=FZ$169,1,IF($FJ212&lt;FZ$169,INDEX($FK$170:$ID$241,FZ$169,$FJ212),SUMPRODUCT(INDEX($FK$325:$ID$396,FZ$169,1+SwaptionShift):INDEX($FK$325:$ID$396,FZ$169,SwaptionMonthsToGo+SwaptionShift),INDEX($FK$245:$ID$316,$FJ212-FZ$169,73-FZ$169+SwaptionShift):INDEX($FK$245:$ID$316,$FJ212-FZ$169,72-FZ$169+SwaptionMonthsToGo+SwaptionShift))/SQRT(SUM(INDEX($FK367:$ID367,1+SwaptionShift):INDEX($FK367:$ID367,SwaptionMonthsToGo+SwaptionShift))*SUM(INDEX($FK$325:$ID$396,FZ$169,1+SwaptionShift):INDEX($FK$325:$ID$396,FZ$169,SwaptionMonthsToGo+SwaptionShift))))))</f>
        <v/>
      </c>
      <c r="GA212" s="479" t="str">
        <f ca="1">IF(OR(GA$169&lt;SwaptionFirstMonthPosition+1,$FJ212&lt;SwaptionFirstMonthPosition+1,GA$169&gt;SwaptionFirstMonthPosition+SwaptionNumOfMonths+1,$FJ212&gt;SwaptionFirstMonthPosition+SwaptionNumOfMonths+1),"",IF($FJ212=GA$169,1,IF($FJ212&lt;GA$169,INDEX($FK$170:$ID$241,GA$169,$FJ212),SUMPRODUCT(INDEX($FK$325:$ID$396,GA$169,1+SwaptionShift):INDEX($FK$325:$ID$396,GA$169,SwaptionMonthsToGo+SwaptionShift),INDEX($FK$245:$ID$316,$FJ212-GA$169,73-GA$169+SwaptionShift):INDEX($FK$245:$ID$316,$FJ212-GA$169,72-GA$169+SwaptionMonthsToGo+SwaptionShift))/SQRT(SUM(INDEX($FK367:$ID367,1+SwaptionShift):INDEX($FK367:$ID367,SwaptionMonthsToGo+SwaptionShift))*SUM(INDEX($FK$325:$ID$396,GA$169,1+SwaptionShift):INDEX($FK$325:$ID$396,GA$169,SwaptionMonthsToGo+SwaptionShift))))))</f>
        <v/>
      </c>
      <c r="GB212" s="479" t="str">
        <f ca="1">IF(OR(GB$169&lt;SwaptionFirstMonthPosition+1,$FJ212&lt;SwaptionFirstMonthPosition+1,GB$169&gt;SwaptionFirstMonthPosition+SwaptionNumOfMonths+1,$FJ212&gt;SwaptionFirstMonthPosition+SwaptionNumOfMonths+1),"",IF($FJ212=GB$169,1,IF($FJ212&lt;GB$169,INDEX($FK$170:$ID$241,GB$169,$FJ212),SUMPRODUCT(INDEX($FK$325:$ID$396,GB$169,1+SwaptionShift):INDEX($FK$325:$ID$396,GB$169,SwaptionMonthsToGo+SwaptionShift),INDEX($FK$245:$ID$316,$FJ212-GB$169,73-GB$169+SwaptionShift):INDEX($FK$245:$ID$316,$FJ212-GB$169,72-GB$169+SwaptionMonthsToGo+SwaptionShift))/SQRT(SUM(INDEX($FK367:$ID367,1+SwaptionShift):INDEX($FK367:$ID367,SwaptionMonthsToGo+SwaptionShift))*SUM(INDEX($FK$325:$ID$396,GB$169,1+SwaptionShift):INDEX($FK$325:$ID$396,GB$169,SwaptionMonthsToGo+SwaptionShift))))))</f>
        <v/>
      </c>
      <c r="GC212" s="479" t="str">
        <f ca="1">IF(OR(GC$169&lt;SwaptionFirstMonthPosition+1,$FJ212&lt;SwaptionFirstMonthPosition+1,GC$169&gt;SwaptionFirstMonthPosition+SwaptionNumOfMonths+1,$FJ212&gt;SwaptionFirstMonthPosition+SwaptionNumOfMonths+1),"",IF($FJ212=GC$169,1,IF($FJ212&lt;GC$169,INDEX($FK$170:$ID$241,GC$169,$FJ212),SUMPRODUCT(INDEX($FK$325:$ID$396,GC$169,1+SwaptionShift):INDEX($FK$325:$ID$396,GC$169,SwaptionMonthsToGo+SwaptionShift),INDEX($FK$245:$ID$316,$FJ212-GC$169,73-GC$169+SwaptionShift):INDEX($FK$245:$ID$316,$FJ212-GC$169,72-GC$169+SwaptionMonthsToGo+SwaptionShift))/SQRT(SUM(INDEX($FK367:$ID367,1+SwaptionShift):INDEX($FK367:$ID367,SwaptionMonthsToGo+SwaptionShift))*SUM(INDEX($FK$325:$ID$396,GC$169,1+SwaptionShift):INDEX($FK$325:$ID$396,GC$169,SwaptionMonthsToGo+SwaptionShift))))))</f>
        <v/>
      </c>
      <c r="GD212" s="479" t="str">
        <f ca="1">IF(OR(GD$169&lt;SwaptionFirstMonthPosition+1,$FJ212&lt;SwaptionFirstMonthPosition+1,GD$169&gt;SwaptionFirstMonthPosition+SwaptionNumOfMonths+1,$FJ212&gt;SwaptionFirstMonthPosition+SwaptionNumOfMonths+1),"",IF($FJ212=GD$169,1,IF($FJ212&lt;GD$169,INDEX($FK$170:$ID$241,GD$169,$FJ212),SUMPRODUCT(INDEX($FK$325:$ID$396,GD$169,1+SwaptionShift):INDEX($FK$325:$ID$396,GD$169,SwaptionMonthsToGo+SwaptionShift),INDEX($FK$245:$ID$316,$FJ212-GD$169,73-GD$169+SwaptionShift):INDEX($FK$245:$ID$316,$FJ212-GD$169,72-GD$169+SwaptionMonthsToGo+SwaptionShift))/SQRT(SUM(INDEX($FK367:$ID367,1+SwaptionShift):INDEX($FK367:$ID367,SwaptionMonthsToGo+SwaptionShift))*SUM(INDEX($FK$325:$ID$396,GD$169,1+SwaptionShift):INDEX($FK$325:$ID$396,GD$169,SwaptionMonthsToGo+SwaptionShift))))))</f>
        <v/>
      </c>
      <c r="GE212" s="479" t="str">
        <f ca="1">IF(OR(GE$169&lt;SwaptionFirstMonthPosition+1,$FJ212&lt;SwaptionFirstMonthPosition+1,GE$169&gt;SwaptionFirstMonthPosition+SwaptionNumOfMonths+1,$FJ212&gt;SwaptionFirstMonthPosition+SwaptionNumOfMonths+1),"",IF($FJ212=GE$169,1,IF($FJ212&lt;GE$169,INDEX($FK$170:$ID$241,GE$169,$FJ212),SUMPRODUCT(INDEX($FK$325:$ID$396,GE$169,1+SwaptionShift):INDEX($FK$325:$ID$396,GE$169,SwaptionMonthsToGo+SwaptionShift),INDEX($FK$245:$ID$316,$FJ212-GE$169,73-GE$169+SwaptionShift):INDEX($FK$245:$ID$316,$FJ212-GE$169,72-GE$169+SwaptionMonthsToGo+SwaptionShift))/SQRT(SUM(INDEX($FK367:$ID367,1+SwaptionShift):INDEX($FK367:$ID367,SwaptionMonthsToGo+SwaptionShift))*SUM(INDEX($FK$325:$ID$396,GE$169,1+SwaptionShift):INDEX($FK$325:$ID$396,GE$169,SwaptionMonthsToGo+SwaptionShift))))))</f>
        <v/>
      </c>
      <c r="GF212" s="479" t="str">
        <f ca="1">IF(OR(GF$169&lt;SwaptionFirstMonthPosition+1,$FJ212&lt;SwaptionFirstMonthPosition+1,GF$169&gt;SwaptionFirstMonthPosition+SwaptionNumOfMonths+1,$FJ212&gt;SwaptionFirstMonthPosition+SwaptionNumOfMonths+1),"",IF($FJ212=GF$169,1,IF($FJ212&lt;GF$169,INDEX($FK$170:$ID$241,GF$169,$FJ212),SUMPRODUCT(INDEX($FK$325:$ID$396,GF$169,1+SwaptionShift):INDEX($FK$325:$ID$396,GF$169,SwaptionMonthsToGo+SwaptionShift),INDEX($FK$245:$ID$316,$FJ212-GF$169,73-GF$169+SwaptionShift):INDEX($FK$245:$ID$316,$FJ212-GF$169,72-GF$169+SwaptionMonthsToGo+SwaptionShift))/SQRT(SUM(INDEX($FK367:$ID367,1+SwaptionShift):INDEX($FK367:$ID367,SwaptionMonthsToGo+SwaptionShift))*SUM(INDEX($FK$325:$ID$396,GF$169,1+SwaptionShift):INDEX($FK$325:$ID$396,GF$169,SwaptionMonthsToGo+SwaptionShift))))))</f>
        <v/>
      </c>
      <c r="GG212" s="479" t="str">
        <f ca="1">IF(OR(GG$169&lt;SwaptionFirstMonthPosition+1,$FJ212&lt;SwaptionFirstMonthPosition+1,GG$169&gt;SwaptionFirstMonthPosition+SwaptionNumOfMonths+1,$FJ212&gt;SwaptionFirstMonthPosition+SwaptionNumOfMonths+1),"",IF($FJ212=GG$169,1,IF($FJ212&lt;GG$169,INDEX($FK$170:$ID$241,GG$169,$FJ212),SUMPRODUCT(INDEX($FK$325:$ID$396,GG$169,1+SwaptionShift):INDEX($FK$325:$ID$396,GG$169,SwaptionMonthsToGo+SwaptionShift),INDEX($FK$245:$ID$316,$FJ212-GG$169,73-GG$169+SwaptionShift):INDEX($FK$245:$ID$316,$FJ212-GG$169,72-GG$169+SwaptionMonthsToGo+SwaptionShift))/SQRT(SUM(INDEX($FK367:$ID367,1+SwaptionShift):INDEX($FK367:$ID367,SwaptionMonthsToGo+SwaptionShift))*SUM(INDEX($FK$325:$ID$396,GG$169,1+SwaptionShift):INDEX($FK$325:$ID$396,GG$169,SwaptionMonthsToGo+SwaptionShift))))))</f>
        <v/>
      </c>
      <c r="GH212" s="479" t="str">
        <f ca="1">IF(OR(GH$169&lt;SwaptionFirstMonthPosition+1,$FJ212&lt;SwaptionFirstMonthPosition+1,GH$169&gt;SwaptionFirstMonthPosition+SwaptionNumOfMonths+1,$FJ212&gt;SwaptionFirstMonthPosition+SwaptionNumOfMonths+1),"",IF($FJ212=GH$169,1,IF($FJ212&lt;GH$169,INDEX($FK$170:$ID$241,GH$169,$FJ212),SUMPRODUCT(INDEX($FK$325:$ID$396,GH$169,1+SwaptionShift):INDEX($FK$325:$ID$396,GH$169,SwaptionMonthsToGo+SwaptionShift),INDEX($FK$245:$ID$316,$FJ212-GH$169,73-GH$169+SwaptionShift):INDEX($FK$245:$ID$316,$FJ212-GH$169,72-GH$169+SwaptionMonthsToGo+SwaptionShift))/SQRT(SUM(INDEX($FK367:$ID367,1+SwaptionShift):INDEX($FK367:$ID367,SwaptionMonthsToGo+SwaptionShift))*SUM(INDEX($FK$325:$ID$396,GH$169,1+SwaptionShift):INDEX($FK$325:$ID$396,GH$169,SwaptionMonthsToGo+SwaptionShift))))))</f>
        <v/>
      </c>
      <c r="GI212" s="479" t="str">
        <f ca="1">IF(OR(GI$169&lt;SwaptionFirstMonthPosition+1,$FJ212&lt;SwaptionFirstMonthPosition+1,GI$169&gt;SwaptionFirstMonthPosition+SwaptionNumOfMonths+1,$FJ212&gt;SwaptionFirstMonthPosition+SwaptionNumOfMonths+1),"",IF($FJ212=GI$169,1,IF($FJ212&lt;GI$169,INDEX($FK$170:$ID$241,GI$169,$FJ212),SUMPRODUCT(INDEX($FK$325:$ID$396,GI$169,1+SwaptionShift):INDEX($FK$325:$ID$396,GI$169,SwaptionMonthsToGo+SwaptionShift),INDEX($FK$245:$ID$316,$FJ212-GI$169,73-GI$169+SwaptionShift):INDEX($FK$245:$ID$316,$FJ212-GI$169,72-GI$169+SwaptionMonthsToGo+SwaptionShift))/SQRT(SUM(INDEX($FK367:$ID367,1+SwaptionShift):INDEX($FK367:$ID367,SwaptionMonthsToGo+SwaptionShift))*SUM(INDEX($FK$325:$ID$396,GI$169,1+SwaptionShift):INDEX($FK$325:$ID$396,GI$169,SwaptionMonthsToGo+SwaptionShift))))))</f>
        <v/>
      </c>
      <c r="GJ212" s="479" t="str">
        <f ca="1">IF(OR(GJ$169&lt;SwaptionFirstMonthPosition+1,$FJ212&lt;SwaptionFirstMonthPosition+1,GJ$169&gt;SwaptionFirstMonthPosition+SwaptionNumOfMonths+1,$FJ212&gt;SwaptionFirstMonthPosition+SwaptionNumOfMonths+1),"",IF($FJ212=GJ$169,1,IF($FJ212&lt;GJ$169,INDEX($FK$170:$ID$241,GJ$169,$FJ212),SUMPRODUCT(INDEX($FK$325:$ID$396,GJ$169,1+SwaptionShift):INDEX($FK$325:$ID$396,GJ$169,SwaptionMonthsToGo+SwaptionShift),INDEX($FK$245:$ID$316,$FJ212-GJ$169,73-GJ$169+SwaptionShift):INDEX($FK$245:$ID$316,$FJ212-GJ$169,72-GJ$169+SwaptionMonthsToGo+SwaptionShift))/SQRT(SUM(INDEX($FK367:$ID367,1+SwaptionShift):INDEX($FK367:$ID367,SwaptionMonthsToGo+SwaptionShift))*SUM(INDEX($FK$325:$ID$396,GJ$169,1+SwaptionShift):INDEX($FK$325:$ID$396,GJ$169,SwaptionMonthsToGo+SwaptionShift))))))</f>
        <v/>
      </c>
      <c r="GK212" s="479" t="str">
        <f ca="1">IF(OR(GK$169&lt;SwaptionFirstMonthPosition+1,$FJ212&lt;SwaptionFirstMonthPosition+1,GK$169&gt;SwaptionFirstMonthPosition+SwaptionNumOfMonths+1,$FJ212&gt;SwaptionFirstMonthPosition+SwaptionNumOfMonths+1),"",IF($FJ212=GK$169,1,IF($FJ212&lt;GK$169,INDEX($FK$170:$ID$241,GK$169,$FJ212),SUMPRODUCT(INDEX($FK$325:$ID$396,GK$169,1+SwaptionShift):INDEX($FK$325:$ID$396,GK$169,SwaptionMonthsToGo+SwaptionShift),INDEX($FK$245:$ID$316,$FJ212-GK$169,73-GK$169+SwaptionShift):INDEX($FK$245:$ID$316,$FJ212-GK$169,72-GK$169+SwaptionMonthsToGo+SwaptionShift))/SQRT(SUM(INDEX($FK367:$ID367,1+SwaptionShift):INDEX($FK367:$ID367,SwaptionMonthsToGo+SwaptionShift))*SUM(INDEX($FK$325:$ID$396,GK$169,1+SwaptionShift):INDEX($FK$325:$ID$396,GK$169,SwaptionMonthsToGo+SwaptionShift))))))</f>
        <v/>
      </c>
      <c r="GL212" s="479" t="str">
        <f ca="1">IF(OR(GL$169&lt;SwaptionFirstMonthPosition+1,$FJ212&lt;SwaptionFirstMonthPosition+1,GL$169&gt;SwaptionFirstMonthPosition+SwaptionNumOfMonths+1,$FJ212&gt;SwaptionFirstMonthPosition+SwaptionNumOfMonths+1),"",IF($FJ212=GL$169,1,IF($FJ212&lt;GL$169,INDEX($FK$170:$ID$241,GL$169,$FJ212),SUMPRODUCT(INDEX($FK$325:$ID$396,GL$169,1+SwaptionShift):INDEX($FK$325:$ID$396,GL$169,SwaptionMonthsToGo+SwaptionShift),INDEX($FK$245:$ID$316,$FJ212-GL$169,73-GL$169+SwaptionShift):INDEX($FK$245:$ID$316,$FJ212-GL$169,72-GL$169+SwaptionMonthsToGo+SwaptionShift))/SQRT(SUM(INDEX($FK367:$ID367,1+SwaptionShift):INDEX($FK367:$ID367,SwaptionMonthsToGo+SwaptionShift))*SUM(INDEX($FK$325:$ID$396,GL$169,1+SwaptionShift):INDEX($FK$325:$ID$396,GL$169,SwaptionMonthsToGo+SwaptionShift))))))</f>
        <v/>
      </c>
      <c r="GM212" s="479" t="str">
        <f ca="1">IF(OR(GM$169&lt;SwaptionFirstMonthPosition+1,$FJ212&lt;SwaptionFirstMonthPosition+1,GM$169&gt;SwaptionFirstMonthPosition+SwaptionNumOfMonths+1,$FJ212&gt;SwaptionFirstMonthPosition+SwaptionNumOfMonths+1),"",IF($FJ212=GM$169,1,IF($FJ212&lt;GM$169,INDEX($FK$170:$ID$241,GM$169,$FJ212),SUMPRODUCT(INDEX($FK$325:$ID$396,GM$169,1+SwaptionShift):INDEX($FK$325:$ID$396,GM$169,SwaptionMonthsToGo+SwaptionShift),INDEX($FK$245:$ID$316,$FJ212-GM$169,73-GM$169+SwaptionShift):INDEX($FK$245:$ID$316,$FJ212-GM$169,72-GM$169+SwaptionMonthsToGo+SwaptionShift))/SQRT(SUM(INDEX($FK367:$ID367,1+SwaptionShift):INDEX($FK367:$ID367,SwaptionMonthsToGo+SwaptionShift))*SUM(INDEX($FK$325:$ID$396,GM$169,1+SwaptionShift):INDEX($FK$325:$ID$396,GM$169,SwaptionMonthsToGo+SwaptionShift))))))</f>
        <v/>
      </c>
      <c r="GN212" s="479" t="str">
        <f ca="1">IF(OR(GN$169&lt;SwaptionFirstMonthPosition+1,$FJ212&lt;SwaptionFirstMonthPosition+1,GN$169&gt;SwaptionFirstMonthPosition+SwaptionNumOfMonths+1,$FJ212&gt;SwaptionFirstMonthPosition+SwaptionNumOfMonths+1),"",IF($FJ212=GN$169,1,IF($FJ212&lt;GN$169,INDEX($FK$170:$ID$241,GN$169,$FJ212),SUMPRODUCT(INDEX($FK$325:$ID$396,GN$169,1+SwaptionShift):INDEX($FK$325:$ID$396,GN$169,SwaptionMonthsToGo+SwaptionShift),INDEX($FK$245:$ID$316,$FJ212-GN$169,73-GN$169+SwaptionShift):INDEX($FK$245:$ID$316,$FJ212-GN$169,72-GN$169+SwaptionMonthsToGo+SwaptionShift))/SQRT(SUM(INDEX($FK367:$ID367,1+SwaptionShift):INDEX($FK367:$ID367,SwaptionMonthsToGo+SwaptionShift))*SUM(INDEX($FK$325:$ID$396,GN$169,1+SwaptionShift):INDEX($FK$325:$ID$396,GN$169,SwaptionMonthsToGo+SwaptionShift))))))</f>
        <v/>
      </c>
      <c r="GO212" s="479" t="str">
        <f ca="1">IF(OR(GO$169&lt;SwaptionFirstMonthPosition+1,$FJ212&lt;SwaptionFirstMonthPosition+1,GO$169&gt;SwaptionFirstMonthPosition+SwaptionNumOfMonths+1,$FJ212&gt;SwaptionFirstMonthPosition+SwaptionNumOfMonths+1),"",IF($FJ212=GO$169,1,IF($FJ212&lt;GO$169,INDEX($FK$170:$ID$241,GO$169,$FJ212),SUMPRODUCT(INDEX($FK$325:$ID$396,GO$169,1+SwaptionShift):INDEX($FK$325:$ID$396,GO$169,SwaptionMonthsToGo+SwaptionShift),INDEX($FK$245:$ID$316,$FJ212-GO$169,73-GO$169+SwaptionShift):INDEX($FK$245:$ID$316,$FJ212-GO$169,72-GO$169+SwaptionMonthsToGo+SwaptionShift))/SQRT(SUM(INDEX($FK367:$ID367,1+SwaptionShift):INDEX($FK367:$ID367,SwaptionMonthsToGo+SwaptionShift))*SUM(INDEX($FK$325:$ID$396,GO$169,1+SwaptionShift):INDEX($FK$325:$ID$396,GO$169,SwaptionMonthsToGo+SwaptionShift))))))</f>
        <v/>
      </c>
      <c r="GP212" s="479" t="str">
        <f ca="1">IF(OR(GP$169&lt;SwaptionFirstMonthPosition+1,$FJ212&lt;SwaptionFirstMonthPosition+1,GP$169&gt;SwaptionFirstMonthPosition+SwaptionNumOfMonths+1,$FJ212&gt;SwaptionFirstMonthPosition+SwaptionNumOfMonths+1),"",IF($FJ212=GP$169,1,IF($FJ212&lt;GP$169,INDEX($FK$170:$ID$241,GP$169,$FJ212),SUMPRODUCT(INDEX($FK$325:$ID$396,GP$169,1+SwaptionShift):INDEX($FK$325:$ID$396,GP$169,SwaptionMonthsToGo+SwaptionShift),INDEX($FK$245:$ID$316,$FJ212-GP$169,73-GP$169+SwaptionShift):INDEX($FK$245:$ID$316,$FJ212-GP$169,72-GP$169+SwaptionMonthsToGo+SwaptionShift))/SQRT(SUM(INDEX($FK367:$ID367,1+SwaptionShift):INDEX($FK367:$ID367,SwaptionMonthsToGo+SwaptionShift))*SUM(INDEX($FK$325:$ID$396,GP$169,1+SwaptionShift):INDEX($FK$325:$ID$396,GP$169,SwaptionMonthsToGo+SwaptionShift))))))</f>
        <v/>
      </c>
      <c r="GQ212" s="479" t="str">
        <f ca="1">IF(OR(GQ$169&lt;SwaptionFirstMonthPosition+1,$FJ212&lt;SwaptionFirstMonthPosition+1,GQ$169&gt;SwaptionFirstMonthPosition+SwaptionNumOfMonths+1,$FJ212&gt;SwaptionFirstMonthPosition+SwaptionNumOfMonths+1),"",IF($FJ212=GQ$169,1,IF($FJ212&lt;GQ$169,INDEX($FK$170:$ID$241,GQ$169,$FJ212),SUMPRODUCT(INDEX($FK$325:$ID$396,GQ$169,1+SwaptionShift):INDEX($FK$325:$ID$396,GQ$169,SwaptionMonthsToGo+SwaptionShift),INDEX($FK$245:$ID$316,$FJ212-GQ$169,73-GQ$169+SwaptionShift):INDEX($FK$245:$ID$316,$FJ212-GQ$169,72-GQ$169+SwaptionMonthsToGo+SwaptionShift))/SQRT(SUM(INDEX($FK367:$ID367,1+SwaptionShift):INDEX($FK367:$ID367,SwaptionMonthsToGo+SwaptionShift))*SUM(INDEX($FK$325:$ID$396,GQ$169,1+SwaptionShift):INDEX($FK$325:$ID$396,GQ$169,SwaptionMonthsToGo+SwaptionShift))))))</f>
        <v/>
      </c>
      <c r="GR212" s="479" t="str">
        <f ca="1">IF(OR(GR$169&lt;SwaptionFirstMonthPosition+1,$FJ212&lt;SwaptionFirstMonthPosition+1,GR$169&gt;SwaptionFirstMonthPosition+SwaptionNumOfMonths+1,$FJ212&gt;SwaptionFirstMonthPosition+SwaptionNumOfMonths+1),"",IF($FJ212=GR$169,1,IF($FJ212&lt;GR$169,INDEX($FK$170:$ID$241,GR$169,$FJ212),SUMPRODUCT(INDEX($FK$325:$ID$396,GR$169,1+SwaptionShift):INDEX($FK$325:$ID$396,GR$169,SwaptionMonthsToGo+SwaptionShift),INDEX($FK$245:$ID$316,$FJ212-GR$169,73-GR$169+SwaptionShift):INDEX($FK$245:$ID$316,$FJ212-GR$169,72-GR$169+SwaptionMonthsToGo+SwaptionShift))/SQRT(SUM(INDEX($FK367:$ID367,1+SwaptionShift):INDEX($FK367:$ID367,SwaptionMonthsToGo+SwaptionShift))*SUM(INDEX($FK$325:$ID$396,GR$169,1+SwaptionShift):INDEX($FK$325:$ID$396,GR$169,SwaptionMonthsToGo+SwaptionShift))))))</f>
        <v/>
      </c>
      <c r="GS212" s="479" t="str">
        <f ca="1">IF(OR(GS$169&lt;SwaptionFirstMonthPosition+1,$FJ212&lt;SwaptionFirstMonthPosition+1,GS$169&gt;SwaptionFirstMonthPosition+SwaptionNumOfMonths+1,$FJ212&gt;SwaptionFirstMonthPosition+SwaptionNumOfMonths+1),"",IF($FJ212=GS$169,1,IF($FJ212&lt;GS$169,INDEX($FK$170:$ID$241,GS$169,$FJ212),SUMPRODUCT(INDEX($FK$325:$ID$396,GS$169,1+SwaptionShift):INDEX($FK$325:$ID$396,GS$169,SwaptionMonthsToGo+SwaptionShift),INDEX($FK$245:$ID$316,$FJ212-GS$169,73-GS$169+SwaptionShift):INDEX($FK$245:$ID$316,$FJ212-GS$169,72-GS$169+SwaptionMonthsToGo+SwaptionShift))/SQRT(SUM(INDEX($FK367:$ID367,1+SwaptionShift):INDEX($FK367:$ID367,SwaptionMonthsToGo+SwaptionShift))*SUM(INDEX($FK$325:$ID$396,GS$169,1+SwaptionShift):INDEX($FK$325:$ID$396,GS$169,SwaptionMonthsToGo+SwaptionShift))))))</f>
        <v/>
      </c>
      <c r="GT212" s="479" t="str">
        <f ca="1">IF(OR(GT$169&lt;SwaptionFirstMonthPosition+1,$FJ212&lt;SwaptionFirstMonthPosition+1,GT$169&gt;SwaptionFirstMonthPosition+SwaptionNumOfMonths+1,$FJ212&gt;SwaptionFirstMonthPosition+SwaptionNumOfMonths+1),"",IF($FJ212=GT$169,1,IF($FJ212&lt;GT$169,INDEX($FK$170:$ID$241,GT$169,$FJ212),SUMPRODUCT(INDEX($FK$325:$ID$396,GT$169,1+SwaptionShift):INDEX($FK$325:$ID$396,GT$169,SwaptionMonthsToGo+SwaptionShift),INDEX($FK$245:$ID$316,$FJ212-GT$169,73-GT$169+SwaptionShift):INDEX($FK$245:$ID$316,$FJ212-GT$169,72-GT$169+SwaptionMonthsToGo+SwaptionShift))/SQRT(SUM(INDEX($FK367:$ID367,1+SwaptionShift):INDEX($FK367:$ID367,SwaptionMonthsToGo+SwaptionShift))*SUM(INDEX($FK$325:$ID$396,GT$169,1+SwaptionShift):INDEX($FK$325:$ID$396,GT$169,SwaptionMonthsToGo+SwaptionShift))))))</f>
        <v/>
      </c>
      <c r="GU212" s="479" t="str">
        <f ca="1">IF(OR(GU$169&lt;SwaptionFirstMonthPosition+1,$FJ212&lt;SwaptionFirstMonthPosition+1,GU$169&gt;SwaptionFirstMonthPosition+SwaptionNumOfMonths+1,$FJ212&gt;SwaptionFirstMonthPosition+SwaptionNumOfMonths+1),"",IF($FJ212=GU$169,1,IF($FJ212&lt;GU$169,INDEX($FK$170:$ID$241,GU$169,$FJ212),SUMPRODUCT(INDEX($FK$325:$ID$396,GU$169,1+SwaptionShift):INDEX($FK$325:$ID$396,GU$169,SwaptionMonthsToGo+SwaptionShift),INDEX($FK$245:$ID$316,$FJ212-GU$169,73-GU$169+SwaptionShift):INDEX($FK$245:$ID$316,$FJ212-GU$169,72-GU$169+SwaptionMonthsToGo+SwaptionShift))/SQRT(SUM(INDEX($FK367:$ID367,1+SwaptionShift):INDEX($FK367:$ID367,SwaptionMonthsToGo+SwaptionShift))*SUM(INDEX($FK$325:$ID$396,GU$169,1+SwaptionShift):INDEX($FK$325:$ID$396,GU$169,SwaptionMonthsToGo+SwaptionShift))))))</f>
        <v/>
      </c>
      <c r="GV212" s="479" t="str">
        <f ca="1">IF(OR(GV$169&lt;SwaptionFirstMonthPosition+1,$FJ212&lt;SwaptionFirstMonthPosition+1,GV$169&gt;SwaptionFirstMonthPosition+SwaptionNumOfMonths+1,$FJ212&gt;SwaptionFirstMonthPosition+SwaptionNumOfMonths+1),"",IF($FJ212=GV$169,1,IF($FJ212&lt;GV$169,INDEX($FK$170:$ID$241,GV$169,$FJ212),SUMPRODUCT(INDEX($FK$325:$ID$396,GV$169,1+SwaptionShift):INDEX($FK$325:$ID$396,GV$169,SwaptionMonthsToGo+SwaptionShift),INDEX($FK$245:$ID$316,$FJ212-GV$169,73-GV$169+SwaptionShift):INDEX($FK$245:$ID$316,$FJ212-GV$169,72-GV$169+SwaptionMonthsToGo+SwaptionShift))/SQRT(SUM(INDEX($FK367:$ID367,1+SwaptionShift):INDEX($FK367:$ID367,SwaptionMonthsToGo+SwaptionShift))*SUM(INDEX($FK$325:$ID$396,GV$169,1+SwaptionShift):INDEX($FK$325:$ID$396,GV$169,SwaptionMonthsToGo+SwaptionShift))))))</f>
        <v/>
      </c>
      <c r="GW212" s="479" t="str">
        <f ca="1">IF(OR(GW$169&lt;SwaptionFirstMonthPosition+1,$FJ212&lt;SwaptionFirstMonthPosition+1,GW$169&gt;SwaptionFirstMonthPosition+SwaptionNumOfMonths+1,$FJ212&gt;SwaptionFirstMonthPosition+SwaptionNumOfMonths+1),"",IF($FJ212=GW$169,1,IF($FJ212&lt;GW$169,INDEX($FK$170:$ID$241,GW$169,$FJ212),SUMPRODUCT(INDEX($FK$325:$ID$396,GW$169,1+SwaptionShift):INDEX($FK$325:$ID$396,GW$169,SwaptionMonthsToGo+SwaptionShift),INDEX($FK$245:$ID$316,$FJ212-GW$169,73-GW$169+SwaptionShift):INDEX($FK$245:$ID$316,$FJ212-GW$169,72-GW$169+SwaptionMonthsToGo+SwaptionShift))/SQRT(SUM(INDEX($FK367:$ID367,1+SwaptionShift):INDEX($FK367:$ID367,SwaptionMonthsToGo+SwaptionShift))*SUM(INDEX($FK$325:$ID$396,GW$169,1+SwaptionShift):INDEX($FK$325:$ID$396,GW$169,SwaptionMonthsToGo+SwaptionShift))))))</f>
        <v/>
      </c>
      <c r="GX212" s="479" t="str">
        <f ca="1">IF(OR(GX$169&lt;SwaptionFirstMonthPosition+1,$FJ212&lt;SwaptionFirstMonthPosition+1,GX$169&gt;SwaptionFirstMonthPosition+SwaptionNumOfMonths+1,$FJ212&gt;SwaptionFirstMonthPosition+SwaptionNumOfMonths+1),"",IF($FJ212=GX$169,1,IF($FJ212&lt;GX$169,INDEX($FK$170:$ID$241,GX$169,$FJ212),SUMPRODUCT(INDEX($FK$325:$ID$396,GX$169,1+SwaptionShift):INDEX($FK$325:$ID$396,GX$169,SwaptionMonthsToGo+SwaptionShift),INDEX($FK$245:$ID$316,$FJ212-GX$169,73-GX$169+SwaptionShift):INDEX($FK$245:$ID$316,$FJ212-GX$169,72-GX$169+SwaptionMonthsToGo+SwaptionShift))/SQRT(SUM(INDEX($FK367:$ID367,1+SwaptionShift):INDEX($FK367:$ID367,SwaptionMonthsToGo+SwaptionShift))*SUM(INDEX($FK$325:$ID$396,GX$169,1+SwaptionShift):INDEX($FK$325:$ID$396,GX$169,SwaptionMonthsToGo+SwaptionShift))))))</f>
        <v/>
      </c>
      <c r="GY212" s="479" t="str">
        <f ca="1">IF(OR(GY$169&lt;SwaptionFirstMonthPosition+1,$FJ212&lt;SwaptionFirstMonthPosition+1,GY$169&gt;SwaptionFirstMonthPosition+SwaptionNumOfMonths+1,$FJ212&gt;SwaptionFirstMonthPosition+SwaptionNumOfMonths+1),"",IF($FJ212=GY$169,1,IF($FJ212&lt;GY$169,INDEX($FK$170:$ID$241,GY$169,$FJ212),SUMPRODUCT(INDEX($FK$325:$ID$396,GY$169,1+SwaptionShift):INDEX($FK$325:$ID$396,GY$169,SwaptionMonthsToGo+SwaptionShift),INDEX($FK$245:$ID$316,$FJ212-GY$169,73-GY$169+SwaptionShift):INDEX($FK$245:$ID$316,$FJ212-GY$169,72-GY$169+SwaptionMonthsToGo+SwaptionShift))/SQRT(SUM(INDEX($FK367:$ID367,1+SwaptionShift):INDEX($FK367:$ID367,SwaptionMonthsToGo+SwaptionShift))*SUM(INDEX($FK$325:$ID$396,GY$169,1+SwaptionShift):INDEX($FK$325:$ID$396,GY$169,SwaptionMonthsToGo+SwaptionShift))))))</f>
        <v/>
      </c>
      <c r="GZ212" s="479" t="str">
        <f ca="1">IF(OR(GZ$169&lt;SwaptionFirstMonthPosition+1,$FJ212&lt;SwaptionFirstMonthPosition+1,GZ$169&gt;SwaptionFirstMonthPosition+SwaptionNumOfMonths+1,$FJ212&gt;SwaptionFirstMonthPosition+SwaptionNumOfMonths+1),"",IF($FJ212=GZ$169,1,IF($FJ212&lt;GZ$169,INDEX($FK$170:$ID$241,GZ$169,$FJ212),SUMPRODUCT(INDEX($FK$325:$ID$396,GZ$169,1+SwaptionShift):INDEX($FK$325:$ID$396,GZ$169,SwaptionMonthsToGo+SwaptionShift),INDEX($FK$245:$ID$316,$FJ212-GZ$169,73-GZ$169+SwaptionShift):INDEX($FK$245:$ID$316,$FJ212-GZ$169,72-GZ$169+SwaptionMonthsToGo+SwaptionShift))/SQRT(SUM(INDEX($FK367:$ID367,1+SwaptionShift):INDEX($FK367:$ID367,SwaptionMonthsToGo+SwaptionShift))*SUM(INDEX($FK$325:$ID$396,GZ$169,1+SwaptionShift):INDEX($FK$325:$ID$396,GZ$169,SwaptionMonthsToGo+SwaptionShift))))))</f>
        <v/>
      </c>
      <c r="HA212" s="479" t="str">
        <f ca="1">IF(OR(HA$169&lt;SwaptionFirstMonthPosition+1,$FJ212&lt;SwaptionFirstMonthPosition+1,HA$169&gt;SwaptionFirstMonthPosition+SwaptionNumOfMonths+1,$FJ212&gt;SwaptionFirstMonthPosition+SwaptionNumOfMonths+1),"",IF($FJ212=HA$169,1,IF($FJ212&lt;HA$169,INDEX($FK$170:$ID$241,HA$169,$FJ212),SUMPRODUCT(INDEX($FK$325:$ID$396,HA$169,1+SwaptionShift):INDEX($FK$325:$ID$396,HA$169,SwaptionMonthsToGo+SwaptionShift),INDEX($FK$245:$ID$316,$FJ212-HA$169,73-HA$169+SwaptionShift):INDEX($FK$245:$ID$316,$FJ212-HA$169,72-HA$169+SwaptionMonthsToGo+SwaptionShift))/SQRT(SUM(INDEX($FK367:$ID367,1+SwaptionShift):INDEX($FK367:$ID367,SwaptionMonthsToGo+SwaptionShift))*SUM(INDEX($FK$325:$ID$396,HA$169,1+SwaptionShift):INDEX($FK$325:$ID$396,HA$169,SwaptionMonthsToGo+SwaptionShift))))))</f>
        <v/>
      </c>
      <c r="HB212" s="479" t="str">
        <f ca="1">IF(OR(HB$169&lt;SwaptionFirstMonthPosition+1,$FJ212&lt;SwaptionFirstMonthPosition+1,HB$169&gt;SwaptionFirstMonthPosition+SwaptionNumOfMonths+1,$FJ212&gt;SwaptionFirstMonthPosition+SwaptionNumOfMonths+1),"",IF($FJ212=HB$169,1,IF($FJ212&lt;HB$169,INDEX($FK$170:$ID$241,HB$169,$FJ212),SUMPRODUCT(INDEX($FK$325:$ID$396,HB$169,1+SwaptionShift):INDEX($FK$325:$ID$396,HB$169,SwaptionMonthsToGo+SwaptionShift),INDEX($FK$245:$ID$316,$FJ212-HB$169,73-HB$169+SwaptionShift):INDEX($FK$245:$ID$316,$FJ212-HB$169,72-HB$169+SwaptionMonthsToGo+SwaptionShift))/SQRT(SUM(INDEX($FK367:$ID367,1+SwaptionShift):INDEX($FK367:$ID367,SwaptionMonthsToGo+SwaptionShift))*SUM(INDEX($FK$325:$ID$396,HB$169,1+SwaptionShift):INDEX($FK$325:$ID$396,HB$169,SwaptionMonthsToGo+SwaptionShift))))))</f>
        <v/>
      </c>
      <c r="HC212" s="479" t="str">
        <f ca="1">IF(OR(HC$169&lt;SwaptionFirstMonthPosition+1,$FJ212&lt;SwaptionFirstMonthPosition+1,HC$169&gt;SwaptionFirstMonthPosition+SwaptionNumOfMonths+1,$FJ212&gt;SwaptionFirstMonthPosition+SwaptionNumOfMonths+1),"",IF($FJ212=HC$169,1,IF($FJ212&lt;HC$169,INDEX($FK$170:$ID$241,HC$169,$FJ212),SUMPRODUCT(INDEX($FK$325:$ID$396,HC$169,1+SwaptionShift):INDEX($FK$325:$ID$396,HC$169,SwaptionMonthsToGo+SwaptionShift),INDEX($FK$245:$ID$316,$FJ212-HC$169,73-HC$169+SwaptionShift):INDEX($FK$245:$ID$316,$FJ212-HC$169,72-HC$169+SwaptionMonthsToGo+SwaptionShift))/SQRT(SUM(INDEX($FK367:$ID367,1+SwaptionShift):INDEX($FK367:$ID367,SwaptionMonthsToGo+SwaptionShift))*SUM(INDEX($FK$325:$ID$396,HC$169,1+SwaptionShift):INDEX($FK$325:$ID$396,HC$169,SwaptionMonthsToGo+SwaptionShift))))))</f>
        <v/>
      </c>
      <c r="HD212" s="479" t="str">
        <f ca="1">IF(OR(HD$169&lt;SwaptionFirstMonthPosition+1,$FJ212&lt;SwaptionFirstMonthPosition+1,HD$169&gt;SwaptionFirstMonthPosition+SwaptionNumOfMonths+1,$FJ212&gt;SwaptionFirstMonthPosition+SwaptionNumOfMonths+1),"",IF($FJ212=HD$169,1,IF($FJ212&lt;HD$169,INDEX($FK$170:$ID$241,HD$169,$FJ212),SUMPRODUCT(INDEX($FK$325:$ID$396,HD$169,1+SwaptionShift):INDEX($FK$325:$ID$396,HD$169,SwaptionMonthsToGo+SwaptionShift),INDEX($FK$245:$ID$316,$FJ212-HD$169,73-HD$169+SwaptionShift):INDEX($FK$245:$ID$316,$FJ212-HD$169,72-HD$169+SwaptionMonthsToGo+SwaptionShift))/SQRT(SUM(INDEX($FK367:$ID367,1+SwaptionShift):INDEX($FK367:$ID367,SwaptionMonthsToGo+SwaptionShift))*SUM(INDEX($FK$325:$ID$396,HD$169,1+SwaptionShift):INDEX($FK$325:$ID$396,HD$169,SwaptionMonthsToGo+SwaptionShift))))))</f>
        <v/>
      </c>
      <c r="HE212" s="479" t="str">
        <f ca="1">IF(OR(HE$169&lt;SwaptionFirstMonthPosition+1,$FJ212&lt;SwaptionFirstMonthPosition+1,HE$169&gt;SwaptionFirstMonthPosition+SwaptionNumOfMonths+1,$FJ212&gt;SwaptionFirstMonthPosition+SwaptionNumOfMonths+1),"",IF($FJ212=HE$169,1,IF($FJ212&lt;HE$169,INDEX($FK$170:$ID$241,HE$169,$FJ212),SUMPRODUCT(INDEX($FK$325:$ID$396,HE$169,1+SwaptionShift):INDEX($FK$325:$ID$396,HE$169,SwaptionMonthsToGo+SwaptionShift),INDEX($FK$245:$ID$316,$FJ212-HE$169,73-HE$169+SwaptionShift):INDEX($FK$245:$ID$316,$FJ212-HE$169,72-HE$169+SwaptionMonthsToGo+SwaptionShift))/SQRT(SUM(INDEX($FK367:$ID367,1+SwaptionShift):INDEX($FK367:$ID367,SwaptionMonthsToGo+SwaptionShift))*SUM(INDEX($FK$325:$ID$396,HE$169,1+SwaptionShift):INDEX($FK$325:$ID$396,HE$169,SwaptionMonthsToGo+SwaptionShift))))))</f>
        <v/>
      </c>
      <c r="HF212" s="479" t="str">
        <f ca="1">IF(OR(HF$169&lt;SwaptionFirstMonthPosition+1,$FJ212&lt;SwaptionFirstMonthPosition+1,HF$169&gt;SwaptionFirstMonthPosition+SwaptionNumOfMonths+1,$FJ212&gt;SwaptionFirstMonthPosition+SwaptionNumOfMonths+1),"",IF($FJ212=HF$169,1,IF($FJ212&lt;HF$169,INDEX($FK$170:$ID$241,HF$169,$FJ212),SUMPRODUCT(INDEX($FK$325:$ID$396,HF$169,1+SwaptionShift):INDEX($FK$325:$ID$396,HF$169,SwaptionMonthsToGo+SwaptionShift),INDEX($FK$245:$ID$316,$FJ212-HF$169,73-HF$169+SwaptionShift):INDEX($FK$245:$ID$316,$FJ212-HF$169,72-HF$169+SwaptionMonthsToGo+SwaptionShift))/SQRT(SUM(INDEX($FK367:$ID367,1+SwaptionShift):INDEX($FK367:$ID367,SwaptionMonthsToGo+SwaptionShift))*SUM(INDEX($FK$325:$ID$396,HF$169,1+SwaptionShift):INDEX($FK$325:$ID$396,HF$169,SwaptionMonthsToGo+SwaptionShift))))))</f>
        <v/>
      </c>
      <c r="HG212" s="479" t="str">
        <f ca="1">IF(OR(HG$169&lt;SwaptionFirstMonthPosition+1,$FJ212&lt;SwaptionFirstMonthPosition+1,HG$169&gt;SwaptionFirstMonthPosition+SwaptionNumOfMonths+1,$FJ212&gt;SwaptionFirstMonthPosition+SwaptionNumOfMonths+1),"",IF($FJ212=HG$169,1,IF($FJ212&lt;HG$169,INDEX($FK$170:$ID$241,HG$169,$FJ212),SUMPRODUCT(INDEX($FK$325:$ID$396,HG$169,1+SwaptionShift):INDEX($FK$325:$ID$396,HG$169,SwaptionMonthsToGo+SwaptionShift),INDEX($FK$245:$ID$316,$FJ212-HG$169,73-HG$169+SwaptionShift):INDEX($FK$245:$ID$316,$FJ212-HG$169,72-HG$169+SwaptionMonthsToGo+SwaptionShift))/SQRT(SUM(INDEX($FK367:$ID367,1+SwaptionShift):INDEX($FK367:$ID367,SwaptionMonthsToGo+SwaptionShift))*SUM(INDEX($FK$325:$ID$396,HG$169,1+SwaptionShift):INDEX($FK$325:$ID$396,HG$169,SwaptionMonthsToGo+SwaptionShift))))))</f>
        <v/>
      </c>
      <c r="HH212" s="479" t="str">
        <f ca="1">IF(OR(HH$169&lt;SwaptionFirstMonthPosition+1,$FJ212&lt;SwaptionFirstMonthPosition+1,HH$169&gt;SwaptionFirstMonthPosition+SwaptionNumOfMonths+1,$FJ212&gt;SwaptionFirstMonthPosition+SwaptionNumOfMonths+1),"",IF($FJ212=HH$169,1,IF($FJ212&lt;HH$169,INDEX($FK$170:$ID$241,HH$169,$FJ212),SUMPRODUCT(INDEX($FK$325:$ID$396,HH$169,1+SwaptionShift):INDEX($FK$325:$ID$396,HH$169,SwaptionMonthsToGo+SwaptionShift),INDEX($FK$245:$ID$316,$FJ212-HH$169,73-HH$169+SwaptionShift):INDEX($FK$245:$ID$316,$FJ212-HH$169,72-HH$169+SwaptionMonthsToGo+SwaptionShift))/SQRT(SUM(INDEX($FK367:$ID367,1+SwaptionShift):INDEX($FK367:$ID367,SwaptionMonthsToGo+SwaptionShift))*SUM(INDEX($FK$325:$ID$396,HH$169,1+SwaptionShift):INDEX($FK$325:$ID$396,HH$169,SwaptionMonthsToGo+SwaptionShift))))))</f>
        <v/>
      </c>
      <c r="HI212" s="479" t="str">
        <f ca="1">IF(OR(HI$169&lt;SwaptionFirstMonthPosition+1,$FJ212&lt;SwaptionFirstMonthPosition+1,HI$169&gt;SwaptionFirstMonthPosition+SwaptionNumOfMonths+1,$FJ212&gt;SwaptionFirstMonthPosition+SwaptionNumOfMonths+1),"",IF($FJ212=HI$169,1,IF($FJ212&lt;HI$169,INDEX($FK$170:$ID$241,HI$169,$FJ212),SUMPRODUCT(INDEX($FK$325:$ID$396,HI$169,1+SwaptionShift):INDEX($FK$325:$ID$396,HI$169,SwaptionMonthsToGo+SwaptionShift),INDEX($FK$245:$ID$316,$FJ212-HI$169,73-HI$169+SwaptionShift):INDEX($FK$245:$ID$316,$FJ212-HI$169,72-HI$169+SwaptionMonthsToGo+SwaptionShift))/SQRT(SUM(INDEX($FK367:$ID367,1+SwaptionShift):INDEX($FK367:$ID367,SwaptionMonthsToGo+SwaptionShift))*SUM(INDEX($FK$325:$ID$396,HI$169,1+SwaptionShift):INDEX($FK$325:$ID$396,HI$169,SwaptionMonthsToGo+SwaptionShift))))))</f>
        <v/>
      </c>
      <c r="HJ212" s="479" t="str">
        <f ca="1">IF(OR(HJ$169&lt;SwaptionFirstMonthPosition+1,$FJ212&lt;SwaptionFirstMonthPosition+1,HJ$169&gt;SwaptionFirstMonthPosition+SwaptionNumOfMonths+1,$FJ212&gt;SwaptionFirstMonthPosition+SwaptionNumOfMonths+1),"",IF($FJ212=HJ$169,1,IF($FJ212&lt;HJ$169,INDEX($FK$170:$ID$241,HJ$169,$FJ212),SUMPRODUCT(INDEX($FK$325:$ID$396,HJ$169,1+SwaptionShift):INDEX($FK$325:$ID$396,HJ$169,SwaptionMonthsToGo+SwaptionShift),INDEX($FK$245:$ID$316,$FJ212-HJ$169,73-HJ$169+SwaptionShift):INDEX($FK$245:$ID$316,$FJ212-HJ$169,72-HJ$169+SwaptionMonthsToGo+SwaptionShift))/SQRT(SUM(INDEX($FK367:$ID367,1+SwaptionShift):INDEX($FK367:$ID367,SwaptionMonthsToGo+SwaptionShift))*SUM(INDEX($FK$325:$ID$396,HJ$169,1+SwaptionShift):INDEX($FK$325:$ID$396,HJ$169,SwaptionMonthsToGo+SwaptionShift))))))</f>
        <v/>
      </c>
      <c r="HK212" s="479" t="str">
        <f ca="1">IF(OR(HK$169&lt;SwaptionFirstMonthPosition+1,$FJ212&lt;SwaptionFirstMonthPosition+1,HK$169&gt;SwaptionFirstMonthPosition+SwaptionNumOfMonths+1,$FJ212&gt;SwaptionFirstMonthPosition+SwaptionNumOfMonths+1),"",IF($FJ212=HK$169,1,IF($FJ212&lt;HK$169,INDEX($FK$170:$ID$241,HK$169,$FJ212),SUMPRODUCT(INDEX($FK$325:$ID$396,HK$169,1+SwaptionShift):INDEX($FK$325:$ID$396,HK$169,SwaptionMonthsToGo+SwaptionShift),INDEX($FK$245:$ID$316,$FJ212-HK$169,73-HK$169+SwaptionShift):INDEX($FK$245:$ID$316,$FJ212-HK$169,72-HK$169+SwaptionMonthsToGo+SwaptionShift))/SQRT(SUM(INDEX($FK367:$ID367,1+SwaptionShift):INDEX($FK367:$ID367,SwaptionMonthsToGo+SwaptionShift))*SUM(INDEX($FK$325:$ID$396,HK$169,1+SwaptionShift):INDEX($FK$325:$ID$396,HK$169,SwaptionMonthsToGo+SwaptionShift))))))</f>
        <v/>
      </c>
      <c r="HL212" s="479" t="str">
        <f ca="1">IF(OR(HL$169&lt;SwaptionFirstMonthPosition+1,$FJ212&lt;SwaptionFirstMonthPosition+1,HL$169&gt;SwaptionFirstMonthPosition+SwaptionNumOfMonths+1,$FJ212&gt;SwaptionFirstMonthPosition+SwaptionNumOfMonths+1),"",IF($FJ212=HL$169,1,IF($FJ212&lt;HL$169,INDEX($FK$170:$ID$241,HL$169,$FJ212),SUMPRODUCT(INDEX($FK$325:$ID$396,HL$169,1+SwaptionShift):INDEX($FK$325:$ID$396,HL$169,SwaptionMonthsToGo+SwaptionShift),INDEX($FK$245:$ID$316,$FJ212-HL$169,73-HL$169+SwaptionShift):INDEX($FK$245:$ID$316,$FJ212-HL$169,72-HL$169+SwaptionMonthsToGo+SwaptionShift))/SQRT(SUM(INDEX($FK367:$ID367,1+SwaptionShift):INDEX($FK367:$ID367,SwaptionMonthsToGo+SwaptionShift))*SUM(INDEX($FK$325:$ID$396,HL$169,1+SwaptionShift):INDEX($FK$325:$ID$396,HL$169,SwaptionMonthsToGo+SwaptionShift))))))</f>
        <v/>
      </c>
      <c r="HM212" s="479" t="str">
        <f ca="1">IF(OR(HM$169&lt;SwaptionFirstMonthPosition+1,$FJ212&lt;SwaptionFirstMonthPosition+1,HM$169&gt;SwaptionFirstMonthPosition+SwaptionNumOfMonths+1,$FJ212&gt;SwaptionFirstMonthPosition+SwaptionNumOfMonths+1),"",IF($FJ212=HM$169,1,IF($FJ212&lt;HM$169,INDEX($FK$170:$ID$241,HM$169,$FJ212),SUMPRODUCT(INDEX($FK$325:$ID$396,HM$169,1+SwaptionShift):INDEX($FK$325:$ID$396,HM$169,SwaptionMonthsToGo+SwaptionShift),INDEX($FK$245:$ID$316,$FJ212-HM$169,73-HM$169+SwaptionShift):INDEX($FK$245:$ID$316,$FJ212-HM$169,72-HM$169+SwaptionMonthsToGo+SwaptionShift))/SQRT(SUM(INDEX($FK367:$ID367,1+SwaptionShift):INDEX($FK367:$ID367,SwaptionMonthsToGo+SwaptionShift))*SUM(INDEX($FK$325:$ID$396,HM$169,1+SwaptionShift):INDEX($FK$325:$ID$396,HM$169,SwaptionMonthsToGo+SwaptionShift))))))</f>
        <v/>
      </c>
      <c r="HN212" s="479" t="str">
        <f ca="1">IF(OR(HN$169&lt;SwaptionFirstMonthPosition+1,$FJ212&lt;SwaptionFirstMonthPosition+1,HN$169&gt;SwaptionFirstMonthPosition+SwaptionNumOfMonths+1,$FJ212&gt;SwaptionFirstMonthPosition+SwaptionNumOfMonths+1),"",IF($FJ212=HN$169,1,IF($FJ212&lt;HN$169,INDEX($FK$170:$ID$241,HN$169,$FJ212),SUMPRODUCT(INDEX($FK$325:$ID$396,HN$169,1+SwaptionShift):INDEX($FK$325:$ID$396,HN$169,SwaptionMonthsToGo+SwaptionShift),INDEX($FK$245:$ID$316,$FJ212-HN$169,73-HN$169+SwaptionShift):INDEX($FK$245:$ID$316,$FJ212-HN$169,72-HN$169+SwaptionMonthsToGo+SwaptionShift))/SQRT(SUM(INDEX($FK367:$ID367,1+SwaptionShift):INDEX($FK367:$ID367,SwaptionMonthsToGo+SwaptionShift))*SUM(INDEX($FK$325:$ID$396,HN$169,1+SwaptionShift):INDEX($FK$325:$ID$396,HN$169,SwaptionMonthsToGo+SwaptionShift))))))</f>
        <v/>
      </c>
      <c r="HO212" s="479" t="str">
        <f ca="1">IF(OR(HO$169&lt;SwaptionFirstMonthPosition+1,$FJ212&lt;SwaptionFirstMonthPosition+1,HO$169&gt;SwaptionFirstMonthPosition+SwaptionNumOfMonths+1,$FJ212&gt;SwaptionFirstMonthPosition+SwaptionNumOfMonths+1),"",IF($FJ212=HO$169,1,IF($FJ212&lt;HO$169,INDEX($FK$170:$ID$241,HO$169,$FJ212),SUMPRODUCT(INDEX($FK$325:$ID$396,HO$169,1+SwaptionShift):INDEX($FK$325:$ID$396,HO$169,SwaptionMonthsToGo+SwaptionShift),INDEX($FK$245:$ID$316,$FJ212-HO$169,73-HO$169+SwaptionShift):INDEX($FK$245:$ID$316,$FJ212-HO$169,72-HO$169+SwaptionMonthsToGo+SwaptionShift))/SQRT(SUM(INDEX($FK367:$ID367,1+SwaptionShift):INDEX($FK367:$ID367,SwaptionMonthsToGo+SwaptionShift))*SUM(INDEX($FK$325:$ID$396,HO$169,1+SwaptionShift):INDEX($FK$325:$ID$396,HO$169,SwaptionMonthsToGo+SwaptionShift))))))</f>
        <v/>
      </c>
      <c r="HP212" s="479" t="str">
        <f ca="1">IF(OR(HP$169&lt;SwaptionFirstMonthPosition+1,$FJ212&lt;SwaptionFirstMonthPosition+1,HP$169&gt;SwaptionFirstMonthPosition+SwaptionNumOfMonths+1,$FJ212&gt;SwaptionFirstMonthPosition+SwaptionNumOfMonths+1),"",IF($FJ212=HP$169,1,IF($FJ212&lt;HP$169,INDEX($FK$170:$ID$241,HP$169,$FJ212),SUMPRODUCT(INDEX($FK$325:$ID$396,HP$169,1+SwaptionShift):INDEX($FK$325:$ID$396,HP$169,SwaptionMonthsToGo+SwaptionShift),INDEX($FK$245:$ID$316,$FJ212-HP$169,73-HP$169+SwaptionShift):INDEX($FK$245:$ID$316,$FJ212-HP$169,72-HP$169+SwaptionMonthsToGo+SwaptionShift))/SQRT(SUM(INDEX($FK367:$ID367,1+SwaptionShift):INDEX($FK367:$ID367,SwaptionMonthsToGo+SwaptionShift))*SUM(INDEX($FK$325:$ID$396,HP$169,1+SwaptionShift):INDEX($FK$325:$ID$396,HP$169,SwaptionMonthsToGo+SwaptionShift))))))</f>
        <v/>
      </c>
      <c r="HQ212" s="479" t="str">
        <f ca="1">IF(OR(HQ$169&lt;SwaptionFirstMonthPosition+1,$FJ212&lt;SwaptionFirstMonthPosition+1,HQ$169&gt;SwaptionFirstMonthPosition+SwaptionNumOfMonths+1,$FJ212&gt;SwaptionFirstMonthPosition+SwaptionNumOfMonths+1),"",IF($FJ212=HQ$169,1,IF($FJ212&lt;HQ$169,INDEX($FK$170:$ID$241,HQ$169,$FJ212),SUMPRODUCT(INDEX($FK$325:$ID$396,HQ$169,1+SwaptionShift):INDEX($FK$325:$ID$396,HQ$169,SwaptionMonthsToGo+SwaptionShift),INDEX($FK$245:$ID$316,$FJ212-HQ$169,73-HQ$169+SwaptionShift):INDEX($FK$245:$ID$316,$FJ212-HQ$169,72-HQ$169+SwaptionMonthsToGo+SwaptionShift))/SQRT(SUM(INDEX($FK367:$ID367,1+SwaptionShift):INDEX($FK367:$ID367,SwaptionMonthsToGo+SwaptionShift))*SUM(INDEX($FK$325:$ID$396,HQ$169,1+SwaptionShift):INDEX($FK$325:$ID$396,HQ$169,SwaptionMonthsToGo+SwaptionShift))))))</f>
        <v/>
      </c>
      <c r="HR212" s="479" t="str">
        <f ca="1">IF(OR(HR$169&lt;SwaptionFirstMonthPosition+1,$FJ212&lt;SwaptionFirstMonthPosition+1,HR$169&gt;SwaptionFirstMonthPosition+SwaptionNumOfMonths+1,$FJ212&gt;SwaptionFirstMonthPosition+SwaptionNumOfMonths+1),"",IF($FJ212=HR$169,1,IF($FJ212&lt;HR$169,INDEX($FK$170:$ID$241,HR$169,$FJ212),SUMPRODUCT(INDEX($FK$325:$ID$396,HR$169,1+SwaptionShift):INDEX($FK$325:$ID$396,HR$169,SwaptionMonthsToGo+SwaptionShift),INDEX($FK$245:$ID$316,$FJ212-HR$169,73-HR$169+SwaptionShift):INDEX($FK$245:$ID$316,$FJ212-HR$169,72-HR$169+SwaptionMonthsToGo+SwaptionShift))/SQRT(SUM(INDEX($FK367:$ID367,1+SwaptionShift):INDEX($FK367:$ID367,SwaptionMonthsToGo+SwaptionShift))*SUM(INDEX($FK$325:$ID$396,HR$169,1+SwaptionShift):INDEX($FK$325:$ID$396,HR$169,SwaptionMonthsToGo+SwaptionShift))))))</f>
        <v/>
      </c>
      <c r="HS212" s="479" t="str">
        <f ca="1">IF(OR(HS$169&lt;SwaptionFirstMonthPosition+1,$FJ212&lt;SwaptionFirstMonthPosition+1,HS$169&gt;SwaptionFirstMonthPosition+SwaptionNumOfMonths+1,$FJ212&gt;SwaptionFirstMonthPosition+SwaptionNumOfMonths+1),"",IF($FJ212=HS$169,1,IF($FJ212&lt;HS$169,INDEX($FK$170:$ID$241,HS$169,$FJ212),SUMPRODUCT(INDEX($FK$325:$ID$396,HS$169,1+SwaptionShift):INDEX($FK$325:$ID$396,HS$169,SwaptionMonthsToGo+SwaptionShift),INDEX($FK$245:$ID$316,$FJ212-HS$169,73-HS$169+SwaptionShift):INDEX($FK$245:$ID$316,$FJ212-HS$169,72-HS$169+SwaptionMonthsToGo+SwaptionShift))/SQRT(SUM(INDEX($FK367:$ID367,1+SwaptionShift):INDEX($FK367:$ID367,SwaptionMonthsToGo+SwaptionShift))*SUM(INDEX($FK$325:$ID$396,HS$169,1+SwaptionShift):INDEX($FK$325:$ID$396,HS$169,SwaptionMonthsToGo+SwaptionShift))))))</f>
        <v/>
      </c>
      <c r="HT212" s="479" t="str">
        <f ca="1">IF(OR(HT$169&lt;SwaptionFirstMonthPosition+1,$FJ212&lt;SwaptionFirstMonthPosition+1,HT$169&gt;SwaptionFirstMonthPosition+SwaptionNumOfMonths+1,$FJ212&gt;SwaptionFirstMonthPosition+SwaptionNumOfMonths+1),"",IF($FJ212=HT$169,1,IF($FJ212&lt;HT$169,INDEX($FK$170:$ID$241,HT$169,$FJ212),SUMPRODUCT(INDEX($FK$325:$ID$396,HT$169,1+SwaptionShift):INDEX($FK$325:$ID$396,HT$169,SwaptionMonthsToGo+SwaptionShift),INDEX($FK$245:$ID$316,$FJ212-HT$169,73-HT$169+SwaptionShift):INDEX($FK$245:$ID$316,$FJ212-HT$169,72-HT$169+SwaptionMonthsToGo+SwaptionShift))/SQRT(SUM(INDEX($FK367:$ID367,1+SwaptionShift):INDEX($FK367:$ID367,SwaptionMonthsToGo+SwaptionShift))*SUM(INDEX($FK$325:$ID$396,HT$169,1+SwaptionShift):INDEX($FK$325:$ID$396,HT$169,SwaptionMonthsToGo+SwaptionShift))))))</f>
        <v/>
      </c>
      <c r="HU212" s="479" t="str">
        <f ca="1">IF(OR(HU$169&lt;SwaptionFirstMonthPosition+1,$FJ212&lt;SwaptionFirstMonthPosition+1,HU$169&gt;SwaptionFirstMonthPosition+SwaptionNumOfMonths+1,$FJ212&gt;SwaptionFirstMonthPosition+SwaptionNumOfMonths+1),"",IF($FJ212=HU$169,1,IF($FJ212&lt;HU$169,INDEX($FK$170:$ID$241,HU$169,$FJ212),SUMPRODUCT(INDEX($FK$325:$ID$396,HU$169,1+SwaptionShift):INDEX($FK$325:$ID$396,HU$169,SwaptionMonthsToGo+SwaptionShift),INDEX($FK$245:$ID$316,$FJ212-HU$169,73-HU$169+SwaptionShift):INDEX($FK$245:$ID$316,$FJ212-HU$169,72-HU$169+SwaptionMonthsToGo+SwaptionShift))/SQRT(SUM(INDEX($FK367:$ID367,1+SwaptionShift):INDEX($FK367:$ID367,SwaptionMonthsToGo+SwaptionShift))*SUM(INDEX($FK$325:$ID$396,HU$169,1+SwaptionShift):INDEX($FK$325:$ID$396,HU$169,SwaptionMonthsToGo+SwaptionShift))))))</f>
        <v/>
      </c>
      <c r="HV212" s="479" t="str">
        <f ca="1">IF(OR(HV$169&lt;SwaptionFirstMonthPosition+1,$FJ212&lt;SwaptionFirstMonthPosition+1,HV$169&gt;SwaptionFirstMonthPosition+SwaptionNumOfMonths+1,$FJ212&gt;SwaptionFirstMonthPosition+SwaptionNumOfMonths+1),"",IF($FJ212=HV$169,1,IF($FJ212&lt;HV$169,INDEX($FK$170:$ID$241,HV$169,$FJ212),SUMPRODUCT(INDEX($FK$325:$ID$396,HV$169,1+SwaptionShift):INDEX($FK$325:$ID$396,HV$169,SwaptionMonthsToGo+SwaptionShift),INDEX($FK$245:$ID$316,$FJ212-HV$169,73-HV$169+SwaptionShift):INDEX($FK$245:$ID$316,$FJ212-HV$169,72-HV$169+SwaptionMonthsToGo+SwaptionShift))/SQRT(SUM(INDEX($FK367:$ID367,1+SwaptionShift):INDEX($FK367:$ID367,SwaptionMonthsToGo+SwaptionShift))*SUM(INDEX($FK$325:$ID$396,HV$169,1+SwaptionShift):INDEX($FK$325:$ID$396,HV$169,SwaptionMonthsToGo+SwaptionShift))))))</f>
        <v/>
      </c>
      <c r="HW212" s="479" t="str">
        <f ca="1">IF(OR(HW$169&lt;SwaptionFirstMonthPosition+1,$FJ212&lt;SwaptionFirstMonthPosition+1,HW$169&gt;SwaptionFirstMonthPosition+SwaptionNumOfMonths+1,$FJ212&gt;SwaptionFirstMonthPosition+SwaptionNumOfMonths+1),"",IF($FJ212=HW$169,1,IF($FJ212&lt;HW$169,INDEX($FK$170:$ID$241,HW$169,$FJ212),SUMPRODUCT(INDEX($FK$325:$ID$396,HW$169,1+SwaptionShift):INDEX($FK$325:$ID$396,HW$169,SwaptionMonthsToGo+SwaptionShift),INDEX($FK$245:$ID$316,$FJ212-HW$169,73-HW$169+SwaptionShift):INDEX($FK$245:$ID$316,$FJ212-HW$169,72-HW$169+SwaptionMonthsToGo+SwaptionShift))/SQRT(SUM(INDEX($FK367:$ID367,1+SwaptionShift):INDEX($FK367:$ID367,SwaptionMonthsToGo+SwaptionShift))*SUM(INDEX($FK$325:$ID$396,HW$169,1+SwaptionShift):INDEX($FK$325:$ID$396,HW$169,SwaptionMonthsToGo+SwaptionShift))))))</f>
        <v/>
      </c>
      <c r="HX212" s="479" t="str">
        <f ca="1">IF(OR(HX$169&lt;SwaptionFirstMonthPosition+1,$FJ212&lt;SwaptionFirstMonthPosition+1,HX$169&gt;SwaptionFirstMonthPosition+SwaptionNumOfMonths+1,$FJ212&gt;SwaptionFirstMonthPosition+SwaptionNumOfMonths+1),"",IF($FJ212=HX$169,1,IF($FJ212&lt;HX$169,INDEX($FK$170:$ID$241,HX$169,$FJ212),SUMPRODUCT(INDEX($FK$325:$ID$396,HX$169,1+SwaptionShift):INDEX($FK$325:$ID$396,HX$169,SwaptionMonthsToGo+SwaptionShift),INDEX($FK$245:$ID$316,$FJ212-HX$169,73-HX$169+SwaptionShift):INDEX($FK$245:$ID$316,$FJ212-HX$169,72-HX$169+SwaptionMonthsToGo+SwaptionShift))/SQRT(SUM(INDEX($FK367:$ID367,1+SwaptionShift):INDEX($FK367:$ID367,SwaptionMonthsToGo+SwaptionShift))*SUM(INDEX($FK$325:$ID$396,HX$169,1+SwaptionShift):INDEX($FK$325:$ID$396,HX$169,SwaptionMonthsToGo+SwaptionShift))))))</f>
        <v/>
      </c>
      <c r="HY212" s="479" t="str">
        <f ca="1">IF(OR(HY$169&lt;SwaptionFirstMonthPosition+1,$FJ212&lt;SwaptionFirstMonthPosition+1,HY$169&gt;SwaptionFirstMonthPosition+SwaptionNumOfMonths+1,$FJ212&gt;SwaptionFirstMonthPosition+SwaptionNumOfMonths+1),"",IF($FJ212=HY$169,1,IF($FJ212&lt;HY$169,INDEX($FK$170:$ID$241,HY$169,$FJ212),SUMPRODUCT(INDEX($FK$325:$ID$396,HY$169,1+SwaptionShift):INDEX($FK$325:$ID$396,HY$169,SwaptionMonthsToGo+SwaptionShift),INDEX($FK$245:$ID$316,$FJ212-HY$169,73-HY$169+SwaptionShift):INDEX($FK$245:$ID$316,$FJ212-HY$169,72-HY$169+SwaptionMonthsToGo+SwaptionShift))/SQRT(SUM(INDEX($FK367:$ID367,1+SwaptionShift):INDEX($FK367:$ID367,SwaptionMonthsToGo+SwaptionShift))*SUM(INDEX($FK$325:$ID$396,HY$169,1+SwaptionShift):INDEX($FK$325:$ID$396,HY$169,SwaptionMonthsToGo+SwaptionShift))))))</f>
        <v/>
      </c>
      <c r="HZ212" s="479" t="str">
        <f ca="1">IF(OR(HZ$169&lt;SwaptionFirstMonthPosition+1,$FJ212&lt;SwaptionFirstMonthPosition+1,HZ$169&gt;SwaptionFirstMonthPosition+SwaptionNumOfMonths+1,$FJ212&gt;SwaptionFirstMonthPosition+SwaptionNumOfMonths+1),"",IF($FJ212=HZ$169,1,IF($FJ212&lt;HZ$169,INDEX($FK$170:$ID$241,HZ$169,$FJ212),SUMPRODUCT(INDEX($FK$325:$ID$396,HZ$169,1+SwaptionShift):INDEX($FK$325:$ID$396,HZ$169,SwaptionMonthsToGo+SwaptionShift),INDEX($FK$245:$ID$316,$FJ212-HZ$169,73-HZ$169+SwaptionShift):INDEX($FK$245:$ID$316,$FJ212-HZ$169,72-HZ$169+SwaptionMonthsToGo+SwaptionShift))/SQRT(SUM(INDEX($FK367:$ID367,1+SwaptionShift):INDEX($FK367:$ID367,SwaptionMonthsToGo+SwaptionShift))*SUM(INDEX($FK$325:$ID$396,HZ$169,1+SwaptionShift):INDEX($FK$325:$ID$396,HZ$169,SwaptionMonthsToGo+SwaptionShift))))))</f>
        <v/>
      </c>
      <c r="IA212" s="479" t="str">
        <f ca="1">IF(OR(IA$169&lt;SwaptionFirstMonthPosition+1,$FJ212&lt;SwaptionFirstMonthPosition+1,IA$169&gt;SwaptionFirstMonthPosition+SwaptionNumOfMonths+1,$FJ212&gt;SwaptionFirstMonthPosition+SwaptionNumOfMonths+1),"",IF($FJ212=IA$169,1,IF($FJ212&lt;IA$169,INDEX($FK$170:$ID$241,IA$169,$FJ212),SUMPRODUCT(INDEX($FK$325:$ID$396,IA$169,1+SwaptionShift):INDEX($FK$325:$ID$396,IA$169,SwaptionMonthsToGo+SwaptionShift),INDEX($FK$245:$ID$316,$FJ212-IA$169,73-IA$169+SwaptionShift):INDEX($FK$245:$ID$316,$FJ212-IA$169,72-IA$169+SwaptionMonthsToGo+SwaptionShift))/SQRT(SUM(INDEX($FK367:$ID367,1+SwaptionShift):INDEX($FK367:$ID367,SwaptionMonthsToGo+SwaptionShift))*SUM(INDEX($FK$325:$ID$396,IA$169,1+SwaptionShift):INDEX($FK$325:$ID$396,IA$169,SwaptionMonthsToGo+SwaptionShift))))))</f>
        <v/>
      </c>
      <c r="IB212" s="479" t="str">
        <f ca="1">IF(OR(IB$169&lt;SwaptionFirstMonthPosition+1,$FJ212&lt;SwaptionFirstMonthPosition+1,IB$169&gt;SwaptionFirstMonthPosition+SwaptionNumOfMonths+1,$FJ212&gt;SwaptionFirstMonthPosition+SwaptionNumOfMonths+1),"",IF($FJ212=IB$169,1,IF($FJ212&lt;IB$169,INDEX($FK$170:$ID$241,IB$169,$FJ212),SUMPRODUCT(INDEX($FK$325:$ID$396,IB$169,1+SwaptionShift):INDEX($FK$325:$ID$396,IB$169,SwaptionMonthsToGo+SwaptionShift),INDEX($FK$245:$ID$316,$FJ212-IB$169,73-IB$169+SwaptionShift):INDEX($FK$245:$ID$316,$FJ212-IB$169,72-IB$169+SwaptionMonthsToGo+SwaptionShift))/SQRT(SUM(INDEX($FK367:$ID367,1+SwaptionShift):INDEX($FK367:$ID367,SwaptionMonthsToGo+SwaptionShift))*SUM(INDEX($FK$325:$ID$396,IB$169,1+SwaptionShift):INDEX($FK$325:$ID$396,IB$169,SwaptionMonthsToGo+SwaptionShift))))))</f>
        <v/>
      </c>
      <c r="IC212" s="479" t="str">
        <f ca="1">IF(OR(IC$169&lt;SwaptionFirstMonthPosition+1,$FJ212&lt;SwaptionFirstMonthPosition+1,IC$169&gt;SwaptionFirstMonthPosition+SwaptionNumOfMonths+1,$FJ212&gt;SwaptionFirstMonthPosition+SwaptionNumOfMonths+1),"",IF($FJ212=IC$169,1,IF($FJ212&lt;IC$169,INDEX($FK$170:$ID$241,IC$169,$FJ212),SUMPRODUCT(INDEX($FK$325:$ID$396,IC$169,1+SwaptionShift):INDEX($FK$325:$ID$396,IC$169,SwaptionMonthsToGo+SwaptionShift),INDEX($FK$245:$ID$316,$FJ212-IC$169,73-IC$169+SwaptionShift):INDEX($FK$245:$ID$316,$FJ212-IC$169,72-IC$169+SwaptionMonthsToGo+SwaptionShift))/SQRT(SUM(INDEX($FK367:$ID367,1+SwaptionShift):INDEX($FK367:$ID367,SwaptionMonthsToGo+SwaptionShift))*SUM(INDEX($FK$325:$ID$396,IC$169,1+SwaptionShift):INDEX($FK$325:$ID$396,IC$169,SwaptionMonthsToGo+SwaptionShift))))))</f>
        <v/>
      </c>
      <c r="ID212" s="678" t="str">
        <f ca="1">IF(OR(ID$169&lt;SwaptionFirstMonthPosition+1,$FJ212&lt;SwaptionFirstMonthPosition+1,ID$169&gt;SwaptionFirstMonthPosition+SwaptionNumOfMonths+1,$FJ212&gt;SwaptionFirstMonthPosition+SwaptionNumOfMonths+1),"",IF($FJ212=ID$169,1,IF($FJ212&lt;ID$169,INDEX($FK$170:$ID$241,ID$169,$FJ212),SUMPRODUCT(INDEX($FK$325:$ID$396,ID$169,1+SwaptionShift):INDEX($FK$325:$ID$396,ID$169,SwaptionMonthsToGo+SwaptionShift),INDEX($FK$245:$ID$316,$FJ212-ID$169,73-ID$169+SwaptionShift):INDEX($FK$245:$ID$316,$FJ212-ID$169,72-ID$169+SwaptionMonthsToGo+SwaptionShift))/SQRT(SUM(INDEX($FK367:$ID367,1+SwaptionShift):INDEX($FK367:$ID367,SwaptionMonthsToGo+SwaptionShift))*SUM(INDEX($FK$325:$ID$396,ID$169,1+SwaptionShift):INDEX($FK$325:$ID$396,ID$169,SwaptionMonthsToGo+SwaptionShift))))))</f>
        <v/>
      </c>
      <c r="IE212" s="250"/>
    </row>
    <row r="213" spans="8:239">
      <c r="H213" s="51">
        <f t="shared" ca="1" si="646"/>
        <v>0</v>
      </c>
      <c r="I213" s="379">
        <f t="shared" si="647"/>
        <v>42644</v>
      </c>
      <c r="J213" s="377"/>
      <c r="K213" s="104" t="s">
        <v>268</v>
      </c>
      <c r="L213" s="392">
        <f t="shared" si="648"/>
        <v>4.3875000000000028</v>
      </c>
      <c r="M213" s="171"/>
      <c r="N213" s="382">
        <v>0</v>
      </c>
      <c r="O213" s="171">
        <f t="shared" si="596"/>
        <v>0</v>
      </c>
      <c r="P213" s="377"/>
      <c r="Q213" s="104" t="s">
        <v>268</v>
      </c>
      <c r="R213" s="377">
        <f t="shared" ca="1" si="597"/>
        <v>3.035482383044863</v>
      </c>
      <c r="S213" s="832">
        <f t="shared" si="564"/>
        <v>0.3600000000000001</v>
      </c>
      <c r="T213" s="831">
        <f t="shared" ref="T213:T260" si="661">SQRT((1-(1-T212^2/U212)*T$18)*U213)</f>
        <v>0.99999999999999156</v>
      </c>
      <c r="U213" s="545">
        <f t="shared" ref="U213:U260" si="662">1-(1-U212)*U$18</f>
        <v>0.99999999999999978</v>
      </c>
      <c r="V213" s="389">
        <v>0</v>
      </c>
      <c r="W213" s="434">
        <f t="shared" si="598"/>
        <v>0</v>
      </c>
      <c r="X213" s="415">
        <f t="shared" si="599"/>
        <v>4.4375000000000018</v>
      </c>
      <c r="Y213" s="322">
        <f t="shared" si="600"/>
        <v>-1.1931</v>
      </c>
      <c r="Z213" s="322">
        <f t="shared" ca="1" si="601"/>
        <v>3.2444000000000015</v>
      </c>
      <c r="AA213" s="429">
        <f t="shared" si="628"/>
        <v>1.1931</v>
      </c>
      <c r="AB213" s="433">
        <f t="shared" ca="1" si="629"/>
        <v>1.1931</v>
      </c>
      <c r="AC213" s="229">
        <v>42633</v>
      </c>
      <c r="AD213" s="229">
        <v>42629</v>
      </c>
      <c r="AE213" s="229">
        <v>42628</v>
      </c>
      <c r="AF213" s="229">
        <v>42624</v>
      </c>
      <c r="AG213" s="249" t="s">
        <v>499</v>
      </c>
      <c r="AH213" s="247" t="s">
        <v>499</v>
      </c>
      <c r="AI213" s="146">
        <v>21</v>
      </c>
      <c r="AJ213" s="41">
        <v>14</v>
      </c>
      <c r="AK213" s="41">
        <v>7</v>
      </c>
      <c r="AL213" s="293">
        <v>21</v>
      </c>
      <c r="AM213" s="41">
        <v>10</v>
      </c>
      <c r="AN213" s="147">
        <v>11</v>
      </c>
      <c r="AO213" s="374"/>
      <c r="AP213" s="153">
        <f t="shared" ca="1" si="649"/>
        <v>1</v>
      </c>
      <c r="AQ213" s="374"/>
      <c r="AR213" s="153">
        <f t="shared" ref="AR213:AR260" ca="1" si="663">(1+AQ213/2)^(-2*BH213/365.25)</f>
        <v>1</v>
      </c>
      <c r="AS213" s="272">
        <f t="shared" si="602"/>
        <v>0</v>
      </c>
      <c r="AT213" s="157">
        <f t="shared" si="650"/>
        <v>0</v>
      </c>
      <c r="AU213" s="157">
        <f t="shared" si="630"/>
        <v>0</v>
      </c>
      <c r="AV213" s="271">
        <f t="shared" ca="1" si="558"/>
        <v>9.9999999999999995E-7</v>
      </c>
      <c r="AW213" s="158" t="str">
        <f t="shared" ca="1" si="583"/>
        <v/>
      </c>
      <c r="AX213" s="157">
        <f t="shared" ref="AX213:AX260" ca="1" si="664">IF($AW213="",AX212^2/AX211,INDEX(U$5:U$8,$AW213)^((INDEX($T$5:$T$8,$AW213+1)-($I213-DateToday+15))/(INDEX($T$5:$T$8,$AW213+1)-INDEX($T$5:$T$8,$AW213)))/INDEX(U$5:U$8,$AW213+1)^((INDEX($T$5:$T$8,$AW213)-($I213-DateToday+15))/(INDEX($T$5:$T$8,$AW213+1)-INDEX($T$5:$T$8,$AW213))))</f>
        <v>3.7691173176804787E-5</v>
      </c>
      <c r="AY213" s="157">
        <f t="shared" ref="AY213:AY260" ca="1" si="665">IF($AW213="",AY212^2/AY211,INDEX(V$5:V$8,$AW213)^((INDEX($T$5:$T$8,$AW213+1)-($I213-DateToday+15))/(INDEX($T$5:$T$8,$AW213+1)-INDEX($T$5:$T$8,$AW213)))/INDEX(V$5:V$8,$AW213+1)^((INDEX($T$5:$T$8,$AW213)-($I213-DateToday+15))/(INDEX($T$5:$T$8,$AW213+1)-INDEX($T$5:$T$8,$AW213))))</f>
        <v>8.0545944878783257E-6</v>
      </c>
      <c r="AZ213" s="157">
        <f t="shared" ref="AZ213:AZ260" ca="1" si="666">IF($AW213="",AZ212^2/AZ211,INDEX(W$5:W$8,$AW213)^((INDEX($T$5:$T$8,$AW213+1)-($I213-DateToday+15))/(INDEX($T$5:$T$8,$AW213+1)-INDEX($T$5:$T$8,$AW213)))/INDEX(W$5:W$8,$AW213+1)^((INDEX($T$5:$T$8,$AW213)-($I213-DateToday+15))/(INDEX($T$5:$T$8,$AW213+1)-INDEX($T$5:$T$8,$AW213))))</f>
        <v>2.1050047527502505E-7</v>
      </c>
      <c r="BA213" s="157">
        <f t="shared" ref="BA213:BA260" ca="1" si="667">IF($AW213="",BA212^2/BA211,INDEX(X$5:X$8,$AW213)^((INDEX($T$5:$T$8,$AW213+1)-($I213-DateToday+15))/(INDEX($T$5:$T$8,$AW213+1)-INDEX($T$5:$T$8,$AW213)))/INDEX(X$5:X$8,$AW213+1)^((INDEX($T$5:$T$8,$AW213)-($I213-DateToday+15))/(INDEX($T$5:$T$8,$AW213+1)-INDEX($T$5:$T$8,$AW213))))</f>
        <v>2.6312559409378131E-8</v>
      </c>
      <c r="BB213" s="157">
        <f t="shared" ref="BB213:BB260" ca="1" si="668">IF($AW213="",BB212^2/BB211,INDEX(Y$5:Y$8,$AW213)^((INDEX($T$5:$T$8,$AW213+1)-($I213-DateToday+15))/(INDEX($T$5:$T$8,$AW213+1)-INDEX($T$5:$T$8,$AW213)))/INDEX(Y$5:Y$8,$AW213+1)^((INDEX($T$5:$T$8,$AW213)-($I213-DateToday+15))/(INDEX($T$5:$T$8,$AW213+1)-INDEX($T$5:$T$8,$AW213))))</f>
        <v>8.2645936118646147E-11</v>
      </c>
      <c r="BC213" s="157">
        <f t="shared" ref="BC213:BC260" ca="1" si="669">IF($AW213="",BC212^2/BC211,INDEX(Z$5:Z$8,$AW213)^((INDEX($T$5:$T$8,$AW213+1)-($I213-DateToday+15))/(INDEX($T$5:$T$8,$AW213+1)-INDEX($T$5:$T$8,$AW213)))/INDEX(Z$5:Z$8,$AW213+1)^((INDEX($T$5:$T$8,$AW213)-($I213-DateToday+15))/(INDEX($T$5:$T$8,$AW213+1)-INDEX($T$5:$T$8,$AW213))))</f>
        <v>1.3847015653439379E-12</v>
      </c>
      <c r="BD213" s="151">
        <f t="shared" ca="1" si="603"/>
        <v>0</v>
      </c>
      <c r="BE213" s="152">
        <f t="shared" ca="1" si="604"/>
        <v>0</v>
      </c>
      <c r="BF213" s="40">
        <f t="shared" si="605"/>
        <v>2016</v>
      </c>
      <c r="BG213" s="144">
        <f t="shared" si="606"/>
        <v>10</v>
      </c>
      <c r="BH213" s="145">
        <f t="shared" ca="1" si="607"/>
        <v>5884</v>
      </c>
      <c r="BI213" s="313">
        <f t="shared" ca="1" si="608"/>
        <v>16.150581793292265</v>
      </c>
      <c r="BJ213" s="42">
        <f t="shared" ca="1" si="631"/>
        <v>16.205338809034906</v>
      </c>
      <c r="BK213" s="42">
        <f t="shared" ca="1" si="632"/>
        <v>16.208076659822037</v>
      </c>
      <c r="BL213" s="42">
        <f t="shared" ca="1" si="609"/>
        <v>16.232717316906228</v>
      </c>
      <c r="BM213" s="150" t="e">
        <f t="shared" ca="1" si="633"/>
        <v>#DIV/0!</v>
      </c>
      <c r="BN213" s="42" t="e">
        <f t="shared" ca="1" si="634"/>
        <v>#DIV/0!</v>
      </c>
      <c r="BO213" s="293">
        <f t="shared" si="610"/>
        <v>21</v>
      </c>
      <c r="BP213" s="41">
        <f t="shared" si="611"/>
        <v>14</v>
      </c>
      <c r="BQ213" s="41">
        <f t="shared" si="612"/>
        <v>7</v>
      </c>
      <c r="BR213" s="305" t="str">
        <f t="shared" ca="1" si="635"/>
        <v/>
      </c>
      <c r="BS213" s="305" t="str">
        <f t="shared" ca="1" si="613"/>
        <v/>
      </c>
      <c r="BT213" s="307" t="str">
        <f t="shared" ca="1" si="614"/>
        <v/>
      </c>
      <c r="BU213" s="161" t="str">
        <f t="shared" ca="1" si="636"/>
        <v/>
      </c>
      <c r="BV213" s="161" t="str">
        <f t="shared" ca="1" si="637"/>
        <v/>
      </c>
      <c r="BW213" s="308" t="str">
        <f t="shared" ca="1" si="638"/>
        <v/>
      </c>
      <c r="BX213" s="309" t="str">
        <f t="shared" ca="1" si="639"/>
        <v/>
      </c>
      <c r="BY213" s="308" t="str">
        <f t="shared" ca="1" si="615"/>
        <v/>
      </c>
      <c r="BZ213" s="309" t="str">
        <f t="shared" ca="1" si="616"/>
        <v/>
      </c>
      <c r="CA213" s="154" t="str">
        <f t="shared" ca="1" si="640"/>
        <v/>
      </c>
      <c r="CB213" s="154" t="str">
        <f t="shared" ca="1" si="641"/>
        <v/>
      </c>
      <c r="CC213" s="154" t="str">
        <f t="shared" ca="1" si="642"/>
        <v/>
      </c>
      <c r="CD213" s="154" t="str">
        <f t="shared" ca="1" si="643"/>
        <v/>
      </c>
      <c r="CE213" s="310">
        <v>1</v>
      </c>
      <c r="CF213" s="162">
        <f ca="1">IF(BD213,_xll.xCrudeAPO(BU213,BV213,CA213,CB213,S214,S215,BI213,BL213,BP213,BQ213,0,Strike1,AO213,CE213,0,BL213,IF(OptControl=4,0,1),0,1),0)</f>
        <v>0</v>
      </c>
      <c r="CG213" s="163">
        <f ca="1">IF(BD213,_xll.xCrudeAPO(BU213,BV213,CA213,CB213,S214,S215,BI213,BL213,BP213,BQ213,0,Strike1,AO213,CE213,0,BL213,IF(OptControl=4,0,1),1,1)+_xll.xCrudeAPO(BU213,BV213,CA213,CB213,S214,S215,BI213,BL213,BP213,BQ213,0,Strike1,AO213,CE213,0,BL213,IF(OptControl=4,0,1),1,2)+IF(OR(VolSkewFlag=2,ABS(BS213)&lt;0.0001),0,IF(BS213&gt;0,-1,1)*CH213*Strike1/BR213^2*BY213/10%),0)</f>
        <v>0</v>
      </c>
      <c r="CH213" s="163">
        <f ca="1">IF(BD213,(_xll.xCrudeAPO(BU213,BV213,CA213,CB213,S214,S215,BI213,BL213,BP213,BQ213,0,Strike1,AO213,CE213,0,BL213,IF(OptControl=4,0,1),3,1)+_xll.xCrudeAPO(BU213,BV213,CA213,CB213,S214,S215,BI213,BL213,BP213,BQ213,0,Strike1,AO213,CE213,0,BL213,IF(OptControl=4,0,1),3,2))/100,0)</f>
        <v>0</v>
      </c>
      <c r="CI213" s="163">
        <f ca="1">IF(BD213,_xll.xCrudeAPO(BU213,BV213,CA213,CB213,S214,S215,BI213-DaysForThetaCalculation/365.25,BL213-DaysForThetaCalculation/365.25,BP213,BQ213,0,Strike1,AO213,CE213,0,BL213,IF(OptControl=4,0,1),0,1)-_xll.xCrudeAPO(BU213,BV213,CA213,CB213,S214,S215,BI213,BL213,BP213,BQ213,0,Strike1,AO213,CE213,0,BL213,IF(OptControl=4,0,1),0,1),0)</f>
        <v>0</v>
      </c>
      <c r="CJ213" s="311">
        <f ca="1">IF(BD213,_xll.xCrudeAPO(BU213,BV213,CC213,CD213,S214,S215,BI213,BL213,BP213,BQ213,0,Strike2,AO213,CE213,0,BL213,IF(OptControl=3,1,0),0,1),0)</f>
        <v>0</v>
      </c>
      <c r="CK213" s="163">
        <f ca="1">IF(BD213,_xll.xCrudeAPO(BU213,BV213,CC213,CD213,S214,S215,BI213,BL213,BP213,BQ213,0,Strike2,AO213,CE213,0,BL213,IF(OptControl=3,1,0),1,1)+_xll.xCrudeAPO(BU213,BV213,CC213,CD213,S214,S215,BI213,BL213,BP213,BQ213,0,Strike2,AO213,CE213,0,BL213,IF(OptControl=3,1,0),1,2)+IF(OR(VolSkewFlag=2,ABS(BT213)&lt;0.0001),0,IF(BT213&gt;0,-1,1)*CL213*Strike2/BR213^2*BZ213/10%),0)</f>
        <v>0</v>
      </c>
      <c r="CL213" s="163">
        <f ca="1">IF(BD213,(_xll.xCrudeAPO(BU213,BV213,CC213,CD213,S214,S215,BI213,BL213,BP213,BQ213,0,Strike2,AO213,CE213,0,BL213,IF(OptControl=3,1,0),3,1)+_xll.xCrudeAPO(BU213,BV213,CC213,CD213,S214,S215,BI213,BL213,BP213,BQ213,0,Strike2,AO213,CE213,0,BL213,IF(OptControl=3,1,0),3,2))/100,0)</f>
        <v>0</v>
      </c>
      <c r="CM213" s="164">
        <f ca="1">IF(BD213,_xll.xCrudeAPO(BU213,BV213,CC213,CD213,S214,S215,BI213-DaysForThetaCalculation/365.25,BL213-DaysForThetaCalculation/365.25,BP213,BQ213,0,Strike2,AO213,CE213,0,BL213,IF(OptControl=3,1,0),0,1)-_xll.xCrudeAPO(BU213,BV213,CC213,CD213,S214,S215,BI213,BL213,BP213,BQ213,0,Strike2,AO213,CE213,0,BL213,IF(OptControl=3,1,0),0,1),0)</f>
        <v>0</v>
      </c>
      <c r="CN213" s="53"/>
      <c r="CO213" s="796" t="str">
        <f t="shared" ca="1" si="651"/>
        <v/>
      </c>
      <c r="CP213" s="800" t="str">
        <f t="shared" ca="1" si="652"/>
        <v/>
      </c>
      <c r="CQ213" s="797" t="str">
        <f t="shared" ca="1" si="653"/>
        <v/>
      </c>
      <c r="CR213" s="797" t="str">
        <f t="shared" ca="1" si="654"/>
        <v/>
      </c>
      <c r="CS213" s="797" t="str">
        <f t="shared" ca="1" si="655"/>
        <v/>
      </c>
      <c r="CT213" s="797" t="str">
        <f t="shared" ca="1" si="656"/>
        <v/>
      </c>
      <c r="CU213" s="798" t="str">
        <f t="shared" ca="1" si="657"/>
        <v/>
      </c>
      <c r="CV213" s="799" t="str">
        <f t="shared" ca="1" si="658"/>
        <v/>
      </c>
      <c r="CW213" s="799" t="str">
        <f t="shared" ca="1" si="659"/>
        <v/>
      </c>
      <c r="CX213" s="163">
        <f ca="1">IF(BD213,_xll.EURO(CP213,Strike1,AO213,AO213,CV213,CO213,IF(OptControl=4,0,1),0),0)</f>
        <v>0</v>
      </c>
      <c r="CY213" s="163">
        <f ca="1">IF(BD213,_xll.EURO(CP213,Strike1,AO213,AO213,CV213,CO213,IF(OptControl=4,0,1),1)+IF(OR(VolSkewFlag=2,ABS(CQ213)&lt;0.0001),0,IF(CQ213&gt;0,-1,1)*CZ213*100*Strike1/CP213^2*CS213/10%),0)</f>
        <v>0</v>
      </c>
      <c r="CZ213" s="163">
        <f ca="1">IF(BD213,_xll.EURO(CP213,Strike1,AO213,AO213,CV213,CO213,IF(OptControl=4,0,1),3)/100,0)</f>
        <v>0</v>
      </c>
      <c r="DA213" s="163">
        <f ca="1">IF(BD213,_xll.EURO(CP213,Strike1,AO213,AO213,CV213,CO213,IF(OptControl=4,0,1),0)-_xll.EURO(CP213,Strike1,AO213,AO213,CV213,CO213-1,IF(OptControl=4,0,1),0),0)</f>
        <v>0</v>
      </c>
      <c r="DB213" s="163">
        <f ca="1">IF(BD213,_xll.EURO(CP213,Strike2,AO213,AO213,CW213,CO213,IF(OptControl=3,1,0),0),0)</f>
        <v>0</v>
      </c>
      <c r="DC213" s="163">
        <f ca="1">IF(BD213,_xll.EURO(CP213,Strike2,AO213,AO213,CW213,CO213,IF(OptControl=3,1,0),1)+IF(OR(VolSkewFlag=2,ABS(CR213)&lt;0.0001),0,IF(CR213&gt;0,-1,1)*DD213*100*Strike2/CP213^2*CT213/10%),0)</f>
        <v>0</v>
      </c>
      <c r="DD213" s="163">
        <f ca="1">IF(BD213,_xll.EURO(CP213,Strike2,AO213,AO213,CW213,CO213,IF(OptControl=3,1,0),3)/100,0)</f>
        <v>0</v>
      </c>
      <c r="DE213" s="164">
        <f ca="1">IF(BD213,_xll.EURO(CP213,Strike2,AO213,AO213,CW213,CO213,IF(OptControl=3,1,0),0)-_xll.EURO(CP213,Strike2,AO213,AO213,CW213,CO213-1,IF(OptControl=3,1,0),0),0)</f>
        <v>0</v>
      </c>
      <c r="DG213" s="667">
        <f t="shared" ca="1" si="660"/>
        <v>42430</v>
      </c>
      <c r="DH213" s="475">
        <v>23.810000000000084</v>
      </c>
      <c r="DI213" s="665">
        <v>23.879565217391388</v>
      </c>
      <c r="DJ213" s="666">
        <f t="shared" ca="1" si="617"/>
        <v>42430</v>
      </c>
      <c r="DK213" s="475">
        <v>22.644324048719355</v>
      </c>
      <c r="DL213" s="665">
        <v>22.711065217391386</v>
      </c>
      <c r="DM213" s="667">
        <f t="shared" ca="1" si="618"/>
        <v>42430</v>
      </c>
      <c r="DN213" s="668">
        <f t="shared" si="619"/>
        <v>22.694324048719356</v>
      </c>
      <c r="DO213" s="667">
        <f t="shared" ca="1" si="620"/>
        <v>42430</v>
      </c>
      <c r="DP213" s="579">
        <f t="shared" si="621"/>
        <v>22.711065217391386</v>
      </c>
      <c r="DQ213" s="821">
        <v>0</v>
      </c>
      <c r="DR213" s="666">
        <f t="shared" ca="1" si="622"/>
        <v>42430</v>
      </c>
      <c r="DS213" s="669">
        <v>0.10879999999999802</v>
      </c>
      <c r="DT213" s="606">
        <v>0.10796521739130238</v>
      </c>
      <c r="DU213" s="666">
        <f t="shared" ca="1" si="623"/>
        <v>42430</v>
      </c>
      <c r="DV213" s="669">
        <v>0.10879999999999802</v>
      </c>
      <c r="DW213" s="606">
        <v>0.10796521739130238</v>
      </c>
      <c r="DX213" s="667">
        <f t="shared" ca="1" si="624"/>
        <v>42430</v>
      </c>
      <c r="DY213" s="606">
        <v>0.35</v>
      </c>
      <c r="DZ213" s="667">
        <f t="shared" ca="1" si="625"/>
        <v>42430</v>
      </c>
      <c r="EA213" s="606">
        <f t="shared" si="626"/>
        <v>0.10796521739130238</v>
      </c>
      <c r="EB213" s="1"/>
      <c r="EC213" s="118" t="str">
        <f t="shared" ca="1" si="627"/>
        <v/>
      </c>
      <c r="ED213" s="119" t="str">
        <f t="shared" ca="1" si="644"/>
        <v/>
      </c>
      <c r="EE213" s="112" t="str">
        <f t="shared" ca="1" si="645"/>
        <v/>
      </c>
      <c r="EF213" s="120">
        <f ca="1">IF(BD213,_xll.xASN(BR213,Strike1,AO213,ED213,0,BO213,0,BI213,BL213,IF(OptControl=4,0,1),0),0)</f>
        <v>0</v>
      </c>
      <c r="EG213" s="111">
        <f ca="1">IF(BD213,_xll.xASN(BR213,Strike2,AO213,EE213,0,BO213,0,BI213,BL213,IF(OptControl=3,1,0),0),0)</f>
        <v>0</v>
      </c>
      <c r="EL213" s="55"/>
      <c r="EM213" s="1"/>
      <c r="EN213" s="106"/>
      <c r="EO213" s="106"/>
      <c r="EP213" s="1"/>
      <c r="EQ213" s="683" t="s">
        <v>427</v>
      </c>
      <c r="ES213" s="55"/>
      <c r="EU213" s="107"/>
      <c r="FJ213" s="673">
        <v>44</v>
      </c>
      <c r="FK213" s="479" t="str">
        <f ca="1">IF(OR(FK$169&lt;SwaptionFirstMonthPosition+1,$FJ213&lt;SwaptionFirstMonthPosition+1,FK$169&gt;SwaptionFirstMonthPosition+SwaptionNumOfMonths+1,$FJ213&gt;SwaptionFirstMonthPosition+SwaptionNumOfMonths+1),"",IF($FJ213=FK$169,1,IF($FJ213&lt;FK$169,INDEX($FK$170:$ID$241,FK$169,$FJ213),SUMPRODUCT(INDEX($FK$325:$ID$396,FK$169,1+SwaptionShift):INDEX($FK$325:$ID$396,FK$169,SwaptionMonthsToGo+SwaptionShift),INDEX($FK$245:$ID$316,$FJ213-FK$169,73-FK$169+SwaptionShift):INDEX($FK$245:$ID$316,$FJ213-FK$169,72-FK$169+SwaptionMonthsToGo+SwaptionShift))/SQRT(SUM(INDEX($FK368:$ID368,1+SwaptionShift):INDEX($FK368:$ID368,SwaptionMonthsToGo+SwaptionShift))*SUM(INDEX($FK$325:$ID$396,FK$169,1+SwaptionShift):INDEX($FK$325:$ID$396,FK$169,SwaptionMonthsToGo+SwaptionShift))))))</f>
        <v/>
      </c>
      <c r="FL213" s="479" t="str">
        <f ca="1">IF(OR(FL$169&lt;SwaptionFirstMonthPosition+1,$FJ213&lt;SwaptionFirstMonthPosition+1,FL$169&gt;SwaptionFirstMonthPosition+SwaptionNumOfMonths+1,$FJ213&gt;SwaptionFirstMonthPosition+SwaptionNumOfMonths+1),"",IF($FJ213=FL$169,1,IF($FJ213&lt;FL$169,INDEX($FK$170:$ID$241,FL$169,$FJ213),SUMPRODUCT(INDEX($FK$325:$ID$396,FL$169,1+SwaptionShift):INDEX($FK$325:$ID$396,FL$169,SwaptionMonthsToGo+SwaptionShift),INDEX($FK$245:$ID$316,$FJ213-FL$169,73-FL$169+SwaptionShift):INDEX($FK$245:$ID$316,$FJ213-FL$169,72-FL$169+SwaptionMonthsToGo+SwaptionShift))/SQRT(SUM(INDEX($FK368:$ID368,1+SwaptionShift):INDEX($FK368:$ID368,SwaptionMonthsToGo+SwaptionShift))*SUM(INDEX($FK$325:$ID$396,FL$169,1+SwaptionShift):INDEX($FK$325:$ID$396,FL$169,SwaptionMonthsToGo+SwaptionShift))))))</f>
        <v/>
      </c>
      <c r="FM213" s="479" t="str">
        <f ca="1">IF(OR(FM$169&lt;SwaptionFirstMonthPosition+1,$FJ213&lt;SwaptionFirstMonthPosition+1,FM$169&gt;SwaptionFirstMonthPosition+SwaptionNumOfMonths+1,$FJ213&gt;SwaptionFirstMonthPosition+SwaptionNumOfMonths+1),"",IF($FJ213=FM$169,1,IF($FJ213&lt;FM$169,INDEX($FK$170:$ID$241,FM$169,$FJ213),SUMPRODUCT(INDEX($FK$325:$ID$396,FM$169,1+SwaptionShift):INDEX($FK$325:$ID$396,FM$169,SwaptionMonthsToGo+SwaptionShift),INDEX($FK$245:$ID$316,$FJ213-FM$169,73-FM$169+SwaptionShift):INDEX($FK$245:$ID$316,$FJ213-FM$169,72-FM$169+SwaptionMonthsToGo+SwaptionShift))/SQRT(SUM(INDEX($FK368:$ID368,1+SwaptionShift):INDEX($FK368:$ID368,SwaptionMonthsToGo+SwaptionShift))*SUM(INDEX($FK$325:$ID$396,FM$169,1+SwaptionShift):INDEX($FK$325:$ID$396,FM$169,SwaptionMonthsToGo+SwaptionShift))))))</f>
        <v/>
      </c>
      <c r="FN213" s="479" t="str">
        <f ca="1">IF(OR(FN$169&lt;SwaptionFirstMonthPosition+1,$FJ213&lt;SwaptionFirstMonthPosition+1,FN$169&gt;SwaptionFirstMonthPosition+SwaptionNumOfMonths+1,$FJ213&gt;SwaptionFirstMonthPosition+SwaptionNumOfMonths+1),"",IF($FJ213=FN$169,1,IF($FJ213&lt;FN$169,INDEX($FK$170:$ID$241,FN$169,$FJ213),SUMPRODUCT(INDEX($FK$325:$ID$396,FN$169,1+SwaptionShift):INDEX($FK$325:$ID$396,FN$169,SwaptionMonthsToGo+SwaptionShift),INDEX($FK$245:$ID$316,$FJ213-FN$169,73-FN$169+SwaptionShift):INDEX($FK$245:$ID$316,$FJ213-FN$169,72-FN$169+SwaptionMonthsToGo+SwaptionShift))/SQRT(SUM(INDEX($FK368:$ID368,1+SwaptionShift):INDEX($FK368:$ID368,SwaptionMonthsToGo+SwaptionShift))*SUM(INDEX($FK$325:$ID$396,FN$169,1+SwaptionShift):INDEX($FK$325:$ID$396,FN$169,SwaptionMonthsToGo+SwaptionShift))))))</f>
        <v/>
      </c>
      <c r="FO213" s="479" t="str">
        <f ca="1">IF(OR(FO$169&lt;SwaptionFirstMonthPosition+1,$FJ213&lt;SwaptionFirstMonthPosition+1,FO$169&gt;SwaptionFirstMonthPosition+SwaptionNumOfMonths+1,$FJ213&gt;SwaptionFirstMonthPosition+SwaptionNumOfMonths+1),"",IF($FJ213=FO$169,1,IF($FJ213&lt;FO$169,INDEX($FK$170:$ID$241,FO$169,$FJ213),SUMPRODUCT(INDEX($FK$325:$ID$396,FO$169,1+SwaptionShift):INDEX($FK$325:$ID$396,FO$169,SwaptionMonthsToGo+SwaptionShift),INDEX($FK$245:$ID$316,$FJ213-FO$169,73-FO$169+SwaptionShift):INDEX($FK$245:$ID$316,$FJ213-FO$169,72-FO$169+SwaptionMonthsToGo+SwaptionShift))/SQRT(SUM(INDEX($FK368:$ID368,1+SwaptionShift):INDEX($FK368:$ID368,SwaptionMonthsToGo+SwaptionShift))*SUM(INDEX($FK$325:$ID$396,FO$169,1+SwaptionShift):INDEX($FK$325:$ID$396,FO$169,SwaptionMonthsToGo+SwaptionShift))))))</f>
        <v/>
      </c>
      <c r="FP213" s="479" t="str">
        <f ca="1">IF(OR(FP$169&lt;SwaptionFirstMonthPosition+1,$FJ213&lt;SwaptionFirstMonthPosition+1,FP$169&gt;SwaptionFirstMonthPosition+SwaptionNumOfMonths+1,$FJ213&gt;SwaptionFirstMonthPosition+SwaptionNumOfMonths+1),"",IF($FJ213=FP$169,1,IF($FJ213&lt;FP$169,INDEX($FK$170:$ID$241,FP$169,$FJ213),SUMPRODUCT(INDEX($FK$325:$ID$396,FP$169,1+SwaptionShift):INDEX($FK$325:$ID$396,FP$169,SwaptionMonthsToGo+SwaptionShift),INDEX($FK$245:$ID$316,$FJ213-FP$169,73-FP$169+SwaptionShift):INDEX($FK$245:$ID$316,$FJ213-FP$169,72-FP$169+SwaptionMonthsToGo+SwaptionShift))/SQRT(SUM(INDEX($FK368:$ID368,1+SwaptionShift):INDEX($FK368:$ID368,SwaptionMonthsToGo+SwaptionShift))*SUM(INDEX($FK$325:$ID$396,FP$169,1+SwaptionShift):INDEX($FK$325:$ID$396,FP$169,SwaptionMonthsToGo+SwaptionShift))))))</f>
        <v/>
      </c>
      <c r="FQ213" s="479" t="str">
        <f ca="1">IF(OR(FQ$169&lt;SwaptionFirstMonthPosition+1,$FJ213&lt;SwaptionFirstMonthPosition+1,FQ$169&gt;SwaptionFirstMonthPosition+SwaptionNumOfMonths+1,$FJ213&gt;SwaptionFirstMonthPosition+SwaptionNumOfMonths+1),"",IF($FJ213=FQ$169,1,IF($FJ213&lt;FQ$169,INDEX($FK$170:$ID$241,FQ$169,$FJ213),SUMPRODUCT(INDEX($FK$325:$ID$396,FQ$169,1+SwaptionShift):INDEX($FK$325:$ID$396,FQ$169,SwaptionMonthsToGo+SwaptionShift),INDEX($FK$245:$ID$316,$FJ213-FQ$169,73-FQ$169+SwaptionShift):INDEX($FK$245:$ID$316,$FJ213-FQ$169,72-FQ$169+SwaptionMonthsToGo+SwaptionShift))/SQRT(SUM(INDEX($FK368:$ID368,1+SwaptionShift):INDEX($FK368:$ID368,SwaptionMonthsToGo+SwaptionShift))*SUM(INDEX($FK$325:$ID$396,FQ$169,1+SwaptionShift):INDEX($FK$325:$ID$396,FQ$169,SwaptionMonthsToGo+SwaptionShift))))))</f>
        <v/>
      </c>
      <c r="FR213" s="479" t="str">
        <f ca="1">IF(OR(FR$169&lt;SwaptionFirstMonthPosition+1,$FJ213&lt;SwaptionFirstMonthPosition+1,FR$169&gt;SwaptionFirstMonthPosition+SwaptionNumOfMonths+1,$FJ213&gt;SwaptionFirstMonthPosition+SwaptionNumOfMonths+1),"",IF($FJ213=FR$169,1,IF($FJ213&lt;FR$169,INDEX($FK$170:$ID$241,FR$169,$FJ213),SUMPRODUCT(INDEX($FK$325:$ID$396,FR$169,1+SwaptionShift):INDEX($FK$325:$ID$396,FR$169,SwaptionMonthsToGo+SwaptionShift),INDEX($FK$245:$ID$316,$FJ213-FR$169,73-FR$169+SwaptionShift):INDEX($FK$245:$ID$316,$FJ213-FR$169,72-FR$169+SwaptionMonthsToGo+SwaptionShift))/SQRT(SUM(INDEX($FK368:$ID368,1+SwaptionShift):INDEX($FK368:$ID368,SwaptionMonthsToGo+SwaptionShift))*SUM(INDEX($FK$325:$ID$396,FR$169,1+SwaptionShift):INDEX($FK$325:$ID$396,FR$169,SwaptionMonthsToGo+SwaptionShift))))))</f>
        <v/>
      </c>
      <c r="FS213" s="479" t="str">
        <f ca="1">IF(OR(FS$169&lt;SwaptionFirstMonthPosition+1,$FJ213&lt;SwaptionFirstMonthPosition+1,FS$169&gt;SwaptionFirstMonthPosition+SwaptionNumOfMonths+1,$FJ213&gt;SwaptionFirstMonthPosition+SwaptionNumOfMonths+1),"",IF($FJ213=FS$169,1,IF($FJ213&lt;FS$169,INDEX($FK$170:$ID$241,FS$169,$FJ213),SUMPRODUCT(INDEX($FK$325:$ID$396,FS$169,1+SwaptionShift):INDEX($FK$325:$ID$396,FS$169,SwaptionMonthsToGo+SwaptionShift),INDEX($FK$245:$ID$316,$FJ213-FS$169,73-FS$169+SwaptionShift):INDEX($FK$245:$ID$316,$FJ213-FS$169,72-FS$169+SwaptionMonthsToGo+SwaptionShift))/SQRT(SUM(INDEX($FK368:$ID368,1+SwaptionShift):INDEX($FK368:$ID368,SwaptionMonthsToGo+SwaptionShift))*SUM(INDEX($FK$325:$ID$396,FS$169,1+SwaptionShift):INDEX($FK$325:$ID$396,FS$169,SwaptionMonthsToGo+SwaptionShift))))))</f>
        <v/>
      </c>
      <c r="FT213" s="479" t="str">
        <f ca="1">IF(OR(FT$169&lt;SwaptionFirstMonthPosition+1,$FJ213&lt;SwaptionFirstMonthPosition+1,FT$169&gt;SwaptionFirstMonthPosition+SwaptionNumOfMonths+1,$FJ213&gt;SwaptionFirstMonthPosition+SwaptionNumOfMonths+1),"",IF($FJ213=FT$169,1,IF($FJ213&lt;FT$169,INDEX($FK$170:$ID$241,FT$169,$FJ213),SUMPRODUCT(INDEX($FK$325:$ID$396,FT$169,1+SwaptionShift):INDEX($FK$325:$ID$396,FT$169,SwaptionMonthsToGo+SwaptionShift),INDEX($FK$245:$ID$316,$FJ213-FT$169,73-FT$169+SwaptionShift):INDEX($FK$245:$ID$316,$FJ213-FT$169,72-FT$169+SwaptionMonthsToGo+SwaptionShift))/SQRT(SUM(INDEX($FK368:$ID368,1+SwaptionShift):INDEX($FK368:$ID368,SwaptionMonthsToGo+SwaptionShift))*SUM(INDEX($FK$325:$ID$396,FT$169,1+SwaptionShift):INDEX($FK$325:$ID$396,FT$169,SwaptionMonthsToGo+SwaptionShift))))))</f>
        <v/>
      </c>
      <c r="FU213" s="479" t="str">
        <f ca="1">IF(OR(FU$169&lt;SwaptionFirstMonthPosition+1,$FJ213&lt;SwaptionFirstMonthPosition+1,FU$169&gt;SwaptionFirstMonthPosition+SwaptionNumOfMonths+1,$FJ213&gt;SwaptionFirstMonthPosition+SwaptionNumOfMonths+1),"",IF($FJ213=FU$169,1,IF($FJ213&lt;FU$169,INDEX($FK$170:$ID$241,FU$169,$FJ213),SUMPRODUCT(INDEX($FK$325:$ID$396,FU$169,1+SwaptionShift):INDEX($FK$325:$ID$396,FU$169,SwaptionMonthsToGo+SwaptionShift),INDEX($FK$245:$ID$316,$FJ213-FU$169,73-FU$169+SwaptionShift):INDEX($FK$245:$ID$316,$FJ213-FU$169,72-FU$169+SwaptionMonthsToGo+SwaptionShift))/SQRT(SUM(INDEX($FK368:$ID368,1+SwaptionShift):INDEX($FK368:$ID368,SwaptionMonthsToGo+SwaptionShift))*SUM(INDEX($FK$325:$ID$396,FU$169,1+SwaptionShift):INDEX($FK$325:$ID$396,FU$169,SwaptionMonthsToGo+SwaptionShift))))))</f>
        <v/>
      </c>
      <c r="FV213" s="479" t="str">
        <f ca="1">IF(OR(FV$169&lt;SwaptionFirstMonthPosition+1,$FJ213&lt;SwaptionFirstMonthPosition+1,FV$169&gt;SwaptionFirstMonthPosition+SwaptionNumOfMonths+1,$FJ213&gt;SwaptionFirstMonthPosition+SwaptionNumOfMonths+1),"",IF($FJ213=FV$169,1,IF($FJ213&lt;FV$169,INDEX($FK$170:$ID$241,FV$169,$FJ213),SUMPRODUCT(INDEX($FK$325:$ID$396,FV$169,1+SwaptionShift):INDEX($FK$325:$ID$396,FV$169,SwaptionMonthsToGo+SwaptionShift),INDEX($FK$245:$ID$316,$FJ213-FV$169,73-FV$169+SwaptionShift):INDEX($FK$245:$ID$316,$FJ213-FV$169,72-FV$169+SwaptionMonthsToGo+SwaptionShift))/SQRT(SUM(INDEX($FK368:$ID368,1+SwaptionShift):INDEX($FK368:$ID368,SwaptionMonthsToGo+SwaptionShift))*SUM(INDEX($FK$325:$ID$396,FV$169,1+SwaptionShift):INDEX($FK$325:$ID$396,FV$169,SwaptionMonthsToGo+SwaptionShift))))))</f>
        <v/>
      </c>
      <c r="FW213" s="479" t="str">
        <f ca="1">IF(OR(FW$169&lt;SwaptionFirstMonthPosition+1,$FJ213&lt;SwaptionFirstMonthPosition+1,FW$169&gt;SwaptionFirstMonthPosition+SwaptionNumOfMonths+1,$FJ213&gt;SwaptionFirstMonthPosition+SwaptionNumOfMonths+1),"",IF($FJ213=FW$169,1,IF($FJ213&lt;FW$169,INDEX($FK$170:$ID$241,FW$169,$FJ213),SUMPRODUCT(INDEX($FK$325:$ID$396,FW$169,1+SwaptionShift):INDEX($FK$325:$ID$396,FW$169,SwaptionMonthsToGo+SwaptionShift),INDEX($FK$245:$ID$316,$FJ213-FW$169,73-FW$169+SwaptionShift):INDEX($FK$245:$ID$316,$FJ213-FW$169,72-FW$169+SwaptionMonthsToGo+SwaptionShift))/SQRT(SUM(INDEX($FK368:$ID368,1+SwaptionShift):INDEX($FK368:$ID368,SwaptionMonthsToGo+SwaptionShift))*SUM(INDEX($FK$325:$ID$396,FW$169,1+SwaptionShift):INDEX($FK$325:$ID$396,FW$169,SwaptionMonthsToGo+SwaptionShift))))))</f>
        <v/>
      </c>
      <c r="FX213" s="479" t="str">
        <f ca="1">IF(OR(FX$169&lt;SwaptionFirstMonthPosition+1,$FJ213&lt;SwaptionFirstMonthPosition+1,FX$169&gt;SwaptionFirstMonthPosition+SwaptionNumOfMonths+1,$FJ213&gt;SwaptionFirstMonthPosition+SwaptionNumOfMonths+1),"",IF($FJ213=FX$169,1,IF($FJ213&lt;FX$169,INDEX($FK$170:$ID$241,FX$169,$FJ213),SUMPRODUCT(INDEX($FK$325:$ID$396,FX$169,1+SwaptionShift):INDEX($FK$325:$ID$396,FX$169,SwaptionMonthsToGo+SwaptionShift),INDEX($FK$245:$ID$316,$FJ213-FX$169,73-FX$169+SwaptionShift):INDEX($FK$245:$ID$316,$FJ213-FX$169,72-FX$169+SwaptionMonthsToGo+SwaptionShift))/SQRT(SUM(INDEX($FK368:$ID368,1+SwaptionShift):INDEX($FK368:$ID368,SwaptionMonthsToGo+SwaptionShift))*SUM(INDEX($FK$325:$ID$396,FX$169,1+SwaptionShift):INDEX($FK$325:$ID$396,FX$169,SwaptionMonthsToGo+SwaptionShift))))))</f>
        <v/>
      </c>
      <c r="FY213" s="479" t="str">
        <f ca="1">IF(OR(FY$169&lt;SwaptionFirstMonthPosition+1,$FJ213&lt;SwaptionFirstMonthPosition+1,FY$169&gt;SwaptionFirstMonthPosition+SwaptionNumOfMonths+1,$FJ213&gt;SwaptionFirstMonthPosition+SwaptionNumOfMonths+1),"",IF($FJ213=FY$169,1,IF($FJ213&lt;FY$169,INDEX($FK$170:$ID$241,FY$169,$FJ213),SUMPRODUCT(INDEX($FK$325:$ID$396,FY$169,1+SwaptionShift):INDEX($FK$325:$ID$396,FY$169,SwaptionMonthsToGo+SwaptionShift),INDEX($FK$245:$ID$316,$FJ213-FY$169,73-FY$169+SwaptionShift):INDEX($FK$245:$ID$316,$FJ213-FY$169,72-FY$169+SwaptionMonthsToGo+SwaptionShift))/SQRT(SUM(INDEX($FK368:$ID368,1+SwaptionShift):INDEX($FK368:$ID368,SwaptionMonthsToGo+SwaptionShift))*SUM(INDEX($FK$325:$ID$396,FY$169,1+SwaptionShift):INDEX($FK$325:$ID$396,FY$169,SwaptionMonthsToGo+SwaptionShift))))))</f>
        <v/>
      </c>
      <c r="FZ213" s="479" t="str">
        <f ca="1">IF(OR(FZ$169&lt;SwaptionFirstMonthPosition+1,$FJ213&lt;SwaptionFirstMonthPosition+1,FZ$169&gt;SwaptionFirstMonthPosition+SwaptionNumOfMonths+1,$FJ213&gt;SwaptionFirstMonthPosition+SwaptionNumOfMonths+1),"",IF($FJ213=FZ$169,1,IF($FJ213&lt;FZ$169,INDEX($FK$170:$ID$241,FZ$169,$FJ213),SUMPRODUCT(INDEX($FK$325:$ID$396,FZ$169,1+SwaptionShift):INDEX($FK$325:$ID$396,FZ$169,SwaptionMonthsToGo+SwaptionShift),INDEX($FK$245:$ID$316,$FJ213-FZ$169,73-FZ$169+SwaptionShift):INDEX($FK$245:$ID$316,$FJ213-FZ$169,72-FZ$169+SwaptionMonthsToGo+SwaptionShift))/SQRT(SUM(INDEX($FK368:$ID368,1+SwaptionShift):INDEX($FK368:$ID368,SwaptionMonthsToGo+SwaptionShift))*SUM(INDEX($FK$325:$ID$396,FZ$169,1+SwaptionShift):INDEX($FK$325:$ID$396,FZ$169,SwaptionMonthsToGo+SwaptionShift))))))</f>
        <v/>
      </c>
      <c r="GA213" s="479" t="str">
        <f ca="1">IF(OR(GA$169&lt;SwaptionFirstMonthPosition+1,$FJ213&lt;SwaptionFirstMonthPosition+1,GA$169&gt;SwaptionFirstMonthPosition+SwaptionNumOfMonths+1,$FJ213&gt;SwaptionFirstMonthPosition+SwaptionNumOfMonths+1),"",IF($FJ213=GA$169,1,IF($FJ213&lt;GA$169,INDEX($FK$170:$ID$241,GA$169,$FJ213),SUMPRODUCT(INDEX($FK$325:$ID$396,GA$169,1+SwaptionShift):INDEX($FK$325:$ID$396,GA$169,SwaptionMonthsToGo+SwaptionShift),INDEX($FK$245:$ID$316,$FJ213-GA$169,73-GA$169+SwaptionShift):INDEX($FK$245:$ID$316,$FJ213-GA$169,72-GA$169+SwaptionMonthsToGo+SwaptionShift))/SQRT(SUM(INDEX($FK368:$ID368,1+SwaptionShift):INDEX($FK368:$ID368,SwaptionMonthsToGo+SwaptionShift))*SUM(INDEX($FK$325:$ID$396,GA$169,1+SwaptionShift):INDEX($FK$325:$ID$396,GA$169,SwaptionMonthsToGo+SwaptionShift))))))</f>
        <v/>
      </c>
      <c r="GB213" s="479" t="str">
        <f ca="1">IF(OR(GB$169&lt;SwaptionFirstMonthPosition+1,$FJ213&lt;SwaptionFirstMonthPosition+1,GB$169&gt;SwaptionFirstMonthPosition+SwaptionNumOfMonths+1,$FJ213&gt;SwaptionFirstMonthPosition+SwaptionNumOfMonths+1),"",IF($FJ213=GB$169,1,IF($FJ213&lt;GB$169,INDEX($FK$170:$ID$241,GB$169,$FJ213),SUMPRODUCT(INDEX($FK$325:$ID$396,GB$169,1+SwaptionShift):INDEX($FK$325:$ID$396,GB$169,SwaptionMonthsToGo+SwaptionShift),INDEX($FK$245:$ID$316,$FJ213-GB$169,73-GB$169+SwaptionShift):INDEX($FK$245:$ID$316,$FJ213-GB$169,72-GB$169+SwaptionMonthsToGo+SwaptionShift))/SQRT(SUM(INDEX($FK368:$ID368,1+SwaptionShift):INDEX($FK368:$ID368,SwaptionMonthsToGo+SwaptionShift))*SUM(INDEX($FK$325:$ID$396,GB$169,1+SwaptionShift):INDEX($FK$325:$ID$396,GB$169,SwaptionMonthsToGo+SwaptionShift))))))</f>
        <v/>
      </c>
      <c r="GC213" s="479" t="str">
        <f ca="1">IF(OR(GC$169&lt;SwaptionFirstMonthPosition+1,$FJ213&lt;SwaptionFirstMonthPosition+1,GC$169&gt;SwaptionFirstMonthPosition+SwaptionNumOfMonths+1,$FJ213&gt;SwaptionFirstMonthPosition+SwaptionNumOfMonths+1),"",IF($FJ213=GC$169,1,IF($FJ213&lt;GC$169,INDEX($FK$170:$ID$241,GC$169,$FJ213),SUMPRODUCT(INDEX($FK$325:$ID$396,GC$169,1+SwaptionShift):INDEX($FK$325:$ID$396,GC$169,SwaptionMonthsToGo+SwaptionShift),INDEX($FK$245:$ID$316,$FJ213-GC$169,73-GC$169+SwaptionShift):INDEX($FK$245:$ID$316,$FJ213-GC$169,72-GC$169+SwaptionMonthsToGo+SwaptionShift))/SQRT(SUM(INDEX($FK368:$ID368,1+SwaptionShift):INDEX($FK368:$ID368,SwaptionMonthsToGo+SwaptionShift))*SUM(INDEX($FK$325:$ID$396,GC$169,1+SwaptionShift):INDEX($FK$325:$ID$396,GC$169,SwaptionMonthsToGo+SwaptionShift))))))</f>
        <v/>
      </c>
      <c r="GD213" s="479" t="str">
        <f ca="1">IF(OR(GD$169&lt;SwaptionFirstMonthPosition+1,$FJ213&lt;SwaptionFirstMonthPosition+1,GD$169&gt;SwaptionFirstMonthPosition+SwaptionNumOfMonths+1,$FJ213&gt;SwaptionFirstMonthPosition+SwaptionNumOfMonths+1),"",IF($FJ213=GD$169,1,IF($FJ213&lt;GD$169,INDEX($FK$170:$ID$241,GD$169,$FJ213),SUMPRODUCT(INDEX($FK$325:$ID$396,GD$169,1+SwaptionShift):INDEX($FK$325:$ID$396,GD$169,SwaptionMonthsToGo+SwaptionShift),INDEX($FK$245:$ID$316,$FJ213-GD$169,73-GD$169+SwaptionShift):INDEX($FK$245:$ID$316,$FJ213-GD$169,72-GD$169+SwaptionMonthsToGo+SwaptionShift))/SQRT(SUM(INDEX($FK368:$ID368,1+SwaptionShift):INDEX($FK368:$ID368,SwaptionMonthsToGo+SwaptionShift))*SUM(INDEX($FK$325:$ID$396,GD$169,1+SwaptionShift):INDEX($FK$325:$ID$396,GD$169,SwaptionMonthsToGo+SwaptionShift))))))</f>
        <v/>
      </c>
      <c r="GE213" s="479" t="str">
        <f ca="1">IF(OR(GE$169&lt;SwaptionFirstMonthPosition+1,$FJ213&lt;SwaptionFirstMonthPosition+1,GE$169&gt;SwaptionFirstMonthPosition+SwaptionNumOfMonths+1,$FJ213&gt;SwaptionFirstMonthPosition+SwaptionNumOfMonths+1),"",IF($FJ213=GE$169,1,IF($FJ213&lt;GE$169,INDEX($FK$170:$ID$241,GE$169,$FJ213),SUMPRODUCT(INDEX($FK$325:$ID$396,GE$169,1+SwaptionShift):INDEX($FK$325:$ID$396,GE$169,SwaptionMonthsToGo+SwaptionShift),INDEX($FK$245:$ID$316,$FJ213-GE$169,73-GE$169+SwaptionShift):INDEX($FK$245:$ID$316,$FJ213-GE$169,72-GE$169+SwaptionMonthsToGo+SwaptionShift))/SQRT(SUM(INDEX($FK368:$ID368,1+SwaptionShift):INDEX($FK368:$ID368,SwaptionMonthsToGo+SwaptionShift))*SUM(INDEX($FK$325:$ID$396,GE$169,1+SwaptionShift):INDEX($FK$325:$ID$396,GE$169,SwaptionMonthsToGo+SwaptionShift))))))</f>
        <v/>
      </c>
      <c r="GF213" s="479" t="str">
        <f ca="1">IF(OR(GF$169&lt;SwaptionFirstMonthPosition+1,$FJ213&lt;SwaptionFirstMonthPosition+1,GF$169&gt;SwaptionFirstMonthPosition+SwaptionNumOfMonths+1,$FJ213&gt;SwaptionFirstMonthPosition+SwaptionNumOfMonths+1),"",IF($FJ213=GF$169,1,IF($FJ213&lt;GF$169,INDEX($FK$170:$ID$241,GF$169,$FJ213),SUMPRODUCT(INDEX($FK$325:$ID$396,GF$169,1+SwaptionShift):INDEX($FK$325:$ID$396,GF$169,SwaptionMonthsToGo+SwaptionShift),INDEX($FK$245:$ID$316,$FJ213-GF$169,73-GF$169+SwaptionShift):INDEX($FK$245:$ID$316,$FJ213-GF$169,72-GF$169+SwaptionMonthsToGo+SwaptionShift))/SQRT(SUM(INDEX($FK368:$ID368,1+SwaptionShift):INDEX($FK368:$ID368,SwaptionMonthsToGo+SwaptionShift))*SUM(INDEX($FK$325:$ID$396,GF$169,1+SwaptionShift):INDEX($FK$325:$ID$396,GF$169,SwaptionMonthsToGo+SwaptionShift))))))</f>
        <v/>
      </c>
      <c r="GG213" s="479" t="str">
        <f ca="1">IF(OR(GG$169&lt;SwaptionFirstMonthPosition+1,$FJ213&lt;SwaptionFirstMonthPosition+1,GG$169&gt;SwaptionFirstMonthPosition+SwaptionNumOfMonths+1,$FJ213&gt;SwaptionFirstMonthPosition+SwaptionNumOfMonths+1),"",IF($FJ213=GG$169,1,IF($FJ213&lt;GG$169,INDEX($FK$170:$ID$241,GG$169,$FJ213),SUMPRODUCT(INDEX($FK$325:$ID$396,GG$169,1+SwaptionShift):INDEX($FK$325:$ID$396,GG$169,SwaptionMonthsToGo+SwaptionShift),INDEX($FK$245:$ID$316,$FJ213-GG$169,73-GG$169+SwaptionShift):INDEX($FK$245:$ID$316,$FJ213-GG$169,72-GG$169+SwaptionMonthsToGo+SwaptionShift))/SQRT(SUM(INDEX($FK368:$ID368,1+SwaptionShift):INDEX($FK368:$ID368,SwaptionMonthsToGo+SwaptionShift))*SUM(INDEX($FK$325:$ID$396,GG$169,1+SwaptionShift):INDEX($FK$325:$ID$396,GG$169,SwaptionMonthsToGo+SwaptionShift))))))</f>
        <v/>
      </c>
      <c r="GH213" s="479" t="str">
        <f ca="1">IF(OR(GH$169&lt;SwaptionFirstMonthPosition+1,$FJ213&lt;SwaptionFirstMonthPosition+1,GH$169&gt;SwaptionFirstMonthPosition+SwaptionNumOfMonths+1,$FJ213&gt;SwaptionFirstMonthPosition+SwaptionNumOfMonths+1),"",IF($FJ213=GH$169,1,IF($FJ213&lt;GH$169,INDEX($FK$170:$ID$241,GH$169,$FJ213),SUMPRODUCT(INDEX($FK$325:$ID$396,GH$169,1+SwaptionShift):INDEX($FK$325:$ID$396,GH$169,SwaptionMonthsToGo+SwaptionShift),INDEX($FK$245:$ID$316,$FJ213-GH$169,73-GH$169+SwaptionShift):INDEX($FK$245:$ID$316,$FJ213-GH$169,72-GH$169+SwaptionMonthsToGo+SwaptionShift))/SQRT(SUM(INDEX($FK368:$ID368,1+SwaptionShift):INDEX($FK368:$ID368,SwaptionMonthsToGo+SwaptionShift))*SUM(INDEX($FK$325:$ID$396,GH$169,1+SwaptionShift):INDEX($FK$325:$ID$396,GH$169,SwaptionMonthsToGo+SwaptionShift))))))</f>
        <v/>
      </c>
      <c r="GI213" s="479" t="str">
        <f ca="1">IF(OR(GI$169&lt;SwaptionFirstMonthPosition+1,$FJ213&lt;SwaptionFirstMonthPosition+1,GI$169&gt;SwaptionFirstMonthPosition+SwaptionNumOfMonths+1,$FJ213&gt;SwaptionFirstMonthPosition+SwaptionNumOfMonths+1),"",IF($FJ213=GI$169,1,IF($FJ213&lt;GI$169,INDEX($FK$170:$ID$241,GI$169,$FJ213),SUMPRODUCT(INDEX($FK$325:$ID$396,GI$169,1+SwaptionShift):INDEX($FK$325:$ID$396,GI$169,SwaptionMonthsToGo+SwaptionShift),INDEX($FK$245:$ID$316,$FJ213-GI$169,73-GI$169+SwaptionShift):INDEX($FK$245:$ID$316,$FJ213-GI$169,72-GI$169+SwaptionMonthsToGo+SwaptionShift))/SQRT(SUM(INDEX($FK368:$ID368,1+SwaptionShift):INDEX($FK368:$ID368,SwaptionMonthsToGo+SwaptionShift))*SUM(INDEX($FK$325:$ID$396,GI$169,1+SwaptionShift):INDEX($FK$325:$ID$396,GI$169,SwaptionMonthsToGo+SwaptionShift))))))</f>
        <v/>
      </c>
      <c r="GJ213" s="479" t="str">
        <f ca="1">IF(OR(GJ$169&lt;SwaptionFirstMonthPosition+1,$FJ213&lt;SwaptionFirstMonthPosition+1,GJ$169&gt;SwaptionFirstMonthPosition+SwaptionNumOfMonths+1,$FJ213&gt;SwaptionFirstMonthPosition+SwaptionNumOfMonths+1),"",IF($FJ213=GJ$169,1,IF($FJ213&lt;GJ$169,INDEX($FK$170:$ID$241,GJ$169,$FJ213),SUMPRODUCT(INDEX($FK$325:$ID$396,GJ$169,1+SwaptionShift):INDEX($FK$325:$ID$396,GJ$169,SwaptionMonthsToGo+SwaptionShift),INDEX($FK$245:$ID$316,$FJ213-GJ$169,73-GJ$169+SwaptionShift):INDEX($FK$245:$ID$316,$FJ213-GJ$169,72-GJ$169+SwaptionMonthsToGo+SwaptionShift))/SQRT(SUM(INDEX($FK368:$ID368,1+SwaptionShift):INDEX($FK368:$ID368,SwaptionMonthsToGo+SwaptionShift))*SUM(INDEX($FK$325:$ID$396,GJ$169,1+SwaptionShift):INDEX($FK$325:$ID$396,GJ$169,SwaptionMonthsToGo+SwaptionShift))))))</f>
        <v/>
      </c>
      <c r="GK213" s="479" t="str">
        <f ca="1">IF(OR(GK$169&lt;SwaptionFirstMonthPosition+1,$FJ213&lt;SwaptionFirstMonthPosition+1,GK$169&gt;SwaptionFirstMonthPosition+SwaptionNumOfMonths+1,$FJ213&gt;SwaptionFirstMonthPosition+SwaptionNumOfMonths+1),"",IF($FJ213=GK$169,1,IF($FJ213&lt;GK$169,INDEX($FK$170:$ID$241,GK$169,$FJ213),SUMPRODUCT(INDEX($FK$325:$ID$396,GK$169,1+SwaptionShift):INDEX($FK$325:$ID$396,GK$169,SwaptionMonthsToGo+SwaptionShift),INDEX($FK$245:$ID$316,$FJ213-GK$169,73-GK$169+SwaptionShift):INDEX($FK$245:$ID$316,$FJ213-GK$169,72-GK$169+SwaptionMonthsToGo+SwaptionShift))/SQRT(SUM(INDEX($FK368:$ID368,1+SwaptionShift):INDEX($FK368:$ID368,SwaptionMonthsToGo+SwaptionShift))*SUM(INDEX($FK$325:$ID$396,GK$169,1+SwaptionShift):INDEX($FK$325:$ID$396,GK$169,SwaptionMonthsToGo+SwaptionShift))))))</f>
        <v/>
      </c>
      <c r="GL213" s="479" t="str">
        <f ca="1">IF(OR(GL$169&lt;SwaptionFirstMonthPosition+1,$FJ213&lt;SwaptionFirstMonthPosition+1,GL$169&gt;SwaptionFirstMonthPosition+SwaptionNumOfMonths+1,$FJ213&gt;SwaptionFirstMonthPosition+SwaptionNumOfMonths+1),"",IF($FJ213=GL$169,1,IF($FJ213&lt;GL$169,INDEX($FK$170:$ID$241,GL$169,$FJ213),SUMPRODUCT(INDEX($FK$325:$ID$396,GL$169,1+SwaptionShift):INDEX($FK$325:$ID$396,GL$169,SwaptionMonthsToGo+SwaptionShift),INDEX($FK$245:$ID$316,$FJ213-GL$169,73-GL$169+SwaptionShift):INDEX($FK$245:$ID$316,$FJ213-GL$169,72-GL$169+SwaptionMonthsToGo+SwaptionShift))/SQRT(SUM(INDEX($FK368:$ID368,1+SwaptionShift):INDEX($FK368:$ID368,SwaptionMonthsToGo+SwaptionShift))*SUM(INDEX($FK$325:$ID$396,GL$169,1+SwaptionShift):INDEX($FK$325:$ID$396,GL$169,SwaptionMonthsToGo+SwaptionShift))))))</f>
        <v/>
      </c>
      <c r="GM213" s="479" t="str">
        <f ca="1">IF(OR(GM$169&lt;SwaptionFirstMonthPosition+1,$FJ213&lt;SwaptionFirstMonthPosition+1,GM$169&gt;SwaptionFirstMonthPosition+SwaptionNumOfMonths+1,$FJ213&gt;SwaptionFirstMonthPosition+SwaptionNumOfMonths+1),"",IF($FJ213=GM$169,1,IF($FJ213&lt;GM$169,INDEX($FK$170:$ID$241,GM$169,$FJ213),SUMPRODUCT(INDEX($FK$325:$ID$396,GM$169,1+SwaptionShift):INDEX($FK$325:$ID$396,GM$169,SwaptionMonthsToGo+SwaptionShift),INDEX($FK$245:$ID$316,$FJ213-GM$169,73-GM$169+SwaptionShift):INDEX($FK$245:$ID$316,$FJ213-GM$169,72-GM$169+SwaptionMonthsToGo+SwaptionShift))/SQRT(SUM(INDEX($FK368:$ID368,1+SwaptionShift):INDEX($FK368:$ID368,SwaptionMonthsToGo+SwaptionShift))*SUM(INDEX($FK$325:$ID$396,GM$169,1+SwaptionShift):INDEX($FK$325:$ID$396,GM$169,SwaptionMonthsToGo+SwaptionShift))))))</f>
        <v/>
      </c>
      <c r="GN213" s="479" t="str">
        <f ca="1">IF(OR(GN$169&lt;SwaptionFirstMonthPosition+1,$FJ213&lt;SwaptionFirstMonthPosition+1,GN$169&gt;SwaptionFirstMonthPosition+SwaptionNumOfMonths+1,$FJ213&gt;SwaptionFirstMonthPosition+SwaptionNumOfMonths+1),"",IF($FJ213=GN$169,1,IF($FJ213&lt;GN$169,INDEX($FK$170:$ID$241,GN$169,$FJ213),SUMPRODUCT(INDEX($FK$325:$ID$396,GN$169,1+SwaptionShift):INDEX($FK$325:$ID$396,GN$169,SwaptionMonthsToGo+SwaptionShift),INDEX($FK$245:$ID$316,$FJ213-GN$169,73-GN$169+SwaptionShift):INDEX($FK$245:$ID$316,$FJ213-GN$169,72-GN$169+SwaptionMonthsToGo+SwaptionShift))/SQRT(SUM(INDEX($FK368:$ID368,1+SwaptionShift):INDEX($FK368:$ID368,SwaptionMonthsToGo+SwaptionShift))*SUM(INDEX($FK$325:$ID$396,GN$169,1+SwaptionShift):INDEX($FK$325:$ID$396,GN$169,SwaptionMonthsToGo+SwaptionShift))))))</f>
        <v/>
      </c>
      <c r="GO213" s="479" t="str">
        <f ca="1">IF(OR(GO$169&lt;SwaptionFirstMonthPosition+1,$FJ213&lt;SwaptionFirstMonthPosition+1,GO$169&gt;SwaptionFirstMonthPosition+SwaptionNumOfMonths+1,$FJ213&gt;SwaptionFirstMonthPosition+SwaptionNumOfMonths+1),"",IF($FJ213=GO$169,1,IF($FJ213&lt;GO$169,INDEX($FK$170:$ID$241,GO$169,$FJ213),SUMPRODUCT(INDEX($FK$325:$ID$396,GO$169,1+SwaptionShift):INDEX($FK$325:$ID$396,GO$169,SwaptionMonthsToGo+SwaptionShift),INDEX($FK$245:$ID$316,$FJ213-GO$169,73-GO$169+SwaptionShift):INDEX($FK$245:$ID$316,$FJ213-GO$169,72-GO$169+SwaptionMonthsToGo+SwaptionShift))/SQRT(SUM(INDEX($FK368:$ID368,1+SwaptionShift):INDEX($FK368:$ID368,SwaptionMonthsToGo+SwaptionShift))*SUM(INDEX($FK$325:$ID$396,GO$169,1+SwaptionShift):INDEX($FK$325:$ID$396,GO$169,SwaptionMonthsToGo+SwaptionShift))))))</f>
        <v/>
      </c>
      <c r="GP213" s="479" t="str">
        <f ca="1">IF(OR(GP$169&lt;SwaptionFirstMonthPosition+1,$FJ213&lt;SwaptionFirstMonthPosition+1,GP$169&gt;SwaptionFirstMonthPosition+SwaptionNumOfMonths+1,$FJ213&gt;SwaptionFirstMonthPosition+SwaptionNumOfMonths+1),"",IF($FJ213=GP$169,1,IF($FJ213&lt;GP$169,INDEX($FK$170:$ID$241,GP$169,$FJ213),SUMPRODUCT(INDEX($FK$325:$ID$396,GP$169,1+SwaptionShift):INDEX($FK$325:$ID$396,GP$169,SwaptionMonthsToGo+SwaptionShift),INDEX($FK$245:$ID$316,$FJ213-GP$169,73-GP$169+SwaptionShift):INDEX($FK$245:$ID$316,$FJ213-GP$169,72-GP$169+SwaptionMonthsToGo+SwaptionShift))/SQRT(SUM(INDEX($FK368:$ID368,1+SwaptionShift):INDEX($FK368:$ID368,SwaptionMonthsToGo+SwaptionShift))*SUM(INDEX($FK$325:$ID$396,GP$169,1+SwaptionShift):INDEX($FK$325:$ID$396,GP$169,SwaptionMonthsToGo+SwaptionShift))))))</f>
        <v/>
      </c>
      <c r="GQ213" s="479" t="str">
        <f ca="1">IF(OR(GQ$169&lt;SwaptionFirstMonthPosition+1,$FJ213&lt;SwaptionFirstMonthPosition+1,GQ$169&gt;SwaptionFirstMonthPosition+SwaptionNumOfMonths+1,$FJ213&gt;SwaptionFirstMonthPosition+SwaptionNumOfMonths+1),"",IF($FJ213=GQ$169,1,IF($FJ213&lt;GQ$169,INDEX($FK$170:$ID$241,GQ$169,$FJ213),SUMPRODUCT(INDEX($FK$325:$ID$396,GQ$169,1+SwaptionShift):INDEX($FK$325:$ID$396,GQ$169,SwaptionMonthsToGo+SwaptionShift),INDEX($FK$245:$ID$316,$FJ213-GQ$169,73-GQ$169+SwaptionShift):INDEX($FK$245:$ID$316,$FJ213-GQ$169,72-GQ$169+SwaptionMonthsToGo+SwaptionShift))/SQRT(SUM(INDEX($FK368:$ID368,1+SwaptionShift):INDEX($FK368:$ID368,SwaptionMonthsToGo+SwaptionShift))*SUM(INDEX($FK$325:$ID$396,GQ$169,1+SwaptionShift):INDEX($FK$325:$ID$396,GQ$169,SwaptionMonthsToGo+SwaptionShift))))))</f>
        <v/>
      </c>
      <c r="GR213" s="479" t="str">
        <f ca="1">IF(OR(GR$169&lt;SwaptionFirstMonthPosition+1,$FJ213&lt;SwaptionFirstMonthPosition+1,GR$169&gt;SwaptionFirstMonthPosition+SwaptionNumOfMonths+1,$FJ213&gt;SwaptionFirstMonthPosition+SwaptionNumOfMonths+1),"",IF($FJ213=GR$169,1,IF($FJ213&lt;GR$169,INDEX($FK$170:$ID$241,GR$169,$FJ213),SUMPRODUCT(INDEX($FK$325:$ID$396,GR$169,1+SwaptionShift):INDEX($FK$325:$ID$396,GR$169,SwaptionMonthsToGo+SwaptionShift),INDEX($FK$245:$ID$316,$FJ213-GR$169,73-GR$169+SwaptionShift):INDEX($FK$245:$ID$316,$FJ213-GR$169,72-GR$169+SwaptionMonthsToGo+SwaptionShift))/SQRT(SUM(INDEX($FK368:$ID368,1+SwaptionShift):INDEX($FK368:$ID368,SwaptionMonthsToGo+SwaptionShift))*SUM(INDEX($FK$325:$ID$396,GR$169,1+SwaptionShift):INDEX($FK$325:$ID$396,GR$169,SwaptionMonthsToGo+SwaptionShift))))))</f>
        <v/>
      </c>
      <c r="GS213" s="479" t="str">
        <f ca="1">IF(OR(GS$169&lt;SwaptionFirstMonthPosition+1,$FJ213&lt;SwaptionFirstMonthPosition+1,GS$169&gt;SwaptionFirstMonthPosition+SwaptionNumOfMonths+1,$FJ213&gt;SwaptionFirstMonthPosition+SwaptionNumOfMonths+1),"",IF($FJ213=GS$169,1,IF($FJ213&lt;GS$169,INDEX($FK$170:$ID$241,GS$169,$FJ213),SUMPRODUCT(INDEX($FK$325:$ID$396,GS$169,1+SwaptionShift):INDEX($FK$325:$ID$396,GS$169,SwaptionMonthsToGo+SwaptionShift),INDEX($FK$245:$ID$316,$FJ213-GS$169,73-GS$169+SwaptionShift):INDEX($FK$245:$ID$316,$FJ213-GS$169,72-GS$169+SwaptionMonthsToGo+SwaptionShift))/SQRT(SUM(INDEX($FK368:$ID368,1+SwaptionShift):INDEX($FK368:$ID368,SwaptionMonthsToGo+SwaptionShift))*SUM(INDEX($FK$325:$ID$396,GS$169,1+SwaptionShift):INDEX($FK$325:$ID$396,GS$169,SwaptionMonthsToGo+SwaptionShift))))))</f>
        <v/>
      </c>
      <c r="GT213" s="479" t="str">
        <f ca="1">IF(OR(GT$169&lt;SwaptionFirstMonthPosition+1,$FJ213&lt;SwaptionFirstMonthPosition+1,GT$169&gt;SwaptionFirstMonthPosition+SwaptionNumOfMonths+1,$FJ213&gt;SwaptionFirstMonthPosition+SwaptionNumOfMonths+1),"",IF($FJ213=GT$169,1,IF($FJ213&lt;GT$169,INDEX($FK$170:$ID$241,GT$169,$FJ213),SUMPRODUCT(INDEX($FK$325:$ID$396,GT$169,1+SwaptionShift):INDEX($FK$325:$ID$396,GT$169,SwaptionMonthsToGo+SwaptionShift),INDEX($FK$245:$ID$316,$FJ213-GT$169,73-GT$169+SwaptionShift):INDEX($FK$245:$ID$316,$FJ213-GT$169,72-GT$169+SwaptionMonthsToGo+SwaptionShift))/SQRT(SUM(INDEX($FK368:$ID368,1+SwaptionShift):INDEX($FK368:$ID368,SwaptionMonthsToGo+SwaptionShift))*SUM(INDEX($FK$325:$ID$396,GT$169,1+SwaptionShift):INDEX($FK$325:$ID$396,GT$169,SwaptionMonthsToGo+SwaptionShift))))))</f>
        <v/>
      </c>
      <c r="GU213" s="479" t="str">
        <f ca="1">IF(OR(GU$169&lt;SwaptionFirstMonthPosition+1,$FJ213&lt;SwaptionFirstMonthPosition+1,GU$169&gt;SwaptionFirstMonthPosition+SwaptionNumOfMonths+1,$FJ213&gt;SwaptionFirstMonthPosition+SwaptionNumOfMonths+1),"",IF($FJ213=GU$169,1,IF($FJ213&lt;GU$169,INDEX($FK$170:$ID$241,GU$169,$FJ213),SUMPRODUCT(INDEX($FK$325:$ID$396,GU$169,1+SwaptionShift):INDEX($FK$325:$ID$396,GU$169,SwaptionMonthsToGo+SwaptionShift),INDEX($FK$245:$ID$316,$FJ213-GU$169,73-GU$169+SwaptionShift):INDEX($FK$245:$ID$316,$FJ213-GU$169,72-GU$169+SwaptionMonthsToGo+SwaptionShift))/SQRT(SUM(INDEX($FK368:$ID368,1+SwaptionShift):INDEX($FK368:$ID368,SwaptionMonthsToGo+SwaptionShift))*SUM(INDEX($FK$325:$ID$396,GU$169,1+SwaptionShift):INDEX($FK$325:$ID$396,GU$169,SwaptionMonthsToGo+SwaptionShift))))))</f>
        <v/>
      </c>
      <c r="GV213" s="479" t="str">
        <f ca="1">IF(OR(GV$169&lt;SwaptionFirstMonthPosition+1,$FJ213&lt;SwaptionFirstMonthPosition+1,GV$169&gt;SwaptionFirstMonthPosition+SwaptionNumOfMonths+1,$FJ213&gt;SwaptionFirstMonthPosition+SwaptionNumOfMonths+1),"",IF($FJ213=GV$169,1,IF($FJ213&lt;GV$169,INDEX($FK$170:$ID$241,GV$169,$FJ213),SUMPRODUCT(INDEX($FK$325:$ID$396,GV$169,1+SwaptionShift):INDEX($FK$325:$ID$396,GV$169,SwaptionMonthsToGo+SwaptionShift),INDEX($FK$245:$ID$316,$FJ213-GV$169,73-GV$169+SwaptionShift):INDEX($FK$245:$ID$316,$FJ213-GV$169,72-GV$169+SwaptionMonthsToGo+SwaptionShift))/SQRT(SUM(INDEX($FK368:$ID368,1+SwaptionShift):INDEX($FK368:$ID368,SwaptionMonthsToGo+SwaptionShift))*SUM(INDEX($FK$325:$ID$396,GV$169,1+SwaptionShift):INDEX($FK$325:$ID$396,GV$169,SwaptionMonthsToGo+SwaptionShift))))))</f>
        <v/>
      </c>
      <c r="GW213" s="479" t="str">
        <f ca="1">IF(OR(GW$169&lt;SwaptionFirstMonthPosition+1,$FJ213&lt;SwaptionFirstMonthPosition+1,GW$169&gt;SwaptionFirstMonthPosition+SwaptionNumOfMonths+1,$FJ213&gt;SwaptionFirstMonthPosition+SwaptionNumOfMonths+1),"",IF($FJ213=GW$169,1,IF($FJ213&lt;GW$169,INDEX($FK$170:$ID$241,GW$169,$FJ213),SUMPRODUCT(INDEX($FK$325:$ID$396,GW$169,1+SwaptionShift):INDEX($FK$325:$ID$396,GW$169,SwaptionMonthsToGo+SwaptionShift),INDEX($FK$245:$ID$316,$FJ213-GW$169,73-GW$169+SwaptionShift):INDEX($FK$245:$ID$316,$FJ213-GW$169,72-GW$169+SwaptionMonthsToGo+SwaptionShift))/SQRT(SUM(INDEX($FK368:$ID368,1+SwaptionShift):INDEX($FK368:$ID368,SwaptionMonthsToGo+SwaptionShift))*SUM(INDEX($FK$325:$ID$396,GW$169,1+SwaptionShift):INDEX($FK$325:$ID$396,GW$169,SwaptionMonthsToGo+SwaptionShift))))))</f>
        <v/>
      </c>
      <c r="GX213" s="479" t="str">
        <f ca="1">IF(OR(GX$169&lt;SwaptionFirstMonthPosition+1,$FJ213&lt;SwaptionFirstMonthPosition+1,GX$169&gt;SwaptionFirstMonthPosition+SwaptionNumOfMonths+1,$FJ213&gt;SwaptionFirstMonthPosition+SwaptionNumOfMonths+1),"",IF($FJ213=GX$169,1,IF($FJ213&lt;GX$169,INDEX($FK$170:$ID$241,GX$169,$FJ213),SUMPRODUCT(INDEX($FK$325:$ID$396,GX$169,1+SwaptionShift):INDEX($FK$325:$ID$396,GX$169,SwaptionMonthsToGo+SwaptionShift),INDEX($FK$245:$ID$316,$FJ213-GX$169,73-GX$169+SwaptionShift):INDEX($FK$245:$ID$316,$FJ213-GX$169,72-GX$169+SwaptionMonthsToGo+SwaptionShift))/SQRT(SUM(INDEX($FK368:$ID368,1+SwaptionShift):INDEX($FK368:$ID368,SwaptionMonthsToGo+SwaptionShift))*SUM(INDEX($FK$325:$ID$396,GX$169,1+SwaptionShift):INDEX($FK$325:$ID$396,GX$169,SwaptionMonthsToGo+SwaptionShift))))))</f>
        <v/>
      </c>
      <c r="GY213" s="479" t="str">
        <f ca="1">IF(OR(GY$169&lt;SwaptionFirstMonthPosition+1,$FJ213&lt;SwaptionFirstMonthPosition+1,GY$169&gt;SwaptionFirstMonthPosition+SwaptionNumOfMonths+1,$FJ213&gt;SwaptionFirstMonthPosition+SwaptionNumOfMonths+1),"",IF($FJ213=GY$169,1,IF($FJ213&lt;GY$169,INDEX($FK$170:$ID$241,GY$169,$FJ213),SUMPRODUCT(INDEX($FK$325:$ID$396,GY$169,1+SwaptionShift):INDEX($FK$325:$ID$396,GY$169,SwaptionMonthsToGo+SwaptionShift),INDEX($FK$245:$ID$316,$FJ213-GY$169,73-GY$169+SwaptionShift):INDEX($FK$245:$ID$316,$FJ213-GY$169,72-GY$169+SwaptionMonthsToGo+SwaptionShift))/SQRT(SUM(INDEX($FK368:$ID368,1+SwaptionShift):INDEX($FK368:$ID368,SwaptionMonthsToGo+SwaptionShift))*SUM(INDEX($FK$325:$ID$396,GY$169,1+SwaptionShift):INDEX($FK$325:$ID$396,GY$169,SwaptionMonthsToGo+SwaptionShift))))))</f>
        <v/>
      </c>
      <c r="GZ213" s="479" t="str">
        <f ca="1">IF(OR(GZ$169&lt;SwaptionFirstMonthPosition+1,$FJ213&lt;SwaptionFirstMonthPosition+1,GZ$169&gt;SwaptionFirstMonthPosition+SwaptionNumOfMonths+1,$FJ213&gt;SwaptionFirstMonthPosition+SwaptionNumOfMonths+1),"",IF($FJ213=GZ$169,1,IF($FJ213&lt;GZ$169,INDEX($FK$170:$ID$241,GZ$169,$FJ213),SUMPRODUCT(INDEX($FK$325:$ID$396,GZ$169,1+SwaptionShift):INDEX($FK$325:$ID$396,GZ$169,SwaptionMonthsToGo+SwaptionShift),INDEX($FK$245:$ID$316,$FJ213-GZ$169,73-GZ$169+SwaptionShift):INDEX($FK$245:$ID$316,$FJ213-GZ$169,72-GZ$169+SwaptionMonthsToGo+SwaptionShift))/SQRT(SUM(INDEX($FK368:$ID368,1+SwaptionShift):INDEX($FK368:$ID368,SwaptionMonthsToGo+SwaptionShift))*SUM(INDEX($FK$325:$ID$396,GZ$169,1+SwaptionShift):INDEX($FK$325:$ID$396,GZ$169,SwaptionMonthsToGo+SwaptionShift))))))</f>
        <v/>
      </c>
      <c r="HA213" s="479" t="str">
        <f ca="1">IF(OR(HA$169&lt;SwaptionFirstMonthPosition+1,$FJ213&lt;SwaptionFirstMonthPosition+1,HA$169&gt;SwaptionFirstMonthPosition+SwaptionNumOfMonths+1,$FJ213&gt;SwaptionFirstMonthPosition+SwaptionNumOfMonths+1),"",IF($FJ213=HA$169,1,IF($FJ213&lt;HA$169,INDEX($FK$170:$ID$241,HA$169,$FJ213),SUMPRODUCT(INDEX($FK$325:$ID$396,HA$169,1+SwaptionShift):INDEX($FK$325:$ID$396,HA$169,SwaptionMonthsToGo+SwaptionShift),INDEX($FK$245:$ID$316,$FJ213-HA$169,73-HA$169+SwaptionShift):INDEX($FK$245:$ID$316,$FJ213-HA$169,72-HA$169+SwaptionMonthsToGo+SwaptionShift))/SQRT(SUM(INDEX($FK368:$ID368,1+SwaptionShift):INDEX($FK368:$ID368,SwaptionMonthsToGo+SwaptionShift))*SUM(INDEX($FK$325:$ID$396,HA$169,1+SwaptionShift):INDEX($FK$325:$ID$396,HA$169,SwaptionMonthsToGo+SwaptionShift))))))</f>
        <v/>
      </c>
      <c r="HB213" s="479" t="str">
        <f ca="1">IF(OR(HB$169&lt;SwaptionFirstMonthPosition+1,$FJ213&lt;SwaptionFirstMonthPosition+1,HB$169&gt;SwaptionFirstMonthPosition+SwaptionNumOfMonths+1,$FJ213&gt;SwaptionFirstMonthPosition+SwaptionNumOfMonths+1),"",IF($FJ213=HB$169,1,IF($FJ213&lt;HB$169,INDEX($FK$170:$ID$241,HB$169,$FJ213),SUMPRODUCT(INDEX($FK$325:$ID$396,HB$169,1+SwaptionShift):INDEX($FK$325:$ID$396,HB$169,SwaptionMonthsToGo+SwaptionShift),INDEX($FK$245:$ID$316,$FJ213-HB$169,73-HB$169+SwaptionShift):INDEX($FK$245:$ID$316,$FJ213-HB$169,72-HB$169+SwaptionMonthsToGo+SwaptionShift))/SQRT(SUM(INDEX($FK368:$ID368,1+SwaptionShift):INDEX($FK368:$ID368,SwaptionMonthsToGo+SwaptionShift))*SUM(INDEX($FK$325:$ID$396,HB$169,1+SwaptionShift):INDEX($FK$325:$ID$396,HB$169,SwaptionMonthsToGo+SwaptionShift))))))</f>
        <v/>
      </c>
      <c r="HC213" s="479" t="str">
        <f ca="1">IF(OR(HC$169&lt;SwaptionFirstMonthPosition+1,$FJ213&lt;SwaptionFirstMonthPosition+1,HC$169&gt;SwaptionFirstMonthPosition+SwaptionNumOfMonths+1,$FJ213&gt;SwaptionFirstMonthPosition+SwaptionNumOfMonths+1),"",IF($FJ213=HC$169,1,IF($FJ213&lt;HC$169,INDEX($FK$170:$ID$241,HC$169,$FJ213),SUMPRODUCT(INDEX($FK$325:$ID$396,HC$169,1+SwaptionShift):INDEX($FK$325:$ID$396,HC$169,SwaptionMonthsToGo+SwaptionShift),INDEX($FK$245:$ID$316,$FJ213-HC$169,73-HC$169+SwaptionShift):INDEX($FK$245:$ID$316,$FJ213-HC$169,72-HC$169+SwaptionMonthsToGo+SwaptionShift))/SQRT(SUM(INDEX($FK368:$ID368,1+SwaptionShift):INDEX($FK368:$ID368,SwaptionMonthsToGo+SwaptionShift))*SUM(INDEX($FK$325:$ID$396,HC$169,1+SwaptionShift):INDEX($FK$325:$ID$396,HC$169,SwaptionMonthsToGo+SwaptionShift))))))</f>
        <v/>
      </c>
      <c r="HD213" s="479" t="str">
        <f ca="1">IF(OR(HD$169&lt;SwaptionFirstMonthPosition+1,$FJ213&lt;SwaptionFirstMonthPosition+1,HD$169&gt;SwaptionFirstMonthPosition+SwaptionNumOfMonths+1,$FJ213&gt;SwaptionFirstMonthPosition+SwaptionNumOfMonths+1),"",IF($FJ213=HD$169,1,IF($FJ213&lt;HD$169,INDEX($FK$170:$ID$241,HD$169,$FJ213),SUMPRODUCT(INDEX($FK$325:$ID$396,HD$169,1+SwaptionShift):INDEX($FK$325:$ID$396,HD$169,SwaptionMonthsToGo+SwaptionShift),INDEX($FK$245:$ID$316,$FJ213-HD$169,73-HD$169+SwaptionShift):INDEX($FK$245:$ID$316,$FJ213-HD$169,72-HD$169+SwaptionMonthsToGo+SwaptionShift))/SQRT(SUM(INDEX($FK368:$ID368,1+SwaptionShift):INDEX($FK368:$ID368,SwaptionMonthsToGo+SwaptionShift))*SUM(INDEX($FK$325:$ID$396,HD$169,1+SwaptionShift):INDEX($FK$325:$ID$396,HD$169,SwaptionMonthsToGo+SwaptionShift))))))</f>
        <v/>
      </c>
      <c r="HE213" s="479" t="str">
        <f ca="1">IF(OR(HE$169&lt;SwaptionFirstMonthPosition+1,$FJ213&lt;SwaptionFirstMonthPosition+1,HE$169&gt;SwaptionFirstMonthPosition+SwaptionNumOfMonths+1,$FJ213&gt;SwaptionFirstMonthPosition+SwaptionNumOfMonths+1),"",IF($FJ213=HE$169,1,IF($FJ213&lt;HE$169,INDEX($FK$170:$ID$241,HE$169,$FJ213),SUMPRODUCT(INDEX($FK$325:$ID$396,HE$169,1+SwaptionShift):INDEX($FK$325:$ID$396,HE$169,SwaptionMonthsToGo+SwaptionShift),INDEX($FK$245:$ID$316,$FJ213-HE$169,73-HE$169+SwaptionShift):INDEX($FK$245:$ID$316,$FJ213-HE$169,72-HE$169+SwaptionMonthsToGo+SwaptionShift))/SQRT(SUM(INDEX($FK368:$ID368,1+SwaptionShift):INDEX($FK368:$ID368,SwaptionMonthsToGo+SwaptionShift))*SUM(INDEX($FK$325:$ID$396,HE$169,1+SwaptionShift):INDEX($FK$325:$ID$396,HE$169,SwaptionMonthsToGo+SwaptionShift))))))</f>
        <v/>
      </c>
      <c r="HF213" s="479" t="str">
        <f ca="1">IF(OR(HF$169&lt;SwaptionFirstMonthPosition+1,$FJ213&lt;SwaptionFirstMonthPosition+1,HF$169&gt;SwaptionFirstMonthPosition+SwaptionNumOfMonths+1,$FJ213&gt;SwaptionFirstMonthPosition+SwaptionNumOfMonths+1),"",IF($FJ213=HF$169,1,IF($FJ213&lt;HF$169,INDEX($FK$170:$ID$241,HF$169,$FJ213),SUMPRODUCT(INDEX($FK$325:$ID$396,HF$169,1+SwaptionShift):INDEX($FK$325:$ID$396,HF$169,SwaptionMonthsToGo+SwaptionShift),INDEX($FK$245:$ID$316,$FJ213-HF$169,73-HF$169+SwaptionShift):INDEX($FK$245:$ID$316,$FJ213-HF$169,72-HF$169+SwaptionMonthsToGo+SwaptionShift))/SQRT(SUM(INDEX($FK368:$ID368,1+SwaptionShift):INDEX($FK368:$ID368,SwaptionMonthsToGo+SwaptionShift))*SUM(INDEX($FK$325:$ID$396,HF$169,1+SwaptionShift):INDEX($FK$325:$ID$396,HF$169,SwaptionMonthsToGo+SwaptionShift))))))</f>
        <v/>
      </c>
      <c r="HG213" s="479" t="str">
        <f ca="1">IF(OR(HG$169&lt;SwaptionFirstMonthPosition+1,$FJ213&lt;SwaptionFirstMonthPosition+1,HG$169&gt;SwaptionFirstMonthPosition+SwaptionNumOfMonths+1,$FJ213&gt;SwaptionFirstMonthPosition+SwaptionNumOfMonths+1),"",IF($FJ213=HG$169,1,IF($FJ213&lt;HG$169,INDEX($FK$170:$ID$241,HG$169,$FJ213),SUMPRODUCT(INDEX($FK$325:$ID$396,HG$169,1+SwaptionShift):INDEX($FK$325:$ID$396,HG$169,SwaptionMonthsToGo+SwaptionShift),INDEX($FK$245:$ID$316,$FJ213-HG$169,73-HG$169+SwaptionShift):INDEX($FK$245:$ID$316,$FJ213-HG$169,72-HG$169+SwaptionMonthsToGo+SwaptionShift))/SQRT(SUM(INDEX($FK368:$ID368,1+SwaptionShift):INDEX($FK368:$ID368,SwaptionMonthsToGo+SwaptionShift))*SUM(INDEX($FK$325:$ID$396,HG$169,1+SwaptionShift):INDEX($FK$325:$ID$396,HG$169,SwaptionMonthsToGo+SwaptionShift))))))</f>
        <v/>
      </c>
      <c r="HH213" s="479" t="str">
        <f ca="1">IF(OR(HH$169&lt;SwaptionFirstMonthPosition+1,$FJ213&lt;SwaptionFirstMonthPosition+1,HH$169&gt;SwaptionFirstMonthPosition+SwaptionNumOfMonths+1,$FJ213&gt;SwaptionFirstMonthPosition+SwaptionNumOfMonths+1),"",IF($FJ213=HH$169,1,IF($FJ213&lt;HH$169,INDEX($FK$170:$ID$241,HH$169,$FJ213),SUMPRODUCT(INDEX($FK$325:$ID$396,HH$169,1+SwaptionShift):INDEX($FK$325:$ID$396,HH$169,SwaptionMonthsToGo+SwaptionShift),INDEX($FK$245:$ID$316,$FJ213-HH$169,73-HH$169+SwaptionShift):INDEX($FK$245:$ID$316,$FJ213-HH$169,72-HH$169+SwaptionMonthsToGo+SwaptionShift))/SQRT(SUM(INDEX($FK368:$ID368,1+SwaptionShift):INDEX($FK368:$ID368,SwaptionMonthsToGo+SwaptionShift))*SUM(INDEX($FK$325:$ID$396,HH$169,1+SwaptionShift):INDEX($FK$325:$ID$396,HH$169,SwaptionMonthsToGo+SwaptionShift))))))</f>
        <v/>
      </c>
      <c r="HI213" s="479" t="str">
        <f ca="1">IF(OR(HI$169&lt;SwaptionFirstMonthPosition+1,$FJ213&lt;SwaptionFirstMonthPosition+1,HI$169&gt;SwaptionFirstMonthPosition+SwaptionNumOfMonths+1,$FJ213&gt;SwaptionFirstMonthPosition+SwaptionNumOfMonths+1),"",IF($FJ213=HI$169,1,IF($FJ213&lt;HI$169,INDEX($FK$170:$ID$241,HI$169,$FJ213),SUMPRODUCT(INDEX($FK$325:$ID$396,HI$169,1+SwaptionShift):INDEX($FK$325:$ID$396,HI$169,SwaptionMonthsToGo+SwaptionShift),INDEX($FK$245:$ID$316,$FJ213-HI$169,73-HI$169+SwaptionShift):INDEX($FK$245:$ID$316,$FJ213-HI$169,72-HI$169+SwaptionMonthsToGo+SwaptionShift))/SQRT(SUM(INDEX($FK368:$ID368,1+SwaptionShift):INDEX($FK368:$ID368,SwaptionMonthsToGo+SwaptionShift))*SUM(INDEX($FK$325:$ID$396,HI$169,1+SwaptionShift):INDEX($FK$325:$ID$396,HI$169,SwaptionMonthsToGo+SwaptionShift))))))</f>
        <v/>
      </c>
      <c r="HJ213" s="479" t="str">
        <f ca="1">IF(OR(HJ$169&lt;SwaptionFirstMonthPosition+1,$FJ213&lt;SwaptionFirstMonthPosition+1,HJ$169&gt;SwaptionFirstMonthPosition+SwaptionNumOfMonths+1,$FJ213&gt;SwaptionFirstMonthPosition+SwaptionNumOfMonths+1),"",IF($FJ213=HJ$169,1,IF($FJ213&lt;HJ$169,INDEX($FK$170:$ID$241,HJ$169,$FJ213),SUMPRODUCT(INDEX($FK$325:$ID$396,HJ$169,1+SwaptionShift):INDEX($FK$325:$ID$396,HJ$169,SwaptionMonthsToGo+SwaptionShift),INDEX($FK$245:$ID$316,$FJ213-HJ$169,73-HJ$169+SwaptionShift):INDEX($FK$245:$ID$316,$FJ213-HJ$169,72-HJ$169+SwaptionMonthsToGo+SwaptionShift))/SQRT(SUM(INDEX($FK368:$ID368,1+SwaptionShift):INDEX($FK368:$ID368,SwaptionMonthsToGo+SwaptionShift))*SUM(INDEX($FK$325:$ID$396,HJ$169,1+SwaptionShift):INDEX($FK$325:$ID$396,HJ$169,SwaptionMonthsToGo+SwaptionShift))))))</f>
        <v/>
      </c>
      <c r="HK213" s="479" t="str">
        <f ca="1">IF(OR(HK$169&lt;SwaptionFirstMonthPosition+1,$FJ213&lt;SwaptionFirstMonthPosition+1,HK$169&gt;SwaptionFirstMonthPosition+SwaptionNumOfMonths+1,$FJ213&gt;SwaptionFirstMonthPosition+SwaptionNumOfMonths+1),"",IF($FJ213=HK$169,1,IF($FJ213&lt;HK$169,INDEX($FK$170:$ID$241,HK$169,$FJ213),SUMPRODUCT(INDEX($FK$325:$ID$396,HK$169,1+SwaptionShift):INDEX($FK$325:$ID$396,HK$169,SwaptionMonthsToGo+SwaptionShift),INDEX($FK$245:$ID$316,$FJ213-HK$169,73-HK$169+SwaptionShift):INDEX($FK$245:$ID$316,$FJ213-HK$169,72-HK$169+SwaptionMonthsToGo+SwaptionShift))/SQRT(SUM(INDEX($FK368:$ID368,1+SwaptionShift):INDEX($FK368:$ID368,SwaptionMonthsToGo+SwaptionShift))*SUM(INDEX($FK$325:$ID$396,HK$169,1+SwaptionShift):INDEX($FK$325:$ID$396,HK$169,SwaptionMonthsToGo+SwaptionShift))))))</f>
        <v/>
      </c>
      <c r="HL213" s="479" t="str">
        <f ca="1">IF(OR(HL$169&lt;SwaptionFirstMonthPosition+1,$FJ213&lt;SwaptionFirstMonthPosition+1,HL$169&gt;SwaptionFirstMonthPosition+SwaptionNumOfMonths+1,$FJ213&gt;SwaptionFirstMonthPosition+SwaptionNumOfMonths+1),"",IF($FJ213=HL$169,1,IF($FJ213&lt;HL$169,INDEX($FK$170:$ID$241,HL$169,$FJ213),SUMPRODUCT(INDEX($FK$325:$ID$396,HL$169,1+SwaptionShift):INDEX($FK$325:$ID$396,HL$169,SwaptionMonthsToGo+SwaptionShift),INDEX($FK$245:$ID$316,$FJ213-HL$169,73-HL$169+SwaptionShift):INDEX($FK$245:$ID$316,$FJ213-HL$169,72-HL$169+SwaptionMonthsToGo+SwaptionShift))/SQRT(SUM(INDEX($FK368:$ID368,1+SwaptionShift):INDEX($FK368:$ID368,SwaptionMonthsToGo+SwaptionShift))*SUM(INDEX($FK$325:$ID$396,HL$169,1+SwaptionShift):INDEX($FK$325:$ID$396,HL$169,SwaptionMonthsToGo+SwaptionShift))))))</f>
        <v/>
      </c>
      <c r="HM213" s="479" t="str">
        <f ca="1">IF(OR(HM$169&lt;SwaptionFirstMonthPosition+1,$FJ213&lt;SwaptionFirstMonthPosition+1,HM$169&gt;SwaptionFirstMonthPosition+SwaptionNumOfMonths+1,$FJ213&gt;SwaptionFirstMonthPosition+SwaptionNumOfMonths+1),"",IF($FJ213=HM$169,1,IF($FJ213&lt;HM$169,INDEX($FK$170:$ID$241,HM$169,$FJ213),SUMPRODUCT(INDEX($FK$325:$ID$396,HM$169,1+SwaptionShift):INDEX($FK$325:$ID$396,HM$169,SwaptionMonthsToGo+SwaptionShift),INDEX($FK$245:$ID$316,$FJ213-HM$169,73-HM$169+SwaptionShift):INDEX($FK$245:$ID$316,$FJ213-HM$169,72-HM$169+SwaptionMonthsToGo+SwaptionShift))/SQRT(SUM(INDEX($FK368:$ID368,1+SwaptionShift):INDEX($FK368:$ID368,SwaptionMonthsToGo+SwaptionShift))*SUM(INDEX($FK$325:$ID$396,HM$169,1+SwaptionShift):INDEX($FK$325:$ID$396,HM$169,SwaptionMonthsToGo+SwaptionShift))))))</f>
        <v/>
      </c>
      <c r="HN213" s="479" t="str">
        <f ca="1">IF(OR(HN$169&lt;SwaptionFirstMonthPosition+1,$FJ213&lt;SwaptionFirstMonthPosition+1,HN$169&gt;SwaptionFirstMonthPosition+SwaptionNumOfMonths+1,$FJ213&gt;SwaptionFirstMonthPosition+SwaptionNumOfMonths+1),"",IF($FJ213=HN$169,1,IF($FJ213&lt;HN$169,INDEX($FK$170:$ID$241,HN$169,$FJ213),SUMPRODUCT(INDEX($FK$325:$ID$396,HN$169,1+SwaptionShift):INDEX($FK$325:$ID$396,HN$169,SwaptionMonthsToGo+SwaptionShift),INDEX($FK$245:$ID$316,$FJ213-HN$169,73-HN$169+SwaptionShift):INDEX($FK$245:$ID$316,$FJ213-HN$169,72-HN$169+SwaptionMonthsToGo+SwaptionShift))/SQRT(SUM(INDEX($FK368:$ID368,1+SwaptionShift):INDEX($FK368:$ID368,SwaptionMonthsToGo+SwaptionShift))*SUM(INDEX($FK$325:$ID$396,HN$169,1+SwaptionShift):INDEX($FK$325:$ID$396,HN$169,SwaptionMonthsToGo+SwaptionShift))))))</f>
        <v/>
      </c>
      <c r="HO213" s="479" t="str">
        <f ca="1">IF(OR(HO$169&lt;SwaptionFirstMonthPosition+1,$FJ213&lt;SwaptionFirstMonthPosition+1,HO$169&gt;SwaptionFirstMonthPosition+SwaptionNumOfMonths+1,$FJ213&gt;SwaptionFirstMonthPosition+SwaptionNumOfMonths+1),"",IF($FJ213=HO$169,1,IF($FJ213&lt;HO$169,INDEX($FK$170:$ID$241,HO$169,$FJ213),SUMPRODUCT(INDEX($FK$325:$ID$396,HO$169,1+SwaptionShift):INDEX($FK$325:$ID$396,HO$169,SwaptionMonthsToGo+SwaptionShift),INDEX($FK$245:$ID$316,$FJ213-HO$169,73-HO$169+SwaptionShift):INDEX($FK$245:$ID$316,$FJ213-HO$169,72-HO$169+SwaptionMonthsToGo+SwaptionShift))/SQRT(SUM(INDEX($FK368:$ID368,1+SwaptionShift):INDEX($FK368:$ID368,SwaptionMonthsToGo+SwaptionShift))*SUM(INDEX($FK$325:$ID$396,HO$169,1+SwaptionShift):INDEX($FK$325:$ID$396,HO$169,SwaptionMonthsToGo+SwaptionShift))))))</f>
        <v/>
      </c>
      <c r="HP213" s="479" t="str">
        <f ca="1">IF(OR(HP$169&lt;SwaptionFirstMonthPosition+1,$FJ213&lt;SwaptionFirstMonthPosition+1,HP$169&gt;SwaptionFirstMonthPosition+SwaptionNumOfMonths+1,$FJ213&gt;SwaptionFirstMonthPosition+SwaptionNumOfMonths+1),"",IF($FJ213=HP$169,1,IF($FJ213&lt;HP$169,INDEX($FK$170:$ID$241,HP$169,$FJ213),SUMPRODUCT(INDEX($FK$325:$ID$396,HP$169,1+SwaptionShift):INDEX($FK$325:$ID$396,HP$169,SwaptionMonthsToGo+SwaptionShift),INDEX($FK$245:$ID$316,$FJ213-HP$169,73-HP$169+SwaptionShift):INDEX($FK$245:$ID$316,$FJ213-HP$169,72-HP$169+SwaptionMonthsToGo+SwaptionShift))/SQRT(SUM(INDEX($FK368:$ID368,1+SwaptionShift):INDEX($FK368:$ID368,SwaptionMonthsToGo+SwaptionShift))*SUM(INDEX($FK$325:$ID$396,HP$169,1+SwaptionShift):INDEX($FK$325:$ID$396,HP$169,SwaptionMonthsToGo+SwaptionShift))))))</f>
        <v/>
      </c>
      <c r="HQ213" s="479" t="str">
        <f ca="1">IF(OR(HQ$169&lt;SwaptionFirstMonthPosition+1,$FJ213&lt;SwaptionFirstMonthPosition+1,HQ$169&gt;SwaptionFirstMonthPosition+SwaptionNumOfMonths+1,$FJ213&gt;SwaptionFirstMonthPosition+SwaptionNumOfMonths+1),"",IF($FJ213=HQ$169,1,IF($FJ213&lt;HQ$169,INDEX($FK$170:$ID$241,HQ$169,$FJ213),SUMPRODUCT(INDEX($FK$325:$ID$396,HQ$169,1+SwaptionShift):INDEX($FK$325:$ID$396,HQ$169,SwaptionMonthsToGo+SwaptionShift),INDEX($FK$245:$ID$316,$FJ213-HQ$169,73-HQ$169+SwaptionShift):INDEX($FK$245:$ID$316,$FJ213-HQ$169,72-HQ$169+SwaptionMonthsToGo+SwaptionShift))/SQRT(SUM(INDEX($FK368:$ID368,1+SwaptionShift):INDEX($FK368:$ID368,SwaptionMonthsToGo+SwaptionShift))*SUM(INDEX($FK$325:$ID$396,HQ$169,1+SwaptionShift):INDEX($FK$325:$ID$396,HQ$169,SwaptionMonthsToGo+SwaptionShift))))))</f>
        <v/>
      </c>
      <c r="HR213" s="479" t="str">
        <f ca="1">IF(OR(HR$169&lt;SwaptionFirstMonthPosition+1,$FJ213&lt;SwaptionFirstMonthPosition+1,HR$169&gt;SwaptionFirstMonthPosition+SwaptionNumOfMonths+1,$FJ213&gt;SwaptionFirstMonthPosition+SwaptionNumOfMonths+1),"",IF($FJ213=HR$169,1,IF($FJ213&lt;HR$169,INDEX($FK$170:$ID$241,HR$169,$FJ213),SUMPRODUCT(INDEX($FK$325:$ID$396,HR$169,1+SwaptionShift):INDEX($FK$325:$ID$396,HR$169,SwaptionMonthsToGo+SwaptionShift),INDEX($FK$245:$ID$316,$FJ213-HR$169,73-HR$169+SwaptionShift):INDEX($FK$245:$ID$316,$FJ213-HR$169,72-HR$169+SwaptionMonthsToGo+SwaptionShift))/SQRT(SUM(INDEX($FK368:$ID368,1+SwaptionShift):INDEX($FK368:$ID368,SwaptionMonthsToGo+SwaptionShift))*SUM(INDEX($FK$325:$ID$396,HR$169,1+SwaptionShift):INDEX($FK$325:$ID$396,HR$169,SwaptionMonthsToGo+SwaptionShift))))))</f>
        <v/>
      </c>
      <c r="HS213" s="479" t="str">
        <f ca="1">IF(OR(HS$169&lt;SwaptionFirstMonthPosition+1,$FJ213&lt;SwaptionFirstMonthPosition+1,HS$169&gt;SwaptionFirstMonthPosition+SwaptionNumOfMonths+1,$FJ213&gt;SwaptionFirstMonthPosition+SwaptionNumOfMonths+1),"",IF($FJ213=HS$169,1,IF($FJ213&lt;HS$169,INDEX($FK$170:$ID$241,HS$169,$FJ213),SUMPRODUCT(INDEX($FK$325:$ID$396,HS$169,1+SwaptionShift):INDEX($FK$325:$ID$396,HS$169,SwaptionMonthsToGo+SwaptionShift),INDEX($FK$245:$ID$316,$FJ213-HS$169,73-HS$169+SwaptionShift):INDEX($FK$245:$ID$316,$FJ213-HS$169,72-HS$169+SwaptionMonthsToGo+SwaptionShift))/SQRT(SUM(INDEX($FK368:$ID368,1+SwaptionShift):INDEX($FK368:$ID368,SwaptionMonthsToGo+SwaptionShift))*SUM(INDEX($FK$325:$ID$396,HS$169,1+SwaptionShift):INDEX($FK$325:$ID$396,HS$169,SwaptionMonthsToGo+SwaptionShift))))))</f>
        <v/>
      </c>
      <c r="HT213" s="479" t="str">
        <f ca="1">IF(OR(HT$169&lt;SwaptionFirstMonthPosition+1,$FJ213&lt;SwaptionFirstMonthPosition+1,HT$169&gt;SwaptionFirstMonthPosition+SwaptionNumOfMonths+1,$FJ213&gt;SwaptionFirstMonthPosition+SwaptionNumOfMonths+1),"",IF($FJ213=HT$169,1,IF($FJ213&lt;HT$169,INDEX($FK$170:$ID$241,HT$169,$FJ213),SUMPRODUCT(INDEX($FK$325:$ID$396,HT$169,1+SwaptionShift):INDEX($FK$325:$ID$396,HT$169,SwaptionMonthsToGo+SwaptionShift),INDEX($FK$245:$ID$316,$FJ213-HT$169,73-HT$169+SwaptionShift):INDEX($FK$245:$ID$316,$FJ213-HT$169,72-HT$169+SwaptionMonthsToGo+SwaptionShift))/SQRT(SUM(INDEX($FK368:$ID368,1+SwaptionShift):INDEX($FK368:$ID368,SwaptionMonthsToGo+SwaptionShift))*SUM(INDEX($FK$325:$ID$396,HT$169,1+SwaptionShift):INDEX($FK$325:$ID$396,HT$169,SwaptionMonthsToGo+SwaptionShift))))))</f>
        <v/>
      </c>
      <c r="HU213" s="479" t="str">
        <f ca="1">IF(OR(HU$169&lt;SwaptionFirstMonthPosition+1,$FJ213&lt;SwaptionFirstMonthPosition+1,HU$169&gt;SwaptionFirstMonthPosition+SwaptionNumOfMonths+1,$FJ213&gt;SwaptionFirstMonthPosition+SwaptionNumOfMonths+1),"",IF($FJ213=HU$169,1,IF($FJ213&lt;HU$169,INDEX($FK$170:$ID$241,HU$169,$FJ213),SUMPRODUCT(INDEX($FK$325:$ID$396,HU$169,1+SwaptionShift):INDEX($FK$325:$ID$396,HU$169,SwaptionMonthsToGo+SwaptionShift),INDEX($FK$245:$ID$316,$FJ213-HU$169,73-HU$169+SwaptionShift):INDEX($FK$245:$ID$316,$FJ213-HU$169,72-HU$169+SwaptionMonthsToGo+SwaptionShift))/SQRT(SUM(INDEX($FK368:$ID368,1+SwaptionShift):INDEX($FK368:$ID368,SwaptionMonthsToGo+SwaptionShift))*SUM(INDEX($FK$325:$ID$396,HU$169,1+SwaptionShift):INDEX($FK$325:$ID$396,HU$169,SwaptionMonthsToGo+SwaptionShift))))))</f>
        <v/>
      </c>
      <c r="HV213" s="479" t="str">
        <f ca="1">IF(OR(HV$169&lt;SwaptionFirstMonthPosition+1,$FJ213&lt;SwaptionFirstMonthPosition+1,HV$169&gt;SwaptionFirstMonthPosition+SwaptionNumOfMonths+1,$FJ213&gt;SwaptionFirstMonthPosition+SwaptionNumOfMonths+1),"",IF($FJ213=HV$169,1,IF($FJ213&lt;HV$169,INDEX($FK$170:$ID$241,HV$169,$FJ213),SUMPRODUCT(INDEX($FK$325:$ID$396,HV$169,1+SwaptionShift):INDEX($FK$325:$ID$396,HV$169,SwaptionMonthsToGo+SwaptionShift),INDEX($FK$245:$ID$316,$FJ213-HV$169,73-HV$169+SwaptionShift):INDEX($FK$245:$ID$316,$FJ213-HV$169,72-HV$169+SwaptionMonthsToGo+SwaptionShift))/SQRT(SUM(INDEX($FK368:$ID368,1+SwaptionShift):INDEX($FK368:$ID368,SwaptionMonthsToGo+SwaptionShift))*SUM(INDEX($FK$325:$ID$396,HV$169,1+SwaptionShift):INDEX($FK$325:$ID$396,HV$169,SwaptionMonthsToGo+SwaptionShift))))))</f>
        <v/>
      </c>
      <c r="HW213" s="479" t="str">
        <f ca="1">IF(OR(HW$169&lt;SwaptionFirstMonthPosition+1,$FJ213&lt;SwaptionFirstMonthPosition+1,HW$169&gt;SwaptionFirstMonthPosition+SwaptionNumOfMonths+1,$FJ213&gt;SwaptionFirstMonthPosition+SwaptionNumOfMonths+1),"",IF($FJ213=HW$169,1,IF($FJ213&lt;HW$169,INDEX($FK$170:$ID$241,HW$169,$FJ213),SUMPRODUCT(INDEX($FK$325:$ID$396,HW$169,1+SwaptionShift):INDEX($FK$325:$ID$396,HW$169,SwaptionMonthsToGo+SwaptionShift),INDEX($FK$245:$ID$316,$FJ213-HW$169,73-HW$169+SwaptionShift):INDEX($FK$245:$ID$316,$FJ213-HW$169,72-HW$169+SwaptionMonthsToGo+SwaptionShift))/SQRT(SUM(INDEX($FK368:$ID368,1+SwaptionShift):INDEX($FK368:$ID368,SwaptionMonthsToGo+SwaptionShift))*SUM(INDEX($FK$325:$ID$396,HW$169,1+SwaptionShift):INDEX($FK$325:$ID$396,HW$169,SwaptionMonthsToGo+SwaptionShift))))))</f>
        <v/>
      </c>
      <c r="HX213" s="479" t="str">
        <f ca="1">IF(OR(HX$169&lt;SwaptionFirstMonthPosition+1,$FJ213&lt;SwaptionFirstMonthPosition+1,HX$169&gt;SwaptionFirstMonthPosition+SwaptionNumOfMonths+1,$FJ213&gt;SwaptionFirstMonthPosition+SwaptionNumOfMonths+1),"",IF($FJ213=HX$169,1,IF($FJ213&lt;HX$169,INDEX($FK$170:$ID$241,HX$169,$FJ213),SUMPRODUCT(INDEX($FK$325:$ID$396,HX$169,1+SwaptionShift):INDEX($FK$325:$ID$396,HX$169,SwaptionMonthsToGo+SwaptionShift),INDEX($FK$245:$ID$316,$FJ213-HX$169,73-HX$169+SwaptionShift):INDEX($FK$245:$ID$316,$FJ213-HX$169,72-HX$169+SwaptionMonthsToGo+SwaptionShift))/SQRT(SUM(INDEX($FK368:$ID368,1+SwaptionShift):INDEX($FK368:$ID368,SwaptionMonthsToGo+SwaptionShift))*SUM(INDEX($FK$325:$ID$396,HX$169,1+SwaptionShift):INDEX($FK$325:$ID$396,HX$169,SwaptionMonthsToGo+SwaptionShift))))))</f>
        <v/>
      </c>
      <c r="HY213" s="479" t="str">
        <f ca="1">IF(OR(HY$169&lt;SwaptionFirstMonthPosition+1,$FJ213&lt;SwaptionFirstMonthPosition+1,HY$169&gt;SwaptionFirstMonthPosition+SwaptionNumOfMonths+1,$FJ213&gt;SwaptionFirstMonthPosition+SwaptionNumOfMonths+1),"",IF($FJ213=HY$169,1,IF($FJ213&lt;HY$169,INDEX($FK$170:$ID$241,HY$169,$FJ213),SUMPRODUCT(INDEX($FK$325:$ID$396,HY$169,1+SwaptionShift):INDEX($FK$325:$ID$396,HY$169,SwaptionMonthsToGo+SwaptionShift),INDEX($FK$245:$ID$316,$FJ213-HY$169,73-HY$169+SwaptionShift):INDEX($FK$245:$ID$316,$FJ213-HY$169,72-HY$169+SwaptionMonthsToGo+SwaptionShift))/SQRT(SUM(INDEX($FK368:$ID368,1+SwaptionShift):INDEX($FK368:$ID368,SwaptionMonthsToGo+SwaptionShift))*SUM(INDEX($FK$325:$ID$396,HY$169,1+SwaptionShift):INDEX($FK$325:$ID$396,HY$169,SwaptionMonthsToGo+SwaptionShift))))))</f>
        <v/>
      </c>
      <c r="HZ213" s="479" t="str">
        <f ca="1">IF(OR(HZ$169&lt;SwaptionFirstMonthPosition+1,$FJ213&lt;SwaptionFirstMonthPosition+1,HZ$169&gt;SwaptionFirstMonthPosition+SwaptionNumOfMonths+1,$FJ213&gt;SwaptionFirstMonthPosition+SwaptionNumOfMonths+1),"",IF($FJ213=HZ$169,1,IF($FJ213&lt;HZ$169,INDEX($FK$170:$ID$241,HZ$169,$FJ213),SUMPRODUCT(INDEX($FK$325:$ID$396,HZ$169,1+SwaptionShift):INDEX($FK$325:$ID$396,HZ$169,SwaptionMonthsToGo+SwaptionShift),INDEX($FK$245:$ID$316,$FJ213-HZ$169,73-HZ$169+SwaptionShift):INDEX($FK$245:$ID$316,$FJ213-HZ$169,72-HZ$169+SwaptionMonthsToGo+SwaptionShift))/SQRT(SUM(INDEX($FK368:$ID368,1+SwaptionShift):INDEX($FK368:$ID368,SwaptionMonthsToGo+SwaptionShift))*SUM(INDEX($FK$325:$ID$396,HZ$169,1+SwaptionShift):INDEX($FK$325:$ID$396,HZ$169,SwaptionMonthsToGo+SwaptionShift))))))</f>
        <v/>
      </c>
      <c r="IA213" s="479" t="str">
        <f ca="1">IF(OR(IA$169&lt;SwaptionFirstMonthPosition+1,$FJ213&lt;SwaptionFirstMonthPosition+1,IA$169&gt;SwaptionFirstMonthPosition+SwaptionNumOfMonths+1,$FJ213&gt;SwaptionFirstMonthPosition+SwaptionNumOfMonths+1),"",IF($FJ213=IA$169,1,IF($FJ213&lt;IA$169,INDEX($FK$170:$ID$241,IA$169,$FJ213),SUMPRODUCT(INDEX($FK$325:$ID$396,IA$169,1+SwaptionShift):INDEX($FK$325:$ID$396,IA$169,SwaptionMonthsToGo+SwaptionShift),INDEX($FK$245:$ID$316,$FJ213-IA$169,73-IA$169+SwaptionShift):INDEX($FK$245:$ID$316,$FJ213-IA$169,72-IA$169+SwaptionMonthsToGo+SwaptionShift))/SQRT(SUM(INDEX($FK368:$ID368,1+SwaptionShift):INDEX($FK368:$ID368,SwaptionMonthsToGo+SwaptionShift))*SUM(INDEX($FK$325:$ID$396,IA$169,1+SwaptionShift):INDEX($FK$325:$ID$396,IA$169,SwaptionMonthsToGo+SwaptionShift))))))</f>
        <v/>
      </c>
      <c r="IB213" s="479" t="str">
        <f ca="1">IF(OR(IB$169&lt;SwaptionFirstMonthPosition+1,$FJ213&lt;SwaptionFirstMonthPosition+1,IB$169&gt;SwaptionFirstMonthPosition+SwaptionNumOfMonths+1,$FJ213&gt;SwaptionFirstMonthPosition+SwaptionNumOfMonths+1),"",IF($FJ213=IB$169,1,IF($FJ213&lt;IB$169,INDEX($FK$170:$ID$241,IB$169,$FJ213),SUMPRODUCT(INDEX($FK$325:$ID$396,IB$169,1+SwaptionShift):INDEX($FK$325:$ID$396,IB$169,SwaptionMonthsToGo+SwaptionShift),INDEX($FK$245:$ID$316,$FJ213-IB$169,73-IB$169+SwaptionShift):INDEX($FK$245:$ID$316,$FJ213-IB$169,72-IB$169+SwaptionMonthsToGo+SwaptionShift))/SQRT(SUM(INDEX($FK368:$ID368,1+SwaptionShift):INDEX($FK368:$ID368,SwaptionMonthsToGo+SwaptionShift))*SUM(INDEX($FK$325:$ID$396,IB$169,1+SwaptionShift):INDEX($FK$325:$ID$396,IB$169,SwaptionMonthsToGo+SwaptionShift))))))</f>
        <v/>
      </c>
      <c r="IC213" s="479" t="str">
        <f ca="1">IF(OR(IC$169&lt;SwaptionFirstMonthPosition+1,$FJ213&lt;SwaptionFirstMonthPosition+1,IC$169&gt;SwaptionFirstMonthPosition+SwaptionNumOfMonths+1,$FJ213&gt;SwaptionFirstMonthPosition+SwaptionNumOfMonths+1),"",IF($FJ213=IC$169,1,IF($FJ213&lt;IC$169,INDEX($FK$170:$ID$241,IC$169,$FJ213),SUMPRODUCT(INDEX($FK$325:$ID$396,IC$169,1+SwaptionShift):INDEX($FK$325:$ID$396,IC$169,SwaptionMonthsToGo+SwaptionShift),INDEX($FK$245:$ID$316,$FJ213-IC$169,73-IC$169+SwaptionShift):INDEX($FK$245:$ID$316,$FJ213-IC$169,72-IC$169+SwaptionMonthsToGo+SwaptionShift))/SQRT(SUM(INDEX($FK368:$ID368,1+SwaptionShift):INDEX($FK368:$ID368,SwaptionMonthsToGo+SwaptionShift))*SUM(INDEX($FK$325:$ID$396,IC$169,1+SwaptionShift):INDEX($FK$325:$ID$396,IC$169,SwaptionMonthsToGo+SwaptionShift))))))</f>
        <v/>
      </c>
      <c r="ID213" s="678" t="str">
        <f ca="1">IF(OR(ID$169&lt;SwaptionFirstMonthPosition+1,$FJ213&lt;SwaptionFirstMonthPosition+1,ID$169&gt;SwaptionFirstMonthPosition+SwaptionNumOfMonths+1,$FJ213&gt;SwaptionFirstMonthPosition+SwaptionNumOfMonths+1),"",IF($FJ213=ID$169,1,IF($FJ213&lt;ID$169,INDEX($FK$170:$ID$241,ID$169,$FJ213),SUMPRODUCT(INDEX($FK$325:$ID$396,ID$169,1+SwaptionShift):INDEX($FK$325:$ID$396,ID$169,SwaptionMonthsToGo+SwaptionShift),INDEX($FK$245:$ID$316,$FJ213-ID$169,73-ID$169+SwaptionShift):INDEX($FK$245:$ID$316,$FJ213-ID$169,72-ID$169+SwaptionMonthsToGo+SwaptionShift))/SQRT(SUM(INDEX($FK368:$ID368,1+SwaptionShift):INDEX($FK368:$ID368,SwaptionMonthsToGo+SwaptionShift))*SUM(INDEX($FK$325:$ID$396,ID$169,1+SwaptionShift):INDEX($FK$325:$ID$396,ID$169,SwaptionMonthsToGo+SwaptionShift))))))</f>
        <v/>
      </c>
      <c r="IE213" s="250"/>
    </row>
    <row r="214" spans="8:239">
      <c r="H214" s="51">
        <f t="shared" ca="1" si="646"/>
        <v>0</v>
      </c>
      <c r="I214" s="379">
        <f t="shared" si="647"/>
        <v>42675</v>
      </c>
      <c r="J214" s="377"/>
      <c r="K214" s="104" t="s">
        <v>268</v>
      </c>
      <c r="L214" s="392">
        <f t="shared" si="648"/>
        <v>4.4250000000000025</v>
      </c>
      <c r="M214" s="171"/>
      <c r="N214" s="382">
        <v>0</v>
      </c>
      <c r="O214" s="171">
        <f t="shared" si="596"/>
        <v>0</v>
      </c>
      <c r="P214" s="377"/>
      <c r="Q214" s="104" t="s">
        <v>268</v>
      </c>
      <c r="R214" s="377">
        <f t="shared" ca="1" si="597"/>
        <v>3.2165313474626198</v>
      </c>
      <c r="S214" s="832">
        <f t="shared" si="564"/>
        <v>0.3600000000000001</v>
      </c>
      <c r="T214" s="831">
        <f t="shared" si="661"/>
        <v>0.99999999999999278</v>
      </c>
      <c r="U214" s="545">
        <f t="shared" si="662"/>
        <v>0.99999999999999978</v>
      </c>
      <c r="V214" s="389">
        <v>0</v>
      </c>
      <c r="W214" s="434">
        <f t="shared" si="598"/>
        <v>0</v>
      </c>
      <c r="X214" s="415">
        <f t="shared" si="599"/>
        <v>4.4761363636363658</v>
      </c>
      <c r="Y214" s="322">
        <f t="shared" si="600"/>
        <v>-1.1931</v>
      </c>
      <c r="Z214" s="322">
        <f t="shared" ca="1" si="601"/>
        <v>3.2830363636363655</v>
      </c>
      <c r="AA214" s="429">
        <f t="shared" si="628"/>
        <v>1.1931</v>
      </c>
      <c r="AB214" s="433">
        <f t="shared" ca="1" si="629"/>
        <v>1.1931</v>
      </c>
      <c r="AC214" s="229">
        <v>42663</v>
      </c>
      <c r="AD214" s="229">
        <v>42659</v>
      </c>
      <c r="AE214" s="229">
        <v>42658</v>
      </c>
      <c r="AF214" s="229">
        <v>42654</v>
      </c>
      <c r="AG214" s="249" t="s">
        <v>499</v>
      </c>
      <c r="AH214" s="247" t="s">
        <v>499</v>
      </c>
      <c r="AI214" s="146">
        <v>22</v>
      </c>
      <c r="AJ214" s="41">
        <v>14</v>
      </c>
      <c r="AK214" s="41">
        <v>8</v>
      </c>
      <c r="AL214" s="293">
        <v>22</v>
      </c>
      <c r="AM214" s="41">
        <v>10</v>
      </c>
      <c r="AN214" s="147">
        <v>12</v>
      </c>
      <c r="AO214" s="374"/>
      <c r="AP214" s="153">
        <f t="shared" ca="1" si="649"/>
        <v>1</v>
      </c>
      <c r="AQ214" s="374"/>
      <c r="AR214" s="153">
        <f t="shared" ca="1" si="663"/>
        <v>1</v>
      </c>
      <c r="AS214" s="272">
        <f t="shared" si="602"/>
        <v>0</v>
      </c>
      <c r="AT214" s="157">
        <f t="shared" si="650"/>
        <v>0</v>
      </c>
      <c r="AU214" s="157">
        <f t="shared" si="630"/>
        <v>0</v>
      </c>
      <c r="AV214" s="271">
        <f t="shared" ref="AV214:AV260" ca="1" si="670">SQRT(MAX(0.000000000001,(O214^2*BH214-S214^2*(BH214-BH213))/BH213))</f>
        <v>9.9999999999999995E-7</v>
      </c>
      <c r="AW214" s="158" t="str">
        <f t="shared" ca="1" si="583"/>
        <v/>
      </c>
      <c r="AX214" s="157">
        <f t="shared" ca="1" si="664"/>
        <v>3.6438910547686505E-5</v>
      </c>
      <c r="AY214" s="157">
        <f t="shared" ca="1" si="665"/>
        <v>7.7352181593183789E-6</v>
      </c>
      <c r="AZ214" s="157">
        <f t="shared" ca="1" si="666"/>
        <v>1.9868599141938407E-7</v>
      </c>
      <c r="BA214" s="157">
        <f t="shared" ca="1" si="667"/>
        <v>2.4835748927423009E-8</v>
      </c>
      <c r="BB214" s="157">
        <f t="shared" ca="1" si="668"/>
        <v>7.5415636129257709E-11</v>
      </c>
      <c r="BC214" s="157">
        <f t="shared" ca="1" si="669"/>
        <v>1.2336288495718345E-12</v>
      </c>
      <c r="BD214" s="151">
        <f t="shared" ca="1" si="603"/>
        <v>0</v>
      </c>
      <c r="BE214" s="152">
        <f t="shared" ca="1" si="604"/>
        <v>0</v>
      </c>
      <c r="BF214" s="40">
        <f t="shared" si="605"/>
        <v>2016</v>
      </c>
      <c r="BG214" s="144">
        <f t="shared" si="606"/>
        <v>11</v>
      </c>
      <c r="BH214" s="145">
        <f t="shared" ca="1" si="607"/>
        <v>5914</v>
      </c>
      <c r="BI214" s="313">
        <f t="shared" ca="1" si="608"/>
        <v>16.23545516769336</v>
      </c>
      <c r="BJ214" s="42">
        <f t="shared" ca="1" si="631"/>
        <v>16.285980959492253</v>
      </c>
      <c r="BK214" s="42">
        <f t="shared" ca="1" si="632"/>
        <v>16.288718810279384</v>
      </c>
      <c r="BL214" s="42">
        <f t="shared" ca="1" si="609"/>
        <v>16.314852840520192</v>
      </c>
      <c r="BM214" s="150" t="e">
        <f t="shared" ca="1" si="633"/>
        <v>#DIV/0!</v>
      </c>
      <c r="BN214" s="42" t="e">
        <f t="shared" ca="1" si="634"/>
        <v>#DIV/0!</v>
      </c>
      <c r="BO214" s="293">
        <f t="shared" si="610"/>
        <v>22</v>
      </c>
      <c r="BP214" s="41">
        <f t="shared" si="611"/>
        <v>14</v>
      </c>
      <c r="BQ214" s="41">
        <f t="shared" si="612"/>
        <v>8</v>
      </c>
      <c r="BR214" s="305" t="str">
        <f t="shared" ca="1" si="635"/>
        <v/>
      </c>
      <c r="BS214" s="305" t="str">
        <f t="shared" ca="1" si="613"/>
        <v/>
      </c>
      <c r="BT214" s="307" t="str">
        <f t="shared" ca="1" si="614"/>
        <v/>
      </c>
      <c r="BU214" s="161" t="str">
        <f t="shared" ca="1" si="636"/>
        <v/>
      </c>
      <c r="BV214" s="161" t="str">
        <f t="shared" ca="1" si="637"/>
        <v/>
      </c>
      <c r="BW214" s="308" t="str">
        <f t="shared" ca="1" si="638"/>
        <v/>
      </c>
      <c r="BX214" s="309" t="str">
        <f t="shared" ca="1" si="639"/>
        <v/>
      </c>
      <c r="BY214" s="308" t="str">
        <f t="shared" ca="1" si="615"/>
        <v/>
      </c>
      <c r="BZ214" s="309" t="str">
        <f t="shared" ca="1" si="616"/>
        <v/>
      </c>
      <c r="CA214" s="154" t="str">
        <f t="shared" ca="1" si="640"/>
        <v/>
      </c>
      <c r="CB214" s="154" t="str">
        <f t="shared" ca="1" si="641"/>
        <v/>
      </c>
      <c r="CC214" s="154" t="str">
        <f t="shared" ca="1" si="642"/>
        <v/>
      </c>
      <c r="CD214" s="154" t="str">
        <f t="shared" ca="1" si="643"/>
        <v/>
      </c>
      <c r="CE214" s="310">
        <v>1</v>
      </c>
      <c r="CF214" s="162">
        <f ca="1">IF(BD214,_xll.xCrudeAPO(BU214,BV214,CA214,CB214,S215,S216,BI214,BL214,BP214,BQ214,0,Strike1,AO214,CE214,0,BL214,IF(OptControl=4,0,1),0,1),0)</f>
        <v>0</v>
      </c>
      <c r="CG214" s="163">
        <f ca="1">IF(BD214,_xll.xCrudeAPO(BU214,BV214,CA214,CB214,S215,S216,BI214,BL214,BP214,BQ214,0,Strike1,AO214,CE214,0,BL214,IF(OptControl=4,0,1),1,1)+_xll.xCrudeAPO(BU214,BV214,CA214,CB214,S215,S216,BI214,BL214,BP214,BQ214,0,Strike1,AO214,CE214,0,BL214,IF(OptControl=4,0,1),1,2)+IF(OR(VolSkewFlag=2,ABS(BS214)&lt;0.0001),0,IF(BS214&gt;0,-1,1)*CH214*Strike1/BR214^2*BY214/10%),0)</f>
        <v>0</v>
      </c>
      <c r="CH214" s="163">
        <f ca="1">IF(BD214,(_xll.xCrudeAPO(BU214,BV214,CA214,CB214,S215,S216,BI214,BL214,BP214,BQ214,0,Strike1,AO214,CE214,0,BL214,IF(OptControl=4,0,1),3,1)+_xll.xCrudeAPO(BU214,BV214,CA214,CB214,S215,S216,BI214,BL214,BP214,BQ214,0,Strike1,AO214,CE214,0,BL214,IF(OptControl=4,0,1),3,2))/100,0)</f>
        <v>0</v>
      </c>
      <c r="CI214" s="163">
        <f ca="1">IF(BD214,_xll.xCrudeAPO(BU214,BV214,CA214,CB214,S215,S216,BI214-DaysForThetaCalculation/365.25,BL214-DaysForThetaCalculation/365.25,BP214,BQ214,0,Strike1,AO214,CE214,0,BL214,IF(OptControl=4,0,1),0,1)-_xll.xCrudeAPO(BU214,BV214,CA214,CB214,S215,S216,BI214,BL214,BP214,BQ214,0,Strike1,AO214,CE214,0,BL214,IF(OptControl=4,0,1),0,1),0)</f>
        <v>0</v>
      </c>
      <c r="CJ214" s="311">
        <f ca="1">IF(BD214,_xll.xCrudeAPO(BU214,BV214,CC214,CD214,S215,S216,BI214,BL214,BP214,BQ214,0,Strike2,AO214,CE214,0,BL214,IF(OptControl=3,1,0),0,1),0)</f>
        <v>0</v>
      </c>
      <c r="CK214" s="163">
        <f ca="1">IF(BD214,_xll.xCrudeAPO(BU214,BV214,CC214,CD214,S215,S216,BI214,BL214,BP214,BQ214,0,Strike2,AO214,CE214,0,BL214,IF(OptControl=3,1,0),1,1)+_xll.xCrudeAPO(BU214,BV214,CC214,CD214,S215,S216,BI214,BL214,BP214,BQ214,0,Strike2,AO214,CE214,0,BL214,IF(OptControl=3,1,0),1,2)+IF(OR(VolSkewFlag=2,ABS(BT214)&lt;0.0001),0,IF(BT214&gt;0,-1,1)*CL214*Strike2/BR214^2*BZ214/10%),0)</f>
        <v>0</v>
      </c>
      <c r="CL214" s="163">
        <f ca="1">IF(BD214,(_xll.xCrudeAPO(BU214,BV214,CC214,CD214,S215,S216,BI214,BL214,BP214,BQ214,0,Strike2,AO214,CE214,0,BL214,IF(OptControl=3,1,0),3,1)+_xll.xCrudeAPO(BU214,BV214,CC214,CD214,S215,S216,BI214,BL214,BP214,BQ214,0,Strike2,AO214,CE214,0,BL214,IF(OptControl=3,1,0),3,2))/100,0)</f>
        <v>0</v>
      </c>
      <c r="CM214" s="164">
        <f ca="1">IF(BD214,_xll.xCrudeAPO(BU214,BV214,CC214,CD214,S215,S216,BI214-DaysForThetaCalculation/365.25,BL214-DaysForThetaCalculation/365.25,BP214,BQ214,0,Strike2,AO214,CE214,0,BL214,IF(OptControl=3,1,0),0,1)-_xll.xCrudeAPO(BU214,BV214,CC214,CD214,S215,S216,BI214,BL214,BP214,BQ214,0,Strike2,AO214,CE214,0,BL214,IF(OptControl=3,1,0),0,1),0)</f>
        <v>0</v>
      </c>
      <c r="CN214" s="53"/>
      <c r="CO214" s="796" t="str">
        <f t="shared" ca="1" si="651"/>
        <v/>
      </c>
      <c r="CP214" s="800" t="str">
        <f t="shared" ca="1" si="652"/>
        <v/>
      </c>
      <c r="CQ214" s="797" t="str">
        <f t="shared" ca="1" si="653"/>
        <v/>
      </c>
      <c r="CR214" s="797" t="str">
        <f t="shared" ca="1" si="654"/>
        <v/>
      </c>
      <c r="CS214" s="797" t="str">
        <f t="shared" ca="1" si="655"/>
        <v/>
      </c>
      <c r="CT214" s="797" t="str">
        <f t="shared" ca="1" si="656"/>
        <v/>
      </c>
      <c r="CU214" s="798" t="str">
        <f t="shared" ca="1" si="657"/>
        <v/>
      </c>
      <c r="CV214" s="799" t="str">
        <f t="shared" ca="1" si="658"/>
        <v/>
      </c>
      <c r="CW214" s="799" t="str">
        <f t="shared" ca="1" si="659"/>
        <v/>
      </c>
      <c r="CX214" s="163">
        <f ca="1">IF(BD214,_xll.EURO(CP214,Strike1,AO214,AO214,CV214,CO214,IF(OptControl=4,0,1),0),0)</f>
        <v>0</v>
      </c>
      <c r="CY214" s="163">
        <f ca="1">IF(BD214,_xll.EURO(CP214,Strike1,AO214,AO214,CV214,CO214,IF(OptControl=4,0,1),1)+IF(OR(VolSkewFlag=2,ABS(CQ214)&lt;0.0001),0,IF(CQ214&gt;0,-1,1)*CZ214*100*Strike1/CP214^2*CS214/10%),0)</f>
        <v>0</v>
      </c>
      <c r="CZ214" s="163">
        <f ca="1">IF(BD214,_xll.EURO(CP214,Strike1,AO214,AO214,CV214,CO214,IF(OptControl=4,0,1),3)/100,0)</f>
        <v>0</v>
      </c>
      <c r="DA214" s="163">
        <f ca="1">IF(BD214,_xll.EURO(CP214,Strike1,AO214,AO214,CV214,CO214,IF(OptControl=4,0,1),0)-_xll.EURO(CP214,Strike1,AO214,AO214,CV214,CO214-1,IF(OptControl=4,0,1),0),0)</f>
        <v>0</v>
      </c>
      <c r="DB214" s="163">
        <f ca="1">IF(BD214,_xll.EURO(CP214,Strike2,AO214,AO214,CW214,CO214,IF(OptControl=3,1,0),0),0)</f>
        <v>0</v>
      </c>
      <c r="DC214" s="163">
        <f ca="1">IF(BD214,_xll.EURO(CP214,Strike2,AO214,AO214,CW214,CO214,IF(OptControl=3,1,0),1)+IF(OR(VolSkewFlag=2,ABS(CR214)&lt;0.0001),0,IF(CR214&gt;0,-1,1)*DD214*100*Strike2/CP214^2*CT214/10%),0)</f>
        <v>0</v>
      </c>
      <c r="DD214" s="163">
        <f ca="1">IF(BD214,_xll.EURO(CP214,Strike2,AO214,AO214,CW214,CO214,IF(OptControl=3,1,0),3)/100,0)</f>
        <v>0</v>
      </c>
      <c r="DE214" s="164">
        <f ca="1">IF(BD214,_xll.EURO(CP214,Strike2,AO214,AO214,CW214,CO214,IF(OptControl=3,1,0),0)-_xll.EURO(CP214,Strike2,AO214,AO214,CW214,CO214-1,IF(OptControl=3,1,0),0),0)</f>
        <v>0</v>
      </c>
      <c r="DG214" s="667">
        <f t="shared" ca="1" si="660"/>
        <v>42461</v>
      </c>
      <c r="DH214" s="475">
        <v>23.860000000000085</v>
      </c>
      <c r="DI214" s="665">
        <v>23.926666666666751</v>
      </c>
      <c r="DJ214" s="666">
        <f t="shared" ca="1" si="617"/>
        <v>42461</v>
      </c>
      <c r="DK214" s="475">
        <v>22.666205410255291</v>
      </c>
      <c r="DL214" s="665">
        <v>22.635166666666752</v>
      </c>
      <c r="DM214" s="667">
        <f t="shared" ca="1" si="618"/>
        <v>42461</v>
      </c>
      <c r="DN214" s="668">
        <f t="shared" si="619"/>
        <v>22.716205410255291</v>
      </c>
      <c r="DO214" s="667">
        <f t="shared" ca="1" si="620"/>
        <v>42461</v>
      </c>
      <c r="DP214" s="579">
        <f t="shared" si="621"/>
        <v>22.635166666666752</v>
      </c>
      <c r="DQ214" s="821">
        <v>0</v>
      </c>
      <c r="DR214" s="666">
        <f t="shared" ca="1" si="622"/>
        <v>42461</v>
      </c>
      <c r="DS214" s="669">
        <v>0.10819999999999803</v>
      </c>
      <c r="DT214" s="606">
        <v>0.10739999999999802</v>
      </c>
      <c r="DU214" s="666">
        <f t="shared" ca="1" si="623"/>
        <v>42461</v>
      </c>
      <c r="DV214" s="669">
        <v>0.10819999999999803</v>
      </c>
      <c r="DW214" s="606">
        <v>0.10739999999999802</v>
      </c>
      <c r="DX214" s="667">
        <f t="shared" ca="1" si="624"/>
        <v>42461</v>
      </c>
      <c r="DY214" s="606">
        <v>0.35</v>
      </c>
      <c r="DZ214" s="667">
        <f t="shared" ca="1" si="625"/>
        <v>42461</v>
      </c>
      <c r="EA214" s="606">
        <f t="shared" si="626"/>
        <v>0.10739999999999802</v>
      </c>
      <c r="EB214" s="1"/>
      <c r="EC214" s="118" t="str">
        <f t="shared" ca="1" si="627"/>
        <v/>
      </c>
      <c r="ED214" s="119" t="str">
        <f t="shared" ca="1" si="644"/>
        <v/>
      </c>
      <c r="EE214" s="112" t="str">
        <f t="shared" ca="1" si="645"/>
        <v/>
      </c>
      <c r="EF214" s="120">
        <f ca="1">IF(BD214,_xll.xASN(BR214,Strike1,AO214,ED214,0,BO214,0,BI214,BL214,IF(OptControl=4,0,1),0),0)</f>
        <v>0</v>
      </c>
      <c r="EG214" s="111">
        <f ca="1">IF(BD214,_xll.xASN(BR214,Strike2,AO214,EE214,0,BO214,0,BI214,BL214,IF(OptControl=3,1,0),0),0)</f>
        <v>0</v>
      </c>
      <c r="EL214" s="55"/>
      <c r="EM214" s="1"/>
      <c r="EN214" s="106"/>
      <c r="EO214" s="106"/>
      <c r="EP214" s="1"/>
      <c r="EQ214" s="683" t="s">
        <v>428</v>
      </c>
      <c r="ES214" s="55"/>
      <c r="EU214" s="107"/>
      <c r="FJ214" s="673">
        <v>45</v>
      </c>
      <c r="FK214" s="479" t="str">
        <f ca="1">IF(OR(FK$169&lt;SwaptionFirstMonthPosition+1,$FJ214&lt;SwaptionFirstMonthPosition+1,FK$169&gt;SwaptionFirstMonthPosition+SwaptionNumOfMonths+1,$FJ214&gt;SwaptionFirstMonthPosition+SwaptionNumOfMonths+1),"",IF($FJ214=FK$169,1,IF($FJ214&lt;FK$169,INDEX($FK$170:$ID$241,FK$169,$FJ214),SUMPRODUCT(INDEX($FK$325:$ID$396,FK$169,1+SwaptionShift):INDEX($FK$325:$ID$396,FK$169,SwaptionMonthsToGo+SwaptionShift),INDEX($FK$245:$ID$316,$FJ214-FK$169,73-FK$169+SwaptionShift):INDEX($FK$245:$ID$316,$FJ214-FK$169,72-FK$169+SwaptionMonthsToGo+SwaptionShift))/SQRT(SUM(INDEX($FK369:$ID369,1+SwaptionShift):INDEX($FK369:$ID369,SwaptionMonthsToGo+SwaptionShift))*SUM(INDEX($FK$325:$ID$396,FK$169,1+SwaptionShift):INDEX($FK$325:$ID$396,FK$169,SwaptionMonthsToGo+SwaptionShift))))))</f>
        <v/>
      </c>
      <c r="FL214" s="479" t="str">
        <f ca="1">IF(OR(FL$169&lt;SwaptionFirstMonthPosition+1,$FJ214&lt;SwaptionFirstMonthPosition+1,FL$169&gt;SwaptionFirstMonthPosition+SwaptionNumOfMonths+1,$FJ214&gt;SwaptionFirstMonthPosition+SwaptionNumOfMonths+1),"",IF($FJ214=FL$169,1,IF($FJ214&lt;FL$169,INDEX($FK$170:$ID$241,FL$169,$FJ214),SUMPRODUCT(INDEX($FK$325:$ID$396,FL$169,1+SwaptionShift):INDEX($FK$325:$ID$396,FL$169,SwaptionMonthsToGo+SwaptionShift),INDEX($FK$245:$ID$316,$FJ214-FL$169,73-FL$169+SwaptionShift):INDEX($FK$245:$ID$316,$FJ214-FL$169,72-FL$169+SwaptionMonthsToGo+SwaptionShift))/SQRT(SUM(INDEX($FK369:$ID369,1+SwaptionShift):INDEX($FK369:$ID369,SwaptionMonthsToGo+SwaptionShift))*SUM(INDEX($FK$325:$ID$396,FL$169,1+SwaptionShift):INDEX($FK$325:$ID$396,FL$169,SwaptionMonthsToGo+SwaptionShift))))))</f>
        <v/>
      </c>
      <c r="FM214" s="479" t="str">
        <f ca="1">IF(OR(FM$169&lt;SwaptionFirstMonthPosition+1,$FJ214&lt;SwaptionFirstMonthPosition+1,FM$169&gt;SwaptionFirstMonthPosition+SwaptionNumOfMonths+1,$FJ214&gt;SwaptionFirstMonthPosition+SwaptionNumOfMonths+1),"",IF($FJ214=FM$169,1,IF($FJ214&lt;FM$169,INDEX($FK$170:$ID$241,FM$169,$FJ214),SUMPRODUCT(INDEX($FK$325:$ID$396,FM$169,1+SwaptionShift):INDEX($FK$325:$ID$396,FM$169,SwaptionMonthsToGo+SwaptionShift),INDEX($FK$245:$ID$316,$FJ214-FM$169,73-FM$169+SwaptionShift):INDEX($FK$245:$ID$316,$FJ214-FM$169,72-FM$169+SwaptionMonthsToGo+SwaptionShift))/SQRT(SUM(INDEX($FK369:$ID369,1+SwaptionShift):INDEX($FK369:$ID369,SwaptionMonthsToGo+SwaptionShift))*SUM(INDEX($FK$325:$ID$396,FM$169,1+SwaptionShift):INDEX($FK$325:$ID$396,FM$169,SwaptionMonthsToGo+SwaptionShift))))))</f>
        <v/>
      </c>
      <c r="FN214" s="479" t="str">
        <f ca="1">IF(OR(FN$169&lt;SwaptionFirstMonthPosition+1,$FJ214&lt;SwaptionFirstMonthPosition+1,FN$169&gt;SwaptionFirstMonthPosition+SwaptionNumOfMonths+1,$FJ214&gt;SwaptionFirstMonthPosition+SwaptionNumOfMonths+1),"",IF($FJ214=FN$169,1,IF($FJ214&lt;FN$169,INDEX($FK$170:$ID$241,FN$169,$FJ214),SUMPRODUCT(INDEX($FK$325:$ID$396,FN$169,1+SwaptionShift):INDEX($FK$325:$ID$396,FN$169,SwaptionMonthsToGo+SwaptionShift),INDEX($FK$245:$ID$316,$FJ214-FN$169,73-FN$169+SwaptionShift):INDEX($FK$245:$ID$316,$FJ214-FN$169,72-FN$169+SwaptionMonthsToGo+SwaptionShift))/SQRT(SUM(INDEX($FK369:$ID369,1+SwaptionShift):INDEX($FK369:$ID369,SwaptionMonthsToGo+SwaptionShift))*SUM(INDEX($FK$325:$ID$396,FN$169,1+SwaptionShift):INDEX($FK$325:$ID$396,FN$169,SwaptionMonthsToGo+SwaptionShift))))))</f>
        <v/>
      </c>
      <c r="FO214" s="479" t="str">
        <f ca="1">IF(OR(FO$169&lt;SwaptionFirstMonthPosition+1,$FJ214&lt;SwaptionFirstMonthPosition+1,FO$169&gt;SwaptionFirstMonthPosition+SwaptionNumOfMonths+1,$FJ214&gt;SwaptionFirstMonthPosition+SwaptionNumOfMonths+1),"",IF($FJ214=FO$169,1,IF($FJ214&lt;FO$169,INDEX($FK$170:$ID$241,FO$169,$FJ214),SUMPRODUCT(INDEX($FK$325:$ID$396,FO$169,1+SwaptionShift):INDEX($FK$325:$ID$396,FO$169,SwaptionMonthsToGo+SwaptionShift),INDEX($FK$245:$ID$316,$FJ214-FO$169,73-FO$169+SwaptionShift):INDEX($FK$245:$ID$316,$FJ214-FO$169,72-FO$169+SwaptionMonthsToGo+SwaptionShift))/SQRT(SUM(INDEX($FK369:$ID369,1+SwaptionShift):INDEX($FK369:$ID369,SwaptionMonthsToGo+SwaptionShift))*SUM(INDEX($FK$325:$ID$396,FO$169,1+SwaptionShift):INDEX($FK$325:$ID$396,FO$169,SwaptionMonthsToGo+SwaptionShift))))))</f>
        <v/>
      </c>
      <c r="FP214" s="479" t="str">
        <f ca="1">IF(OR(FP$169&lt;SwaptionFirstMonthPosition+1,$FJ214&lt;SwaptionFirstMonthPosition+1,FP$169&gt;SwaptionFirstMonthPosition+SwaptionNumOfMonths+1,$FJ214&gt;SwaptionFirstMonthPosition+SwaptionNumOfMonths+1),"",IF($FJ214=FP$169,1,IF($FJ214&lt;FP$169,INDEX($FK$170:$ID$241,FP$169,$FJ214),SUMPRODUCT(INDEX($FK$325:$ID$396,FP$169,1+SwaptionShift):INDEX($FK$325:$ID$396,FP$169,SwaptionMonthsToGo+SwaptionShift),INDEX($FK$245:$ID$316,$FJ214-FP$169,73-FP$169+SwaptionShift):INDEX($FK$245:$ID$316,$FJ214-FP$169,72-FP$169+SwaptionMonthsToGo+SwaptionShift))/SQRT(SUM(INDEX($FK369:$ID369,1+SwaptionShift):INDEX($FK369:$ID369,SwaptionMonthsToGo+SwaptionShift))*SUM(INDEX($FK$325:$ID$396,FP$169,1+SwaptionShift):INDEX($FK$325:$ID$396,FP$169,SwaptionMonthsToGo+SwaptionShift))))))</f>
        <v/>
      </c>
      <c r="FQ214" s="479" t="str">
        <f ca="1">IF(OR(FQ$169&lt;SwaptionFirstMonthPosition+1,$FJ214&lt;SwaptionFirstMonthPosition+1,FQ$169&gt;SwaptionFirstMonthPosition+SwaptionNumOfMonths+1,$FJ214&gt;SwaptionFirstMonthPosition+SwaptionNumOfMonths+1),"",IF($FJ214=FQ$169,1,IF($FJ214&lt;FQ$169,INDEX($FK$170:$ID$241,FQ$169,$FJ214),SUMPRODUCT(INDEX($FK$325:$ID$396,FQ$169,1+SwaptionShift):INDEX($FK$325:$ID$396,FQ$169,SwaptionMonthsToGo+SwaptionShift),INDEX($FK$245:$ID$316,$FJ214-FQ$169,73-FQ$169+SwaptionShift):INDEX($FK$245:$ID$316,$FJ214-FQ$169,72-FQ$169+SwaptionMonthsToGo+SwaptionShift))/SQRT(SUM(INDEX($FK369:$ID369,1+SwaptionShift):INDEX($FK369:$ID369,SwaptionMonthsToGo+SwaptionShift))*SUM(INDEX($FK$325:$ID$396,FQ$169,1+SwaptionShift):INDEX($FK$325:$ID$396,FQ$169,SwaptionMonthsToGo+SwaptionShift))))))</f>
        <v/>
      </c>
      <c r="FR214" s="479" t="str">
        <f ca="1">IF(OR(FR$169&lt;SwaptionFirstMonthPosition+1,$FJ214&lt;SwaptionFirstMonthPosition+1,FR$169&gt;SwaptionFirstMonthPosition+SwaptionNumOfMonths+1,$FJ214&gt;SwaptionFirstMonthPosition+SwaptionNumOfMonths+1),"",IF($FJ214=FR$169,1,IF($FJ214&lt;FR$169,INDEX($FK$170:$ID$241,FR$169,$FJ214),SUMPRODUCT(INDEX($FK$325:$ID$396,FR$169,1+SwaptionShift):INDEX($FK$325:$ID$396,FR$169,SwaptionMonthsToGo+SwaptionShift),INDEX($FK$245:$ID$316,$FJ214-FR$169,73-FR$169+SwaptionShift):INDEX($FK$245:$ID$316,$FJ214-FR$169,72-FR$169+SwaptionMonthsToGo+SwaptionShift))/SQRT(SUM(INDEX($FK369:$ID369,1+SwaptionShift):INDEX($FK369:$ID369,SwaptionMonthsToGo+SwaptionShift))*SUM(INDEX($FK$325:$ID$396,FR$169,1+SwaptionShift):INDEX($FK$325:$ID$396,FR$169,SwaptionMonthsToGo+SwaptionShift))))))</f>
        <v/>
      </c>
      <c r="FS214" s="479" t="str">
        <f ca="1">IF(OR(FS$169&lt;SwaptionFirstMonthPosition+1,$FJ214&lt;SwaptionFirstMonthPosition+1,FS$169&gt;SwaptionFirstMonthPosition+SwaptionNumOfMonths+1,$FJ214&gt;SwaptionFirstMonthPosition+SwaptionNumOfMonths+1),"",IF($FJ214=FS$169,1,IF($FJ214&lt;FS$169,INDEX($FK$170:$ID$241,FS$169,$FJ214),SUMPRODUCT(INDEX($FK$325:$ID$396,FS$169,1+SwaptionShift):INDEX($FK$325:$ID$396,FS$169,SwaptionMonthsToGo+SwaptionShift),INDEX($FK$245:$ID$316,$FJ214-FS$169,73-FS$169+SwaptionShift):INDEX($FK$245:$ID$316,$FJ214-FS$169,72-FS$169+SwaptionMonthsToGo+SwaptionShift))/SQRT(SUM(INDEX($FK369:$ID369,1+SwaptionShift):INDEX($FK369:$ID369,SwaptionMonthsToGo+SwaptionShift))*SUM(INDEX($FK$325:$ID$396,FS$169,1+SwaptionShift):INDEX($FK$325:$ID$396,FS$169,SwaptionMonthsToGo+SwaptionShift))))))</f>
        <v/>
      </c>
      <c r="FT214" s="479" t="str">
        <f ca="1">IF(OR(FT$169&lt;SwaptionFirstMonthPosition+1,$FJ214&lt;SwaptionFirstMonthPosition+1,FT$169&gt;SwaptionFirstMonthPosition+SwaptionNumOfMonths+1,$FJ214&gt;SwaptionFirstMonthPosition+SwaptionNumOfMonths+1),"",IF($FJ214=FT$169,1,IF($FJ214&lt;FT$169,INDEX($FK$170:$ID$241,FT$169,$FJ214),SUMPRODUCT(INDEX($FK$325:$ID$396,FT$169,1+SwaptionShift):INDEX($FK$325:$ID$396,FT$169,SwaptionMonthsToGo+SwaptionShift),INDEX($FK$245:$ID$316,$FJ214-FT$169,73-FT$169+SwaptionShift):INDEX($FK$245:$ID$316,$FJ214-FT$169,72-FT$169+SwaptionMonthsToGo+SwaptionShift))/SQRT(SUM(INDEX($FK369:$ID369,1+SwaptionShift):INDEX($FK369:$ID369,SwaptionMonthsToGo+SwaptionShift))*SUM(INDEX($FK$325:$ID$396,FT$169,1+SwaptionShift):INDEX($FK$325:$ID$396,FT$169,SwaptionMonthsToGo+SwaptionShift))))))</f>
        <v/>
      </c>
      <c r="FU214" s="479" t="str">
        <f ca="1">IF(OR(FU$169&lt;SwaptionFirstMonthPosition+1,$FJ214&lt;SwaptionFirstMonthPosition+1,FU$169&gt;SwaptionFirstMonthPosition+SwaptionNumOfMonths+1,$FJ214&gt;SwaptionFirstMonthPosition+SwaptionNumOfMonths+1),"",IF($FJ214=FU$169,1,IF($FJ214&lt;FU$169,INDEX($FK$170:$ID$241,FU$169,$FJ214),SUMPRODUCT(INDEX($FK$325:$ID$396,FU$169,1+SwaptionShift):INDEX($FK$325:$ID$396,FU$169,SwaptionMonthsToGo+SwaptionShift),INDEX($FK$245:$ID$316,$FJ214-FU$169,73-FU$169+SwaptionShift):INDEX($FK$245:$ID$316,$FJ214-FU$169,72-FU$169+SwaptionMonthsToGo+SwaptionShift))/SQRT(SUM(INDEX($FK369:$ID369,1+SwaptionShift):INDEX($FK369:$ID369,SwaptionMonthsToGo+SwaptionShift))*SUM(INDEX($FK$325:$ID$396,FU$169,1+SwaptionShift):INDEX($FK$325:$ID$396,FU$169,SwaptionMonthsToGo+SwaptionShift))))))</f>
        <v/>
      </c>
      <c r="FV214" s="479" t="str">
        <f ca="1">IF(OR(FV$169&lt;SwaptionFirstMonthPosition+1,$FJ214&lt;SwaptionFirstMonthPosition+1,FV$169&gt;SwaptionFirstMonthPosition+SwaptionNumOfMonths+1,$FJ214&gt;SwaptionFirstMonthPosition+SwaptionNumOfMonths+1),"",IF($FJ214=FV$169,1,IF($FJ214&lt;FV$169,INDEX($FK$170:$ID$241,FV$169,$FJ214),SUMPRODUCT(INDEX($FK$325:$ID$396,FV$169,1+SwaptionShift):INDEX($FK$325:$ID$396,FV$169,SwaptionMonthsToGo+SwaptionShift),INDEX($FK$245:$ID$316,$FJ214-FV$169,73-FV$169+SwaptionShift):INDEX($FK$245:$ID$316,$FJ214-FV$169,72-FV$169+SwaptionMonthsToGo+SwaptionShift))/SQRT(SUM(INDEX($FK369:$ID369,1+SwaptionShift):INDEX($FK369:$ID369,SwaptionMonthsToGo+SwaptionShift))*SUM(INDEX($FK$325:$ID$396,FV$169,1+SwaptionShift):INDEX($FK$325:$ID$396,FV$169,SwaptionMonthsToGo+SwaptionShift))))))</f>
        <v/>
      </c>
      <c r="FW214" s="479" t="str">
        <f ca="1">IF(OR(FW$169&lt;SwaptionFirstMonthPosition+1,$FJ214&lt;SwaptionFirstMonthPosition+1,FW$169&gt;SwaptionFirstMonthPosition+SwaptionNumOfMonths+1,$FJ214&gt;SwaptionFirstMonthPosition+SwaptionNumOfMonths+1),"",IF($FJ214=FW$169,1,IF($FJ214&lt;FW$169,INDEX($FK$170:$ID$241,FW$169,$FJ214),SUMPRODUCT(INDEX($FK$325:$ID$396,FW$169,1+SwaptionShift):INDEX($FK$325:$ID$396,FW$169,SwaptionMonthsToGo+SwaptionShift),INDEX($FK$245:$ID$316,$FJ214-FW$169,73-FW$169+SwaptionShift):INDEX($FK$245:$ID$316,$FJ214-FW$169,72-FW$169+SwaptionMonthsToGo+SwaptionShift))/SQRT(SUM(INDEX($FK369:$ID369,1+SwaptionShift):INDEX($FK369:$ID369,SwaptionMonthsToGo+SwaptionShift))*SUM(INDEX($FK$325:$ID$396,FW$169,1+SwaptionShift):INDEX($FK$325:$ID$396,FW$169,SwaptionMonthsToGo+SwaptionShift))))))</f>
        <v/>
      </c>
      <c r="FX214" s="479" t="str">
        <f ca="1">IF(OR(FX$169&lt;SwaptionFirstMonthPosition+1,$FJ214&lt;SwaptionFirstMonthPosition+1,FX$169&gt;SwaptionFirstMonthPosition+SwaptionNumOfMonths+1,$FJ214&gt;SwaptionFirstMonthPosition+SwaptionNumOfMonths+1),"",IF($FJ214=FX$169,1,IF($FJ214&lt;FX$169,INDEX($FK$170:$ID$241,FX$169,$FJ214),SUMPRODUCT(INDEX($FK$325:$ID$396,FX$169,1+SwaptionShift):INDEX($FK$325:$ID$396,FX$169,SwaptionMonthsToGo+SwaptionShift),INDEX($FK$245:$ID$316,$FJ214-FX$169,73-FX$169+SwaptionShift):INDEX($FK$245:$ID$316,$FJ214-FX$169,72-FX$169+SwaptionMonthsToGo+SwaptionShift))/SQRT(SUM(INDEX($FK369:$ID369,1+SwaptionShift):INDEX($FK369:$ID369,SwaptionMonthsToGo+SwaptionShift))*SUM(INDEX($FK$325:$ID$396,FX$169,1+SwaptionShift):INDEX($FK$325:$ID$396,FX$169,SwaptionMonthsToGo+SwaptionShift))))))</f>
        <v/>
      </c>
      <c r="FY214" s="479" t="str">
        <f ca="1">IF(OR(FY$169&lt;SwaptionFirstMonthPosition+1,$FJ214&lt;SwaptionFirstMonthPosition+1,FY$169&gt;SwaptionFirstMonthPosition+SwaptionNumOfMonths+1,$FJ214&gt;SwaptionFirstMonthPosition+SwaptionNumOfMonths+1),"",IF($FJ214=FY$169,1,IF($FJ214&lt;FY$169,INDEX($FK$170:$ID$241,FY$169,$FJ214),SUMPRODUCT(INDEX($FK$325:$ID$396,FY$169,1+SwaptionShift):INDEX($FK$325:$ID$396,FY$169,SwaptionMonthsToGo+SwaptionShift),INDEX($FK$245:$ID$316,$FJ214-FY$169,73-FY$169+SwaptionShift):INDEX($FK$245:$ID$316,$FJ214-FY$169,72-FY$169+SwaptionMonthsToGo+SwaptionShift))/SQRT(SUM(INDEX($FK369:$ID369,1+SwaptionShift):INDEX($FK369:$ID369,SwaptionMonthsToGo+SwaptionShift))*SUM(INDEX($FK$325:$ID$396,FY$169,1+SwaptionShift):INDEX($FK$325:$ID$396,FY$169,SwaptionMonthsToGo+SwaptionShift))))))</f>
        <v/>
      </c>
      <c r="FZ214" s="479" t="str">
        <f ca="1">IF(OR(FZ$169&lt;SwaptionFirstMonthPosition+1,$FJ214&lt;SwaptionFirstMonthPosition+1,FZ$169&gt;SwaptionFirstMonthPosition+SwaptionNumOfMonths+1,$FJ214&gt;SwaptionFirstMonthPosition+SwaptionNumOfMonths+1),"",IF($FJ214=FZ$169,1,IF($FJ214&lt;FZ$169,INDEX($FK$170:$ID$241,FZ$169,$FJ214),SUMPRODUCT(INDEX($FK$325:$ID$396,FZ$169,1+SwaptionShift):INDEX($FK$325:$ID$396,FZ$169,SwaptionMonthsToGo+SwaptionShift),INDEX($FK$245:$ID$316,$FJ214-FZ$169,73-FZ$169+SwaptionShift):INDEX($FK$245:$ID$316,$FJ214-FZ$169,72-FZ$169+SwaptionMonthsToGo+SwaptionShift))/SQRT(SUM(INDEX($FK369:$ID369,1+SwaptionShift):INDEX($FK369:$ID369,SwaptionMonthsToGo+SwaptionShift))*SUM(INDEX($FK$325:$ID$396,FZ$169,1+SwaptionShift):INDEX($FK$325:$ID$396,FZ$169,SwaptionMonthsToGo+SwaptionShift))))))</f>
        <v/>
      </c>
      <c r="GA214" s="479" t="str">
        <f ca="1">IF(OR(GA$169&lt;SwaptionFirstMonthPosition+1,$FJ214&lt;SwaptionFirstMonthPosition+1,GA$169&gt;SwaptionFirstMonthPosition+SwaptionNumOfMonths+1,$FJ214&gt;SwaptionFirstMonthPosition+SwaptionNumOfMonths+1),"",IF($FJ214=GA$169,1,IF($FJ214&lt;GA$169,INDEX($FK$170:$ID$241,GA$169,$FJ214),SUMPRODUCT(INDEX($FK$325:$ID$396,GA$169,1+SwaptionShift):INDEX($FK$325:$ID$396,GA$169,SwaptionMonthsToGo+SwaptionShift),INDEX($FK$245:$ID$316,$FJ214-GA$169,73-GA$169+SwaptionShift):INDEX($FK$245:$ID$316,$FJ214-GA$169,72-GA$169+SwaptionMonthsToGo+SwaptionShift))/SQRT(SUM(INDEX($FK369:$ID369,1+SwaptionShift):INDEX($FK369:$ID369,SwaptionMonthsToGo+SwaptionShift))*SUM(INDEX($FK$325:$ID$396,GA$169,1+SwaptionShift):INDEX($FK$325:$ID$396,GA$169,SwaptionMonthsToGo+SwaptionShift))))))</f>
        <v/>
      </c>
      <c r="GB214" s="479" t="str">
        <f ca="1">IF(OR(GB$169&lt;SwaptionFirstMonthPosition+1,$FJ214&lt;SwaptionFirstMonthPosition+1,GB$169&gt;SwaptionFirstMonthPosition+SwaptionNumOfMonths+1,$FJ214&gt;SwaptionFirstMonthPosition+SwaptionNumOfMonths+1),"",IF($FJ214=GB$169,1,IF($FJ214&lt;GB$169,INDEX($FK$170:$ID$241,GB$169,$FJ214),SUMPRODUCT(INDEX($FK$325:$ID$396,GB$169,1+SwaptionShift):INDEX($FK$325:$ID$396,GB$169,SwaptionMonthsToGo+SwaptionShift),INDEX($FK$245:$ID$316,$FJ214-GB$169,73-GB$169+SwaptionShift):INDEX($FK$245:$ID$316,$FJ214-GB$169,72-GB$169+SwaptionMonthsToGo+SwaptionShift))/SQRT(SUM(INDEX($FK369:$ID369,1+SwaptionShift):INDEX($FK369:$ID369,SwaptionMonthsToGo+SwaptionShift))*SUM(INDEX($FK$325:$ID$396,GB$169,1+SwaptionShift):INDEX($FK$325:$ID$396,GB$169,SwaptionMonthsToGo+SwaptionShift))))))</f>
        <v/>
      </c>
      <c r="GC214" s="479" t="str">
        <f ca="1">IF(OR(GC$169&lt;SwaptionFirstMonthPosition+1,$FJ214&lt;SwaptionFirstMonthPosition+1,GC$169&gt;SwaptionFirstMonthPosition+SwaptionNumOfMonths+1,$FJ214&gt;SwaptionFirstMonthPosition+SwaptionNumOfMonths+1),"",IF($FJ214=GC$169,1,IF($FJ214&lt;GC$169,INDEX($FK$170:$ID$241,GC$169,$FJ214),SUMPRODUCT(INDEX($FK$325:$ID$396,GC$169,1+SwaptionShift):INDEX($FK$325:$ID$396,GC$169,SwaptionMonthsToGo+SwaptionShift),INDEX($FK$245:$ID$316,$FJ214-GC$169,73-GC$169+SwaptionShift):INDEX($FK$245:$ID$316,$FJ214-GC$169,72-GC$169+SwaptionMonthsToGo+SwaptionShift))/SQRT(SUM(INDEX($FK369:$ID369,1+SwaptionShift):INDEX($FK369:$ID369,SwaptionMonthsToGo+SwaptionShift))*SUM(INDEX($FK$325:$ID$396,GC$169,1+SwaptionShift):INDEX($FK$325:$ID$396,GC$169,SwaptionMonthsToGo+SwaptionShift))))))</f>
        <v/>
      </c>
      <c r="GD214" s="479" t="str">
        <f ca="1">IF(OR(GD$169&lt;SwaptionFirstMonthPosition+1,$FJ214&lt;SwaptionFirstMonthPosition+1,GD$169&gt;SwaptionFirstMonthPosition+SwaptionNumOfMonths+1,$FJ214&gt;SwaptionFirstMonthPosition+SwaptionNumOfMonths+1),"",IF($FJ214=GD$169,1,IF($FJ214&lt;GD$169,INDEX($FK$170:$ID$241,GD$169,$FJ214),SUMPRODUCT(INDEX($FK$325:$ID$396,GD$169,1+SwaptionShift):INDEX($FK$325:$ID$396,GD$169,SwaptionMonthsToGo+SwaptionShift),INDEX($FK$245:$ID$316,$FJ214-GD$169,73-GD$169+SwaptionShift):INDEX($FK$245:$ID$316,$FJ214-GD$169,72-GD$169+SwaptionMonthsToGo+SwaptionShift))/SQRT(SUM(INDEX($FK369:$ID369,1+SwaptionShift):INDEX($FK369:$ID369,SwaptionMonthsToGo+SwaptionShift))*SUM(INDEX($FK$325:$ID$396,GD$169,1+SwaptionShift):INDEX($FK$325:$ID$396,GD$169,SwaptionMonthsToGo+SwaptionShift))))))</f>
        <v/>
      </c>
      <c r="GE214" s="479" t="str">
        <f ca="1">IF(OR(GE$169&lt;SwaptionFirstMonthPosition+1,$FJ214&lt;SwaptionFirstMonthPosition+1,GE$169&gt;SwaptionFirstMonthPosition+SwaptionNumOfMonths+1,$FJ214&gt;SwaptionFirstMonthPosition+SwaptionNumOfMonths+1),"",IF($FJ214=GE$169,1,IF($FJ214&lt;GE$169,INDEX($FK$170:$ID$241,GE$169,$FJ214),SUMPRODUCT(INDEX($FK$325:$ID$396,GE$169,1+SwaptionShift):INDEX($FK$325:$ID$396,GE$169,SwaptionMonthsToGo+SwaptionShift),INDEX($FK$245:$ID$316,$FJ214-GE$169,73-GE$169+SwaptionShift):INDEX($FK$245:$ID$316,$FJ214-GE$169,72-GE$169+SwaptionMonthsToGo+SwaptionShift))/SQRT(SUM(INDEX($FK369:$ID369,1+SwaptionShift):INDEX($FK369:$ID369,SwaptionMonthsToGo+SwaptionShift))*SUM(INDEX($FK$325:$ID$396,GE$169,1+SwaptionShift):INDEX($FK$325:$ID$396,GE$169,SwaptionMonthsToGo+SwaptionShift))))))</f>
        <v/>
      </c>
      <c r="GF214" s="479" t="str">
        <f ca="1">IF(OR(GF$169&lt;SwaptionFirstMonthPosition+1,$FJ214&lt;SwaptionFirstMonthPosition+1,GF$169&gt;SwaptionFirstMonthPosition+SwaptionNumOfMonths+1,$FJ214&gt;SwaptionFirstMonthPosition+SwaptionNumOfMonths+1),"",IF($FJ214=GF$169,1,IF($FJ214&lt;GF$169,INDEX($FK$170:$ID$241,GF$169,$FJ214),SUMPRODUCT(INDEX($FK$325:$ID$396,GF$169,1+SwaptionShift):INDEX($FK$325:$ID$396,GF$169,SwaptionMonthsToGo+SwaptionShift),INDEX($FK$245:$ID$316,$FJ214-GF$169,73-GF$169+SwaptionShift):INDEX($FK$245:$ID$316,$FJ214-GF$169,72-GF$169+SwaptionMonthsToGo+SwaptionShift))/SQRT(SUM(INDEX($FK369:$ID369,1+SwaptionShift):INDEX($FK369:$ID369,SwaptionMonthsToGo+SwaptionShift))*SUM(INDEX($FK$325:$ID$396,GF$169,1+SwaptionShift):INDEX($FK$325:$ID$396,GF$169,SwaptionMonthsToGo+SwaptionShift))))))</f>
        <v/>
      </c>
      <c r="GG214" s="479" t="str">
        <f ca="1">IF(OR(GG$169&lt;SwaptionFirstMonthPosition+1,$FJ214&lt;SwaptionFirstMonthPosition+1,GG$169&gt;SwaptionFirstMonthPosition+SwaptionNumOfMonths+1,$FJ214&gt;SwaptionFirstMonthPosition+SwaptionNumOfMonths+1),"",IF($FJ214=GG$169,1,IF($FJ214&lt;GG$169,INDEX($FK$170:$ID$241,GG$169,$FJ214),SUMPRODUCT(INDEX($FK$325:$ID$396,GG$169,1+SwaptionShift):INDEX($FK$325:$ID$396,GG$169,SwaptionMonthsToGo+SwaptionShift),INDEX($FK$245:$ID$316,$FJ214-GG$169,73-GG$169+SwaptionShift):INDEX($FK$245:$ID$316,$FJ214-GG$169,72-GG$169+SwaptionMonthsToGo+SwaptionShift))/SQRT(SUM(INDEX($FK369:$ID369,1+SwaptionShift):INDEX($FK369:$ID369,SwaptionMonthsToGo+SwaptionShift))*SUM(INDEX($FK$325:$ID$396,GG$169,1+SwaptionShift):INDEX($FK$325:$ID$396,GG$169,SwaptionMonthsToGo+SwaptionShift))))))</f>
        <v/>
      </c>
      <c r="GH214" s="479" t="str">
        <f ca="1">IF(OR(GH$169&lt;SwaptionFirstMonthPosition+1,$FJ214&lt;SwaptionFirstMonthPosition+1,GH$169&gt;SwaptionFirstMonthPosition+SwaptionNumOfMonths+1,$FJ214&gt;SwaptionFirstMonthPosition+SwaptionNumOfMonths+1),"",IF($FJ214=GH$169,1,IF($FJ214&lt;GH$169,INDEX($FK$170:$ID$241,GH$169,$FJ214),SUMPRODUCT(INDEX($FK$325:$ID$396,GH$169,1+SwaptionShift):INDEX($FK$325:$ID$396,GH$169,SwaptionMonthsToGo+SwaptionShift),INDEX($FK$245:$ID$316,$FJ214-GH$169,73-GH$169+SwaptionShift):INDEX($FK$245:$ID$316,$FJ214-GH$169,72-GH$169+SwaptionMonthsToGo+SwaptionShift))/SQRT(SUM(INDEX($FK369:$ID369,1+SwaptionShift):INDEX($FK369:$ID369,SwaptionMonthsToGo+SwaptionShift))*SUM(INDEX($FK$325:$ID$396,GH$169,1+SwaptionShift):INDEX($FK$325:$ID$396,GH$169,SwaptionMonthsToGo+SwaptionShift))))))</f>
        <v/>
      </c>
      <c r="GI214" s="479" t="str">
        <f ca="1">IF(OR(GI$169&lt;SwaptionFirstMonthPosition+1,$FJ214&lt;SwaptionFirstMonthPosition+1,GI$169&gt;SwaptionFirstMonthPosition+SwaptionNumOfMonths+1,$FJ214&gt;SwaptionFirstMonthPosition+SwaptionNumOfMonths+1),"",IF($FJ214=GI$169,1,IF($FJ214&lt;GI$169,INDEX($FK$170:$ID$241,GI$169,$FJ214),SUMPRODUCT(INDEX($FK$325:$ID$396,GI$169,1+SwaptionShift):INDEX($FK$325:$ID$396,GI$169,SwaptionMonthsToGo+SwaptionShift),INDEX($FK$245:$ID$316,$FJ214-GI$169,73-GI$169+SwaptionShift):INDEX($FK$245:$ID$316,$FJ214-GI$169,72-GI$169+SwaptionMonthsToGo+SwaptionShift))/SQRT(SUM(INDEX($FK369:$ID369,1+SwaptionShift):INDEX($FK369:$ID369,SwaptionMonthsToGo+SwaptionShift))*SUM(INDEX($FK$325:$ID$396,GI$169,1+SwaptionShift):INDEX($FK$325:$ID$396,GI$169,SwaptionMonthsToGo+SwaptionShift))))))</f>
        <v/>
      </c>
      <c r="GJ214" s="479" t="str">
        <f ca="1">IF(OR(GJ$169&lt;SwaptionFirstMonthPosition+1,$FJ214&lt;SwaptionFirstMonthPosition+1,GJ$169&gt;SwaptionFirstMonthPosition+SwaptionNumOfMonths+1,$FJ214&gt;SwaptionFirstMonthPosition+SwaptionNumOfMonths+1),"",IF($FJ214=GJ$169,1,IF($FJ214&lt;GJ$169,INDEX($FK$170:$ID$241,GJ$169,$FJ214),SUMPRODUCT(INDEX($FK$325:$ID$396,GJ$169,1+SwaptionShift):INDEX($FK$325:$ID$396,GJ$169,SwaptionMonthsToGo+SwaptionShift),INDEX($FK$245:$ID$316,$FJ214-GJ$169,73-GJ$169+SwaptionShift):INDEX($FK$245:$ID$316,$FJ214-GJ$169,72-GJ$169+SwaptionMonthsToGo+SwaptionShift))/SQRT(SUM(INDEX($FK369:$ID369,1+SwaptionShift):INDEX($FK369:$ID369,SwaptionMonthsToGo+SwaptionShift))*SUM(INDEX($FK$325:$ID$396,GJ$169,1+SwaptionShift):INDEX($FK$325:$ID$396,GJ$169,SwaptionMonthsToGo+SwaptionShift))))))</f>
        <v/>
      </c>
      <c r="GK214" s="479" t="str">
        <f ca="1">IF(OR(GK$169&lt;SwaptionFirstMonthPosition+1,$FJ214&lt;SwaptionFirstMonthPosition+1,GK$169&gt;SwaptionFirstMonthPosition+SwaptionNumOfMonths+1,$FJ214&gt;SwaptionFirstMonthPosition+SwaptionNumOfMonths+1),"",IF($FJ214=GK$169,1,IF($FJ214&lt;GK$169,INDEX($FK$170:$ID$241,GK$169,$FJ214),SUMPRODUCT(INDEX($FK$325:$ID$396,GK$169,1+SwaptionShift):INDEX($FK$325:$ID$396,GK$169,SwaptionMonthsToGo+SwaptionShift),INDEX($FK$245:$ID$316,$FJ214-GK$169,73-GK$169+SwaptionShift):INDEX($FK$245:$ID$316,$FJ214-GK$169,72-GK$169+SwaptionMonthsToGo+SwaptionShift))/SQRT(SUM(INDEX($FK369:$ID369,1+SwaptionShift):INDEX($FK369:$ID369,SwaptionMonthsToGo+SwaptionShift))*SUM(INDEX($FK$325:$ID$396,GK$169,1+SwaptionShift):INDEX($FK$325:$ID$396,GK$169,SwaptionMonthsToGo+SwaptionShift))))))</f>
        <v/>
      </c>
      <c r="GL214" s="479" t="str">
        <f ca="1">IF(OR(GL$169&lt;SwaptionFirstMonthPosition+1,$FJ214&lt;SwaptionFirstMonthPosition+1,GL$169&gt;SwaptionFirstMonthPosition+SwaptionNumOfMonths+1,$FJ214&gt;SwaptionFirstMonthPosition+SwaptionNumOfMonths+1),"",IF($FJ214=GL$169,1,IF($FJ214&lt;GL$169,INDEX($FK$170:$ID$241,GL$169,$FJ214),SUMPRODUCT(INDEX($FK$325:$ID$396,GL$169,1+SwaptionShift):INDEX($FK$325:$ID$396,GL$169,SwaptionMonthsToGo+SwaptionShift),INDEX($FK$245:$ID$316,$FJ214-GL$169,73-GL$169+SwaptionShift):INDEX($FK$245:$ID$316,$FJ214-GL$169,72-GL$169+SwaptionMonthsToGo+SwaptionShift))/SQRT(SUM(INDEX($FK369:$ID369,1+SwaptionShift):INDEX($FK369:$ID369,SwaptionMonthsToGo+SwaptionShift))*SUM(INDEX($FK$325:$ID$396,GL$169,1+SwaptionShift):INDEX($FK$325:$ID$396,GL$169,SwaptionMonthsToGo+SwaptionShift))))))</f>
        <v/>
      </c>
      <c r="GM214" s="479" t="str">
        <f ca="1">IF(OR(GM$169&lt;SwaptionFirstMonthPosition+1,$FJ214&lt;SwaptionFirstMonthPosition+1,GM$169&gt;SwaptionFirstMonthPosition+SwaptionNumOfMonths+1,$FJ214&gt;SwaptionFirstMonthPosition+SwaptionNumOfMonths+1),"",IF($FJ214=GM$169,1,IF($FJ214&lt;GM$169,INDEX($FK$170:$ID$241,GM$169,$FJ214),SUMPRODUCT(INDEX($FK$325:$ID$396,GM$169,1+SwaptionShift):INDEX($FK$325:$ID$396,GM$169,SwaptionMonthsToGo+SwaptionShift),INDEX($FK$245:$ID$316,$FJ214-GM$169,73-GM$169+SwaptionShift):INDEX($FK$245:$ID$316,$FJ214-GM$169,72-GM$169+SwaptionMonthsToGo+SwaptionShift))/SQRT(SUM(INDEX($FK369:$ID369,1+SwaptionShift):INDEX($FK369:$ID369,SwaptionMonthsToGo+SwaptionShift))*SUM(INDEX($FK$325:$ID$396,GM$169,1+SwaptionShift):INDEX($FK$325:$ID$396,GM$169,SwaptionMonthsToGo+SwaptionShift))))))</f>
        <v/>
      </c>
      <c r="GN214" s="479" t="str">
        <f ca="1">IF(OR(GN$169&lt;SwaptionFirstMonthPosition+1,$FJ214&lt;SwaptionFirstMonthPosition+1,GN$169&gt;SwaptionFirstMonthPosition+SwaptionNumOfMonths+1,$FJ214&gt;SwaptionFirstMonthPosition+SwaptionNumOfMonths+1),"",IF($FJ214=GN$169,1,IF($FJ214&lt;GN$169,INDEX($FK$170:$ID$241,GN$169,$FJ214),SUMPRODUCT(INDEX($FK$325:$ID$396,GN$169,1+SwaptionShift):INDEX($FK$325:$ID$396,GN$169,SwaptionMonthsToGo+SwaptionShift),INDEX($FK$245:$ID$316,$FJ214-GN$169,73-GN$169+SwaptionShift):INDEX($FK$245:$ID$316,$FJ214-GN$169,72-GN$169+SwaptionMonthsToGo+SwaptionShift))/SQRT(SUM(INDEX($FK369:$ID369,1+SwaptionShift):INDEX($FK369:$ID369,SwaptionMonthsToGo+SwaptionShift))*SUM(INDEX($FK$325:$ID$396,GN$169,1+SwaptionShift):INDEX($FK$325:$ID$396,GN$169,SwaptionMonthsToGo+SwaptionShift))))))</f>
        <v/>
      </c>
      <c r="GO214" s="479" t="str">
        <f ca="1">IF(OR(GO$169&lt;SwaptionFirstMonthPosition+1,$FJ214&lt;SwaptionFirstMonthPosition+1,GO$169&gt;SwaptionFirstMonthPosition+SwaptionNumOfMonths+1,$FJ214&gt;SwaptionFirstMonthPosition+SwaptionNumOfMonths+1),"",IF($FJ214=GO$169,1,IF($FJ214&lt;GO$169,INDEX($FK$170:$ID$241,GO$169,$FJ214),SUMPRODUCT(INDEX($FK$325:$ID$396,GO$169,1+SwaptionShift):INDEX($FK$325:$ID$396,GO$169,SwaptionMonthsToGo+SwaptionShift),INDEX($FK$245:$ID$316,$FJ214-GO$169,73-GO$169+SwaptionShift):INDEX($FK$245:$ID$316,$FJ214-GO$169,72-GO$169+SwaptionMonthsToGo+SwaptionShift))/SQRT(SUM(INDEX($FK369:$ID369,1+SwaptionShift):INDEX($FK369:$ID369,SwaptionMonthsToGo+SwaptionShift))*SUM(INDEX($FK$325:$ID$396,GO$169,1+SwaptionShift):INDEX($FK$325:$ID$396,GO$169,SwaptionMonthsToGo+SwaptionShift))))))</f>
        <v/>
      </c>
      <c r="GP214" s="479" t="str">
        <f ca="1">IF(OR(GP$169&lt;SwaptionFirstMonthPosition+1,$FJ214&lt;SwaptionFirstMonthPosition+1,GP$169&gt;SwaptionFirstMonthPosition+SwaptionNumOfMonths+1,$FJ214&gt;SwaptionFirstMonthPosition+SwaptionNumOfMonths+1),"",IF($FJ214=GP$169,1,IF($FJ214&lt;GP$169,INDEX($FK$170:$ID$241,GP$169,$FJ214),SUMPRODUCT(INDEX($FK$325:$ID$396,GP$169,1+SwaptionShift):INDEX($FK$325:$ID$396,GP$169,SwaptionMonthsToGo+SwaptionShift),INDEX($FK$245:$ID$316,$FJ214-GP$169,73-GP$169+SwaptionShift):INDEX($FK$245:$ID$316,$FJ214-GP$169,72-GP$169+SwaptionMonthsToGo+SwaptionShift))/SQRT(SUM(INDEX($FK369:$ID369,1+SwaptionShift):INDEX($FK369:$ID369,SwaptionMonthsToGo+SwaptionShift))*SUM(INDEX($FK$325:$ID$396,GP$169,1+SwaptionShift):INDEX($FK$325:$ID$396,GP$169,SwaptionMonthsToGo+SwaptionShift))))))</f>
        <v/>
      </c>
      <c r="GQ214" s="479" t="str">
        <f ca="1">IF(OR(GQ$169&lt;SwaptionFirstMonthPosition+1,$FJ214&lt;SwaptionFirstMonthPosition+1,GQ$169&gt;SwaptionFirstMonthPosition+SwaptionNumOfMonths+1,$FJ214&gt;SwaptionFirstMonthPosition+SwaptionNumOfMonths+1),"",IF($FJ214=GQ$169,1,IF($FJ214&lt;GQ$169,INDEX($FK$170:$ID$241,GQ$169,$FJ214),SUMPRODUCT(INDEX($FK$325:$ID$396,GQ$169,1+SwaptionShift):INDEX($FK$325:$ID$396,GQ$169,SwaptionMonthsToGo+SwaptionShift),INDEX($FK$245:$ID$316,$FJ214-GQ$169,73-GQ$169+SwaptionShift):INDEX($FK$245:$ID$316,$FJ214-GQ$169,72-GQ$169+SwaptionMonthsToGo+SwaptionShift))/SQRT(SUM(INDEX($FK369:$ID369,1+SwaptionShift):INDEX($FK369:$ID369,SwaptionMonthsToGo+SwaptionShift))*SUM(INDEX($FK$325:$ID$396,GQ$169,1+SwaptionShift):INDEX($FK$325:$ID$396,GQ$169,SwaptionMonthsToGo+SwaptionShift))))))</f>
        <v/>
      </c>
      <c r="GR214" s="479" t="str">
        <f ca="1">IF(OR(GR$169&lt;SwaptionFirstMonthPosition+1,$FJ214&lt;SwaptionFirstMonthPosition+1,GR$169&gt;SwaptionFirstMonthPosition+SwaptionNumOfMonths+1,$FJ214&gt;SwaptionFirstMonthPosition+SwaptionNumOfMonths+1),"",IF($FJ214=GR$169,1,IF($FJ214&lt;GR$169,INDEX($FK$170:$ID$241,GR$169,$FJ214),SUMPRODUCT(INDEX($FK$325:$ID$396,GR$169,1+SwaptionShift):INDEX($FK$325:$ID$396,GR$169,SwaptionMonthsToGo+SwaptionShift),INDEX($FK$245:$ID$316,$FJ214-GR$169,73-GR$169+SwaptionShift):INDEX($FK$245:$ID$316,$FJ214-GR$169,72-GR$169+SwaptionMonthsToGo+SwaptionShift))/SQRT(SUM(INDEX($FK369:$ID369,1+SwaptionShift):INDEX($FK369:$ID369,SwaptionMonthsToGo+SwaptionShift))*SUM(INDEX($FK$325:$ID$396,GR$169,1+SwaptionShift):INDEX($FK$325:$ID$396,GR$169,SwaptionMonthsToGo+SwaptionShift))))))</f>
        <v/>
      </c>
      <c r="GS214" s="479" t="str">
        <f ca="1">IF(OR(GS$169&lt;SwaptionFirstMonthPosition+1,$FJ214&lt;SwaptionFirstMonthPosition+1,GS$169&gt;SwaptionFirstMonthPosition+SwaptionNumOfMonths+1,$FJ214&gt;SwaptionFirstMonthPosition+SwaptionNumOfMonths+1),"",IF($FJ214=GS$169,1,IF($FJ214&lt;GS$169,INDEX($FK$170:$ID$241,GS$169,$FJ214),SUMPRODUCT(INDEX($FK$325:$ID$396,GS$169,1+SwaptionShift):INDEX($FK$325:$ID$396,GS$169,SwaptionMonthsToGo+SwaptionShift),INDEX($FK$245:$ID$316,$FJ214-GS$169,73-GS$169+SwaptionShift):INDEX($FK$245:$ID$316,$FJ214-GS$169,72-GS$169+SwaptionMonthsToGo+SwaptionShift))/SQRT(SUM(INDEX($FK369:$ID369,1+SwaptionShift):INDEX($FK369:$ID369,SwaptionMonthsToGo+SwaptionShift))*SUM(INDEX($FK$325:$ID$396,GS$169,1+SwaptionShift):INDEX($FK$325:$ID$396,GS$169,SwaptionMonthsToGo+SwaptionShift))))))</f>
        <v/>
      </c>
      <c r="GT214" s="479" t="str">
        <f ca="1">IF(OR(GT$169&lt;SwaptionFirstMonthPosition+1,$FJ214&lt;SwaptionFirstMonthPosition+1,GT$169&gt;SwaptionFirstMonthPosition+SwaptionNumOfMonths+1,$FJ214&gt;SwaptionFirstMonthPosition+SwaptionNumOfMonths+1),"",IF($FJ214=GT$169,1,IF($FJ214&lt;GT$169,INDEX($FK$170:$ID$241,GT$169,$FJ214),SUMPRODUCT(INDEX($FK$325:$ID$396,GT$169,1+SwaptionShift):INDEX($FK$325:$ID$396,GT$169,SwaptionMonthsToGo+SwaptionShift),INDEX($FK$245:$ID$316,$FJ214-GT$169,73-GT$169+SwaptionShift):INDEX($FK$245:$ID$316,$FJ214-GT$169,72-GT$169+SwaptionMonthsToGo+SwaptionShift))/SQRT(SUM(INDEX($FK369:$ID369,1+SwaptionShift):INDEX($FK369:$ID369,SwaptionMonthsToGo+SwaptionShift))*SUM(INDEX($FK$325:$ID$396,GT$169,1+SwaptionShift):INDEX($FK$325:$ID$396,GT$169,SwaptionMonthsToGo+SwaptionShift))))))</f>
        <v/>
      </c>
      <c r="GU214" s="479" t="str">
        <f ca="1">IF(OR(GU$169&lt;SwaptionFirstMonthPosition+1,$FJ214&lt;SwaptionFirstMonthPosition+1,GU$169&gt;SwaptionFirstMonthPosition+SwaptionNumOfMonths+1,$FJ214&gt;SwaptionFirstMonthPosition+SwaptionNumOfMonths+1),"",IF($FJ214=GU$169,1,IF($FJ214&lt;GU$169,INDEX($FK$170:$ID$241,GU$169,$FJ214),SUMPRODUCT(INDEX($FK$325:$ID$396,GU$169,1+SwaptionShift):INDEX($FK$325:$ID$396,GU$169,SwaptionMonthsToGo+SwaptionShift),INDEX($FK$245:$ID$316,$FJ214-GU$169,73-GU$169+SwaptionShift):INDEX($FK$245:$ID$316,$FJ214-GU$169,72-GU$169+SwaptionMonthsToGo+SwaptionShift))/SQRT(SUM(INDEX($FK369:$ID369,1+SwaptionShift):INDEX($FK369:$ID369,SwaptionMonthsToGo+SwaptionShift))*SUM(INDEX($FK$325:$ID$396,GU$169,1+SwaptionShift):INDEX($FK$325:$ID$396,GU$169,SwaptionMonthsToGo+SwaptionShift))))))</f>
        <v/>
      </c>
      <c r="GV214" s="479" t="str">
        <f ca="1">IF(OR(GV$169&lt;SwaptionFirstMonthPosition+1,$FJ214&lt;SwaptionFirstMonthPosition+1,GV$169&gt;SwaptionFirstMonthPosition+SwaptionNumOfMonths+1,$FJ214&gt;SwaptionFirstMonthPosition+SwaptionNumOfMonths+1),"",IF($FJ214=GV$169,1,IF($FJ214&lt;GV$169,INDEX($FK$170:$ID$241,GV$169,$FJ214),SUMPRODUCT(INDEX($FK$325:$ID$396,GV$169,1+SwaptionShift):INDEX($FK$325:$ID$396,GV$169,SwaptionMonthsToGo+SwaptionShift),INDEX($FK$245:$ID$316,$FJ214-GV$169,73-GV$169+SwaptionShift):INDEX($FK$245:$ID$316,$FJ214-GV$169,72-GV$169+SwaptionMonthsToGo+SwaptionShift))/SQRT(SUM(INDEX($FK369:$ID369,1+SwaptionShift):INDEX($FK369:$ID369,SwaptionMonthsToGo+SwaptionShift))*SUM(INDEX($FK$325:$ID$396,GV$169,1+SwaptionShift):INDEX($FK$325:$ID$396,GV$169,SwaptionMonthsToGo+SwaptionShift))))))</f>
        <v/>
      </c>
      <c r="GW214" s="479" t="str">
        <f ca="1">IF(OR(GW$169&lt;SwaptionFirstMonthPosition+1,$FJ214&lt;SwaptionFirstMonthPosition+1,GW$169&gt;SwaptionFirstMonthPosition+SwaptionNumOfMonths+1,$FJ214&gt;SwaptionFirstMonthPosition+SwaptionNumOfMonths+1),"",IF($FJ214=GW$169,1,IF($FJ214&lt;GW$169,INDEX($FK$170:$ID$241,GW$169,$FJ214),SUMPRODUCT(INDEX($FK$325:$ID$396,GW$169,1+SwaptionShift):INDEX($FK$325:$ID$396,GW$169,SwaptionMonthsToGo+SwaptionShift),INDEX($FK$245:$ID$316,$FJ214-GW$169,73-GW$169+SwaptionShift):INDEX($FK$245:$ID$316,$FJ214-GW$169,72-GW$169+SwaptionMonthsToGo+SwaptionShift))/SQRT(SUM(INDEX($FK369:$ID369,1+SwaptionShift):INDEX($FK369:$ID369,SwaptionMonthsToGo+SwaptionShift))*SUM(INDEX($FK$325:$ID$396,GW$169,1+SwaptionShift):INDEX($FK$325:$ID$396,GW$169,SwaptionMonthsToGo+SwaptionShift))))))</f>
        <v/>
      </c>
      <c r="GX214" s="479" t="str">
        <f ca="1">IF(OR(GX$169&lt;SwaptionFirstMonthPosition+1,$FJ214&lt;SwaptionFirstMonthPosition+1,GX$169&gt;SwaptionFirstMonthPosition+SwaptionNumOfMonths+1,$FJ214&gt;SwaptionFirstMonthPosition+SwaptionNumOfMonths+1),"",IF($FJ214=GX$169,1,IF($FJ214&lt;GX$169,INDEX($FK$170:$ID$241,GX$169,$FJ214),SUMPRODUCT(INDEX($FK$325:$ID$396,GX$169,1+SwaptionShift):INDEX($FK$325:$ID$396,GX$169,SwaptionMonthsToGo+SwaptionShift),INDEX($FK$245:$ID$316,$FJ214-GX$169,73-GX$169+SwaptionShift):INDEX($FK$245:$ID$316,$FJ214-GX$169,72-GX$169+SwaptionMonthsToGo+SwaptionShift))/SQRT(SUM(INDEX($FK369:$ID369,1+SwaptionShift):INDEX($FK369:$ID369,SwaptionMonthsToGo+SwaptionShift))*SUM(INDEX($FK$325:$ID$396,GX$169,1+SwaptionShift):INDEX($FK$325:$ID$396,GX$169,SwaptionMonthsToGo+SwaptionShift))))))</f>
        <v/>
      </c>
      <c r="GY214" s="479" t="str">
        <f ca="1">IF(OR(GY$169&lt;SwaptionFirstMonthPosition+1,$FJ214&lt;SwaptionFirstMonthPosition+1,GY$169&gt;SwaptionFirstMonthPosition+SwaptionNumOfMonths+1,$FJ214&gt;SwaptionFirstMonthPosition+SwaptionNumOfMonths+1),"",IF($FJ214=GY$169,1,IF($FJ214&lt;GY$169,INDEX($FK$170:$ID$241,GY$169,$FJ214),SUMPRODUCT(INDEX($FK$325:$ID$396,GY$169,1+SwaptionShift):INDEX($FK$325:$ID$396,GY$169,SwaptionMonthsToGo+SwaptionShift),INDEX($FK$245:$ID$316,$FJ214-GY$169,73-GY$169+SwaptionShift):INDEX($FK$245:$ID$316,$FJ214-GY$169,72-GY$169+SwaptionMonthsToGo+SwaptionShift))/SQRT(SUM(INDEX($FK369:$ID369,1+SwaptionShift):INDEX($FK369:$ID369,SwaptionMonthsToGo+SwaptionShift))*SUM(INDEX($FK$325:$ID$396,GY$169,1+SwaptionShift):INDEX($FK$325:$ID$396,GY$169,SwaptionMonthsToGo+SwaptionShift))))))</f>
        <v/>
      </c>
      <c r="GZ214" s="479" t="str">
        <f ca="1">IF(OR(GZ$169&lt;SwaptionFirstMonthPosition+1,$FJ214&lt;SwaptionFirstMonthPosition+1,GZ$169&gt;SwaptionFirstMonthPosition+SwaptionNumOfMonths+1,$FJ214&gt;SwaptionFirstMonthPosition+SwaptionNumOfMonths+1),"",IF($FJ214=GZ$169,1,IF($FJ214&lt;GZ$169,INDEX($FK$170:$ID$241,GZ$169,$FJ214),SUMPRODUCT(INDEX($FK$325:$ID$396,GZ$169,1+SwaptionShift):INDEX($FK$325:$ID$396,GZ$169,SwaptionMonthsToGo+SwaptionShift),INDEX($FK$245:$ID$316,$FJ214-GZ$169,73-GZ$169+SwaptionShift):INDEX($FK$245:$ID$316,$FJ214-GZ$169,72-GZ$169+SwaptionMonthsToGo+SwaptionShift))/SQRT(SUM(INDEX($FK369:$ID369,1+SwaptionShift):INDEX($FK369:$ID369,SwaptionMonthsToGo+SwaptionShift))*SUM(INDEX($FK$325:$ID$396,GZ$169,1+SwaptionShift):INDEX($FK$325:$ID$396,GZ$169,SwaptionMonthsToGo+SwaptionShift))))))</f>
        <v/>
      </c>
      <c r="HA214" s="479" t="str">
        <f ca="1">IF(OR(HA$169&lt;SwaptionFirstMonthPosition+1,$FJ214&lt;SwaptionFirstMonthPosition+1,HA$169&gt;SwaptionFirstMonthPosition+SwaptionNumOfMonths+1,$FJ214&gt;SwaptionFirstMonthPosition+SwaptionNumOfMonths+1),"",IF($FJ214=HA$169,1,IF($FJ214&lt;HA$169,INDEX($FK$170:$ID$241,HA$169,$FJ214),SUMPRODUCT(INDEX($FK$325:$ID$396,HA$169,1+SwaptionShift):INDEX($FK$325:$ID$396,HA$169,SwaptionMonthsToGo+SwaptionShift),INDEX($FK$245:$ID$316,$FJ214-HA$169,73-HA$169+SwaptionShift):INDEX($FK$245:$ID$316,$FJ214-HA$169,72-HA$169+SwaptionMonthsToGo+SwaptionShift))/SQRT(SUM(INDEX($FK369:$ID369,1+SwaptionShift):INDEX($FK369:$ID369,SwaptionMonthsToGo+SwaptionShift))*SUM(INDEX($FK$325:$ID$396,HA$169,1+SwaptionShift):INDEX($FK$325:$ID$396,HA$169,SwaptionMonthsToGo+SwaptionShift))))))</f>
        <v/>
      </c>
      <c r="HB214" s="479" t="str">
        <f ca="1">IF(OR(HB$169&lt;SwaptionFirstMonthPosition+1,$FJ214&lt;SwaptionFirstMonthPosition+1,HB$169&gt;SwaptionFirstMonthPosition+SwaptionNumOfMonths+1,$FJ214&gt;SwaptionFirstMonthPosition+SwaptionNumOfMonths+1),"",IF($FJ214=HB$169,1,IF($FJ214&lt;HB$169,INDEX($FK$170:$ID$241,HB$169,$FJ214),SUMPRODUCT(INDEX($FK$325:$ID$396,HB$169,1+SwaptionShift):INDEX($FK$325:$ID$396,HB$169,SwaptionMonthsToGo+SwaptionShift),INDEX($FK$245:$ID$316,$FJ214-HB$169,73-HB$169+SwaptionShift):INDEX($FK$245:$ID$316,$FJ214-HB$169,72-HB$169+SwaptionMonthsToGo+SwaptionShift))/SQRT(SUM(INDEX($FK369:$ID369,1+SwaptionShift):INDEX($FK369:$ID369,SwaptionMonthsToGo+SwaptionShift))*SUM(INDEX($FK$325:$ID$396,HB$169,1+SwaptionShift):INDEX($FK$325:$ID$396,HB$169,SwaptionMonthsToGo+SwaptionShift))))))</f>
        <v/>
      </c>
      <c r="HC214" s="479" t="str">
        <f ca="1">IF(OR(HC$169&lt;SwaptionFirstMonthPosition+1,$FJ214&lt;SwaptionFirstMonthPosition+1,HC$169&gt;SwaptionFirstMonthPosition+SwaptionNumOfMonths+1,$FJ214&gt;SwaptionFirstMonthPosition+SwaptionNumOfMonths+1),"",IF($FJ214=HC$169,1,IF($FJ214&lt;HC$169,INDEX($FK$170:$ID$241,HC$169,$FJ214),SUMPRODUCT(INDEX($FK$325:$ID$396,HC$169,1+SwaptionShift):INDEX($FK$325:$ID$396,HC$169,SwaptionMonthsToGo+SwaptionShift),INDEX($FK$245:$ID$316,$FJ214-HC$169,73-HC$169+SwaptionShift):INDEX($FK$245:$ID$316,$FJ214-HC$169,72-HC$169+SwaptionMonthsToGo+SwaptionShift))/SQRT(SUM(INDEX($FK369:$ID369,1+SwaptionShift):INDEX($FK369:$ID369,SwaptionMonthsToGo+SwaptionShift))*SUM(INDEX($FK$325:$ID$396,HC$169,1+SwaptionShift):INDEX($FK$325:$ID$396,HC$169,SwaptionMonthsToGo+SwaptionShift))))))</f>
        <v/>
      </c>
      <c r="HD214" s="479" t="str">
        <f ca="1">IF(OR(HD$169&lt;SwaptionFirstMonthPosition+1,$FJ214&lt;SwaptionFirstMonthPosition+1,HD$169&gt;SwaptionFirstMonthPosition+SwaptionNumOfMonths+1,$FJ214&gt;SwaptionFirstMonthPosition+SwaptionNumOfMonths+1),"",IF($FJ214=HD$169,1,IF($FJ214&lt;HD$169,INDEX($FK$170:$ID$241,HD$169,$FJ214),SUMPRODUCT(INDEX($FK$325:$ID$396,HD$169,1+SwaptionShift):INDEX($FK$325:$ID$396,HD$169,SwaptionMonthsToGo+SwaptionShift),INDEX($FK$245:$ID$316,$FJ214-HD$169,73-HD$169+SwaptionShift):INDEX($FK$245:$ID$316,$FJ214-HD$169,72-HD$169+SwaptionMonthsToGo+SwaptionShift))/SQRT(SUM(INDEX($FK369:$ID369,1+SwaptionShift):INDEX($FK369:$ID369,SwaptionMonthsToGo+SwaptionShift))*SUM(INDEX($FK$325:$ID$396,HD$169,1+SwaptionShift):INDEX($FK$325:$ID$396,HD$169,SwaptionMonthsToGo+SwaptionShift))))))</f>
        <v/>
      </c>
      <c r="HE214" s="479" t="str">
        <f ca="1">IF(OR(HE$169&lt;SwaptionFirstMonthPosition+1,$FJ214&lt;SwaptionFirstMonthPosition+1,HE$169&gt;SwaptionFirstMonthPosition+SwaptionNumOfMonths+1,$FJ214&gt;SwaptionFirstMonthPosition+SwaptionNumOfMonths+1),"",IF($FJ214=HE$169,1,IF($FJ214&lt;HE$169,INDEX($FK$170:$ID$241,HE$169,$FJ214),SUMPRODUCT(INDEX($FK$325:$ID$396,HE$169,1+SwaptionShift):INDEX($FK$325:$ID$396,HE$169,SwaptionMonthsToGo+SwaptionShift),INDEX($FK$245:$ID$316,$FJ214-HE$169,73-HE$169+SwaptionShift):INDEX($FK$245:$ID$316,$FJ214-HE$169,72-HE$169+SwaptionMonthsToGo+SwaptionShift))/SQRT(SUM(INDEX($FK369:$ID369,1+SwaptionShift):INDEX($FK369:$ID369,SwaptionMonthsToGo+SwaptionShift))*SUM(INDEX($FK$325:$ID$396,HE$169,1+SwaptionShift):INDEX($FK$325:$ID$396,HE$169,SwaptionMonthsToGo+SwaptionShift))))))</f>
        <v/>
      </c>
      <c r="HF214" s="479" t="str">
        <f ca="1">IF(OR(HF$169&lt;SwaptionFirstMonthPosition+1,$FJ214&lt;SwaptionFirstMonthPosition+1,HF$169&gt;SwaptionFirstMonthPosition+SwaptionNumOfMonths+1,$FJ214&gt;SwaptionFirstMonthPosition+SwaptionNumOfMonths+1),"",IF($FJ214=HF$169,1,IF($FJ214&lt;HF$169,INDEX($FK$170:$ID$241,HF$169,$FJ214),SUMPRODUCT(INDEX($FK$325:$ID$396,HF$169,1+SwaptionShift):INDEX($FK$325:$ID$396,HF$169,SwaptionMonthsToGo+SwaptionShift),INDEX($FK$245:$ID$316,$FJ214-HF$169,73-HF$169+SwaptionShift):INDEX($FK$245:$ID$316,$FJ214-HF$169,72-HF$169+SwaptionMonthsToGo+SwaptionShift))/SQRT(SUM(INDEX($FK369:$ID369,1+SwaptionShift):INDEX($FK369:$ID369,SwaptionMonthsToGo+SwaptionShift))*SUM(INDEX($FK$325:$ID$396,HF$169,1+SwaptionShift):INDEX($FK$325:$ID$396,HF$169,SwaptionMonthsToGo+SwaptionShift))))))</f>
        <v/>
      </c>
      <c r="HG214" s="479" t="str">
        <f ca="1">IF(OR(HG$169&lt;SwaptionFirstMonthPosition+1,$FJ214&lt;SwaptionFirstMonthPosition+1,HG$169&gt;SwaptionFirstMonthPosition+SwaptionNumOfMonths+1,$FJ214&gt;SwaptionFirstMonthPosition+SwaptionNumOfMonths+1),"",IF($FJ214=HG$169,1,IF($FJ214&lt;HG$169,INDEX($FK$170:$ID$241,HG$169,$FJ214),SUMPRODUCT(INDEX($FK$325:$ID$396,HG$169,1+SwaptionShift):INDEX($FK$325:$ID$396,HG$169,SwaptionMonthsToGo+SwaptionShift),INDEX($FK$245:$ID$316,$FJ214-HG$169,73-HG$169+SwaptionShift):INDEX($FK$245:$ID$316,$FJ214-HG$169,72-HG$169+SwaptionMonthsToGo+SwaptionShift))/SQRT(SUM(INDEX($FK369:$ID369,1+SwaptionShift):INDEX($FK369:$ID369,SwaptionMonthsToGo+SwaptionShift))*SUM(INDEX($FK$325:$ID$396,HG$169,1+SwaptionShift):INDEX($FK$325:$ID$396,HG$169,SwaptionMonthsToGo+SwaptionShift))))))</f>
        <v/>
      </c>
      <c r="HH214" s="479" t="str">
        <f ca="1">IF(OR(HH$169&lt;SwaptionFirstMonthPosition+1,$FJ214&lt;SwaptionFirstMonthPosition+1,HH$169&gt;SwaptionFirstMonthPosition+SwaptionNumOfMonths+1,$FJ214&gt;SwaptionFirstMonthPosition+SwaptionNumOfMonths+1),"",IF($FJ214=HH$169,1,IF($FJ214&lt;HH$169,INDEX($FK$170:$ID$241,HH$169,$FJ214),SUMPRODUCT(INDEX($FK$325:$ID$396,HH$169,1+SwaptionShift):INDEX($FK$325:$ID$396,HH$169,SwaptionMonthsToGo+SwaptionShift),INDEX($FK$245:$ID$316,$FJ214-HH$169,73-HH$169+SwaptionShift):INDEX($FK$245:$ID$316,$FJ214-HH$169,72-HH$169+SwaptionMonthsToGo+SwaptionShift))/SQRT(SUM(INDEX($FK369:$ID369,1+SwaptionShift):INDEX($FK369:$ID369,SwaptionMonthsToGo+SwaptionShift))*SUM(INDEX($FK$325:$ID$396,HH$169,1+SwaptionShift):INDEX($FK$325:$ID$396,HH$169,SwaptionMonthsToGo+SwaptionShift))))))</f>
        <v/>
      </c>
      <c r="HI214" s="479" t="str">
        <f ca="1">IF(OR(HI$169&lt;SwaptionFirstMonthPosition+1,$FJ214&lt;SwaptionFirstMonthPosition+1,HI$169&gt;SwaptionFirstMonthPosition+SwaptionNumOfMonths+1,$FJ214&gt;SwaptionFirstMonthPosition+SwaptionNumOfMonths+1),"",IF($FJ214=HI$169,1,IF($FJ214&lt;HI$169,INDEX($FK$170:$ID$241,HI$169,$FJ214),SUMPRODUCT(INDEX($FK$325:$ID$396,HI$169,1+SwaptionShift):INDEX($FK$325:$ID$396,HI$169,SwaptionMonthsToGo+SwaptionShift),INDEX($FK$245:$ID$316,$FJ214-HI$169,73-HI$169+SwaptionShift):INDEX($FK$245:$ID$316,$FJ214-HI$169,72-HI$169+SwaptionMonthsToGo+SwaptionShift))/SQRT(SUM(INDEX($FK369:$ID369,1+SwaptionShift):INDEX($FK369:$ID369,SwaptionMonthsToGo+SwaptionShift))*SUM(INDEX($FK$325:$ID$396,HI$169,1+SwaptionShift):INDEX($FK$325:$ID$396,HI$169,SwaptionMonthsToGo+SwaptionShift))))))</f>
        <v/>
      </c>
      <c r="HJ214" s="479" t="str">
        <f ca="1">IF(OR(HJ$169&lt;SwaptionFirstMonthPosition+1,$FJ214&lt;SwaptionFirstMonthPosition+1,HJ$169&gt;SwaptionFirstMonthPosition+SwaptionNumOfMonths+1,$FJ214&gt;SwaptionFirstMonthPosition+SwaptionNumOfMonths+1),"",IF($FJ214=HJ$169,1,IF($FJ214&lt;HJ$169,INDEX($FK$170:$ID$241,HJ$169,$FJ214),SUMPRODUCT(INDEX($FK$325:$ID$396,HJ$169,1+SwaptionShift):INDEX($FK$325:$ID$396,HJ$169,SwaptionMonthsToGo+SwaptionShift),INDEX($FK$245:$ID$316,$FJ214-HJ$169,73-HJ$169+SwaptionShift):INDEX($FK$245:$ID$316,$FJ214-HJ$169,72-HJ$169+SwaptionMonthsToGo+SwaptionShift))/SQRT(SUM(INDEX($FK369:$ID369,1+SwaptionShift):INDEX($FK369:$ID369,SwaptionMonthsToGo+SwaptionShift))*SUM(INDEX($FK$325:$ID$396,HJ$169,1+SwaptionShift):INDEX($FK$325:$ID$396,HJ$169,SwaptionMonthsToGo+SwaptionShift))))))</f>
        <v/>
      </c>
      <c r="HK214" s="479" t="str">
        <f ca="1">IF(OR(HK$169&lt;SwaptionFirstMonthPosition+1,$FJ214&lt;SwaptionFirstMonthPosition+1,HK$169&gt;SwaptionFirstMonthPosition+SwaptionNumOfMonths+1,$FJ214&gt;SwaptionFirstMonthPosition+SwaptionNumOfMonths+1),"",IF($FJ214=HK$169,1,IF($FJ214&lt;HK$169,INDEX($FK$170:$ID$241,HK$169,$FJ214),SUMPRODUCT(INDEX($FK$325:$ID$396,HK$169,1+SwaptionShift):INDEX($FK$325:$ID$396,HK$169,SwaptionMonthsToGo+SwaptionShift),INDEX($FK$245:$ID$316,$FJ214-HK$169,73-HK$169+SwaptionShift):INDEX($FK$245:$ID$316,$FJ214-HK$169,72-HK$169+SwaptionMonthsToGo+SwaptionShift))/SQRT(SUM(INDEX($FK369:$ID369,1+SwaptionShift):INDEX($FK369:$ID369,SwaptionMonthsToGo+SwaptionShift))*SUM(INDEX($FK$325:$ID$396,HK$169,1+SwaptionShift):INDEX($FK$325:$ID$396,HK$169,SwaptionMonthsToGo+SwaptionShift))))))</f>
        <v/>
      </c>
      <c r="HL214" s="479" t="str">
        <f ca="1">IF(OR(HL$169&lt;SwaptionFirstMonthPosition+1,$FJ214&lt;SwaptionFirstMonthPosition+1,HL$169&gt;SwaptionFirstMonthPosition+SwaptionNumOfMonths+1,$FJ214&gt;SwaptionFirstMonthPosition+SwaptionNumOfMonths+1),"",IF($FJ214=HL$169,1,IF($FJ214&lt;HL$169,INDEX($FK$170:$ID$241,HL$169,$FJ214),SUMPRODUCT(INDEX($FK$325:$ID$396,HL$169,1+SwaptionShift):INDEX($FK$325:$ID$396,HL$169,SwaptionMonthsToGo+SwaptionShift),INDEX($FK$245:$ID$316,$FJ214-HL$169,73-HL$169+SwaptionShift):INDEX($FK$245:$ID$316,$FJ214-HL$169,72-HL$169+SwaptionMonthsToGo+SwaptionShift))/SQRT(SUM(INDEX($FK369:$ID369,1+SwaptionShift):INDEX($FK369:$ID369,SwaptionMonthsToGo+SwaptionShift))*SUM(INDEX($FK$325:$ID$396,HL$169,1+SwaptionShift):INDEX($FK$325:$ID$396,HL$169,SwaptionMonthsToGo+SwaptionShift))))))</f>
        <v/>
      </c>
      <c r="HM214" s="479" t="str">
        <f ca="1">IF(OR(HM$169&lt;SwaptionFirstMonthPosition+1,$FJ214&lt;SwaptionFirstMonthPosition+1,HM$169&gt;SwaptionFirstMonthPosition+SwaptionNumOfMonths+1,$FJ214&gt;SwaptionFirstMonthPosition+SwaptionNumOfMonths+1),"",IF($FJ214=HM$169,1,IF($FJ214&lt;HM$169,INDEX($FK$170:$ID$241,HM$169,$FJ214),SUMPRODUCT(INDEX($FK$325:$ID$396,HM$169,1+SwaptionShift):INDEX($FK$325:$ID$396,HM$169,SwaptionMonthsToGo+SwaptionShift),INDEX($FK$245:$ID$316,$FJ214-HM$169,73-HM$169+SwaptionShift):INDEX($FK$245:$ID$316,$FJ214-HM$169,72-HM$169+SwaptionMonthsToGo+SwaptionShift))/SQRT(SUM(INDEX($FK369:$ID369,1+SwaptionShift):INDEX($FK369:$ID369,SwaptionMonthsToGo+SwaptionShift))*SUM(INDEX($FK$325:$ID$396,HM$169,1+SwaptionShift):INDEX($FK$325:$ID$396,HM$169,SwaptionMonthsToGo+SwaptionShift))))))</f>
        <v/>
      </c>
      <c r="HN214" s="479" t="str">
        <f ca="1">IF(OR(HN$169&lt;SwaptionFirstMonthPosition+1,$FJ214&lt;SwaptionFirstMonthPosition+1,HN$169&gt;SwaptionFirstMonthPosition+SwaptionNumOfMonths+1,$FJ214&gt;SwaptionFirstMonthPosition+SwaptionNumOfMonths+1),"",IF($FJ214=HN$169,1,IF($FJ214&lt;HN$169,INDEX($FK$170:$ID$241,HN$169,$FJ214),SUMPRODUCT(INDEX($FK$325:$ID$396,HN$169,1+SwaptionShift):INDEX($FK$325:$ID$396,HN$169,SwaptionMonthsToGo+SwaptionShift),INDEX($FK$245:$ID$316,$FJ214-HN$169,73-HN$169+SwaptionShift):INDEX($FK$245:$ID$316,$FJ214-HN$169,72-HN$169+SwaptionMonthsToGo+SwaptionShift))/SQRT(SUM(INDEX($FK369:$ID369,1+SwaptionShift):INDEX($FK369:$ID369,SwaptionMonthsToGo+SwaptionShift))*SUM(INDEX($FK$325:$ID$396,HN$169,1+SwaptionShift):INDEX($FK$325:$ID$396,HN$169,SwaptionMonthsToGo+SwaptionShift))))))</f>
        <v/>
      </c>
      <c r="HO214" s="479" t="str">
        <f ca="1">IF(OR(HO$169&lt;SwaptionFirstMonthPosition+1,$FJ214&lt;SwaptionFirstMonthPosition+1,HO$169&gt;SwaptionFirstMonthPosition+SwaptionNumOfMonths+1,$FJ214&gt;SwaptionFirstMonthPosition+SwaptionNumOfMonths+1),"",IF($FJ214=HO$169,1,IF($FJ214&lt;HO$169,INDEX($FK$170:$ID$241,HO$169,$FJ214),SUMPRODUCT(INDEX($FK$325:$ID$396,HO$169,1+SwaptionShift):INDEX($FK$325:$ID$396,HO$169,SwaptionMonthsToGo+SwaptionShift),INDEX($FK$245:$ID$316,$FJ214-HO$169,73-HO$169+SwaptionShift):INDEX($FK$245:$ID$316,$FJ214-HO$169,72-HO$169+SwaptionMonthsToGo+SwaptionShift))/SQRT(SUM(INDEX($FK369:$ID369,1+SwaptionShift):INDEX($FK369:$ID369,SwaptionMonthsToGo+SwaptionShift))*SUM(INDEX($FK$325:$ID$396,HO$169,1+SwaptionShift):INDEX($FK$325:$ID$396,HO$169,SwaptionMonthsToGo+SwaptionShift))))))</f>
        <v/>
      </c>
      <c r="HP214" s="479" t="str">
        <f ca="1">IF(OR(HP$169&lt;SwaptionFirstMonthPosition+1,$FJ214&lt;SwaptionFirstMonthPosition+1,HP$169&gt;SwaptionFirstMonthPosition+SwaptionNumOfMonths+1,$FJ214&gt;SwaptionFirstMonthPosition+SwaptionNumOfMonths+1),"",IF($FJ214=HP$169,1,IF($FJ214&lt;HP$169,INDEX($FK$170:$ID$241,HP$169,$FJ214),SUMPRODUCT(INDEX($FK$325:$ID$396,HP$169,1+SwaptionShift):INDEX($FK$325:$ID$396,HP$169,SwaptionMonthsToGo+SwaptionShift),INDEX($FK$245:$ID$316,$FJ214-HP$169,73-HP$169+SwaptionShift):INDEX($FK$245:$ID$316,$FJ214-HP$169,72-HP$169+SwaptionMonthsToGo+SwaptionShift))/SQRT(SUM(INDEX($FK369:$ID369,1+SwaptionShift):INDEX($FK369:$ID369,SwaptionMonthsToGo+SwaptionShift))*SUM(INDEX($FK$325:$ID$396,HP$169,1+SwaptionShift):INDEX($FK$325:$ID$396,HP$169,SwaptionMonthsToGo+SwaptionShift))))))</f>
        <v/>
      </c>
      <c r="HQ214" s="479" t="str">
        <f ca="1">IF(OR(HQ$169&lt;SwaptionFirstMonthPosition+1,$FJ214&lt;SwaptionFirstMonthPosition+1,HQ$169&gt;SwaptionFirstMonthPosition+SwaptionNumOfMonths+1,$FJ214&gt;SwaptionFirstMonthPosition+SwaptionNumOfMonths+1),"",IF($FJ214=HQ$169,1,IF($FJ214&lt;HQ$169,INDEX($FK$170:$ID$241,HQ$169,$FJ214),SUMPRODUCT(INDEX($FK$325:$ID$396,HQ$169,1+SwaptionShift):INDEX($FK$325:$ID$396,HQ$169,SwaptionMonthsToGo+SwaptionShift),INDEX($FK$245:$ID$316,$FJ214-HQ$169,73-HQ$169+SwaptionShift):INDEX($FK$245:$ID$316,$FJ214-HQ$169,72-HQ$169+SwaptionMonthsToGo+SwaptionShift))/SQRT(SUM(INDEX($FK369:$ID369,1+SwaptionShift):INDEX($FK369:$ID369,SwaptionMonthsToGo+SwaptionShift))*SUM(INDEX($FK$325:$ID$396,HQ$169,1+SwaptionShift):INDEX($FK$325:$ID$396,HQ$169,SwaptionMonthsToGo+SwaptionShift))))))</f>
        <v/>
      </c>
      <c r="HR214" s="479" t="str">
        <f ca="1">IF(OR(HR$169&lt;SwaptionFirstMonthPosition+1,$FJ214&lt;SwaptionFirstMonthPosition+1,HR$169&gt;SwaptionFirstMonthPosition+SwaptionNumOfMonths+1,$FJ214&gt;SwaptionFirstMonthPosition+SwaptionNumOfMonths+1),"",IF($FJ214=HR$169,1,IF($FJ214&lt;HR$169,INDEX($FK$170:$ID$241,HR$169,$FJ214),SUMPRODUCT(INDEX($FK$325:$ID$396,HR$169,1+SwaptionShift):INDEX($FK$325:$ID$396,HR$169,SwaptionMonthsToGo+SwaptionShift),INDEX($FK$245:$ID$316,$FJ214-HR$169,73-HR$169+SwaptionShift):INDEX($FK$245:$ID$316,$FJ214-HR$169,72-HR$169+SwaptionMonthsToGo+SwaptionShift))/SQRT(SUM(INDEX($FK369:$ID369,1+SwaptionShift):INDEX($FK369:$ID369,SwaptionMonthsToGo+SwaptionShift))*SUM(INDEX($FK$325:$ID$396,HR$169,1+SwaptionShift):INDEX($FK$325:$ID$396,HR$169,SwaptionMonthsToGo+SwaptionShift))))))</f>
        <v/>
      </c>
      <c r="HS214" s="479" t="str">
        <f ca="1">IF(OR(HS$169&lt;SwaptionFirstMonthPosition+1,$FJ214&lt;SwaptionFirstMonthPosition+1,HS$169&gt;SwaptionFirstMonthPosition+SwaptionNumOfMonths+1,$FJ214&gt;SwaptionFirstMonthPosition+SwaptionNumOfMonths+1),"",IF($FJ214=HS$169,1,IF($FJ214&lt;HS$169,INDEX($FK$170:$ID$241,HS$169,$FJ214),SUMPRODUCT(INDEX($FK$325:$ID$396,HS$169,1+SwaptionShift):INDEX($FK$325:$ID$396,HS$169,SwaptionMonthsToGo+SwaptionShift),INDEX($FK$245:$ID$316,$FJ214-HS$169,73-HS$169+SwaptionShift):INDEX($FK$245:$ID$316,$FJ214-HS$169,72-HS$169+SwaptionMonthsToGo+SwaptionShift))/SQRT(SUM(INDEX($FK369:$ID369,1+SwaptionShift):INDEX($FK369:$ID369,SwaptionMonthsToGo+SwaptionShift))*SUM(INDEX($FK$325:$ID$396,HS$169,1+SwaptionShift):INDEX($FK$325:$ID$396,HS$169,SwaptionMonthsToGo+SwaptionShift))))))</f>
        <v/>
      </c>
      <c r="HT214" s="479" t="str">
        <f ca="1">IF(OR(HT$169&lt;SwaptionFirstMonthPosition+1,$FJ214&lt;SwaptionFirstMonthPosition+1,HT$169&gt;SwaptionFirstMonthPosition+SwaptionNumOfMonths+1,$FJ214&gt;SwaptionFirstMonthPosition+SwaptionNumOfMonths+1),"",IF($FJ214=HT$169,1,IF($FJ214&lt;HT$169,INDEX($FK$170:$ID$241,HT$169,$FJ214),SUMPRODUCT(INDEX($FK$325:$ID$396,HT$169,1+SwaptionShift):INDEX($FK$325:$ID$396,HT$169,SwaptionMonthsToGo+SwaptionShift),INDEX($FK$245:$ID$316,$FJ214-HT$169,73-HT$169+SwaptionShift):INDEX($FK$245:$ID$316,$FJ214-HT$169,72-HT$169+SwaptionMonthsToGo+SwaptionShift))/SQRT(SUM(INDEX($FK369:$ID369,1+SwaptionShift):INDEX($FK369:$ID369,SwaptionMonthsToGo+SwaptionShift))*SUM(INDEX($FK$325:$ID$396,HT$169,1+SwaptionShift):INDEX($FK$325:$ID$396,HT$169,SwaptionMonthsToGo+SwaptionShift))))))</f>
        <v/>
      </c>
      <c r="HU214" s="479" t="str">
        <f ca="1">IF(OR(HU$169&lt;SwaptionFirstMonthPosition+1,$FJ214&lt;SwaptionFirstMonthPosition+1,HU$169&gt;SwaptionFirstMonthPosition+SwaptionNumOfMonths+1,$FJ214&gt;SwaptionFirstMonthPosition+SwaptionNumOfMonths+1),"",IF($FJ214=HU$169,1,IF($FJ214&lt;HU$169,INDEX($FK$170:$ID$241,HU$169,$FJ214),SUMPRODUCT(INDEX($FK$325:$ID$396,HU$169,1+SwaptionShift):INDEX($FK$325:$ID$396,HU$169,SwaptionMonthsToGo+SwaptionShift),INDEX($FK$245:$ID$316,$FJ214-HU$169,73-HU$169+SwaptionShift):INDEX($FK$245:$ID$316,$FJ214-HU$169,72-HU$169+SwaptionMonthsToGo+SwaptionShift))/SQRT(SUM(INDEX($FK369:$ID369,1+SwaptionShift):INDEX($FK369:$ID369,SwaptionMonthsToGo+SwaptionShift))*SUM(INDEX($FK$325:$ID$396,HU$169,1+SwaptionShift):INDEX($FK$325:$ID$396,HU$169,SwaptionMonthsToGo+SwaptionShift))))))</f>
        <v/>
      </c>
      <c r="HV214" s="479" t="str">
        <f ca="1">IF(OR(HV$169&lt;SwaptionFirstMonthPosition+1,$FJ214&lt;SwaptionFirstMonthPosition+1,HV$169&gt;SwaptionFirstMonthPosition+SwaptionNumOfMonths+1,$FJ214&gt;SwaptionFirstMonthPosition+SwaptionNumOfMonths+1),"",IF($FJ214=HV$169,1,IF($FJ214&lt;HV$169,INDEX($FK$170:$ID$241,HV$169,$FJ214),SUMPRODUCT(INDEX($FK$325:$ID$396,HV$169,1+SwaptionShift):INDEX($FK$325:$ID$396,HV$169,SwaptionMonthsToGo+SwaptionShift),INDEX($FK$245:$ID$316,$FJ214-HV$169,73-HV$169+SwaptionShift):INDEX($FK$245:$ID$316,$FJ214-HV$169,72-HV$169+SwaptionMonthsToGo+SwaptionShift))/SQRT(SUM(INDEX($FK369:$ID369,1+SwaptionShift):INDEX($FK369:$ID369,SwaptionMonthsToGo+SwaptionShift))*SUM(INDEX($FK$325:$ID$396,HV$169,1+SwaptionShift):INDEX($FK$325:$ID$396,HV$169,SwaptionMonthsToGo+SwaptionShift))))))</f>
        <v/>
      </c>
      <c r="HW214" s="479" t="str">
        <f ca="1">IF(OR(HW$169&lt;SwaptionFirstMonthPosition+1,$FJ214&lt;SwaptionFirstMonthPosition+1,HW$169&gt;SwaptionFirstMonthPosition+SwaptionNumOfMonths+1,$FJ214&gt;SwaptionFirstMonthPosition+SwaptionNumOfMonths+1),"",IF($FJ214=HW$169,1,IF($FJ214&lt;HW$169,INDEX($FK$170:$ID$241,HW$169,$FJ214),SUMPRODUCT(INDEX($FK$325:$ID$396,HW$169,1+SwaptionShift):INDEX($FK$325:$ID$396,HW$169,SwaptionMonthsToGo+SwaptionShift),INDEX($FK$245:$ID$316,$FJ214-HW$169,73-HW$169+SwaptionShift):INDEX($FK$245:$ID$316,$FJ214-HW$169,72-HW$169+SwaptionMonthsToGo+SwaptionShift))/SQRT(SUM(INDEX($FK369:$ID369,1+SwaptionShift):INDEX($FK369:$ID369,SwaptionMonthsToGo+SwaptionShift))*SUM(INDEX($FK$325:$ID$396,HW$169,1+SwaptionShift):INDEX($FK$325:$ID$396,HW$169,SwaptionMonthsToGo+SwaptionShift))))))</f>
        <v/>
      </c>
      <c r="HX214" s="479" t="str">
        <f ca="1">IF(OR(HX$169&lt;SwaptionFirstMonthPosition+1,$FJ214&lt;SwaptionFirstMonthPosition+1,HX$169&gt;SwaptionFirstMonthPosition+SwaptionNumOfMonths+1,$FJ214&gt;SwaptionFirstMonthPosition+SwaptionNumOfMonths+1),"",IF($FJ214=HX$169,1,IF($FJ214&lt;HX$169,INDEX($FK$170:$ID$241,HX$169,$FJ214),SUMPRODUCT(INDEX($FK$325:$ID$396,HX$169,1+SwaptionShift):INDEX($FK$325:$ID$396,HX$169,SwaptionMonthsToGo+SwaptionShift),INDEX($FK$245:$ID$316,$FJ214-HX$169,73-HX$169+SwaptionShift):INDEX($FK$245:$ID$316,$FJ214-HX$169,72-HX$169+SwaptionMonthsToGo+SwaptionShift))/SQRT(SUM(INDEX($FK369:$ID369,1+SwaptionShift):INDEX($FK369:$ID369,SwaptionMonthsToGo+SwaptionShift))*SUM(INDEX($FK$325:$ID$396,HX$169,1+SwaptionShift):INDEX($FK$325:$ID$396,HX$169,SwaptionMonthsToGo+SwaptionShift))))))</f>
        <v/>
      </c>
      <c r="HY214" s="479" t="str">
        <f ca="1">IF(OR(HY$169&lt;SwaptionFirstMonthPosition+1,$FJ214&lt;SwaptionFirstMonthPosition+1,HY$169&gt;SwaptionFirstMonthPosition+SwaptionNumOfMonths+1,$FJ214&gt;SwaptionFirstMonthPosition+SwaptionNumOfMonths+1),"",IF($FJ214=HY$169,1,IF($FJ214&lt;HY$169,INDEX($FK$170:$ID$241,HY$169,$FJ214),SUMPRODUCT(INDEX($FK$325:$ID$396,HY$169,1+SwaptionShift):INDEX($FK$325:$ID$396,HY$169,SwaptionMonthsToGo+SwaptionShift),INDEX($FK$245:$ID$316,$FJ214-HY$169,73-HY$169+SwaptionShift):INDEX($FK$245:$ID$316,$FJ214-HY$169,72-HY$169+SwaptionMonthsToGo+SwaptionShift))/SQRT(SUM(INDEX($FK369:$ID369,1+SwaptionShift):INDEX($FK369:$ID369,SwaptionMonthsToGo+SwaptionShift))*SUM(INDEX($FK$325:$ID$396,HY$169,1+SwaptionShift):INDEX($FK$325:$ID$396,HY$169,SwaptionMonthsToGo+SwaptionShift))))))</f>
        <v/>
      </c>
      <c r="HZ214" s="479" t="str">
        <f ca="1">IF(OR(HZ$169&lt;SwaptionFirstMonthPosition+1,$FJ214&lt;SwaptionFirstMonthPosition+1,HZ$169&gt;SwaptionFirstMonthPosition+SwaptionNumOfMonths+1,$FJ214&gt;SwaptionFirstMonthPosition+SwaptionNumOfMonths+1),"",IF($FJ214=HZ$169,1,IF($FJ214&lt;HZ$169,INDEX($FK$170:$ID$241,HZ$169,$FJ214),SUMPRODUCT(INDEX($FK$325:$ID$396,HZ$169,1+SwaptionShift):INDEX($FK$325:$ID$396,HZ$169,SwaptionMonthsToGo+SwaptionShift),INDEX($FK$245:$ID$316,$FJ214-HZ$169,73-HZ$169+SwaptionShift):INDEX($FK$245:$ID$316,$FJ214-HZ$169,72-HZ$169+SwaptionMonthsToGo+SwaptionShift))/SQRT(SUM(INDEX($FK369:$ID369,1+SwaptionShift):INDEX($FK369:$ID369,SwaptionMonthsToGo+SwaptionShift))*SUM(INDEX($FK$325:$ID$396,HZ$169,1+SwaptionShift):INDEX($FK$325:$ID$396,HZ$169,SwaptionMonthsToGo+SwaptionShift))))))</f>
        <v/>
      </c>
      <c r="IA214" s="479" t="str">
        <f ca="1">IF(OR(IA$169&lt;SwaptionFirstMonthPosition+1,$FJ214&lt;SwaptionFirstMonthPosition+1,IA$169&gt;SwaptionFirstMonthPosition+SwaptionNumOfMonths+1,$FJ214&gt;SwaptionFirstMonthPosition+SwaptionNumOfMonths+1),"",IF($FJ214=IA$169,1,IF($FJ214&lt;IA$169,INDEX($FK$170:$ID$241,IA$169,$FJ214),SUMPRODUCT(INDEX($FK$325:$ID$396,IA$169,1+SwaptionShift):INDEX($FK$325:$ID$396,IA$169,SwaptionMonthsToGo+SwaptionShift),INDEX($FK$245:$ID$316,$FJ214-IA$169,73-IA$169+SwaptionShift):INDEX($FK$245:$ID$316,$FJ214-IA$169,72-IA$169+SwaptionMonthsToGo+SwaptionShift))/SQRT(SUM(INDEX($FK369:$ID369,1+SwaptionShift):INDEX($FK369:$ID369,SwaptionMonthsToGo+SwaptionShift))*SUM(INDEX($FK$325:$ID$396,IA$169,1+SwaptionShift):INDEX($FK$325:$ID$396,IA$169,SwaptionMonthsToGo+SwaptionShift))))))</f>
        <v/>
      </c>
      <c r="IB214" s="479" t="str">
        <f ca="1">IF(OR(IB$169&lt;SwaptionFirstMonthPosition+1,$FJ214&lt;SwaptionFirstMonthPosition+1,IB$169&gt;SwaptionFirstMonthPosition+SwaptionNumOfMonths+1,$FJ214&gt;SwaptionFirstMonthPosition+SwaptionNumOfMonths+1),"",IF($FJ214=IB$169,1,IF($FJ214&lt;IB$169,INDEX($FK$170:$ID$241,IB$169,$FJ214),SUMPRODUCT(INDEX($FK$325:$ID$396,IB$169,1+SwaptionShift):INDEX($FK$325:$ID$396,IB$169,SwaptionMonthsToGo+SwaptionShift),INDEX($FK$245:$ID$316,$FJ214-IB$169,73-IB$169+SwaptionShift):INDEX($FK$245:$ID$316,$FJ214-IB$169,72-IB$169+SwaptionMonthsToGo+SwaptionShift))/SQRT(SUM(INDEX($FK369:$ID369,1+SwaptionShift):INDEX($FK369:$ID369,SwaptionMonthsToGo+SwaptionShift))*SUM(INDEX($FK$325:$ID$396,IB$169,1+SwaptionShift):INDEX($FK$325:$ID$396,IB$169,SwaptionMonthsToGo+SwaptionShift))))))</f>
        <v/>
      </c>
      <c r="IC214" s="479" t="str">
        <f ca="1">IF(OR(IC$169&lt;SwaptionFirstMonthPosition+1,$FJ214&lt;SwaptionFirstMonthPosition+1,IC$169&gt;SwaptionFirstMonthPosition+SwaptionNumOfMonths+1,$FJ214&gt;SwaptionFirstMonthPosition+SwaptionNumOfMonths+1),"",IF($FJ214=IC$169,1,IF($FJ214&lt;IC$169,INDEX($FK$170:$ID$241,IC$169,$FJ214),SUMPRODUCT(INDEX($FK$325:$ID$396,IC$169,1+SwaptionShift):INDEX($FK$325:$ID$396,IC$169,SwaptionMonthsToGo+SwaptionShift),INDEX($FK$245:$ID$316,$FJ214-IC$169,73-IC$169+SwaptionShift):INDEX($FK$245:$ID$316,$FJ214-IC$169,72-IC$169+SwaptionMonthsToGo+SwaptionShift))/SQRT(SUM(INDEX($FK369:$ID369,1+SwaptionShift):INDEX($FK369:$ID369,SwaptionMonthsToGo+SwaptionShift))*SUM(INDEX($FK$325:$ID$396,IC$169,1+SwaptionShift):INDEX($FK$325:$ID$396,IC$169,SwaptionMonthsToGo+SwaptionShift))))))</f>
        <v/>
      </c>
      <c r="ID214" s="678" t="str">
        <f ca="1">IF(OR(ID$169&lt;SwaptionFirstMonthPosition+1,$FJ214&lt;SwaptionFirstMonthPosition+1,ID$169&gt;SwaptionFirstMonthPosition+SwaptionNumOfMonths+1,$FJ214&gt;SwaptionFirstMonthPosition+SwaptionNumOfMonths+1),"",IF($FJ214=ID$169,1,IF($FJ214&lt;ID$169,INDEX($FK$170:$ID$241,ID$169,$FJ214),SUMPRODUCT(INDEX($FK$325:$ID$396,ID$169,1+SwaptionShift):INDEX($FK$325:$ID$396,ID$169,SwaptionMonthsToGo+SwaptionShift),INDEX($FK$245:$ID$316,$FJ214-ID$169,73-ID$169+SwaptionShift):INDEX($FK$245:$ID$316,$FJ214-ID$169,72-ID$169+SwaptionMonthsToGo+SwaptionShift))/SQRT(SUM(INDEX($FK369:$ID369,1+SwaptionShift):INDEX($FK369:$ID369,SwaptionMonthsToGo+SwaptionShift))*SUM(INDEX($FK$325:$ID$396,ID$169,1+SwaptionShift):INDEX($FK$325:$ID$396,ID$169,SwaptionMonthsToGo+SwaptionShift))))))</f>
        <v/>
      </c>
      <c r="IE214" s="250"/>
    </row>
    <row r="215" spans="8:239">
      <c r="H215" s="51">
        <f t="shared" ca="1" si="646"/>
        <v>0</v>
      </c>
      <c r="I215" s="379">
        <f t="shared" si="647"/>
        <v>42705</v>
      </c>
      <c r="J215" s="377"/>
      <c r="K215" s="104" t="s">
        <v>268</v>
      </c>
      <c r="L215" s="392">
        <f t="shared" si="648"/>
        <v>4.4625000000000021</v>
      </c>
      <c r="M215" s="171"/>
      <c r="N215" s="382">
        <v>0</v>
      </c>
      <c r="O215" s="171">
        <f t="shared" si="596"/>
        <v>0</v>
      </c>
      <c r="P215" s="377"/>
      <c r="Q215" s="104" t="s">
        <v>268</v>
      </c>
      <c r="R215" s="377">
        <f t="shared" ca="1" si="597"/>
        <v>3.2697351386703488</v>
      </c>
      <c r="S215" s="832">
        <f t="shared" si="564"/>
        <v>0.3600000000000001</v>
      </c>
      <c r="T215" s="831">
        <f t="shared" si="661"/>
        <v>0.99999999999999378</v>
      </c>
      <c r="U215" s="545">
        <f t="shared" si="662"/>
        <v>0.99999999999999978</v>
      </c>
      <c r="V215" s="389">
        <v>0</v>
      </c>
      <c r="W215" s="434">
        <f t="shared" si="598"/>
        <v>0</v>
      </c>
      <c r="X215" s="415">
        <f t="shared" si="599"/>
        <v>4.5136363636363654</v>
      </c>
      <c r="Y215" s="322">
        <f t="shared" si="600"/>
        <v>-1.1931</v>
      </c>
      <c r="Z215" s="322">
        <f t="shared" ca="1" si="601"/>
        <v>3.3205363636363652</v>
      </c>
      <c r="AA215" s="429">
        <f t="shared" si="628"/>
        <v>1.1931</v>
      </c>
      <c r="AB215" s="433">
        <f t="shared" ca="1" si="629"/>
        <v>1.1931</v>
      </c>
      <c r="AC215" s="229">
        <v>42694</v>
      </c>
      <c r="AD215" s="229">
        <v>42690</v>
      </c>
      <c r="AE215" s="229">
        <v>42689</v>
      </c>
      <c r="AF215" s="229">
        <v>42685</v>
      </c>
      <c r="AG215" s="249" t="s">
        <v>499</v>
      </c>
      <c r="AH215" s="247" t="s">
        <v>499</v>
      </c>
      <c r="AI215" s="146">
        <v>22</v>
      </c>
      <c r="AJ215" s="41">
        <v>14</v>
      </c>
      <c r="AK215" s="41">
        <v>8</v>
      </c>
      <c r="AL215" s="293">
        <v>22</v>
      </c>
      <c r="AM215" s="41">
        <v>10</v>
      </c>
      <c r="AN215" s="147">
        <v>12</v>
      </c>
      <c r="AO215" s="374"/>
      <c r="AP215" s="153">
        <f t="shared" ca="1" si="649"/>
        <v>1</v>
      </c>
      <c r="AQ215" s="374"/>
      <c r="AR215" s="153">
        <f t="shared" ca="1" si="663"/>
        <v>1</v>
      </c>
      <c r="AS215" s="272">
        <f t="shared" si="602"/>
        <v>0</v>
      </c>
      <c r="AT215" s="157">
        <f t="shared" si="650"/>
        <v>0</v>
      </c>
      <c r="AU215" s="157">
        <f t="shared" si="630"/>
        <v>0</v>
      </c>
      <c r="AV215" s="271">
        <f t="shared" ca="1" si="670"/>
        <v>9.9999999999999995E-7</v>
      </c>
      <c r="AW215" s="158" t="str">
        <f t="shared" ca="1" si="583"/>
        <v/>
      </c>
      <c r="AX215" s="157">
        <f t="shared" ca="1" si="664"/>
        <v>3.5228253460665049E-5</v>
      </c>
      <c r="AY215" s="157">
        <f t="shared" ca="1" si="665"/>
        <v>7.4285055644073377E-6</v>
      </c>
      <c r="AZ215" s="157">
        <f t="shared" ca="1" si="666"/>
        <v>1.8753460359045198E-7</v>
      </c>
      <c r="BA215" s="157">
        <f t="shared" ca="1" si="667"/>
        <v>2.3441825448806498E-8</v>
      </c>
      <c r="BB215" s="157">
        <f t="shared" ca="1" si="668"/>
        <v>6.8817880707596125E-11</v>
      </c>
      <c r="BC215" s="157">
        <f t="shared" ca="1" si="669"/>
        <v>1.0990383607444879E-12</v>
      </c>
      <c r="BD215" s="151">
        <f t="shared" ca="1" si="603"/>
        <v>0</v>
      </c>
      <c r="BE215" s="152">
        <f t="shared" ca="1" si="604"/>
        <v>0</v>
      </c>
      <c r="BF215" s="40">
        <f t="shared" si="605"/>
        <v>2016</v>
      </c>
      <c r="BG215" s="144">
        <f t="shared" si="606"/>
        <v>12</v>
      </c>
      <c r="BH215" s="145">
        <f t="shared" ca="1" si="607"/>
        <v>5945</v>
      </c>
      <c r="BI215" s="313">
        <f t="shared" ca="1" si="608"/>
        <v>16.317590691307323</v>
      </c>
      <c r="BJ215" s="42">
        <f t="shared" ca="1" si="631"/>
        <v>16.369858751788936</v>
      </c>
      <c r="BK215" s="42">
        <f t="shared" ca="1" si="632"/>
        <v>16.372596602576067</v>
      </c>
      <c r="BL215" s="42">
        <f t="shared" ca="1" si="609"/>
        <v>16.399726214921287</v>
      </c>
      <c r="BM215" s="150" t="e">
        <f t="shared" ca="1" si="633"/>
        <v>#DIV/0!</v>
      </c>
      <c r="BN215" s="42" t="e">
        <f t="shared" ca="1" si="634"/>
        <v>#DIV/0!</v>
      </c>
      <c r="BO215" s="293">
        <f t="shared" si="610"/>
        <v>22</v>
      </c>
      <c r="BP215" s="41">
        <f t="shared" si="611"/>
        <v>14</v>
      </c>
      <c r="BQ215" s="41">
        <f t="shared" si="612"/>
        <v>8</v>
      </c>
      <c r="BR215" s="305" t="str">
        <f t="shared" ca="1" si="635"/>
        <v/>
      </c>
      <c r="BS215" s="305" t="str">
        <f t="shared" ca="1" si="613"/>
        <v/>
      </c>
      <c r="BT215" s="307" t="str">
        <f t="shared" ca="1" si="614"/>
        <v/>
      </c>
      <c r="BU215" s="161" t="str">
        <f t="shared" ca="1" si="636"/>
        <v/>
      </c>
      <c r="BV215" s="161" t="str">
        <f t="shared" ca="1" si="637"/>
        <v/>
      </c>
      <c r="BW215" s="308" t="str">
        <f t="shared" ca="1" si="638"/>
        <v/>
      </c>
      <c r="BX215" s="309" t="str">
        <f t="shared" ca="1" si="639"/>
        <v/>
      </c>
      <c r="BY215" s="308" t="str">
        <f t="shared" ca="1" si="615"/>
        <v/>
      </c>
      <c r="BZ215" s="309" t="str">
        <f t="shared" ca="1" si="616"/>
        <v/>
      </c>
      <c r="CA215" s="154" t="str">
        <f t="shared" ca="1" si="640"/>
        <v/>
      </c>
      <c r="CB215" s="154" t="str">
        <f t="shared" ca="1" si="641"/>
        <v/>
      </c>
      <c r="CC215" s="154" t="str">
        <f t="shared" ca="1" si="642"/>
        <v/>
      </c>
      <c r="CD215" s="154" t="str">
        <f t="shared" ca="1" si="643"/>
        <v/>
      </c>
      <c r="CE215" s="310">
        <v>1</v>
      </c>
      <c r="CF215" s="162">
        <f ca="1">IF(BD215,_xll.xCrudeAPO(BU215,BV215,CA215,CB215,S216,S217,BI215,BL215,BP215,BQ215,0,Strike1,AO215,CE215,0,BL215,IF(OptControl=4,0,1),0,1),0)</f>
        <v>0</v>
      </c>
      <c r="CG215" s="163">
        <f ca="1">IF(BD215,_xll.xCrudeAPO(BU215,BV215,CA215,CB215,S216,S217,BI215,BL215,BP215,BQ215,0,Strike1,AO215,CE215,0,BL215,IF(OptControl=4,0,1),1,1)+_xll.xCrudeAPO(BU215,BV215,CA215,CB215,S216,S217,BI215,BL215,BP215,BQ215,0,Strike1,AO215,CE215,0,BL215,IF(OptControl=4,0,1),1,2)+IF(OR(VolSkewFlag=2,ABS(BS215)&lt;0.0001),0,IF(BS215&gt;0,-1,1)*CH215*Strike1/BR215^2*BY215/10%),0)</f>
        <v>0</v>
      </c>
      <c r="CH215" s="163">
        <f ca="1">IF(BD215,(_xll.xCrudeAPO(BU215,BV215,CA215,CB215,S216,S217,BI215,BL215,BP215,BQ215,0,Strike1,AO215,CE215,0,BL215,IF(OptControl=4,0,1),3,1)+_xll.xCrudeAPO(BU215,BV215,CA215,CB215,S216,S217,BI215,BL215,BP215,BQ215,0,Strike1,AO215,CE215,0,BL215,IF(OptControl=4,0,1),3,2))/100,0)</f>
        <v>0</v>
      </c>
      <c r="CI215" s="163">
        <f ca="1">IF(BD215,_xll.xCrudeAPO(BU215,BV215,CA215,CB215,S216,S217,BI215-DaysForThetaCalculation/365.25,BL215-DaysForThetaCalculation/365.25,BP215,BQ215,0,Strike1,AO215,CE215,0,BL215,IF(OptControl=4,0,1),0,1)-_xll.xCrudeAPO(BU215,BV215,CA215,CB215,S216,S217,BI215,BL215,BP215,BQ215,0,Strike1,AO215,CE215,0,BL215,IF(OptControl=4,0,1),0,1),0)</f>
        <v>0</v>
      </c>
      <c r="CJ215" s="311">
        <f ca="1">IF(BD215,_xll.xCrudeAPO(BU215,BV215,CC215,CD215,S216,S217,BI215,BL215,BP215,BQ215,0,Strike2,AO215,CE215,0,BL215,IF(OptControl=3,1,0),0,1),0)</f>
        <v>0</v>
      </c>
      <c r="CK215" s="163">
        <f ca="1">IF(BD215,_xll.xCrudeAPO(BU215,BV215,CC215,CD215,S216,S217,BI215,BL215,BP215,BQ215,0,Strike2,AO215,CE215,0,BL215,IF(OptControl=3,1,0),1,1)+_xll.xCrudeAPO(BU215,BV215,CC215,CD215,S216,S217,BI215,BL215,BP215,BQ215,0,Strike2,AO215,CE215,0,BL215,IF(OptControl=3,1,0),1,2)+IF(OR(VolSkewFlag=2,ABS(BT215)&lt;0.0001),0,IF(BT215&gt;0,-1,1)*CL215*Strike2/BR215^2*BZ215/10%),0)</f>
        <v>0</v>
      </c>
      <c r="CL215" s="163">
        <f ca="1">IF(BD215,(_xll.xCrudeAPO(BU215,BV215,CC215,CD215,S216,S217,BI215,BL215,BP215,BQ215,0,Strike2,AO215,CE215,0,BL215,IF(OptControl=3,1,0),3,1)+_xll.xCrudeAPO(BU215,BV215,CC215,CD215,S216,S217,BI215,BL215,BP215,BQ215,0,Strike2,AO215,CE215,0,BL215,IF(OptControl=3,1,0),3,2))/100,0)</f>
        <v>0</v>
      </c>
      <c r="CM215" s="164">
        <f ca="1">IF(BD215,_xll.xCrudeAPO(BU215,BV215,CC215,CD215,S216,S217,BI215-DaysForThetaCalculation/365.25,BL215-DaysForThetaCalculation/365.25,BP215,BQ215,0,Strike2,AO215,CE215,0,BL215,IF(OptControl=3,1,0),0,1)-_xll.xCrudeAPO(BU215,BV215,CC215,CD215,S216,S217,BI215,BL215,BP215,BQ215,0,Strike2,AO215,CE215,0,BL215,IF(OptControl=3,1,0),0,1),0)</f>
        <v>0</v>
      </c>
      <c r="CN215" s="53"/>
      <c r="CO215" s="796" t="str">
        <f t="shared" ca="1" si="651"/>
        <v/>
      </c>
      <c r="CP215" s="800" t="str">
        <f t="shared" ca="1" si="652"/>
        <v/>
      </c>
      <c r="CQ215" s="797" t="str">
        <f t="shared" ca="1" si="653"/>
        <v/>
      </c>
      <c r="CR215" s="797" t="str">
        <f t="shared" ca="1" si="654"/>
        <v/>
      </c>
      <c r="CS215" s="797" t="str">
        <f t="shared" ca="1" si="655"/>
        <v/>
      </c>
      <c r="CT215" s="797" t="str">
        <f t="shared" ca="1" si="656"/>
        <v/>
      </c>
      <c r="CU215" s="798" t="str">
        <f t="shared" ca="1" si="657"/>
        <v/>
      </c>
      <c r="CV215" s="799" t="str">
        <f t="shared" ca="1" si="658"/>
        <v/>
      </c>
      <c r="CW215" s="799" t="str">
        <f t="shared" ca="1" si="659"/>
        <v/>
      </c>
      <c r="CX215" s="163">
        <f ca="1">IF(BD215,_xll.EURO(CP215,Strike1,AO215,AO215,CV215,CO215,IF(OptControl=4,0,1),0),0)</f>
        <v>0</v>
      </c>
      <c r="CY215" s="163">
        <f ca="1">IF(BD215,_xll.EURO(CP215,Strike1,AO215,AO215,CV215,CO215,IF(OptControl=4,0,1),1)+IF(OR(VolSkewFlag=2,ABS(CQ215)&lt;0.0001),0,IF(CQ215&gt;0,-1,1)*CZ215*100*Strike1/CP215^2*CS215/10%),0)</f>
        <v>0</v>
      </c>
      <c r="CZ215" s="163">
        <f ca="1">IF(BD215,_xll.EURO(CP215,Strike1,AO215,AO215,CV215,CO215,IF(OptControl=4,0,1),3)/100,0)</f>
        <v>0</v>
      </c>
      <c r="DA215" s="163">
        <f ca="1">IF(BD215,_xll.EURO(CP215,Strike1,AO215,AO215,CV215,CO215,IF(OptControl=4,0,1),0)-_xll.EURO(CP215,Strike1,AO215,AO215,CV215,CO215-1,IF(OptControl=4,0,1),0),0)</f>
        <v>0</v>
      </c>
      <c r="DB215" s="163">
        <f ca="1">IF(BD215,_xll.EURO(CP215,Strike2,AO215,AO215,CW215,CO215,IF(OptControl=3,1,0),0),0)</f>
        <v>0</v>
      </c>
      <c r="DC215" s="163">
        <f ca="1">IF(BD215,_xll.EURO(CP215,Strike2,AO215,AO215,CW215,CO215,IF(OptControl=3,1,0),1)+IF(OR(VolSkewFlag=2,ABS(CR215)&lt;0.0001),0,IF(CR215&gt;0,-1,1)*DD215*100*Strike2/CP215^2*CT215/10%),0)</f>
        <v>0</v>
      </c>
      <c r="DD215" s="163">
        <f ca="1">IF(BD215,_xll.EURO(CP215,Strike2,AO215,AO215,CW215,CO215,IF(OptControl=3,1,0),3)/100,0)</f>
        <v>0</v>
      </c>
      <c r="DE215" s="164">
        <f ca="1">IF(BD215,_xll.EURO(CP215,Strike2,AO215,AO215,CW215,CO215,IF(OptControl=3,1,0),0)-_xll.EURO(CP215,Strike2,AO215,AO215,CW215,CO215-1,IF(OptControl=3,1,0),0),0)</f>
        <v>0</v>
      </c>
      <c r="DG215" s="667">
        <f t="shared" ca="1" si="660"/>
        <v>42491</v>
      </c>
      <c r="DH215" s="475">
        <v>23.910000000000085</v>
      </c>
      <c r="DI215" s="665">
        <v>23.975909090909173</v>
      </c>
      <c r="DJ215" s="666">
        <f t="shared" ca="1" si="617"/>
        <v>42491</v>
      </c>
      <c r="DK215" s="475">
        <v>22.745572761342224</v>
      </c>
      <c r="DL215" s="665">
        <v>22.684409090909174</v>
      </c>
      <c r="DM215" s="667">
        <f t="shared" ca="1" si="618"/>
        <v>42491</v>
      </c>
      <c r="DN215" s="668">
        <f t="shared" si="619"/>
        <v>22.795572761342225</v>
      </c>
      <c r="DO215" s="667">
        <f t="shared" ca="1" si="620"/>
        <v>42491</v>
      </c>
      <c r="DP215" s="579">
        <f t="shared" si="621"/>
        <v>22.684409090909174</v>
      </c>
      <c r="DQ215" s="821">
        <v>0</v>
      </c>
      <c r="DR215" s="666">
        <f t="shared" ca="1" si="622"/>
        <v>42491</v>
      </c>
      <c r="DS215" s="669">
        <v>0.10759999999999803</v>
      </c>
      <c r="DT215" s="606">
        <v>0.10680909090908894</v>
      </c>
      <c r="DU215" s="666">
        <f t="shared" ca="1" si="623"/>
        <v>42491</v>
      </c>
      <c r="DV215" s="669">
        <v>0.10759999999999803</v>
      </c>
      <c r="DW215" s="606">
        <v>0.10680909090908894</v>
      </c>
      <c r="DX215" s="667">
        <f t="shared" ca="1" si="624"/>
        <v>42491</v>
      </c>
      <c r="DY215" s="606">
        <v>0.35</v>
      </c>
      <c r="DZ215" s="667">
        <f t="shared" ca="1" si="625"/>
        <v>42491</v>
      </c>
      <c r="EA215" s="606">
        <f t="shared" si="626"/>
        <v>0.10680909090908894</v>
      </c>
      <c r="EB215" s="1"/>
      <c r="EC215" s="118" t="str">
        <f t="shared" ca="1" si="627"/>
        <v/>
      </c>
      <c r="ED215" s="119" t="str">
        <f t="shared" ca="1" si="644"/>
        <v/>
      </c>
      <c r="EE215" s="112" t="str">
        <f t="shared" ca="1" si="645"/>
        <v/>
      </c>
      <c r="EF215" s="120">
        <f ca="1">IF(BD215,_xll.xASN(BR215,Strike1,AO215,ED215,0,BO215,0,BI215,BL215,IF(OptControl=4,0,1),0),0)</f>
        <v>0</v>
      </c>
      <c r="EG215" s="111">
        <f ca="1">IF(BD215,_xll.xASN(BR215,Strike2,AO215,EE215,0,BO215,0,BI215,BL215,IF(OptControl=3,1,0),0),0)</f>
        <v>0</v>
      </c>
      <c r="EL215" s="55"/>
      <c r="EM215" s="1"/>
      <c r="EN215" s="106"/>
      <c r="EO215" s="106"/>
      <c r="EP215" s="1"/>
      <c r="EQ215" s="683" t="s">
        <v>429</v>
      </c>
      <c r="ES215" s="55"/>
      <c r="EU215" s="107"/>
      <c r="FJ215" s="673">
        <v>46</v>
      </c>
      <c r="FK215" s="479" t="str">
        <f ca="1">IF(OR(FK$169&lt;SwaptionFirstMonthPosition+1,$FJ215&lt;SwaptionFirstMonthPosition+1,FK$169&gt;SwaptionFirstMonthPosition+SwaptionNumOfMonths+1,$FJ215&gt;SwaptionFirstMonthPosition+SwaptionNumOfMonths+1),"",IF($FJ215=FK$169,1,IF($FJ215&lt;FK$169,INDEX($FK$170:$ID$241,FK$169,$FJ215),SUMPRODUCT(INDEX($FK$325:$ID$396,FK$169,1+SwaptionShift):INDEX($FK$325:$ID$396,FK$169,SwaptionMonthsToGo+SwaptionShift),INDEX($FK$245:$ID$316,$FJ215-FK$169,73-FK$169+SwaptionShift):INDEX($FK$245:$ID$316,$FJ215-FK$169,72-FK$169+SwaptionMonthsToGo+SwaptionShift))/SQRT(SUM(INDEX($FK370:$ID370,1+SwaptionShift):INDEX($FK370:$ID370,SwaptionMonthsToGo+SwaptionShift))*SUM(INDEX($FK$325:$ID$396,FK$169,1+SwaptionShift):INDEX($FK$325:$ID$396,FK$169,SwaptionMonthsToGo+SwaptionShift))))))</f>
        <v/>
      </c>
      <c r="FL215" s="479" t="str">
        <f ca="1">IF(OR(FL$169&lt;SwaptionFirstMonthPosition+1,$FJ215&lt;SwaptionFirstMonthPosition+1,FL$169&gt;SwaptionFirstMonthPosition+SwaptionNumOfMonths+1,$FJ215&gt;SwaptionFirstMonthPosition+SwaptionNumOfMonths+1),"",IF($FJ215=FL$169,1,IF($FJ215&lt;FL$169,INDEX($FK$170:$ID$241,FL$169,$FJ215),SUMPRODUCT(INDEX($FK$325:$ID$396,FL$169,1+SwaptionShift):INDEX($FK$325:$ID$396,FL$169,SwaptionMonthsToGo+SwaptionShift),INDEX($FK$245:$ID$316,$FJ215-FL$169,73-FL$169+SwaptionShift):INDEX($FK$245:$ID$316,$FJ215-FL$169,72-FL$169+SwaptionMonthsToGo+SwaptionShift))/SQRT(SUM(INDEX($FK370:$ID370,1+SwaptionShift):INDEX($FK370:$ID370,SwaptionMonthsToGo+SwaptionShift))*SUM(INDEX($FK$325:$ID$396,FL$169,1+SwaptionShift):INDEX($FK$325:$ID$396,FL$169,SwaptionMonthsToGo+SwaptionShift))))))</f>
        <v/>
      </c>
      <c r="FM215" s="479" t="str">
        <f ca="1">IF(OR(FM$169&lt;SwaptionFirstMonthPosition+1,$FJ215&lt;SwaptionFirstMonthPosition+1,FM$169&gt;SwaptionFirstMonthPosition+SwaptionNumOfMonths+1,$FJ215&gt;SwaptionFirstMonthPosition+SwaptionNumOfMonths+1),"",IF($FJ215=FM$169,1,IF($FJ215&lt;FM$169,INDEX($FK$170:$ID$241,FM$169,$FJ215),SUMPRODUCT(INDEX($FK$325:$ID$396,FM$169,1+SwaptionShift):INDEX($FK$325:$ID$396,FM$169,SwaptionMonthsToGo+SwaptionShift),INDEX($FK$245:$ID$316,$FJ215-FM$169,73-FM$169+SwaptionShift):INDEX($FK$245:$ID$316,$FJ215-FM$169,72-FM$169+SwaptionMonthsToGo+SwaptionShift))/SQRT(SUM(INDEX($FK370:$ID370,1+SwaptionShift):INDEX($FK370:$ID370,SwaptionMonthsToGo+SwaptionShift))*SUM(INDEX($FK$325:$ID$396,FM$169,1+SwaptionShift):INDEX($FK$325:$ID$396,FM$169,SwaptionMonthsToGo+SwaptionShift))))))</f>
        <v/>
      </c>
      <c r="FN215" s="479" t="str">
        <f ca="1">IF(OR(FN$169&lt;SwaptionFirstMonthPosition+1,$FJ215&lt;SwaptionFirstMonthPosition+1,FN$169&gt;SwaptionFirstMonthPosition+SwaptionNumOfMonths+1,$FJ215&gt;SwaptionFirstMonthPosition+SwaptionNumOfMonths+1),"",IF($FJ215=FN$169,1,IF($FJ215&lt;FN$169,INDEX($FK$170:$ID$241,FN$169,$FJ215),SUMPRODUCT(INDEX($FK$325:$ID$396,FN$169,1+SwaptionShift):INDEX($FK$325:$ID$396,FN$169,SwaptionMonthsToGo+SwaptionShift),INDEX($FK$245:$ID$316,$FJ215-FN$169,73-FN$169+SwaptionShift):INDEX($FK$245:$ID$316,$FJ215-FN$169,72-FN$169+SwaptionMonthsToGo+SwaptionShift))/SQRT(SUM(INDEX($FK370:$ID370,1+SwaptionShift):INDEX($FK370:$ID370,SwaptionMonthsToGo+SwaptionShift))*SUM(INDEX($FK$325:$ID$396,FN$169,1+SwaptionShift):INDEX($FK$325:$ID$396,FN$169,SwaptionMonthsToGo+SwaptionShift))))))</f>
        <v/>
      </c>
      <c r="FO215" s="479" t="str">
        <f ca="1">IF(OR(FO$169&lt;SwaptionFirstMonthPosition+1,$FJ215&lt;SwaptionFirstMonthPosition+1,FO$169&gt;SwaptionFirstMonthPosition+SwaptionNumOfMonths+1,$FJ215&gt;SwaptionFirstMonthPosition+SwaptionNumOfMonths+1),"",IF($FJ215=FO$169,1,IF($FJ215&lt;FO$169,INDEX($FK$170:$ID$241,FO$169,$FJ215),SUMPRODUCT(INDEX($FK$325:$ID$396,FO$169,1+SwaptionShift):INDEX($FK$325:$ID$396,FO$169,SwaptionMonthsToGo+SwaptionShift),INDEX($FK$245:$ID$316,$FJ215-FO$169,73-FO$169+SwaptionShift):INDEX($FK$245:$ID$316,$FJ215-FO$169,72-FO$169+SwaptionMonthsToGo+SwaptionShift))/SQRT(SUM(INDEX($FK370:$ID370,1+SwaptionShift):INDEX($FK370:$ID370,SwaptionMonthsToGo+SwaptionShift))*SUM(INDEX($FK$325:$ID$396,FO$169,1+SwaptionShift):INDEX($FK$325:$ID$396,FO$169,SwaptionMonthsToGo+SwaptionShift))))))</f>
        <v/>
      </c>
      <c r="FP215" s="479" t="str">
        <f ca="1">IF(OR(FP$169&lt;SwaptionFirstMonthPosition+1,$FJ215&lt;SwaptionFirstMonthPosition+1,FP$169&gt;SwaptionFirstMonthPosition+SwaptionNumOfMonths+1,$FJ215&gt;SwaptionFirstMonthPosition+SwaptionNumOfMonths+1),"",IF($FJ215=FP$169,1,IF($FJ215&lt;FP$169,INDEX($FK$170:$ID$241,FP$169,$FJ215),SUMPRODUCT(INDEX($FK$325:$ID$396,FP$169,1+SwaptionShift):INDEX($FK$325:$ID$396,FP$169,SwaptionMonthsToGo+SwaptionShift),INDEX($FK$245:$ID$316,$FJ215-FP$169,73-FP$169+SwaptionShift):INDEX($FK$245:$ID$316,$FJ215-FP$169,72-FP$169+SwaptionMonthsToGo+SwaptionShift))/SQRT(SUM(INDEX($FK370:$ID370,1+SwaptionShift):INDEX($FK370:$ID370,SwaptionMonthsToGo+SwaptionShift))*SUM(INDEX($FK$325:$ID$396,FP$169,1+SwaptionShift):INDEX($FK$325:$ID$396,FP$169,SwaptionMonthsToGo+SwaptionShift))))))</f>
        <v/>
      </c>
      <c r="FQ215" s="479" t="str">
        <f ca="1">IF(OR(FQ$169&lt;SwaptionFirstMonthPosition+1,$FJ215&lt;SwaptionFirstMonthPosition+1,FQ$169&gt;SwaptionFirstMonthPosition+SwaptionNumOfMonths+1,$FJ215&gt;SwaptionFirstMonthPosition+SwaptionNumOfMonths+1),"",IF($FJ215=FQ$169,1,IF($FJ215&lt;FQ$169,INDEX($FK$170:$ID$241,FQ$169,$FJ215),SUMPRODUCT(INDEX($FK$325:$ID$396,FQ$169,1+SwaptionShift):INDEX($FK$325:$ID$396,FQ$169,SwaptionMonthsToGo+SwaptionShift),INDEX($FK$245:$ID$316,$FJ215-FQ$169,73-FQ$169+SwaptionShift):INDEX($FK$245:$ID$316,$FJ215-FQ$169,72-FQ$169+SwaptionMonthsToGo+SwaptionShift))/SQRT(SUM(INDEX($FK370:$ID370,1+SwaptionShift):INDEX($FK370:$ID370,SwaptionMonthsToGo+SwaptionShift))*SUM(INDEX($FK$325:$ID$396,FQ$169,1+SwaptionShift):INDEX($FK$325:$ID$396,FQ$169,SwaptionMonthsToGo+SwaptionShift))))))</f>
        <v/>
      </c>
      <c r="FR215" s="479" t="str">
        <f ca="1">IF(OR(FR$169&lt;SwaptionFirstMonthPosition+1,$FJ215&lt;SwaptionFirstMonthPosition+1,FR$169&gt;SwaptionFirstMonthPosition+SwaptionNumOfMonths+1,$FJ215&gt;SwaptionFirstMonthPosition+SwaptionNumOfMonths+1),"",IF($FJ215=FR$169,1,IF($FJ215&lt;FR$169,INDEX($FK$170:$ID$241,FR$169,$FJ215),SUMPRODUCT(INDEX($FK$325:$ID$396,FR$169,1+SwaptionShift):INDEX($FK$325:$ID$396,FR$169,SwaptionMonthsToGo+SwaptionShift),INDEX($FK$245:$ID$316,$FJ215-FR$169,73-FR$169+SwaptionShift):INDEX($FK$245:$ID$316,$FJ215-FR$169,72-FR$169+SwaptionMonthsToGo+SwaptionShift))/SQRT(SUM(INDEX($FK370:$ID370,1+SwaptionShift):INDEX($FK370:$ID370,SwaptionMonthsToGo+SwaptionShift))*SUM(INDEX($FK$325:$ID$396,FR$169,1+SwaptionShift):INDEX($FK$325:$ID$396,FR$169,SwaptionMonthsToGo+SwaptionShift))))))</f>
        <v/>
      </c>
      <c r="FS215" s="479" t="str">
        <f ca="1">IF(OR(FS$169&lt;SwaptionFirstMonthPosition+1,$FJ215&lt;SwaptionFirstMonthPosition+1,FS$169&gt;SwaptionFirstMonthPosition+SwaptionNumOfMonths+1,$FJ215&gt;SwaptionFirstMonthPosition+SwaptionNumOfMonths+1),"",IF($FJ215=FS$169,1,IF($FJ215&lt;FS$169,INDEX($FK$170:$ID$241,FS$169,$FJ215),SUMPRODUCT(INDEX($FK$325:$ID$396,FS$169,1+SwaptionShift):INDEX($FK$325:$ID$396,FS$169,SwaptionMonthsToGo+SwaptionShift),INDEX($FK$245:$ID$316,$FJ215-FS$169,73-FS$169+SwaptionShift):INDEX($FK$245:$ID$316,$FJ215-FS$169,72-FS$169+SwaptionMonthsToGo+SwaptionShift))/SQRT(SUM(INDEX($FK370:$ID370,1+SwaptionShift):INDEX($FK370:$ID370,SwaptionMonthsToGo+SwaptionShift))*SUM(INDEX($FK$325:$ID$396,FS$169,1+SwaptionShift):INDEX($FK$325:$ID$396,FS$169,SwaptionMonthsToGo+SwaptionShift))))))</f>
        <v/>
      </c>
      <c r="FT215" s="479" t="str">
        <f ca="1">IF(OR(FT$169&lt;SwaptionFirstMonthPosition+1,$FJ215&lt;SwaptionFirstMonthPosition+1,FT$169&gt;SwaptionFirstMonthPosition+SwaptionNumOfMonths+1,$FJ215&gt;SwaptionFirstMonthPosition+SwaptionNumOfMonths+1),"",IF($FJ215=FT$169,1,IF($FJ215&lt;FT$169,INDEX($FK$170:$ID$241,FT$169,$FJ215),SUMPRODUCT(INDEX($FK$325:$ID$396,FT$169,1+SwaptionShift):INDEX($FK$325:$ID$396,FT$169,SwaptionMonthsToGo+SwaptionShift),INDEX($FK$245:$ID$316,$FJ215-FT$169,73-FT$169+SwaptionShift):INDEX($FK$245:$ID$316,$FJ215-FT$169,72-FT$169+SwaptionMonthsToGo+SwaptionShift))/SQRT(SUM(INDEX($FK370:$ID370,1+SwaptionShift):INDEX($FK370:$ID370,SwaptionMonthsToGo+SwaptionShift))*SUM(INDEX($FK$325:$ID$396,FT$169,1+SwaptionShift):INDEX($FK$325:$ID$396,FT$169,SwaptionMonthsToGo+SwaptionShift))))))</f>
        <v/>
      </c>
      <c r="FU215" s="479" t="str">
        <f ca="1">IF(OR(FU$169&lt;SwaptionFirstMonthPosition+1,$FJ215&lt;SwaptionFirstMonthPosition+1,FU$169&gt;SwaptionFirstMonthPosition+SwaptionNumOfMonths+1,$FJ215&gt;SwaptionFirstMonthPosition+SwaptionNumOfMonths+1),"",IF($FJ215=FU$169,1,IF($FJ215&lt;FU$169,INDEX($FK$170:$ID$241,FU$169,$FJ215),SUMPRODUCT(INDEX($FK$325:$ID$396,FU$169,1+SwaptionShift):INDEX($FK$325:$ID$396,FU$169,SwaptionMonthsToGo+SwaptionShift),INDEX($FK$245:$ID$316,$FJ215-FU$169,73-FU$169+SwaptionShift):INDEX($FK$245:$ID$316,$FJ215-FU$169,72-FU$169+SwaptionMonthsToGo+SwaptionShift))/SQRT(SUM(INDEX($FK370:$ID370,1+SwaptionShift):INDEX($FK370:$ID370,SwaptionMonthsToGo+SwaptionShift))*SUM(INDEX($FK$325:$ID$396,FU$169,1+SwaptionShift):INDEX($FK$325:$ID$396,FU$169,SwaptionMonthsToGo+SwaptionShift))))))</f>
        <v/>
      </c>
      <c r="FV215" s="479" t="str">
        <f ca="1">IF(OR(FV$169&lt;SwaptionFirstMonthPosition+1,$FJ215&lt;SwaptionFirstMonthPosition+1,FV$169&gt;SwaptionFirstMonthPosition+SwaptionNumOfMonths+1,$FJ215&gt;SwaptionFirstMonthPosition+SwaptionNumOfMonths+1),"",IF($FJ215=FV$169,1,IF($FJ215&lt;FV$169,INDEX($FK$170:$ID$241,FV$169,$FJ215),SUMPRODUCT(INDEX($FK$325:$ID$396,FV$169,1+SwaptionShift):INDEX($FK$325:$ID$396,FV$169,SwaptionMonthsToGo+SwaptionShift),INDEX($FK$245:$ID$316,$FJ215-FV$169,73-FV$169+SwaptionShift):INDEX($FK$245:$ID$316,$FJ215-FV$169,72-FV$169+SwaptionMonthsToGo+SwaptionShift))/SQRT(SUM(INDEX($FK370:$ID370,1+SwaptionShift):INDEX($FK370:$ID370,SwaptionMonthsToGo+SwaptionShift))*SUM(INDEX($FK$325:$ID$396,FV$169,1+SwaptionShift):INDEX($FK$325:$ID$396,FV$169,SwaptionMonthsToGo+SwaptionShift))))))</f>
        <v/>
      </c>
      <c r="FW215" s="479" t="str">
        <f ca="1">IF(OR(FW$169&lt;SwaptionFirstMonthPosition+1,$FJ215&lt;SwaptionFirstMonthPosition+1,FW$169&gt;SwaptionFirstMonthPosition+SwaptionNumOfMonths+1,$FJ215&gt;SwaptionFirstMonthPosition+SwaptionNumOfMonths+1),"",IF($FJ215=FW$169,1,IF($FJ215&lt;FW$169,INDEX($FK$170:$ID$241,FW$169,$FJ215),SUMPRODUCT(INDEX($FK$325:$ID$396,FW$169,1+SwaptionShift):INDEX($FK$325:$ID$396,FW$169,SwaptionMonthsToGo+SwaptionShift),INDEX($FK$245:$ID$316,$FJ215-FW$169,73-FW$169+SwaptionShift):INDEX($FK$245:$ID$316,$FJ215-FW$169,72-FW$169+SwaptionMonthsToGo+SwaptionShift))/SQRT(SUM(INDEX($FK370:$ID370,1+SwaptionShift):INDEX($FK370:$ID370,SwaptionMonthsToGo+SwaptionShift))*SUM(INDEX($FK$325:$ID$396,FW$169,1+SwaptionShift):INDEX($FK$325:$ID$396,FW$169,SwaptionMonthsToGo+SwaptionShift))))))</f>
        <v/>
      </c>
      <c r="FX215" s="479" t="str">
        <f ca="1">IF(OR(FX$169&lt;SwaptionFirstMonthPosition+1,$FJ215&lt;SwaptionFirstMonthPosition+1,FX$169&gt;SwaptionFirstMonthPosition+SwaptionNumOfMonths+1,$FJ215&gt;SwaptionFirstMonthPosition+SwaptionNumOfMonths+1),"",IF($FJ215=FX$169,1,IF($FJ215&lt;FX$169,INDEX($FK$170:$ID$241,FX$169,$FJ215),SUMPRODUCT(INDEX($FK$325:$ID$396,FX$169,1+SwaptionShift):INDEX($FK$325:$ID$396,FX$169,SwaptionMonthsToGo+SwaptionShift),INDEX($FK$245:$ID$316,$FJ215-FX$169,73-FX$169+SwaptionShift):INDEX($FK$245:$ID$316,$FJ215-FX$169,72-FX$169+SwaptionMonthsToGo+SwaptionShift))/SQRT(SUM(INDEX($FK370:$ID370,1+SwaptionShift):INDEX($FK370:$ID370,SwaptionMonthsToGo+SwaptionShift))*SUM(INDEX($FK$325:$ID$396,FX$169,1+SwaptionShift):INDEX($FK$325:$ID$396,FX$169,SwaptionMonthsToGo+SwaptionShift))))))</f>
        <v/>
      </c>
      <c r="FY215" s="479" t="str">
        <f ca="1">IF(OR(FY$169&lt;SwaptionFirstMonthPosition+1,$FJ215&lt;SwaptionFirstMonthPosition+1,FY$169&gt;SwaptionFirstMonthPosition+SwaptionNumOfMonths+1,$FJ215&gt;SwaptionFirstMonthPosition+SwaptionNumOfMonths+1),"",IF($FJ215=FY$169,1,IF($FJ215&lt;FY$169,INDEX($FK$170:$ID$241,FY$169,$FJ215),SUMPRODUCT(INDEX($FK$325:$ID$396,FY$169,1+SwaptionShift):INDEX($FK$325:$ID$396,FY$169,SwaptionMonthsToGo+SwaptionShift),INDEX($FK$245:$ID$316,$FJ215-FY$169,73-FY$169+SwaptionShift):INDEX($FK$245:$ID$316,$FJ215-FY$169,72-FY$169+SwaptionMonthsToGo+SwaptionShift))/SQRT(SUM(INDEX($FK370:$ID370,1+SwaptionShift):INDEX($FK370:$ID370,SwaptionMonthsToGo+SwaptionShift))*SUM(INDEX($FK$325:$ID$396,FY$169,1+SwaptionShift):INDEX($FK$325:$ID$396,FY$169,SwaptionMonthsToGo+SwaptionShift))))))</f>
        <v/>
      </c>
      <c r="FZ215" s="479" t="str">
        <f ca="1">IF(OR(FZ$169&lt;SwaptionFirstMonthPosition+1,$FJ215&lt;SwaptionFirstMonthPosition+1,FZ$169&gt;SwaptionFirstMonthPosition+SwaptionNumOfMonths+1,$FJ215&gt;SwaptionFirstMonthPosition+SwaptionNumOfMonths+1),"",IF($FJ215=FZ$169,1,IF($FJ215&lt;FZ$169,INDEX($FK$170:$ID$241,FZ$169,$FJ215),SUMPRODUCT(INDEX($FK$325:$ID$396,FZ$169,1+SwaptionShift):INDEX($FK$325:$ID$396,FZ$169,SwaptionMonthsToGo+SwaptionShift),INDEX($FK$245:$ID$316,$FJ215-FZ$169,73-FZ$169+SwaptionShift):INDEX($FK$245:$ID$316,$FJ215-FZ$169,72-FZ$169+SwaptionMonthsToGo+SwaptionShift))/SQRT(SUM(INDEX($FK370:$ID370,1+SwaptionShift):INDEX($FK370:$ID370,SwaptionMonthsToGo+SwaptionShift))*SUM(INDEX($FK$325:$ID$396,FZ$169,1+SwaptionShift):INDEX($FK$325:$ID$396,FZ$169,SwaptionMonthsToGo+SwaptionShift))))))</f>
        <v/>
      </c>
      <c r="GA215" s="479" t="str">
        <f ca="1">IF(OR(GA$169&lt;SwaptionFirstMonthPosition+1,$FJ215&lt;SwaptionFirstMonthPosition+1,GA$169&gt;SwaptionFirstMonthPosition+SwaptionNumOfMonths+1,$FJ215&gt;SwaptionFirstMonthPosition+SwaptionNumOfMonths+1),"",IF($FJ215=GA$169,1,IF($FJ215&lt;GA$169,INDEX($FK$170:$ID$241,GA$169,$FJ215),SUMPRODUCT(INDEX($FK$325:$ID$396,GA$169,1+SwaptionShift):INDEX($FK$325:$ID$396,GA$169,SwaptionMonthsToGo+SwaptionShift),INDEX($FK$245:$ID$316,$FJ215-GA$169,73-GA$169+SwaptionShift):INDEX($FK$245:$ID$316,$FJ215-GA$169,72-GA$169+SwaptionMonthsToGo+SwaptionShift))/SQRT(SUM(INDEX($FK370:$ID370,1+SwaptionShift):INDEX($FK370:$ID370,SwaptionMonthsToGo+SwaptionShift))*SUM(INDEX($FK$325:$ID$396,GA$169,1+SwaptionShift):INDEX($FK$325:$ID$396,GA$169,SwaptionMonthsToGo+SwaptionShift))))))</f>
        <v/>
      </c>
      <c r="GB215" s="479" t="str">
        <f ca="1">IF(OR(GB$169&lt;SwaptionFirstMonthPosition+1,$FJ215&lt;SwaptionFirstMonthPosition+1,GB$169&gt;SwaptionFirstMonthPosition+SwaptionNumOfMonths+1,$FJ215&gt;SwaptionFirstMonthPosition+SwaptionNumOfMonths+1),"",IF($FJ215=GB$169,1,IF($FJ215&lt;GB$169,INDEX($FK$170:$ID$241,GB$169,$FJ215),SUMPRODUCT(INDEX($FK$325:$ID$396,GB$169,1+SwaptionShift):INDEX($FK$325:$ID$396,GB$169,SwaptionMonthsToGo+SwaptionShift),INDEX($FK$245:$ID$316,$FJ215-GB$169,73-GB$169+SwaptionShift):INDEX($FK$245:$ID$316,$FJ215-GB$169,72-GB$169+SwaptionMonthsToGo+SwaptionShift))/SQRT(SUM(INDEX($FK370:$ID370,1+SwaptionShift):INDEX($FK370:$ID370,SwaptionMonthsToGo+SwaptionShift))*SUM(INDEX($FK$325:$ID$396,GB$169,1+SwaptionShift):INDEX($FK$325:$ID$396,GB$169,SwaptionMonthsToGo+SwaptionShift))))))</f>
        <v/>
      </c>
      <c r="GC215" s="479" t="str">
        <f ca="1">IF(OR(GC$169&lt;SwaptionFirstMonthPosition+1,$FJ215&lt;SwaptionFirstMonthPosition+1,GC$169&gt;SwaptionFirstMonthPosition+SwaptionNumOfMonths+1,$FJ215&gt;SwaptionFirstMonthPosition+SwaptionNumOfMonths+1),"",IF($FJ215=GC$169,1,IF($FJ215&lt;GC$169,INDEX($FK$170:$ID$241,GC$169,$FJ215),SUMPRODUCT(INDEX($FK$325:$ID$396,GC$169,1+SwaptionShift):INDEX($FK$325:$ID$396,GC$169,SwaptionMonthsToGo+SwaptionShift),INDEX($FK$245:$ID$316,$FJ215-GC$169,73-GC$169+SwaptionShift):INDEX($FK$245:$ID$316,$FJ215-GC$169,72-GC$169+SwaptionMonthsToGo+SwaptionShift))/SQRT(SUM(INDEX($FK370:$ID370,1+SwaptionShift):INDEX($FK370:$ID370,SwaptionMonthsToGo+SwaptionShift))*SUM(INDEX($FK$325:$ID$396,GC$169,1+SwaptionShift):INDEX($FK$325:$ID$396,GC$169,SwaptionMonthsToGo+SwaptionShift))))))</f>
        <v/>
      </c>
      <c r="GD215" s="479" t="str">
        <f ca="1">IF(OR(GD$169&lt;SwaptionFirstMonthPosition+1,$FJ215&lt;SwaptionFirstMonthPosition+1,GD$169&gt;SwaptionFirstMonthPosition+SwaptionNumOfMonths+1,$FJ215&gt;SwaptionFirstMonthPosition+SwaptionNumOfMonths+1),"",IF($FJ215=GD$169,1,IF($FJ215&lt;GD$169,INDEX($FK$170:$ID$241,GD$169,$FJ215),SUMPRODUCT(INDEX($FK$325:$ID$396,GD$169,1+SwaptionShift):INDEX($FK$325:$ID$396,GD$169,SwaptionMonthsToGo+SwaptionShift),INDEX($FK$245:$ID$316,$FJ215-GD$169,73-GD$169+SwaptionShift):INDEX($FK$245:$ID$316,$FJ215-GD$169,72-GD$169+SwaptionMonthsToGo+SwaptionShift))/SQRT(SUM(INDEX($FK370:$ID370,1+SwaptionShift):INDEX($FK370:$ID370,SwaptionMonthsToGo+SwaptionShift))*SUM(INDEX($FK$325:$ID$396,GD$169,1+SwaptionShift):INDEX($FK$325:$ID$396,GD$169,SwaptionMonthsToGo+SwaptionShift))))))</f>
        <v/>
      </c>
      <c r="GE215" s="479" t="str">
        <f ca="1">IF(OR(GE$169&lt;SwaptionFirstMonthPosition+1,$FJ215&lt;SwaptionFirstMonthPosition+1,GE$169&gt;SwaptionFirstMonthPosition+SwaptionNumOfMonths+1,$FJ215&gt;SwaptionFirstMonthPosition+SwaptionNumOfMonths+1),"",IF($FJ215=GE$169,1,IF($FJ215&lt;GE$169,INDEX($FK$170:$ID$241,GE$169,$FJ215),SUMPRODUCT(INDEX($FK$325:$ID$396,GE$169,1+SwaptionShift):INDEX($FK$325:$ID$396,GE$169,SwaptionMonthsToGo+SwaptionShift),INDEX($FK$245:$ID$316,$FJ215-GE$169,73-GE$169+SwaptionShift):INDEX($FK$245:$ID$316,$FJ215-GE$169,72-GE$169+SwaptionMonthsToGo+SwaptionShift))/SQRT(SUM(INDEX($FK370:$ID370,1+SwaptionShift):INDEX($FK370:$ID370,SwaptionMonthsToGo+SwaptionShift))*SUM(INDEX($FK$325:$ID$396,GE$169,1+SwaptionShift):INDEX($FK$325:$ID$396,GE$169,SwaptionMonthsToGo+SwaptionShift))))))</f>
        <v/>
      </c>
      <c r="GF215" s="479" t="str">
        <f ca="1">IF(OR(GF$169&lt;SwaptionFirstMonthPosition+1,$FJ215&lt;SwaptionFirstMonthPosition+1,GF$169&gt;SwaptionFirstMonthPosition+SwaptionNumOfMonths+1,$FJ215&gt;SwaptionFirstMonthPosition+SwaptionNumOfMonths+1),"",IF($FJ215=GF$169,1,IF($FJ215&lt;GF$169,INDEX($FK$170:$ID$241,GF$169,$FJ215),SUMPRODUCT(INDEX($FK$325:$ID$396,GF$169,1+SwaptionShift):INDEX($FK$325:$ID$396,GF$169,SwaptionMonthsToGo+SwaptionShift),INDEX($FK$245:$ID$316,$FJ215-GF$169,73-GF$169+SwaptionShift):INDEX($FK$245:$ID$316,$FJ215-GF$169,72-GF$169+SwaptionMonthsToGo+SwaptionShift))/SQRT(SUM(INDEX($FK370:$ID370,1+SwaptionShift):INDEX($FK370:$ID370,SwaptionMonthsToGo+SwaptionShift))*SUM(INDEX($FK$325:$ID$396,GF$169,1+SwaptionShift):INDEX($FK$325:$ID$396,GF$169,SwaptionMonthsToGo+SwaptionShift))))))</f>
        <v/>
      </c>
      <c r="GG215" s="479" t="str">
        <f ca="1">IF(OR(GG$169&lt;SwaptionFirstMonthPosition+1,$FJ215&lt;SwaptionFirstMonthPosition+1,GG$169&gt;SwaptionFirstMonthPosition+SwaptionNumOfMonths+1,$FJ215&gt;SwaptionFirstMonthPosition+SwaptionNumOfMonths+1),"",IF($FJ215=GG$169,1,IF($FJ215&lt;GG$169,INDEX($FK$170:$ID$241,GG$169,$FJ215),SUMPRODUCT(INDEX($FK$325:$ID$396,GG$169,1+SwaptionShift):INDEX($FK$325:$ID$396,GG$169,SwaptionMonthsToGo+SwaptionShift),INDEX($FK$245:$ID$316,$FJ215-GG$169,73-GG$169+SwaptionShift):INDEX($FK$245:$ID$316,$FJ215-GG$169,72-GG$169+SwaptionMonthsToGo+SwaptionShift))/SQRT(SUM(INDEX($FK370:$ID370,1+SwaptionShift):INDEX($FK370:$ID370,SwaptionMonthsToGo+SwaptionShift))*SUM(INDEX($FK$325:$ID$396,GG$169,1+SwaptionShift):INDEX($FK$325:$ID$396,GG$169,SwaptionMonthsToGo+SwaptionShift))))))</f>
        <v/>
      </c>
      <c r="GH215" s="479" t="str">
        <f ca="1">IF(OR(GH$169&lt;SwaptionFirstMonthPosition+1,$FJ215&lt;SwaptionFirstMonthPosition+1,GH$169&gt;SwaptionFirstMonthPosition+SwaptionNumOfMonths+1,$FJ215&gt;SwaptionFirstMonthPosition+SwaptionNumOfMonths+1),"",IF($FJ215=GH$169,1,IF($FJ215&lt;GH$169,INDEX($FK$170:$ID$241,GH$169,$FJ215),SUMPRODUCT(INDEX($FK$325:$ID$396,GH$169,1+SwaptionShift):INDEX($FK$325:$ID$396,GH$169,SwaptionMonthsToGo+SwaptionShift),INDEX($FK$245:$ID$316,$FJ215-GH$169,73-GH$169+SwaptionShift):INDEX($FK$245:$ID$316,$FJ215-GH$169,72-GH$169+SwaptionMonthsToGo+SwaptionShift))/SQRT(SUM(INDEX($FK370:$ID370,1+SwaptionShift):INDEX($FK370:$ID370,SwaptionMonthsToGo+SwaptionShift))*SUM(INDEX($FK$325:$ID$396,GH$169,1+SwaptionShift):INDEX($FK$325:$ID$396,GH$169,SwaptionMonthsToGo+SwaptionShift))))))</f>
        <v/>
      </c>
      <c r="GI215" s="479" t="str">
        <f ca="1">IF(OR(GI$169&lt;SwaptionFirstMonthPosition+1,$FJ215&lt;SwaptionFirstMonthPosition+1,GI$169&gt;SwaptionFirstMonthPosition+SwaptionNumOfMonths+1,$FJ215&gt;SwaptionFirstMonthPosition+SwaptionNumOfMonths+1),"",IF($FJ215=GI$169,1,IF($FJ215&lt;GI$169,INDEX($FK$170:$ID$241,GI$169,$FJ215),SUMPRODUCT(INDEX($FK$325:$ID$396,GI$169,1+SwaptionShift):INDEX($FK$325:$ID$396,GI$169,SwaptionMonthsToGo+SwaptionShift),INDEX($FK$245:$ID$316,$FJ215-GI$169,73-GI$169+SwaptionShift):INDEX($FK$245:$ID$316,$FJ215-GI$169,72-GI$169+SwaptionMonthsToGo+SwaptionShift))/SQRT(SUM(INDEX($FK370:$ID370,1+SwaptionShift):INDEX($FK370:$ID370,SwaptionMonthsToGo+SwaptionShift))*SUM(INDEX($FK$325:$ID$396,GI$169,1+SwaptionShift):INDEX($FK$325:$ID$396,GI$169,SwaptionMonthsToGo+SwaptionShift))))))</f>
        <v/>
      </c>
      <c r="GJ215" s="479" t="str">
        <f ca="1">IF(OR(GJ$169&lt;SwaptionFirstMonthPosition+1,$FJ215&lt;SwaptionFirstMonthPosition+1,GJ$169&gt;SwaptionFirstMonthPosition+SwaptionNumOfMonths+1,$FJ215&gt;SwaptionFirstMonthPosition+SwaptionNumOfMonths+1),"",IF($FJ215=GJ$169,1,IF($FJ215&lt;GJ$169,INDEX($FK$170:$ID$241,GJ$169,$FJ215),SUMPRODUCT(INDEX($FK$325:$ID$396,GJ$169,1+SwaptionShift):INDEX($FK$325:$ID$396,GJ$169,SwaptionMonthsToGo+SwaptionShift),INDEX($FK$245:$ID$316,$FJ215-GJ$169,73-GJ$169+SwaptionShift):INDEX($FK$245:$ID$316,$FJ215-GJ$169,72-GJ$169+SwaptionMonthsToGo+SwaptionShift))/SQRT(SUM(INDEX($FK370:$ID370,1+SwaptionShift):INDEX($FK370:$ID370,SwaptionMonthsToGo+SwaptionShift))*SUM(INDEX($FK$325:$ID$396,GJ$169,1+SwaptionShift):INDEX($FK$325:$ID$396,GJ$169,SwaptionMonthsToGo+SwaptionShift))))))</f>
        <v/>
      </c>
      <c r="GK215" s="479" t="str">
        <f ca="1">IF(OR(GK$169&lt;SwaptionFirstMonthPosition+1,$FJ215&lt;SwaptionFirstMonthPosition+1,GK$169&gt;SwaptionFirstMonthPosition+SwaptionNumOfMonths+1,$FJ215&gt;SwaptionFirstMonthPosition+SwaptionNumOfMonths+1),"",IF($FJ215=GK$169,1,IF($FJ215&lt;GK$169,INDEX($FK$170:$ID$241,GK$169,$FJ215),SUMPRODUCT(INDEX($FK$325:$ID$396,GK$169,1+SwaptionShift):INDEX($FK$325:$ID$396,GK$169,SwaptionMonthsToGo+SwaptionShift),INDEX($FK$245:$ID$316,$FJ215-GK$169,73-GK$169+SwaptionShift):INDEX($FK$245:$ID$316,$FJ215-GK$169,72-GK$169+SwaptionMonthsToGo+SwaptionShift))/SQRT(SUM(INDEX($FK370:$ID370,1+SwaptionShift):INDEX($FK370:$ID370,SwaptionMonthsToGo+SwaptionShift))*SUM(INDEX($FK$325:$ID$396,GK$169,1+SwaptionShift):INDEX($FK$325:$ID$396,GK$169,SwaptionMonthsToGo+SwaptionShift))))))</f>
        <v/>
      </c>
      <c r="GL215" s="479" t="str">
        <f ca="1">IF(OR(GL$169&lt;SwaptionFirstMonthPosition+1,$FJ215&lt;SwaptionFirstMonthPosition+1,GL$169&gt;SwaptionFirstMonthPosition+SwaptionNumOfMonths+1,$FJ215&gt;SwaptionFirstMonthPosition+SwaptionNumOfMonths+1),"",IF($FJ215=GL$169,1,IF($FJ215&lt;GL$169,INDEX($FK$170:$ID$241,GL$169,$FJ215),SUMPRODUCT(INDEX($FK$325:$ID$396,GL$169,1+SwaptionShift):INDEX($FK$325:$ID$396,GL$169,SwaptionMonthsToGo+SwaptionShift),INDEX($FK$245:$ID$316,$FJ215-GL$169,73-GL$169+SwaptionShift):INDEX($FK$245:$ID$316,$FJ215-GL$169,72-GL$169+SwaptionMonthsToGo+SwaptionShift))/SQRT(SUM(INDEX($FK370:$ID370,1+SwaptionShift):INDEX($FK370:$ID370,SwaptionMonthsToGo+SwaptionShift))*SUM(INDEX($FK$325:$ID$396,GL$169,1+SwaptionShift):INDEX($FK$325:$ID$396,GL$169,SwaptionMonthsToGo+SwaptionShift))))))</f>
        <v/>
      </c>
      <c r="GM215" s="479" t="str">
        <f ca="1">IF(OR(GM$169&lt;SwaptionFirstMonthPosition+1,$FJ215&lt;SwaptionFirstMonthPosition+1,GM$169&gt;SwaptionFirstMonthPosition+SwaptionNumOfMonths+1,$FJ215&gt;SwaptionFirstMonthPosition+SwaptionNumOfMonths+1),"",IF($FJ215=GM$169,1,IF($FJ215&lt;GM$169,INDEX($FK$170:$ID$241,GM$169,$FJ215),SUMPRODUCT(INDEX($FK$325:$ID$396,GM$169,1+SwaptionShift):INDEX($FK$325:$ID$396,GM$169,SwaptionMonthsToGo+SwaptionShift),INDEX($FK$245:$ID$316,$FJ215-GM$169,73-GM$169+SwaptionShift):INDEX($FK$245:$ID$316,$FJ215-GM$169,72-GM$169+SwaptionMonthsToGo+SwaptionShift))/SQRT(SUM(INDEX($FK370:$ID370,1+SwaptionShift):INDEX($FK370:$ID370,SwaptionMonthsToGo+SwaptionShift))*SUM(INDEX($FK$325:$ID$396,GM$169,1+SwaptionShift):INDEX($FK$325:$ID$396,GM$169,SwaptionMonthsToGo+SwaptionShift))))))</f>
        <v/>
      </c>
      <c r="GN215" s="479" t="str">
        <f ca="1">IF(OR(GN$169&lt;SwaptionFirstMonthPosition+1,$FJ215&lt;SwaptionFirstMonthPosition+1,GN$169&gt;SwaptionFirstMonthPosition+SwaptionNumOfMonths+1,$FJ215&gt;SwaptionFirstMonthPosition+SwaptionNumOfMonths+1),"",IF($FJ215=GN$169,1,IF($FJ215&lt;GN$169,INDEX($FK$170:$ID$241,GN$169,$FJ215),SUMPRODUCT(INDEX($FK$325:$ID$396,GN$169,1+SwaptionShift):INDEX($FK$325:$ID$396,GN$169,SwaptionMonthsToGo+SwaptionShift),INDEX($FK$245:$ID$316,$FJ215-GN$169,73-GN$169+SwaptionShift):INDEX($FK$245:$ID$316,$FJ215-GN$169,72-GN$169+SwaptionMonthsToGo+SwaptionShift))/SQRT(SUM(INDEX($FK370:$ID370,1+SwaptionShift):INDEX($FK370:$ID370,SwaptionMonthsToGo+SwaptionShift))*SUM(INDEX($FK$325:$ID$396,GN$169,1+SwaptionShift):INDEX($FK$325:$ID$396,GN$169,SwaptionMonthsToGo+SwaptionShift))))))</f>
        <v/>
      </c>
      <c r="GO215" s="479" t="str">
        <f ca="1">IF(OR(GO$169&lt;SwaptionFirstMonthPosition+1,$FJ215&lt;SwaptionFirstMonthPosition+1,GO$169&gt;SwaptionFirstMonthPosition+SwaptionNumOfMonths+1,$FJ215&gt;SwaptionFirstMonthPosition+SwaptionNumOfMonths+1),"",IF($FJ215=GO$169,1,IF($FJ215&lt;GO$169,INDEX($FK$170:$ID$241,GO$169,$FJ215),SUMPRODUCT(INDEX($FK$325:$ID$396,GO$169,1+SwaptionShift):INDEX($FK$325:$ID$396,GO$169,SwaptionMonthsToGo+SwaptionShift),INDEX($FK$245:$ID$316,$FJ215-GO$169,73-GO$169+SwaptionShift):INDEX($FK$245:$ID$316,$FJ215-GO$169,72-GO$169+SwaptionMonthsToGo+SwaptionShift))/SQRT(SUM(INDEX($FK370:$ID370,1+SwaptionShift):INDEX($FK370:$ID370,SwaptionMonthsToGo+SwaptionShift))*SUM(INDEX($FK$325:$ID$396,GO$169,1+SwaptionShift):INDEX($FK$325:$ID$396,GO$169,SwaptionMonthsToGo+SwaptionShift))))))</f>
        <v/>
      </c>
      <c r="GP215" s="479" t="str">
        <f ca="1">IF(OR(GP$169&lt;SwaptionFirstMonthPosition+1,$FJ215&lt;SwaptionFirstMonthPosition+1,GP$169&gt;SwaptionFirstMonthPosition+SwaptionNumOfMonths+1,$FJ215&gt;SwaptionFirstMonthPosition+SwaptionNumOfMonths+1),"",IF($FJ215=GP$169,1,IF($FJ215&lt;GP$169,INDEX($FK$170:$ID$241,GP$169,$FJ215),SUMPRODUCT(INDEX($FK$325:$ID$396,GP$169,1+SwaptionShift):INDEX($FK$325:$ID$396,GP$169,SwaptionMonthsToGo+SwaptionShift),INDEX($FK$245:$ID$316,$FJ215-GP$169,73-GP$169+SwaptionShift):INDEX($FK$245:$ID$316,$FJ215-GP$169,72-GP$169+SwaptionMonthsToGo+SwaptionShift))/SQRT(SUM(INDEX($FK370:$ID370,1+SwaptionShift):INDEX($FK370:$ID370,SwaptionMonthsToGo+SwaptionShift))*SUM(INDEX($FK$325:$ID$396,GP$169,1+SwaptionShift):INDEX($FK$325:$ID$396,GP$169,SwaptionMonthsToGo+SwaptionShift))))))</f>
        <v/>
      </c>
      <c r="GQ215" s="479" t="str">
        <f ca="1">IF(OR(GQ$169&lt;SwaptionFirstMonthPosition+1,$FJ215&lt;SwaptionFirstMonthPosition+1,GQ$169&gt;SwaptionFirstMonthPosition+SwaptionNumOfMonths+1,$FJ215&gt;SwaptionFirstMonthPosition+SwaptionNumOfMonths+1),"",IF($FJ215=GQ$169,1,IF($FJ215&lt;GQ$169,INDEX($FK$170:$ID$241,GQ$169,$FJ215),SUMPRODUCT(INDEX($FK$325:$ID$396,GQ$169,1+SwaptionShift):INDEX($FK$325:$ID$396,GQ$169,SwaptionMonthsToGo+SwaptionShift),INDEX($FK$245:$ID$316,$FJ215-GQ$169,73-GQ$169+SwaptionShift):INDEX($FK$245:$ID$316,$FJ215-GQ$169,72-GQ$169+SwaptionMonthsToGo+SwaptionShift))/SQRT(SUM(INDEX($FK370:$ID370,1+SwaptionShift):INDEX($FK370:$ID370,SwaptionMonthsToGo+SwaptionShift))*SUM(INDEX($FK$325:$ID$396,GQ$169,1+SwaptionShift):INDEX($FK$325:$ID$396,GQ$169,SwaptionMonthsToGo+SwaptionShift))))))</f>
        <v/>
      </c>
      <c r="GR215" s="479" t="str">
        <f ca="1">IF(OR(GR$169&lt;SwaptionFirstMonthPosition+1,$FJ215&lt;SwaptionFirstMonthPosition+1,GR$169&gt;SwaptionFirstMonthPosition+SwaptionNumOfMonths+1,$FJ215&gt;SwaptionFirstMonthPosition+SwaptionNumOfMonths+1),"",IF($FJ215=GR$169,1,IF($FJ215&lt;GR$169,INDEX($FK$170:$ID$241,GR$169,$FJ215),SUMPRODUCT(INDEX($FK$325:$ID$396,GR$169,1+SwaptionShift):INDEX($FK$325:$ID$396,GR$169,SwaptionMonthsToGo+SwaptionShift),INDEX($FK$245:$ID$316,$FJ215-GR$169,73-GR$169+SwaptionShift):INDEX($FK$245:$ID$316,$FJ215-GR$169,72-GR$169+SwaptionMonthsToGo+SwaptionShift))/SQRT(SUM(INDEX($FK370:$ID370,1+SwaptionShift):INDEX($FK370:$ID370,SwaptionMonthsToGo+SwaptionShift))*SUM(INDEX($FK$325:$ID$396,GR$169,1+SwaptionShift):INDEX($FK$325:$ID$396,GR$169,SwaptionMonthsToGo+SwaptionShift))))))</f>
        <v/>
      </c>
      <c r="GS215" s="479" t="str">
        <f ca="1">IF(OR(GS$169&lt;SwaptionFirstMonthPosition+1,$FJ215&lt;SwaptionFirstMonthPosition+1,GS$169&gt;SwaptionFirstMonthPosition+SwaptionNumOfMonths+1,$FJ215&gt;SwaptionFirstMonthPosition+SwaptionNumOfMonths+1),"",IF($FJ215=GS$169,1,IF($FJ215&lt;GS$169,INDEX($FK$170:$ID$241,GS$169,$FJ215),SUMPRODUCT(INDEX($FK$325:$ID$396,GS$169,1+SwaptionShift):INDEX($FK$325:$ID$396,GS$169,SwaptionMonthsToGo+SwaptionShift),INDEX($FK$245:$ID$316,$FJ215-GS$169,73-GS$169+SwaptionShift):INDEX($FK$245:$ID$316,$FJ215-GS$169,72-GS$169+SwaptionMonthsToGo+SwaptionShift))/SQRT(SUM(INDEX($FK370:$ID370,1+SwaptionShift):INDEX($FK370:$ID370,SwaptionMonthsToGo+SwaptionShift))*SUM(INDEX($FK$325:$ID$396,GS$169,1+SwaptionShift):INDEX($FK$325:$ID$396,GS$169,SwaptionMonthsToGo+SwaptionShift))))))</f>
        <v/>
      </c>
      <c r="GT215" s="479" t="str">
        <f ca="1">IF(OR(GT$169&lt;SwaptionFirstMonthPosition+1,$FJ215&lt;SwaptionFirstMonthPosition+1,GT$169&gt;SwaptionFirstMonthPosition+SwaptionNumOfMonths+1,$FJ215&gt;SwaptionFirstMonthPosition+SwaptionNumOfMonths+1),"",IF($FJ215=GT$169,1,IF($FJ215&lt;GT$169,INDEX($FK$170:$ID$241,GT$169,$FJ215),SUMPRODUCT(INDEX($FK$325:$ID$396,GT$169,1+SwaptionShift):INDEX($FK$325:$ID$396,GT$169,SwaptionMonthsToGo+SwaptionShift),INDEX($FK$245:$ID$316,$FJ215-GT$169,73-GT$169+SwaptionShift):INDEX($FK$245:$ID$316,$FJ215-GT$169,72-GT$169+SwaptionMonthsToGo+SwaptionShift))/SQRT(SUM(INDEX($FK370:$ID370,1+SwaptionShift):INDEX($FK370:$ID370,SwaptionMonthsToGo+SwaptionShift))*SUM(INDEX($FK$325:$ID$396,GT$169,1+SwaptionShift):INDEX($FK$325:$ID$396,GT$169,SwaptionMonthsToGo+SwaptionShift))))))</f>
        <v/>
      </c>
      <c r="GU215" s="479" t="str">
        <f ca="1">IF(OR(GU$169&lt;SwaptionFirstMonthPosition+1,$FJ215&lt;SwaptionFirstMonthPosition+1,GU$169&gt;SwaptionFirstMonthPosition+SwaptionNumOfMonths+1,$FJ215&gt;SwaptionFirstMonthPosition+SwaptionNumOfMonths+1),"",IF($FJ215=GU$169,1,IF($FJ215&lt;GU$169,INDEX($FK$170:$ID$241,GU$169,$FJ215),SUMPRODUCT(INDEX($FK$325:$ID$396,GU$169,1+SwaptionShift):INDEX($FK$325:$ID$396,GU$169,SwaptionMonthsToGo+SwaptionShift),INDEX($FK$245:$ID$316,$FJ215-GU$169,73-GU$169+SwaptionShift):INDEX($FK$245:$ID$316,$FJ215-GU$169,72-GU$169+SwaptionMonthsToGo+SwaptionShift))/SQRT(SUM(INDEX($FK370:$ID370,1+SwaptionShift):INDEX($FK370:$ID370,SwaptionMonthsToGo+SwaptionShift))*SUM(INDEX($FK$325:$ID$396,GU$169,1+SwaptionShift):INDEX($FK$325:$ID$396,GU$169,SwaptionMonthsToGo+SwaptionShift))))))</f>
        <v/>
      </c>
      <c r="GV215" s="479" t="str">
        <f ca="1">IF(OR(GV$169&lt;SwaptionFirstMonthPosition+1,$FJ215&lt;SwaptionFirstMonthPosition+1,GV$169&gt;SwaptionFirstMonthPosition+SwaptionNumOfMonths+1,$FJ215&gt;SwaptionFirstMonthPosition+SwaptionNumOfMonths+1),"",IF($FJ215=GV$169,1,IF($FJ215&lt;GV$169,INDEX($FK$170:$ID$241,GV$169,$FJ215),SUMPRODUCT(INDEX($FK$325:$ID$396,GV$169,1+SwaptionShift):INDEX($FK$325:$ID$396,GV$169,SwaptionMonthsToGo+SwaptionShift),INDEX($FK$245:$ID$316,$FJ215-GV$169,73-GV$169+SwaptionShift):INDEX($FK$245:$ID$316,$FJ215-GV$169,72-GV$169+SwaptionMonthsToGo+SwaptionShift))/SQRT(SUM(INDEX($FK370:$ID370,1+SwaptionShift):INDEX($FK370:$ID370,SwaptionMonthsToGo+SwaptionShift))*SUM(INDEX($FK$325:$ID$396,GV$169,1+SwaptionShift):INDEX($FK$325:$ID$396,GV$169,SwaptionMonthsToGo+SwaptionShift))))))</f>
        <v/>
      </c>
      <c r="GW215" s="479" t="str">
        <f ca="1">IF(OR(GW$169&lt;SwaptionFirstMonthPosition+1,$FJ215&lt;SwaptionFirstMonthPosition+1,GW$169&gt;SwaptionFirstMonthPosition+SwaptionNumOfMonths+1,$FJ215&gt;SwaptionFirstMonthPosition+SwaptionNumOfMonths+1),"",IF($FJ215=GW$169,1,IF($FJ215&lt;GW$169,INDEX($FK$170:$ID$241,GW$169,$FJ215),SUMPRODUCT(INDEX($FK$325:$ID$396,GW$169,1+SwaptionShift):INDEX($FK$325:$ID$396,GW$169,SwaptionMonthsToGo+SwaptionShift),INDEX($FK$245:$ID$316,$FJ215-GW$169,73-GW$169+SwaptionShift):INDEX($FK$245:$ID$316,$FJ215-GW$169,72-GW$169+SwaptionMonthsToGo+SwaptionShift))/SQRT(SUM(INDEX($FK370:$ID370,1+SwaptionShift):INDEX($FK370:$ID370,SwaptionMonthsToGo+SwaptionShift))*SUM(INDEX($FK$325:$ID$396,GW$169,1+SwaptionShift):INDEX($FK$325:$ID$396,GW$169,SwaptionMonthsToGo+SwaptionShift))))))</f>
        <v/>
      </c>
      <c r="GX215" s="479" t="str">
        <f ca="1">IF(OR(GX$169&lt;SwaptionFirstMonthPosition+1,$FJ215&lt;SwaptionFirstMonthPosition+1,GX$169&gt;SwaptionFirstMonthPosition+SwaptionNumOfMonths+1,$FJ215&gt;SwaptionFirstMonthPosition+SwaptionNumOfMonths+1),"",IF($FJ215=GX$169,1,IF($FJ215&lt;GX$169,INDEX($FK$170:$ID$241,GX$169,$FJ215),SUMPRODUCT(INDEX($FK$325:$ID$396,GX$169,1+SwaptionShift):INDEX($FK$325:$ID$396,GX$169,SwaptionMonthsToGo+SwaptionShift),INDEX($FK$245:$ID$316,$FJ215-GX$169,73-GX$169+SwaptionShift):INDEX($FK$245:$ID$316,$FJ215-GX$169,72-GX$169+SwaptionMonthsToGo+SwaptionShift))/SQRT(SUM(INDEX($FK370:$ID370,1+SwaptionShift):INDEX($FK370:$ID370,SwaptionMonthsToGo+SwaptionShift))*SUM(INDEX($FK$325:$ID$396,GX$169,1+SwaptionShift):INDEX($FK$325:$ID$396,GX$169,SwaptionMonthsToGo+SwaptionShift))))))</f>
        <v/>
      </c>
      <c r="GY215" s="479" t="str">
        <f ca="1">IF(OR(GY$169&lt;SwaptionFirstMonthPosition+1,$FJ215&lt;SwaptionFirstMonthPosition+1,GY$169&gt;SwaptionFirstMonthPosition+SwaptionNumOfMonths+1,$FJ215&gt;SwaptionFirstMonthPosition+SwaptionNumOfMonths+1),"",IF($FJ215=GY$169,1,IF($FJ215&lt;GY$169,INDEX($FK$170:$ID$241,GY$169,$FJ215),SUMPRODUCT(INDEX($FK$325:$ID$396,GY$169,1+SwaptionShift):INDEX($FK$325:$ID$396,GY$169,SwaptionMonthsToGo+SwaptionShift),INDEX($FK$245:$ID$316,$FJ215-GY$169,73-GY$169+SwaptionShift):INDEX($FK$245:$ID$316,$FJ215-GY$169,72-GY$169+SwaptionMonthsToGo+SwaptionShift))/SQRT(SUM(INDEX($FK370:$ID370,1+SwaptionShift):INDEX($FK370:$ID370,SwaptionMonthsToGo+SwaptionShift))*SUM(INDEX($FK$325:$ID$396,GY$169,1+SwaptionShift):INDEX($FK$325:$ID$396,GY$169,SwaptionMonthsToGo+SwaptionShift))))))</f>
        <v/>
      </c>
      <c r="GZ215" s="479" t="str">
        <f ca="1">IF(OR(GZ$169&lt;SwaptionFirstMonthPosition+1,$FJ215&lt;SwaptionFirstMonthPosition+1,GZ$169&gt;SwaptionFirstMonthPosition+SwaptionNumOfMonths+1,$FJ215&gt;SwaptionFirstMonthPosition+SwaptionNumOfMonths+1),"",IF($FJ215=GZ$169,1,IF($FJ215&lt;GZ$169,INDEX($FK$170:$ID$241,GZ$169,$FJ215),SUMPRODUCT(INDEX($FK$325:$ID$396,GZ$169,1+SwaptionShift):INDEX($FK$325:$ID$396,GZ$169,SwaptionMonthsToGo+SwaptionShift),INDEX($FK$245:$ID$316,$FJ215-GZ$169,73-GZ$169+SwaptionShift):INDEX($FK$245:$ID$316,$FJ215-GZ$169,72-GZ$169+SwaptionMonthsToGo+SwaptionShift))/SQRT(SUM(INDEX($FK370:$ID370,1+SwaptionShift):INDEX($FK370:$ID370,SwaptionMonthsToGo+SwaptionShift))*SUM(INDEX($FK$325:$ID$396,GZ$169,1+SwaptionShift):INDEX($FK$325:$ID$396,GZ$169,SwaptionMonthsToGo+SwaptionShift))))))</f>
        <v/>
      </c>
      <c r="HA215" s="479" t="str">
        <f ca="1">IF(OR(HA$169&lt;SwaptionFirstMonthPosition+1,$FJ215&lt;SwaptionFirstMonthPosition+1,HA$169&gt;SwaptionFirstMonthPosition+SwaptionNumOfMonths+1,$FJ215&gt;SwaptionFirstMonthPosition+SwaptionNumOfMonths+1),"",IF($FJ215=HA$169,1,IF($FJ215&lt;HA$169,INDEX($FK$170:$ID$241,HA$169,$FJ215),SUMPRODUCT(INDEX($FK$325:$ID$396,HA$169,1+SwaptionShift):INDEX($FK$325:$ID$396,HA$169,SwaptionMonthsToGo+SwaptionShift),INDEX($FK$245:$ID$316,$FJ215-HA$169,73-HA$169+SwaptionShift):INDEX($FK$245:$ID$316,$FJ215-HA$169,72-HA$169+SwaptionMonthsToGo+SwaptionShift))/SQRT(SUM(INDEX($FK370:$ID370,1+SwaptionShift):INDEX($FK370:$ID370,SwaptionMonthsToGo+SwaptionShift))*SUM(INDEX($FK$325:$ID$396,HA$169,1+SwaptionShift):INDEX($FK$325:$ID$396,HA$169,SwaptionMonthsToGo+SwaptionShift))))))</f>
        <v/>
      </c>
      <c r="HB215" s="479" t="str">
        <f ca="1">IF(OR(HB$169&lt;SwaptionFirstMonthPosition+1,$FJ215&lt;SwaptionFirstMonthPosition+1,HB$169&gt;SwaptionFirstMonthPosition+SwaptionNumOfMonths+1,$FJ215&gt;SwaptionFirstMonthPosition+SwaptionNumOfMonths+1),"",IF($FJ215=HB$169,1,IF($FJ215&lt;HB$169,INDEX($FK$170:$ID$241,HB$169,$FJ215),SUMPRODUCT(INDEX($FK$325:$ID$396,HB$169,1+SwaptionShift):INDEX($FK$325:$ID$396,HB$169,SwaptionMonthsToGo+SwaptionShift),INDEX($FK$245:$ID$316,$FJ215-HB$169,73-HB$169+SwaptionShift):INDEX($FK$245:$ID$316,$FJ215-HB$169,72-HB$169+SwaptionMonthsToGo+SwaptionShift))/SQRT(SUM(INDEX($FK370:$ID370,1+SwaptionShift):INDEX($FK370:$ID370,SwaptionMonthsToGo+SwaptionShift))*SUM(INDEX($FK$325:$ID$396,HB$169,1+SwaptionShift):INDEX($FK$325:$ID$396,HB$169,SwaptionMonthsToGo+SwaptionShift))))))</f>
        <v/>
      </c>
      <c r="HC215" s="479" t="str">
        <f ca="1">IF(OR(HC$169&lt;SwaptionFirstMonthPosition+1,$FJ215&lt;SwaptionFirstMonthPosition+1,HC$169&gt;SwaptionFirstMonthPosition+SwaptionNumOfMonths+1,$FJ215&gt;SwaptionFirstMonthPosition+SwaptionNumOfMonths+1),"",IF($FJ215=HC$169,1,IF($FJ215&lt;HC$169,INDEX($FK$170:$ID$241,HC$169,$FJ215),SUMPRODUCT(INDEX($FK$325:$ID$396,HC$169,1+SwaptionShift):INDEX($FK$325:$ID$396,HC$169,SwaptionMonthsToGo+SwaptionShift),INDEX($FK$245:$ID$316,$FJ215-HC$169,73-HC$169+SwaptionShift):INDEX($FK$245:$ID$316,$FJ215-HC$169,72-HC$169+SwaptionMonthsToGo+SwaptionShift))/SQRT(SUM(INDEX($FK370:$ID370,1+SwaptionShift):INDEX($FK370:$ID370,SwaptionMonthsToGo+SwaptionShift))*SUM(INDEX($FK$325:$ID$396,HC$169,1+SwaptionShift):INDEX($FK$325:$ID$396,HC$169,SwaptionMonthsToGo+SwaptionShift))))))</f>
        <v/>
      </c>
      <c r="HD215" s="479" t="str">
        <f ca="1">IF(OR(HD$169&lt;SwaptionFirstMonthPosition+1,$FJ215&lt;SwaptionFirstMonthPosition+1,HD$169&gt;SwaptionFirstMonthPosition+SwaptionNumOfMonths+1,$FJ215&gt;SwaptionFirstMonthPosition+SwaptionNumOfMonths+1),"",IF($FJ215=HD$169,1,IF($FJ215&lt;HD$169,INDEX($FK$170:$ID$241,HD$169,$FJ215),SUMPRODUCT(INDEX($FK$325:$ID$396,HD$169,1+SwaptionShift):INDEX($FK$325:$ID$396,HD$169,SwaptionMonthsToGo+SwaptionShift),INDEX($FK$245:$ID$316,$FJ215-HD$169,73-HD$169+SwaptionShift):INDEX($FK$245:$ID$316,$FJ215-HD$169,72-HD$169+SwaptionMonthsToGo+SwaptionShift))/SQRT(SUM(INDEX($FK370:$ID370,1+SwaptionShift):INDEX($FK370:$ID370,SwaptionMonthsToGo+SwaptionShift))*SUM(INDEX($FK$325:$ID$396,HD$169,1+SwaptionShift):INDEX($FK$325:$ID$396,HD$169,SwaptionMonthsToGo+SwaptionShift))))))</f>
        <v/>
      </c>
      <c r="HE215" s="479" t="str">
        <f ca="1">IF(OR(HE$169&lt;SwaptionFirstMonthPosition+1,$FJ215&lt;SwaptionFirstMonthPosition+1,HE$169&gt;SwaptionFirstMonthPosition+SwaptionNumOfMonths+1,$FJ215&gt;SwaptionFirstMonthPosition+SwaptionNumOfMonths+1),"",IF($FJ215=HE$169,1,IF($FJ215&lt;HE$169,INDEX($FK$170:$ID$241,HE$169,$FJ215),SUMPRODUCT(INDEX($FK$325:$ID$396,HE$169,1+SwaptionShift):INDEX($FK$325:$ID$396,HE$169,SwaptionMonthsToGo+SwaptionShift),INDEX($FK$245:$ID$316,$FJ215-HE$169,73-HE$169+SwaptionShift):INDEX($FK$245:$ID$316,$FJ215-HE$169,72-HE$169+SwaptionMonthsToGo+SwaptionShift))/SQRT(SUM(INDEX($FK370:$ID370,1+SwaptionShift):INDEX($FK370:$ID370,SwaptionMonthsToGo+SwaptionShift))*SUM(INDEX($FK$325:$ID$396,HE$169,1+SwaptionShift):INDEX($FK$325:$ID$396,HE$169,SwaptionMonthsToGo+SwaptionShift))))))</f>
        <v/>
      </c>
      <c r="HF215" s="479" t="str">
        <f ca="1">IF(OR(HF$169&lt;SwaptionFirstMonthPosition+1,$FJ215&lt;SwaptionFirstMonthPosition+1,HF$169&gt;SwaptionFirstMonthPosition+SwaptionNumOfMonths+1,$FJ215&gt;SwaptionFirstMonthPosition+SwaptionNumOfMonths+1),"",IF($FJ215=HF$169,1,IF($FJ215&lt;HF$169,INDEX($FK$170:$ID$241,HF$169,$FJ215),SUMPRODUCT(INDEX($FK$325:$ID$396,HF$169,1+SwaptionShift):INDEX($FK$325:$ID$396,HF$169,SwaptionMonthsToGo+SwaptionShift),INDEX($FK$245:$ID$316,$FJ215-HF$169,73-HF$169+SwaptionShift):INDEX($FK$245:$ID$316,$FJ215-HF$169,72-HF$169+SwaptionMonthsToGo+SwaptionShift))/SQRT(SUM(INDEX($FK370:$ID370,1+SwaptionShift):INDEX($FK370:$ID370,SwaptionMonthsToGo+SwaptionShift))*SUM(INDEX($FK$325:$ID$396,HF$169,1+SwaptionShift):INDEX($FK$325:$ID$396,HF$169,SwaptionMonthsToGo+SwaptionShift))))))</f>
        <v/>
      </c>
      <c r="HG215" s="479" t="str">
        <f ca="1">IF(OR(HG$169&lt;SwaptionFirstMonthPosition+1,$FJ215&lt;SwaptionFirstMonthPosition+1,HG$169&gt;SwaptionFirstMonthPosition+SwaptionNumOfMonths+1,$FJ215&gt;SwaptionFirstMonthPosition+SwaptionNumOfMonths+1),"",IF($FJ215=HG$169,1,IF($FJ215&lt;HG$169,INDEX($FK$170:$ID$241,HG$169,$FJ215),SUMPRODUCT(INDEX($FK$325:$ID$396,HG$169,1+SwaptionShift):INDEX($FK$325:$ID$396,HG$169,SwaptionMonthsToGo+SwaptionShift),INDEX($FK$245:$ID$316,$FJ215-HG$169,73-HG$169+SwaptionShift):INDEX($FK$245:$ID$316,$FJ215-HG$169,72-HG$169+SwaptionMonthsToGo+SwaptionShift))/SQRT(SUM(INDEX($FK370:$ID370,1+SwaptionShift):INDEX($FK370:$ID370,SwaptionMonthsToGo+SwaptionShift))*SUM(INDEX($FK$325:$ID$396,HG$169,1+SwaptionShift):INDEX($FK$325:$ID$396,HG$169,SwaptionMonthsToGo+SwaptionShift))))))</f>
        <v/>
      </c>
      <c r="HH215" s="479" t="str">
        <f ca="1">IF(OR(HH$169&lt;SwaptionFirstMonthPosition+1,$FJ215&lt;SwaptionFirstMonthPosition+1,HH$169&gt;SwaptionFirstMonthPosition+SwaptionNumOfMonths+1,$FJ215&gt;SwaptionFirstMonthPosition+SwaptionNumOfMonths+1),"",IF($FJ215=HH$169,1,IF($FJ215&lt;HH$169,INDEX($FK$170:$ID$241,HH$169,$FJ215),SUMPRODUCT(INDEX($FK$325:$ID$396,HH$169,1+SwaptionShift):INDEX($FK$325:$ID$396,HH$169,SwaptionMonthsToGo+SwaptionShift),INDEX($FK$245:$ID$316,$FJ215-HH$169,73-HH$169+SwaptionShift):INDEX($FK$245:$ID$316,$FJ215-HH$169,72-HH$169+SwaptionMonthsToGo+SwaptionShift))/SQRT(SUM(INDEX($FK370:$ID370,1+SwaptionShift):INDEX($FK370:$ID370,SwaptionMonthsToGo+SwaptionShift))*SUM(INDEX($FK$325:$ID$396,HH$169,1+SwaptionShift):INDEX($FK$325:$ID$396,HH$169,SwaptionMonthsToGo+SwaptionShift))))))</f>
        <v/>
      </c>
      <c r="HI215" s="479" t="str">
        <f ca="1">IF(OR(HI$169&lt;SwaptionFirstMonthPosition+1,$FJ215&lt;SwaptionFirstMonthPosition+1,HI$169&gt;SwaptionFirstMonthPosition+SwaptionNumOfMonths+1,$FJ215&gt;SwaptionFirstMonthPosition+SwaptionNumOfMonths+1),"",IF($FJ215=HI$169,1,IF($FJ215&lt;HI$169,INDEX($FK$170:$ID$241,HI$169,$FJ215),SUMPRODUCT(INDEX($FK$325:$ID$396,HI$169,1+SwaptionShift):INDEX($FK$325:$ID$396,HI$169,SwaptionMonthsToGo+SwaptionShift),INDEX($FK$245:$ID$316,$FJ215-HI$169,73-HI$169+SwaptionShift):INDEX($FK$245:$ID$316,$FJ215-HI$169,72-HI$169+SwaptionMonthsToGo+SwaptionShift))/SQRT(SUM(INDEX($FK370:$ID370,1+SwaptionShift):INDEX($FK370:$ID370,SwaptionMonthsToGo+SwaptionShift))*SUM(INDEX($FK$325:$ID$396,HI$169,1+SwaptionShift):INDEX($FK$325:$ID$396,HI$169,SwaptionMonthsToGo+SwaptionShift))))))</f>
        <v/>
      </c>
      <c r="HJ215" s="479" t="str">
        <f ca="1">IF(OR(HJ$169&lt;SwaptionFirstMonthPosition+1,$FJ215&lt;SwaptionFirstMonthPosition+1,HJ$169&gt;SwaptionFirstMonthPosition+SwaptionNumOfMonths+1,$FJ215&gt;SwaptionFirstMonthPosition+SwaptionNumOfMonths+1),"",IF($FJ215=HJ$169,1,IF($FJ215&lt;HJ$169,INDEX($FK$170:$ID$241,HJ$169,$FJ215),SUMPRODUCT(INDEX($FK$325:$ID$396,HJ$169,1+SwaptionShift):INDEX($FK$325:$ID$396,HJ$169,SwaptionMonthsToGo+SwaptionShift),INDEX($FK$245:$ID$316,$FJ215-HJ$169,73-HJ$169+SwaptionShift):INDEX($FK$245:$ID$316,$FJ215-HJ$169,72-HJ$169+SwaptionMonthsToGo+SwaptionShift))/SQRT(SUM(INDEX($FK370:$ID370,1+SwaptionShift):INDEX($FK370:$ID370,SwaptionMonthsToGo+SwaptionShift))*SUM(INDEX($FK$325:$ID$396,HJ$169,1+SwaptionShift):INDEX($FK$325:$ID$396,HJ$169,SwaptionMonthsToGo+SwaptionShift))))))</f>
        <v/>
      </c>
      <c r="HK215" s="479" t="str">
        <f ca="1">IF(OR(HK$169&lt;SwaptionFirstMonthPosition+1,$FJ215&lt;SwaptionFirstMonthPosition+1,HK$169&gt;SwaptionFirstMonthPosition+SwaptionNumOfMonths+1,$FJ215&gt;SwaptionFirstMonthPosition+SwaptionNumOfMonths+1),"",IF($FJ215=HK$169,1,IF($FJ215&lt;HK$169,INDEX($FK$170:$ID$241,HK$169,$FJ215),SUMPRODUCT(INDEX($FK$325:$ID$396,HK$169,1+SwaptionShift):INDEX($FK$325:$ID$396,HK$169,SwaptionMonthsToGo+SwaptionShift),INDEX($FK$245:$ID$316,$FJ215-HK$169,73-HK$169+SwaptionShift):INDEX($FK$245:$ID$316,$FJ215-HK$169,72-HK$169+SwaptionMonthsToGo+SwaptionShift))/SQRT(SUM(INDEX($FK370:$ID370,1+SwaptionShift):INDEX($FK370:$ID370,SwaptionMonthsToGo+SwaptionShift))*SUM(INDEX($FK$325:$ID$396,HK$169,1+SwaptionShift):INDEX($FK$325:$ID$396,HK$169,SwaptionMonthsToGo+SwaptionShift))))))</f>
        <v/>
      </c>
      <c r="HL215" s="479" t="str">
        <f ca="1">IF(OR(HL$169&lt;SwaptionFirstMonthPosition+1,$FJ215&lt;SwaptionFirstMonthPosition+1,HL$169&gt;SwaptionFirstMonthPosition+SwaptionNumOfMonths+1,$FJ215&gt;SwaptionFirstMonthPosition+SwaptionNumOfMonths+1),"",IF($FJ215=HL$169,1,IF($FJ215&lt;HL$169,INDEX($FK$170:$ID$241,HL$169,$FJ215),SUMPRODUCT(INDEX($FK$325:$ID$396,HL$169,1+SwaptionShift):INDEX($FK$325:$ID$396,HL$169,SwaptionMonthsToGo+SwaptionShift),INDEX($FK$245:$ID$316,$FJ215-HL$169,73-HL$169+SwaptionShift):INDEX($FK$245:$ID$316,$FJ215-HL$169,72-HL$169+SwaptionMonthsToGo+SwaptionShift))/SQRT(SUM(INDEX($FK370:$ID370,1+SwaptionShift):INDEX($FK370:$ID370,SwaptionMonthsToGo+SwaptionShift))*SUM(INDEX($FK$325:$ID$396,HL$169,1+SwaptionShift):INDEX($FK$325:$ID$396,HL$169,SwaptionMonthsToGo+SwaptionShift))))))</f>
        <v/>
      </c>
      <c r="HM215" s="479" t="str">
        <f ca="1">IF(OR(HM$169&lt;SwaptionFirstMonthPosition+1,$FJ215&lt;SwaptionFirstMonthPosition+1,HM$169&gt;SwaptionFirstMonthPosition+SwaptionNumOfMonths+1,$FJ215&gt;SwaptionFirstMonthPosition+SwaptionNumOfMonths+1),"",IF($FJ215=HM$169,1,IF($FJ215&lt;HM$169,INDEX($FK$170:$ID$241,HM$169,$FJ215),SUMPRODUCT(INDEX($FK$325:$ID$396,HM$169,1+SwaptionShift):INDEX($FK$325:$ID$396,HM$169,SwaptionMonthsToGo+SwaptionShift),INDEX($FK$245:$ID$316,$FJ215-HM$169,73-HM$169+SwaptionShift):INDEX($FK$245:$ID$316,$FJ215-HM$169,72-HM$169+SwaptionMonthsToGo+SwaptionShift))/SQRT(SUM(INDEX($FK370:$ID370,1+SwaptionShift):INDEX($FK370:$ID370,SwaptionMonthsToGo+SwaptionShift))*SUM(INDEX($FK$325:$ID$396,HM$169,1+SwaptionShift):INDEX($FK$325:$ID$396,HM$169,SwaptionMonthsToGo+SwaptionShift))))))</f>
        <v/>
      </c>
      <c r="HN215" s="479" t="str">
        <f ca="1">IF(OR(HN$169&lt;SwaptionFirstMonthPosition+1,$FJ215&lt;SwaptionFirstMonthPosition+1,HN$169&gt;SwaptionFirstMonthPosition+SwaptionNumOfMonths+1,$FJ215&gt;SwaptionFirstMonthPosition+SwaptionNumOfMonths+1),"",IF($FJ215=HN$169,1,IF($FJ215&lt;HN$169,INDEX($FK$170:$ID$241,HN$169,$FJ215),SUMPRODUCT(INDEX($FK$325:$ID$396,HN$169,1+SwaptionShift):INDEX($FK$325:$ID$396,HN$169,SwaptionMonthsToGo+SwaptionShift),INDEX($FK$245:$ID$316,$FJ215-HN$169,73-HN$169+SwaptionShift):INDEX($FK$245:$ID$316,$FJ215-HN$169,72-HN$169+SwaptionMonthsToGo+SwaptionShift))/SQRT(SUM(INDEX($FK370:$ID370,1+SwaptionShift):INDEX($FK370:$ID370,SwaptionMonthsToGo+SwaptionShift))*SUM(INDEX($FK$325:$ID$396,HN$169,1+SwaptionShift):INDEX($FK$325:$ID$396,HN$169,SwaptionMonthsToGo+SwaptionShift))))))</f>
        <v/>
      </c>
      <c r="HO215" s="479" t="str">
        <f ca="1">IF(OR(HO$169&lt;SwaptionFirstMonthPosition+1,$FJ215&lt;SwaptionFirstMonthPosition+1,HO$169&gt;SwaptionFirstMonthPosition+SwaptionNumOfMonths+1,$FJ215&gt;SwaptionFirstMonthPosition+SwaptionNumOfMonths+1),"",IF($FJ215=HO$169,1,IF($FJ215&lt;HO$169,INDEX($FK$170:$ID$241,HO$169,$FJ215),SUMPRODUCT(INDEX($FK$325:$ID$396,HO$169,1+SwaptionShift):INDEX($FK$325:$ID$396,HO$169,SwaptionMonthsToGo+SwaptionShift),INDEX($FK$245:$ID$316,$FJ215-HO$169,73-HO$169+SwaptionShift):INDEX($FK$245:$ID$316,$FJ215-HO$169,72-HO$169+SwaptionMonthsToGo+SwaptionShift))/SQRT(SUM(INDEX($FK370:$ID370,1+SwaptionShift):INDEX($FK370:$ID370,SwaptionMonthsToGo+SwaptionShift))*SUM(INDEX($FK$325:$ID$396,HO$169,1+SwaptionShift):INDEX($FK$325:$ID$396,HO$169,SwaptionMonthsToGo+SwaptionShift))))))</f>
        <v/>
      </c>
      <c r="HP215" s="479" t="str">
        <f ca="1">IF(OR(HP$169&lt;SwaptionFirstMonthPosition+1,$FJ215&lt;SwaptionFirstMonthPosition+1,HP$169&gt;SwaptionFirstMonthPosition+SwaptionNumOfMonths+1,$FJ215&gt;SwaptionFirstMonthPosition+SwaptionNumOfMonths+1),"",IF($FJ215=HP$169,1,IF($FJ215&lt;HP$169,INDEX($FK$170:$ID$241,HP$169,$FJ215),SUMPRODUCT(INDEX($FK$325:$ID$396,HP$169,1+SwaptionShift):INDEX($FK$325:$ID$396,HP$169,SwaptionMonthsToGo+SwaptionShift),INDEX($FK$245:$ID$316,$FJ215-HP$169,73-HP$169+SwaptionShift):INDEX($FK$245:$ID$316,$FJ215-HP$169,72-HP$169+SwaptionMonthsToGo+SwaptionShift))/SQRT(SUM(INDEX($FK370:$ID370,1+SwaptionShift):INDEX($FK370:$ID370,SwaptionMonthsToGo+SwaptionShift))*SUM(INDEX($FK$325:$ID$396,HP$169,1+SwaptionShift):INDEX($FK$325:$ID$396,HP$169,SwaptionMonthsToGo+SwaptionShift))))))</f>
        <v/>
      </c>
      <c r="HQ215" s="479" t="str">
        <f ca="1">IF(OR(HQ$169&lt;SwaptionFirstMonthPosition+1,$FJ215&lt;SwaptionFirstMonthPosition+1,HQ$169&gt;SwaptionFirstMonthPosition+SwaptionNumOfMonths+1,$FJ215&gt;SwaptionFirstMonthPosition+SwaptionNumOfMonths+1),"",IF($FJ215=HQ$169,1,IF($FJ215&lt;HQ$169,INDEX($FK$170:$ID$241,HQ$169,$FJ215),SUMPRODUCT(INDEX($FK$325:$ID$396,HQ$169,1+SwaptionShift):INDEX($FK$325:$ID$396,HQ$169,SwaptionMonthsToGo+SwaptionShift),INDEX($FK$245:$ID$316,$FJ215-HQ$169,73-HQ$169+SwaptionShift):INDEX($FK$245:$ID$316,$FJ215-HQ$169,72-HQ$169+SwaptionMonthsToGo+SwaptionShift))/SQRT(SUM(INDEX($FK370:$ID370,1+SwaptionShift):INDEX($FK370:$ID370,SwaptionMonthsToGo+SwaptionShift))*SUM(INDEX($FK$325:$ID$396,HQ$169,1+SwaptionShift):INDEX($FK$325:$ID$396,HQ$169,SwaptionMonthsToGo+SwaptionShift))))))</f>
        <v/>
      </c>
      <c r="HR215" s="479" t="str">
        <f ca="1">IF(OR(HR$169&lt;SwaptionFirstMonthPosition+1,$FJ215&lt;SwaptionFirstMonthPosition+1,HR$169&gt;SwaptionFirstMonthPosition+SwaptionNumOfMonths+1,$FJ215&gt;SwaptionFirstMonthPosition+SwaptionNumOfMonths+1),"",IF($FJ215=HR$169,1,IF($FJ215&lt;HR$169,INDEX($FK$170:$ID$241,HR$169,$FJ215),SUMPRODUCT(INDEX($FK$325:$ID$396,HR$169,1+SwaptionShift):INDEX($FK$325:$ID$396,HR$169,SwaptionMonthsToGo+SwaptionShift),INDEX($FK$245:$ID$316,$FJ215-HR$169,73-HR$169+SwaptionShift):INDEX($FK$245:$ID$316,$FJ215-HR$169,72-HR$169+SwaptionMonthsToGo+SwaptionShift))/SQRT(SUM(INDEX($FK370:$ID370,1+SwaptionShift):INDEX($FK370:$ID370,SwaptionMonthsToGo+SwaptionShift))*SUM(INDEX($FK$325:$ID$396,HR$169,1+SwaptionShift):INDEX($FK$325:$ID$396,HR$169,SwaptionMonthsToGo+SwaptionShift))))))</f>
        <v/>
      </c>
      <c r="HS215" s="479" t="str">
        <f ca="1">IF(OR(HS$169&lt;SwaptionFirstMonthPosition+1,$FJ215&lt;SwaptionFirstMonthPosition+1,HS$169&gt;SwaptionFirstMonthPosition+SwaptionNumOfMonths+1,$FJ215&gt;SwaptionFirstMonthPosition+SwaptionNumOfMonths+1),"",IF($FJ215=HS$169,1,IF($FJ215&lt;HS$169,INDEX($FK$170:$ID$241,HS$169,$FJ215),SUMPRODUCT(INDEX($FK$325:$ID$396,HS$169,1+SwaptionShift):INDEX($FK$325:$ID$396,HS$169,SwaptionMonthsToGo+SwaptionShift),INDEX($FK$245:$ID$316,$FJ215-HS$169,73-HS$169+SwaptionShift):INDEX($FK$245:$ID$316,$FJ215-HS$169,72-HS$169+SwaptionMonthsToGo+SwaptionShift))/SQRT(SUM(INDEX($FK370:$ID370,1+SwaptionShift):INDEX($FK370:$ID370,SwaptionMonthsToGo+SwaptionShift))*SUM(INDEX($FK$325:$ID$396,HS$169,1+SwaptionShift):INDEX($FK$325:$ID$396,HS$169,SwaptionMonthsToGo+SwaptionShift))))))</f>
        <v/>
      </c>
      <c r="HT215" s="479" t="str">
        <f ca="1">IF(OR(HT$169&lt;SwaptionFirstMonthPosition+1,$FJ215&lt;SwaptionFirstMonthPosition+1,HT$169&gt;SwaptionFirstMonthPosition+SwaptionNumOfMonths+1,$FJ215&gt;SwaptionFirstMonthPosition+SwaptionNumOfMonths+1),"",IF($FJ215=HT$169,1,IF($FJ215&lt;HT$169,INDEX($FK$170:$ID$241,HT$169,$FJ215),SUMPRODUCT(INDEX($FK$325:$ID$396,HT$169,1+SwaptionShift):INDEX($FK$325:$ID$396,HT$169,SwaptionMonthsToGo+SwaptionShift),INDEX($FK$245:$ID$316,$FJ215-HT$169,73-HT$169+SwaptionShift):INDEX($FK$245:$ID$316,$FJ215-HT$169,72-HT$169+SwaptionMonthsToGo+SwaptionShift))/SQRT(SUM(INDEX($FK370:$ID370,1+SwaptionShift):INDEX($FK370:$ID370,SwaptionMonthsToGo+SwaptionShift))*SUM(INDEX($FK$325:$ID$396,HT$169,1+SwaptionShift):INDEX($FK$325:$ID$396,HT$169,SwaptionMonthsToGo+SwaptionShift))))))</f>
        <v/>
      </c>
      <c r="HU215" s="479" t="str">
        <f ca="1">IF(OR(HU$169&lt;SwaptionFirstMonthPosition+1,$FJ215&lt;SwaptionFirstMonthPosition+1,HU$169&gt;SwaptionFirstMonthPosition+SwaptionNumOfMonths+1,$FJ215&gt;SwaptionFirstMonthPosition+SwaptionNumOfMonths+1),"",IF($FJ215=HU$169,1,IF($FJ215&lt;HU$169,INDEX($FK$170:$ID$241,HU$169,$FJ215),SUMPRODUCT(INDEX($FK$325:$ID$396,HU$169,1+SwaptionShift):INDEX($FK$325:$ID$396,HU$169,SwaptionMonthsToGo+SwaptionShift),INDEX($FK$245:$ID$316,$FJ215-HU$169,73-HU$169+SwaptionShift):INDEX($FK$245:$ID$316,$FJ215-HU$169,72-HU$169+SwaptionMonthsToGo+SwaptionShift))/SQRT(SUM(INDEX($FK370:$ID370,1+SwaptionShift):INDEX($FK370:$ID370,SwaptionMonthsToGo+SwaptionShift))*SUM(INDEX($FK$325:$ID$396,HU$169,1+SwaptionShift):INDEX($FK$325:$ID$396,HU$169,SwaptionMonthsToGo+SwaptionShift))))))</f>
        <v/>
      </c>
      <c r="HV215" s="479" t="str">
        <f ca="1">IF(OR(HV$169&lt;SwaptionFirstMonthPosition+1,$FJ215&lt;SwaptionFirstMonthPosition+1,HV$169&gt;SwaptionFirstMonthPosition+SwaptionNumOfMonths+1,$FJ215&gt;SwaptionFirstMonthPosition+SwaptionNumOfMonths+1),"",IF($FJ215=HV$169,1,IF($FJ215&lt;HV$169,INDEX($FK$170:$ID$241,HV$169,$FJ215),SUMPRODUCT(INDEX($FK$325:$ID$396,HV$169,1+SwaptionShift):INDEX($FK$325:$ID$396,HV$169,SwaptionMonthsToGo+SwaptionShift),INDEX($FK$245:$ID$316,$FJ215-HV$169,73-HV$169+SwaptionShift):INDEX($FK$245:$ID$316,$FJ215-HV$169,72-HV$169+SwaptionMonthsToGo+SwaptionShift))/SQRT(SUM(INDEX($FK370:$ID370,1+SwaptionShift):INDEX($FK370:$ID370,SwaptionMonthsToGo+SwaptionShift))*SUM(INDEX($FK$325:$ID$396,HV$169,1+SwaptionShift):INDEX($FK$325:$ID$396,HV$169,SwaptionMonthsToGo+SwaptionShift))))))</f>
        <v/>
      </c>
      <c r="HW215" s="479" t="str">
        <f ca="1">IF(OR(HW$169&lt;SwaptionFirstMonthPosition+1,$FJ215&lt;SwaptionFirstMonthPosition+1,HW$169&gt;SwaptionFirstMonthPosition+SwaptionNumOfMonths+1,$FJ215&gt;SwaptionFirstMonthPosition+SwaptionNumOfMonths+1),"",IF($FJ215=HW$169,1,IF($FJ215&lt;HW$169,INDEX($FK$170:$ID$241,HW$169,$FJ215),SUMPRODUCT(INDEX($FK$325:$ID$396,HW$169,1+SwaptionShift):INDEX($FK$325:$ID$396,HW$169,SwaptionMonthsToGo+SwaptionShift),INDEX($FK$245:$ID$316,$FJ215-HW$169,73-HW$169+SwaptionShift):INDEX($FK$245:$ID$316,$FJ215-HW$169,72-HW$169+SwaptionMonthsToGo+SwaptionShift))/SQRT(SUM(INDEX($FK370:$ID370,1+SwaptionShift):INDEX($FK370:$ID370,SwaptionMonthsToGo+SwaptionShift))*SUM(INDEX($FK$325:$ID$396,HW$169,1+SwaptionShift):INDEX($FK$325:$ID$396,HW$169,SwaptionMonthsToGo+SwaptionShift))))))</f>
        <v/>
      </c>
      <c r="HX215" s="479" t="str">
        <f ca="1">IF(OR(HX$169&lt;SwaptionFirstMonthPosition+1,$FJ215&lt;SwaptionFirstMonthPosition+1,HX$169&gt;SwaptionFirstMonthPosition+SwaptionNumOfMonths+1,$FJ215&gt;SwaptionFirstMonthPosition+SwaptionNumOfMonths+1),"",IF($FJ215=HX$169,1,IF($FJ215&lt;HX$169,INDEX($FK$170:$ID$241,HX$169,$FJ215),SUMPRODUCT(INDEX($FK$325:$ID$396,HX$169,1+SwaptionShift):INDEX($FK$325:$ID$396,HX$169,SwaptionMonthsToGo+SwaptionShift),INDEX($FK$245:$ID$316,$FJ215-HX$169,73-HX$169+SwaptionShift):INDEX($FK$245:$ID$316,$FJ215-HX$169,72-HX$169+SwaptionMonthsToGo+SwaptionShift))/SQRT(SUM(INDEX($FK370:$ID370,1+SwaptionShift):INDEX($FK370:$ID370,SwaptionMonthsToGo+SwaptionShift))*SUM(INDEX($FK$325:$ID$396,HX$169,1+SwaptionShift):INDEX($FK$325:$ID$396,HX$169,SwaptionMonthsToGo+SwaptionShift))))))</f>
        <v/>
      </c>
      <c r="HY215" s="479" t="str">
        <f ca="1">IF(OR(HY$169&lt;SwaptionFirstMonthPosition+1,$FJ215&lt;SwaptionFirstMonthPosition+1,HY$169&gt;SwaptionFirstMonthPosition+SwaptionNumOfMonths+1,$FJ215&gt;SwaptionFirstMonthPosition+SwaptionNumOfMonths+1),"",IF($FJ215=HY$169,1,IF($FJ215&lt;HY$169,INDEX($FK$170:$ID$241,HY$169,$FJ215),SUMPRODUCT(INDEX($FK$325:$ID$396,HY$169,1+SwaptionShift):INDEX($FK$325:$ID$396,HY$169,SwaptionMonthsToGo+SwaptionShift),INDEX($FK$245:$ID$316,$FJ215-HY$169,73-HY$169+SwaptionShift):INDEX($FK$245:$ID$316,$FJ215-HY$169,72-HY$169+SwaptionMonthsToGo+SwaptionShift))/SQRT(SUM(INDEX($FK370:$ID370,1+SwaptionShift):INDEX($FK370:$ID370,SwaptionMonthsToGo+SwaptionShift))*SUM(INDEX($FK$325:$ID$396,HY$169,1+SwaptionShift):INDEX($FK$325:$ID$396,HY$169,SwaptionMonthsToGo+SwaptionShift))))))</f>
        <v/>
      </c>
      <c r="HZ215" s="479" t="str">
        <f ca="1">IF(OR(HZ$169&lt;SwaptionFirstMonthPosition+1,$FJ215&lt;SwaptionFirstMonthPosition+1,HZ$169&gt;SwaptionFirstMonthPosition+SwaptionNumOfMonths+1,$FJ215&gt;SwaptionFirstMonthPosition+SwaptionNumOfMonths+1),"",IF($FJ215=HZ$169,1,IF($FJ215&lt;HZ$169,INDEX($FK$170:$ID$241,HZ$169,$FJ215),SUMPRODUCT(INDEX($FK$325:$ID$396,HZ$169,1+SwaptionShift):INDEX($FK$325:$ID$396,HZ$169,SwaptionMonthsToGo+SwaptionShift),INDEX($FK$245:$ID$316,$FJ215-HZ$169,73-HZ$169+SwaptionShift):INDEX($FK$245:$ID$316,$FJ215-HZ$169,72-HZ$169+SwaptionMonthsToGo+SwaptionShift))/SQRT(SUM(INDEX($FK370:$ID370,1+SwaptionShift):INDEX($FK370:$ID370,SwaptionMonthsToGo+SwaptionShift))*SUM(INDEX($FK$325:$ID$396,HZ$169,1+SwaptionShift):INDEX($FK$325:$ID$396,HZ$169,SwaptionMonthsToGo+SwaptionShift))))))</f>
        <v/>
      </c>
      <c r="IA215" s="479" t="str">
        <f ca="1">IF(OR(IA$169&lt;SwaptionFirstMonthPosition+1,$FJ215&lt;SwaptionFirstMonthPosition+1,IA$169&gt;SwaptionFirstMonthPosition+SwaptionNumOfMonths+1,$FJ215&gt;SwaptionFirstMonthPosition+SwaptionNumOfMonths+1),"",IF($FJ215=IA$169,1,IF($FJ215&lt;IA$169,INDEX($FK$170:$ID$241,IA$169,$FJ215),SUMPRODUCT(INDEX($FK$325:$ID$396,IA$169,1+SwaptionShift):INDEX($FK$325:$ID$396,IA$169,SwaptionMonthsToGo+SwaptionShift),INDEX($FK$245:$ID$316,$FJ215-IA$169,73-IA$169+SwaptionShift):INDEX($FK$245:$ID$316,$FJ215-IA$169,72-IA$169+SwaptionMonthsToGo+SwaptionShift))/SQRT(SUM(INDEX($FK370:$ID370,1+SwaptionShift):INDEX($FK370:$ID370,SwaptionMonthsToGo+SwaptionShift))*SUM(INDEX($FK$325:$ID$396,IA$169,1+SwaptionShift):INDEX($FK$325:$ID$396,IA$169,SwaptionMonthsToGo+SwaptionShift))))))</f>
        <v/>
      </c>
      <c r="IB215" s="479" t="str">
        <f ca="1">IF(OR(IB$169&lt;SwaptionFirstMonthPosition+1,$FJ215&lt;SwaptionFirstMonthPosition+1,IB$169&gt;SwaptionFirstMonthPosition+SwaptionNumOfMonths+1,$FJ215&gt;SwaptionFirstMonthPosition+SwaptionNumOfMonths+1),"",IF($FJ215=IB$169,1,IF($FJ215&lt;IB$169,INDEX($FK$170:$ID$241,IB$169,$FJ215),SUMPRODUCT(INDEX($FK$325:$ID$396,IB$169,1+SwaptionShift):INDEX($FK$325:$ID$396,IB$169,SwaptionMonthsToGo+SwaptionShift),INDEX($FK$245:$ID$316,$FJ215-IB$169,73-IB$169+SwaptionShift):INDEX($FK$245:$ID$316,$FJ215-IB$169,72-IB$169+SwaptionMonthsToGo+SwaptionShift))/SQRT(SUM(INDEX($FK370:$ID370,1+SwaptionShift):INDEX($FK370:$ID370,SwaptionMonthsToGo+SwaptionShift))*SUM(INDEX($FK$325:$ID$396,IB$169,1+SwaptionShift):INDEX($FK$325:$ID$396,IB$169,SwaptionMonthsToGo+SwaptionShift))))))</f>
        <v/>
      </c>
      <c r="IC215" s="479" t="str">
        <f ca="1">IF(OR(IC$169&lt;SwaptionFirstMonthPosition+1,$FJ215&lt;SwaptionFirstMonthPosition+1,IC$169&gt;SwaptionFirstMonthPosition+SwaptionNumOfMonths+1,$FJ215&gt;SwaptionFirstMonthPosition+SwaptionNumOfMonths+1),"",IF($FJ215=IC$169,1,IF($FJ215&lt;IC$169,INDEX($FK$170:$ID$241,IC$169,$FJ215),SUMPRODUCT(INDEX($FK$325:$ID$396,IC$169,1+SwaptionShift):INDEX($FK$325:$ID$396,IC$169,SwaptionMonthsToGo+SwaptionShift),INDEX($FK$245:$ID$316,$FJ215-IC$169,73-IC$169+SwaptionShift):INDEX($FK$245:$ID$316,$FJ215-IC$169,72-IC$169+SwaptionMonthsToGo+SwaptionShift))/SQRT(SUM(INDEX($FK370:$ID370,1+SwaptionShift):INDEX($FK370:$ID370,SwaptionMonthsToGo+SwaptionShift))*SUM(INDEX($FK$325:$ID$396,IC$169,1+SwaptionShift):INDEX($FK$325:$ID$396,IC$169,SwaptionMonthsToGo+SwaptionShift))))))</f>
        <v/>
      </c>
      <c r="ID215" s="678" t="str">
        <f ca="1">IF(OR(ID$169&lt;SwaptionFirstMonthPosition+1,$FJ215&lt;SwaptionFirstMonthPosition+1,ID$169&gt;SwaptionFirstMonthPosition+SwaptionNumOfMonths+1,$FJ215&gt;SwaptionFirstMonthPosition+SwaptionNumOfMonths+1),"",IF($FJ215=ID$169,1,IF($FJ215&lt;ID$169,INDEX($FK$170:$ID$241,ID$169,$FJ215),SUMPRODUCT(INDEX($FK$325:$ID$396,ID$169,1+SwaptionShift):INDEX($FK$325:$ID$396,ID$169,SwaptionMonthsToGo+SwaptionShift),INDEX($FK$245:$ID$316,$FJ215-ID$169,73-ID$169+SwaptionShift):INDEX($FK$245:$ID$316,$FJ215-ID$169,72-ID$169+SwaptionMonthsToGo+SwaptionShift))/SQRT(SUM(INDEX($FK370:$ID370,1+SwaptionShift):INDEX($FK370:$ID370,SwaptionMonthsToGo+SwaptionShift))*SUM(INDEX($FK$325:$ID$396,ID$169,1+SwaptionShift):INDEX($FK$325:$ID$396,ID$169,SwaptionMonthsToGo+SwaptionShift))))))</f>
        <v/>
      </c>
      <c r="IE215" s="250"/>
    </row>
    <row r="216" spans="8:239">
      <c r="H216" s="51">
        <f t="shared" ca="1" si="646"/>
        <v>0</v>
      </c>
      <c r="I216" s="379">
        <f t="shared" si="647"/>
        <v>42736</v>
      </c>
      <c r="J216" s="377"/>
      <c r="K216" s="104" t="s">
        <v>268</v>
      </c>
      <c r="L216" s="392">
        <f t="shared" si="648"/>
        <v>4.5000000000000018</v>
      </c>
      <c r="M216" s="171"/>
      <c r="N216" s="382">
        <v>0</v>
      </c>
      <c r="O216" s="171">
        <f t="shared" si="596"/>
        <v>0</v>
      </c>
      <c r="P216" s="377"/>
      <c r="Q216" s="104" t="s">
        <v>268</v>
      </c>
      <c r="R216" s="377">
        <f t="shared" ca="1" si="597"/>
        <v>3.2941207177747125</v>
      </c>
      <c r="S216" s="832">
        <f t="shared" si="564"/>
        <v>0.3600000000000001</v>
      </c>
      <c r="T216" s="831">
        <f t="shared" si="661"/>
        <v>0.99999999999999467</v>
      </c>
      <c r="U216" s="545">
        <f t="shared" si="662"/>
        <v>0.99999999999999978</v>
      </c>
      <c r="V216" s="389">
        <v>0</v>
      </c>
      <c r="W216" s="434">
        <f t="shared" si="598"/>
        <v>0</v>
      </c>
      <c r="X216" s="415">
        <f t="shared" si="599"/>
        <v>4.5494318181818194</v>
      </c>
      <c r="Y216" s="322">
        <f t="shared" si="600"/>
        <v>-1.1684999999999999</v>
      </c>
      <c r="Z216" s="322">
        <f t="shared" ca="1" si="601"/>
        <v>3.3809318181818195</v>
      </c>
      <c r="AA216" s="429">
        <f t="shared" si="628"/>
        <v>1.1684999999999999</v>
      </c>
      <c r="AB216" s="433">
        <f t="shared" ca="1" si="629"/>
        <v>1.1684999999999999</v>
      </c>
      <c r="AC216" s="229">
        <v>42724</v>
      </c>
      <c r="AD216" s="229">
        <v>42720</v>
      </c>
      <c r="AE216" s="229">
        <v>42719</v>
      </c>
      <c r="AF216" s="229">
        <v>42715</v>
      </c>
      <c r="AG216" s="249" t="s">
        <v>499</v>
      </c>
      <c r="AH216" s="247" t="s">
        <v>499</v>
      </c>
      <c r="AI216" s="146">
        <v>22</v>
      </c>
      <c r="AJ216" s="41">
        <v>15</v>
      </c>
      <c r="AK216" s="41">
        <v>7</v>
      </c>
      <c r="AL216" s="293">
        <v>22</v>
      </c>
      <c r="AM216" s="41">
        <v>10</v>
      </c>
      <c r="AN216" s="147">
        <v>12</v>
      </c>
      <c r="AO216" s="374"/>
      <c r="AP216" s="153">
        <f t="shared" ca="1" si="649"/>
        <v>1</v>
      </c>
      <c r="AQ216" s="374"/>
      <c r="AR216" s="153">
        <f t="shared" ca="1" si="663"/>
        <v>1</v>
      </c>
      <c r="AS216" s="272">
        <f t="shared" si="602"/>
        <v>0</v>
      </c>
      <c r="AT216" s="157">
        <f t="shared" si="650"/>
        <v>0</v>
      </c>
      <c r="AU216" s="157">
        <f t="shared" si="630"/>
        <v>0</v>
      </c>
      <c r="AV216" s="271">
        <f t="shared" ca="1" si="670"/>
        <v>9.9999999999999995E-7</v>
      </c>
      <c r="AW216" s="158" t="str">
        <f t="shared" ca="1" si="583"/>
        <v/>
      </c>
      <c r="AX216" s="157">
        <f t="shared" ca="1" si="664"/>
        <v>3.405781960096641E-5</v>
      </c>
      <c r="AY216" s="157">
        <f t="shared" ca="1" si="665"/>
        <v>7.1339545677782707E-6</v>
      </c>
      <c r="AZ216" s="157">
        <f t="shared" ca="1" si="666"/>
        <v>1.7700909506797169E-7</v>
      </c>
      <c r="BA216" s="157">
        <f t="shared" ca="1" si="667"/>
        <v>2.2126136883496461E-8</v>
      </c>
      <c r="BB216" s="157">
        <f t="shared" ca="1" si="668"/>
        <v>6.2797331537028901E-11</v>
      </c>
      <c r="BC216" s="157">
        <f t="shared" ca="1" si="669"/>
        <v>9.7913186677432329E-13</v>
      </c>
      <c r="BD216" s="151">
        <f t="shared" ca="1" si="603"/>
        <v>0</v>
      </c>
      <c r="BE216" s="152">
        <f t="shared" ca="1" si="604"/>
        <v>0</v>
      </c>
      <c r="BF216" s="40">
        <f t="shared" si="605"/>
        <v>2017</v>
      </c>
      <c r="BG216" s="144">
        <f t="shared" si="606"/>
        <v>1</v>
      </c>
      <c r="BH216" s="145">
        <f t="shared" ca="1" si="607"/>
        <v>5975</v>
      </c>
      <c r="BI216" s="313">
        <f t="shared" ca="1" si="608"/>
        <v>16.402464065708418</v>
      </c>
      <c r="BJ216" s="42">
        <f t="shared" ca="1" si="631"/>
        <v>16.458465559081574</v>
      </c>
      <c r="BK216" s="42">
        <f t="shared" ca="1" si="632"/>
        <v>16.461203409868705</v>
      </c>
      <c r="BL216" s="42">
        <f t="shared" ca="1" si="609"/>
        <v>16.484599589322382</v>
      </c>
      <c r="BM216" s="150" t="e">
        <f t="shared" ca="1" si="633"/>
        <v>#DIV/0!</v>
      </c>
      <c r="BN216" s="42" t="e">
        <f t="shared" ca="1" si="634"/>
        <v>#DIV/0!</v>
      </c>
      <c r="BO216" s="293">
        <f t="shared" si="610"/>
        <v>22</v>
      </c>
      <c r="BP216" s="41">
        <f t="shared" si="611"/>
        <v>15</v>
      </c>
      <c r="BQ216" s="41">
        <f t="shared" si="612"/>
        <v>7</v>
      </c>
      <c r="BR216" s="305" t="str">
        <f t="shared" ca="1" si="635"/>
        <v/>
      </c>
      <c r="BS216" s="305" t="str">
        <f t="shared" ca="1" si="613"/>
        <v/>
      </c>
      <c r="BT216" s="307" t="str">
        <f t="shared" ca="1" si="614"/>
        <v/>
      </c>
      <c r="BU216" s="161" t="str">
        <f t="shared" ca="1" si="636"/>
        <v/>
      </c>
      <c r="BV216" s="161" t="str">
        <f t="shared" ca="1" si="637"/>
        <v/>
      </c>
      <c r="BW216" s="308" t="str">
        <f t="shared" ca="1" si="638"/>
        <v/>
      </c>
      <c r="BX216" s="309" t="str">
        <f t="shared" ca="1" si="639"/>
        <v/>
      </c>
      <c r="BY216" s="308" t="str">
        <f t="shared" ca="1" si="615"/>
        <v/>
      </c>
      <c r="BZ216" s="309" t="str">
        <f t="shared" ca="1" si="616"/>
        <v/>
      </c>
      <c r="CA216" s="154" t="str">
        <f t="shared" ca="1" si="640"/>
        <v/>
      </c>
      <c r="CB216" s="154" t="str">
        <f t="shared" ca="1" si="641"/>
        <v/>
      </c>
      <c r="CC216" s="154" t="str">
        <f t="shared" ca="1" si="642"/>
        <v/>
      </c>
      <c r="CD216" s="154" t="str">
        <f t="shared" ca="1" si="643"/>
        <v/>
      </c>
      <c r="CE216" s="310">
        <v>1</v>
      </c>
      <c r="CF216" s="162">
        <f ca="1">IF(BD216,_xll.xCrudeAPO(BU216,BV216,CA216,CB216,S217,S218,BI216,BL216,BP216,BQ216,0,Strike1,AO216,CE216,0,BL216,IF(OptControl=4,0,1),0,1),0)</f>
        <v>0</v>
      </c>
      <c r="CG216" s="163">
        <f ca="1">IF(BD216,_xll.xCrudeAPO(BU216,BV216,CA216,CB216,S217,S218,BI216,BL216,BP216,BQ216,0,Strike1,AO216,CE216,0,BL216,IF(OptControl=4,0,1),1,1)+_xll.xCrudeAPO(BU216,BV216,CA216,CB216,S217,S218,BI216,BL216,BP216,BQ216,0,Strike1,AO216,CE216,0,BL216,IF(OptControl=4,0,1),1,2)+IF(OR(VolSkewFlag=2,ABS(BS216)&lt;0.0001),0,IF(BS216&gt;0,-1,1)*CH216*Strike1/BR216^2*BY216/10%),0)</f>
        <v>0</v>
      </c>
      <c r="CH216" s="163">
        <f ca="1">IF(BD216,(_xll.xCrudeAPO(BU216,BV216,CA216,CB216,S217,S218,BI216,BL216,BP216,BQ216,0,Strike1,AO216,CE216,0,BL216,IF(OptControl=4,0,1),3,1)+_xll.xCrudeAPO(BU216,BV216,CA216,CB216,S217,S218,BI216,BL216,BP216,BQ216,0,Strike1,AO216,CE216,0,BL216,IF(OptControl=4,0,1),3,2))/100,0)</f>
        <v>0</v>
      </c>
      <c r="CI216" s="163">
        <f ca="1">IF(BD216,_xll.xCrudeAPO(BU216,BV216,CA216,CB216,S217,S218,BI216-DaysForThetaCalculation/365.25,BL216-DaysForThetaCalculation/365.25,BP216,BQ216,0,Strike1,AO216,CE216,0,BL216,IF(OptControl=4,0,1),0,1)-_xll.xCrudeAPO(BU216,BV216,CA216,CB216,S217,S218,BI216,BL216,BP216,BQ216,0,Strike1,AO216,CE216,0,BL216,IF(OptControl=4,0,1),0,1),0)</f>
        <v>0</v>
      </c>
      <c r="CJ216" s="311">
        <f ca="1">IF(BD216,_xll.xCrudeAPO(BU216,BV216,CC216,CD216,S217,S218,BI216,BL216,BP216,BQ216,0,Strike2,AO216,CE216,0,BL216,IF(OptControl=3,1,0),0,1),0)</f>
        <v>0</v>
      </c>
      <c r="CK216" s="163">
        <f ca="1">IF(BD216,_xll.xCrudeAPO(BU216,BV216,CC216,CD216,S217,S218,BI216,BL216,BP216,BQ216,0,Strike2,AO216,CE216,0,BL216,IF(OptControl=3,1,0),1,1)+_xll.xCrudeAPO(BU216,BV216,CC216,CD216,S217,S218,BI216,BL216,BP216,BQ216,0,Strike2,AO216,CE216,0,BL216,IF(OptControl=3,1,0),1,2)+IF(OR(VolSkewFlag=2,ABS(BT216)&lt;0.0001),0,IF(BT216&gt;0,-1,1)*CL216*Strike2/BR216^2*BZ216/10%),0)</f>
        <v>0</v>
      </c>
      <c r="CL216" s="163">
        <f ca="1">IF(BD216,(_xll.xCrudeAPO(BU216,BV216,CC216,CD216,S217,S218,BI216,BL216,BP216,BQ216,0,Strike2,AO216,CE216,0,BL216,IF(OptControl=3,1,0),3,1)+_xll.xCrudeAPO(BU216,BV216,CC216,CD216,S217,S218,BI216,BL216,BP216,BQ216,0,Strike2,AO216,CE216,0,BL216,IF(OptControl=3,1,0),3,2))/100,0)</f>
        <v>0</v>
      </c>
      <c r="CM216" s="164">
        <f ca="1">IF(BD216,_xll.xCrudeAPO(BU216,BV216,CC216,CD216,S217,S218,BI216-DaysForThetaCalculation/365.25,BL216-DaysForThetaCalculation/365.25,BP216,BQ216,0,Strike2,AO216,CE216,0,BL216,IF(OptControl=3,1,0),0,1)-_xll.xCrudeAPO(BU216,BV216,CC216,CD216,S217,S218,BI216,BL216,BP216,BQ216,0,Strike2,AO216,CE216,0,BL216,IF(OptControl=3,1,0),0,1),0)</f>
        <v>0</v>
      </c>
      <c r="CN216" s="53"/>
      <c r="CO216" s="796" t="str">
        <f t="shared" ca="1" si="651"/>
        <v/>
      </c>
      <c r="CP216" s="800" t="str">
        <f t="shared" ca="1" si="652"/>
        <v/>
      </c>
      <c r="CQ216" s="797" t="str">
        <f t="shared" ca="1" si="653"/>
        <v/>
      </c>
      <c r="CR216" s="797" t="str">
        <f t="shared" ca="1" si="654"/>
        <v/>
      </c>
      <c r="CS216" s="797" t="str">
        <f t="shared" ca="1" si="655"/>
        <v/>
      </c>
      <c r="CT216" s="797" t="str">
        <f t="shared" ca="1" si="656"/>
        <v/>
      </c>
      <c r="CU216" s="798" t="str">
        <f t="shared" ca="1" si="657"/>
        <v/>
      </c>
      <c r="CV216" s="799" t="str">
        <f t="shared" ca="1" si="658"/>
        <v/>
      </c>
      <c r="CW216" s="799" t="str">
        <f t="shared" ca="1" si="659"/>
        <v/>
      </c>
      <c r="CX216" s="163">
        <f ca="1">IF(BD216,_xll.EURO(CP216,Strike1,AO216,AO216,CV216,CO216,IF(OptControl=4,0,1),0),0)</f>
        <v>0</v>
      </c>
      <c r="CY216" s="163">
        <f ca="1">IF(BD216,_xll.EURO(CP216,Strike1,AO216,AO216,CV216,CO216,IF(OptControl=4,0,1),1)+IF(OR(VolSkewFlag=2,ABS(CQ216)&lt;0.0001),0,IF(CQ216&gt;0,-1,1)*CZ216*100*Strike1/CP216^2*CS216/10%),0)</f>
        <v>0</v>
      </c>
      <c r="CZ216" s="163">
        <f ca="1">IF(BD216,_xll.EURO(CP216,Strike1,AO216,AO216,CV216,CO216,IF(OptControl=4,0,1),3)/100,0)</f>
        <v>0</v>
      </c>
      <c r="DA216" s="163">
        <f ca="1">IF(BD216,_xll.EURO(CP216,Strike1,AO216,AO216,CV216,CO216,IF(OptControl=4,0,1),0)-_xll.EURO(CP216,Strike1,AO216,AO216,CV216,CO216-1,IF(OptControl=4,0,1),0),0)</f>
        <v>0</v>
      </c>
      <c r="DB216" s="163">
        <f ca="1">IF(BD216,_xll.EURO(CP216,Strike2,AO216,AO216,CW216,CO216,IF(OptControl=3,1,0),0),0)</f>
        <v>0</v>
      </c>
      <c r="DC216" s="163">
        <f ca="1">IF(BD216,_xll.EURO(CP216,Strike2,AO216,AO216,CW216,CO216,IF(OptControl=3,1,0),1)+IF(OR(VolSkewFlag=2,ABS(CR216)&lt;0.0001),0,IF(CR216&gt;0,-1,1)*DD216*100*Strike2/CP216^2*CT216/10%),0)</f>
        <v>0</v>
      </c>
      <c r="DD216" s="163">
        <f ca="1">IF(BD216,_xll.EURO(CP216,Strike2,AO216,AO216,CW216,CO216,IF(OptControl=3,1,0),3)/100,0)</f>
        <v>0</v>
      </c>
      <c r="DE216" s="164">
        <f ca="1">IF(BD216,_xll.EURO(CP216,Strike2,AO216,AO216,CW216,CO216,IF(OptControl=3,1,0),0)-_xll.EURO(CP216,Strike2,AO216,AO216,CW216,CO216-1,IF(OptControl=3,1,0),0),0)</f>
        <v>0</v>
      </c>
      <c r="DG216" s="667">
        <f t="shared" ca="1" si="660"/>
        <v>42522</v>
      </c>
      <c r="DH216" s="475">
        <v>23.960000000000086</v>
      </c>
      <c r="DI216" s="665">
        <v>24.028181818181906</v>
      </c>
      <c r="DJ216" s="666">
        <f t="shared" ca="1" si="617"/>
        <v>42522</v>
      </c>
      <c r="DK216" s="475">
        <v>22.534797489689048</v>
      </c>
      <c r="DL216" s="665">
        <v>22.736681818181907</v>
      </c>
      <c r="DM216" s="667">
        <f t="shared" ca="1" si="618"/>
        <v>42522</v>
      </c>
      <c r="DN216" s="668">
        <f t="shared" si="619"/>
        <v>22.584797489689048</v>
      </c>
      <c r="DO216" s="667">
        <f t="shared" ca="1" si="620"/>
        <v>42522</v>
      </c>
      <c r="DP216" s="579">
        <f t="shared" si="621"/>
        <v>22.736681818181907</v>
      </c>
      <c r="DQ216" s="821">
        <v>0</v>
      </c>
      <c r="DR216" s="666">
        <f t="shared" ca="1" si="622"/>
        <v>42522</v>
      </c>
      <c r="DS216" s="669">
        <v>0.10699999999999803</v>
      </c>
      <c r="DT216" s="606">
        <v>0.10618181818181621</v>
      </c>
      <c r="DU216" s="666">
        <f t="shared" ca="1" si="623"/>
        <v>42522</v>
      </c>
      <c r="DV216" s="669">
        <v>0.10699999999999803</v>
      </c>
      <c r="DW216" s="606">
        <v>0.10618181818181621</v>
      </c>
      <c r="DX216" s="667">
        <f t="shared" ca="1" si="624"/>
        <v>42522</v>
      </c>
      <c r="DY216" s="606">
        <v>0.35</v>
      </c>
      <c r="DZ216" s="667">
        <f t="shared" ca="1" si="625"/>
        <v>42522</v>
      </c>
      <c r="EA216" s="606">
        <f t="shared" si="626"/>
        <v>0.10618181818181621</v>
      </c>
      <c r="EB216" s="1"/>
      <c r="EC216" s="118" t="str">
        <f t="shared" ca="1" si="627"/>
        <v/>
      </c>
      <c r="ED216" s="119" t="str">
        <f t="shared" ca="1" si="644"/>
        <v/>
      </c>
      <c r="EE216" s="112" t="str">
        <f t="shared" ca="1" si="645"/>
        <v/>
      </c>
      <c r="EF216" s="120">
        <f ca="1">IF(BD216,_xll.xASN(BR216,Strike1,AO216,ED216,0,BO216,0,BI216,BL216,IF(OptControl=4,0,1),0),0)</f>
        <v>0</v>
      </c>
      <c r="EG216" s="111">
        <f ca="1">IF(BD216,_xll.xASN(BR216,Strike2,AO216,EE216,0,BO216,0,BI216,BL216,IF(OptControl=3,1,0),0),0)</f>
        <v>0</v>
      </c>
      <c r="EL216" s="55"/>
      <c r="EM216" s="1"/>
      <c r="EN216" s="106"/>
      <c r="EO216" s="106"/>
      <c r="EP216" s="1"/>
      <c r="EQ216" s="683" t="s">
        <v>430</v>
      </c>
      <c r="ES216" s="55"/>
      <c r="EU216" s="107"/>
      <c r="FJ216" s="673">
        <v>47</v>
      </c>
      <c r="FK216" s="479" t="str">
        <f ca="1">IF(OR(FK$169&lt;SwaptionFirstMonthPosition+1,$FJ216&lt;SwaptionFirstMonthPosition+1,FK$169&gt;SwaptionFirstMonthPosition+SwaptionNumOfMonths+1,$FJ216&gt;SwaptionFirstMonthPosition+SwaptionNumOfMonths+1),"",IF($FJ216=FK$169,1,IF($FJ216&lt;FK$169,INDEX($FK$170:$ID$241,FK$169,$FJ216),SUMPRODUCT(INDEX($FK$325:$ID$396,FK$169,1+SwaptionShift):INDEX($FK$325:$ID$396,FK$169,SwaptionMonthsToGo+SwaptionShift),INDEX($FK$245:$ID$316,$FJ216-FK$169,73-FK$169+SwaptionShift):INDEX($FK$245:$ID$316,$FJ216-FK$169,72-FK$169+SwaptionMonthsToGo+SwaptionShift))/SQRT(SUM(INDEX($FK371:$ID371,1+SwaptionShift):INDEX($FK371:$ID371,SwaptionMonthsToGo+SwaptionShift))*SUM(INDEX($FK$325:$ID$396,FK$169,1+SwaptionShift):INDEX($FK$325:$ID$396,FK$169,SwaptionMonthsToGo+SwaptionShift))))))</f>
        <v/>
      </c>
      <c r="FL216" s="479" t="str">
        <f ca="1">IF(OR(FL$169&lt;SwaptionFirstMonthPosition+1,$FJ216&lt;SwaptionFirstMonthPosition+1,FL$169&gt;SwaptionFirstMonthPosition+SwaptionNumOfMonths+1,$FJ216&gt;SwaptionFirstMonthPosition+SwaptionNumOfMonths+1),"",IF($FJ216=FL$169,1,IF($FJ216&lt;FL$169,INDEX($FK$170:$ID$241,FL$169,$FJ216),SUMPRODUCT(INDEX($FK$325:$ID$396,FL$169,1+SwaptionShift):INDEX($FK$325:$ID$396,FL$169,SwaptionMonthsToGo+SwaptionShift),INDEX($FK$245:$ID$316,$FJ216-FL$169,73-FL$169+SwaptionShift):INDEX($FK$245:$ID$316,$FJ216-FL$169,72-FL$169+SwaptionMonthsToGo+SwaptionShift))/SQRT(SUM(INDEX($FK371:$ID371,1+SwaptionShift):INDEX($FK371:$ID371,SwaptionMonthsToGo+SwaptionShift))*SUM(INDEX($FK$325:$ID$396,FL$169,1+SwaptionShift):INDEX($FK$325:$ID$396,FL$169,SwaptionMonthsToGo+SwaptionShift))))))</f>
        <v/>
      </c>
      <c r="FM216" s="479" t="str">
        <f ca="1">IF(OR(FM$169&lt;SwaptionFirstMonthPosition+1,$FJ216&lt;SwaptionFirstMonthPosition+1,FM$169&gt;SwaptionFirstMonthPosition+SwaptionNumOfMonths+1,$FJ216&gt;SwaptionFirstMonthPosition+SwaptionNumOfMonths+1),"",IF($FJ216=FM$169,1,IF($FJ216&lt;FM$169,INDEX($FK$170:$ID$241,FM$169,$FJ216),SUMPRODUCT(INDEX($FK$325:$ID$396,FM$169,1+SwaptionShift):INDEX($FK$325:$ID$396,FM$169,SwaptionMonthsToGo+SwaptionShift),INDEX($FK$245:$ID$316,$FJ216-FM$169,73-FM$169+SwaptionShift):INDEX($FK$245:$ID$316,$FJ216-FM$169,72-FM$169+SwaptionMonthsToGo+SwaptionShift))/SQRT(SUM(INDEX($FK371:$ID371,1+SwaptionShift):INDEX($FK371:$ID371,SwaptionMonthsToGo+SwaptionShift))*SUM(INDEX($FK$325:$ID$396,FM$169,1+SwaptionShift):INDEX($FK$325:$ID$396,FM$169,SwaptionMonthsToGo+SwaptionShift))))))</f>
        <v/>
      </c>
      <c r="FN216" s="479" t="str">
        <f ca="1">IF(OR(FN$169&lt;SwaptionFirstMonthPosition+1,$FJ216&lt;SwaptionFirstMonthPosition+1,FN$169&gt;SwaptionFirstMonthPosition+SwaptionNumOfMonths+1,$FJ216&gt;SwaptionFirstMonthPosition+SwaptionNumOfMonths+1),"",IF($FJ216=FN$169,1,IF($FJ216&lt;FN$169,INDEX($FK$170:$ID$241,FN$169,$FJ216),SUMPRODUCT(INDEX($FK$325:$ID$396,FN$169,1+SwaptionShift):INDEX($FK$325:$ID$396,FN$169,SwaptionMonthsToGo+SwaptionShift),INDEX($FK$245:$ID$316,$FJ216-FN$169,73-FN$169+SwaptionShift):INDEX($FK$245:$ID$316,$FJ216-FN$169,72-FN$169+SwaptionMonthsToGo+SwaptionShift))/SQRT(SUM(INDEX($FK371:$ID371,1+SwaptionShift):INDEX($FK371:$ID371,SwaptionMonthsToGo+SwaptionShift))*SUM(INDEX($FK$325:$ID$396,FN$169,1+SwaptionShift):INDEX($FK$325:$ID$396,FN$169,SwaptionMonthsToGo+SwaptionShift))))))</f>
        <v/>
      </c>
      <c r="FO216" s="479" t="str">
        <f ca="1">IF(OR(FO$169&lt;SwaptionFirstMonthPosition+1,$FJ216&lt;SwaptionFirstMonthPosition+1,FO$169&gt;SwaptionFirstMonthPosition+SwaptionNumOfMonths+1,$FJ216&gt;SwaptionFirstMonthPosition+SwaptionNumOfMonths+1),"",IF($FJ216=FO$169,1,IF($FJ216&lt;FO$169,INDEX($FK$170:$ID$241,FO$169,$FJ216),SUMPRODUCT(INDEX($FK$325:$ID$396,FO$169,1+SwaptionShift):INDEX($FK$325:$ID$396,FO$169,SwaptionMonthsToGo+SwaptionShift),INDEX($FK$245:$ID$316,$FJ216-FO$169,73-FO$169+SwaptionShift):INDEX($FK$245:$ID$316,$FJ216-FO$169,72-FO$169+SwaptionMonthsToGo+SwaptionShift))/SQRT(SUM(INDEX($FK371:$ID371,1+SwaptionShift):INDEX($FK371:$ID371,SwaptionMonthsToGo+SwaptionShift))*SUM(INDEX($FK$325:$ID$396,FO$169,1+SwaptionShift):INDEX($FK$325:$ID$396,FO$169,SwaptionMonthsToGo+SwaptionShift))))))</f>
        <v/>
      </c>
      <c r="FP216" s="479" t="str">
        <f ca="1">IF(OR(FP$169&lt;SwaptionFirstMonthPosition+1,$FJ216&lt;SwaptionFirstMonthPosition+1,FP$169&gt;SwaptionFirstMonthPosition+SwaptionNumOfMonths+1,$FJ216&gt;SwaptionFirstMonthPosition+SwaptionNumOfMonths+1),"",IF($FJ216=FP$169,1,IF($FJ216&lt;FP$169,INDEX($FK$170:$ID$241,FP$169,$FJ216),SUMPRODUCT(INDEX($FK$325:$ID$396,FP$169,1+SwaptionShift):INDEX($FK$325:$ID$396,FP$169,SwaptionMonthsToGo+SwaptionShift),INDEX($FK$245:$ID$316,$FJ216-FP$169,73-FP$169+SwaptionShift):INDEX($FK$245:$ID$316,$FJ216-FP$169,72-FP$169+SwaptionMonthsToGo+SwaptionShift))/SQRT(SUM(INDEX($FK371:$ID371,1+SwaptionShift):INDEX($FK371:$ID371,SwaptionMonthsToGo+SwaptionShift))*SUM(INDEX($FK$325:$ID$396,FP$169,1+SwaptionShift):INDEX($FK$325:$ID$396,FP$169,SwaptionMonthsToGo+SwaptionShift))))))</f>
        <v/>
      </c>
      <c r="FQ216" s="479" t="str">
        <f ca="1">IF(OR(FQ$169&lt;SwaptionFirstMonthPosition+1,$FJ216&lt;SwaptionFirstMonthPosition+1,FQ$169&gt;SwaptionFirstMonthPosition+SwaptionNumOfMonths+1,$FJ216&gt;SwaptionFirstMonthPosition+SwaptionNumOfMonths+1),"",IF($FJ216=FQ$169,1,IF($FJ216&lt;FQ$169,INDEX($FK$170:$ID$241,FQ$169,$FJ216),SUMPRODUCT(INDEX($FK$325:$ID$396,FQ$169,1+SwaptionShift):INDEX($FK$325:$ID$396,FQ$169,SwaptionMonthsToGo+SwaptionShift),INDEX($FK$245:$ID$316,$FJ216-FQ$169,73-FQ$169+SwaptionShift):INDEX($FK$245:$ID$316,$FJ216-FQ$169,72-FQ$169+SwaptionMonthsToGo+SwaptionShift))/SQRT(SUM(INDEX($FK371:$ID371,1+SwaptionShift):INDEX($FK371:$ID371,SwaptionMonthsToGo+SwaptionShift))*SUM(INDEX($FK$325:$ID$396,FQ$169,1+SwaptionShift):INDEX($FK$325:$ID$396,FQ$169,SwaptionMonthsToGo+SwaptionShift))))))</f>
        <v/>
      </c>
      <c r="FR216" s="479" t="str">
        <f ca="1">IF(OR(FR$169&lt;SwaptionFirstMonthPosition+1,$FJ216&lt;SwaptionFirstMonthPosition+1,FR$169&gt;SwaptionFirstMonthPosition+SwaptionNumOfMonths+1,$FJ216&gt;SwaptionFirstMonthPosition+SwaptionNumOfMonths+1),"",IF($FJ216=FR$169,1,IF($FJ216&lt;FR$169,INDEX($FK$170:$ID$241,FR$169,$FJ216),SUMPRODUCT(INDEX($FK$325:$ID$396,FR$169,1+SwaptionShift):INDEX($FK$325:$ID$396,FR$169,SwaptionMonthsToGo+SwaptionShift),INDEX($FK$245:$ID$316,$FJ216-FR$169,73-FR$169+SwaptionShift):INDEX($FK$245:$ID$316,$FJ216-FR$169,72-FR$169+SwaptionMonthsToGo+SwaptionShift))/SQRT(SUM(INDEX($FK371:$ID371,1+SwaptionShift):INDEX($FK371:$ID371,SwaptionMonthsToGo+SwaptionShift))*SUM(INDEX($FK$325:$ID$396,FR$169,1+SwaptionShift):INDEX($FK$325:$ID$396,FR$169,SwaptionMonthsToGo+SwaptionShift))))))</f>
        <v/>
      </c>
      <c r="FS216" s="479" t="str">
        <f ca="1">IF(OR(FS$169&lt;SwaptionFirstMonthPosition+1,$FJ216&lt;SwaptionFirstMonthPosition+1,FS$169&gt;SwaptionFirstMonthPosition+SwaptionNumOfMonths+1,$FJ216&gt;SwaptionFirstMonthPosition+SwaptionNumOfMonths+1),"",IF($FJ216=FS$169,1,IF($FJ216&lt;FS$169,INDEX($FK$170:$ID$241,FS$169,$FJ216),SUMPRODUCT(INDEX($FK$325:$ID$396,FS$169,1+SwaptionShift):INDEX($FK$325:$ID$396,FS$169,SwaptionMonthsToGo+SwaptionShift),INDEX($FK$245:$ID$316,$FJ216-FS$169,73-FS$169+SwaptionShift):INDEX($FK$245:$ID$316,$FJ216-FS$169,72-FS$169+SwaptionMonthsToGo+SwaptionShift))/SQRT(SUM(INDEX($FK371:$ID371,1+SwaptionShift):INDEX($FK371:$ID371,SwaptionMonthsToGo+SwaptionShift))*SUM(INDEX($FK$325:$ID$396,FS$169,1+SwaptionShift):INDEX($FK$325:$ID$396,FS$169,SwaptionMonthsToGo+SwaptionShift))))))</f>
        <v/>
      </c>
      <c r="FT216" s="479" t="str">
        <f ca="1">IF(OR(FT$169&lt;SwaptionFirstMonthPosition+1,$FJ216&lt;SwaptionFirstMonthPosition+1,FT$169&gt;SwaptionFirstMonthPosition+SwaptionNumOfMonths+1,$FJ216&gt;SwaptionFirstMonthPosition+SwaptionNumOfMonths+1),"",IF($FJ216=FT$169,1,IF($FJ216&lt;FT$169,INDEX($FK$170:$ID$241,FT$169,$FJ216),SUMPRODUCT(INDEX($FK$325:$ID$396,FT$169,1+SwaptionShift):INDEX($FK$325:$ID$396,FT$169,SwaptionMonthsToGo+SwaptionShift),INDEX($FK$245:$ID$316,$FJ216-FT$169,73-FT$169+SwaptionShift):INDEX($FK$245:$ID$316,$FJ216-FT$169,72-FT$169+SwaptionMonthsToGo+SwaptionShift))/SQRT(SUM(INDEX($FK371:$ID371,1+SwaptionShift):INDEX($FK371:$ID371,SwaptionMonthsToGo+SwaptionShift))*SUM(INDEX($FK$325:$ID$396,FT$169,1+SwaptionShift):INDEX($FK$325:$ID$396,FT$169,SwaptionMonthsToGo+SwaptionShift))))))</f>
        <v/>
      </c>
      <c r="FU216" s="479" t="str">
        <f ca="1">IF(OR(FU$169&lt;SwaptionFirstMonthPosition+1,$FJ216&lt;SwaptionFirstMonthPosition+1,FU$169&gt;SwaptionFirstMonthPosition+SwaptionNumOfMonths+1,$FJ216&gt;SwaptionFirstMonthPosition+SwaptionNumOfMonths+1),"",IF($FJ216=FU$169,1,IF($FJ216&lt;FU$169,INDEX($FK$170:$ID$241,FU$169,$FJ216),SUMPRODUCT(INDEX($FK$325:$ID$396,FU$169,1+SwaptionShift):INDEX($FK$325:$ID$396,FU$169,SwaptionMonthsToGo+SwaptionShift),INDEX($FK$245:$ID$316,$FJ216-FU$169,73-FU$169+SwaptionShift):INDEX($FK$245:$ID$316,$FJ216-FU$169,72-FU$169+SwaptionMonthsToGo+SwaptionShift))/SQRT(SUM(INDEX($FK371:$ID371,1+SwaptionShift):INDEX($FK371:$ID371,SwaptionMonthsToGo+SwaptionShift))*SUM(INDEX($FK$325:$ID$396,FU$169,1+SwaptionShift):INDEX($FK$325:$ID$396,FU$169,SwaptionMonthsToGo+SwaptionShift))))))</f>
        <v/>
      </c>
      <c r="FV216" s="479" t="str">
        <f ca="1">IF(OR(FV$169&lt;SwaptionFirstMonthPosition+1,$FJ216&lt;SwaptionFirstMonthPosition+1,FV$169&gt;SwaptionFirstMonthPosition+SwaptionNumOfMonths+1,$FJ216&gt;SwaptionFirstMonthPosition+SwaptionNumOfMonths+1),"",IF($FJ216=FV$169,1,IF($FJ216&lt;FV$169,INDEX($FK$170:$ID$241,FV$169,$FJ216),SUMPRODUCT(INDEX($FK$325:$ID$396,FV$169,1+SwaptionShift):INDEX($FK$325:$ID$396,FV$169,SwaptionMonthsToGo+SwaptionShift),INDEX($FK$245:$ID$316,$FJ216-FV$169,73-FV$169+SwaptionShift):INDEX($FK$245:$ID$316,$FJ216-FV$169,72-FV$169+SwaptionMonthsToGo+SwaptionShift))/SQRT(SUM(INDEX($FK371:$ID371,1+SwaptionShift):INDEX($FK371:$ID371,SwaptionMonthsToGo+SwaptionShift))*SUM(INDEX($FK$325:$ID$396,FV$169,1+SwaptionShift):INDEX($FK$325:$ID$396,FV$169,SwaptionMonthsToGo+SwaptionShift))))))</f>
        <v/>
      </c>
      <c r="FW216" s="479" t="str">
        <f ca="1">IF(OR(FW$169&lt;SwaptionFirstMonthPosition+1,$FJ216&lt;SwaptionFirstMonthPosition+1,FW$169&gt;SwaptionFirstMonthPosition+SwaptionNumOfMonths+1,$FJ216&gt;SwaptionFirstMonthPosition+SwaptionNumOfMonths+1),"",IF($FJ216=FW$169,1,IF($FJ216&lt;FW$169,INDEX($FK$170:$ID$241,FW$169,$FJ216),SUMPRODUCT(INDEX($FK$325:$ID$396,FW$169,1+SwaptionShift):INDEX($FK$325:$ID$396,FW$169,SwaptionMonthsToGo+SwaptionShift),INDEX($FK$245:$ID$316,$FJ216-FW$169,73-FW$169+SwaptionShift):INDEX($FK$245:$ID$316,$FJ216-FW$169,72-FW$169+SwaptionMonthsToGo+SwaptionShift))/SQRT(SUM(INDEX($FK371:$ID371,1+SwaptionShift):INDEX($FK371:$ID371,SwaptionMonthsToGo+SwaptionShift))*SUM(INDEX($FK$325:$ID$396,FW$169,1+SwaptionShift):INDEX($FK$325:$ID$396,FW$169,SwaptionMonthsToGo+SwaptionShift))))))</f>
        <v/>
      </c>
      <c r="FX216" s="479" t="str">
        <f ca="1">IF(OR(FX$169&lt;SwaptionFirstMonthPosition+1,$FJ216&lt;SwaptionFirstMonthPosition+1,FX$169&gt;SwaptionFirstMonthPosition+SwaptionNumOfMonths+1,$FJ216&gt;SwaptionFirstMonthPosition+SwaptionNumOfMonths+1),"",IF($FJ216=FX$169,1,IF($FJ216&lt;FX$169,INDEX($FK$170:$ID$241,FX$169,$FJ216),SUMPRODUCT(INDEX($FK$325:$ID$396,FX$169,1+SwaptionShift):INDEX($FK$325:$ID$396,FX$169,SwaptionMonthsToGo+SwaptionShift),INDEX($FK$245:$ID$316,$FJ216-FX$169,73-FX$169+SwaptionShift):INDEX($FK$245:$ID$316,$FJ216-FX$169,72-FX$169+SwaptionMonthsToGo+SwaptionShift))/SQRT(SUM(INDEX($FK371:$ID371,1+SwaptionShift):INDEX($FK371:$ID371,SwaptionMonthsToGo+SwaptionShift))*SUM(INDEX($FK$325:$ID$396,FX$169,1+SwaptionShift):INDEX($FK$325:$ID$396,FX$169,SwaptionMonthsToGo+SwaptionShift))))))</f>
        <v/>
      </c>
      <c r="FY216" s="479" t="str">
        <f ca="1">IF(OR(FY$169&lt;SwaptionFirstMonthPosition+1,$FJ216&lt;SwaptionFirstMonthPosition+1,FY$169&gt;SwaptionFirstMonthPosition+SwaptionNumOfMonths+1,$FJ216&gt;SwaptionFirstMonthPosition+SwaptionNumOfMonths+1),"",IF($FJ216=FY$169,1,IF($FJ216&lt;FY$169,INDEX($FK$170:$ID$241,FY$169,$FJ216),SUMPRODUCT(INDEX($FK$325:$ID$396,FY$169,1+SwaptionShift):INDEX($FK$325:$ID$396,FY$169,SwaptionMonthsToGo+SwaptionShift),INDEX($FK$245:$ID$316,$FJ216-FY$169,73-FY$169+SwaptionShift):INDEX($FK$245:$ID$316,$FJ216-FY$169,72-FY$169+SwaptionMonthsToGo+SwaptionShift))/SQRT(SUM(INDEX($FK371:$ID371,1+SwaptionShift):INDEX($FK371:$ID371,SwaptionMonthsToGo+SwaptionShift))*SUM(INDEX($FK$325:$ID$396,FY$169,1+SwaptionShift):INDEX($FK$325:$ID$396,FY$169,SwaptionMonthsToGo+SwaptionShift))))))</f>
        <v/>
      </c>
      <c r="FZ216" s="479" t="str">
        <f ca="1">IF(OR(FZ$169&lt;SwaptionFirstMonthPosition+1,$FJ216&lt;SwaptionFirstMonthPosition+1,FZ$169&gt;SwaptionFirstMonthPosition+SwaptionNumOfMonths+1,$FJ216&gt;SwaptionFirstMonthPosition+SwaptionNumOfMonths+1),"",IF($FJ216=FZ$169,1,IF($FJ216&lt;FZ$169,INDEX($FK$170:$ID$241,FZ$169,$FJ216),SUMPRODUCT(INDEX($FK$325:$ID$396,FZ$169,1+SwaptionShift):INDEX($FK$325:$ID$396,FZ$169,SwaptionMonthsToGo+SwaptionShift),INDEX($FK$245:$ID$316,$FJ216-FZ$169,73-FZ$169+SwaptionShift):INDEX($FK$245:$ID$316,$FJ216-FZ$169,72-FZ$169+SwaptionMonthsToGo+SwaptionShift))/SQRT(SUM(INDEX($FK371:$ID371,1+SwaptionShift):INDEX($FK371:$ID371,SwaptionMonthsToGo+SwaptionShift))*SUM(INDEX($FK$325:$ID$396,FZ$169,1+SwaptionShift):INDEX($FK$325:$ID$396,FZ$169,SwaptionMonthsToGo+SwaptionShift))))))</f>
        <v/>
      </c>
      <c r="GA216" s="479" t="str">
        <f ca="1">IF(OR(GA$169&lt;SwaptionFirstMonthPosition+1,$FJ216&lt;SwaptionFirstMonthPosition+1,GA$169&gt;SwaptionFirstMonthPosition+SwaptionNumOfMonths+1,$FJ216&gt;SwaptionFirstMonthPosition+SwaptionNumOfMonths+1),"",IF($FJ216=GA$169,1,IF($FJ216&lt;GA$169,INDEX($FK$170:$ID$241,GA$169,$FJ216),SUMPRODUCT(INDEX($FK$325:$ID$396,GA$169,1+SwaptionShift):INDEX($FK$325:$ID$396,GA$169,SwaptionMonthsToGo+SwaptionShift),INDEX($FK$245:$ID$316,$FJ216-GA$169,73-GA$169+SwaptionShift):INDEX($FK$245:$ID$316,$FJ216-GA$169,72-GA$169+SwaptionMonthsToGo+SwaptionShift))/SQRT(SUM(INDEX($FK371:$ID371,1+SwaptionShift):INDEX($FK371:$ID371,SwaptionMonthsToGo+SwaptionShift))*SUM(INDEX($FK$325:$ID$396,GA$169,1+SwaptionShift):INDEX($FK$325:$ID$396,GA$169,SwaptionMonthsToGo+SwaptionShift))))))</f>
        <v/>
      </c>
      <c r="GB216" s="479" t="str">
        <f ca="1">IF(OR(GB$169&lt;SwaptionFirstMonthPosition+1,$FJ216&lt;SwaptionFirstMonthPosition+1,GB$169&gt;SwaptionFirstMonthPosition+SwaptionNumOfMonths+1,$FJ216&gt;SwaptionFirstMonthPosition+SwaptionNumOfMonths+1),"",IF($FJ216=GB$169,1,IF($FJ216&lt;GB$169,INDEX($FK$170:$ID$241,GB$169,$FJ216),SUMPRODUCT(INDEX($FK$325:$ID$396,GB$169,1+SwaptionShift):INDEX($FK$325:$ID$396,GB$169,SwaptionMonthsToGo+SwaptionShift),INDEX($FK$245:$ID$316,$FJ216-GB$169,73-GB$169+SwaptionShift):INDEX($FK$245:$ID$316,$FJ216-GB$169,72-GB$169+SwaptionMonthsToGo+SwaptionShift))/SQRT(SUM(INDEX($FK371:$ID371,1+SwaptionShift):INDEX($FK371:$ID371,SwaptionMonthsToGo+SwaptionShift))*SUM(INDEX($FK$325:$ID$396,GB$169,1+SwaptionShift):INDEX($FK$325:$ID$396,GB$169,SwaptionMonthsToGo+SwaptionShift))))))</f>
        <v/>
      </c>
      <c r="GC216" s="479" t="str">
        <f ca="1">IF(OR(GC$169&lt;SwaptionFirstMonthPosition+1,$FJ216&lt;SwaptionFirstMonthPosition+1,GC$169&gt;SwaptionFirstMonthPosition+SwaptionNumOfMonths+1,$FJ216&gt;SwaptionFirstMonthPosition+SwaptionNumOfMonths+1),"",IF($FJ216=GC$169,1,IF($FJ216&lt;GC$169,INDEX($FK$170:$ID$241,GC$169,$FJ216),SUMPRODUCT(INDEX($FK$325:$ID$396,GC$169,1+SwaptionShift):INDEX($FK$325:$ID$396,GC$169,SwaptionMonthsToGo+SwaptionShift),INDEX($FK$245:$ID$316,$FJ216-GC$169,73-GC$169+SwaptionShift):INDEX($FK$245:$ID$316,$FJ216-GC$169,72-GC$169+SwaptionMonthsToGo+SwaptionShift))/SQRT(SUM(INDEX($FK371:$ID371,1+SwaptionShift):INDEX($FK371:$ID371,SwaptionMonthsToGo+SwaptionShift))*SUM(INDEX($FK$325:$ID$396,GC$169,1+SwaptionShift):INDEX($FK$325:$ID$396,GC$169,SwaptionMonthsToGo+SwaptionShift))))))</f>
        <v/>
      </c>
      <c r="GD216" s="479" t="str">
        <f ca="1">IF(OR(GD$169&lt;SwaptionFirstMonthPosition+1,$FJ216&lt;SwaptionFirstMonthPosition+1,GD$169&gt;SwaptionFirstMonthPosition+SwaptionNumOfMonths+1,$FJ216&gt;SwaptionFirstMonthPosition+SwaptionNumOfMonths+1),"",IF($FJ216=GD$169,1,IF($FJ216&lt;GD$169,INDEX($FK$170:$ID$241,GD$169,$FJ216),SUMPRODUCT(INDEX($FK$325:$ID$396,GD$169,1+SwaptionShift):INDEX($FK$325:$ID$396,GD$169,SwaptionMonthsToGo+SwaptionShift),INDEX($FK$245:$ID$316,$FJ216-GD$169,73-GD$169+SwaptionShift):INDEX($FK$245:$ID$316,$FJ216-GD$169,72-GD$169+SwaptionMonthsToGo+SwaptionShift))/SQRT(SUM(INDEX($FK371:$ID371,1+SwaptionShift):INDEX($FK371:$ID371,SwaptionMonthsToGo+SwaptionShift))*SUM(INDEX($FK$325:$ID$396,GD$169,1+SwaptionShift):INDEX($FK$325:$ID$396,GD$169,SwaptionMonthsToGo+SwaptionShift))))))</f>
        <v/>
      </c>
      <c r="GE216" s="479" t="str">
        <f ca="1">IF(OR(GE$169&lt;SwaptionFirstMonthPosition+1,$FJ216&lt;SwaptionFirstMonthPosition+1,GE$169&gt;SwaptionFirstMonthPosition+SwaptionNumOfMonths+1,$FJ216&gt;SwaptionFirstMonthPosition+SwaptionNumOfMonths+1),"",IF($FJ216=GE$169,1,IF($FJ216&lt;GE$169,INDEX($FK$170:$ID$241,GE$169,$FJ216),SUMPRODUCT(INDEX($FK$325:$ID$396,GE$169,1+SwaptionShift):INDEX($FK$325:$ID$396,GE$169,SwaptionMonthsToGo+SwaptionShift),INDEX($FK$245:$ID$316,$FJ216-GE$169,73-GE$169+SwaptionShift):INDEX($FK$245:$ID$316,$FJ216-GE$169,72-GE$169+SwaptionMonthsToGo+SwaptionShift))/SQRT(SUM(INDEX($FK371:$ID371,1+SwaptionShift):INDEX($FK371:$ID371,SwaptionMonthsToGo+SwaptionShift))*SUM(INDEX($FK$325:$ID$396,GE$169,1+SwaptionShift):INDEX($FK$325:$ID$396,GE$169,SwaptionMonthsToGo+SwaptionShift))))))</f>
        <v/>
      </c>
      <c r="GF216" s="479" t="str">
        <f ca="1">IF(OR(GF$169&lt;SwaptionFirstMonthPosition+1,$FJ216&lt;SwaptionFirstMonthPosition+1,GF$169&gt;SwaptionFirstMonthPosition+SwaptionNumOfMonths+1,$FJ216&gt;SwaptionFirstMonthPosition+SwaptionNumOfMonths+1),"",IF($FJ216=GF$169,1,IF($FJ216&lt;GF$169,INDEX($FK$170:$ID$241,GF$169,$FJ216),SUMPRODUCT(INDEX($FK$325:$ID$396,GF$169,1+SwaptionShift):INDEX($FK$325:$ID$396,GF$169,SwaptionMonthsToGo+SwaptionShift),INDEX($FK$245:$ID$316,$FJ216-GF$169,73-GF$169+SwaptionShift):INDEX($FK$245:$ID$316,$FJ216-GF$169,72-GF$169+SwaptionMonthsToGo+SwaptionShift))/SQRT(SUM(INDEX($FK371:$ID371,1+SwaptionShift):INDEX($FK371:$ID371,SwaptionMonthsToGo+SwaptionShift))*SUM(INDEX($FK$325:$ID$396,GF$169,1+SwaptionShift):INDEX($FK$325:$ID$396,GF$169,SwaptionMonthsToGo+SwaptionShift))))))</f>
        <v/>
      </c>
      <c r="GG216" s="479" t="str">
        <f ca="1">IF(OR(GG$169&lt;SwaptionFirstMonthPosition+1,$FJ216&lt;SwaptionFirstMonthPosition+1,GG$169&gt;SwaptionFirstMonthPosition+SwaptionNumOfMonths+1,$FJ216&gt;SwaptionFirstMonthPosition+SwaptionNumOfMonths+1),"",IF($FJ216=GG$169,1,IF($FJ216&lt;GG$169,INDEX($FK$170:$ID$241,GG$169,$FJ216),SUMPRODUCT(INDEX($FK$325:$ID$396,GG$169,1+SwaptionShift):INDEX($FK$325:$ID$396,GG$169,SwaptionMonthsToGo+SwaptionShift),INDEX($FK$245:$ID$316,$FJ216-GG$169,73-GG$169+SwaptionShift):INDEX($FK$245:$ID$316,$FJ216-GG$169,72-GG$169+SwaptionMonthsToGo+SwaptionShift))/SQRT(SUM(INDEX($FK371:$ID371,1+SwaptionShift):INDEX($FK371:$ID371,SwaptionMonthsToGo+SwaptionShift))*SUM(INDEX($FK$325:$ID$396,GG$169,1+SwaptionShift):INDEX($FK$325:$ID$396,GG$169,SwaptionMonthsToGo+SwaptionShift))))))</f>
        <v/>
      </c>
      <c r="GH216" s="479" t="str">
        <f ca="1">IF(OR(GH$169&lt;SwaptionFirstMonthPosition+1,$FJ216&lt;SwaptionFirstMonthPosition+1,GH$169&gt;SwaptionFirstMonthPosition+SwaptionNumOfMonths+1,$FJ216&gt;SwaptionFirstMonthPosition+SwaptionNumOfMonths+1),"",IF($FJ216=GH$169,1,IF($FJ216&lt;GH$169,INDEX($FK$170:$ID$241,GH$169,$FJ216),SUMPRODUCT(INDEX($FK$325:$ID$396,GH$169,1+SwaptionShift):INDEX($FK$325:$ID$396,GH$169,SwaptionMonthsToGo+SwaptionShift),INDEX($FK$245:$ID$316,$FJ216-GH$169,73-GH$169+SwaptionShift):INDEX($FK$245:$ID$316,$FJ216-GH$169,72-GH$169+SwaptionMonthsToGo+SwaptionShift))/SQRT(SUM(INDEX($FK371:$ID371,1+SwaptionShift):INDEX($FK371:$ID371,SwaptionMonthsToGo+SwaptionShift))*SUM(INDEX($FK$325:$ID$396,GH$169,1+SwaptionShift):INDEX($FK$325:$ID$396,GH$169,SwaptionMonthsToGo+SwaptionShift))))))</f>
        <v/>
      </c>
      <c r="GI216" s="479" t="str">
        <f ca="1">IF(OR(GI$169&lt;SwaptionFirstMonthPosition+1,$FJ216&lt;SwaptionFirstMonthPosition+1,GI$169&gt;SwaptionFirstMonthPosition+SwaptionNumOfMonths+1,$FJ216&gt;SwaptionFirstMonthPosition+SwaptionNumOfMonths+1),"",IF($FJ216=GI$169,1,IF($FJ216&lt;GI$169,INDEX($FK$170:$ID$241,GI$169,$FJ216),SUMPRODUCT(INDEX($FK$325:$ID$396,GI$169,1+SwaptionShift):INDEX($FK$325:$ID$396,GI$169,SwaptionMonthsToGo+SwaptionShift),INDEX($FK$245:$ID$316,$FJ216-GI$169,73-GI$169+SwaptionShift):INDEX($FK$245:$ID$316,$FJ216-GI$169,72-GI$169+SwaptionMonthsToGo+SwaptionShift))/SQRT(SUM(INDEX($FK371:$ID371,1+SwaptionShift):INDEX($FK371:$ID371,SwaptionMonthsToGo+SwaptionShift))*SUM(INDEX($FK$325:$ID$396,GI$169,1+SwaptionShift):INDEX($FK$325:$ID$396,GI$169,SwaptionMonthsToGo+SwaptionShift))))))</f>
        <v/>
      </c>
      <c r="GJ216" s="479" t="str">
        <f ca="1">IF(OR(GJ$169&lt;SwaptionFirstMonthPosition+1,$FJ216&lt;SwaptionFirstMonthPosition+1,GJ$169&gt;SwaptionFirstMonthPosition+SwaptionNumOfMonths+1,$FJ216&gt;SwaptionFirstMonthPosition+SwaptionNumOfMonths+1),"",IF($FJ216=GJ$169,1,IF($FJ216&lt;GJ$169,INDEX($FK$170:$ID$241,GJ$169,$FJ216),SUMPRODUCT(INDEX($FK$325:$ID$396,GJ$169,1+SwaptionShift):INDEX($FK$325:$ID$396,GJ$169,SwaptionMonthsToGo+SwaptionShift),INDEX($FK$245:$ID$316,$FJ216-GJ$169,73-GJ$169+SwaptionShift):INDEX($FK$245:$ID$316,$FJ216-GJ$169,72-GJ$169+SwaptionMonthsToGo+SwaptionShift))/SQRT(SUM(INDEX($FK371:$ID371,1+SwaptionShift):INDEX($FK371:$ID371,SwaptionMonthsToGo+SwaptionShift))*SUM(INDEX($FK$325:$ID$396,GJ$169,1+SwaptionShift):INDEX($FK$325:$ID$396,GJ$169,SwaptionMonthsToGo+SwaptionShift))))))</f>
        <v/>
      </c>
      <c r="GK216" s="479" t="str">
        <f ca="1">IF(OR(GK$169&lt;SwaptionFirstMonthPosition+1,$FJ216&lt;SwaptionFirstMonthPosition+1,GK$169&gt;SwaptionFirstMonthPosition+SwaptionNumOfMonths+1,$FJ216&gt;SwaptionFirstMonthPosition+SwaptionNumOfMonths+1),"",IF($FJ216=GK$169,1,IF($FJ216&lt;GK$169,INDEX($FK$170:$ID$241,GK$169,$FJ216),SUMPRODUCT(INDEX($FK$325:$ID$396,GK$169,1+SwaptionShift):INDEX($FK$325:$ID$396,GK$169,SwaptionMonthsToGo+SwaptionShift),INDEX($FK$245:$ID$316,$FJ216-GK$169,73-GK$169+SwaptionShift):INDEX($FK$245:$ID$316,$FJ216-GK$169,72-GK$169+SwaptionMonthsToGo+SwaptionShift))/SQRT(SUM(INDEX($FK371:$ID371,1+SwaptionShift):INDEX($FK371:$ID371,SwaptionMonthsToGo+SwaptionShift))*SUM(INDEX($FK$325:$ID$396,GK$169,1+SwaptionShift):INDEX($FK$325:$ID$396,GK$169,SwaptionMonthsToGo+SwaptionShift))))))</f>
        <v/>
      </c>
      <c r="GL216" s="479" t="str">
        <f ca="1">IF(OR(GL$169&lt;SwaptionFirstMonthPosition+1,$FJ216&lt;SwaptionFirstMonthPosition+1,GL$169&gt;SwaptionFirstMonthPosition+SwaptionNumOfMonths+1,$FJ216&gt;SwaptionFirstMonthPosition+SwaptionNumOfMonths+1),"",IF($FJ216=GL$169,1,IF($FJ216&lt;GL$169,INDEX($FK$170:$ID$241,GL$169,$FJ216),SUMPRODUCT(INDEX($FK$325:$ID$396,GL$169,1+SwaptionShift):INDEX($FK$325:$ID$396,GL$169,SwaptionMonthsToGo+SwaptionShift),INDEX($FK$245:$ID$316,$FJ216-GL$169,73-GL$169+SwaptionShift):INDEX($FK$245:$ID$316,$FJ216-GL$169,72-GL$169+SwaptionMonthsToGo+SwaptionShift))/SQRT(SUM(INDEX($FK371:$ID371,1+SwaptionShift):INDEX($FK371:$ID371,SwaptionMonthsToGo+SwaptionShift))*SUM(INDEX($FK$325:$ID$396,GL$169,1+SwaptionShift):INDEX($FK$325:$ID$396,GL$169,SwaptionMonthsToGo+SwaptionShift))))))</f>
        <v/>
      </c>
      <c r="GM216" s="479" t="str">
        <f ca="1">IF(OR(GM$169&lt;SwaptionFirstMonthPosition+1,$FJ216&lt;SwaptionFirstMonthPosition+1,GM$169&gt;SwaptionFirstMonthPosition+SwaptionNumOfMonths+1,$FJ216&gt;SwaptionFirstMonthPosition+SwaptionNumOfMonths+1),"",IF($FJ216=GM$169,1,IF($FJ216&lt;GM$169,INDEX($FK$170:$ID$241,GM$169,$FJ216),SUMPRODUCT(INDEX($FK$325:$ID$396,GM$169,1+SwaptionShift):INDEX($FK$325:$ID$396,GM$169,SwaptionMonthsToGo+SwaptionShift),INDEX($FK$245:$ID$316,$FJ216-GM$169,73-GM$169+SwaptionShift):INDEX($FK$245:$ID$316,$FJ216-GM$169,72-GM$169+SwaptionMonthsToGo+SwaptionShift))/SQRT(SUM(INDEX($FK371:$ID371,1+SwaptionShift):INDEX($FK371:$ID371,SwaptionMonthsToGo+SwaptionShift))*SUM(INDEX($FK$325:$ID$396,GM$169,1+SwaptionShift):INDEX($FK$325:$ID$396,GM$169,SwaptionMonthsToGo+SwaptionShift))))))</f>
        <v/>
      </c>
      <c r="GN216" s="479" t="str">
        <f ca="1">IF(OR(GN$169&lt;SwaptionFirstMonthPosition+1,$FJ216&lt;SwaptionFirstMonthPosition+1,GN$169&gt;SwaptionFirstMonthPosition+SwaptionNumOfMonths+1,$FJ216&gt;SwaptionFirstMonthPosition+SwaptionNumOfMonths+1),"",IF($FJ216=GN$169,1,IF($FJ216&lt;GN$169,INDEX($FK$170:$ID$241,GN$169,$FJ216),SUMPRODUCT(INDEX($FK$325:$ID$396,GN$169,1+SwaptionShift):INDEX($FK$325:$ID$396,GN$169,SwaptionMonthsToGo+SwaptionShift),INDEX($FK$245:$ID$316,$FJ216-GN$169,73-GN$169+SwaptionShift):INDEX($FK$245:$ID$316,$FJ216-GN$169,72-GN$169+SwaptionMonthsToGo+SwaptionShift))/SQRT(SUM(INDEX($FK371:$ID371,1+SwaptionShift):INDEX($FK371:$ID371,SwaptionMonthsToGo+SwaptionShift))*SUM(INDEX($FK$325:$ID$396,GN$169,1+SwaptionShift):INDEX($FK$325:$ID$396,GN$169,SwaptionMonthsToGo+SwaptionShift))))))</f>
        <v/>
      </c>
      <c r="GO216" s="479" t="str">
        <f ca="1">IF(OR(GO$169&lt;SwaptionFirstMonthPosition+1,$FJ216&lt;SwaptionFirstMonthPosition+1,GO$169&gt;SwaptionFirstMonthPosition+SwaptionNumOfMonths+1,$FJ216&gt;SwaptionFirstMonthPosition+SwaptionNumOfMonths+1),"",IF($FJ216=GO$169,1,IF($FJ216&lt;GO$169,INDEX($FK$170:$ID$241,GO$169,$FJ216),SUMPRODUCT(INDEX($FK$325:$ID$396,GO$169,1+SwaptionShift):INDEX($FK$325:$ID$396,GO$169,SwaptionMonthsToGo+SwaptionShift),INDEX($FK$245:$ID$316,$FJ216-GO$169,73-GO$169+SwaptionShift):INDEX($FK$245:$ID$316,$FJ216-GO$169,72-GO$169+SwaptionMonthsToGo+SwaptionShift))/SQRT(SUM(INDEX($FK371:$ID371,1+SwaptionShift):INDEX($FK371:$ID371,SwaptionMonthsToGo+SwaptionShift))*SUM(INDEX($FK$325:$ID$396,GO$169,1+SwaptionShift):INDEX($FK$325:$ID$396,GO$169,SwaptionMonthsToGo+SwaptionShift))))))</f>
        <v/>
      </c>
      <c r="GP216" s="479" t="str">
        <f ca="1">IF(OR(GP$169&lt;SwaptionFirstMonthPosition+1,$FJ216&lt;SwaptionFirstMonthPosition+1,GP$169&gt;SwaptionFirstMonthPosition+SwaptionNumOfMonths+1,$FJ216&gt;SwaptionFirstMonthPosition+SwaptionNumOfMonths+1),"",IF($FJ216=GP$169,1,IF($FJ216&lt;GP$169,INDEX($FK$170:$ID$241,GP$169,$FJ216),SUMPRODUCT(INDEX($FK$325:$ID$396,GP$169,1+SwaptionShift):INDEX($FK$325:$ID$396,GP$169,SwaptionMonthsToGo+SwaptionShift),INDEX($FK$245:$ID$316,$FJ216-GP$169,73-GP$169+SwaptionShift):INDEX($FK$245:$ID$316,$FJ216-GP$169,72-GP$169+SwaptionMonthsToGo+SwaptionShift))/SQRT(SUM(INDEX($FK371:$ID371,1+SwaptionShift):INDEX($FK371:$ID371,SwaptionMonthsToGo+SwaptionShift))*SUM(INDEX($FK$325:$ID$396,GP$169,1+SwaptionShift):INDEX($FK$325:$ID$396,GP$169,SwaptionMonthsToGo+SwaptionShift))))))</f>
        <v/>
      </c>
      <c r="GQ216" s="479" t="str">
        <f ca="1">IF(OR(GQ$169&lt;SwaptionFirstMonthPosition+1,$FJ216&lt;SwaptionFirstMonthPosition+1,GQ$169&gt;SwaptionFirstMonthPosition+SwaptionNumOfMonths+1,$FJ216&gt;SwaptionFirstMonthPosition+SwaptionNumOfMonths+1),"",IF($FJ216=GQ$169,1,IF($FJ216&lt;GQ$169,INDEX($FK$170:$ID$241,GQ$169,$FJ216),SUMPRODUCT(INDEX($FK$325:$ID$396,GQ$169,1+SwaptionShift):INDEX($FK$325:$ID$396,GQ$169,SwaptionMonthsToGo+SwaptionShift),INDEX($FK$245:$ID$316,$FJ216-GQ$169,73-GQ$169+SwaptionShift):INDEX($FK$245:$ID$316,$FJ216-GQ$169,72-GQ$169+SwaptionMonthsToGo+SwaptionShift))/SQRT(SUM(INDEX($FK371:$ID371,1+SwaptionShift):INDEX($FK371:$ID371,SwaptionMonthsToGo+SwaptionShift))*SUM(INDEX($FK$325:$ID$396,GQ$169,1+SwaptionShift):INDEX($FK$325:$ID$396,GQ$169,SwaptionMonthsToGo+SwaptionShift))))))</f>
        <v/>
      </c>
      <c r="GR216" s="479" t="str">
        <f ca="1">IF(OR(GR$169&lt;SwaptionFirstMonthPosition+1,$FJ216&lt;SwaptionFirstMonthPosition+1,GR$169&gt;SwaptionFirstMonthPosition+SwaptionNumOfMonths+1,$FJ216&gt;SwaptionFirstMonthPosition+SwaptionNumOfMonths+1),"",IF($FJ216=GR$169,1,IF($FJ216&lt;GR$169,INDEX($FK$170:$ID$241,GR$169,$FJ216),SUMPRODUCT(INDEX($FK$325:$ID$396,GR$169,1+SwaptionShift):INDEX($FK$325:$ID$396,GR$169,SwaptionMonthsToGo+SwaptionShift),INDEX($FK$245:$ID$316,$FJ216-GR$169,73-GR$169+SwaptionShift):INDEX($FK$245:$ID$316,$FJ216-GR$169,72-GR$169+SwaptionMonthsToGo+SwaptionShift))/SQRT(SUM(INDEX($FK371:$ID371,1+SwaptionShift):INDEX($FK371:$ID371,SwaptionMonthsToGo+SwaptionShift))*SUM(INDEX($FK$325:$ID$396,GR$169,1+SwaptionShift):INDEX($FK$325:$ID$396,GR$169,SwaptionMonthsToGo+SwaptionShift))))))</f>
        <v/>
      </c>
      <c r="GS216" s="479" t="str">
        <f ca="1">IF(OR(GS$169&lt;SwaptionFirstMonthPosition+1,$FJ216&lt;SwaptionFirstMonthPosition+1,GS$169&gt;SwaptionFirstMonthPosition+SwaptionNumOfMonths+1,$FJ216&gt;SwaptionFirstMonthPosition+SwaptionNumOfMonths+1),"",IF($FJ216=GS$169,1,IF($FJ216&lt;GS$169,INDEX($FK$170:$ID$241,GS$169,$FJ216),SUMPRODUCT(INDEX($FK$325:$ID$396,GS$169,1+SwaptionShift):INDEX($FK$325:$ID$396,GS$169,SwaptionMonthsToGo+SwaptionShift),INDEX($FK$245:$ID$316,$FJ216-GS$169,73-GS$169+SwaptionShift):INDEX($FK$245:$ID$316,$FJ216-GS$169,72-GS$169+SwaptionMonthsToGo+SwaptionShift))/SQRT(SUM(INDEX($FK371:$ID371,1+SwaptionShift):INDEX($FK371:$ID371,SwaptionMonthsToGo+SwaptionShift))*SUM(INDEX($FK$325:$ID$396,GS$169,1+SwaptionShift):INDEX($FK$325:$ID$396,GS$169,SwaptionMonthsToGo+SwaptionShift))))))</f>
        <v/>
      </c>
      <c r="GT216" s="479" t="str">
        <f ca="1">IF(OR(GT$169&lt;SwaptionFirstMonthPosition+1,$FJ216&lt;SwaptionFirstMonthPosition+1,GT$169&gt;SwaptionFirstMonthPosition+SwaptionNumOfMonths+1,$FJ216&gt;SwaptionFirstMonthPosition+SwaptionNumOfMonths+1),"",IF($FJ216=GT$169,1,IF($FJ216&lt;GT$169,INDEX($FK$170:$ID$241,GT$169,$FJ216),SUMPRODUCT(INDEX($FK$325:$ID$396,GT$169,1+SwaptionShift):INDEX($FK$325:$ID$396,GT$169,SwaptionMonthsToGo+SwaptionShift),INDEX($FK$245:$ID$316,$FJ216-GT$169,73-GT$169+SwaptionShift):INDEX($FK$245:$ID$316,$FJ216-GT$169,72-GT$169+SwaptionMonthsToGo+SwaptionShift))/SQRT(SUM(INDEX($FK371:$ID371,1+SwaptionShift):INDEX($FK371:$ID371,SwaptionMonthsToGo+SwaptionShift))*SUM(INDEX($FK$325:$ID$396,GT$169,1+SwaptionShift):INDEX($FK$325:$ID$396,GT$169,SwaptionMonthsToGo+SwaptionShift))))))</f>
        <v/>
      </c>
      <c r="GU216" s="479" t="str">
        <f ca="1">IF(OR(GU$169&lt;SwaptionFirstMonthPosition+1,$FJ216&lt;SwaptionFirstMonthPosition+1,GU$169&gt;SwaptionFirstMonthPosition+SwaptionNumOfMonths+1,$FJ216&gt;SwaptionFirstMonthPosition+SwaptionNumOfMonths+1),"",IF($FJ216=GU$169,1,IF($FJ216&lt;GU$169,INDEX($FK$170:$ID$241,GU$169,$FJ216),SUMPRODUCT(INDEX($FK$325:$ID$396,GU$169,1+SwaptionShift):INDEX($FK$325:$ID$396,GU$169,SwaptionMonthsToGo+SwaptionShift),INDEX($FK$245:$ID$316,$FJ216-GU$169,73-GU$169+SwaptionShift):INDEX($FK$245:$ID$316,$FJ216-GU$169,72-GU$169+SwaptionMonthsToGo+SwaptionShift))/SQRT(SUM(INDEX($FK371:$ID371,1+SwaptionShift):INDEX($FK371:$ID371,SwaptionMonthsToGo+SwaptionShift))*SUM(INDEX($FK$325:$ID$396,GU$169,1+SwaptionShift):INDEX($FK$325:$ID$396,GU$169,SwaptionMonthsToGo+SwaptionShift))))))</f>
        <v/>
      </c>
      <c r="GV216" s="479" t="str">
        <f ca="1">IF(OR(GV$169&lt;SwaptionFirstMonthPosition+1,$FJ216&lt;SwaptionFirstMonthPosition+1,GV$169&gt;SwaptionFirstMonthPosition+SwaptionNumOfMonths+1,$FJ216&gt;SwaptionFirstMonthPosition+SwaptionNumOfMonths+1),"",IF($FJ216=GV$169,1,IF($FJ216&lt;GV$169,INDEX($FK$170:$ID$241,GV$169,$FJ216),SUMPRODUCT(INDEX($FK$325:$ID$396,GV$169,1+SwaptionShift):INDEX($FK$325:$ID$396,GV$169,SwaptionMonthsToGo+SwaptionShift),INDEX($FK$245:$ID$316,$FJ216-GV$169,73-GV$169+SwaptionShift):INDEX($FK$245:$ID$316,$FJ216-GV$169,72-GV$169+SwaptionMonthsToGo+SwaptionShift))/SQRT(SUM(INDEX($FK371:$ID371,1+SwaptionShift):INDEX($FK371:$ID371,SwaptionMonthsToGo+SwaptionShift))*SUM(INDEX($FK$325:$ID$396,GV$169,1+SwaptionShift):INDEX($FK$325:$ID$396,GV$169,SwaptionMonthsToGo+SwaptionShift))))))</f>
        <v/>
      </c>
      <c r="GW216" s="479" t="str">
        <f ca="1">IF(OR(GW$169&lt;SwaptionFirstMonthPosition+1,$FJ216&lt;SwaptionFirstMonthPosition+1,GW$169&gt;SwaptionFirstMonthPosition+SwaptionNumOfMonths+1,$FJ216&gt;SwaptionFirstMonthPosition+SwaptionNumOfMonths+1),"",IF($FJ216=GW$169,1,IF($FJ216&lt;GW$169,INDEX($FK$170:$ID$241,GW$169,$FJ216),SUMPRODUCT(INDEX($FK$325:$ID$396,GW$169,1+SwaptionShift):INDEX($FK$325:$ID$396,GW$169,SwaptionMonthsToGo+SwaptionShift),INDEX($FK$245:$ID$316,$FJ216-GW$169,73-GW$169+SwaptionShift):INDEX($FK$245:$ID$316,$FJ216-GW$169,72-GW$169+SwaptionMonthsToGo+SwaptionShift))/SQRT(SUM(INDEX($FK371:$ID371,1+SwaptionShift):INDEX($FK371:$ID371,SwaptionMonthsToGo+SwaptionShift))*SUM(INDEX($FK$325:$ID$396,GW$169,1+SwaptionShift):INDEX($FK$325:$ID$396,GW$169,SwaptionMonthsToGo+SwaptionShift))))))</f>
        <v/>
      </c>
      <c r="GX216" s="479" t="str">
        <f ca="1">IF(OR(GX$169&lt;SwaptionFirstMonthPosition+1,$FJ216&lt;SwaptionFirstMonthPosition+1,GX$169&gt;SwaptionFirstMonthPosition+SwaptionNumOfMonths+1,$FJ216&gt;SwaptionFirstMonthPosition+SwaptionNumOfMonths+1),"",IF($FJ216=GX$169,1,IF($FJ216&lt;GX$169,INDEX($FK$170:$ID$241,GX$169,$FJ216),SUMPRODUCT(INDEX($FK$325:$ID$396,GX$169,1+SwaptionShift):INDEX($FK$325:$ID$396,GX$169,SwaptionMonthsToGo+SwaptionShift),INDEX($FK$245:$ID$316,$FJ216-GX$169,73-GX$169+SwaptionShift):INDEX($FK$245:$ID$316,$FJ216-GX$169,72-GX$169+SwaptionMonthsToGo+SwaptionShift))/SQRT(SUM(INDEX($FK371:$ID371,1+SwaptionShift):INDEX($FK371:$ID371,SwaptionMonthsToGo+SwaptionShift))*SUM(INDEX($FK$325:$ID$396,GX$169,1+SwaptionShift):INDEX($FK$325:$ID$396,GX$169,SwaptionMonthsToGo+SwaptionShift))))))</f>
        <v/>
      </c>
      <c r="GY216" s="479" t="str">
        <f ca="1">IF(OR(GY$169&lt;SwaptionFirstMonthPosition+1,$FJ216&lt;SwaptionFirstMonthPosition+1,GY$169&gt;SwaptionFirstMonthPosition+SwaptionNumOfMonths+1,$FJ216&gt;SwaptionFirstMonthPosition+SwaptionNumOfMonths+1),"",IF($FJ216=GY$169,1,IF($FJ216&lt;GY$169,INDEX($FK$170:$ID$241,GY$169,$FJ216),SUMPRODUCT(INDEX($FK$325:$ID$396,GY$169,1+SwaptionShift):INDEX($FK$325:$ID$396,GY$169,SwaptionMonthsToGo+SwaptionShift),INDEX($FK$245:$ID$316,$FJ216-GY$169,73-GY$169+SwaptionShift):INDEX($FK$245:$ID$316,$FJ216-GY$169,72-GY$169+SwaptionMonthsToGo+SwaptionShift))/SQRT(SUM(INDEX($FK371:$ID371,1+SwaptionShift):INDEX($FK371:$ID371,SwaptionMonthsToGo+SwaptionShift))*SUM(INDEX($FK$325:$ID$396,GY$169,1+SwaptionShift):INDEX($FK$325:$ID$396,GY$169,SwaptionMonthsToGo+SwaptionShift))))))</f>
        <v/>
      </c>
      <c r="GZ216" s="479" t="str">
        <f ca="1">IF(OR(GZ$169&lt;SwaptionFirstMonthPosition+1,$FJ216&lt;SwaptionFirstMonthPosition+1,GZ$169&gt;SwaptionFirstMonthPosition+SwaptionNumOfMonths+1,$FJ216&gt;SwaptionFirstMonthPosition+SwaptionNumOfMonths+1),"",IF($FJ216=GZ$169,1,IF($FJ216&lt;GZ$169,INDEX($FK$170:$ID$241,GZ$169,$FJ216),SUMPRODUCT(INDEX($FK$325:$ID$396,GZ$169,1+SwaptionShift):INDEX($FK$325:$ID$396,GZ$169,SwaptionMonthsToGo+SwaptionShift),INDEX($FK$245:$ID$316,$FJ216-GZ$169,73-GZ$169+SwaptionShift):INDEX($FK$245:$ID$316,$FJ216-GZ$169,72-GZ$169+SwaptionMonthsToGo+SwaptionShift))/SQRT(SUM(INDEX($FK371:$ID371,1+SwaptionShift):INDEX($FK371:$ID371,SwaptionMonthsToGo+SwaptionShift))*SUM(INDEX($FK$325:$ID$396,GZ$169,1+SwaptionShift):INDEX($FK$325:$ID$396,GZ$169,SwaptionMonthsToGo+SwaptionShift))))))</f>
        <v/>
      </c>
      <c r="HA216" s="479" t="str">
        <f ca="1">IF(OR(HA$169&lt;SwaptionFirstMonthPosition+1,$FJ216&lt;SwaptionFirstMonthPosition+1,HA$169&gt;SwaptionFirstMonthPosition+SwaptionNumOfMonths+1,$FJ216&gt;SwaptionFirstMonthPosition+SwaptionNumOfMonths+1),"",IF($FJ216=HA$169,1,IF($FJ216&lt;HA$169,INDEX($FK$170:$ID$241,HA$169,$FJ216),SUMPRODUCT(INDEX($FK$325:$ID$396,HA$169,1+SwaptionShift):INDEX($FK$325:$ID$396,HA$169,SwaptionMonthsToGo+SwaptionShift),INDEX($FK$245:$ID$316,$FJ216-HA$169,73-HA$169+SwaptionShift):INDEX($FK$245:$ID$316,$FJ216-HA$169,72-HA$169+SwaptionMonthsToGo+SwaptionShift))/SQRT(SUM(INDEX($FK371:$ID371,1+SwaptionShift):INDEX($FK371:$ID371,SwaptionMonthsToGo+SwaptionShift))*SUM(INDEX($FK$325:$ID$396,HA$169,1+SwaptionShift):INDEX($FK$325:$ID$396,HA$169,SwaptionMonthsToGo+SwaptionShift))))))</f>
        <v/>
      </c>
      <c r="HB216" s="479" t="str">
        <f ca="1">IF(OR(HB$169&lt;SwaptionFirstMonthPosition+1,$FJ216&lt;SwaptionFirstMonthPosition+1,HB$169&gt;SwaptionFirstMonthPosition+SwaptionNumOfMonths+1,$FJ216&gt;SwaptionFirstMonthPosition+SwaptionNumOfMonths+1),"",IF($FJ216=HB$169,1,IF($FJ216&lt;HB$169,INDEX($FK$170:$ID$241,HB$169,$FJ216),SUMPRODUCT(INDEX($FK$325:$ID$396,HB$169,1+SwaptionShift):INDEX($FK$325:$ID$396,HB$169,SwaptionMonthsToGo+SwaptionShift),INDEX($FK$245:$ID$316,$FJ216-HB$169,73-HB$169+SwaptionShift):INDEX($FK$245:$ID$316,$FJ216-HB$169,72-HB$169+SwaptionMonthsToGo+SwaptionShift))/SQRT(SUM(INDEX($FK371:$ID371,1+SwaptionShift):INDEX($FK371:$ID371,SwaptionMonthsToGo+SwaptionShift))*SUM(INDEX($FK$325:$ID$396,HB$169,1+SwaptionShift):INDEX($FK$325:$ID$396,HB$169,SwaptionMonthsToGo+SwaptionShift))))))</f>
        <v/>
      </c>
      <c r="HC216" s="479" t="str">
        <f ca="1">IF(OR(HC$169&lt;SwaptionFirstMonthPosition+1,$FJ216&lt;SwaptionFirstMonthPosition+1,HC$169&gt;SwaptionFirstMonthPosition+SwaptionNumOfMonths+1,$FJ216&gt;SwaptionFirstMonthPosition+SwaptionNumOfMonths+1),"",IF($FJ216=HC$169,1,IF($FJ216&lt;HC$169,INDEX($FK$170:$ID$241,HC$169,$FJ216),SUMPRODUCT(INDEX($FK$325:$ID$396,HC$169,1+SwaptionShift):INDEX($FK$325:$ID$396,HC$169,SwaptionMonthsToGo+SwaptionShift),INDEX($FK$245:$ID$316,$FJ216-HC$169,73-HC$169+SwaptionShift):INDEX($FK$245:$ID$316,$FJ216-HC$169,72-HC$169+SwaptionMonthsToGo+SwaptionShift))/SQRT(SUM(INDEX($FK371:$ID371,1+SwaptionShift):INDEX($FK371:$ID371,SwaptionMonthsToGo+SwaptionShift))*SUM(INDEX($FK$325:$ID$396,HC$169,1+SwaptionShift):INDEX($FK$325:$ID$396,HC$169,SwaptionMonthsToGo+SwaptionShift))))))</f>
        <v/>
      </c>
      <c r="HD216" s="479" t="str">
        <f ca="1">IF(OR(HD$169&lt;SwaptionFirstMonthPosition+1,$FJ216&lt;SwaptionFirstMonthPosition+1,HD$169&gt;SwaptionFirstMonthPosition+SwaptionNumOfMonths+1,$FJ216&gt;SwaptionFirstMonthPosition+SwaptionNumOfMonths+1),"",IF($FJ216=HD$169,1,IF($FJ216&lt;HD$169,INDEX($FK$170:$ID$241,HD$169,$FJ216),SUMPRODUCT(INDEX($FK$325:$ID$396,HD$169,1+SwaptionShift):INDEX($FK$325:$ID$396,HD$169,SwaptionMonthsToGo+SwaptionShift),INDEX($FK$245:$ID$316,$FJ216-HD$169,73-HD$169+SwaptionShift):INDEX($FK$245:$ID$316,$FJ216-HD$169,72-HD$169+SwaptionMonthsToGo+SwaptionShift))/SQRT(SUM(INDEX($FK371:$ID371,1+SwaptionShift):INDEX($FK371:$ID371,SwaptionMonthsToGo+SwaptionShift))*SUM(INDEX($FK$325:$ID$396,HD$169,1+SwaptionShift):INDEX($FK$325:$ID$396,HD$169,SwaptionMonthsToGo+SwaptionShift))))))</f>
        <v/>
      </c>
      <c r="HE216" s="479" t="str">
        <f ca="1">IF(OR(HE$169&lt;SwaptionFirstMonthPosition+1,$FJ216&lt;SwaptionFirstMonthPosition+1,HE$169&gt;SwaptionFirstMonthPosition+SwaptionNumOfMonths+1,$FJ216&gt;SwaptionFirstMonthPosition+SwaptionNumOfMonths+1),"",IF($FJ216=HE$169,1,IF($FJ216&lt;HE$169,INDEX($FK$170:$ID$241,HE$169,$FJ216),SUMPRODUCT(INDEX($FK$325:$ID$396,HE$169,1+SwaptionShift):INDEX($FK$325:$ID$396,HE$169,SwaptionMonthsToGo+SwaptionShift),INDEX($FK$245:$ID$316,$FJ216-HE$169,73-HE$169+SwaptionShift):INDEX($FK$245:$ID$316,$FJ216-HE$169,72-HE$169+SwaptionMonthsToGo+SwaptionShift))/SQRT(SUM(INDEX($FK371:$ID371,1+SwaptionShift):INDEX($FK371:$ID371,SwaptionMonthsToGo+SwaptionShift))*SUM(INDEX($FK$325:$ID$396,HE$169,1+SwaptionShift):INDEX($FK$325:$ID$396,HE$169,SwaptionMonthsToGo+SwaptionShift))))))</f>
        <v/>
      </c>
      <c r="HF216" s="479" t="str">
        <f ca="1">IF(OR(HF$169&lt;SwaptionFirstMonthPosition+1,$FJ216&lt;SwaptionFirstMonthPosition+1,HF$169&gt;SwaptionFirstMonthPosition+SwaptionNumOfMonths+1,$FJ216&gt;SwaptionFirstMonthPosition+SwaptionNumOfMonths+1),"",IF($FJ216=HF$169,1,IF($FJ216&lt;HF$169,INDEX($FK$170:$ID$241,HF$169,$FJ216),SUMPRODUCT(INDEX($FK$325:$ID$396,HF$169,1+SwaptionShift):INDEX($FK$325:$ID$396,HF$169,SwaptionMonthsToGo+SwaptionShift),INDEX($FK$245:$ID$316,$FJ216-HF$169,73-HF$169+SwaptionShift):INDEX($FK$245:$ID$316,$FJ216-HF$169,72-HF$169+SwaptionMonthsToGo+SwaptionShift))/SQRT(SUM(INDEX($FK371:$ID371,1+SwaptionShift):INDEX($FK371:$ID371,SwaptionMonthsToGo+SwaptionShift))*SUM(INDEX($FK$325:$ID$396,HF$169,1+SwaptionShift):INDEX($FK$325:$ID$396,HF$169,SwaptionMonthsToGo+SwaptionShift))))))</f>
        <v/>
      </c>
      <c r="HG216" s="479" t="str">
        <f ca="1">IF(OR(HG$169&lt;SwaptionFirstMonthPosition+1,$FJ216&lt;SwaptionFirstMonthPosition+1,HG$169&gt;SwaptionFirstMonthPosition+SwaptionNumOfMonths+1,$FJ216&gt;SwaptionFirstMonthPosition+SwaptionNumOfMonths+1),"",IF($FJ216=HG$169,1,IF($FJ216&lt;HG$169,INDEX($FK$170:$ID$241,HG$169,$FJ216),SUMPRODUCT(INDEX($FK$325:$ID$396,HG$169,1+SwaptionShift):INDEX($FK$325:$ID$396,HG$169,SwaptionMonthsToGo+SwaptionShift),INDEX($FK$245:$ID$316,$FJ216-HG$169,73-HG$169+SwaptionShift):INDEX($FK$245:$ID$316,$FJ216-HG$169,72-HG$169+SwaptionMonthsToGo+SwaptionShift))/SQRT(SUM(INDEX($FK371:$ID371,1+SwaptionShift):INDEX($FK371:$ID371,SwaptionMonthsToGo+SwaptionShift))*SUM(INDEX($FK$325:$ID$396,HG$169,1+SwaptionShift):INDEX($FK$325:$ID$396,HG$169,SwaptionMonthsToGo+SwaptionShift))))))</f>
        <v/>
      </c>
      <c r="HH216" s="479" t="str">
        <f ca="1">IF(OR(HH$169&lt;SwaptionFirstMonthPosition+1,$FJ216&lt;SwaptionFirstMonthPosition+1,HH$169&gt;SwaptionFirstMonthPosition+SwaptionNumOfMonths+1,$FJ216&gt;SwaptionFirstMonthPosition+SwaptionNumOfMonths+1),"",IF($FJ216=HH$169,1,IF($FJ216&lt;HH$169,INDEX($FK$170:$ID$241,HH$169,$FJ216),SUMPRODUCT(INDEX($FK$325:$ID$396,HH$169,1+SwaptionShift):INDEX($FK$325:$ID$396,HH$169,SwaptionMonthsToGo+SwaptionShift),INDEX($FK$245:$ID$316,$FJ216-HH$169,73-HH$169+SwaptionShift):INDEX($FK$245:$ID$316,$FJ216-HH$169,72-HH$169+SwaptionMonthsToGo+SwaptionShift))/SQRT(SUM(INDEX($FK371:$ID371,1+SwaptionShift):INDEX($FK371:$ID371,SwaptionMonthsToGo+SwaptionShift))*SUM(INDEX($FK$325:$ID$396,HH$169,1+SwaptionShift):INDEX($FK$325:$ID$396,HH$169,SwaptionMonthsToGo+SwaptionShift))))))</f>
        <v/>
      </c>
      <c r="HI216" s="479" t="str">
        <f ca="1">IF(OR(HI$169&lt;SwaptionFirstMonthPosition+1,$FJ216&lt;SwaptionFirstMonthPosition+1,HI$169&gt;SwaptionFirstMonthPosition+SwaptionNumOfMonths+1,$FJ216&gt;SwaptionFirstMonthPosition+SwaptionNumOfMonths+1),"",IF($FJ216=HI$169,1,IF($FJ216&lt;HI$169,INDEX($FK$170:$ID$241,HI$169,$FJ216),SUMPRODUCT(INDEX($FK$325:$ID$396,HI$169,1+SwaptionShift):INDEX($FK$325:$ID$396,HI$169,SwaptionMonthsToGo+SwaptionShift),INDEX($FK$245:$ID$316,$FJ216-HI$169,73-HI$169+SwaptionShift):INDEX($FK$245:$ID$316,$FJ216-HI$169,72-HI$169+SwaptionMonthsToGo+SwaptionShift))/SQRT(SUM(INDEX($FK371:$ID371,1+SwaptionShift):INDEX($FK371:$ID371,SwaptionMonthsToGo+SwaptionShift))*SUM(INDEX($FK$325:$ID$396,HI$169,1+SwaptionShift):INDEX($FK$325:$ID$396,HI$169,SwaptionMonthsToGo+SwaptionShift))))))</f>
        <v/>
      </c>
      <c r="HJ216" s="479" t="str">
        <f ca="1">IF(OR(HJ$169&lt;SwaptionFirstMonthPosition+1,$FJ216&lt;SwaptionFirstMonthPosition+1,HJ$169&gt;SwaptionFirstMonthPosition+SwaptionNumOfMonths+1,$FJ216&gt;SwaptionFirstMonthPosition+SwaptionNumOfMonths+1),"",IF($FJ216=HJ$169,1,IF($FJ216&lt;HJ$169,INDEX($FK$170:$ID$241,HJ$169,$FJ216),SUMPRODUCT(INDEX($FK$325:$ID$396,HJ$169,1+SwaptionShift):INDEX($FK$325:$ID$396,HJ$169,SwaptionMonthsToGo+SwaptionShift),INDEX($FK$245:$ID$316,$FJ216-HJ$169,73-HJ$169+SwaptionShift):INDEX($FK$245:$ID$316,$FJ216-HJ$169,72-HJ$169+SwaptionMonthsToGo+SwaptionShift))/SQRT(SUM(INDEX($FK371:$ID371,1+SwaptionShift):INDEX($FK371:$ID371,SwaptionMonthsToGo+SwaptionShift))*SUM(INDEX($FK$325:$ID$396,HJ$169,1+SwaptionShift):INDEX($FK$325:$ID$396,HJ$169,SwaptionMonthsToGo+SwaptionShift))))))</f>
        <v/>
      </c>
      <c r="HK216" s="479" t="str">
        <f ca="1">IF(OR(HK$169&lt;SwaptionFirstMonthPosition+1,$FJ216&lt;SwaptionFirstMonthPosition+1,HK$169&gt;SwaptionFirstMonthPosition+SwaptionNumOfMonths+1,$FJ216&gt;SwaptionFirstMonthPosition+SwaptionNumOfMonths+1),"",IF($FJ216=HK$169,1,IF($FJ216&lt;HK$169,INDEX($FK$170:$ID$241,HK$169,$FJ216),SUMPRODUCT(INDEX($FK$325:$ID$396,HK$169,1+SwaptionShift):INDEX($FK$325:$ID$396,HK$169,SwaptionMonthsToGo+SwaptionShift),INDEX($FK$245:$ID$316,$FJ216-HK$169,73-HK$169+SwaptionShift):INDEX($FK$245:$ID$316,$FJ216-HK$169,72-HK$169+SwaptionMonthsToGo+SwaptionShift))/SQRT(SUM(INDEX($FK371:$ID371,1+SwaptionShift):INDEX($FK371:$ID371,SwaptionMonthsToGo+SwaptionShift))*SUM(INDEX($FK$325:$ID$396,HK$169,1+SwaptionShift):INDEX($FK$325:$ID$396,HK$169,SwaptionMonthsToGo+SwaptionShift))))))</f>
        <v/>
      </c>
      <c r="HL216" s="479" t="str">
        <f ca="1">IF(OR(HL$169&lt;SwaptionFirstMonthPosition+1,$FJ216&lt;SwaptionFirstMonthPosition+1,HL$169&gt;SwaptionFirstMonthPosition+SwaptionNumOfMonths+1,$FJ216&gt;SwaptionFirstMonthPosition+SwaptionNumOfMonths+1),"",IF($FJ216=HL$169,1,IF($FJ216&lt;HL$169,INDEX($FK$170:$ID$241,HL$169,$FJ216),SUMPRODUCT(INDEX($FK$325:$ID$396,HL$169,1+SwaptionShift):INDEX($FK$325:$ID$396,HL$169,SwaptionMonthsToGo+SwaptionShift),INDEX($FK$245:$ID$316,$FJ216-HL$169,73-HL$169+SwaptionShift):INDEX($FK$245:$ID$316,$FJ216-HL$169,72-HL$169+SwaptionMonthsToGo+SwaptionShift))/SQRT(SUM(INDEX($FK371:$ID371,1+SwaptionShift):INDEX($FK371:$ID371,SwaptionMonthsToGo+SwaptionShift))*SUM(INDEX($FK$325:$ID$396,HL$169,1+SwaptionShift):INDEX($FK$325:$ID$396,HL$169,SwaptionMonthsToGo+SwaptionShift))))))</f>
        <v/>
      </c>
      <c r="HM216" s="479" t="str">
        <f ca="1">IF(OR(HM$169&lt;SwaptionFirstMonthPosition+1,$FJ216&lt;SwaptionFirstMonthPosition+1,HM$169&gt;SwaptionFirstMonthPosition+SwaptionNumOfMonths+1,$FJ216&gt;SwaptionFirstMonthPosition+SwaptionNumOfMonths+1),"",IF($FJ216=HM$169,1,IF($FJ216&lt;HM$169,INDEX($FK$170:$ID$241,HM$169,$FJ216),SUMPRODUCT(INDEX($FK$325:$ID$396,HM$169,1+SwaptionShift):INDEX($FK$325:$ID$396,HM$169,SwaptionMonthsToGo+SwaptionShift),INDEX($FK$245:$ID$316,$FJ216-HM$169,73-HM$169+SwaptionShift):INDEX($FK$245:$ID$316,$FJ216-HM$169,72-HM$169+SwaptionMonthsToGo+SwaptionShift))/SQRT(SUM(INDEX($FK371:$ID371,1+SwaptionShift):INDEX($FK371:$ID371,SwaptionMonthsToGo+SwaptionShift))*SUM(INDEX($FK$325:$ID$396,HM$169,1+SwaptionShift):INDEX($FK$325:$ID$396,HM$169,SwaptionMonthsToGo+SwaptionShift))))))</f>
        <v/>
      </c>
      <c r="HN216" s="479" t="str">
        <f ca="1">IF(OR(HN$169&lt;SwaptionFirstMonthPosition+1,$FJ216&lt;SwaptionFirstMonthPosition+1,HN$169&gt;SwaptionFirstMonthPosition+SwaptionNumOfMonths+1,$FJ216&gt;SwaptionFirstMonthPosition+SwaptionNumOfMonths+1),"",IF($FJ216=HN$169,1,IF($FJ216&lt;HN$169,INDEX($FK$170:$ID$241,HN$169,$FJ216),SUMPRODUCT(INDEX($FK$325:$ID$396,HN$169,1+SwaptionShift):INDEX($FK$325:$ID$396,HN$169,SwaptionMonthsToGo+SwaptionShift),INDEX($FK$245:$ID$316,$FJ216-HN$169,73-HN$169+SwaptionShift):INDEX($FK$245:$ID$316,$FJ216-HN$169,72-HN$169+SwaptionMonthsToGo+SwaptionShift))/SQRT(SUM(INDEX($FK371:$ID371,1+SwaptionShift):INDEX($FK371:$ID371,SwaptionMonthsToGo+SwaptionShift))*SUM(INDEX($FK$325:$ID$396,HN$169,1+SwaptionShift):INDEX($FK$325:$ID$396,HN$169,SwaptionMonthsToGo+SwaptionShift))))))</f>
        <v/>
      </c>
      <c r="HO216" s="479" t="str">
        <f ca="1">IF(OR(HO$169&lt;SwaptionFirstMonthPosition+1,$FJ216&lt;SwaptionFirstMonthPosition+1,HO$169&gt;SwaptionFirstMonthPosition+SwaptionNumOfMonths+1,$FJ216&gt;SwaptionFirstMonthPosition+SwaptionNumOfMonths+1),"",IF($FJ216=HO$169,1,IF($FJ216&lt;HO$169,INDEX($FK$170:$ID$241,HO$169,$FJ216),SUMPRODUCT(INDEX($FK$325:$ID$396,HO$169,1+SwaptionShift):INDEX($FK$325:$ID$396,HO$169,SwaptionMonthsToGo+SwaptionShift),INDEX($FK$245:$ID$316,$FJ216-HO$169,73-HO$169+SwaptionShift):INDEX($FK$245:$ID$316,$FJ216-HO$169,72-HO$169+SwaptionMonthsToGo+SwaptionShift))/SQRT(SUM(INDEX($FK371:$ID371,1+SwaptionShift):INDEX($FK371:$ID371,SwaptionMonthsToGo+SwaptionShift))*SUM(INDEX($FK$325:$ID$396,HO$169,1+SwaptionShift):INDEX($FK$325:$ID$396,HO$169,SwaptionMonthsToGo+SwaptionShift))))))</f>
        <v/>
      </c>
      <c r="HP216" s="479" t="str">
        <f ca="1">IF(OR(HP$169&lt;SwaptionFirstMonthPosition+1,$FJ216&lt;SwaptionFirstMonthPosition+1,HP$169&gt;SwaptionFirstMonthPosition+SwaptionNumOfMonths+1,$FJ216&gt;SwaptionFirstMonthPosition+SwaptionNumOfMonths+1),"",IF($FJ216=HP$169,1,IF($FJ216&lt;HP$169,INDEX($FK$170:$ID$241,HP$169,$FJ216),SUMPRODUCT(INDEX($FK$325:$ID$396,HP$169,1+SwaptionShift):INDEX($FK$325:$ID$396,HP$169,SwaptionMonthsToGo+SwaptionShift),INDEX($FK$245:$ID$316,$FJ216-HP$169,73-HP$169+SwaptionShift):INDEX($FK$245:$ID$316,$FJ216-HP$169,72-HP$169+SwaptionMonthsToGo+SwaptionShift))/SQRT(SUM(INDEX($FK371:$ID371,1+SwaptionShift):INDEX($FK371:$ID371,SwaptionMonthsToGo+SwaptionShift))*SUM(INDEX($FK$325:$ID$396,HP$169,1+SwaptionShift):INDEX($FK$325:$ID$396,HP$169,SwaptionMonthsToGo+SwaptionShift))))))</f>
        <v/>
      </c>
      <c r="HQ216" s="479" t="str">
        <f ca="1">IF(OR(HQ$169&lt;SwaptionFirstMonthPosition+1,$FJ216&lt;SwaptionFirstMonthPosition+1,HQ$169&gt;SwaptionFirstMonthPosition+SwaptionNumOfMonths+1,$FJ216&gt;SwaptionFirstMonthPosition+SwaptionNumOfMonths+1),"",IF($FJ216=HQ$169,1,IF($FJ216&lt;HQ$169,INDEX($FK$170:$ID$241,HQ$169,$FJ216),SUMPRODUCT(INDEX($FK$325:$ID$396,HQ$169,1+SwaptionShift):INDEX($FK$325:$ID$396,HQ$169,SwaptionMonthsToGo+SwaptionShift),INDEX($FK$245:$ID$316,$FJ216-HQ$169,73-HQ$169+SwaptionShift):INDEX($FK$245:$ID$316,$FJ216-HQ$169,72-HQ$169+SwaptionMonthsToGo+SwaptionShift))/SQRT(SUM(INDEX($FK371:$ID371,1+SwaptionShift):INDEX($FK371:$ID371,SwaptionMonthsToGo+SwaptionShift))*SUM(INDEX($FK$325:$ID$396,HQ$169,1+SwaptionShift):INDEX($FK$325:$ID$396,HQ$169,SwaptionMonthsToGo+SwaptionShift))))))</f>
        <v/>
      </c>
      <c r="HR216" s="479" t="str">
        <f ca="1">IF(OR(HR$169&lt;SwaptionFirstMonthPosition+1,$FJ216&lt;SwaptionFirstMonthPosition+1,HR$169&gt;SwaptionFirstMonthPosition+SwaptionNumOfMonths+1,$FJ216&gt;SwaptionFirstMonthPosition+SwaptionNumOfMonths+1),"",IF($FJ216=HR$169,1,IF($FJ216&lt;HR$169,INDEX($FK$170:$ID$241,HR$169,$FJ216),SUMPRODUCT(INDEX($FK$325:$ID$396,HR$169,1+SwaptionShift):INDEX($FK$325:$ID$396,HR$169,SwaptionMonthsToGo+SwaptionShift),INDEX($FK$245:$ID$316,$FJ216-HR$169,73-HR$169+SwaptionShift):INDEX($FK$245:$ID$316,$FJ216-HR$169,72-HR$169+SwaptionMonthsToGo+SwaptionShift))/SQRT(SUM(INDEX($FK371:$ID371,1+SwaptionShift):INDEX($FK371:$ID371,SwaptionMonthsToGo+SwaptionShift))*SUM(INDEX($FK$325:$ID$396,HR$169,1+SwaptionShift):INDEX($FK$325:$ID$396,HR$169,SwaptionMonthsToGo+SwaptionShift))))))</f>
        <v/>
      </c>
      <c r="HS216" s="479" t="str">
        <f ca="1">IF(OR(HS$169&lt;SwaptionFirstMonthPosition+1,$FJ216&lt;SwaptionFirstMonthPosition+1,HS$169&gt;SwaptionFirstMonthPosition+SwaptionNumOfMonths+1,$FJ216&gt;SwaptionFirstMonthPosition+SwaptionNumOfMonths+1),"",IF($FJ216=HS$169,1,IF($FJ216&lt;HS$169,INDEX($FK$170:$ID$241,HS$169,$FJ216),SUMPRODUCT(INDEX($FK$325:$ID$396,HS$169,1+SwaptionShift):INDEX($FK$325:$ID$396,HS$169,SwaptionMonthsToGo+SwaptionShift),INDEX($FK$245:$ID$316,$FJ216-HS$169,73-HS$169+SwaptionShift):INDEX($FK$245:$ID$316,$FJ216-HS$169,72-HS$169+SwaptionMonthsToGo+SwaptionShift))/SQRT(SUM(INDEX($FK371:$ID371,1+SwaptionShift):INDEX($FK371:$ID371,SwaptionMonthsToGo+SwaptionShift))*SUM(INDEX($FK$325:$ID$396,HS$169,1+SwaptionShift):INDEX($FK$325:$ID$396,HS$169,SwaptionMonthsToGo+SwaptionShift))))))</f>
        <v/>
      </c>
      <c r="HT216" s="479" t="str">
        <f ca="1">IF(OR(HT$169&lt;SwaptionFirstMonthPosition+1,$FJ216&lt;SwaptionFirstMonthPosition+1,HT$169&gt;SwaptionFirstMonthPosition+SwaptionNumOfMonths+1,$FJ216&gt;SwaptionFirstMonthPosition+SwaptionNumOfMonths+1),"",IF($FJ216=HT$169,1,IF($FJ216&lt;HT$169,INDEX($FK$170:$ID$241,HT$169,$FJ216),SUMPRODUCT(INDEX($FK$325:$ID$396,HT$169,1+SwaptionShift):INDEX($FK$325:$ID$396,HT$169,SwaptionMonthsToGo+SwaptionShift),INDEX($FK$245:$ID$316,$FJ216-HT$169,73-HT$169+SwaptionShift):INDEX($FK$245:$ID$316,$FJ216-HT$169,72-HT$169+SwaptionMonthsToGo+SwaptionShift))/SQRT(SUM(INDEX($FK371:$ID371,1+SwaptionShift):INDEX($FK371:$ID371,SwaptionMonthsToGo+SwaptionShift))*SUM(INDEX($FK$325:$ID$396,HT$169,1+SwaptionShift):INDEX($FK$325:$ID$396,HT$169,SwaptionMonthsToGo+SwaptionShift))))))</f>
        <v/>
      </c>
      <c r="HU216" s="479" t="str">
        <f ca="1">IF(OR(HU$169&lt;SwaptionFirstMonthPosition+1,$FJ216&lt;SwaptionFirstMonthPosition+1,HU$169&gt;SwaptionFirstMonthPosition+SwaptionNumOfMonths+1,$FJ216&gt;SwaptionFirstMonthPosition+SwaptionNumOfMonths+1),"",IF($FJ216=HU$169,1,IF($FJ216&lt;HU$169,INDEX($FK$170:$ID$241,HU$169,$FJ216),SUMPRODUCT(INDEX($FK$325:$ID$396,HU$169,1+SwaptionShift):INDEX($FK$325:$ID$396,HU$169,SwaptionMonthsToGo+SwaptionShift),INDEX($FK$245:$ID$316,$FJ216-HU$169,73-HU$169+SwaptionShift):INDEX($FK$245:$ID$316,$FJ216-HU$169,72-HU$169+SwaptionMonthsToGo+SwaptionShift))/SQRT(SUM(INDEX($FK371:$ID371,1+SwaptionShift):INDEX($FK371:$ID371,SwaptionMonthsToGo+SwaptionShift))*SUM(INDEX($FK$325:$ID$396,HU$169,1+SwaptionShift):INDEX($FK$325:$ID$396,HU$169,SwaptionMonthsToGo+SwaptionShift))))))</f>
        <v/>
      </c>
      <c r="HV216" s="479" t="str">
        <f ca="1">IF(OR(HV$169&lt;SwaptionFirstMonthPosition+1,$FJ216&lt;SwaptionFirstMonthPosition+1,HV$169&gt;SwaptionFirstMonthPosition+SwaptionNumOfMonths+1,$FJ216&gt;SwaptionFirstMonthPosition+SwaptionNumOfMonths+1),"",IF($FJ216=HV$169,1,IF($FJ216&lt;HV$169,INDEX($FK$170:$ID$241,HV$169,$FJ216),SUMPRODUCT(INDEX($FK$325:$ID$396,HV$169,1+SwaptionShift):INDEX($FK$325:$ID$396,HV$169,SwaptionMonthsToGo+SwaptionShift),INDEX($FK$245:$ID$316,$FJ216-HV$169,73-HV$169+SwaptionShift):INDEX($FK$245:$ID$316,$FJ216-HV$169,72-HV$169+SwaptionMonthsToGo+SwaptionShift))/SQRT(SUM(INDEX($FK371:$ID371,1+SwaptionShift):INDEX($FK371:$ID371,SwaptionMonthsToGo+SwaptionShift))*SUM(INDEX($FK$325:$ID$396,HV$169,1+SwaptionShift):INDEX($FK$325:$ID$396,HV$169,SwaptionMonthsToGo+SwaptionShift))))))</f>
        <v/>
      </c>
      <c r="HW216" s="479" t="str">
        <f ca="1">IF(OR(HW$169&lt;SwaptionFirstMonthPosition+1,$FJ216&lt;SwaptionFirstMonthPosition+1,HW$169&gt;SwaptionFirstMonthPosition+SwaptionNumOfMonths+1,$FJ216&gt;SwaptionFirstMonthPosition+SwaptionNumOfMonths+1),"",IF($FJ216=HW$169,1,IF($FJ216&lt;HW$169,INDEX($FK$170:$ID$241,HW$169,$FJ216),SUMPRODUCT(INDEX($FK$325:$ID$396,HW$169,1+SwaptionShift):INDEX($FK$325:$ID$396,HW$169,SwaptionMonthsToGo+SwaptionShift),INDEX($FK$245:$ID$316,$FJ216-HW$169,73-HW$169+SwaptionShift):INDEX($FK$245:$ID$316,$FJ216-HW$169,72-HW$169+SwaptionMonthsToGo+SwaptionShift))/SQRT(SUM(INDEX($FK371:$ID371,1+SwaptionShift):INDEX($FK371:$ID371,SwaptionMonthsToGo+SwaptionShift))*SUM(INDEX($FK$325:$ID$396,HW$169,1+SwaptionShift):INDEX($FK$325:$ID$396,HW$169,SwaptionMonthsToGo+SwaptionShift))))))</f>
        <v/>
      </c>
      <c r="HX216" s="479" t="str">
        <f ca="1">IF(OR(HX$169&lt;SwaptionFirstMonthPosition+1,$FJ216&lt;SwaptionFirstMonthPosition+1,HX$169&gt;SwaptionFirstMonthPosition+SwaptionNumOfMonths+1,$FJ216&gt;SwaptionFirstMonthPosition+SwaptionNumOfMonths+1),"",IF($FJ216=HX$169,1,IF($FJ216&lt;HX$169,INDEX($FK$170:$ID$241,HX$169,$FJ216),SUMPRODUCT(INDEX($FK$325:$ID$396,HX$169,1+SwaptionShift):INDEX($FK$325:$ID$396,HX$169,SwaptionMonthsToGo+SwaptionShift),INDEX($FK$245:$ID$316,$FJ216-HX$169,73-HX$169+SwaptionShift):INDEX($FK$245:$ID$316,$FJ216-HX$169,72-HX$169+SwaptionMonthsToGo+SwaptionShift))/SQRT(SUM(INDEX($FK371:$ID371,1+SwaptionShift):INDEX($FK371:$ID371,SwaptionMonthsToGo+SwaptionShift))*SUM(INDEX($FK$325:$ID$396,HX$169,1+SwaptionShift):INDEX($FK$325:$ID$396,HX$169,SwaptionMonthsToGo+SwaptionShift))))))</f>
        <v/>
      </c>
      <c r="HY216" s="479" t="str">
        <f ca="1">IF(OR(HY$169&lt;SwaptionFirstMonthPosition+1,$FJ216&lt;SwaptionFirstMonthPosition+1,HY$169&gt;SwaptionFirstMonthPosition+SwaptionNumOfMonths+1,$FJ216&gt;SwaptionFirstMonthPosition+SwaptionNumOfMonths+1),"",IF($FJ216=HY$169,1,IF($FJ216&lt;HY$169,INDEX($FK$170:$ID$241,HY$169,$FJ216),SUMPRODUCT(INDEX($FK$325:$ID$396,HY$169,1+SwaptionShift):INDEX($FK$325:$ID$396,HY$169,SwaptionMonthsToGo+SwaptionShift),INDEX($FK$245:$ID$316,$FJ216-HY$169,73-HY$169+SwaptionShift):INDEX($FK$245:$ID$316,$FJ216-HY$169,72-HY$169+SwaptionMonthsToGo+SwaptionShift))/SQRT(SUM(INDEX($FK371:$ID371,1+SwaptionShift):INDEX($FK371:$ID371,SwaptionMonthsToGo+SwaptionShift))*SUM(INDEX($FK$325:$ID$396,HY$169,1+SwaptionShift):INDEX($FK$325:$ID$396,HY$169,SwaptionMonthsToGo+SwaptionShift))))))</f>
        <v/>
      </c>
      <c r="HZ216" s="479" t="str">
        <f ca="1">IF(OR(HZ$169&lt;SwaptionFirstMonthPosition+1,$FJ216&lt;SwaptionFirstMonthPosition+1,HZ$169&gt;SwaptionFirstMonthPosition+SwaptionNumOfMonths+1,$FJ216&gt;SwaptionFirstMonthPosition+SwaptionNumOfMonths+1),"",IF($FJ216=HZ$169,1,IF($FJ216&lt;HZ$169,INDEX($FK$170:$ID$241,HZ$169,$FJ216),SUMPRODUCT(INDEX($FK$325:$ID$396,HZ$169,1+SwaptionShift):INDEX($FK$325:$ID$396,HZ$169,SwaptionMonthsToGo+SwaptionShift),INDEX($FK$245:$ID$316,$FJ216-HZ$169,73-HZ$169+SwaptionShift):INDEX($FK$245:$ID$316,$FJ216-HZ$169,72-HZ$169+SwaptionMonthsToGo+SwaptionShift))/SQRT(SUM(INDEX($FK371:$ID371,1+SwaptionShift):INDEX($FK371:$ID371,SwaptionMonthsToGo+SwaptionShift))*SUM(INDEX($FK$325:$ID$396,HZ$169,1+SwaptionShift):INDEX($FK$325:$ID$396,HZ$169,SwaptionMonthsToGo+SwaptionShift))))))</f>
        <v/>
      </c>
      <c r="IA216" s="479" t="str">
        <f ca="1">IF(OR(IA$169&lt;SwaptionFirstMonthPosition+1,$FJ216&lt;SwaptionFirstMonthPosition+1,IA$169&gt;SwaptionFirstMonthPosition+SwaptionNumOfMonths+1,$FJ216&gt;SwaptionFirstMonthPosition+SwaptionNumOfMonths+1),"",IF($FJ216=IA$169,1,IF($FJ216&lt;IA$169,INDEX($FK$170:$ID$241,IA$169,$FJ216),SUMPRODUCT(INDEX($FK$325:$ID$396,IA$169,1+SwaptionShift):INDEX($FK$325:$ID$396,IA$169,SwaptionMonthsToGo+SwaptionShift),INDEX($FK$245:$ID$316,$FJ216-IA$169,73-IA$169+SwaptionShift):INDEX($FK$245:$ID$316,$FJ216-IA$169,72-IA$169+SwaptionMonthsToGo+SwaptionShift))/SQRT(SUM(INDEX($FK371:$ID371,1+SwaptionShift):INDEX($FK371:$ID371,SwaptionMonthsToGo+SwaptionShift))*SUM(INDEX($FK$325:$ID$396,IA$169,1+SwaptionShift):INDEX($FK$325:$ID$396,IA$169,SwaptionMonthsToGo+SwaptionShift))))))</f>
        <v/>
      </c>
      <c r="IB216" s="479" t="str">
        <f ca="1">IF(OR(IB$169&lt;SwaptionFirstMonthPosition+1,$FJ216&lt;SwaptionFirstMonthPosition+1,IB$169&gt;SwaptionFirstMonthPosition+SwaptionNumOfMonths+1,$FJ216&gt;SwaptionFirstMonthPosition+SwaptionNumOfMonths+1),"",IF($FJ216=IB$169,1,IF($FJ216&lt;IB$169,INDEX($FK$170:$ID$241,IB$169,$FJ216),SUMPRODUCT(INDEX($FK$325:$ID$396,IB$169,1+SwaptionShift):INDEX($FK$325:$ID$396,IB$169,SwaptionMonthsToGo+SwaptionShift),INDEX($FK$245:$ID$316,$FJ216-IB$169,73-IB$169+SwaptionShift):INDEX($FK$245:$ID$316,$FJ216-IB$169,72-IB$169+SwaptionMonthsToGo+SwaptionShift))/SQRT(SUM(INDEX($FK371:$ID371,1+SwaptionShift):INDEX($FK371:$ID371,SwaptionMonthsToGo+SwaptionShift))*SUM(INDEX($FK$325:$ID$396,IB$169,1+SwaptionShift):INDEX($FK$325:$ID$396,IB$169,SwaptionMonthsToGo+SwaptionShift))))))</f>
        <v/>
      </c>
      <c r="IC216" s="479" t="str">
        <f ca="1">IF(OR(IC$169&lt;SwaptionFirstMonthPosition+1,$FJ216&lt;SwaptionFirstMonthPosition+1,IC$169&gt;SwaptionFirstMonthPosition+SwaptionNumOfMonths+1,$FJ216&gt;SwaptionFirstMonthPosition+SwaptionNumOfMonths+1),"",IF($FJ216=IC$169,1,IF($FJ216&lt;IC$169,INDEX($FK$170:$ID$241,IC$169,$FJ216),SUMPRODUCT(INDEX($FK$325:$ID$396,IC$169,1+SwaptionShift):INDEX($FK$325:$ID$396,IC$169,SwaptionMonthsToGo+SwaptionShift),INDEX($FK$245:$ID$316,$FJ216-IC$169,73-IC$169+SwaptionShift):INDEX($FK$245:$ID$316,$FJ216-IC$169,72-IC$169+SwaptionMonthsToGo+SwaptionShift))/SQRT(SUM(INDEX($FK371:$ID371,1+SwaptionShift):INDEX($FK371:$ID371,SwaptionMonthsToGo+SwaptionShift))*SUM(INDEX($FK$325:$ID$396,IC$169,1+SwaptionShift):INDEX($FK$325:$ID$396,IC$169,SwaptionMonthsToGo+SwaptionShift))))))</f>
        <v/>
      </c>
      <c r="ID216" s="678" t="str">
        <f ca="1">IF(OR(ID$169&lt;SwaptionFirstMonthPosition+1,$FJ216&lt;SwaptionFirstMonthPosition+1,ID$169&gt;SwaptionFirstMonthPosition+SwaptionNumOfMonths+1,$FJ216&gt;SwaptionFirstMonthPosition+SwaptionNumOfMonths+1),"",IF($FJ216=ID$169,1,IF($FJ216&lt;ID$169,INDEX($FK$170:$ID$241,ID$169,$FJ216),SUMPRODUCT(INDEX($FK$325:$ID$396,ID$169,1+SwaptionShift):INDEX($FK$325:$ID$396,ID$169,SwaptionMonthsToGo+SwaptionShift),INDEX($FK$245:$ID$316,$FJ216-ID$169,73-ID$169+SwaptionShift):INDEX($FK$245:$ID$316,$FJ216-ID$169,72-ID$169+SwaptionMonthsToGo+SwaptionShift))/SQRT(SUM(INDEX($FK371:$ID371,1+SwaptionShift):INDEX($FK371:$ID371,SwaptionMonthsToGo+SwaptionShift))*SUM(INDEX($FK$325:$ID$396,ID$169,1+SwaptionShift):INDEX($FK$325:$ID$396,ID$169,SwaptionMonthsToGo+SwaptionShift))))))</f>
        <v/>
      </c>
      <c r="IE216" s="250"/>
    </row>
    <row r="217" spans="8:239">
      <c r="H217" s="51">
        <f t="shared" ca="1" si="646"/>
        <v>0</v>
      </c>
      <c r="I217" s="379">
        <f t="shared" si="647"/>
        <v>42767</v>
      </c>
      <c r="J217" s="377"/>
      <c r="K217" s="104" t="s">
        <v>268</v>
      </c>
      <c r="L217" s="392">
        <f t="shared" si="648"/>
        <v>4.5375000000000014</v>
      </c>
      <c r="M217" s="171"/>
      <c r="N217" s="382">
        <v>0</v>
      </c>
      <c r="O217" s="171">
        <f t="shared" si="596"/>
        <v>0</v>
      </c>
      <c r="P217" s="377"/>
      <c r="Q217" s="104" t="s">
        <v>268</v>
      </c>
      <c r="R217" s="377">
        <f t="shared" ca="1" si="597"/>
        <v>3.3425494018544089</v>
      </c>
      <c r="S217" s="832">
        <f t="shared" si="564"/>
        <v>0.3600000000000001</v>
      </c>
      <c r="T217" s="831">
        <f t="shared" si="661"/>
        <v>0.99999999999999545</v>
      </c>
      <c r="U217" s="545">
        <f t="shared" si="662"/>
        <v>0.99999999999999978</v>
      </c>
      <c r="V217" s="389">
        <v>0</v>
      </c>
      <c r="W217" s="434">
        <f t="shared" si="598"/>
        <v>0</v>
      </c>
      <c r="X217" s="415">
        <f t="shared" si="599"/>
        <v>4.5862500000000015</v>
      </c>
      <c r="Y217" s="322">
        <f t="shared" si="600"/>
        <v>-1.1684999999999999</v>
      </c>
      <c r="Z217" s="322">
        <f t="shared" ca="1" si="601"/>
        <v>3.4177500000000016</v>
      </c>
      <c r="AA217" s="429">
        <f t="shared" si="628"/>
        <v>1.1684999999999999</v>
      </c>
      <c r="AB217" s="433">
        <f t="shared" ca="1" si="629"/>
        <v>1.1684999999999999</v>
      </c>
      <c r="AC217" s="229">
        <v>42755</v>
      </c>
      <c r="AD217" s="229">
        <v>42751</v>
      </c>
      <c r="AE217" s="229">
        <v>42750</v>
      </c>
      <c r="AF217" s="229">
        <v>42746</v>
      </c>
      <c r="AG217" s="249" t="s">
        <v>499</v>
      </c>
      <c r="AH217" s="247" t="s">
        <v>499</v>
      </c>
      <c r="AI217" s="146">
        <v>20</v>
      </c>
      <c r="AJ217" s="41">
        <v>14</v>
      </c>
      <c r="AK217" s="41">
        <v>6</v>
      </c>
      <c r="AL217" s="293">
        <v>20</v>
      </c>
      <c r="AM217" s="41">
        <v>10</v>
      </c>
      <c r="AN217" s="147">
        <v>10</v>
      </c>
      <c r="AO217" s="374"/>
      <c r="AP217" s="153">
        <f t="shared" ca="1" si="649"/>
        <v>1</v>
      </c>
      <c r="AQ217" s="374"/>
      <c r="AR217" s="153">
        <f t="shared" ca="1" si="663"/>
        <v>1</v>
      </c>
      <c r="AS217" s="272">
        <f t="shared" si="602"/>
        <v>0</v>
      </c>
      <c r="AT217" s="157">
        <f t="shared" si="650"/>
        <v>0</v>
      </c>
      <c r="AU217" s="157">
        <f t="shared" si="630"/>
        <v>0</v>
      </c>
      <c r="AV217" s="271">
        <f t="shared" ca="1" si="670"/>
        <v>9.9999999999999995E-7</v>
      </c>
      <c r="AW217" s="158" t="str">
        <f t="shared" ca="1" si="583"/>
        <v/>
      </c>
      <c r="AX217" s="157">
        <f t="shared" ca="1" si="664"/>
        <v>3.2926272580249404E-5</v>
      </c>
      <c r="AY217" s="157">
        <f t="shared" ca="1" si="665"/>
        <v>6.851082944458268E-6</v>
      </c>
      <c r="AZ217" s="157">
        <f t="shared" ca="1" si="666"/>
        <v>1.670743379456903E-7</v>
      </c>
      <c r="BA217" s="157">
        <f t="shared" ca="1" si="667"/>
        <v>2.0884292243211287E-8</v>
      </c>
      <c r="BB217" s="157">
        <f t="shared" ca="1" si="668"/>
        <v>5.7303491587125268E-11</v>
      </c>
      <c r="BC217" s="157">
        <f t="shared" ca="1" si="669"/>
        <v>8.7230732499960137E-13</v>
      </c>
      <c r="BD217" s="151">
        <f t="shared" ca="1" si="603"/>
        <v>0</v>
      </c>
      <c r="BE217" s="152">
        <f t="shared" ca="1" si="604"/>
        <v>0</v>
      </c>
      <c r="BF217" s="40">
        <f t="shared" si="605"/>
        <v>2017</v>
      </c>
      <c r="BG217" s="144">
        <f t="shared" si="606"/>
        <v>2</v>
      </c>
      <c r="BH217" s="145">
        <f t="shared" ca="1" si="607"/>
        <v>6006</v>
      </c>
      <c r="BI217" s="313">
        <f t="shared" ca="1" si="608"/>
        <v>16.487337440109513</v>
      </c>
      <c r="BJ217" s="42">
        <f t="shared" ca="1" si="631"/>
        <v>16.539082819986309</v>
      </c>
      <c r="BK217" s="42">
        <f t="shared" ca="1" si="632"/>
        <v>16.54182067077344</v>
      </c>
      <c r="BL217" s="42">
        <f t="shared" ca="1" si="609"/>
        <v>16.56125941136208</v>
      </c>
      <c r="BM217" s="150" t="e">
        <f t="shared" ca="1" si="633"/>
        <v>#DIV/0!</v>
      </c>
      <c r="BN217" s="42" t="e">
        <f t="shared" ca="1" si="634"/>
        <v>#DIV/0!</v>
      </c>
      <c r="BO217" s="293">
        <f t="shared" si="610"/>
        <v>20</v>
      </c>
      <c r="BP217" s="41">
        <f t="shared" si="611"/>
        <v>14</v>
      </c>
      <c r="BQ217" s="41">
        <f t="shared" si="612"/>
        <v>6</v>
      </c>
      <c r="BR217" s="305" t="str">
        <f t="shared" ca="1" si="635"/>
        <v/>
      </c>
      <c r="BS217" s="305" t="str">
        <f t="shared" ca="1" si="613"/>
        <v/>
      </c>
      <c r="BT217" s="307" t="str">
        <f t="shared" ca="1" si="614"/>
        <v/>
      </c>
      <c r="BU217" s="161" t="str">
        <f t="shared" ca="1" si="636"/>
        <v/>
      </c>
      <c r="BV217" s="161" t="str">
        <f t="shared" ca="1" si="637"/>
        <v/>
      </c>
      <c r="BW217" s="308" t="str">
        <f t="shared" ca="1" si="638"/>
        <v/>
      </c>
      <c r="BX217" s="309" t="str">
        <f t="shared" ca="1" si="639"/>
        <v/>
      </c>
      <c r="BY217" s="308" t="str">
        <f t="shared" ca="1" si="615"/>
        <v/>
      </c>
      <c r="BZ217" s="309" t="str">
        <f t="shared" ca="1" si="616"/>
        <v/>
      </c>
      <c r="CA217" s="154" t="str">
        <f t="shared" ca="1" si="640"/>
        <v/>
      </c>
      <c r="CB217" s="154" t="str">
        <f t="shared" ca="1" si="641"/>
        <v/>
      </c>
      <c r="CC217" s="154" t="str">
        <f t="shared" ca="1" si="642"/>
        <v/>
      </c>
      <c r="CD217" s="154" t="str">
        <f t="shared" ca="1" si="643"/>
        <v/>
      </c>
      <c r="CE217" s="310">
        <v>1</v>
      </c>
      <c r="CF217" s="162">
        <f ca="1">IF(BD217,_xll.xCrudeAPO(BU217,BV217,CA217,CB217,S218,S219,BI217,BL217,BP217,BQ217,0,Strike1,AO217,CE217,0,BL217,IF(OptControl=4,0,1),0,1),0)</f>
        <v>0</v>
      </c>
      <c r="CG217" s="163">
        <f ca="1">IF(BD217,_xll.xCrudeAPO(BU217,BV217,CA217,CB217,S218,S219,BI217,BL217,BP217,BQ217,0,Strike1,AO217,CE217,0,BL217,IF(OptControl=4,0,1),1,1)+_xll.xCrudeAPO(BU217,BV217,CA217,CB217,S218,S219,BI217,BL217,BP217,BQ217,0,Strike1,AO217,CE217,0,BL217,IF(OptControl=4,0,1),1,2)+IF(OR(VolSkewFlag=2,ABS(BS217)&lt;0.0001),0,IF(BS217&gt;0,-1,1)*CH217*Strike1/BR217^2*BY217/10%),0)</f>
        <v>0</v>
      </c>
      <c r="CH217" s="163">
        <f ca="1">IF(BD217,(_xll.xCrudeAPO(BU217,BV217,CA217,CB217,S218,S219,BI217,BL217,BP217,BQ217,0,Strike1,AO217,CE217,0,BL217,IF(OptControl=4,0,1),3,1)+_xll.xCrudeAPO(BU217,BV217,CA217,CB217,S218,S219,BI217,BL217,BP217,BQ217,0,Strike1,AO217,CE217,0,BL217,IF(OptControl=4,0,1),3,2))/100,0)</f>
        <v>0</v>
      </c>
      <c r="CI217" s="163">
        <f ca="1">IF(BD217,_xll.xCrudeAPO(BU217,BV217,CA217,CB217,S218,S219,BI217-DaysForThetaCalculation/365.25,BL217-DaysForThetaCalculation/365.25,BP217,BQ217,0,Strike1,AO217,CE217,0,BL217,IF(OptControl=4,0,1),0,1)-_xll.xCrudeAPO(BU217,BV217,CA217,CB217,S218,S219,BI217,BL217,BP217,BQ217,0,Strike1,AO217,CE217,0,BL217,IF(OptControl=4,0,1),0,1),0)</f>
        <v>0</v>
      </c>
      <c r="CJ217" s="311">
        <f ca="1">IF(BD217,_xll.xCrudeAPO(BU217,BV217,CC217,CD217,S218,S219,BI217,BL217,BP217,BQ217,0,Strike2,AO217,CE217,0,BL217,IF(OptControl=3,1,0),0,1),0)</f>
        <v>0</v>
      </c>
      <c r="CK217" s="163">
        <f ca="1">IF(BD217,_xll.xCrudeAPO(BU217,BV217,CC217,CD217,S218,S219,BI217,BL217,BP217,BQ217,0,Strike2,AO217,CE217,0,BL217,IF(OptControl=3,1,0),1,1)+_xll.xCrudeAPO(BU217,BV217,CC217,CD217,S218,S219,BI217,BL217,BP217,BQ217,0,Strike2,AO217,CE217,0,BL217,IF(OptControl=3,1,0),1,2)+IF(OR(VolSkewFlag=2,ABS(BT217)&lt;0.0001),0,IF(BT217&gt;0,-1,1)*CL217*Strike2/BR217^2*BZ217/10%),0)</f>
        <v>0</v>
      </c>
      <c r="CL217" s="163">
        <f ca="1">IF(BD217,(_xll.xCrudeAPO(BU217,BV217,CC217,CD217,S218,S219,BI217,BL217,BP217,BQ217,0,Strike2,AO217,CE217,0,BL217,IF(OptControl=3,1,0),3,1)+_xll.xCrudeAPO(BU217,BV217,CC217,CD217,S218,S219,BI217,BL217,BP217,BQ217,0,Strike2,AO217,CE217,0,BL217,IF(OptControl=3,1,0),3,2))/100,0)</f>
        <v>0</v>
      </c>
      <c r="CM217" s="164">
        <f ca="1">IF(BD217,_xll.xCrudeAPO(BU217,BV217,CC217,CD217,S218,S219,BI217-DaysForThetaCalculation/365.25,BL217-DaysForThetaCalculation/365.25,BP217,BQ217,0,Strike2,AO217,CE217,0,BL217,IF(OptControl=3,1,0),0,1)-_xll.xCrudeAPO(BU217,BV217,CC217,CD217,S218,S219,BI217,BL217,BP217,BQ217,0,Strike2,AO217,CE217,0,BL217,IF(OptControl=3,1,0),0,1),0)</f>
        <v>0</v>
      </c>
      <c r="CN217" s="53"/>
      <c r="CO217" s="796" t="str">
        <f t="shared" ca="1" si="651"/>
        <v/>
      </c>
      <c r="CP217" s="800" t="str">
        <f t="shared" ca="1" si="652"/>
        <v/>
      </c>
      <c r="CQ217" s="797" t="str">
        <f t="shared" ca="1" si="653"/>
        <v/>
      </c>
      <c r="CR217" s="797" t="str">
        <f t="shared" ca="1" si="654"/>
        <v/>
      </c>
      <c r="CS217" s="797" t="str">
        <f t="shared" ca="1" si="655"/>
        <v/>
      </c>
      <c r="CT217" s="797" t="str">
        <f t="shared" ca="1" si="656"/>
        <v/>
      </c>
      <c r="CU217" s="798" t="str">
        <f t="shared" ca="1" si="657"/>
        <v/>
      </c>
      <c r="CV217" s="799" t="str">
        <f t="shared" ca="1" si="658"/>
        <v/>
      </c>
      <c r="CW217" s="799" t="str">
        <f t="shared" ca="1" si="659"/>
        <v/>
      </c>
      <c r="CX217" s="163">
        <f ca="1">IF(BD217,_xll.EURO(CP217,Strike1,AO217,AO217,CV217,CO217,IF(OptControl=4,0,1),0),0)</f>
        <v>0</v>
      </c>
      <c r="CY217" s="163">
        <f ca="1">IF(BD217,_xll.EURO(CP217,Strike1,AO217,AO217,CV217,CO217,IF(OptControl=4,0,1),1)+IF(OR(VolSkewFlag=2,ABS(CQ217)&lt;0.0001),0,IF(CQ217&gt;0,-1,1)*CZ217*100*Strike1/CP217^2*CS217/10%),0)</f>
        <v>0</v>
      </c>
      <c r="CZ217" s="163">
        <f ca="1">IF(BD217,_xll.EURO(CP217,Strike1,AO217,AO217,CV217,CO217,IF(OptControl=4,0,1),3)/100,0)</f>
        <v>0</v>
      </c>
      <c r="DA217" s="163">
        <f ca="1">IF(BD217,_xll.EURO(CP217,Strike1,AO217,AO217,CV217,CO217,IF(OptControl=4,0,1),0)-_xll.EURO(CP217,Strike1,AO217,AO217,CV217,CO217-1,IF(OptControl=4,0,1),0),0)</f>
        <v>0</v>
      </c>
      <c r="DB217" s="163">
        <f ca="1">IF(BD217,_xll.EURO(CP217,Strike2,AO217,AO217,CW217,CO217,IF(OptControl=3,1,0),0),0)</f>
        <v>0</v>
      </c>
      <c r="DC217" s="163">
        <f ca="1">IF(BD217,_xll.EURO(CP217,Strike2,AO217,AO217,CW217,CO217,IF(OptControl=3,1,0),1)+IF(OR(VolSkewFlag=2,ABS(CR217)&lt;0.0001),0,IF(CR217&gt;0,-1,1)*DD217*100*Strike2/CP217^2*CT217/10%),0)</f>
        <v>0</v>
      </c>
      <c r="DD217" s="163">
        <f ca="1">IF(BD217,_xll.EURO(CP217,Strike2,AO217,AO217,CW217,CO217,IF(OptControl=3,1,0),3)/100,0)</f>
        <v>0</v>
      </c>
      <c r="DE217" s="164">
        <f ca="1">IF(BD217,_xll.EURO(CP217,Strike2,AO217,AO217,CW217,CO217,IF(OptControl=3,1,0),0)-_xll.EURO(CP217,Strike2,AO217,AO217,CW217,CO217-1,IF(OptControl=3,1,0),0),0)</f>
        <v>0</v>
      </c>
      <c r="DG217" s="667">
        <f t="shared" ca="1" si="660"/>
        <v>42552</v>
      </c>
      <c r="DH217" s="475">
        <v>24.010000000000087</v>
      </c>
      <c r="DI217" s="665">
        <v>24.077500000000086</v>
      </c>
      <c r="DJ217" s="666">
        <f t="shared" ca="1" si="617"/>
        <v>42552</v>
      </c>
      <c r="DK217" s="475">
        <v>22.80908542525928</v>
      </c>
      <c r="DL217" s="665">
        <v>22.810600000000086</v>
      </c>
      <c r="DM217" s="667">
        <f t="shared" ca="1" si="618"/>
        <v>42552</v>
      </c>
      <c r="DN217" s="668">
        <f t="shared" si="619"/>
        <v>22.859085425259281</v>
      </c>
      <c r="DO217" s="667">
        <f t="shared" ca="1" si="620"/>
        <v>42552</v>
      </c>
      <c r="DP217" s="579">
        <f t="shared" si="621"/>
        <v>22.810600000000086</v>
      </c>
      <c r="DQ217" s="821">
        <v>0</v>
      </c>
      <c r="DR217" s="666">
        <f t="shared" ca="1" si="622"/>
        <v>42552</v>
      </c>
      <c r="DS217" s="669">
        <v>0.10639999999999802</v>
      </c>
      <c r="DT217" s="606">
        <v>0.10558999999999803</v>
      </c>
      <c r="DU217" s="666">
        <f t="shared" ca="1" si="623"/>
        <v>42552</v>
      </c>
      <c r="DV217" s="669">
        <v>0.10639999999999802</v>
      </c>
      <c r="DW217" s="606">
        <v>0.10558999999999803</v>
      </c>
      <c r="DX217" s="667">
        <f t="shared" ca="1" si="624"/>
        <v>42552</v>
      </c>
      <c r="DY217" s="606">
        <v>0.35</v>
      </c>
      <c r="DZ217" s="667">
        <f t="shared" ca="1" si="625"/>
        <v>42552</v>
      </c>
      <c r="EA217" s="606">
        <f t="shared" si="626"/>
        <v>0.10558999999999803</v>
      </c>
      <c r="EB217" s="1"/>
      <c r="EC217" s="118" t="str">
        <f t="shared" ca="1" si="627"/>
        <v/>
      </c>
      <c r="ED217" s="119" t="str">
        <f t="shared" ca="1" si="644"/>
        <v/>
      </c>
      <c r="EE217" s="112" t="str">
        <f t="shared" ca="1" si="645"/>
        <v/>
      </c>
      <c r="EF217" s="120">
        <f ca="1">IF(BD217,_xll.xASN(BR217,Strike1,AO217,ED217,0,BO217,0,BI217,BL217,IF(OptControl=4,0,1),0),0)</f>
        <v>0</v>
      </c>
      <c r="EG217" s="111">
        <f ca="1">IF(BD217,_xll.xASN(BR217,Strike2,AO217,EE217,0,BO217,0,BI217,BL217,IF(OptControl=3,1,0),0),0)</f>
        <v>0</v>
      </c>
      <c r="EL217" s="55"/>
      <c r="EM217" s="1"/>
      <c r="EN217" s="106"/>
      <c r="EO217" s="106"/>
      <c r="EP217" s="1"/>
      <c r="EQ217" s="683" t="s">
        <v>431</v>
      </c>
      <c r="ES217" s="55"/>
      <c r="EU217" s="107"/>
      <c r="FJ217" s="673">
        <v>48</v>
      </c>
      <c r="FK217" s="479" t="str">
        <f ca="1">IF(OR(FK$169&lt;SwaptionFirstMonthPosition+1,$FJ217&lt;SwaptionFirstMonthPosition+1,FK$169&gt;SwaptionFirstMonthPosition+SwaptionNumOfMonths+1,$FJ217&gt;SwaptionFirstMonthPosition+SwaptionNumOfMonths+1),"",IF($FJ217=FK$169,1,IF($FJ217&lt;FK$169,INDEX($FK$170:$ID$241,FK$169,$FJ217),SUMPRODUCT(INDEX($FK$325:$ID$396,FK$169,1+SwaptionShift):INDEX($FK$325:$ID$396,FK$169,SwaptionMonthsToGo+SwaptionShift),INDEX($FK$245:$ID$316,$FJ217-FK$169,73-FK$169+SwaptionShift):INDEX($FK$245:$ID$316,$FJ217-FK$169,72-FK$169+SwaptionMonthsToGo+SwaptionShift))/SQRT(SUM(INDEX($FK372:$ID372,1+SwaptionShift):INDEX($FK372:$ID372,SwaptionMonthsToGo+SwaptionShift))*SUM(INDEX($FK$325:$ID$396,FK$169,1+SwaptionShift):INDEX($FK$325:$ID$396,FK$169,SwaptionMonthsToGo+SwaptionShift))))))</f>
        <v/>
      </c>
      <c r="FL217" s="479" t="str">
        <f ca="1">IF(OR(FL$169&lt;SwaptionFirstMonthPosition+1,$FJ217&lt;SwaptionFirstMonthPosition+1,FL$169&gt;SwaptionFirstMonthPosition+SwaptionNumOfMonths+1,$FJ217&gt;SwaptionFirstMonthPosition+SwaptionNumOfMonths+1),"",IF($FJ217=FL$169,1,IF($FJ217&lt;FL$169,INDEX($FK$170:$ID$241,FL$169,$FJ217),SUMPRODUCT(INDEX($FK$325:$ID$396,FL$169,1+SwaptionShift):INDEX($FK$325:$ID$396,FL$169,SwaptionMonthsToGo+SwaptionShift),INDEX($FK$245:$ID$316,$FJ217-FL$169,73-FL$169+SwaptionShift):INDEX($FK$245:$ID$316,$FJ217-FL$169,72-FL$169+SwaptionMonthsToGo+SwaptionShift))/SQRT(SUM(INDEX($FK372:$ID372,1+SwaptionShift):INDEX($FK372:$ID372,SwaptionMonthsToGo+SwaptionShift))*SUM(INDEX($FK$325:$ID$396,FL$169,1+SwaptionShift):INDEX($FK$325:$ID$396,FL$169,SwaptionMonthsToGo+SwaptionShift))))))</f>
        <v/>
      </c>
      <c r="FM217" s="479" t="str">
        <f ca="1">IF(OR(FM$169&lt;SwaptionFirstMonthPosition+1,$FJ217&lt;SwaptionFirstMonthPosition+1,FM$169&gt;SwaptionFirstMonthPosition+SwaptionNumOfMonths+1,$FJ217&gt;SwaptionFirstMonthPosition+SwaptionNumOfMonths+1),"",IF($FJ217=FM$169,1,IF($FJ217&lt;FM$169,INDEX($FK$170:$ID$241,FM$169,$FJ217),SUMPRODUCT(INDEX($FK$325:$ID$396,FM$169,1+SwaptionShift):INDEX($FK$325:$ID$396,FM$169,SwaptionMonthsToGo+SwaptionShift),INDEX($FK$245:$ID$316,$FJ217-FM$169,73-FM$169+SwaptionShift):INDEX($FK$245:$ID$316,$FJ217-FM$169,72-FM$169+SwaptionMonthsToGo+SwaptionShift))/SQRT(SUM(INDEX($FK372:$ID372,1+SwaptionShift):INDEX($FK372:$ID372,SwaptionMonthsToGo+SwaptionShift))*SUM(INDEX($FK$325:$ID$396,FM$169,1+SwaptionShift):INDEX($FK$325:$ID$396,FM$169,SwaptionMonthsToGo+SwaptionShift))))))</f>
        <v/>
      </c>
      <c r="FN217" s="479" t="str">
        <f ca="1">IF(OR(FN$169&lt;SwaptionFirstMonthPosition+1,$FJ217&lt;SwaptionFirstMonthPosition+1,FN$169&gt;SwaptionFirstMonthPosition+SwaptionNumOfMonths+1,$FJ217&gt;SwaptionFirstMonthPosition+SwaptionNumOfMonths+1),"",IF($FJ217=FN$169,1,IF($FJ217&lt;FN$169,INDEX($FK$170:$ID$241,FN$169,$FJ217),SUMPRODUCT(INDEX($FK$325:$ID$396,FN$169,1+SwaptionShift):INDEX($FK$325:$ID$396,FN$169,SwaptionMonthsToGo+SwaptionShift),INDEX($FK$245:$ID$316,$FJ217-FN$169,73-FN$169+SwaptionShift):INDEX($FK$245:$ID$316,$FJ217-FN$169,72-FN$169+SwaptionMonthsToGo+SwaptionShift))/SQRT(SUM(INDEX($FK372:$ID372,1+SwaptionShift):INDEX($FK372:$ID372,SwaptionMonthsToGo+SwaptionShift))*SUM(INDEX($FK$325:$ID$396,FN$169,1+SwaptionShift):INDEX($FK$325:$ID$396,FN$169,SwaptionMonthsToGo+SwaptionShift))))))</f>
        <v/>
      </c>
      <c r="FO217" s="479" t="str">
        <f ca="1">IF(OR(FO$169&lt;SwaptionFirstMonthPosition+1,$FJ217&lt;SwaptionFirstMonthPosition+1,FO$169&gt;SwaptionFirstMonthPosition+SwaptionNumOfMonths+1,$FJ217&gt;SwaptionFirstMonthPosition+SwaptionNumOfMonths+1),"",IF($FJ217=FO$169,1,IF($FJ217&lt;FO$169,INDEX($FK$170:$ID$241,FO$169,$FJ217),SUMPRODUCT(INDEX($FK$325:$ID$396,FO$169,1+SwaptionShift):INDEX($FK$325:$ID$396,FO$169,SwaptionMonthsToGo+SwaptionShift),INDEX($FK$245:$ID$316,$FJ217-FO$169,73-FO$169+SwaptionShift):INDEX($FK$245:$ID$316,$FJ217-FO$169,72-FO$169+SwaptionMonthsToGo+SwaptionShift))/SQRT(SUM(INDEX($FK372:$ID372,1+SwaptionShift):INDEX($FK372:$ID372,SwaptionMonthsToGo+SwaptionShift))*SUM(INDEX($FK$325:$ID$396,FO$169,1+SwaptionShift):INDEX($FK$325:$ID$396,FO$169,SwaptionMonthsToGo+SwaptionShift))))))</f>
        <v/>
      </c>
      <c r="FP217" s="479" t="str">
        <f ca="1">IF(OR(FP$169&lt;SwaptionFirstMonthPosition+1,$FJ217&lt;SwaptionFirstMonthPosition+1,FP$169&gt;SwaptionFirstMonthPosition+SwaptionNumOfMonths+1,$FJ217&gt;SwaptionFirstMonthPosition+SwaptionNumOfMonths+1),"",IF($FJ217=FP$169,1,IF($FJ217&lt;FP$169,INDEX($FK$170:$ID$241,FP$169,$FJ217),SUMPRODUCT(INDEX($FK$325:$ID$396,FP$169,1+SwaptionShift):INDEX($FK$325:$ID$396,FP$169,SwaptionMonthsToGo+SwaptionShift),INDEX($FK$245:$ID$316,$FJ217-FP$169,73-FP$169+SwaptionShift):INDEX($FK$245:$ID$316,$FJ217-FP$169,72-FP$169+SwaptionMonthsToGo+SwaptionShift))/SQRT(SUM(INDEX($FK372:$ID372,1+SwaptionShift):INDEX($FK372:$ID372,SwaptionMonthsToGo+SwaptionShift))*SUM(INDEX($FK$325:$ID$396,FP$169,1+SwaptionShift):INDEX($FK$325:$ID$396,FP$169,SwaptionMonthsToGo+SwaptionShift))))))</f>
        <v/>
      </c>
      <c r="FQ217" s="479" t="str">
        <f ca="1">IF(OR(FQ$169&lt;SwaptionFirstMonthPosition+1,$FJ217&lt;SwaptionFirstMonthPosition+1,FQ$169&gt;SwaptionFirstMonthPosition+SwaptionNumOfMonths+1,$FJ217&gt;SwaptionFirstMonthPosition+SwaptionNumOfMonths+1),"",IF($FJ217=FQ$169,1,IF($FJ217&lt;FQ$169,INDEX($FK$170:$ID$241,FQ$169,$FJ217),SUMPRODUCT(INDEX($FK$325:$ID$396,FQ$169,1+SwaptionShift):INDEX($FK$325:$ID$396,FQ$169,SwaptionMonthsToGo+SwaptionShift),INDEX($FK$245:$ID$316,$FJ217-FQ$169,73-FQ$169+SwaptionShift):INDEX($FK$245:$ID$316,$FJ217-FQ$169,72-FQ$169+SwaptionMonthsToGo+SwaptionShift))/SQRT(SUM(INDEX($FK372:$ID372,1+SwaptionShift):INDEX($FK372:$ID372,SwaptionMonthsToGo+SwaptionShift))*SUM(INDEX($FK$325:$ID$396,FQ$169,1+SwaptionShift):INDEX($FK$325:$ID$396,FQ$169,SwaptionMonthsToGo+SwaptionShift))))))</f>
        <v/>
      </c>
      <c r="FR217" s="479" t="str">
        <f ca="1">IF(OR(FR$169&lt;SwaptionFirstMonthPosition+1,$FJ217&lt;SwaptionFirstMonthPosition+1,FR$169&gt;SwaptionFirstMonthPosition+SwaptionNumOfMonths+1,$FJ217&gt;SwaptionFirstMonthPosition+SwaptionNumOfMonths+1),"",IF($FJ217=FR$169,1,IF($FJ217&lt;FR$169,INDEX($FK$170:$ID$241,FR$169,$FJ217),SUMPRODUCT(INDEX($FK$325:$ID$396,FR$169,1+SwaptionShift):INDEX($FK$325:$ID$396,FR$169,SwaptionMonthsToGo+SwaptionShift),INDEX($FK$245:$ID$316,$FJ217-FR$169,73-FR$169+SwaptionShift):INDEX($FK$245:$ID$316,$FJ217-FR$169,72-FR$169+SwaptionMonthsToGo+SwaptionShift))/SQRT(SUM(INDEX($FK372:$ID372,1+SwaptionShift):INDEX($FK372:$ID372,SwaptionMonthsToGo+SwaptionShift))*SUM(INDEX($FK$325:$ID$396,FR$169,1+SwaptionShift):INDEX($FK$325:$ID$396,FR$169,SwaptionMonthsToGo+SwaptionShift))))))</f>
        <v/>
      </c>
      <c r="FS217" s="479" t="str">
        <f ca="1">IF(OR(FS$169&lt;SwaptionFirstMonthPosition+1,$FJ217&lt;SwaptionFirstMonthPosition+1,FS$169&gt;SwaptionFirstMonthPosition+SwaptionNumOfMonths+1,$FJ217&gt;SwaptionFirstMonthPosition+SwaptionNumOfMonths+1),"",IF($FJ217=FS$169,1,IF($FJ217&lt;FS$169,INDEX($FK$170:$ID$241,FS$169,$FJ217),SUMPRODUCT(INDEX($FK$325:$ID$396,FS$169,1+SwaptionShift):INDEX($FK$325:$ID$396,FS$169,SwaptionMonthsToGo+SwaptionShift),INDEX($FK$245:$ID$316,$FJ217-FS$169,73-FS$169+SwaptionShift):INDEX($FK$245:$ID$316,$FJ217-FS$169,72-FS$169+SwaptionMonthsToGo+SwaptionShift))/SQRT(SUM(INDEX($FK372:$ID372,1+SwaptionShift):INDEX($FK372:$ID372,SwaptionMonthsToGo+SwaptionShift))*SUM(INDEX($FK$325:$ID$396,FS$169,1+SwaptionShift):INDEX($FK$325:$ID$396,FS$169,SwaptionMonthsToGo+SwaptionShift))))))</f>
        <v/>
      </c>
      <c r="FT217" s="479" t="str">
        <f ca="1">IF(OR(FT$169&lt;SwaptionFirstMonthPosition+1,$FJ217&lt;SwaptionFirstMonthPosition+1,FT$169&gt;SwaptionFirstMonthPosition+SwaptionNumOfMonths+1,$FJ217&gt;SwaptionFirstMonthPosition+SwaptionNumOfMonths+1),"",IF($FJ217=FT$169,1,IF($FJ217&lt;FT$169,INDEX($FK$170:$ID$241,FT$169,$FJ217),SUMPRODUCT(INDEX($FK$325:$ID$396,FT$169,1+SwaptionShift):INDEX($FK$325:$ID$396,FT$169,SwaptionMonthsToGo+SwaptionShift),INDEX($FK$245:$ID$316,$FJ217-FT$169,73-FT$169+SwaptionShift):INDEX($FK$245:$ID$316,$FJ217-FT$169,72-FT$169+SwaptionMonthsToGo+SwaptionShift))/SQRT(SUM(INDEX($FK372:$ID372,1+SwaptionShift):INDEX($FK372:$ID372,SwaptionMonthsToGo+SwaptionShift))*SUM(INDEX($FK$325:$ID$396,FT$169,1+SwaptionShift):INDEX($FK$325:$ID$396,FT$169,SwaptionMonthsToGo+SwaptionShift))))))</f>
        <v/>
      </c>
      <c r="FU217" s="479" t="str">
        <f ca="1">IF(OR(FU$169&lt;SwaptionFirstMonthPosition+1,$FJ217&lt;SwaptionFirstMonthPosition+1,FU$169&gt;SwaptionFirstMonthPosition+SwaptionNumOfMonths+1,$FJ217&gt;SwaptionFirstMonthPosition+SwaptionNumOfMonths+1),"",IF($FJ217=FU$169,1,IF($FJ217&lt;FU$169,INDEX($FK$170:$ID$241,FU$169,$FJ217),SUMPRODUCT(INDEX($FK$325:$ID$396,FU$169,1+SwaptionShift):INDEX($FK$325:$ID$396,FU$169,SwaptionMonthsToGo+SwaptionShift),INDEX($FK$245:$ID$316,$FJ217-FU$169,73-FU$169+SwaptionShift):INDEX($FK$245:$ID$316,$FJ217-FU$169,72-FU$169+SwaptionMonthsToGo+SwaptionShift))/SQRT(SUM(INDEX($FK372:$ID372,1+SwaptionShift):INDEX($FK372:$ID372,SwaptionMonthsToGo+SwaptionShift))*SUM(INDEX($FK$325:$ID$396,FU$169,1+SwaptionShift):INDEX($FK$325:$ID$396,FU$169,SwaptionMonthsToGo+SwaptionShift))))))</f>
        <v/>
      </c>
      <c r="FV217" s="479" t="str">
        <f ca="1">IF(OR(FV$169&lt;SwaptionFirstMonthPosition+1,$FJ217&lt;SwaptionFirstMonthPosition+1,FV$169&gt;SwaptionFirstMonthPosition+SwaptionNumOfMonths+1,$FJ217&gt;SwaptionFirstMonthPosition+SwaptionNumOfMonths+1),"",IF($FJ217=FV$169,1,IF($FJ217&lt;FV$169,INDEX($FK$170:$ID$241,FV$169,$FJ217),SUMPRODUCT(INDEX($FK$325:$ID$396,FV$169,1+SwaptionShift):INDEX($FK$325:$ID$396,FV$169,SwaptionMonthsToGo+SwaptionShift),INDEX($FK$245:$ID$316,$FJ217-FV$169,73-FV$169+SwaptionShift):INDEX($FK$245:$ID$316,$FJ217-FV$169,72-FV$169+SwaptionMonthsToGo+SwaptionShift))/SQRT(SUM(INDEX($FK372:$ID372,1+SwaptionShift):INDEX($FK372:$ID372,SwaptionMonthsToGo+SwaptionShift))*SUM(INDEX($FK$325:$ID$396,FV$169,1+SwaptionShift):INDEX($FK$325:$ID$396,FV$169,SwaptionMonthsToGo+SwaptionShift))))))</f>
        <v/>
      </c>
      <c r="FW217" s="479" t="str">
        <f ca="1">IF(OR(FW$169&lt;SwaptionFirstMonthPosition+1,$FJ217&lt;SwaptionFirstMonthPosition+1,FW$169&gt;SwaptionFirstMonthPosition+SwaptionNumOfMonths+1,$FJ217&gt;SwaptionFirstMonthPosition+SwaptionNumOfMonths+1),"",IF($FJ217=FW$169,1,IF($FJ217&lt;FW$169,INDEX($FK$170:$ID$241,FW$169,$FJ217),SUMPRODUCT(INDEX($FK$325:$ID$396,FW$169,1+SwaptionShift):INDEX($FK$325:$ID$396,FW$169,SwaptionMonthsToGo+SwaptionShift),INDEX($FK$245:$ID$316,$FJ217-FW$169,73-FW$169+SwaptionShift):INDEX($FK$245:$ID$316,$FJ217-FW$169,72-FW$169+SwaptionMonthsToGo+SwaptionShift))/SQRT(SUM(INDEX($FK372:$ID372,1+SwaptionShift):INDEX($FK372:$ID372,SwaptionMonthsToGo+SwaptionShift))*SUM(INDEX($FK$325:$ID$396,FW$169,1+SwaptionShift):INDEX($FK$325:$ID$396,FW$169,SwaptionMonthsToGo+SwaptionShift))))))</f>
        <v/>
      </c>
      <c r="FX217" s="479" t="str">
        <f ca="1">IF(OR(FX$169&lt;SwaptionFirstMonthPosition+1,$FJ217&lt;SwaptionFirstMonthPosition+1,FX$169&gt;SwaptionFirstMonthPosition+SwaptionNumOfMonths+1,$FJ217&gt;SwaptionFirstMonthPosition+SwaptionNumOfMonths+1),"",IF($FJ217=FX$169,1,IF($FJ217&lt;FX$169,INDEX($FK$170:$ID$241,FX$169,$FJ217),SUMPRODUCT(INDEX($FK$325:$ID$396,FX$169,1+SwaptionShift):INDEX($FK$325:$ID$396,FX$169,SwaptionMonthsToGo+SwaptionShift),INDEX($FK$245:$ID$316,$FJ217-FX$169,73-FX$169+SwaptionShift):INDEX($FK$245:$ID$316,$FJ217-FX$169,72-FX$169+SwaptionMonthsToGo+SwaptionShift))/SQRT(SUM(INDEX($FK372:$ID372,1+SwaptionShift):INDEX($FK372:$ID372,SwaptionMonthsToGo+SwaptionShift))*SUM(INDEX($FK$325:$ID$396,FX$169,1+SwaptionShift):INDEX($FK$325:$ID$396,FX$169,SwaptionMonthsToGo+SwaptionShift))))))</f>
        <v/>
      </c>
      <c r="FY217" s="479" t="str">
        <f ca="1">IF(OR(FY$169&lt;SwaptionFirstMonthPosition+1,$FJ217&lt;SwaptionFirstMonthPosition+1,FY$169&gt;SwaptionFirstMonthPosition+SwaptionNumOfMonths+1,$FJ217&gt;SwaptionFirstMonthPosition+SwaptionNumOfMonths+1),"",IF($FJ217=FY$169,1,IF($FJ217&lt;FY$169,INDEX($FK$170:$ID$241,FY$169,$FJ217),SUMPRODUCT(INDEX($FK$325:$ID$396,FY$169,1+SwaptionShift):INDEX($FK$325:$ID$396,FY$169,SwaptionMonthsToGo+SwaptionShift),INDEX($FK$245:$ID$316,$FJ217-FY$169,73-FY$169+SwaptionShift):INDEX($FK$245:$ID$316,$FJ217-FY$169,72-FY$169+SwaptionMonthsToGo+SwaptionShift))/SQRT(SUM(INDEX($FK372:$ID372,1+SwaptionShift):INDEX($FK372:$ID372,SwaptionMonthsToGo+SwaptionShift))*SUM(INDEX($FK$325:$ID$396,FY$169,1+SwaptionShift):INDEX($FK$325:$ID$396,FY$169,SwaptionMonthsToGo+SwaptionShift))))))</f>
        <v/>
      </c>
      <c r="FZ217" s="479" t="str">
        <f ca="1">IF(OR(FZ$169&lt;SwaptionFirstMonthPosition+1,$FJ217&lt;SwaptionFirstMonthPosition+1,FZ$169&gt;SwaptionFirstMonthPosition+SwaptionNumOfMonths+1,$FJ217&gt;SwaptionFirstMonthPosition+SwaptionNumOfMonths+1),"",IF($FJ217=FZ$169,1,IF($FJ217&lt;FZ$169,INDEX($FK$170:$ID$241,FZ$169,$FJ217),SUMPRODUCT(INDEX($FK$325:$ID$396,FZ$169,1+SwaptionShift):INDEX($FK$325:$ID$396,FZ$169,SwaptionMonthsToGo+SwaptionShift),INDEX($FK$245:$ID$316,$FJ217-FZ$169,73-FZ$169+SwaptionShift):INDEX($FK$245:$ID$316,$FJ217-FZ$169,72-FZ$169+SwaptionMonthsToGo+SwaptionShift))/SQRT(SUM(INDEX($FK372:$ID372,1+SwaptionShift):INDEX($FK372:$ID372,SwaptionMonthsToGo+SwaptionShift))*SUM(INDEX($FK$325:$ID$396,FZ$169,1+SwaptionShift):INDEX($FK$325:$ID$396,FZ$169,SwaptionMonthsToGo+SwaptionShift))))))</f>
        <v/>
      </c>
      <c r="GA217" s="479" t="str">
        <f ca="1">IF(OR(GA$169&lt;SwaptionFirstMonthPosition+1,$FJ217&lt;SwaptionFirstMonthPosition+1,GA$169&gt;SwaptionFirstMonthPosition+SwaptionNumOfMonths+1,$FJ217&gt;SwaptionFirstMonthPosition+SwaptionNumOfMonths+1),"",IF($FJ217=GA$169,1,IF($FJ217&lt;GA$169,INDEX($FK$170:$ID$241,GA$169,$FJ217),SUMPRODUCT(INDEX($FK$325:$ID$396,GA$169,1+SwaptionShift):INDEX($FK$325:$ID$396,GA$169,SwaptionMonthsToGo+SwaptionShift),INDEX($FK$245:$ID$316,$FJ217-GA$169,73-GA$169+SwaptionShift):INDEX($FK$245:$ID$316,$FJ217-GA$169,72-GA$169+SwaptionMonthsToGo+SwaptionShift))/SQRT(SUM(INDEX($FK372:$ID372,1+SwaptionShift):INDEX($FK372:$ID372,SwaptionMonthsToGo+SwaptionShift))*SUM(INDEX($FK$325:$ID$396,GA$169,1+SwaptionShift):INDEX($FK$325:$ID$396,GA$169,SwaptionMonthsToGo+SwaptionShift))))))</f>
        <v/>
      </c>
      <c r="GB217" s="479" t="str">
        <f ca="1">IF(OR(GB$169&lt;SwaptionFirstMonthPosition+1,$FJ217&lt;SwaptionFirstMonthPosition+1,GB$169&gt;SwaptionFirstMonthPosition+SwaptionNumOfMonths+1,$FJ217&gt;SwaptionFirstMonthPosition+SwaptionNumOfMonths+1),"",IF($FJ217=GB$169,1,IF($FJ217&lt;GB$169,INDEX($FK$170:$ID$241,GB$169,$FJ217),SUMPRODUCT(INDEX($FK$325:$ID$396,GB$169,1+SwaptionShift):INDEX($FK$325:$ID$396,GB$169,SwaptionMonthsToGo+SwaptionShift),INDEX($FK$245:$ID$316,$FJ217-GB$169,73-GB$169+SwaptionShift):INDEX($FK$245:$ID$316,$FJ217-GB$169,72-GB$169+SwaptionMonthsToGo+SwaptionShift))/SQRT(SUM(INDEX($FK372:$ID372,1+SwaptionShift):INDEX($FK372:$ID372,SwaptionMonthsToGo+SwaptionShift))*SUM(INDEX($FK$325:$ID$396,GB$169,1+SwaptionShift):INDEX($FK$325:$ID$396,GB$169,SwaptionMonthsToGo+SwaptionShift))))))</f>
        <v/>
      </c>
      <c r="GC217" s="479" t="str">
        <f ca="1">IF(OR(GC$169&lt;SwaptionFirstMonthPosition+1,$FJ217&lt;SwaptionFirstMonthPosition+1,GC$169&gt;SwaptionFirstMonthPosition+SwaptionNumOfMonths+1,$FJ217&gt;SwaptionFirstMonthPosition+SwaptionNumOfMonths+1),"",IF($FJ217=GC$169,1,IF($FJ217&lt;GC$169,INDEX($FK$170:$ID$241,GC$169,$FJ217),SUMPRODUCT(INDEX($FK$325:$ID$396,GC$169,1+SwaptionShift):INDEX($FK$325:$ID$396,GC$169,SwaptionMonthsToGo+SwaptionShift),INDEX($FK$245:$ID$316,$FJ217-GC$169,73-GC$169+SwaptionShift):INDEX($FK$245:$ID$316,$FJ217-GC$169,72-GC$169+SwaptionMonthsToGo+SwaptionShift))/SQRT(SUM(INDEX($FK372:$ID372,1+SwaptionShift):INDEX($FK372:$ID372,SwaptionMonthsToGo+SwaptionShift))*SUM(INDEX($FK$325:$ID$396,GC$169,1+SwaptionShift):INDEX($FK$325:$ID$396,GC$169,SwaptionMonthsToGo+SwaptionShift))))))</f>
        <v/>
      </c>
      <c r="GD217" s="479" t="str">
        <f ca="1">IF(OR(GD$169&lt;SwaptionFirstMonthPosition+1,$FJ217&lt;SwaptionFirstMonthPosition+1,GD$169&gt;SwaptionFirstMonthPosition+SwaptionNumOfMonths+1,$FJ217&gt;SwaptionFirstMonthPosition+SwaptionNumOfMonths+1),"",IF($FJ217=GD$169,1,IF($FJ217&lt;GD$169,INDEX($FK$170:$ID$241,GD$169,$FJ217),SUMPRODUCT(INDEX($FK$325:$ID$396,GD$169,1+SwaptionShift):INDEX($FK$325:$ID$396,GD$169,SwaptionMonthsToGo+SwaptionShift),INDEX($FK$245:$ID$316,$FJ217-GD$169,73-GD$169+SwaptionShift):INDEX($FK$245:$ID$316,$FJ217-GD$169,72-GD$169+SwaptionMonthsToGo+SwaptionShift))/SQRT(SUM(INDEX($FK372:$ID372,1+SwaptionShift):INDEX($FK372:$ID372,SwaptionMonthsToGo+SwaptionShift))*SUM(INDEX($FK$325:$ID$396,GD$169,1+SwaptionShift):INDEX($FK$325:$ID$396,GD$169,SwaptionMonthsToGo+SwaptionShift))))))</f>
        <v/>
      </c>
      <c r="GE217" s="479" t="str">
        <f ca="1">IF(OR(GE$169&lt;SwaptionFirstMonthPosition+1,$FJ217&lt;SwaptionFirstMonthPosition+1,GE$169&gt;SwaptionFirstMonthPosition+SwaptionNumOfMonths+1,$FJ217&gt;SwaptionFirstMonthPosition+SwaptionNumOfMonths+1),"",IF($FJ217=GE$169,1,IF($FJ217&lt;GE$169,INDEX($FK$170:$ID$241,GE$169,$FJ217),SUMPRODUCT(INDEX($FK$325:$ID$396,GE$169,1+SwaptionShift):INDEX($FK$325:$ID$396,GE$169,SwaptionMonthsToGo+SwaptionShift),INDEX($FK$245:$ID$316,$FJ217-GE$169,73-GE$169+SwaptionShift):INDEX($FK$245:$ID$316,$FJ217-GE$169,72-GE$169+SwaptionMonthsToGo+SwaptionShift))/SQRT(SUM(INDEX($FK372:$ID372,1+SwaptionShift):INDEX($FK372:$ID372,SwaptionMonthsToGo+SwaptionShift))*SUM(INDEX($FK$325:$ID$396,GE$169,1+SwaptionShift):INDEX($FK$325:$ID$396,GE$169,SwaptionMonthsToGo+SwaptionShift))))))</f>
        <v/>
      </c>
      <c r="GF217" s="479" t="str">
        <f ca="1">IF(OR(GF$169&lt;SwaptionFirstMonthPosition+1,$FJ217&lt;SwaptionFirstMonthPosition+1,GF$169&gt;SwaptionFirstMonthPosition+SwaptionNumOfMonths+1,$FJ217&gt;SwaptionFirstMonthPosition+SwaptionNumOfMonths+1),"",IF($FJ217=GF$169,1,IF($FJ217&lt;GF$169,INDEX($FK$170:$ID$241,GF$169,$FJ217),SUMPRODUCT(INDEX($FK$325:$ID$396,GF$169,1+SwaptionShift):INDEX($FK$325:$ID$396,GF$169,SwaptionMonthsToGo+SwaptionShift),INDEX($FK$245:$ID$316,$FJ217-GF$169,73-GF$169+SwaptionShift):INDEX($FK$245:$ID$316,$FJ217-GF$169,72-GF$169+SwaptionMonthsToGo+SwaptionShift))/SQRT(SUM(INDEX($FK372:$ID372,1+SwaptionShift):INDEX($FK372:$ID372,SwaptionMonthsToGo+SwaptionShift))*SUM(INDEX($FK$325:$ID$396,GF$169,1+SwaptionShift):INDEX($FK$325:$ID$396,GF$169,SwaptionMonthsToGo+SwaptionShift))))))</f>
        <v/>
      </c>
      <c r="GG217" s="479" t="str">
        <f ca="1">IF(OR(GG$169&lt;SwaptionFirstMonthPosition+1,$FJ217&lt;SwaptionFirstMonthPosition+1,GG$169&gt;SwaptionFirstMonthPosition+SwaptionNumOfMonths+1,$FJ217&gt;SwaptionFirstMonthPosition+SwaptionNumOfMonths+1),"",IF($FJ217=GG$169,1,IF($FJ217&lt;GG$169,INDEX($FK$170:$ID$241,GG$169,$FJ217),SUMPRODUCT(INDEX($FK$325:$ID$396,GG$169,1+SwaptionShift):INDEX($FK$325:$ID$396,GG$169,SwaptionMonthsToGo+SwaptionShift),INDEX($FK$245:$ID$316,$FJ217-GG$169,73-GG$169+SwaptionShift):INDEX($FK$245:$ID$316,$FJ217-GG$169,72-GG$169+SwaptionMonthsToGo+SwaptionShift))/SQRT(SUM(INDEX($FK372:$ID372,1+SwaptionShift):INDEX($FK372:$ID372,SwaptionMonthsToGo+SwaptionShift))*SUM(INDEX($FK$325:$ID$396,GG$169,1+SwaptionShift):INDEX($FK$325:$ID$396,GG$169,SwaptionMonthsToGo+SwaptionShift))))))</f>
        <v/>
      </c>
      <c r="GH217" s="479" t="str">
        <f ca="1">IF(OR(GH$169&lt;SwaptionFirstMonthPosition+1,$FJ217&lt;SwaptionFirstMonthPosition+1,GH$169&gt;SwaptionFirstMonthPosition+SwaptionNumOfMonths+1,$FJ217&gt;SwaptionFirstMonthPosition+SwaptionNumOfMonths+1),"",IF($FJ217=GH$169,1,IF($FJ217&lt;GH$169,INDEX($FK$170:$ID$241,GH$169,$FJ217),SUMPRODUCT(INDEX($FK$325:$ID$396,GH$169,1+SwaptionShift):INDEX($FK$325:$ID$396,GH$169,SwaptionMonthsToGo+SwaptionShift),INDEX($FK$245:$ID$316,$FJ217-GH$169,73-GH$169+SwaptionShift):INDEX($FK$245:$ID$316,$FJ217-GH$169,72-GH$169+SwaptionMonthsToGo+SwaptionShift))/SQRT(SUM(INDEX($FK372:$ID372,1+SwaptionShift):INDEX($FK372:$ID372,SwaptionMonthsToGo+SwaptionShift))*SUM(INDEX($FK$325:$ID$396,GH$169,1+SwaptionShift):INDEX($FK$325:$ID$396,GH$169,SwaptionMonthsToGo+SwaptionShift))))))</f>
        <v/>
      </c>
      <c r="GI217" s="479" t="str">
        <f ca="1">IF(OR(GI$169&lt;SwaptionFirstMonthPosition+1,$FJ217&lt;SwaptionFirstMonthPosition+1,GI$169&gt;SwaptionFirstMonthPosition+SwaptionNumOfMonths+1,$FJ217&gt;SwaptionFirstMonthPosition+SwaptionNumOfMonths+1),"",IF($FJ217=GI$169,1,IF($FJ217&lt;GI$169,INDEX($FK$170:$ID$241,GI$169,$FJ217),SUMPRODUCT(INDEX($FK$325:$ID$396,GI$169,1+SwaptionShift):INDEX($FK$325:$ID$396,GI$169,SwaptionMonthsToGo+SwaptionShift),INDEX($FK$245:$ID$316,$FJ217-GI$169,73-GI$169+SwaptionShift):INDEX($FK$245:$ID$316,$FJ217-GI$169,72-GI$169+SwaptionMonthsToGo+SwaptionShift))/SQRT(SUM(INDEX($FK372:$ID372,1+SwaptionShift):INDEX($FK372:$ID372,SwaptionMonthsToGo+SwaptionShift))*SUM(INDEX($FK$325:$ID$396,GI$169,1+SwaptionShift):INDEX($FK$325:$ID$396,GI$169,SwaptionMonthsToGo+SwaptionShift))))))</f>
        <v/>
      </c>
      <c r="GJ217" s="479" t="str">
        <f ca="1">IF(OR(GJ$169&lt;SwaptionFirstMonthPosition+1,$FJ217&lt;SwaptionFirstMonthPosition+1,GJ$169&gt;SwaptionFirstMonthPosition+SwaptionNumOfMonths+1,$FJ217&gt;SwaptionFirstMonthPosition+SwaptionNumOfMonths+1),"",IF($FJ217=GJ$169,1,IF($FJ217&lt;GJ$169,INDEX($FK$170:$ID$241,GJ$169,$FJ217),SUMPRODUCT(INDEX($FK$325:$ID$396,GJ$169,1+SwaptionShift):INDEX($FK$325:$ID$396,GJ$169,SwaptionMonthsToGo+SwaptionShift),INDEX($FK$245:$ID$316,$FJ217-GJ$169,73-GJ$169+SwaptionShift):INDEX($FK$245:$ID$316,$FJ217-GJ$169,72-GJ$169+SwaptionMonthsToGo+SwaptionShift))/SQRT(SUM(INDEX($FK372:$ID372,1+SwaptionShift):INDEX($FK372:$ID372,SwaptionMonthsToGo+SwaptionShift))*SUM(INDEX($FK$325:$ID$396,GJ$169,1+SwaptionShift):INDEX($FK$325:$ID$396,GJ$169,SwaptionMonthsToGo+SwaptionShift))))))</f>
        <v/>
      </c>
      <c r="GK217" s="479" t="str">
        <f ca="1">IF(OR(GK$169&lt;SwaptionFirstMonthPosition+1,$FJ217&lt;SwaptionFirstMonthPosition+1,GK$169&gt;SwaptionFirstMonthPosition+SwaptionNumOfMonths+1,$FJ217&gt;SwaptionFirstMonthPosition+SwaptionNumOfMonths+1),"",IF($FJ217=GK$169,1,IF($FJ217&lt;GK$169,INDEX($FK$170:$ID$241,GK$169,$FJ217),SUMPRODUCT(INDEX($FK$325:$ID$396,GK$169,1+SwaptionShift):INDEX($FK$325:$ID$396,GK$169,SwaptionMonthsToGo+SwaptionShift),INDEX($FK$245:$ID$316,$FJ217-GK$169,73-GK$169+SwaptionShift):INDEX($FK$245:$ID$316,$FJ217-GK$169,72-GK$169+SwaptionMonthsToGo+SwaptionShift))/SQRT(SUM(INDEX($FK372:$ID372,1+SwaptionShift):INDEX($FK372:$ID372,SwaptionMonthsToGo+SwaptionShift))*SUM(INDEX($FK$325:$ID$396,GK$169,1+SwaptionShift):INDEX($FK$325:$ID$396,GK$169,SwaptionMonthsToGo+SwaptionShift))))))</f>
        <v/>
      </c>
      <c r="GL217" s="479" t="str">
        <f ca="1">IF(OR(GL$169&lt;SwaptionFirstMonthPosition+1,$FJ217&lt;SwaptionFirstMonthPosition+1,GL$169&gt;SwaptionFirstMonthPosition+SwaptionNumOfMonths+1,$FJ217&gt;SwaptionFirstMonthPosition+SwaptionNumOfMonths+1),"",IF($FJ217=GL$169,1,IF($FJ217&lt;GL$169,INDEX($FK$170:$ID$241,GL$169,$FJ217),SUMPRODUCT(INDEX($FK$325:$ID$396,GL$169,1+SwaptionShift):INDEX($FK$325:$ID$396,GL$169,SwaptionMonthsToGo+SwaptionShift),INDEX($FK$245:$ID$316,$FJ217-GL$169,73-GL$169+SwaptionShift):INDEX($FK$245:$ID$316,$FJ217-GL$169,72-GL$169+SwaptionMonthsToGo+SwaptionShift))/SQRT(SUM(INDEX($FK372:$ID372,1+SwaptionShift):INDEX($FK372:$ID372,SwaptionMonthsToGo+SwaptionShift))*SUM(INDEX($FK$325:$ID$396,GL$169,1+SwaptionShift):INDEX($FK$325:$ID$396,GL$169,SwaptionMonthsToGo+SwaptionShift))))))</f>
        <v/>
      </c>
      <c r="GM217" s="479" t="str">
        <f ca="1">IF(OR(GM$169&lt;SwaptionFirstMonthPosition+1,$FJ217&lt;SwaptionFirstMonthPosition+1,GM$169&gt;SwaptionFirstMonthPosition+SwaptionNumOfMonths+1,$FJ217&gt;SwaptionFirstMonthPosition+SwaptionNumOfMonths+1),"",IF($FJ217=GM$169,1,IF($FJ217&lt;GM$169,INDEX($FK$170:$ID$241,GM$169,$FJ217),SUMPRODUCT(INDEX($FK$325:$ID$396,GM$169,1+SwaptionShift):INDEX($FK$325:$ID$396,GM$169,SwaptionMonthsToGo+SwaptionShift),INDEX($FK$245:$ID$316,$FJ217-GM$169,73-GM$169+SwaptionShift):INDEX($FK$245:$ID$316,$FJ217-GM$169,72-GM$169+SwaptionMonthsToGo+SwaptionShift))/SQRT(SUM(INDEX($FK372:$ID372,1+SwaptionShift):INDEX($FK372:$ID372,SwaptionMonthsToGo+SwaptionShift))*SUM(INDEX($FK$325:$ID$396,GM$169,1+SwaptionShift):INDEX($FK$325:$ID$396,GM$169,SwaptionMonthsToGo+SwaptionShift))))))</f>
        <v/>
      </c>
      <c r="GN217" s="479" t="str">
        <f ca="1">IF(OR(GN$169&lt;SwaptionFirstMonthPosition+1,$FJ217&lt;SwaptionFirstMonthPosition+1,GN$169&gt;SwaptionFirstMonthPosition+SwaptionNumOfMonths+1,$FJ217&gt;SwaptionFirstMonthPosition+SwaptionNumOfMonths+1),"",IF($FJ217=GN$169,1,IF($FJ217&lt;GN$169,INDEX($FK$170:$ID$241,GN$169,$FJ217),SUMPRODUCT(INDEX($FK$325:$ID$396,GN$169,1+SwaptionShift):INDEX($FK$325:$ID$396,GN$169,SwaptionMonthsToGo+SwaptionShift),INDEX($FK$245:$ID$316,$FJ217-GN$169,73-GN$169+SwaptionShift):INDEX($FK$245:$ID$316,$FJ217-GN$169,72-GN$169+SwaptionMonthsToGo+SwaptionShift))/SQRT(SUM(INDEX($FK372:$ID372,1+SwaptionShift):INDEX($FK372:$ID372,SwaptionMonthsToGo+SwaptionShift))*SUM(INDEX($FK$325:$ID$396,GN$169,1+SwaptionShift):INDEX($FK$325:$ID$396,GN$169,SwaptionMonthsToGo+SwaptionShift))))))</f>
        <v/>
      </c>
      <c r="GO217" s="479" t="str">
        <f ca="1">IF(OR(GO$169&lt;SwaptionFirstMonthPosition+1,$FJ217&lt;SwaptionFirstMonthPosition+1,GO$169&gt;SwaptionFirstMonthPosition+SwaptionNumOfMonths+1,$FJ217&gt;SwaptionFirstMonthPosition+SwaptionNumOfMonths+1),"",IF($FJ217=GO$169,1,IF($FJ217&lt;GO$169,INDEX($FK$170:$ID$241,GO$169,$FJ217),SUMPRODUCT(INDEX($FK$325:$ID$396,GO$169,1+SwaptionShift):INDEX($FK$325:$ID$396,GO$169,SwaptionMonthsToGo+SwaptionShift),INDEX($FK$245:$ID$316,$FJ217-GO$169,73-GO$169+SwaptionShift):INDEX($FK$245:$ID$316,$FJ217-GO$169,72-GO$169+SwaptionMonthsToGo+SwaptionShift))/SQRT(SUM(INDEX($FK372:$ID372,1+SwaptionShift):INDEX($FK372:$ID372,SwaptionMonthsToGo+SwaptionShift))*SUM(INDEX($FK$325:$ID$396,GO$169,1+SwaptionShift):INDEX($FK$325:$ID$396,GO$169,SwaptionMonthsToGo+SwaptionShift))))))</f>
        <v/>
      </c>
      <c r="GP217" s="479" t="str">
        <f ca="1">IF(OR(GP$169&lt;SwaptionFirstMonthPosition+1,$FJ217&lt;SwaptionFirstMonthPosition+1,GP$169&gt;SwaptionFirstMonthPosition+SwaptionNumOfMonths+1,$FJ217&gt;SwaptionFirstMonthPosition+SwaptionNumOfMonths+1),"",IF($FJ217=GP$169,1,IF($FJ217&lt;GP$169,INDEX($FK$170:$ID$241,GP$169,$FJ217),SUMPRODUCT(INDEX($FK$325:$ID$396,GP$169,1+SwaptionShift):INDEX($FK$325:$ID$396,GP$169,SwaptionMonthsToGo+SwaptionShift),INDEX($FK$245:$ID$316,$FJ217-GP$169,73-GP$169+SwaptionShift):INDEX($FK$245:$ID$316,$FJ217-GP$169,72-GP$169+SwaptionMonthsToGo+SwaptionShift))/SQRT(SUM(INDEX($FK372:$ID372,1+SwaptionShift):INDEX($FK372:$ID372,SwaptionMonthsToGo+SwaptionShift))*SUM(INDEX($FK$325:$ID$396,GP$169,1+SwaptionShift):INDEX($FK$325:$ID$396,GP$169,SwaptionMonthsToGo+SwaptionShift))))))</f>
        <v/>
      </c>
      <c r="GQ217" s="479" t="str">
        <f ca="1">IF(OR(GQ$169&lt;SwaptionFirstMonthPosition+1,$FJ217&lt;SwaptionFirstMonthPosition+1,GQ$169&gt;SwaptionFirstMonthPosition+SwaptionNumOfMonths+1,$FJ217&gt;SwaptionFirstMonthPosition+SwaptionNumOfMonths+1),"",IF($FJ217=GQ$169,1,IF($FJ217&lt;GQ$169,INDEX($FK$170:$ID$241,GQ$169,$FJ217),SUMPRODUCT(INDEX($FK$325:$ID$396,GQ$169,1+SwaptionShift):INDEX($FK$325:$ID$396,GQ$169,SwaptionMonthsToGo+SwaptionShift),INDEX($FK$245:$ID$316,$FJ217-GQ$169,73-GQ$169+SwaptionShift):INDEX($FK$245:$ID$316,$FJ217-GQ$169,72-GQ$169+SwaptionMonthsToGo+SwaptionShift))/SQRT(SUM(INDEX($FK372:$ID372,1+SwaptionShift):INDEX($FK372:$ID372,SwaptionMonthsToGo+SwaptionShift))*SUM(INDEX($FK$325:$ID$396,GQ$169,1+SwaptionShift):INDEX($FK$325:$ID$396,GQ$169,SwaptionMonthsToGo+SwaptionShift))))))</f>
        <v/>
      </c>
      <c r="GR217" s="479" t="str">
        <f ca="1">IF(OR(GR$169&lt;SwaptionFirstMonthPosition+1,$FJ217&lt;SwaptionFirstMonthPosition+1,GR$169&gt;SwaptionFirstMonthPosition+SwaptionNumOfMonths+1,$FJ217&gt;SwaptionFirstMonthPosition+SwaptionNumOfMonths+1),"",IF($FJ217=GR$169,1,IF($FJ217&lt;GR$169,INDEX($FK$170:$ID$241,GR$169,$FJ217),SUMPRODUCT(INDEX($FK$325:$ID$396,GR$169,1+SwaptionShift):INDEX($FK$325:$ID$396,GR$169,SwaptionMonthsToGo+SwaptionShift),INDEX($FK$245:$ID$316,$FJ217-GR$169,73-GR$169+SwaptionShift):INDEX($FK$245:$ID$316,$FJ217-GR$169,72-GR$169+SwaptionMonthsToGo+SwaptionShift))/SQRT(SUM(INDEX($FK372:$ID372,1+SwaptionShift):INDEX($FK372:$ID372,SwaptionMonthsToGo+SwaptionShift))*SUM(INDEX($FK$325:$ID$396,GR$169,1+SwaptionShift):INDEX($FK$325:$ID$396,GR$169,SwaptionMonthsToGo+SwaptionShift))))))</f>
        <v/>
      </c>
      <c r="GS217" s="479" t="str">
        <f ca="1">IF(OR(GS$169&lt;SwaptionFirstMonthPosition+1,$FJ217&lt;SwaptionFirstMonthPosition+1,GS$169&gt;SwaptionFirstMonthPosition+SwaptionNumOfMonths+1,$FJ217&gt;SwaptionFirstMonthPosition+SwaptionNumOfMonths+1),"",IF($FJ217=GS$169,1,IF($FJ217&lt;GS$169,INDEX($FK$170:$ID$241,GS$169,$FJ217),SUMPRODUCT(INDEX($FK$325:$ID$396,GS$169,1+SwaptionShift):INDEX($FK$325:$ID$396,GS$169,SwaptionMonthsToGo+SwaptionShift),INDEX($FK$245:$ID$316,$FJ217-GS$169,73-GS$169+SwaptionShift):INDEX($FK$245:$ID$316,$FJ217-GS$169,72-GS$169+SwaptionMonthsToGo+SwaptionShift))/SQRT(SUM(INDEX($FK372:$ID372,1+SwaptionShift):INDEX($FK372:$ID372,SwaptionMonthsToGo+SwaptionShift))*SUM(INDEX($FK$325:$ID$396,GS$169,1+SwaptionShift):INDEX($FK$325:$ID$396,GS$169,SwaptionMonthsToGo+SwaptionShift))))))</f>
        <v/>
      </c>
      <c r="GT217" s="479" t="str">
        <f ca="1">IF(OR(GT$169&lt;SwaptionFirstMonthPosition+1,$FJ217&lt;SwaptionFirstMonthPosition+1,GT$169&gt;SwaptionFirstMonthPosition+SwaptionNumOfMonths+1,$FJ217&gt;SwaptionFirstMonthPosition+SwaptionNumOfMonths+1),"",IF($FJ217=GT$169,1,IF($FJ217&lt;GT$169,INDEX($FK$170:$ID$241,GT$169,$FJ217),SUMPRODUCT(INDEX($FK$325:$ID$396,GT$169,1+SwaptionShift):INDEX($FK$325:$ID$396,GT$169,SwaptionMonthsToGo+SwaptionShift),INDEX($FK$245:$ID$316,$FJ217-GT$169,73-GT$169+SwaptionShift):INDEX($FK$245:$ID$316,$FJ217-GT$169,72-GT$169+SwaptionMonthsToGo+SwaptionShift))/SQRT(SUM(INDEX($FK372:$ID372,1+SwaptionShift):INDEX($FK372:$ID372,SwaptionMonthsToGo+SwaptionShift))*SUM(INDEX($FK$325:$ID$396,GT$169,1+SwaptionShift):INDEX($FK$325:$ID$396,GT$169,SwaptionMonthsToGo+SwaptionShift))))))</f>
        <v/>
      </c>
      <c r="GU217" s="479" t="str">
        <f ca="1">IF(OR(GU$169&lt;SwaptionFirstMonthPosition+1,$FJ217&lt;SwaptionFirstMonthPosition+1,GU$169&gt;SwaptionFirstMonthPosition+SwaptionNumOfMonths+1,$FJ217&gt;SwaptionFirstMonthPosition+SwaptionNumOfMonths+1),"",IF($FJ217=GU$169,1,IF($FJ217&lt;GU$169,INDEX($FK$170:$ID$241,GU$169,$FJ217),SUMPRODUCT(INDEX($FK$325:$ID$396,GU$169,1+SwaptionShift):INDEX($FK$325:$ID$396,GU$169,SwaptionMonthsToGo+SwaptionShift),INDEX($FK$245:$ID$316,$FJ217-GU$169,73-GU$169+SwaptionShift):INDEX($FK$245:$ID$316,$FJ217-GU$169,72-GU$169+SwaptionMonthsToGo+SwaptionShift))/SQRT(SUM(INDEX($FK372:$ID372,1+SwaptionShift):INDEX($FK372:$ID372,SwaptionMonthsToGo+SwaptionShift))*SUM(INDEX($FK$325:$ID$396,GU$169,1+SwaptionShift):INDEX($FK$325:$ID$396,GU$169,SwaptionMonthsToGo+SwaptionShift))))))</f>
        <v/>
      </c>
      <c r="GV217" s="479" t="str">
        <f ca="1">IF(OR(GV$169&lt;SwaptionFirstMonthPosition+1,$FJ217&lt;SwaptionFirstMonthPosition+1,GV$169&gt;SwaptionFirstMonthPosition+SwaptionNumOfMonths+1,$FJ217&gt;SwaptionFirstMonthPosition+SwaptionNumOfMonths+1),"",IF($FJ217=GV$169,1,IF($FJ217&lt;GV$169,INDEX($FK$170:$ID$241,GV$169,$FJ217),SUMPRODUCT(INDEX($FK$325:$ID$396,GV$169,1+SwaptionShift):INDEX($FK$325:$ID$396,GV$169,SwaptionMonthsToGo+SwaptionShift),INDEX($FK$245:$ID$316,$FJ217-GV$169,73-GV$169+SwaptionShift):INDEX($FK$245:$ID$316,$FJ217-GV$169,72-GV$169+SwaptionMonthsToGo+SwaptionShift))/SQRT(SUM(INDEX($FK372:$ID372,1+SwaptionShift):INDEX($FK372:$ID372,SwaptionMonthsToGo+SwaptionShift))*SUM(INDEX($FK$325:$ID$396,GV$169,1+SwaptionShift):INDEX($FK$325:$ID$396,GV$169,SwaptionMonthsToGo+SwaptionShift))))))</f>
        <v/>
      </c>
      <c r="GW217" s="479" t="str">
        <f ca="1">IF(OR(GW$169&lt;SwaptionFirstMonthPosition+1,$FJ217&lt;SwaptionFirstMonthPosition+1,GW$169&gt;SwaptionFirstMonthPosition+SwaptionNumOfMonths+1,$FJ217&gt;SwaptionFirstMonthPosition+SwaptionNumOfMonths+1),"",IF($FJ217=GW$169,1,IF($FJ217&lt;GW$169,INDEX($FK$170:$ID$241,GW$169,$FJ217),SUMPRODUCT(INDEX($FK$325:$ID$396,GW$169,1+SwaptionShift):INDEX($FK$325:$ID$396,GW$169,SwaptionMonthsToGo+SwaptionShift),INDEX($FK$245:$ID$316,$FJ217-GW$169,73-GW$169+SwaptionShift):INDEX($FK$245:$ID$316,$FJ217-GW$169,72-GW$169+SwaptionMonthsToGo+SwaptionShift))/SQRT(SUM(INDEX($FK372:$ID372,1+SwaptionShift):INDEX($FK372:$ID372,SwaptionMonthsToGo+SwaptionShift))*SUM(INDEX($FK$325:$ID$396,GW$169,1+SwaptionShift):INDEX($FK$325:$ID$396,GW$169,SwaptionMonthsToGo+SwaptionShift))))))</f>
        <v/>
      </c>
      <c r="GX217" s="479" t="str">
        <f ca="1">IF(OR(GX$169&lt;SwaptionFirstMonthPosition+1,$FJ217&lt;SwaptionFirstMonthPosition+1,GX$169&gt;SwaptionFirstMonthPosition+SwaptionNumOfMonths+1,$FJ217&gt;SwaptionFirstMonthPosition+SwaptionNumOfMonths+1),"",IF($FJ217=GX$169,1,IF($FJ217&lt;GX$169,INDEX($FK$170:$ID$241,GX$169,$FJ217),SUMPRODUCT(INDEX($FK$325:$ID$396,GX$169,1+SwaptionShift):INDEX($FK$325:$ID$396,GX$169,SwaptionMonthsToGo+SwaptionShift),INDEX($FK$245:$ID$316,$FJ217-GX$169,73-GX$169+SwaptionShift):INDEX($FK$245:$ID$316,$FJ217-GX$169,72-GX$169+SwaptionMonthsToGo+SwaptionShift))/SQRT(SUM(INDEX($FK372:$ID372,1+SwaptionShift):INDEX($FK372:$ID372,SwaptionMonthsToGo+SwaptionShift))*SUM(INDEX($FK$325:$ID$396,GX$169,1+SwaptionShift):INDEX($FK$325:$ID$396,GX$169,SwaptionMonthsToGo+SwaptionShift))))))</f>
        <v/>
      </c>
      <c r="GY217" s="479" t="str">
        <f ca="1">IF(OR(GY$169&lt;SwaptionFirstMonthPosition+1,$FJ217&lt;SwaptionFirstMonthPosition+1,GY$169&gt;SwaptionFirstMonthPosition+SwaptionNumOfMonths+1,$FJ217&gt;SwaptionFirstMonthPosition+SwaptionNumOfMonths+1),"",IF($FJ217=GY$169,1,IF($FJ217&lt;GY$169,INDEX($FK$170:$ID$241,GY$169,$FJ217),SUMPRODUCT(INDEX($FK$325:$ID$396,GY$169,1+SwaptionShift):INDEX($FK$325:$ID$396,GY$169,SwaptionMonthsToGo+SwaptionShift),INDEX($FK$245:$ID$316,$FJ217-GY$169,73-GY$169+SwaptionShift):INDEX($FK$245:$ID$316,$FJ217-GY$169,72-GY$169+SwaptionMonthsToGo+SwaptionShift))/SQRT(SUM(INDEX($FK372:$ID372,1+SwaptionShift):INDEX($FK372:$ID372,SwaptionMonthsToGo+SwaptionShift))*SUM(INDEX($FK$325:$ID$396,GY$169,1+SwaptionShift):INDEX($FK$325:$ID$396,GY$169,SwaptionMonthsToGo+SwaptionShift))))))</f>
        <v/>
      </c>
      <c r="GZ217" s="479" t="str">
        <f ca="1">IF(OR(GZ$169&lt;SwaptionFirstMonthPosition+1,$FJ217&lt;SwaptionFirstMonthPosition+1,GZ$169&gt;SwaptionFirstMonthPosition+SwaptionNumOfMonths+1,$FJ217&gt;SwaptionFirstMonthPosition+SwaptionNumOfMonths+1),"",IF($FJ217=GZ$169,1,IF($FJ217&lt;GZ$169,INDEX($FK$170:$ID$241,GZ$169,$FJ217),SUMPRODUCT(INDEX($FK$325:$ID$396,GZ$169,1+SwaptionShift):INDEX($FK$325:$ID$396,GZ$169,SwaptionMonthsToGo+SwaptionShift),INDEX($FK$245:$ID$316,$FJ217-GZ$169,73-GZ$169+SwaptionShift):INDEX($FK$245:$ID$316,$FJ217-GZ$169,72-GZ$169+SwaptionMonthsToGo+SwaptionShift))/SQRT(SUM(INDEX($FK372:$ID372,1+SwaptionShift):INDEX($FK372:$ID372,SwaptionMonthsToGo+SwaptionShift))*SUM(INDEX($FK$325:$ID$396,GZ$169,1+SwaptionShift):INDEX($FK$325:$ID$396,GZ$169,SwaptionMonthsToGo+SwaptionShift))))))</f>
        <v/>
      </c>
      <c r="HA217" s="479" t="str">
        <f ca="1">IF(OR(HA$169&lt;SwaptionFirstMonthPosition+1,$FJ217&lt;SwaptionFirstMonthPosition+1,HA$169&gt;SwaptionFirstMonthPosition+SwaptionNumOfMonths+1,$FJ217&gt;SwaptionFirstMonthPosition+SwaptionNumOfMonths+1),"",IF($FJ217=HA$169,1,IF($FJ217&lt;HA$169,INDEX($FK$170:$ID$241,HA$169,$FJ217),SUMPRODUCT(INDEX($FK$325:$ID$396,HA$169,1+SwaptionShift):INDEX($FK$325:$ID$396,HA$169,SwaptionMonthsToGo+SwaptionShift),INDEX($FK$245:$ID$316,$FJ217-HA$169,73-HA$169+SwaptionShift):INDEX($FK$245:$ID$316,$FJ217-HA$169,72-HA$169+SwaptionMonthsToGo+SwaptionShift))/SQRT(SUM(INDEX($FK372:$ID372,1+SwaptionShift):INDEX($FK372:$ID372,SwaptionMonthsToGo+SwaptionShift))*SUM(INDEX($FK$325:$ID$396,HA$169,1+SwaptionShift):INDEX($FK$325:$ID$396,HA$169,SwaptionMonthsToGo+SwaptionShift))))))</f>
        <v/>
      </c>
      <c r="HB217" s="479" t="str">
        <f ca="1">IF(OR(HB$169&lt;SwaptionFirstMonthPosition+1,$FJ217&lt;SwaptionFirstMonthPosition+1,HB$169&gt;SwaptionFirstMonthPosition+SwaptionNumOfMonths+1,$FJ217&gt;SwaptionFirstMonthPosition+SwaptionNumOfMonths+1),"",IF($FJ217=HB$169,1,IF($FJ217&lt;HB$169,INDEX($FK$170:$ID$241,HB$169,$FJ217),SUMPRODUCT(INDEX($FK$325:$ID$396,HB$169,1+SwaptionShift):INDEX($FK$325:$ID$396,HB$169,SwaptionMonthsToGo+SwaptionShift),INDEX($FK$245:$ID$316,$FJ217-HB$169,73-HB$169+SwaptionShift):INDEX($FK$245:$ID$316,$FJ217-HB$169,72-HB$169+SwaptionMonthsToGo+SwaptionShift))/SQRT(SUM(INDEX($FK372:$ID372,1+SwaptionShift):INDEX($FK372:$ID372,SwaptionMonthsToGo+SwaptionShift))*SUM(INDEX($FK$325:$ID$396,HB$169,1+SwaptionShift):INDEX($FK$325:$ID$396,HB$169,SwaptionMonthsToGo+SwaptionShift))))))</f>
        <v/>
      </c>
      <c r="HC217" s="479" t="str">
        <f ca="1">IF(OR(HC$169&lt;SwaptionFirstMonthPosition+1,$FJ217&lt;SwaptionFirstMonthPosition+1,HC$169&gt;SwaptionFirstMonthPosition+SwaptionNumOfMonths+1,$FJ217&gt;SwaptionFirstMonthPosition+SwaptionNumOfMonths+1),"",IF($FJ217=HC$169,1,IF($FJ217&lt;HC$169,INDEX($FK$170:$ID$241,HC$169,$FJ217),SUMPRODUCT(INDEX($FK$325:$ID$396,HC$169,1+SwaptionShift):INDEX($FK$325:$ID$396,HC$169,SwaptionMonthsToGo+SwaptionShift),INDEX($FK$245:$ID$316,$FJ217-HC$169,73-HC$169+SwaptionShift):INDEX($FK$245:$ID$316,$FJ217-HC$169,72-HC$169+SwaptionMonthsToGo+SwaptionShift))/SQRT(SUM(INDEX($FK372:$ID372,1+SwaptionShift):INDEX($FK372:$ID372,SwaptionMonthsToGo+SwaptionShift))*SUM(INDEX($FK$325:$ID$396,HC$169,1+SwaptionShift):INDEX($FK$325:$ID$396,HC$169,SwaptionMonthsToGo+SwaptionShift))))))</f>
        <v/>
      </c>
      <c r="HD217" s="479" t="str">
        <f ca="1">IF(OR(HD$169&lt;SwaptionFirstMonthPosition+1,$FJ217&lt;SwaptionFirstMonthPosition+1,HD$169&gt;SwaptionFirstMonthPosition+SwaptionNumOfMonths+1,$FJ217&gt;SwaptionFirstMonthPosition+SwaptionNumOfMonths+1),"",IF($FJ217=HD$169,1,IF($FJ217&lt;HD$169,INDEX($FK$170:$ID$241,HD$169,$FJ217),SUMPRODUCT(INDEX($FK$325:$ID$396,HD$169,1+SwaptionShift):INDEX($FK$325:$ID$396,HD$169,SwaptionMonthsToGo+SwaptionShift),INDEX($FK$245:$ID$316,$FJ217-HD$169,73-HD$169+SwaptionShift):INDEX($FK$245:$ID$316,$FJ217-HD$169,72-HD$169+SwaptionMonthsToGo+SwaptionShift))/SQRT(SUM(INDEX($FK372:$ID372,1+SwaptionShift):INDEX($FK372:$ID372,SwaptionMonthsToGo+SwaptionShift))*SUM(INDEX($FK$325:$ID$396,HD$169,1+SwaptionShift):INDEX($FK$325:$ID$396,HD$169,SwaptionMonthsToGo+SwaptionShift))))))</f>
        <v/>
      </c>
      <c r="HE217" s="479" t="str">
        <f ca="1">IF(OR(HE$169&lt;SwaptionFirstMonthPosition+1,$FJ217&lt;SwaptionFirstMonthPosition+1,HE$169&gt;SwaptionFirstMonthPosition+SwaptionNumOfMonths+1,$FJ217&gt;SwaptionFirstMonthPosition+SwaptionNumOfMonths+1),"",IF($FJ217=HE$169,1,IF($FJ217&lt;HE$169,INDEX($FK$170:$ID$241,HE$169,$FJ217),SUMPRODUCT(INDEX($FK$325:$ID$396,HE$169,1+SwaptionShift):INDEX($FK$325:$ID$396,HE$169,SwaptionMonthsToGo+SwaptionShift),INDEX($FK$245:$ID$316,$FJ217-HE$169,73-HE$169+SwaptionShift):INDEX($FK$245:$ID$316,$FJ217-HE$169,72-HE$169+SwaptionMonthsToGo+SwaptionShift))/SQRT(SUM(INDEX($FK372:$ID372,1+SwaptionShift):INDEX($FK372:$ID372,SwaptionMonthsToGo+SwaptionShift))*SUM(INDEX($FK$325:$ID$396,HE$169,1+SwaptionShift):INDEX($FK$325:$ID$396,HE$169,SwaptionMonthsToGo+SwaptionShift))))))</f>
        <v/>
      </c>
      <c r="HF217" s="479" t="str">
        <f ca="1">IF(OR(HF$169&lt;SwaptionFirstMonthPosition+1,$FJ217&lt;SwaptionFirstMonthPosition+1,HF$169&gt;SwaptionFirstMonthPosition+SwaptionNumOfMonths+1,$FJ217&gt;SwaptionFirstMonthPosition+SwaptionNumOfMonths+1),"",IF($FJ217=HF$169,1,IF($FJ217&lt;HF$169,INDEX($FK$170:$ID$241,HF$169,$FJ217),SUMPRODUCT(INDEX($FK$325:$ID$396,HF$169,1+SwaptionShift):INDEX($FK$325:$ID$396,HF$169,SwaptionMonthsToGo+SwaptionShift),INDEX($FK$245:$ID$316,$FJ217-HF$169,73-HF$169+SwaptionShift):INDEX($FK$245:$ID$316,$FJ217-HF$169,72-HF$169+SwaptionMonthsToGo+SwaptionShift))/SQRT(SUM(INDEX($FK372:$ID372,1+SwaptionShift):INDEX($FK372:$ID372,SwaptionMonthsToGo+SwaptionShift))*SUM(INDEX($FK$325:$ID$396,HF$169,1+SwaptionShift):INDEX($FK$325:$ID$396,HF$169,SwaptionMonthsToGo+SwaptionShift))))))</f>
        <v/>
      </c>
      <c r="HG217" s="479" t="str">
        <f ca="1">IF(OR(HG$169&lt;SwaptionFirstMonthPosition+1,$FJ217&lt;SwaptionFirstMonthPosition+1,HG$169&gt;SwaptionFirstMonthPosition+SwaptionNumOfMonths+1,$FJ217&gt;SwaptionFirstMonthPosition+SwaptionNumOfMonths+1),"",IF($FJ217=HG$169,1,IF($FJ217&lt;HG$169,INDEX($FK$170:$ID$241,HG$169,$FJ217),SUMPRODUCT(INDEX($FK$325:$ID$396,HG$169,1+SwaptionShift):INDEX($FK$325:$ID$396,HG$169,SwaptionMonthsToGo+SwaptionShift),INDEX($FK$245:$ID$316,$FJ217-HG$169,73-HG$169+SwaptionShift):INDEX($FK$245:$ID$316,$FJ217-HG$169,72-HG$169+SwaptionMonthsToGo+SwaptionShift))/SQRT(SUM(INDEX($FK372:$ID372,1+SwaptionShift):INDEX($FK372:$ID372,SwaptionMonthsToGo+SwaptionShift))*SUM(INDEX($FK$325:$ID$396,HG$169,1+SwaptionShift):INDEX($FK$325:$ID$396,HG$169,SwaptionMonthsToGo+SwaptionShift))))))</f>
        <v/>
      </c>
      <c r="HH217" s="479" t="str">
        <f ca="1">IF(OR(HH$169&lt;SwaptionFirstMonthPosition+1,$FJ217&lt;SwaptionFirstMonthPosition+1,HH$169&gt;SwaptionFirstMonthPosition+SwaptionNumOfMonths+1,$FJ217&gt;SwaptionFirstMonthPosition+SwaptionNumOfMonths+1),"",IF($FJ217=HH$169,1,IF($FJ217&lt;HH$169,INDEX($FK$170:$ID$241,HH$169,$FJ217),SUMPRODUCT(INDEX($FK$325:$ID$396,HH$169,1+SwaptionShift):INDEX($FK$325:$ID$396,HH$169,SwaptionMonthsToGo+SwaptionShift),INDEX($FK$245:$ID$316,$FJ217-HH$169,73-HH$169+SwaptionShift):INDEX($FK$245:$ID$316,$FJ217-HH$169,72-HH$169+SwaptionMonthsToGo+SwaptionShift))/SQRT(SUM(INDEX($FK372:$ID372,1+SwaptionShift):INDEX($FK372:$ID372,SwaptionMonthsToGo+SwaptionShift))*SUM(INDEX($FK$325:$ID$396,HH$169,1+SwaptionShift):INDEX($FK$325:$ID$396,HH$169,SwaptionMonthsToGo+SwaptionShift))))))</f>
        <v/>
      </c>
      <c r="HI217" s="479" t="str">
        <f ca="1">IF(OR(HI$169&lt;SwaptionFirstMonthPosition+1,$FJ217&lt;SwaptionFirstMonthPosition+1,HI$169&gt;SwaptionFirstMonthPosition+SwaptionNumOfMonths+1,$FJ217&gt;SwaptionFirstMonthPosition+SwaptionNumOfMonths+1),"",IF($FJ217=HI$169,1,IF($FJ217&lt;HI$169,INDEX($FK$170:$ID$241,HI$169,$FJ217),SUMPRODUCT(INDEX($FK$325:$ID$396,HI$169,1+SwaptionShift):INDEX($FK$325:$ID$396,HI$169,SwaptionMonthsToGo+SwaptionShift),INDEX($FK$245:$ID$316,$FJ217-HI$169,73-HI$169+SwaptionShift):INDEX($FK$245:$ID$316,$FJ217-HI$169,72-HI$169+SwaptionMonthsToGo+SwaptionShift))/SQRT(SUM(INDEX($FK372:$ID372,1+SwaptionShift):INDEX($FK372:$ID372,SwaptionMonthsToGo+SwaptionShift))*SUM(INDEX($FK$325:$ID$396,HI$169,1+SwaptionShift):INDEX($FK$325:$ID$396,HI$169,SwaptionMonthsToGo+SwaptionShift))))))</f>
        <v/>
      </c>
      <c r="HJ217" s="479" t="str">
        <f ca="1">IF(OR(HJ$169&lt;SwaptionFirstMonthPosition+1,$FJ217&lt;SwaptionFirstMonthPosition+1,HJ$169&gt;SwaptionFirstMonthPosition+SwaptionNumOfMonths+1,$FJ217&gt;SwaptionFirstMonthPosition+SwaptionNumOfMonths+1),"",IF($FJ217=HJ$169,1,IF($FJ217&lt;HJ$169,INDEX($FK$170:$ID$241,HJ$169,$FJ217),SUMPRODUCT(INDEX($FK$325:$ID$396,HJ$169,1+SwaptionShift):INDEX($FK$325:$ID$396,HJ$169,SwaptionMonthsToGo+SwaptionShift),INDEX($FK$245:$ID$316,$FJ217-HJ$169,73-HJ$169+SwaptionShift):INDEX($FK$245:$ID$316,$FJ217-HJ$169,72-HJ$169+SwaptionMonthsToGo+SwaptionShift))/SQRT(SUM(INDEX($FK372:$ID372,1+SwaptionShift):INDEX($FK372:$ID372,SwaptionMonthsToGo+SwaptionShift))*SUM(INDEX($FK$325:$ID$396,HJ$169,1+SwaptionShift):INDEX($FK$325:$ID$396,HJ$169,SwaptionMonthsToGo+SwaptionShift))))))</f>
        <v/>
      </c>
      <c r="HK217" s="479" t="str">
        <f ca="1">IF(OR(HK$169&lt;SwaptionFirstMonthPosition+1,$FJ217&lt;SwaptionFirstMonthPosition+1,HK$169&gt;SwaptionFirstMonthPosition+SwaptionNumOfMonths+1,$FJ217&gt;SwaptionFirstMonthPosition+SwaptionNumOfMonths+1),"",IF($FJ217=HK$169,1,IF($FJ217&lt;HK$169,INDEX($FK$170:$ID$241,HK$169,$FJ217),SUMPRODUCT(INDEX($FK$325:$ID$396,HK$169,1+SwaptionShift):INDEX($FK$325:$ID$396,HK$169,SwaptionMonthsToGo+SwaptionShift),INDEX($FK$245:$ID$316,$FJ217-HK$169,73-HK$169+SwaptionShift):INDEX($FK$245:$ID$316,$FJ217-HK$169,72-HK$169+SwaptionMonthsToGo+SwaptionShift))/SQRT(SUM(INDEX($FK372:$ID372,1+SwaptionShift):INDEX($FK372:$ID372,SwaptionMonthsToGo+SwaptionShift))*SUM(INDEX($FK$325:$ID$396,HK$169,1+SwaptionShift):INDEX($FK$325:$ID$396,HK$169,SwaptionMonthsToGo+SwaptionShift))))))</f>
        <v/>
      </c>
      <c r="HL217" s="479" t="str">
        <f ca="1">IF(OR(HL$169&lt;SwaptionFirstMonthPosition+1,$FJ217&lt;SwaptionFirstMonthPosition+1,HL$169&gt;SwaptionFirstMonthPosition+SwaptionNumOfMonths+1,$FJ217&gt;SwaptionFirstMonthPosition+SwaptionNumOfMonths+1),"",IF($FJ217=HL$169,1,IF($FJ217&lt;HL$169,INDEX($FK$170:$ID$241,HL$169,$FJ217),SUMPRODUCT(INDEX($FK$325:$ID$396,HL$169,1+SwaptionShift):INDEX($FK$325:$ID$396,HL$169,SwaptionMonthsToGo+SwaptionShift),INDEX($FK$245:$ID$316,$FJ217-HL$169,73-HL$169+SwaptionShift):INDEX($FK$245:$ID$316,$FJ217-HL$169,72-HL$169+SwaptionMonthsToGo+SwaptionShift))/SQRT(SUM(INDEX($FK372:$ID372,1+SwaptionShift):INDEX($FK372:$ID372,SwaptionMonthsToGo+SwaptionShift))*SUM(INDEX($FK$325:$ID$396,HL$169,1+SwaptionShift):INDEX($FK$325:$ID$396,HL$169,SwaptionMonthsToGo+SwaptionShift))))))</f>
        <v/>
      </c>
      <c r="HM217" s="479" t="str">
        <f ca="1">IF(OR(HM$169&lt;SwaptionFirstMonthPosition+1,$FJ217&lt;SwaptionFirstMonthPosition+1,HM$169&gt;SwaptionFirstMonthPosition+SwaptionNumOfMonths+1,$FJ217&gt;SwaptionFirstMonthPosition+SwaptionNumOfMonths+1),"",IF($FJ217=HM$169,1,IF($FJ217&lt;HM$169,INDEX($FK$170:$ID$241,HM$169,$FJ217),SUMPRODUCT(INDEX($FK$325:$ID$396,HM$169,1+SwaptionShift):INDEX($FK$325:$ID$396,HM$169,SwaptionMonthsToGo+SwaptionShift),INDEX($FK$245:$ID$316,$FJ217-HM$169,73-HM$169+SwaptionShift):INDEX($FK$245:$ID$316,$FJ217-HM$169,72-HM$169+SwaptionMonthsToGo+SwaptionShift))/SQRT(SUM(INDEX($FK372:$ID372,1+SwaptionShift):INDEX($FK372:$ID372,SwaptionMonthsToGo+SwaptionShift))*SUM(INDEX($FK$325:$ID$396,HM$169,1+SwaptionShift):INDEX($FK$325:$ID$396,HM$169,SwaptionMonthsToGo+SwaptionShift))))))</f>
        <v/>
      </c>
      <c r="HN217" s="479" t="str">
        <f ca="1">IF(OR(HN$169&lt;SwaptionFirstMonthPosition+1,$FJ217&lt;SwaptionFirstMonthPosition+1,HN$169&gt;SwaptionFirstMonthPosition+SwaptionNumOfMonths+1,$FJ217&gt;SwaptionFirstMonthPosition+SwaptionNumOfMonths+1),"",IF($FJ217=HN$169,1,IF($FJ217&lt;HN$169,INDEX($FK$170:$ID$241,HN$169,$FJ217),SUMPRODUCT(INDEX($FK$325:$ID$396,HN$169,1+SwaptionShift):INDEX($FK$325:$ID$396,HN$169,SwaptionMonthsToGo+SwaptionShift),INDEX($FK$245:$ID$316,$FJ217-HN$169,73-HN$169+SwaptionShift):INDEX($FK$245:$ID$316,$FJ217-HN$169,72-HN$169+SwaptionMonthsToGo+SwaptionShift))/SQRT(SUM(INDEX($FK372:$ID372,1+SwaptionShift):INDEX($FK372:$ID372,SwaptionMonthsToGo+SwaptionShift))*SUM(INDEX($FK$325:$ID$396,HN$169,1+SwaptionShift):INDEX($FK$325:$ID$396,HN$169,SwaptionMonthsToGo+SwaptionShift))))))</f>
        <v/>
      </c>
      <c r="HO217" s="479" t="str">
        <f ca="1">IF(OR(HO$169&lt;SwaptionFirstMonthPosition+1,$FJ217&lt;SwaptionFirstMonthPosition+1,HO$169&gt;SwaptionFirstMonthPosition+SwaptionNumOfMonths+1,$FJ217&gt;SwaptionFirstMonthPosition+SwaptionNumOfMonths+1),"",IF($FJ217=HO$169,1,IF($FJ217&lt;HO$169,INDEX($FK$170:$ID$241,HO$169,$FJ217),SUMPRODUCT(INDEX($FK$325:$ID$396,HO$169,1+SwaptionShift):INDEX($FK$325:$ID$396,HO$169,SwaptionMonthsToGo+SwaptionShift),INDEX($FK$245:$ID$316,$FJ217-HO$169,73-HO$169+SwaptionShift):INDEX($FK$245:$ID$316,$FJ217-HO$169,72-HO$169+SwaptionMonthsToGo+SwaptionShift))/SQRT(SUM(INDEX($FK372:$ID372,1+SwaptionShift):INDEX($FK372:$ID372,SwaptionMonthsToGo+SwaptionShift))*SUM(INDEX($FK$325:$ID$396,HO$169,1+SwaptionShift):INDEX($FK$325:$ID$396,HO$169,SwaptionMonthsToGo+SwaptionShift))))))</f>
        <v/>
      </c>
      <c r="HP217" s="479" t="str">
        <f ca="1">IF(OR(HP$169&lt;SwaptionFirstMonthPosition+1,$FJ217&lt;SwaptionFirstMonthPosition+1,HP$169&gt;SwaptionFirstMonthPosition+SwaptionNumOfMonths+1,$FJ217&gt;SwaptionFirstMonthPosition+SwaptionNumOfMonths+1),"",IF($FJ217=HP$169,1,IF($FJ217&lt;HP$169,INDEX($FK$170:$ID$241,HP$169,$FJ217),SUMPRODUCT(INDEX($FK$325:$ID$396,HP$169,1+SwaptionShift):INDEX($FK$325:$ID$396,HP$169,SwaptionMonthsToGo+SwaptionShift),INDEX($FK$245:$ID$316,$FJ217-HP$169,73-HP$169+SwaptionShift):INDEX($FK$245:$ID$316,$FJ217-HP$169,72-HP$169+SwaptionMonthsToGo+SwaptionShift))/SQRT(SUM(INDEX($FK372:$ID372,1+SwaptionShift):INDEX($FK372:$ID372,SwaptionMonthsToGo+SwaptionShift))*SUM(INDEX($FK$325:$ID$396,HP$169,1+SwaptionShift):INDEX($FK$325:$ID$396,HP$169,SwaptionMonthsToGo+SwaptionShift))))))</f>
        <v/>
      </c>
      <c r="HQ217" s="479" t="str">
        <f ca="1">IF(OR(HQ$169&lt;SwaptionFirstMonthPosition+1,$FJ217&lt;SwaptionFirstMonthPosition+1,HQ$169&gt;SwaptionFirstMonthPosition+SwaptionNumOfMonths+1,$FJ217&gt;SwaptionFirstMonthPosition+SwaptionNumOfMonths+1),"",IF($FJ217=HQ$169,1,IF($FJ217&lt;HQ$169,INDEX($FK$170:$ID$241,HQ$169,$FJ217),SUMPRODUCT(INDEX($FK$325:$ID$396,HQ$169,1+SwaptionShift):INDEX($FK$325:$ID$396,HQ$169,SwaptionMonthsToGo+SwaptionShift),INDEX($FK$245:$ID$316,$FJ217-HQ$169,73-HQ$169+SwaptionShift):INDEX($FK$245:$ID$316,$FJ217-HQ$169,72-HQ$169+SwaptionMonthsToGo+SwaptionShift))/SQRT(SUM(INDEX($FK372:$ID372,1+SwaptionShift):INDEX($FK372:$ID372,SwaptionMonthsToGo+SwaptionShift))*SUM(INDEX($FK$325:$ID$396,HQ$169,1+SwaptionShift):INDEX($FK$325:$ID$396,HQ$169,SwaptionMonthsToGo+SwaptionShift))))))</f>
        <v/>
      </c>
      <c r="HR217" s="479" t="str">
        <f ca="1">IF(OR(HR$169&lt;SwaptionFirstMonthPosition+1,$FJ217&lt;SwaptionFirstMonthPosition+1,HR$169&gt;SwaptionFirstMonthPosition+SwaptionNumOfMonths+1,$FJ217&gt;SwaptionFirstMonthPosition+SwaptionNumOfMonths+1),"",IF($FJ217=HR$169,1,IF($FJ217&lt;HR$169,INDEX($FK$170:$ID$241,HR$169,$FJ217),SUMPRODUCT(INDEX($FK$325:$ID$396,HR$169,1+SwaptionShift):INDEX($FK$325:$ID$396,HR$169,SwaptionMonthsToGo+SwaptionShift),INDEX($FK$245:$ID$316,$FJ217-HR$169,73-HR$169+SwaptionShift):INDEX($FK$245:$ID$316,$FJ217-HR$169,72-HR$169+SwaptionMonthsToGo+SwaptionShift))/SQRT(SUM(INDEX($FK372:$ID372,1+SwaptionShift):INDEX($FK372:$ID372,SwaptionMonthsToGo+SwaptionShift))*SUM(INDEX($FK$325:$ID$396,HR$169,1+SwaptionShift):INDEX($FK$325:$ID$396,HR$169,SwaptionMonthsToGo+SwaptionShift))))))</f>
        <v/>
      </c>
      <c r="HS217" s="479" t="str">
        <f ca="1">IF(OR(HS$169&lt;SwaptionFirstMonthPosition+1,$FJ217&lt;SwaptionFirstMonthPosition+1,HS$169&gt;SwaptionFirstMonthPosition+SwaptionNumOfMonths+1,$FJ217&gt;SwaptionFirstMonthPosition+SwaptionNumOfMonths+1),"",IF($FJ217=HS$169,1,IF($FJ217&lt;HS$169,INDEX($FK$170:$ID$241,HS$169,$FJ217),SUMPRODUCT(INDEX($FK$325:$ID$396,HS$169,1+SwaptionShift):INDEX($FK$325:$ID$396,HS$169,SwaptionMonthsToGo+SwaptionShift),INDEX($FK$245:$ID$316,$FJ217-HS$169,73-HS$169+SwaptionShift):INDEX($FK$245:$ID$316,$FJ217-HS$169,72-HS$169+SwaptionMonthsToGo+SwaptionShift))/SQRT(SUM(INDEX($FK372:$ID372,1+SwaptionShift):INDEX($FK372:$ID372,SwaptionMonthsToGo+SwaptionShift))*SUM(INDEX($FK$325:$ID$396,HS$169,1+SwaptionShift):INDEX($FK$325:$ID$396,HS$169,SwaptionMonthsToGo+SwaptionShift))))))</f>
        <v/>
      </c>
      <c r="HT217" s="479" t="str">
        <f ca="1">IF(OR(HT$169&lt;SwaptionFirstMonthPosition+1,$FJ217&lt;SwaptionFirstMonthPosition+1,HT$169&gt;SwaptionFirstMonthPosition+SwaptionNumOfMonths+1,$FJ217&gt;SwaptionFirstMonthPosition+SwaptionNumOfMonths+1),"",IF($FJ217=HT$169,1,IF($FJ217&lt;HT$169,INDEX($FK$170:$ID$241,HT$169,$FJ217),SUMPRODUCT(INDEX($FK$325:$ID$396,HT$169,1+SwaptionShift):INDEX($FK$325:$ID$396,HT$169,SwaptionMonthsToGo+SwaptionShift),INDEX($FK$245:$ID$316,$FJ217-HT$169,73-HT$169+SwaptionShift):INDEX($FK$245:$ID$316,$FJ217-HT$169,72-HT$169+SwaptionMonthsToGo+SwaptionShift))/SQRT(SUM(INDEX($FK372:$ID372,1+SwaptionShift):INDEX($FK372:$ID372,SwaptionMonthsToGo+SwaptionShift))*SUM(INDEX($FK$325:$ID$396,HT$169,1+SwaptionShift):INDEX($FK$325:$ID$396,HT$169,SwaptionMonthsToGo+SwaptionShift))))))</f>
        <v/>
      </c>
      <c r="HU217" s="479" t="str">
        <f ca="1">IF(OR(HU$169&lt;SwaptionFirstMonthPosition+1,$FJ217&lt;SwaptionFirstMonthPosition+1,HU$169&gt;SwaptionFirstMonthPosition+SwaptionNumOfMonths+1,$FJ217&gt;SwaptionFirstMonthPosition+SwaptionNumOfMonths+1),"",IF($FJ217=HU$169,1,IF($FJ217&lt;HU$169,INDEX($FK$170:$ID$241,HU$169,$FJ217),SUMPRODUCT(INDEX($FK$325:$ID$396,HU$169,1+SwaptionShift):INDEX($FK$325:$ID$396,HU$169,SwaptionMonthsToGo+SwaptionShift),INDEX($FK$245:$ID$316,$FJ217-HU$169,73-HU$169+SwaptionShift):INDEX($FK$245:$ID$316,$FJ217-HU$169,72-HU$169+SwaptionMonthsToGo+SwaptionShift))/SQRT(SUM(INDEX($FK372:$ID372,1+SwaptionShift):INDEX($FK372:$ID372,SwaptionMonthsToGo+SwaptionShift))*SUM(INDEX($FK$325:$ID$396,HU$169,1+SwaptionShift):INDEX($FK$325:$ID$396,HU$169,SwaptionMonthsToGo+SwaptionShift))))))</f>
        <v/>
      </c>
      <c r="HV217" s="479" t="str">
        <f ca="1">IF(OR(HV$169&lt;SwaptionFirstMonthPosition+1,$FJ217&lt;SwaptionFirstMonthPosition+1,HV$169&gt;SwaptionFirstMonthPosition+SwaptionNumOfMonths+1,$FJ217&gt;SwaptionFirstMonthPosition+SwaptionNumOfMonths+1),"",IF($FJ217=HV$169,1,IF($FJ217&lt;HV$169,INDEX($FK$170:$ID$241,HV$169,$FJ217),SUMPRODUCT(INDEX($FK$325:$ID$396,HV$169,1+SwaptionShift):INDEX($FK$325:$ID$396,HV$169,SwaptionMonthsToGo+SwaptionShift),INDEX($FK$245:$ID$316,$FJ217-HV$169,73-HV$169+SwaptionShift):INDEX($FK$245:$ID$316,$FJ217-HV$169,72-HV$169+SwaptionMonthsToGo+SwaptionShift))/SQRT(SUM(INDEX($FK372:$ID372,1+SwaptionShift):INDEX($FK372:$ID372,SwaptionMonthsToGo+SwaptionShift))*SUM(INDEX($FK$325:$ID$396,HV$169,1+SwaptionShift):INDEX($FK$325:$ID$396,HV$169,SwaptionMonthsToGo+SwaptionShift))))))</f>
        <v/>
      </c>
      <c r="HW217" s="479" t="str">
        <f ca="1">IF(OR(HW$169&lt;SwaptionFirstMonthPosition+1,$FJ217&lt;SwaptionFirstMonthPosition+1,HW$169&gt;SwaptionFirstMonthPosition+SwaptionNumOfMonths+1,$FJ217&gt;SwaptionFirstMonthPosition+SwaptionNumOfMonths+1),"",IF($FJ217=HW$169,1,IF($FJ217&lt;HW$169,INDEX($FK$170:$ID$241,HW$169,$FJ217),SUMPRODUCT(INDEX($FK$325:$ID$396,HW$169,1+SwaptionShift):INDEX($FK$325:$ID$396,HW$169,SwaptionMonthsToGo+SwaptionShift),INDEX($FK$245:$ID$316,$FJ217-HW$169,73-HW$169+SwaptionShift):INDEX($FK$245:$ID$316,$FJ217-HW$169,72-HW$169+SwaptionMonthsToGo+SwaptionShift))/SQRT(SUM(INDEX($FK372:$ID372,1+SwaptionShift):INDEX($FK372:$ID372,SwaptionMonthsToGo+SwaptionShift))*SUM(INDEX($FK$325:$ID$396,HW$169,1+SwaptionShift):INDEX($FK$325:$ID$396,HW$169,SwaptionMonthsToGo+SwaptionShift))))))</f>
        <v/>
      </c>
      <c r="HX217" s="479" t="str">
        <f ca="1">IF(OR(HX$169&lt;SwaptionFirstMonthPosition+1,$FJ217&lt;SwaptionFirstMonthPosition+1,HX$169&gt;SwaptionFirstMonthPosition+SwaptionNumOfMonths+1,$FJ217&gt;SwaptionFirstMonthPosition+SwaptionNumOfMonths+1),"",IF($FJ217=HX$169,1,IF($FJ217&lt;HX$169,INDEX($FK$170:$ID$241,HX$169,$FJ217),SUMPRODUCT(INDEX($FK$325:$ID$396,HX$169,1+SwaptionShift):INDEX($FK$325:$ID$396,HX$169,SwaptionMonthsToGo+SwaptionShift),INDEX($FK$245:$ID$316,$FJ217-HX$169,73-HX$169+SwaptionShift):INDEX($FK$245:$ID$316,$FJ217-HX$169,72-HX$169+SwaptionMonthsToGo+SwaptionShift))/SQRT(SUM(INDEX($FK372:$ID372,1+SwaptionShift):INDEX($FK372:$ID372,SwaptionMonthsToGo+SwaptionShift))*SUM(INDEX($FK$325:$ID$396,HX$169,1+SwaptionShift):INDEX($FK$325:$ID$396,HX$169,SwaptionMonthsToGo+SwaptionShift))))))</f>
        <v/>
      </c>
      <c r="HY217" s="479" t="str">
        <f ca="1">IF(OR(HY$169&lt;SwaptionFirstMonthPosition+1,$FJ217&lt;SwaptionFirstMonthPosition+1,HY$169&gt;SwaptionFirstMonthPosition+SwaptionNumOfMonths+1,$FJ217&gt;SwaptionFirstMonthPosition+SwaptionNumOfMonths+1),"",IF($FJ217=HY$169,1,IF($FJ217&lt;HY$169,INDEX($FK$170:$ID$241,HY$169,$FJ217),SUMPRODUCT(INDEX($FK$325:$ID$396,HY$169,1+SwaptionShift):INDEX($FK$325:$ID$396,HY$169,SwaptionMonthsToGo+SwaptionShift),INDEX($FK$245:$ID$316,$FJ217-HY$169,73-HY$169+SwaptionShift):INDEX($FK$245:$ID$316,$FJ217-HY$169,72-HY$169+SwaptionMonthsToGo+SwaptionShift))/SQRT(SUM(INDEX($FK372:$ID372,1+SwaptionShift):INDEX($FK372:$ID372,SwaptionMonthsToGo+SwaptionShift))*SUM(INDEX($FK$325:$ID$396,HY$169,1+SwaptionShift):INDEX($FK$325:$ID$396,HY$169,SwaptionMonthsToGo+SwaptionShift))))))</f>
        <v/>
      </c>
      <c r="HZ217" s="479" t="str">
        <f ca="1">IF(OR(HZ$169&lt;SwaptionFirstMonthPosition+1,$FJ217&lt;SwaptionFirstMonthPosition+1,HZ$169&gt;SwaptionFirstMonthPosition+SwaptionNumOfMonths+1,$FJ217&gt;SwaptionFirstMonthPosition+SwaptionNumOfMonths+1),"",IF($FJ217=HZ$169,1,IF($FJ217&lt;HZ$169,INDEX($FK$170:$ID$241,HZ$169,$FJ217),SUMPRODUCT(INDEX($FK$325:$ID$396,HZ$169,1+SwaptionShift):INDEX($FK$325:$ID$396,HZ$169,SwaptionMonthsToGo+SwaptionShift),INDEX($FK$245:$ID$316,$FJ217-HZ$169,73-HZ$169+SwaptionShift):INDEX($FK$245:$ID$316,$FJ217-HZ$169,72-HZ$169+SwaptionMonthsToGo+SwaptionShift))/SQRT(SUM(INDEX($FK372:$ID372,1+SwaptionShift):INDEX($FK372:$ID372,SwaptionMonthsToGo+SwaptionShift))*SUM(INDEX($FK$325:$ID$396,HZ$169,1+SwaptionShift):INDEX($FK$325:$ID$396,HZ$169,SwaptionMonthsToGo+SwaptionShift))))))</f>
        <v/>
      </c>
      <c r="IA217" s="479" t="str">
        <f ca="1">IF(OR(IA$169&lt;SwaptionFirstMonthPosition+1,$FJ217&lt;SwaptionFirstMonthPosition+1,IA$169&gt;SwaptionFirstMonthPosition+SwaptionNumOfMonths+1,$FJ217&gt;SwaptionFirstMonthPosition+SwaptionNumOfMonths+1),"",IF($FJ217=IA$169,1,IF($FJ217&lt;IA$169,INDEX($FK$170:$ID$241,IA$169,$FJ217),SUMPRODUCT(INDEX($FK$325:$ID$396,IA$169,1+SwaptionShift):INDEX($FK$325:$ID$396,IA$169,SwaptionMonthsToGo+SwaptionShift),INDEX($FK$245:$ID$316,$FJ217-IA$169,73-IA$169+SwaptionShift):INDEX($FK$245:$ID$316,$FJ217-IA$169,72-IA$169+SwaptionMonthsToGo+SwaptionShift))/SQRT(SUM(INDEX($FK372:$ID372,1+SwaptionShift):INDEX($FK372:$ID372,SwaptionMonthsToGo+SwaptionShift))*SUM(INDEX($FK$325:$ID$396,IA$169,1+SwaptionShift):INDEX($FK$325:$ID$396,IA$169,SwaptionMonthsToGo+SwaptionShift))))))</f>
        <v/>
      </c>
      <c r="IB217" s="479" t="str">
        <f ca="1">IF(OR(IB$169&lt;SwaptionFirstMonthPosition+1,$FJ217&lt;SwaptionFirstMonthPosition+1,IB$169&gt;SwaptionFirstMonthPosition+SwaptionNumOfMonths+1,$FJ217&gt;SwaptionFirstMonthPosition+SwaptionNumOfMonths+1),"",IF($FJ217=IB$169,1,IF($FJ217&lt;IB$169,INDEX($FK$170:$ID$241,IB$169,$FJ217),SUMPRODUCT(INDEX($FK$325:$ID$396,IB$169,1+SwaptionShift):INDEX($FK$325:$ID$396,IB$169,SwaptionMonthsToGo+SwaptionShift),INDEX($FK$245:$ID$316,$FJ217-IB$169,73-IB$169+SwaptionShift):INDEX($FK$245:$ID$316,$FJ217-IB$169,72-IB$169+SwaptionMonthsToGo+SwaptionShift))/SQRT(SUM(INDEX($FK372:$ID372,1+SwaptionShift):INDEX($FK372:$ID372,SwaptionMonthsToGo+SwaptionShift))*SUM(INDEX($FK$325:$ID$396,IB$169,1+SwaptionShift):INDEX($FK$325:$ID$396,IB$169,SwaptionMonthsToGo+SwaptionShift))))))</f>
        <v/>
      </c>
      <c r="IC217" s="479" t="str">
        <f ca="1">IF(OR(IC$169&lt;SwaptionFirstMonthPosition+1,$FJ217&lt;SwaptionFirstMonthPosition+1,IC$169&gt;SwaptionFirstMonthPosition+SwaptionNumOfMonths+1,$FJ217&gt;SwaptionFirstMonthPosition+SwaptionNumOfMonths+1),"",IF($FJ217=IC$169,1,IF($FJ217&lt;IC$169,INDEX($FK$170:$ID$241,IC$169,$FJ217),SUMPRODUCT(INDEX($FK$325:$ID$396,IC$169,1+SwaptionShift):INDEX($FK$325:$ID$396,IC$169,SwaptionMonthsToGo+SwaptionShift),INDEX($FK$245:$ID$316,$FJ217-IC$169,73-IC$169+SwaptionShift):INDEX($FK$245:$ID$316,$FJ217-IC$169,72-IC$169+SwaptionMonthsToGo+SwaptionShift))/SQRT(SUM(INDEX($FK372:$ID372,1+SwaptionShift):INDEX($FK372:$ID372,SwaptionMonthsToGo+SwaptionShift))*SUM(INDEX($FK$325:$ID$396,IC$169,1+SwaptionShift):INDEX($FK$325:$ID$396,IC$169,SwaptionMonthsToGo+SwaptionShift))))))</f>
        <v/>
      </c>
      <c r="ID217" s="678" t="str">
        <f ca="1">IF(OR(ID$169&lt;SwaptionFirstMonthPosition+1,$FJ217&lt;SwaptionFirstMonthPosition+1,ID$169&gt;SwaptionFirstMonthPosition+SwaptionNumOfMonths+1,$FJ217&gt;SwaptionFirstMonthPosition+SwaptionNumOfMonths+1),"",IF($FJ217=ID$169,1,IF($FJ217&lt;ID$169,INDEX($FK$170:$ID$241,ID$169,$FJ217),SUMPRODUCT(INDEX($FK$325:$ID$396,ID$169,1+SwaptionShift):INDEX($FK$325:$ID$396,ID$169,SwaptionMonthsToGo+SwaptionShift),INDEX($FK$245:$ID$316,$FJ217-ID$169,73-ID$169+SwaptionShift):INDEX($FK$245:$ID$316,$FJ217-ID$169,72-ID$169+SwaptionMonthsToGo+SwaptionShift))/SQRT(SUM(INDEX($FK372:$ID372,1+SwaptionShift):INDEX($FK372:$ID372,SwaptionMonthsToGo+SwaptionShift))*SUM(INDEX($FK$325:$ID$396,ID$169,1+SwaptionShift):INDEX($FK$325:$ID$396,ID$169,SwaptionMonthsToGo+SwaptionShift))))))</f>
        <v/>
      </c>
      <c r="IE217" s="250"/>
    </row>
    <row r="218" spans="8:239">
      <c r="H218" s="51">
        <f t="shared" ca="1" si="646"/>
        <v>0</v>
      </c>
      <c r="I218" s="379">
        <f t="shared" si="647"/>
        <v>42795</v>
      </c>
      <c r="J218" s="377"/>
      <c r="K218" s="104" t="s">
        <v>268</v>
      </c>
      <c r="L218" s="392">
        <f t="shared" si="648"/>
        <v>4.5750000000000011</v>
      </c>
      <c r="M218" s="171"/>
      <c r="N218" s="382">
        <v>0</v>
      </c>
      <c r="O218" s="171">
        <f t="shared" si="596"/>
        <v>0</v>
      </c>
      <c r="P218" s="377"/>
      <c r="Q218" s="104" t="s">
        <v>268</v>
      </c>
      <c r="R218" s="377">
        <f t="shared" ca="1" si="597"/>
        <v>3.4129171651213284</v>
      </c>
      <c r="S218" s="832">
        <f t="shared" si="564"/>
        <v>0.3600000000000001</v>
      </c>
      <c r="T218" s="831">
        <f t="shared" si="661"/>
        <v>0.99999999999999611</v>
      </c>
      <c r="U218" s="545">
        <f t="shared" si="662"/>
        <v>0.99999999999999978</v>
      </c>
      <c r="V218" s="389">
        <v>0</v>
      </c>
      <c r="W218" s="434">
        <f t="shared" si="598"/>
        <v>0</v>
      </c>
      <c r="X218" s="415">
        <f t="shared" si="599"/>
        <v>4.627173913043479</v>
      </c>
      <c r="Y218" s="322">
        <f t="shared" si="600"/>
        <v>-1.1684999999999999</v>
      </c>
      <c r="Z218" s="322">
        <f t="shared" ca="1" si="601"/>
        <v>3.4586739130434792</v>
      </c>
      <c r="AA218" s="429">
        <f t="shared" si="628"/>
        <v>1.1684999999999999</v>
      </c>
      <c r="AB218" s="433">
        <f t="shared" ca="1" si="629"/>
        <v>1.1684999999999999</v>
      </c>
      <c r="AC218" s="229">
        <v>42786</v>
      </c>
      <c r="AD218" s="229">
        <v>42782</v>
      </c>
      <c r="AE218" s="229">
        <v>42781</v>
      </c>
      <c r="AF218" s="229">
        <v>42777</v>
      </c>
      <c r="AG218" s="249" t="s">
        <v>499</v>
      </c>
      <c r="AH218" s="247" t="s">
        <v>499</v>
      </c>
      <c r="AI218" s="146">
        <v>23</v>
      </c>
      <c r="AJ218" s="41">
        <v>14</v>
      </c>
      <c r="AK218" s="41">
        <v>9</v>
      </c>
      <c r="AL218" s="293">
        <v>23</v>
      </c>
      <c r="AM218" s="41">
        <v>10</v>
      </c>
      <c r="AN218" s="147">
        <v>13</v>
      </c>
      <c r="AO218" s="374"/>
      <c r="AP218" s="153">
        <f t="shared" ca="1" si="649"/>
        <v>1</v>
      </c>
      <c r="AQ218" s="374"/>
      <c r="AR218" s="153">
        <f t="shared" ca="1" si="663"/>
        <v>1</v>
      </c>
      <c r="AS218" s="272">
        <f t="shared" si="602"/>
        <v>0</v>
      </c>
      <c r="AT218" s="157">
        <f t="shared" si="650"/>
        <v>0</v>
      </c>
      <c r="AU218" s="157">
        <f t="shared" si="630"/>
        <v>0</v>
      </c>
      <c r="AV218" s="271">
        <f t="shared" ca="1" si="670"/>
        <v>9.9999999999999995E-7</v>
      </c>
      <c r="AW218" s="158" t="str">
        <f t="shared" ca="1" si="583"/>
        <v/>
      </c>
      <c r="AX218" s="157">
        <f t="shared" ca="1" si="664"/>
        <v>3.1832320410732366E-5</v>
      </c>
      <c r="AY218" s="157">
        <f t="shared" ca="1" si="665"/>
        <v>6.5794275903925019E-6</v>
      </c>
      <c r="AZ218" s="157">
        <f t="shared" ca="1" si="666"/>
        <v>1.5769717589523739E-7</v>
      </c>
      <c r="BA218" s="157">
        <f t="shared" ca="1" si="667"/>
        <v>1.9712146986904674E-8</v>
      </c>
      <c r="BB218" s="157">
        <f t="shared" ca="1" si="668"/>
        <v>5.2290281572545555E-11</v>
      </c>
      <c r="BC218" s="157">
        <f t="shared" ca="1" si="669"/>
        <v>7.7713747766657252E-13</v>
      </c>
      <c r="BD218" s="151">
        <f t="shared" ca="1" si="603"/>
        <v>0</v>
      </c>
      <c r="BE218" s="152">
        <f t="shared" ca="1" si="604"/>
        <v>0</v>
      </c>
      <c r="BF218" s="40">
        <f t="shared" si="605"/>
        <v>2017</v>
      </c>
      <c r="BG218" s="144">
        <f t="shared" si="606"/>
        <v>3</v>
      </c>
      <c r="BH218" s="145">
        <f t="shared" ca="1" si="607"/>
        <v>6037</v>
      </c>
      <c r="BI218" s="313">
        <f t="shared" ca="1" si="608"/>
        <v>16.563997262149211</v>
      </c>
      <c r="BJ218" s="42">
        <f t="shared" ca="1" si="631"/>
        <v>16.613992798262061</v>
      </c>
      <c r="BK218" s="42">
        <f t="shared" ca="1" si="632"/>
        <v>16.616730649049192</v>
      </c>
      <c r="BL218" s="42">
        <f t="shared" ca="1" si="609"/>
        <v>16.646132785763175</v>
      </c>
      <c r="BM218" s="150" t="e">
        <f t="shared" ca="1" si="633"/>
        <v>#DIV/0!</v>
      </c>
      <c r="BN218" s="42" t="e">
        <f t="shared" ca="1" si="634"/>
        <v>#DIV/0!</v>
      </c>
      <c r="BO218" s="293">
        <f t="shared" si="610"/>
        <v>23</v>
      </c>
      <c r="BP218" s="41">
        <f t="shared" si="611"/>
        <v>14</v>
      </c>
      <c r="BQ218" s="41">
        <f t="shared" si="612"/>
        <v>9</v>
      </c>
      <c r="BR218" s="305" t="str">
        <f t="shared" ca="1" si="635"/>
        <v/>
      </c>
      <c r="BS218" s="305" t="str">
        <f t="shared" ca="1" si="613"/>
        <v/>
      </c>
      <c r="BT218" s="307" t="str">
        <f t="shared" ca="1" si="614"/>
        <v/>
      </c>
      <c r="BU218" s="161" t="str">
        <f t="shared" ca="1" si="636"/>
        <v/>
      </c>
      <c r="BV218" s="161" t="str">
        <f t="shared" ca="1" si="637"/>
        <v/>
      </c>
      <c r="BW218" s="308" t="str">
        <f t="shared" ca="1" si="638"/>
        <v/>
      </c>
      <c r="BX218" s="309" t="str">
        <f t="shared" ca="1" si="639"/>
        <v/>
      </c>
      <c r="BY218" s="308" t="str">
        <f t="shared" ca="1" si="615"/>
        <v/>
      </c>
      <c r="BZ218" s="309" t="str">
        <f t="shared" ca="1" si="616"/>
        <v/>
      </c>
      <c r="CA218" s="154" t="str">
        <f t="shared" ca="1" si="640"/>
        <v/>
      </c>
      <c r="CB218" s="154" t="str">
        <f t="shared" ca="1" si="641"/>
        <v/>
      </c>
      <c r="CC218" s="154" t="str">
        <f t="shared" ca="1" si="642"/>
        <v/>
      </c>
      <c r="CD218" s="154" t="str">
        <f t="shared" ca="1" si="643"/>
        <v/>
      </c>
      <c r="CE218" s="310">
        <v>1</v>
      </c>
      <c r="CF218" s="162">
        <f ca="1">IF(BD218,_xll.xCrudeAPO(BU218,BV218,CA218,CB218,S219,S220,BI218,BL218,BP218,BQ218,0,Strike1,AO218,CE218,0,BL218,IF(OptControl=4,0,1),0,1),0)</f>
        <v>0</v>
      </c>
      <c r="CG218" s="163">
        <f ca="1">IF(BD218,_xll.xCrudeAPO(BU218,BV218,CA218,CB218,S219,S220,BI218,BL218,BP218,BQ218,0,Strike1,AO218,CE218,0,BL218,IF(OptControl=4,0,1),1,1)+_xll.xCrudeAPO(BU218,BV218,CA218,CB218,S219,S220,BI218,BL218,BP218,BQ218,0,Strike1,AO218,CE218,0,BL218,IF(OptControl=4,0,1),1,2)+IF(OR(VolSkewFlag=2,ABS(BS218)&lt;0.0001),0,IF(BS218&gt;0,-1,1)*CH218*Strike1/BR218^2*BY218/10%),0)</f>
        <v>0</v>
      </c>
      <c r="CH218" s="163">
        <f ca="1">IF(BD218,(_xll.xCrudeAPO(BU218,BV218,CA218,CB218,S219,S220,BI218,BL218,BP218,BQ218,0,Strike1,AO218,CE218,0,BL218,IF(OptControl=4,0,1),3,1)+_xll.xCrudeAPO(BU218,BV218,CA218,CB218,S219,S220,BI218,BL218,BP218,BQ218,0,Strike1,AO218,CE218,0,BL218,IF(OptControl=4,0,1),3,2))/100,0)</f>
        <v>0</v>
      </c>
      <c r="CI218" s="163">
        <f ca="1">IF(BD218,_xll.xCrudeAPO(BU218,BV218,CA218,CB218,S219,S220,BI218-DaysForThetaCalculation/365.25,BL218-DaysForThetaCalculation/365.25,BP218,BQ218,0,Strike1,AO218,CE218,0,BL218,IF(OptControl=4,0,1),0,1)-_xll.xCrudeAPO(BU218,BV218,CA218,CB218,S219,S220,BI218,BL218,BP218,BQ218,0,Strike1,AO218,CE218,0,BL218,IF(OptControl=4,0,1),0,1),0)</f>
        <v>0</v>
      </c>
      <c r="CJ218" s="311">
        <f ca="1">IF(BD218,_xll.xCrudeAPO(BU218,BV218,CC218,CD218,S219,S220,BI218,BL218,BP218,BQ218,0,Strike2,AO218,CE218,0,BL218,IF(OptControl=3,1,0),0,1),0)</f>
        <v>0</v>
      </c>
      <c r="CK218" s="163">
        <f ca="1">IF(BD218,_xll.xCrudeAPO(BU218,BV218,CC218,CD218,S219,S220,BI218,BL218,BP218,BQ218,0,Strike2,AO218,CE218,0,BL218,IF(OptControl=3,1,0),1,1)+_xll.xCrudeAPO(BU218,BV218,CC218,CD218,S219,S220,BI218,BL218,BP218,BQ218,0,Strike2,AO218,CE218,0,BL218,IF(OptControl=3,1,0),1,2)+IF(OR(VolSkewFlag=2,ABS(BT218)&lt;0.0001),0,IF(BT218&gt;0,-1,1)*CL218*Strike2/BR218^2*BZ218/10%),0)</f>
        <v>0</v>
      </c>
      <c r="CL218" s="163">
        <f ca="1">IF(BD218,(_xll.xCrudeAPO(BU218,BV218,CC218,CD218,S219,S220,BI218,BL218,BP218,BQ218,0,Strike2,AO218,CE218,0,BL218,IF(OptControl=3,1,0),3,1)+_xll.xCrudeAPO(BU218,BV218,CC218,CD218,S219,S220,BI218,BL218,BP218,BQ218,0,Strike2,AO218,CE218,0,BL218,IF(OptControl=3,1,0),3,2))/100,0)</f>
        <v>0</v>
      </c>
      <c r="CM218" s="164">
        <f ca="1">IF(BD218,_xll.xCrudeAPO(BU218,BV218,CC218,CD218,S219,S220,BI218-DaysForThetaCalculation/365.25,BL218-DaysForThetaCalculation/365.25,BP218,BQ218,0,Strike2,AO218,CE218,0,BL218,IF(OptControl=3,1,0),0,1)-_xll.xCrudeAPO(BU218,BV218,CC218,CD218,S219,S220,BI218,BL218,BP218,BQ218,0,Strike2,AO218,CE218,0,BL218,IF(OptControl=3,1,0),0,1),0)</f>
        <v>0</v>
      </c>
      <c r="CN218" s="53"/>
      <c r="CO218" s="796" t="str">
        <f t="shared" ca="1" si="651"/>
        <v/>
      </c>
      <c r="CP218" s="800" t="str">
        <f t="shared" ca="1" si="652"/>
        <v/>
      </c>
      <c r="CQ218" s="797" t="str">
        <f t="shared" ca="1" si="653"/>
        <v/>
      </c>
      <c r="CR218" s="797" t="str">
        <f t="shared" ca="1" si="654"/>
        <v/>
      </c>
      <c r="CS218" s="797" t="str">
        <f t="shared" ca="1" si="655"/>
        <v/>
      </c>
      <c r="CT218" s="797" t="str">
        <f t="shared" ca="1" si="656"/>
        <v/>
      </c>
      <c r="CU218" s="798" t="str">
        <f t="shared" ca="1" si="657"/>
        <v/>
      </c>
      <c r="CV218" s="799" t="str">
        <f t="shared" ca="1" si="658"/>
        <v/>
      </c>
      <c r="CW218" s="799" t="str">
        <f t="shared" ca="1" si="659"/>
        <v/>
      </c>
      <c r="CX218" s="163">
        <f ca="1">IF(BD218,_xll.EURO(CP218,Strike1,AO218,AO218,CV218,CO218,IF(OptControl=4,0,1),0),0)</f>
        <v>0</v>
      </c>
      <c r="CY218" s="163">
        <f ca="1">IF(BD218,_xll.EURO(CP218,Strike1,AO218,AO218,CV218,CO218,IF(OptControl=4,0,1),1)+IF(OR(VolSkewFlag=2,ABS(CQ218)&lt;0.0001),0,IF(CQ218&gt;0,-1,1)*CZ218*100*Strike1/CP218^2*CS218/10%),0)</f>
        <v>0</v>
      </c>
      <c r="CZ218" s="163">
        <f ca="1">IF(BD218,_xll.EURO(CP218,Strike1,AO218,AO218,CV218,CO218,IF(OptControl=4,0,1),3)/100,0)</f>
        <v>0</v>
      </c>
      <c r="DA218" s="163">
        <f ca="1">IF(BD218,_xll.EURO(CP218,Strike1,AO218,AO218,CV218,CO218,IF(OptControl=4,0,1),0)-_xll.EURO(CP218,Strike1,AO218,AO218,CV218,CO218-1,IF(OptControl=4,0,1),0),0)</f>
        <v>0</v>
      </c>
      <c r="DB218" s="163">
        <f ca="1">IF(BD218,_xll.EURO(CP218,Strike2,AO218,AO218,CW218,CO218,IF(OptControl=3,1,0),0),0)</f>
        <v>0</v>
      </c>
      <c r="DC218" s="163">
        <f ca="1">IF(BD218,_xll.EURO(CP218,Strike2,AO218,AO218,CW218,CO218,IF(OptControl=3,1,0),1)+IF(OR(VolSkewFlag=2,ABS(CR218)&lt;0.0001),0,IF(CR218&gt;0,-1,1)*DD218*100*Strike2/CP218^2*CT218/10%),0)</f>
        <v>0</v>
      </c>
      <c r="DD218" s="163">
        <f ca="1">IF(BD218,_xll.EURO(CP218,Strike2,AO218,AO218,CW218,CO218,IF(OptControl=3,1,0),3)/100,0)</f>
        <v>0</v>
      </c>
      <c r="DE218" s="164">
        <f ca="1">IF(BD218,_xll.EURO(CP218,Strike2,AO218,AO218,CW218,CO218,IF(OptControl=3,1,0),0)-_xll.EURO(CP218,Strike2,AO218,AO218,CW218,CO218-1,IF(OptControl=3,1,0),0),0)</f>
        <v>0</v>
      </c>
      <c r="DG218" s="667">
        <f t="shared" ca="1" si="660"/>
        <v>42583</v>
      </c>
      <c r="DH218" s="475">
        <v>24.060000000000088</v>
      </c>
      <c r="DI218" s="665">
        <v>24.127391304347917</v>
      </c>
      <c r="DJ218" s="666">
        <f t="shared" ca="1" si="617"/>
        <v>42583</v>
      </c>
      <c r="DK218" s="475">
        <v>22.676345478950761</v>
      </c>
      <c r="DL218" s="665">
        <v>22.860491304347917</v>
      </c>
      <c r="DM218" s="667">
        <f t="shared" ca="1" si="618"/>
        <v>42583</v>
      </c>
      <c r="DN218" s="668">
        <f t="shared" si="619"/>
        <v>22.726345478950762</v>
      </c>
      <c r="DO218" s="667">
        <f t="shared" ca="1" si="620"/>
        <v>42583</v>
      </c>
      <c r="DP218" s="579">
        <f t="shared" si="621"/>
        <v>22.860491304347917</v>
      </c>
      <c r="DQ218" s="821">
        <v>0</v>
      </c>
      <c r="DR218" s="666">
        <f t="shared" ca="1" si="622"/>
        <v>42583</v>
      </c>
      <c r="DS218" s="669">
        <v>0.10579999999999803</v>
      </c>
      <c r="DT218" s="606">
        <v>0.10499130434782412</v>
      </c>
      <c r="DU218" s="666">
        <f t="shared" ca="1" si="623"/>
        <v>42583</v>
      </c>
      <c r="DV218" s="669">
        <v>0.10579999999999803</v>
      </c>
      <c r="DW218" s="606">
        <v>0.10499130434782412</v>
      </c>
      <c r="DX218" s="667">
        <f t="shared" ca="1" si="624"/>
        <v>42583</v>
      </c>
      <c r="DY218" s="606">
        <v>0.35</v>
      </c>
      <c r="DZ218" s="667">
        <f t="shared" ca="1" si="625"/>
        <v>42583</v>
      </c>
      <c r="EA218" s="606">
        <f t="shared" si="626"/>
        <v>0.10499130434782412</v>
      </c>
      <c r="EB218" s="1"/>
      <c r="EC218" s="118" t="str">
        <f t="shared" ca="1" si="627"/>
        <v/>
      </c>
      <c r="ED218" s="119" t="str">
        <f t="shared" ca="1" si="644"/>
        <v/>
      </c>
      <c r="EE218" s="112" t="str">
        <f t="shared" ca="1" si="645"/>
        <v/>
      </c>
      <c r="EF218" s="120">
        <f ca="1">IF(BD218,_xll.xASN(BR218,Strike1,AO218,ED218,0,BO218,0,BI218,BL218,IF(OptControl=4,0,1),0),0)</f>
        <v>0</v>
      </c>
      <c r="EG218" s="111">
        <f ca="1">IF(BD218,_xll.xASN(BR218,Strike2,AO218,EE218,0,BO218,0,BI218,BL218,IF(OptControl=3,1,0),0),0)</f>
        <v>0</v>
      </c>
      <c r="EL218" s="55"/>
      <c r="EM218" s="1"/>
      <c r="EN218" s="106"/>
      <c r="EO218" s="106"/>
      <c r="EP218" s="1"/>
      <c r="EQ218" s="683" t="s">
        <v>432</v>
      </c>
      <c r="ES218" s="55"/>
      <c r="EU218" s="107"/>
      <c r="FJ218" s="673">
        <v>49</v>
      </c>
      <c r="FK218" s="479" t="str">
        <f ca="1">IF(OR(FK$169&lt;SwaptionFirstMonthPosition+1,$FJ218&lt;SwaptionFirstMonthPosition+1,FK$169&gt;SwaptionFirstMonthPosition+SwaptionNumOfMonths+1,$FJ218&gt;SwaptionFirstMonthPosition+SwaptionNumOfMonths+1),"",IF($FJ218=FK$169,1,IF($FJ218&lt;FK$169,INDEX($FK$170:$ID$241,FK$169,$FJ218),SUMPRODUCT(INDEX($FK$325:$ID$396,FK$169,1+SwaptionShift):INDEX($FK$325:$ID$396,FK$169,SwaptionMonthsToGo+SwaptionShift),INDEX($FK$245:$ID$316,$FJ218-FK$169,73-FK$169+SwaptionShift):INDEX($FK$245:$ID$316,$FJ218-FK$169,72-FK$169+SwaptionMonthsToGo+SwaptionShift))/SQRT(SUM(INDEX($FK373:$ID373,1+SwaptionShift):INDEX($FK373:$ID373,SwaptionMonthsToGo+SwaptionShift))*SUM(INDEX($FK$325:$ID$396,FK$169,1+SwaptionShift):INDEX($FK$325:$ID$396,FK$169,SwaptionMonthsToGo+SwaptionShift))))))</f>
        <v/>
      </c>
      <c r="FL218" s="479" t="str">
        <f ca="1">IF(OR(FL$169&lt;SwaptionFirstMonthPosition+1,$FJ218&lt;SwaptionFirstMonthPosition+1,FL$169&gt;SwaptionFirstMonthPosition+SwaptionNumOfMonths+1,$FJ218&gt;SwaptionFirstMonthPosition+SwaptionNumOfMonths+1),"",IF($FJ218=FL$169,1,IF($FJ218&lt;FL$169,INDEX($FK$170:$ID$241,FL$169,$FJ218),SUMPRODUCT(INDEX($FK$325:$ID$396,FL$169,1+SwaptionShift):INDEX($FK$325:$ID$396,FL$169,SwaptionMonthsToGo+SwaptionShift),INDEX($FK$245:$ID$316,$FJ218-FL$169,73-FL$169+SwaptionShift):INDEX($FK$245:$ID$316,$FJ218-FL$169,72-FL$169+SwaptionMonthsToGo+SwaptionShift))/SQRT(SUM(INDEX($FK373:$ID373,1+SwaptionShift):INDEX($FK373:$ID373,SwaptionMonthsToGo+SwaptionShift))*SUM(INDEX($FK$325:$ID$396,FL$169,1+SwaptionShift):INDEX($FK$325:$ID$396,FL$169,SwaptionMonthsToGo+SwaptionShift))))))</f>
        <v/>
      </c>
      <c r="FM218" s="479" t="str">
        <f ca="1">IF(OR(FM$169&lt;SwaptionFirstMonthPosition+1,$FJ218&lt;SwaptionFirstMonthPosition+1,FM$169&gt;SwaptionFirstMonthPosition+SwaptionNumOfMonths+1,$FJ218&gt;SwaptionFirstMonthPosition+SwaptionNumOfMonths+1),"",IF($FJ218=FM$169,1,IF($FJ218&lt;FM$169,INDEX($FK$170:$ID$241,FM$169,$FJ218),SUMPRODUCT(INDEX($FK$325:$ID$396,FM$169,1+SwaptionShift):INDEX($FK$325:$ID$396,FM$169,SwaptionMonthsToGo+SwaptionShift),INDEX($FK$245:$ID$316,$FJ218-FM$169,73-FM$169+SwaptionShift):INDEX($FK$245:$ID$316,$FJ218-FM$169,72-FM$169+SwaptionMonthsToGo+SwaptionShift))/SQRT(SUM(INDEX($FK373:$ID373,1+SwaptionShift):INDEX($FK373:$ID373,SwaptionMonthsToGo+SwaptionShift))*SUM(INDEX($FK$325:$ID$396,FM$169,1+SwaptionShift):INDEX($FK$325:$ID$396,FM$169,SwaptionMonthsToGo+SwaptionShift))))))</f>
        <v/>
      </c>
      <c r="FN218" s="479" t="str">
        <f ca="1">IF(OR(FN$169&lt;SwaptionFirstMonthPosition+1,$FJ218&lt;SwaptionFirstMonthPosition+1,FN$169&gt;SwaptionFirstMonthPosition+SwaptionNumOfMonths+1,$FJ218&gt;SwaptionFirstMonthPosition+SwaptionNumOfMonths+1),"",IF($FJ218=FN$169,1,IF($FJ218&lt;FN$169,INDEX($FK$170:$ID$241,FN$169,$FJ218),SUMPRODUCT(INDEX($FK$325:$ID$396,FN$169,1+SwaptionShift):INDEX($FK$325:$ID$396,FN$169,SwaptionMonthsToGo+SwaptionShift),INDEX($FK$245:$ID$316,$FJ218-FN$169,73-FN$169+SwaptionShift):INDEX($FK$245:$ID$316,$FJ218-FN$169,72-FN$169+SwaptionMonthsToGo+SwaptionShift))/SQRT(SUM(INDEX($FK373:$ID373,1+SwaptionShift):INDEX($FK373:$ID373,SwaptionMonthsToGo+SwaptionShift))*SUM(INDEX($FK$325:$ID$396,FN$169,1+SwaptionShift):INDEX($FK$325:$ID$396,FN$169,SwaptionMonthsToGo+SwaptionShift))))))</f>
        <v/>
      </c>
      <c r="FO218" s="479" t="str">
        <f ca="1">IF(OR(FO$169&lt;SwaptionFirstMonthPosition+1,$FJ218&lt;SwaptionFirstMonthPosition+1,FO$169&gt;SwaptionFirstMonthPosition+SwaptionNumOfMonths+1,$FJ218&gt;SwaptionFirstMonthPosition+SwaptionNumOfMonths+1),"",IF($FJ218=FO$169,1,IF($FJ218&lt;FO$169,INDEX($FK$170:$ID$241,FO$169,$FJ218),SUMPRODUCT(INDEX($FK$325:$ID$396,FO$169,1+SwaptionShift):INDEX($FK$325:$ID$396,FO$169,SwaptionMonthsToGo+SwaptionShift),INDEX($FK$245:$ID$316,$FJ218-FO$169,73-FO$169+SwaptionShift):INDEX($FK$245:$ID$316,$FJ218-FO$169,72-FO$169+SwaptionMonthsToGo+SwaptionShift))/SQRT(SUM(INDEX($FK373:$ID373,1+SwaptionShift):INDEX($FK373:$ID373,SwaptionMonthsToGo+SwaptionShift))*SUM(INDEX($FK$325:$ID$396,FO$169,1+SwaptionShift):INDEX($FK$325:$ID$396,FO$169,SwaptionMonthsToGo+SwaptionShift))))))</f>
        <v/>
      </c>
      <c r="FP218" s="479" t="str">
        <f ca="1">IF(OR(FP$169&lt;SwaptionFirstMonthPosition+1,$FJ218&lt;SwaptionFirstMonthPosition+1,FP$169&gt;SwaptionFirstMonthPosition+SwaptionNumOfMonths+1,$FJ218&gt;SwaptionFirstMonthPosition+SwaptionNumOfMonths+1),"",IF($FJ218=FP$169,1,IF($FJ218&lt;FP$169,INDEX($FK$170:$ID$241,FP$169,$FJ218),SUMPRODUCT(INDEX($FK$325:$ID$396,FP$169,1+SwaptionShift):INDEX($FK$325:$ID$396,FP$169,SwaptionMonthsToGo+SwaptionShift),INDEX($FK$245:$ID$316,$FJ218-FP$169,73-FP$169+SwaptionShift):INDEX($FK$245:$ID$316,$FJ218-FP$169,72-FP$169+SwaptionMonthsToGo+SwaptionShift))/SQRT(SUM(INDEX($FK373:$ID373,1+SwaptionShift):INDEX($FK373:$ID373,SwaptionMonthsToGo+SwaptionShift))*SUM(INDEX($FK$325:$ID$396,FP$169,1+SwaptionShift):INDEX($FK$325:$ID$396,FP$169,SwaptionMonthsToGo+SwaptionShift))))))</f>
        <v/>
      </c>
      <c r="FQ218" s="479" t="str">
        <f ca="1">IF(OR(FQ$169&lt;SwaptionFirstMonthPosition+1,$FJ218&lt;SwaptionFirstMonthPosition+1,FQ$169&gt;SwaptionFirstMonthPosition+SwaptionNumOfMonths+1,$FJ218&gt;SwaptionFirstMonthPosition+SwaptionNumOfMonths+1),"",IF($FJ218=FQ$169,1,IF($FJ218&lt;FQ$169,INDEX($FK$170:$ID$241,FQ$169,$FJ218),SUMPRODUCT(INDEX($FK$325:$ID$396,FQ$169,1+SwaptionShift):INDEX($FK$325:$ID$396,FQ$169,SwaptionMonthsToGo+SwaptionShift),INDEX($FK$245:$ID$316,$FJ218-FQ$169,73-FQ$169+SwaptionShift):INDEX($FK$245:$ID$316,$FJ218-FQ$169,72-FQ$169+SwaptionMonthsToGo+SwaptionShift))/SQRT(SUM(INDEX($FK373:$ID373,1+SwaptionShift):INDEX($FK373:$ID373,SwaptionMonthsToGo+SwaptionShift))*SUM(INDEX($FK$325:$ID$396,FQ$169,1+SwaptionShift):INDEX($FK$325:$ID$396,FQ$169,SwaptionMonthsToGo+SwaptionShift))))))</f>
        <v/>
      </c>
      <c r="FR218" s="479" t="str">
        <f ca="1">IF(OR(FR$169&lt;SwaptionFirstMonthPosition+1,$FJ218&lt;SwaptionFirstMonthPosition+1,FR$169&gt;SwaptionFirstMonthPosition+SwaptionNumOfMonths+1,$FJ218&gt;SwaptionFirstMonthPosition+SwaptionNumOfMonths+1),"",IF($FJ218=FR$169,1,IF($FJ218&lt;FR$169,INDEX($FK$170:$ID$241,FR$169,$FJ218),SUMPRODUCT(INDEX($FK$325:$ID$396,FR$169,1+SwaptionShift):INDEX($FK$325:$ID$396,FR$169,SwaptionMonthsToGo+SwaptionShift),INDEX($FK$245:$ID$316,$FJ218-FR$169,73-FR$169+SwaptionShift):INDEX($FK$245:$ID$316,$FJ218-FR$169,72-FR$169+SwaptionMonthsToGo+SwaptionShift))/SQRT(SUM(INDEX($FK373:$ID373,1+SwaptionShift):INDEX($FK373:$ID373,SwaptionMonthsToGo+SwaptionShift))*SUM(INDEX($FK$325:$ID$396,FR$169,1+SwaptionShift):INDEX($FK$325:$ID$396,FR$169,SwaptionMonthsToGo+SwaptionShift))))))</f>
        <v/>
      </c>
      <c r="FS218" s="479" t="str">
        <f ca="1">IF(OR(FS$169&lt;SwaptionFirstMonthPosition+1,$FJ218&lt;SwaptionFirstMonthPosition+1,FS$169&gt;SwaptionFirstMonthPosition+SwaptionNumOfMonths+1,$FJ218&gt;SwaptionFirstMonthPosition+SwaptionNumOfMonths+1),"",IF($FJ218=FS$169,1,IF($FJ218&lt;FS$169,INDEX($FK$170:$ID$241,FS$169,$FJ218),SUMPRODUCT(INDEX($FK$325:$ID$396,FS$169,1+SwaptionShift):INDEX($FK$325:$ID$396,FS$169,SwaptionMonthsToGo+SwaptionShift),INDEX($FK$245:$ID$316,$FJ218-FS$169,73-FS$169+SwaptionShift):INDEX($FK$245:$ID$316,$FJ218-FS$169,72-FS$169+SwaptionMonthsToGo+SwaptionShift))/SQRT(SUM(INDEX($FK373:$ID373,1+SwaptionShift):INDEX($FK373:$ID373,SwaptionMonthsToGo+SwaptionShift))*SUM(INDEX($FK$325:$ID$396,FS$169,1+SwaptionShift):INDEX($FK$325:$ID$396,FS$169,SwaptionMonthsToGo+SwaptionShift))))))</f>
        <v/>
      </c>
      <c r="FT218" s="479" t="str">
        <f ca="1">IF(OR(FT$169&lt;SwaptionFirstMonthPosition+1,$FJ218&lt;SwaptionFirstMonthPosition+1,FT$169&gt;SwaptionFirstMonthPosition+SwaptionNumOfMonths+1,$FJ218&gt;SwaptionFirstMonthPosition+SwaptionNumOfMonths+1),"",IF($FJ218=FT$169,1,IF($FJ218&lt;FT$169,INDEX($FK$170:$ID$241,FT$169,$FJ218),SUMPRODUCT(INDEX($FK$325:$ID$396,FT$169,1+SwaptionShift):INDEX($FK$325:$ID$396,FT$169,SwaptionMonthsToGo+SwaptionShift),INDEX($FK$245:$ID$316,$FJ218-FT$169,73-FT$169+SwaptionShift):INDEX($FK$245:$ID$316,$FJ218-FT$169,72-FT$169+SwaptionMonthsToGo+SwaptionShift))/SQRT(SUM(INDEX($FK373:$ID373,1+SwaptionShift):INDEX($FK373:$ID373,SwaptionMonthsToGo+SwaptionShift))*SUM(INDEX($FK$325:$ID$396,FT$169,1+SwaptionShift):INDEX($FK$325:$ID$396,FT$169,SwaptionMonthsToGo+SwaptionShift))))))</f>
        <v/>
      </c>
      <c r="FU218" s="479" t="str">
        <f ca="1">IF(OR(FU$169&lt;SwaptionFirstMonthPosition+1,$FJ218&lt;SwaptionFirstMonthPosition+1,FU$169&gt;SwaptionFirstMonthPosition+SwaptionNumOfMonths+1,$FJ218&gt;SwaptionFirstMonthPosition+SwaptionNumOfMonths+1),"",IF($FJ218=FU$169,1,IF($FJ218&lt;FU$169,INDEX($FK$170:$ID$241,FU$169,$FJ218),SUMPRODUCT(INDEX($FK$325:$ID$396,FU$169,1+SwaptionShift):INDEX($FK$325:$ID$396,FU$169,SwaptionMonthsToGo+SwaptionShift),INDEX($FK$245:$ID$316,$FJ218-FU$169,73-FU$169+SwaptionShift):INDEX($FK$245:$ID$316,$FJ218-FU$169,72-FU$169+SwaptionMonthsToGo+SwaptionShift))/SQRT(SUM(INDEX($FK373:$ID373,1+SwaptionShift):INDEX($FK373:$ID373,SwaptionMonthsToGo+SwaptionShift))*SUM(INDEX($FK$325:$ID$396,FU$169,1+SwaptionShift):INDEX($FK$325:$ID$396,FU$169,SwaptionMonthsToGo+SwaptionShift))))))</f>
        <v/>
      </c>
      <c r="FV218" s="479" t="str">
        <f ca="1">IF(OR(FV$169&lt;SwaptionFirstMonthPosition+1,$FJ218&lt;SwaptionFirstMonthPosition+1,FV$169&gt;SwaptionFirstMonthPosition+SwaptionNumOfMonths+1,$FJ218&gt;SwaptionFirstMonthPosition+SwaptionNumOfMonths+1),"",IF($FJ218=FV$169,1,IF($FJ218&lt;FV$169,INDEX($FK$170:$ID$241,FV$169,$FJ218),SUMPRODUCT(INDEX($FK$325:$ID$396,FV$169,1+SwaptionShift):INDEX($FK$325:$ID$396,FV$169,SwaptionMonthsToGo+SwaptionShift),INDEX($FK$245:$ID$316,$FJ218-FV$169,73-FV$169+SwaptionShift):INDEX($FK$245:$ID$316,$FJ218-FV$169,72-FV$169+SwaptionMonthsToGo+SwaptionShift))/SQRT(SUM(INDEX($FK373:$ID373,1+SwaptionShift):INDEX($FK373:$ID373,SwaptionMonthsToGo+SwaptionShift))*SUM(INDEX($FK$325:$ID$396,FV$169,1+SwaptionShift):INDEX($FK$325:$ID$396,FV$169,SwaptionMonthsToGo+SwaptionShift))))))</f>
        <v/>
      </c>
      <c r="FW218" s="479" t="str">
        <f ca="1">IF(OR(FW$169&lt;SwaptionFirstMonthPosition+1,$FJ218&lt;SwaptionFirstMonthPosition+1,FW$169&gt;SwaptionFirstMonthPosition+SwaptionNumOfMonths+1,$FJ218&gt;SwaptionFirstMonthPosition+SwaptionNumOfMonths+1),"",IF($FJ218=FW$169,1,IF($FJ218&lt;FW$169,INDEX($FK$170:$ID$241,FW$169,$FJ218),SUMPRODUCT(INDEX($FK$325:$ID$396,FW$169,1+SwaptionShift):INDEX($FK$325:$ID$396,FW$169,SwaptionMonthsToGo+SwaptionShift),INDEX($FK$245:$ID$316,$FJ218-FW$169,73-FW$169+SwaptionShift):INDEX($FK$245:$ID$316,$FJ218-FW$169,72-FW$169+SwaptionMonthsToGo+SwaptionShift))/SQRT(SUM(INDEX($FK373:$ID373,1+SwaptionShift):INDEX($FK373:$ID373,SwaptionMonthsToGo+SwaptionShift))*SUM(INDEX($FK$325:$ID$396,FW$169,1+SwaptionShift):INDEX($FK$325:$ID$396,FW$169,SwaptionMonthsToGo+SwaptionShift))))))</f>
        <v/>
      </c>
      <c r="FX218" s="479" t="str">
        <f ca="1">IF(OR(FX$169&lt;SwaptionFirstMonthPosition+1,$FJ218&lt;SwaptionFirstMonthPosition+1,FX$169&gt;SwaptionFirstMonthPosition+SwaptionNumOfMonths+1,$FJ218&gt;SwaptionFirstMonthPosition+SwaptionNumOfMonths+1),"",IF($FJ218=FX$169,1,IF($FJ218&lt;FX$169,INDEX($FK$170:$ID$241,FX$169,$FJ218),SUMPRODUCT(INDEX($FK$325:$ID$396,FX$169,1+SwaptionShift):INDEX($FK$325:$ID$396,FX$169,SwaptionMonthsToGo+SwaptionShift),INDEX($FK$245:$ID$316,$FJ218-FX$169,73-FX$169+SwaptionShift):INDEX($FK$245:$ID$316,$FJ218-FX$169,72-FX$169+SwaptionMonthsToGo+SwaptionShift))/SQRT(SUM(INDEX($FK373:$ID373,1+SwaptionShift):INDEX($FK373:$ID373,SwaptionMonthsToGo+SwaptionShift))*SUM(INDEX($FK$325:$ID$396,FX$169,1+SwaptionShift):INDEX($FK$325:$ID$396,FX$169,SwaptionMonthsToGo+SwaptionShift))))))</f>
        <v/>
      </c>
      <c r="FY218" s="479" t="str">
        <f ca="1">IF(OR(FY$169&lt;SwaptionFirstMonthPosition+1,$FJ218&lt;SwaptionFirstMonthPosition+1,FY$169&gt;SwaptionFirstMonthPosition+SwaptionNumOfMonths+1,$FJ218&gt;SwaptionFirstMonthPosition+SwaptionNumOfMonths+1),"",IF($FJ218=FY$169,1,IF($FJ218&lt;FY$169,INDEX($FK$170:$ID$241,FY$169,$FJ218),SUMPRODUCT(INDEX($FK$325:$ID$396,FY$169,1+SwaptionShift):INDEX($FK$325:$ID$396,FY$169,SwaptionMonthsToGo+SwaptionShift),INDEX($FK$245:$ID$316,$FJ218-FY$169,73-FY$169+SwaptionShift):INDEX($FK$245:$ID$316,$FJ218-FY$169,72-FY$169+SwaptionMonthsToGo+SwaptionShift))/SQRT(SUM(INDEX($FK373:$ID373,1+SwaptionShift):INDEX($FK373:$ID373,SwaptionMonthsToGo+SwaptionShift))*SUM(INDEX($FK$325:$ID$396,FY$169,1+SwaptionShift):INDEX($FK$325:$ID$396,FY$169,SwaptionMonthsToGo+SwaptionShift))))))</f>
        <v/>
      </c>
      <c r="FZ218" s="479" t="str">
        <f ca="1">IF(OR(FZ$169&lt;SwaptionFirstMonthPosition+1,$FJ218&lt;SwaptionFirstMonthPosition+1,FZ$169&gt;SwaptionFirstMonthPosition+SwaptionNumOfMonths+1,$FJ218&gt;SwaptionFirstMonthPosition+SwaptionNumOfMonths+1),"",IF($FJ218=FZ$169,1,IF($FJ218&lt;FZ$169,INDEX($FK$170:$ID$241,FZ$169,$FJ218),SUMPRODUCT(INDEX($FK$325:$ID$396,FZ$169,1+SwaptionShift):INDEX($FK$325:$ID$396,FZ$169,SwaptionMonthsToGo+SwaptionShift),INDEX($FK$245:$ID$316,$FJ218-FZ$169,73-FZ$169+SwaptionShift):INDEX($FK$245:$ID$316,$FJ218-FZ$169,72-FZ$169+SwaptionMonthsToGo+SwaptionShift))/SQRT(SUM(INDEX($FK373:$ID373,1+SwaptionShift):INDEX($FK373:$ID373,SwaptionMonthsToGo+SwaptionShift))*SUM(INDEX($FK$325:$ID$396,FZ$169,1+SwaptionShift):INDEX($FK$325:$ID$396,FZ$169,SwaptionMonthsToGo+SwaptionShift))))))</f>
        <v/>
      </c>
      <c r="GA218" s="479" t="str">
        <f ca="1">IF(OR(GA$169&lt;SwaptionFirstMonthPosition+1,$FJ218&lt;SwaptionFirstMonthPosition+1,GA$169&gt;SwaptionFirstMonthPosition+SwaptionNumOfMonths+1,$FJ218&gt;SwaptionFirstMonthPosition+SwaptionNumOfMonths+1),"",IF($FJ218=GA$169,1,IF($FJ218&lt;GA$169,INDEX($FK$170:$ID$241,GA$169,$FJ218),SUMPRODUCT(INDEX($FK$325:$ID$396,GA$169,1+SwaptionShift):INDEX($FK$325:$ID$396,GA$169,SwaptionMonthsToGo+SwaptionShift),INDEX($FK$245:$ID$316,$FJ218-GA$169,73-GA$169+SwaptionShift):INDEX($FK$245:$ID$316,$FJ218-GA$169,72-GA$169+SwaptionMonthsToGo+SwaptionShift))/SQRT(SUM(INDEX($FK373:$ID373,1+SwaptionShift):INDEX($FK373:$ID373,SwaptionMonthsToGo+SwaptionShift))*SUM(INDEX($FK$325:$ID$396,GA$169,1+SwaptionShift):INDEX($FK$325:$ID$396,GA$169,SwaptionMonthsToGo+SwaptionShift))))))</f>
        <v/>
      </c>
      <c r="GB218" s="479" t="str">
        <f ca="1">IF(OR(GB$169&lt;SwaptionFirstMonthPosition+1,$FJ218&lt;SwaptionFirstMonthPosition+1,GB$169&gt;SwaptionFirstMonthPosition+SwaptionNumOfMonths+1,$FJ218&gt;SwaptionFirstMonthPosition+SwaptionNumOfMonths+1),"",IF($FJ218=GB$169,1,IF($FJ218&lt;GB$169,INDEX($FK$170:$ID$241,GB$169,$FJ218),SUMPRODUCT(INDEX($FK$325:$ID$396,GB$169,1+SwaptionShift):INDEX($FK$325:$ID$396,GB$169,SwaptionMonthsToGo+SwaptionShift),INDEX($FK$245:$ID$316,$FJ218-GB$169,73-GB$169+SwaptionShift):INDEX($FK$245:$ID$316,$FJ218-GB$169,72-GB$169+SwaptionMonthsToGo+SwaptionShift))/SQRT(SUM(INDEX($FK373:$ID373,1+SwaptionShift):INDEX($FK373:$ID373,SwaptionMonthsToGo+SwaptionShift))*SUM(INDEX($FK$325:$ID$396,GB$169,1+SwaptionShift):INDEX($FK$325:$ID$396,GB$169,SwaptionMonthsToGo+SwaptionShift))))))</f>
        <v/>
      </c>
      <c r="GC218" s="479" t="str">
        <f ca="1">IF(OR(GC$169&lt;SwaptionFirstMonthPosition+1,$FJ218&lt;SwaptionFirstMonthPosition+1,GC$169&gt;SwaptionFirstMonthPosition+SwaptionNumOfMonths+1,$FJ218&gt;SwaptionFirstMonthPosition+SwaptionNumOfMonths+1),"",IF($FJ218=GC$169,1,IF($FJ218&lt;GC$169,INDEX($FK$170:$ID$241,GC$169,$FJ218),SUMPRODUCT(INDEX($FK$325:$ID$396,GC$169,1+SwaptionShift):INDEX($FK$325:$ID$396,GC$169,SwaptionMonthsToGo+SwaptionShift),INDEX($FK$245:$ID$316,$FJ218-GC$169,73-GC$169+SwaptionShift):INDEX($FK$245:$ID$316,$FJ218-GC$169,72-GC$169+SwaptionMonthsToGo+SwaptionShift))/SQRT(SUM(INDEX($FK373:$ID373,1+SwaptionShift):INDEX($FK373:$ID373,SwaptionMonthsToGo+SwaptionShift))*SUM(INDEX($FK$325:$ID$396,GC$169,1+SwaptionShift):INDEX($FK$325:$ID$396,GC$169,SwaptionMonthsToGo+SwaptionShift))))))</f>
        <v/>
      </c>
      <c r="GD218" s="479" t="str">
        <f ca="1">IF(OR(GD$169&lt;SwaptionFirstMonthPosition+1,$FJ218&lt;SwaptionFirstMonthPosition+1,GD$169&gt;SwaptionFirstMonthPosition+SwaptionNumOfMonths+1,$FJ218&gt;SwaptionFirstMonthPosition+SwaptionNumOfMonths+1),"",IF($FJ218=GD$169,1,IF($FJ218&lt;GD$169,INDEX($FK$170:$ID$241,GD$169,$FJ218),SUMPRODUCT(INDEX($FK$325:$ID$396,GD$169,1+SwaptionShift):INDEX($FK$325:$ID$396,GD$169,SwaptionMonthsToGo+SwaptionShift),INDEX($FK$245:$ID$316,$FJ218-GD$169,73-GD$169+SwaptionShift):INDEX($FK$245:$ID$316,$FJ218-GD$169,72-GD$169+SwaptionMonthsToGo+SwaptionShift))/SQRT(SUM(INDEX($FK373:$ID373,1+SwaptionShift):INDEX($FK373:$ID373,SwaptionMonthsToGo+SwaptionShift))*SUM(INDEX($FK$325:$ID$396,GD$169,1+SwaptionShift):INDEX($FK$325:$ID$396,GD$169,SwaptionMonthsToGo+SwaptionShift))))))</f>
        <v/>
      </c>
      <c r="GE218" s="479" t="str">
        <f ca="1">IF(OR(GE$169&lt;SwaptionFirstMonthPosition+1,$FJ218&lt;SwaptionFirstMonthPosition+1,GE$169&gt;SwaptionFirstMonthPosition+SwaptionNumOfMonths+1,$FJ218&gt;SwaptionFirstMonthPosition+SwaptionNumOfMonths+1),"",IF($FJ218=GE$169,1,IF($FJ218&lt;GE$169,INDEX($FK$170:$ID$241,GE$169,$FJ218),SUMPRODUCT(INDEX($FK$325:$ID$396,GE$169,1+SwaptionShift):INDEX($FK$325:$ID$396,GE$169,SwaptionMonthsToGo+SwaptionShift),INDEX($FK$245:$ID$316,$FJ218-GE$169,73-GE$169+SwaptionShift):INDEX($FK$245:$ID$316,$FJ218-GE$169,72-GE$169+SwaptionMonthsToGo+SwaptionShift))/SQRT(SUM(INDEX($FK373:$ID373,1+SwaptionShift):INDEX($FK373:$ID373,SwaptionMonthsToGo+SwaptionShift))*SUM(INDEX($FK$325:$ID$396,GE$169,1+SwaptionShift):INDEX($FK$325:$ID$396,GE$169,SwaptionMonthsToGo+SwaptionShift))))))</f>
        <v/>
      </c>
      <c r="GF218" s="479" t="str">
        <f ca="1">IF(OR(GF$169&lt;SwaptionFirstMonthPosition+1,$FJ218&lt;SwaptionFirstMonthPosition+1,GF$169&gt;SwaptionFirstMonthPosition+SwaptionNumOfMonths+1,$FJ218&gt;SwaptionFirstMonthPosition+SwaptionNumOfMonths+1),"",IF($FJ218=GF$169,1,IF($FJ218&lt;GF$169,INDEX($FK$170:$ID$241,GF$169,$FJ218),SUMPRODUCT(INDEX($FK$325:$ID$396,GF$169,1+SwaptionShift):INDEX($FK$325:$ID$396,GF$169,SwaptionMonthsToGo+SwaptionShift),INDEX($FK$245:$ID$316,$FJ218-GF$169,73-GF$169+SwaptionShift):INDEX($FK$245:$ID$316,$FJ218-GF$169,72-GF$169+SwaptionMonthsToGo+SwaptionShift))/SQRT(SUM(INDEX($FK373:$ID373,1+SwaptionShift):INDEX($FK373:$ID373,SwaptionMonthsToGo+SwaptionShift))*SUM(INDEX($FK$325:$ID$396,GF$169,1+SwaptionShift):INDEX($FK$325:$ID$396,GF$169,SwaptionMonthsToGo+SwaptionShift))))))</f>
        <v/>
      </c>
      <c r="GG218" s="479" t="str">
        <f ca="1">IF(OR(GG$169&lt;SwaptionFirstMonthPosition+1,$FJ218&lt;SwaptionFirstMonthPosition+1,GG$169&gt;SwaptionFirstMonthPosition+SwaptionNumOfMonths+1,$FJ218&gt;SwaptionFirstMonthPosition+SwaptionNumOfMonths+1),"",IF($FJ218=GG$169,1,IF($FJ218&lt;GG$169,INDEX($FK$170:$ID$241,GG$169,$FJ218),SUMPRODUCT(INDEX($FK$325:$ID$396,GG$169,1+SwaptionShift):INDEX($FK$325:$ID$396,GG$169,SwaptionMonthsToGo+SwaptionShift),INDEX($FK$245:$ID$316,$FJ218-GG$169,73-GG$169+SwaptionShift):INDEX($FK$245:$ID$316,$FJ218-GG$169,72-GG$169+SwaptionMonthsToGo+SwaptionShift))/SQRT(SUM(INDEX($FK373:$ID373,1+SwaptionShift):INDEX($FK373:$ID373,SwaptionMonthsToGo+SwaptionShift))*SUM(INDEX($FK$325:$ID$396,GG$169,1+SwaptionShift):INDEX($FK$325:$ID$396,GG$169,SwaptionMonthsToGo+SwaptionShift))))))</f>
        <v/>
      </c>
      <c r="GH218" s="479" t="str">
        <f ca="1">IF(OR(GH$169&lt;SwaptionFirstMonthPosition+1,$FJ218&lt;SwaptionFirstMonthPosition+1,GH$169&gt;SwaptionFirstMonthPosition+SwaptionNumOfMonths+1,$FJ218&gt;SwaptionFirstMonthPosition+SwaptionNumOfMonths+1),"",IF($FJ218=GH$169,1,IF($FJ218&lt;GH$169,INDEX($FK$170:$ID$241,GH$169,$FJ218),SUMPRODUCT(INDEX($FK$325:$ID$396,GH$169,1+SwaptionShift):INDEX($FK$325:$ID$396,GH$169,SwaptionMonthsToGo+SwaptionShift),INDEX($FK$245:$ID$316,$FJ218-GH$169,73-GH$169+SwaptionShift):INDEX($FK$245:$ID$316,$FJ218-GH$169,72-GH$169+SwaptionMonthsToGo+SwaptionShift))/SQRT(SUM(INDEX($FK373:$ID373,1+SwaptionShift):INDEX($FK373:$ID373,SwaptionMonthsToGo+SwaptionShift))*SUM(INDEX($FK$325:$ID$396,GH$169,1+SwaptionShift):INDEX($FK$325:$ID$396,GH$169,SwaptionMonthsToGo+SwaptionShift))))))</f>
        <v/>
      </c>
      <c r="GI218" s="479" t="str">
        <f ca="1">IF(OR(GI$169&lt;SwaptionFirstMonthPosition+1,$FJ218&lt;SwaptionFirstMonthPosition+1,GI$169&gt;SwaptionFirstMonthPosition+SwaptionNumOfMonths+1,$FJ218&gt;SwaptionFirstMonthPosition+SwaptionNumOfMonths+1),"",IF($FJ218=GI$169,1,IF($FJ218&lt;GI$169,INDEX($FK$170:$ID$241,GI$169,$FJ218),SUMPRODUCT(INDEX($FK$325:$ID$396,GI$169,1+SwaptionShift):INDEX($FK$325:$ID$396,GI$169,SwaptionMonthsToGo+SwaptionShift),INDEX($FK$245:$ID$316,$FJ218-GI$169,73-GI$169+SwaptionShift):INDEX($FK$245:$ID$316,$FJ218-GI$169,72-GI$169+SwaptionMonthsToGo+SwaptionShift))/SQRT(SUM(INDEX($FK373:$ID373,1+SwaptionShift):INDEX($FK373:$ID373,SwaptionMonthsToGo+SwaptionShift))*SUM(INDEX($FK$325:$ID$396,GI$169,1+SwaptionShift):INDEX($FK$325:$ID$396,GI$169,SwaptionMonthsToGo+SwaptionShift))))))</f>
        <v/>
      </c>
      <c r="GJ218" s="479" t="str">
        <f ca="1">IF(OR(GJ$169&lt;SwaptionFirstMonthPosition+1,$FJ218&lt;SwaptionFirstMonthPosition+1,GJ$169&gt;SwaptionFirstMonthPosition+SwaptionNumOfMonths+1,$FJ218&gt;SwaptionFirstMonthPosition+SwaptionNumOfMonths+1),"",IF($FJ218=GJ$169,1,IF($FJ218&lt;GJ$169,INDEX($FK$170:$ID$241,GJ$169,$FJ218),SUMPRODUCT(INDEX($FK$325:$ID$396,GJ$169,1+SwaptionShift):INDEX($FK$325:$ID$396,GJ$169,SwaptionMonthsToGo+SwaptionShift),INDEX($FK$245:$ID$316,$FJ218-GJ$169,73-GJ$169+SwaptionShift):INDEX($FK$245:$ID$316,$FJ218-GJ$169,72-GJ$169+SwaptionMonthsToGo+SwaptionShift))/SQRT(SUM(INDEX($FK373:$ID373,1+SwaptionShift):INDEX($FK373:$ID373,SwaptionMonthsToGo+SwaptionShift))*SUM(INDEX($FK$325:$ID$396,GJ$169,1+SwaptionShift):INDEX($FK$325:$ID$396,GJ$169,SwaptionMonthsToGo+SwaptionShift))))))</f>
        <v/>
      </c>
      <c r="GK218" s="479" t="str">
        <f ca="1">IF(OR(GK$169&lt;SwaptionFirstMonthPosition+1,$FJ218&lt;SwaptionFirstMonthPosition+1,GK$169&gt;SwaptionFirstMonthPosition+SwaptionNumOfMonths+1,$FJ218&gt;SwaptionFirstMonthPosition+SwaptionNumOfMonths+1),"",IF($FJ218=GK$169,1,IF($FJ218&lt;GK$169,INDEX($FK$170:$ID$241,GK$169,$FJ218),SUMPRODUCT(INDEX($FK$325:$ID$396,GK$169,1+SwaptionShift):INDEX($FK$325:$ID$396,GK$169,SwaptionMonthsToGo+SwaptionShift),INDEX($FK$245:$ID$316,$FJ218-GK$169,73-GK$169+SwaptionShift):INDEX($FK$245:$ID$316,$FJ218-GK$169,72-GK$169+SwaptionMonthsToGo+SwaptionShift))/SQRT(SUM(INDEX($FK373:$ID373,1+SwaptionShift):INDEX($FK373:$ID373,SwaptionMonthsToGo+SwaptionShift))*SUM(INDEX($FK$325:$ID$396,GK$169,1+SwaptionShift):INDEX($FK$325:$ID$396,GK$169,SwaptionMonthsToGo+SwaptionShift))))))</f>
        <v/>
      </c>
      <c r="GL218" s="479" t="str">
        <f ca="1">IF(OR(GL$169&lt;SwaptionFirstMonthPosition+1,$FJ218&lt;SwaptionFirstMonthPosition+1,GL$169&gt;SwaptionFirstMonthPosition+SwaptionNumOfMonths+1,$FJ218&gt;SwaptionFirstMonthPosition+SwaptionNumOfMonths+1),"",IF($FJ218=GL$169,1,IF($FJ218&lt;GL$169,INDEX($FK$170:$ID$241,GL$169,$FJ218),SUMPRODUCT(INDEX($FK$325:$ID$396,GL$169,1+SwaptionShift):INDEX($FK$325:$ID$396,GL$169,SwaptionMonthsToGo+SwaptionShift),INDEX($FK$245:$ID$316,$FJ218-GL$169,73-GL$169+SwaptionShift):INDEX($FK$245:$ID$316,$FJ218-GL$169,72-GL$169+SwaptionMonthsToGo+SwaptionShift))/SQRT(SUM(INDEX($FK373:$ID373,1+SwaptionShift):INDEX($FK373:$ID373,SwaptionMonthsToGo+SwaptionShift))*SUM(INDEX($FK$325:$ID$396,GL$169,1+SwaptionShift):INDEX($FK$325:$ID$396,GL$169,SwaptionMonthsToGo+SwaptionShift))))))</f>
        <v/>
      </c>
      <c r="GM218" s="479" t="str">
        <f ca="1">IF(OR(GM$169&lt;SwaptionFirstMonthPosition+1,$FJ218&lt;SwaptionFirstMonthPosition+1,GM$169&gt;SwaptionFirstMonthPosition+SwaptionNumOfMonths+1,$FJ218&gt;SwaptionFirstMonthPosition+SwaptionNumOfMonths+1),"",IF($FJ218=GM$169,1,IF($FJ218&lt;GM$169,INDEX($FK$170:$ID$241,GM$169,$FJ218),SUMPRODUCT(INDEX($FK$325:$ID$396,GM$169,1+SwaptionShift):INDEX($FK$325:$ID$396,GM$169,SwaptionMonthsToGo+SwaptionShift),INDEX($FK$245:$ID$316,$FJ218-GM$169,73-GM$169+SwaptionShift):INDEX($FK$245:$ID$316,$FJ218-GM$169,72-GM$169+SwaptionMonthsToGo+SwaptionShift))/SQRT(SUM(INDEX($FK373:$ID373,1+SwaptionShift):INDEX($FK373:$ID373,SwaptionMonthsToGo+SwaptionShift))*SUM(INDEX($FK$325:$ID$396,GM$169,1+SwaptionShift):INDEX($FK$325:$ID$396,GM$169,SwaptionMonthsToGo+SwaptionShift))))))</f>
        <v/>
      </c>
      <c r="GN218" s="479" t="str">
        <f ca="1">IF(OR(GN$169&lt;SwaptionFirstMonthPosition+1,$FJ218&lt;SwaptionFirstMonthPosition+1,GN$169&gt;SwaptionFirstMonthPosition+SwaptionNumOfMonths+1,$FJ218&gt;SwaptionFirstMonthPosition+SwaptionNumOfMonths+1),"",IF($FJ218=GN$169,1,IF($FJ218&lt;GN$169,INDEX($FK$170:$ID$241,GN$169,$FJ218),SUMPRODUCT(INDEX($FK$325:$ID$396,GN$169,1+SwaptionShift):INDEX($FK$325:$ID$396,GN$169,SwaptionMonthsToGo+SwaptionShift),INDEX($FK$245:$ID$316,$FJ218-GN$169,73-GN$169+SwaptionShift):INDEX($FK$245:$ID$316,$FJ218-GN$169,72-GN$169+SwaptionMonthsToGo+SwaptionShift))/SQRT(SUM(INDEX($FK373:$ID373,1+SwaptionShift):INDEX($FK373:$ID373,SwaptionMonthsToGo+SwaptionShift))*SUM(INDEX($FK$325:$ID$396,GN$169,1+SwaptionShift):INDEX($FK$325:$ID$396,GN$169,SwaptionMonthsToGo+SwaptionShift))))))</f>
        <v/>
      </c>
      <c r="GO218" s="479" t="str">
        <f ca="1">IF(OR(GO$169&lt;SwaptionFirstMonthPosition+1,$FJ218&lt;SwaptionFirstMonthPosition+1,GO$169&gt;SwaptionFirstMonthPosition+SwaptionNumOfMonths+1,$FJ218&gt;SwaptionFirstMonthPosition+SwaptionNumOfMonths+1),"",IF($FJ218=GO$169,1,IF($FJ218&lt;GO$169,INDEX($FK$170:$ID$241,GO$169,$FJ218),SUMPRODUCT(INDEX($FK$325:$ID$396,GO$169,1+SwaptionShift):INDEX($FK$325:$ID$396,GO$169,SwaptionMonthsToGo+SwaptionShift),INDEX($FK$245:$ID$316,$FJ218-GO$169,73-GO$169+SwaptionShift):INDEX($FK$245:$ID$316,$FJ218-GO$169,72-GO$169+SwaptionMonthsToGo+SwaptionShift))/SQRT(SUM(INDEX($FK373:$ID373,1+SwaptionShift):INDEX($FK373:$ID373,SwaptionMonthsToGo+SwaptionShift))*SUM(INDEX($FK$325:$ID$396,GO$169,1+SwaptionShift):INDEX($FK$325:$ID$396,GO$169,SwaptionMonthsToGo+SwaptionShift))))))</f>
        <v/>
      </c>
      <c r="GP218" s="479" t="str">
        <f ca="1">IF(OR(GP$169&lt;SwaptionFirstMonthPosition+1,$FJ218&lt;SwaptionFirstMonthPosition+1,GP$169&gt;SwaptionFirstMonthPosition+SwaptionNumOfMonths+1,$FJ218&gt;SwaptionFirstMonthPosition+SwaptionNumOfMonths+1),"",IF($FJ218=GP$169,1,IF($FJ218&lt;GP$169,INDEX($FK$170:$ID$241,GP$169,$FJ218),SUMPRODUCT(INDEX($FK$325:$ID$396,GP$169,1+SwaptionShift):INDEX($FK$325:$ID$396,GP$169,SwaptionMonthsToGo+SwaptionShift),INDEX($FK$245:$ID$316,$FJ218-GP$169,73-GP$169+SwaptionShift):INDEX($FK$245:$ID$316,$FJ218-GP$169,72-GP$169+SwaptionMonthsToGo+SwaptionShift))/SQRT(SUM(INDEX($FK373:$ID373,1+SwaptionShift):INDEX($FK373:$ID373,SwaptionMonthsToGo+SwaptionShift))*SUM(INDEX($FK$325:$ID$396,GP$169,1+SwaptionShift):INDEX($FK$325:$ID$396,GP$169,SwaptionMonthsToGo+SwaptionShift))))))</f>
        <v/>
      </c>
      <c r="GQ218" s="479" t="str">
        <f ca="1">IF(OR(GQ$169&lt;SwaptionFirstMonthPosition+1,$FJ218&lt;SwaptionFirstMonthPosition+1,GQ$169&gt;SwaptionFirstMonthPosition+SwaptionNumOfMonths+1,$FJ218&gt;SwaptionFirstMonthPosition+SwaptionNumOfMonths+1),"",IF($FJ218=GQ$169,1,IF($FJ218&lt;GQ$169,INDEX($FK$170:$ID$241,GQ$169,$FJ218),SUMPRODUCT(INDEX($FK$325:$ID$396,GQ$169,1+SwaptionShift):INDEX($FK$325:$ID$396,GQ$169,SwaptionMonthsToGo+SwaptionShift),INDEX($FK$245:$ID$316,$FJ218-GQ$169,73-GQ$169+SwaptionShift):INDEX($FK$245:$ID$316,$FJ218-GQ$169,72-GQ$169+SwaptionMonthsToGo+SwaptionShift))/SQRT(SUM(INDEX($FK373:$ID373,1+SwaptionShift):INDEX($FK373:$ID373,SwaptionMonthsToGo+SwaptionShift))*SUM(INDEX($FK$325:$ID$396,GQ$169,1+SwaptionShift):INDEX($FK$325:$ID$396,GQ$169,SwaptionMonthsToGo+SwaptionShift))))))</f>
        <v/>
      </c>
      <c r="GR218" s="479" t="str">
        <f ca="1">IF(OR(GR$169&lt;SwaptionFirstMonthPosition+1,$FJ218&lt;SwaptionFirstMonthPosition+1,GR$169&gt;SwaptionFirstMonthPosition+SwaptionNumOfMonths+1,$FJ218&gt;SwaptionFirstMonthPosition+SwaptionNumOfMonths+1),"",IF($FJ218=GR$169,1,IF($FJ218&lt;GR$169,INDEX($FK$170:$ID$241,GR$169,$FJ218),SUMPRODUCT(INDEX($FK$325:$ID$396,GR$169,1+SwaptionShift):INDEX($FK$325:$ID$396,GR$169,SwaptionMonthsToGo+SwaptionShift),INDEX($FK$245:$ID$316,$FJ218-GR$169,73-GR$169+SwaptionShift):INDEX($FK$245:$ID$316,$FJ218-GR$169,72-GR$169+SwaptionMonthsToGo+SwaptionShift))/SQRT(SUM(INDEX($FK373:$ID373,1+SwaptionShift):INDEX($FK373:$ID373,SwaptionMonthsToGo+SwaptionShift))*SUM(INDEX($FK$325:$ID$396,GR$169,1+SwaptionShift):INDEX($FK$325:$ID$396,GR$169,SwaptionMonthsToGo+SwaptionShift))))))</f>
        <v/>
      </c>
      <c r="GS218" s="479" t="str">
        <f ca="1">IF(OR(GS$169&lt;SwaptionFirstMonthPosition+1,$FJ218&lt;SwaptionFirstMonthPosition+1,GS$169&gt;SwaptionFirstMonthPosition+SwaptionNumOfMonths+1,$FJ218&gt;SwaptionFirstMonthPosition+SwaptionNumOfMonths+1),"",IF($FJ218=GS$169,1,IF($FJ218&lt;GS$169,INDEX($FK$170:$ID$241,GS$169,$FJ218),SUMPRODUCT(INDEX($FK$325:$ID$396,GS$169,1+SwaptionShift):INDEX($FK$325:$ID$396,GS$169,SwaptionMonthsToGo+SwaptionShift),INDEX($FK$245:$ID$316,$FJ218-GS$169,73-GS$169+SwaptionShift):INDEX($FK$245:$ID$316,$FJ218-GS$169,72-GS$169+SwaptionMonthsToGo+SwaptionShift))/SQRT(SUM(INDEX($FK373:$ID373,1+SwaptionShift):INDEX($FK373:$ID373,SwaptionMonthsToGo+SwaptionShift))*SUM(INDEX($FK$325:$ID$396,GS$169,1+SwaptionShift):INDEX($FK$325:$ID$396,GS$169,SwaptionMonthsToGo+SwaptionShift))))))</f>
        <v/>
      </c>
      <c r="GT218" s="479" t="str">
        <f ca="1">IF(OR(GT$169&lt;SwaptionFirstMonthPosition+1,$FJ218&lt;SwaptionFirstMonthPosition+1,GT$169&gt;SwaptionFirstMonthPosition+SwaptionNumOfMonths+1,$FJ218&gt;SwaptionFirstMonthPosition+SwaptionNumOfMonths+1),"",IF($FJ218=GT$169,1,IF($FJ218&lt;GT$169,INDEX($FK$170:$ID$241,GT$169,$FJ218),SUMPRODUCT(INDEX($FK$325:$ID$396,GT$169,1+SwaptionShift):INDEX($FK$325:$ID$396,GT$169,SwaptionMonthsToGo+SwaptionShift),INDEX($FK$245:$ID$316,$FJ218-GT$169,73-GT$169+SwaptionShift):INDEX($FK$245:$ID$316,$FJ218-GT$169,72-GT$169+SwaptionMonthsToGo+SwaptionShift))/SQRT(SUM(INDEX($FK373:$ID373,1+SwaptionShift):INDEX($FK373:$ID373,SwaptionMonthsToGo+SwaptionShift))*SUM(INDEX($FK$325:$ID$396,GT$169,1+SwaptionShift):INDEX($FK$325:$ID$396,GT$169,SwaptionMonthsToGo+SwaptionShift))))))</f>
        <v/>
      </c>
      <c r="GU218" s="479" t="str">
        <f ca="1">IF(OR(GU$169&lt;SwaptionFirstMonthPosition+1,$FJ218&lt;SwaptionFirstMonthPosition+1,GU$169&gt;SwaptionFirstMonthPosition+SwaptionNumOfMonths+1,$FJ218&gt;SwaptionFirstMonthPosition+SwaptionNumOfMonths+1),"",IF($FJ218=GU$169,1,IF($FJ218&lt;GU$169,INDEX($FK$170:$ID$241,GU$169,$FJ218),SUMPRODUCT(INDEX($FK$325:$ID$396,GU$169,1+SwaptionShift):INDEX($FK$325:$ID$396,GU$169,SwaptionMonthsToGo+SwaptionShift),INDEX($FK$245:$ID$316,$FJ218-GU$169,73-GU$169+SwaptionShift):INDEX($FK$245:$ID$316,$FJ218-GU$169,72-GU$169+SwaptionMonthsToGo+SwaptionShift))/SQRT(SUM(INDEX($FK373:$ID373,1+SwaptionShift):INDEX($FK373:$ID373,SwaptionMonthsToGo+SwaptionShift))*SUM(INDEX($FK$325:$ID$396,GU$169,1+SwaptionShift):INDEX($FK$325:$ID$396,GU$169,SwaptionMonthsToGo+SwaptionShift))))))</f>
        <v/>
      </c>
      <c r="GV218" s="479" t="str">
        <f ca="1">IF(OR(GV$169&lt;SwaptionFirstMonthPosition+1,$FJ218&lt;SwaptionFirstMonthPosition+1,GV$169&gt;SwaptionFirstMonthPosition+SwaptionNumOfMonths+1,$FJ218&gt;SwaptionFirstMonthPosition+SwaptionNumOfMonths+1),"",IF($FJ218=GV$169,1,IF($FJ218&lt;GV$169,INDEX($FK$170:$ID$241,GV$169,$FJ218),SUMPRODUCT(INDEX($FK$325:$ID$396,GV$169,1+SwaptionShift):INDEX($FK$325:$ID$396,GV$169,SwaptionMonthsToGo+SwaptionShift),INDEX($FK$245:$ID$316,$FJ218-GV$169,73-GV$169+SwaptionShift):INDEX($FK$245:$ID$316,$FJ218-GV$169,72-GV$169+SwaptionMonthsToGo+SwaptionShift))/SQRT(SUM(INDEX($FK373:$ID373,1+SwaptionShift):INDEX($FK373:$ID373,SwaptionMonthsToGo+SwaptionShift))*SUM(INDEX($FK$325:$ID$396,GV$169,1+SwaptionShift):INDEX($FK$325:$ID$396,GV$169,SwaptionMonthsToGo+SwaptionShift))))))</f>
        <v/>
      </c>
      <c r="GW218" s="479" t="str">
        <f ca="1">IF(OR(GW$169&lt;SwaptionFirstMonthPosition+1,$FJ218&lt;SwaptionFirstMonthPosition+1,GW$169&gt;SwaptionFirstMonthPosition+SwaptionNumOfMonths+1,$FJ218&gt;SwaptionFirstMonthPosition+SwaptionNumOfMonths+1),"",IF($FJ218=GW$169,1,IF($FJ218&lt;GW$169,INDEX($FK$170:$ID$241,GW$169,$FJ218),SUMPRODUCT(INDEX($FK$325:$ID$396,GW$169,1+SwaptionShift):INDEX($FK$325:$ID$396,GW$169,SwaptionMonthsToGo+SwaptionShift),INDEX($FK$245:$ID$316,$FJ218-GW$169,73-GW$169+SwaptionShift):INDEX($FK$245:$ID$316,$FJ218-GW$169,72-GW$169+SwaptionMonthsToGo+SwaptionShift))/SQRT(SUM(INDEX($FK373:$ID373,1+SwaptionShift):INDEX($FK373:$ID373,SwaptionMonthsToGo+SwaptionShift))*SUM(INDEX($FK$325:$ID$396,GW$169,1+SwaptionShift):INDEX($FK$325:$ID$396,GW$169,SwaptionMonthsToGo+SwaptionShift))))))</f>
        <v/>
      </c>
      <c r="GX218" s="479" t="str">
        <f ca="1">IF(OR(GX$169&lt;SwaptionFirstMonthPosition+1,$FJ218&lt;SwaptionFirstMonthPosition+1,GX$169&gt;SwaptionFirstMonthPosition+SwaptionNumOfMonths+1,$FJ218&gt;SwaptionFirstMonthPosition+SwaptionNumOfMonths+1),"",IF($FJ218=GX$169,1,IF($FJ218&lt;GX$169,INDEX($FK$170:$ID$241,GX$169,$FJ218),SUMPRODUCT(INDEX($FK$325:$ID$396,GX$169,1+SwaptionShift):INDEX($FK$325:$ID$396,GX$169,SwaptionMonthsToGo+SwaptionShift),INDEX($FK$245:$ID$316,$FJ218-GX$169,73-GX$169+SwaptionShift):INDEX($FK$245:$ID$316,$FJ218-GX$169,72-GX$169+SwaptionMonthsToGo+SwaptionShift))/SQRT(SUM(INDEX($FK373:$ID373,1+SwaptionShift):INDEX($FK373:$ID373,SwaptionMonthsToGo+SwaptionShift))*SUM(INDEX($FK$325:$ID$396,GX$169,1+SwaptionShift):INDEX($FK$325:$ID$396,GX$169,SwaptionMonthsToGo+SwaptionShift))))))</f>
        <v/>
      </c>
      <c r="GY218" s="479" t="str">
        <f ca="1">IF(OR(GY$169&lt;SwaptionFirstMonthPosition+1,$FJ218&lt;SwaptionFirstMonthPosition+1,GY$169&gt;SwaptionFirstMonthPosition+SwaptionNumOfMonths+1,$FJ218&gt;SwaptionFirstMonthPosition+SwaptionNumOfMonths+1),"",IF($FJ218=GY$169,1,IF($FJ218&lt;GY$169,INDEX($FK$170:$ID$241,GY$169,$FJ218),SUMPRODUCT(INDEX($FK$325:$ID$396,GY$169,1+SwaptionShift):INDEX($FK$325:$ID$396,GY$169,SwaptionMonthsToGo+SwaptionShift),INDEX($FK$245:$ID$316,$FJ218-GY$169,73-GY$169+SwaptionShift):INDEX($FK$245:$ID$316,$FJ218-GY$169,72-GY$169+SwaptionMonthsToGo+SwaptionShift))/SQRT(SUM(INDEX($FK373:$ID373,1+SwaptionShift):INDEX($FK373:$ID373,SwaptionMonthsToGo+SwaptionShift))*SUM(INDEX($FK$325:$ID$396,GY$169,1+SwaptionShift):INDEX($FK$325:$ID$396,GY$169,SwaptionMonthsToGo+SwaptionShift))))))</f>
        <v/>
      </c>
      <c r="GZ218" s="479" t="str">
        <f ca="1">IF(OR(GZ$169&lt;SwaptionFirstMonthPosition+1,$FJ218&lt;SwaptionFirstMonthPosition+1,GZ$169&gt;SwaptionFirstMonthPosition+SwaptionNumOfMonths+1,$FJ218&gt;SwaptionFirstMonthPosition+SwaptionNumOfMonths+1),"",IF($FJ218=GZ$169,1,IF($FJ218&lt;GZ$169,INDEX($FK$170:$ID$241,GZ$169,$FJ218),SUMPRODUCT(INDEX($FK$325:$ID$396,GZ$169,1+SwaptionShift):INDEX($FK$325:$ID$396,GZ$169,SwaptionMonthsToGo+SwaptionShift),INDEX($FK$245:$ID$316,$FJ218-GZ$169,73-GZ$169+SwaptionShift):INDEX($FK$245:$ID$316,$FJ218-GZ$169,72-GZ$169+SwaptionMonthsToGo+SwaptionShift))/SQRT(SUM(INDEX($FK373:$ID373,1+SwaptionShift):INDEX($FK373:$ID373,SwaptionMonthsToGo+SwaptionShift))*SUM(INDEX($FK$325:$ID$396,GZ$169,1+SwaptionShift):INDEX($FK$325:$ID$396,GZ$169,SwaptionMonthsToGo+SwaptionShift))))))</f>
        <v/>
      </c>
      <c r="HA218" s="479" t="str">
        <f ca="1">IF(OR(HA$169&lt;SwaptionFirstMonthPosition+1,$FJ218&lt;SwaptionFirstMonthPosition+1,HA$169&gt;SwaptionFirstMonthPosition+SwaptionNumOfMonths+1,$FJ218&gt;SwaptionFirstMonthPosition+SwaptionNumOfMonths+1),"",IF($FJ218=HA$169,1,IF($FJ218&lt;HA$169,INDEX($FK$170:$ID$241,HA$169,$FJ218),SUMPRODUCT(INDEX($FK$325:$ID$396,HA$169,1+SwaptionShift):INDEX($FK$325:$ID$396,HA$169,SwaptionMonthsToGo+SwaptionShift),INDEX($FK$245:$ID$316,$FJ218-HA$169,73-HA$169+SwaptionShift):INDEX($FK$245:$ID$316,$FJ218-HA$169,72-HA$169+SwaptionMonthsToGo+SwaptionShift))/SQRT(SUM(INDEX($FK373:$ID373,1+SwaptionShift):INDEX($FK373:$ID373,SwaptionMonthsToGo+SwaptionShift))*SUM(INDEX($FK$325:$ID$396,HA$169,1+SwaptionShift):INDEX($FK$325:$ID$396,HA$169,SwaptionMonthsToGo+SwaptionShift))))))</f>
        <v/>
      </c>
      <c r="HB218" s="479" t="str">
        <f ca="1">IF(OR(HB$169&lt;SwaptionFirstMonthPosition+1,$FJ218&lt;SwaptionFirstMonthPosition+1,HB$169&gt;SwaptionFirstMonthPosition+SwaptionNumOfMonths+1,$FJ218&gt;SwaptionFirstMonthPosition+SwaptionNumOfMonths+1),"",IF($FJ218=HB$169,1,IF($FJ218&lt;HB$169,INDEX($FK$170:$ID$241,HB$169,$FJ218),SUMPRODUCT(INDEX($FK$325:$ID$396,HB$169,1+SwaptionShift):INDEX($FK$325:$ID$396,HB$169,SwaptionMonthsToGo+SwaptionShift),INDEX($FK$245:$ID$316,$FJ218-HB$169,73-HB$169+SwaptionShift):INDEX($FK$245:$ID$316,$FJ218-HB$169,72-HB$169+SwaptionMonthsToGo+SwaptionShift))/SQRT(SUM(INDEX($FK373:$ID373,1+SwaptionShift):INDEX($FK373:$ID373,SwaptionMonthsToGo+SwaptionShift))*SUM(INDEX($FK$325:$ID$396,HB$169,1+SwaptionShift):INDEX($FK$325:$ID$396,HB$169,SwaptionMonthsToGo+SwaptionShift))))))</f>
        <v/>
      </c>
      <c r="HC218" s="479" t="str">
        <f ca="1">IF(OR(HC$169&lt;SwaptionFirstMonthPosition+1,$FJ218&lt;SwaptionFirstMonthPosition+1,HC$169&gt;SwaptionFirstMonthPosition+SwaptionNumOfMonths+1,$FJ218&gt;SwaptionFirstMonthPosition+SwaptionNumOfMonths+1),"",IF($FJ218=HC$169,1,IF($FJ218&lt;HC$169,INDEX($FK$170:$ID$241,HC$169,$FJ218),SUMPRODUCT(INDEX($FK$325:$ID$396,HC$169,1+SwaptionShift):INDEX($FK$325:$ID$396,HC$169,SwaptionMonthsToGo+SwaptionShift),INDEX($FK$245:$ID$316,$FJ218-HC$169,73-HC$169+SwaptionShift):INDEX($FK$245:$ID$316,$FJ218-HC$169,72-HC$169+SwaptionMonthsToGo+SwaptionShift))/SQRT(SUM(INDEX($FK373:$ID373,1+SwaptionShift):INDEX($FK373:$ID373,SwaptionMonthsToGo+SwaptionShift))*SUM(INDEX($FK$325:$ID$396,HC$169,1+SwaptionShift):INDEX($FK$325:$ID$396,HC$169,SwaptionMonthsToGo+SwaptionShift))))))</f>
        <v/>
      </c>
      <c r="HD218" s="479" t="str">
        <f ca="1">IF(OR(HD$169&lt;SwaptionFirstMonthPosition+1,$FJ218&lt;SwaptionFirstMonthPosition+1,HD$169&gt;SwaptionFirstMonthPosition+SwaptionNumOfMonths+1,$FJ218&gt;SwaptionFirstMonthPosition+SwaptionNumOfMonths+1),"",IF($FJ218=HD$169,1,IF($FJ218&lt;HD$169,INDEX($FK$170:$ID$241,HD$169,$FJ218),SUMPRODUCT(INDEX($FK$325:$ID$396,HD$169,1+SwaptionShift):INDEX($FK$325:$ID$396,HD$169,SwaptionMonthsToGo+SwaptionShift),INDEX($FK$245:$ID$316,$FJ218-HD$169,73-HD$169+SwaptionShift):INDEX($FK$245:$ID$316,$FJ218-HD$169,72-HD$169+SwaptionMonthsToGo+SwaptionShift))/SQRT(SUM(INDEX($FK373:$ID373,1+SwaptionShift):INDEX($FK373:$ID373,SwaptionMonthsToGo+SwaptionShift))*SUM(INDEX($FK$325:$ID$396,HD$169,1+SwaptionShift):INDEX($FK$325:$ID$396,HD$169,SwaptionMonthsToGo+SwaptionShift))))))</f>
        <v/>
      </c>
      <c r="HE218" s="479" t="str">
        <f ca="1">IF(OR(HE$169&lt;SwaptionFirstMonthPosition+1,$FJ218&lt;SwaptionFirstMonthPosition+1,HE$169&gt;SwaptionFirstMonthPosition+SwaptionNumOfMonths+1,$FJ218&gt;SwaptionFirstMonthPosition+SwaptionNumOfMonths+1),"",IF($FJ218=HE$169,1,IF($FJ218&lt;HE$169,INDEX($FK$170:$ID$241,HE$169,$FJ218),SUMPRODUCT(INDEX($FK$325:$ID$396,HE$169,1+SwaptionShift):INDEX($FK$325:$ID$396,HE$169,SwaptionMonthsToGo+SwaptionShift),INDEX($FK$245:$ID$316,$FJ218-HE$169,73-HE$169+SwaptionShift):INDEX($FK$245:$ID$316,$FJ218-HE$169,72-HE$169+SwaptionMonthsToGo+SwaptionShift))/SQRT(SUM(INDEX($FK373:$ID373,1+SwaptionShift):INDEX($FK373:$ID373,SwaptionMonthsToGo+SwaptionShift))*SUM(INDEX($FK$325:$ID$396,HE$169,1+SwaptionShift):INDEX($FK$325:$ID$396,HE$169,SwaptionMonthsToGo+SwaptionShift))))))</f>
        <v/>
      </c>
      <c r="HF218" s="479" t="str">
        <f ca="1">IF(OR(HF$169&lt;SwaptionFirstMonthPosition+1,$FJ218&lt;SwaptionFirstMonthPosition+1,HF$169&gt;SwaptionFirstMonthPosition+SwaptionNumOfMonths+1,$FJ218&gt;SwaptionFirstMonthPosition+SwaptionNumOfMonths+1),"",IF($FJ218=HF$169,1,IF($FJ218&lt;HF$169,INDEX($FK$170:$ID$241,HF$169,$FJ218),SUMPRODUCT(INDEX($FK$325:$ID$396,HF$169,1+SwaptionShift):INDEX($FK$325:$ID$396,HF$169,SwaptionMonthsToGo+SwaptionShift),INDEX($FK$245:$ID$316,$FJ218-HF$169,73-HF$169+SwaptionShift):INDEX($FK$245:$ID$316,$FJ218-HF$169,72-HF$169+SwaptionMonthsToGo+SwaptionShift))/SQRT(SUM(INDEX($FK373:$ID373,1+SwaptionShift):INDEX($FK373:$ID373,SwaptionMonthsToGo+SwaptionShift))*SUM(INDEX($FK$325:$ID$396,HF$169,1+SwaptionShift):INDEX($FK$325:$ID$396,HF$169,SwaptionMonthsToGo+SwaptionShift))))))</f>
        <v/>
      </c>
      <c r="HG218" s="479" t="str">
        <f ca="1">IF(OR(HG$169&lt;SwaptionFirstMonthPosition+1,$FJ218&lt;SwaptionFirstMonthPosition+1,HG$169&gt;SwaptionFirstMonthPosition+SwaptionNumOfMonths+1,$FJ218&gt;SwaptionFirstMonthPosition+SwaptionNumOfMonths+1),"",IF($FJ218=HG$169,1,IF($FJ218&lt;HG$169,INDEX($FK$170:$ID$241,HG$169,$FJ218),SUMPRODUCT(INDEX($FK$325:$ID$396,HG$169,1+SwaptionShift):INDEX($FK$325:$ID$396,HG$169,SwaptionMonthsToGo+SwaptionShift),INDEX($FK$245:$ID$316,$FJ218-HG$169,73-HG$169+SwaptionShift):INDEX($FK$245:$ID$316,$FJ218-HG$169,72-HG$169+SwaptionMonthsToGo+SwaptionShift))/SQRT(SUM(INDEX($FK373:$ID373,1+SwaptionShift):INDEX($FK373:$ID373,SwaptionMonthsToGo+SwaptionShift))*SUM(INDEX($FK$325:$ID$396,HG$169,1+SwaptionShift):INDEX($FK$325:$ID$396,HG$169,SwaptionMonthsToGo+SwaptionShift))))))</f>
        <v/>
      </c>
      <c r="HH218" s="479" t="str">
        <f ca="1">IF(OR(HH$169&lt;SwaptionFirstMonthPosition+1,$FJ218&lt;SwaptionFirstMonthPosition+1,HH$169&gt;SwaptionFirstMonthPosition+SwaptionNumOfMonths+1,$FJ218&gt;SwaptionFirstMonthPosition+SwaptionNumOfMonths+1),"",IF($FJ218=HH$169,1,IF($FJ218&lt;HH$169,INDEX($FK$170:$ID$241,HH$169,$FJ218),SUMPRODUCT(INDEX($FK$325:$ID$396,HH$169,1+SwaptionShift):INDEX($FK$325:$ID$396,HH$169,SwaptionMonthsToGo+SwaptionShift),INDEX($FK$245:$ID$316,$FJ218-HH$169,73-HH$169+SwaptionShift):INDEX($FK$245:$ID$316,$FJ218-HH$169,72-HH$169+SwaptionMonthsToGo+SwaptionShift))/SQRT(SUM(INDEX($FK373:$ID373,1+SwaptionShift):INDEX($FK373:$ID373,SwaptionMonthsToGo+SwaptionShift))*SUM(INDEX($FK$325:$ID$396,HH$169,1+SwaptionShift):INDEX($FK$325:$ID$396,HH$169,SwaptionMonthsToGo+SwaptionShift))))))</f>
        <v/>
      </c>
      <c r="HI218" s="479" t="str">
        <f ca="1">IF(OR(HI$169&lt;SwaptionFirstMonthPosition+1,$FJ218&lt;SwaptionFirstMonthPosition+1,HI$169&gt;SwaptionFirstMonthPosition+SwaptionNumOfMonths+1,$FJ218&gt;SwaptionFirstMonthPosition+SwaptionNumOfMonths+1),"",IF($FJ218=HI$169,1,IF($FJ218&lt;HI$169,INDEX($FK$170:$ID$241,HI$169,$FJ218),SUMPRODUCT(INDEX($FK$325:$ID$396,HI$169,1+SwaptionShift):INDEX($FK$325:$ID$396,HI$169,SwaptionMonthsToGo+SwaptionShift),INDEX($FK$245:$ID$316,$FJ218-HI$169,73-HI$169+SwaptionShift):INDEX($FK$245:$ID$316,$FJ218-HI$169,72-HI$169+SwaptionMonthsToGo+SwaptionShift))/SQRT(SUM(INDEX($FK373:$ID373,1+SwaptionShift):INDEX($FK373:$ID373,SwaptionMonthsToGo+SwaptionShift))*SUM(INDEX($FK$325:$ID$396,HI$169,1+SwaptionShift):INDEX($FK$325:$ID$396,HI$169,SwaptionMonthsToGo+SwaptionShift))))))</f>
        <v/>
      </c>
      <c r="HJ218" s="479" t="str">
        <f ca="1">IF(OR(HJ$169&lt;SwaptionFirstMonthPosition+1,$FJ218&lt;SwaptionFirstMonthPosition+1,HJ$169&gt;SwaptionFirstMonthPosition+SwaptionNumOfMonths+1,$FJ218&gt;SwaptionFirstMonthPosition+SwaptionNumOfMonths+1),"",IF($FJ218=HJ$169,1,IF($FJ218&lt;HJ$169,INDEX($FK$170:$ID$241,HJ$169,$FJ218),SUMPRODUCT(INDEX($FK$325:$ID$396,HJ$169,1+SwaptionShift):INDEX($FK$325:$ID$396,HJ$169,SwaptionMonthsToGo+SwaptionShift),INDEX($FK$245:$ID$316,$FJ218-HJ$169,73-HJ$169+SwaptionShift):INDEX($FK$245:$ID$316,$FJ218-HJ$169,72-HJ$169+SwaptionMonthsToGo+SwaptionShift))/SQRT(SUM(INDEX($FK373:$ID373,1+SwaptionShift):INDEX($FK373:$ID373,SwaptionMonthsToGo+SwaptionShift))*SUM(INDEX($FK$325:$ID$396,HJ$169,1+SwaptionShift):INDEX($FK$325:$ID$396,HJ$169,SwaptionMonthsToGo+SwaptionShift))))))</f>
        <v/>
      </c>
      <c r="HK218" s="479" t="str">
        <f ca="1">IF(OR(HK$169&lt;SwaptionFirstMonthPosition+1,$FJ218&lt;SwaptionFirstMonthPosition+1,HK$169&gt;SwaptionFirstMonthPosition+SwaptionNumOfMonths+1,$FJ218&gt;SwaptionFirstMonthPosition+SwaptionNumOfMonths+1),"",IF($FJ218=HK$169,1,IF($FJ218&lt;HK$169,INDEX($FK$170:$ID$241,HK$169,$FJ218),SUMPRODUCT(INDEX($FK$325:$ID$396,HK$169,1+SwaptionShift):INDEX($FK$325:$ID$396,HK$169,SwaptionMonthsToGo+SwaptionShift),INDEX($FK$245:$ID$316,$FJ218-HK$169,73-HK$169+SwaptionShift):INDEX($FK$245:$ID$316,$FJ218-HK$169,72-HK$169+SwaptionMonthsToGo+SwaptionShift))/SQRT(SUM(INDEX($FK373:$ID373,1+SwaptionShift):INDEX($FK373:$ID373,SwaptionMonthsToGo+SwaptionShift))*SUM(INDEX($FK$325:$ID$396,HK$169,1+SwaptionShift):INDEX($FK$325:$ID$396,HK$169,SwaptionMonthsToGo+SwaptionShift))))))</f>
        <v/>
      </c>
      <c r="HL218" s="479" t="str">
        <f ca="1">IF(OR(HL$169&lt;SwaptionFirstMonthPosition+1,$FJ218&lt;SwaptionFirstMonthPosition+1,HL$169&gt;SwaptionFirstMonthPosition+SwaptionNumOfMonths+1,$FJ218&gt;SwaptionFirstMonthPosition+SwaptionNumOfMonths+1),"",IF($FJ218=HL$169,1,IF($FJ218&lt;HL$169,INDEX($FK$170:$ID$241,HL$169,$FJ218),SUMPRODUCT(INDEX($FK$325:$ID$396,HL$169,1+SwaptionShift):INDEX($FK$325:$ID$396,HL$169,SwaptionMonthsToGo+SwaptionShift),INDEX($FK$245:$ID$316,$FJ218-HL$169,73-HL$169+SwaptionShift):INDEX($FK$245:$ID$316,$FJ218-HL$169,72-HL$169+SwaptionMonthsToGo+SwaptionShift))/SQRT(SUM(INDEX($FK373:$ID373,1+SwaptionShift):INDEX($FK373:$ID373,SwaptionMonthsToGo+SwaptionShift))*SUM(INDEX($FK$325:$ID$396,HL$169,1+SwaptionShift):INDEX($FK$325:$ID$396,HL$169,SwaptionMonthsToGo+SwaptionShift))))))</f>
        <v/>
      </c>
      <c r="HM218" s="479" t="str">
        <f ca="1">IF(OR(HM$169&lt;SwaptionFirstMonthPosition+1,$FJ218&lt;SwaptionFirstMonthPosition+1,HM$169&gt;SwaptionFirstMonthPosition+SwaptionNumOfMonths+1,$FJ218&gt;SwaptionFirstMonthPosition+SwaptionNumOfMonths+1),"",IF($FJ218=HM$169,1,IF($FJ218&lt;HM$169,INDEX($FK$170:$ID$241,HM$169,$FJ218),SUMPRODUCT(INDEX($FK$325:$ID$396,HM$169,1+SwaptionShift):INDEX($FK$325:$ID$396,HM$169,SwaptionMonthsToGo+SwaptionShift),INDEX($FK$245:$ID$316,$FJ218-HM$169,73-HM$169+SwaptionShift):INDEX($FK$245:$ID$316,$FJ218-HM$169,72-HM$169+SwaptionMonthsToGo+SwaptionShift))/SQRT(SUM(INDEX($FK373:$ID373,1+SwaptionShift):INDEX($FK373:$ID373,SwaptionMonthsToGo+SwaptionShift))*SUM(INDEX($FK$325:$ID$396,HM$169,1+SwaptionShift):INDEX($FK$325:$ID$396,HM$169,SwaptionMonthsToGo+SwaptionShift))))))</f>
        <v/>
      </c>
      <c r="HN218" s="479" t="str">
        <f ca="1">IF(OR(HN$169&lt;SwaptionFirstMonthPosition+1,$FJ218&lt;SwaptionFirstMonthPosition+1,HN$169&gt;SwaptionFirstMonthPosition+SwaptionNumOfMonths+1,$FJ218&gt;SwaptionFirstMonthPosition+SwaptionNumOfMonths+1),"",IF($FJ218=HN$169,1,IF($FJ218&lt;HN$169,INDEX($FK$170:$ID$241,HN$169,$FJ218),SUMPRODUCT(INDEX($FK$325:$ID$396,HN$169,1+SwaptionShift):INDEX($FK$325:$ID$396,HN$169,SwaptionMonthsToGo+SwaptionShift),INDEX($FK$245:$ID$316,$FJ218-HN$169,73-HN$169+SwaptionShift):INDEX($FK$245:$ID$316,$FJ218-HN$169,72-HN$169+SwaptionMonthsToGo+SwaptionShift))/SQRT(SUM(INDEX($FK373:$ID373,1+SwaptionShift):INDEX($FK373:$ID373,SwaptionMonthsToGo+SwaptionShift))*SUM(INDEX($FK$325:$ID$396,HN$169,1+SwaptionShift):INDEX($FK$325:$ID$396,HN$169,SwaptionMonthsToGo+SwaptionShift))))))</f>
        <v/>
      </c>
      <c r="HO218" s="479" t="str">
        <f ca="1">IF(OR(HO$169&lt;SwaptionFirstMonthPosition+1,$FJ218&lt;SwaptionFirstMonthPosition+1,HO$169&gt;SwaptionFirstMonthPosition+SwaptionNumOfMonths+1,$FJ218&gt;SwaptionFirstMonthPosition+SwaptionNumOfMonths+1),"",IF($FJ218=HO$169,1,IF($FJ218&lt;HO$169,INDEX($FK$170:$ID$241,HO$169,$FJ218),SUMPRODUCT(INDEX($FK$325:$ID$396,HO$169,1+SwaptionShift):INDEX($FK$325:$ID$396,HO$169,SwaptionMonthsToGo+SwaptionShift),INDEX($FK$245:$ID$316,$FJ218-HO$169,73-HO$169+SwaptionShift):INDEX($FK$245:$ID$316,$FJ218-HO$169,72-HO$169+SwaptionMonthsToGo+SwaptionShift))/SQRT(SUM(INDEX($FK373:$ID373,1+SwaptionShift):INDEX($FK373:$ID373,SwaptionMonthsToGo+SwaptionShift))*SUM(INDEX($FK$325:$ID$396,HO$169,1+SwaptionShift):INDEX($FK$325:$ID$396,HO$169,SwaptionMonthsToGo+SwaptionShift))))))</f>
        <v/>
      </c>
      <c r="HP218" s="479" t="str">
        <f ca="1">IF(OR(HP$169&lt;SwaptionFirstMonthPosition+1,$FJ218&lt;SwaptionFirstMonthPosition+1,HP$169&gt;SwaptionFirstMonthPosition+SwaptionNumOfMonths+1,$FJ218&gt;SwaptionFirstMonthPosition+SwaptionNumOfMonths+1),"",IF($FJ218=HP$169,1,IF($FJ218&lt;HP$169,INDEX($FK$170:$ID$241,HP$169,$FJ218),SUMPRODUCT(INDEX($FK$325:$ID$396,HP$169,1+SwaptionShift):INDEX($FK$325:$ID$396,HP$169,SwaptionMonthsToGo+SwaptionShift),INDEX($FK$245:$ID$316,$FJ218-HP$169,73-HP$169+SwaptionShift):INDEX($FK$245:$ID$316,$FJ218-HP$169,72-HP$169+SwaptionMonthsToGo+SwaptionShift))/SQRT(SUM(INDEX($FK373:$ID373,1+SwaptionShift):INDEX($FK373:$ID373,SwaptionMonthsToGo+SwaptionShift))*SUM(INDEX($FK$325:$ID$396,HP$169,1+SwaptionShift):INDEX($FK$325:$ID$396,HP$169,SwaptionMonthsToGo+SwaptionShift))))))</f>
        <v/>
      </c>
      <c r="HQ218" s="479" t="str">
        <f ca="1">IF(OR(HQ$169&lt;SwaptionFirstMonthPosition+1,$FJ218&lt;SwaptionFirstMonthPosition+1,HQ$169&gt;SwaptionFirstMonthPosition+SwaptionNumOfMonths+1,$FJ218&gt;SwaptionFirstMonthPosition+SwaptionNumOfMonths+1),"",IF($FJ218=HQ$169,1,IF($FJ218&lt;HQ$169,INDEX($FK$170:$ID$241,HQ$169,$FJ218),SUMPRODUCT(INDEX($FK$325:$ID$396,HQ$169,1+SwaptionShift):INDEX($FK$325:$ID$396,HQ$169,SwaptionMonthsToGo+SwaptionShift),INDEX($FK$245:$ID$316,$FJ218-HQ$169,73-HQ$169+SwaptionShift):INDEX($FK$245:$ID$316,$FJ218-HQ$169,72-HQ$169+SwaptionMonthsToGo+SwaptionShift))/SQRT(SUM(INDEX($FK373:$ID373,1+SwaptionShift):INDEX($FK373:$ID373,SwaptionMonthsToGo+SwaptionShift))*SUM(INDEX($FK$325:$ID$396,HQ$169,1+SwaptionShift):INDEX($FK$325:$ID$396,HQ$169,SwaptionMonthsToGo+SwaptionShift))))))</f>
        <v/>
      </c>
      <c r="HR218" s="479" t="str">
        <f ca="1">IF(OR(HR$169&lt;SwaptionFirstMonthPosition+1,$FJ218&lt;SwaptionFirstMonthPosition+1,HR$169&gt;SwaptionFirstMonthPosition+SwaptionNumOfMonths+1,$FJ218&gt;SwaptionFirstMonthPosition+SwaptionNumOfMonths+1),"",IF($FJ218=HR$169,1,IF($FJ218&lt;HR$169,INDEX($FK$170:$ID$241,HR$169,$FJ218),SUMPRODUCT(INDEX($FK$325:$ID$396,HR$169,1+SwaptionShift):INDEX($FK$325:$ID$396,HR$169,SwaptionMonthsToGo+SwaptionShift),INDEX($FK$245:$ID$316,$FJ218-HR$169,73-HR$169+SwaptionShift):INDEX($FK$245:$ID$316,$FJ218-HR$169,72-HR$169+SwaptionMonthsToGo+SwaptionShift))/SQRT(SUM(INDEX($FK373:$ID373,1+SwaptionShift):INDEX($FK373:$ID373,SwaptionMonthsToGo+SwaptionShift))*SUM(INDEX($FK$325:$ID$396,HR$169,1+SwaptionShift):INDEX($FK$325:$ID$396,HR$169,SwaptionMonthsToGo+SwaptionShift))))))</f>
        <v/>
      </c>
      <c r="HS218" s="479" t="str">
        <f ca="1">IF(OR(HS$169&lt;SwaptionFirstMonthPosition+1,$FJ218&lt;SwaptionFirstMonthPosition+1,HS$169&gt;SwaptionFirstMonthPosition+SwaptionNumOfMonths+1,$FJ218&gt;SwaptionFirstMonthPosition+SwaptionNumOfMonths+1),"",IF($FJ218=HS$169,1,IF($FJ218&lt;HS$169,INDEX($FK$170:$ID$241,HS$169,$FJ218),SUMPRODUCT(INDEX($FK$325:$ID$396,HS$169,1+SwaptionShift):INDEX($FK$325:$ID$396,HS$169,SwaptionMonthsToGo+SwaptionShift),INDEX($FK$245:$ID$316,$FJ218-HS$169,73-HS$169+SwaptionShift):INDEX($FK$245:$ID$316,$FJ218-HS$169,72-HS$169+SwaptionMonthsToGo+SwaptionShift))/SQRT(SUM(INDEX($FK373:$ID373,1+SwaptionShift):INDEX($FK373:$ID373,SwaptionMonthsToGo+SwaptionShift))*SUM(INDEX($FK$325:$ID$396,HS$169,1+SwaptionShift):INDEX($FK$325:$ID$396,HS$169,SwaptionMonthsToGo+SwaptionShift))))))</f>
        <v/>
      </c>
      <c r="HT218" s="479" t="str">
        <f ca="1">IF(OR(HT$169&lt;SwaptionFirstMonthPosition+1,$FJ218&lt;SwaptionFirstMonthPosition+1,HT$169&gt;SwaptionFirstMonthPosition+SwaptionNumOfMonths+1,$FJ218&gt;SwaptionFirstMonthPosition+SwaptionNumOfMonths+1),"",IF($FJ218=HT$169,1,IF($FJ218&lt;HT$169,INDEX($FK$170:$ID$241,HT$169,$FJ218),SUMPRODUCT(INDEX($FK$325:$ID$396,HT$169,1+SwaptionShift):INDEX($FK$325:$ID$396,HT$169,SwaptionMonthsToGo+SwaptionShift),INDEX($FK$245:$ID$316,$FJ218-HT$169,73-HT$169+SwaptionShift):INDEX($FK$245:$ID$316,$FJ218-HT$169,72-HT$169+SwaptionMonthsToGo+SwaptionShift))/SQRT(SUM(INDEX($FK373:$ID373,1+SwaptionShift):INDEX($FK373:$ID373,SwaptionMonthsToGo+SwaptionShift))*SUM(INDEX($FK$325:$ID$396,HT$169,1+SwaptionShift):INDEX($FK$325:$ID$396,HT$169,SwaptionMonthsToGo+SwaptionShift))))))</f>
        <v/>
      </c>
      <c r="HU218" s="479" t="str">
        <f ca="1">IF(OR(HU$169&lt;SwaptionFirstMonthPosition+1,$FJ218&lt;SwaptionFirstMonthPosition+1,HU$169&gt;SwaptionFirstMonthPosition+SwaptionNumOfMonths+1,$FJ218&gt;SwaptionFirstMonthPosition+SwaptionNumOfMonths+1),"",IF($FJ218=HU$169,1,IF($FJ218&lt;HU$169,INDEX($FK$170:$ID$241,HU$169,$FJ218),SUMPRODUCT(INDEX($FK$325:$ID$396,HU$169,1+SwaptionShift):INDEX($FK$325:$ID$396,HU$169,SwaptionMonthsToGo+SwaptionShift),INDEX($FK$245:$ID$316,$FJ218-HU$169,73-HU$169+SwaptionShift):INDEX($FK$245:$ID$316,$FJ218-HU$169,72-HU$169+SwaptionMonthsToGo+SwaptionShift))/SQRT(SUM(INDEX($FK373:$ID373,1+SwaptionShift):INDEX($FK373:$ID373,SwaptionMonthsToGo+SwaptionShift))*SUM(INDEX($FK$325:$ID$396,HU$169,1+SwaptionShift):INDEX($FK$325:$ID$396,HU$169,SwaptionMonthsToGo+SwaptionShift))))))</f>
        <v/>
      </c>
      <c r="HV218" s="479" t="str">
        <f ca="1">IF(OR(HV$169&lt;SwaptionFirstMonthPosition+1,$FJ218&lt;SwaptionFirstMonthPosition+1,HV$169&gt;SwaptionFirstMonthPosition+SwaptionNumOfMonths+1,$FJ218&gt;SwaptionFirstMonthPosition+SwaptionNumOfMonths+1),"",IF($FJ218=HV$169,1,IF($FJ218&lt;HV$169,INDEX($FK$170:$ID$241,HV$169,$FJ218),SUMPRODUCT(INDEX($FK$325:$ID$396,HV$169,1+SwaptionShift):INDEX($FK$325:$ID$396,HV$169,SwaptionMonthsToGo+SwaptionShift),INDEX($FK$245:$ID$316,$FJ218-HV$169,73-HV$169+SwaptionShift):INDEX($FK$245:$ID$316,$FJ218-HV$169,72-HV$169+SwaptionMonthsToGo+SwaptionShift))/SQRT(SUM(INDEX($FK373:$ID373,1+SwaptionShift):INDEX($FK373:$ID373,SwaptionMonthsToGo+SwaptionShift))*SUM(INDEX($FK$325:$ID$396,HV$169,1+SwaptionShift):INDEX($FK$325:$ID$396,HV$169,SwaptionMonthsToGo+SwaptionShift))))))</f>
        <v/>
      </c>
      <c r="HW218" s="479" t="str">
        <f ca="1">IF(OR(HW$169&lt;SwaptionFirstMonthPosition+1,$FJ218&lt;SwaptionFirstMonthPosition+1,HW$169&gt;SwaptionFirstMonthPosition+SwaptionNumOfMonths+1,$FJ218&gt;SwaptionFirstMonthPosition+SwaptionNumOfMonths+1),"",IF($FJ218=HW$169,1,IF($FJ218&lt;HW$169,INDEX($FK$170:$ID$241,HW$169,$FJ218),SUMPRODUCT(INDEX($FK$325:$ID$396,HW$169,1+SwaptionShift):INDEX($FK$325:$ID$396,HW$169,SwaptionMonthsToGo+SwaptionShift),INDEX($FK$245:$ID$316,$FJ218-HW$169,73-HW$169+SwaptionShift):INDEX($FK$245:$ID$316,$FJ218-HW$169,72-HW$169+SwaptionMonthsToGo+SwaptionShift))/SQRT(SUM(INDEX($FK373:$ID373,1+SwaptionShift):INDEX($FK373:$ID373,SwaptionMonthsToGo+SwaptionShift))*SUM(INDEX($FK$325:$ID$396,HW$169,1+SwaptionShift):INDEX($FK$325:$ID$396,HW$169,SwaptionMonthsToGo+SwaptionShift))))))</f>
        <v/>
      </c>
      <c r="HX218" s="479" t="str">
        <f ca="1">IF(OR(HX$169&lt;SwaptionFirstMonthPosition+1,$FJ218&lt;SwaptionFirstMonthPosition+1,HX$169&gt;SwaptionFirstMonthPosition+SwaptionNumOfMonths+1,$FJ218&gt;SwaptionFirstMonthPosition+SwaptionNumOfMonths+1),"",IF($FJ218=HX$169,1,IF($FJ218&lt;HX$169,INDEX($FK$170:$ID$241,HX$169,$FJ218),SUMPRODUCT(INDEX($FK$325:$ID$396,HX$169,1+SwaptionShift):INDEX($FK$325:$ID$396,HX$169,SwaptionMonthsToGo+SwaptionShift),INDEX($FK$245:$ID$316,$FJ218-HX$169,73-HX$169+SwaptionShift):INDEX($FK$245:$ID$316,$FJ218-HX$169,72-HX$169+SwaptionMonthsToGo+SwaptionShift))/SQRT(SUM(INDEX($FK373:$ID373,1+SwaptionShift):INDEX($FK373:$ID373,SwaptionMonthsToGo+SwaptionShift))*SUM(INDEX($FK$325:$ID$396,HX$169,1+SwaptionShift):INDEX($FK$325:$ID$396,HX$169,SwaptionMonthsToGo+SwaptionShift))))))</f>
        <v/>
      </c>
      <c r="HY218" s="479" t="str">
        <f ca="1">IF(OR(HY$169&lt;SwaptionFirstMonthPosition+1,$FJ218&lt;SwaptionFirstMonthPosition+1,HY$169&gt;SwaptionFirstMonthPosition+SwaptionNumOfMonths+1,$FJ218&gt;SwaptionFirstMonthPosition+SwaptionNumOfMonths+1),"",IF($FJ218=HY$169,1,IF($FJ218&lt;HY$169,INDEX($FK$170:$ID$241,HY$169,$FJ218),SUMPRODUCT(INDEX($FK$325:$ID$396,HY$169,1+SwaptionShift):INDEX($FK$325:$ID$396,HY$169,SwaptionMonthsToGo+SwaptionShift),INDEX($FK$245:$ID$316,$FJ218-HY$169,73-HY$169+SwaptionShift):INDEX($FK$245:$ID$316,$FJ218-HY$169,72-HY$169+SwaptionMonthsToGo+SwaptionShift))/SQRT(SUM(INDEX($FK373:$ID373,1+SwaptionShift):INDEX($FK373:$ID373,SwaptionMonthsToGo+SwaptionShift))*SUM(INDEX($FK$325:$ID$396,HY$169,1+SwaptionShift):INDEX($FK$325:$ID$396,HY$169,SwaptionMonthsToGo+SwaptionShift))))))</f>
        <v/>
      </c>
      <c r="HZ218" s="479" t="str">
        <f ca="1">IF(OR(HZ$169&lt;SwaptionFirstMonthPosition+1,$FJ218&lt;SwaptionFirstMonthPosition+1,HZ$169&gt;SwaptionFirstMonthPosition+SwaptionNumOfMonths+1,$FJ218&gt;SwaptionFirstMonthPosition+SwaptionNumOfMonths+1),"",IF($FJ218=HZ$169,1,IF($FJ218&lt;HZ$169,INDEX($FK$170:$ID$241,HZ$169,$FJ218),SUMPRODUCT(INDEX($FK$325:$ID$396,HZ$169,1+SwaptionShift):INDEX($FK$325:$ID$396,HZ$169,SwaptionMonthsToGo+SwaptionShift),INDEX($FK$245:$ID$316,$FJ218-HZ$169,73-HZ$169+SwaptionShift):INDEX($FK$245:$ID$316,$FJ218-HZ$169,72-HZ$169+SwaptionMonthsToGo+SwaptionShift))/SQRT(SUM(INDEX($FK373:$ID373,1+SwaptionShift):INDEX($FK373:$ID373,SwaptionMonthsToGo+SwaptionShift))*SUM(INDEX($FK$325:$ID$396,HZ$169,1+SwaptionShift):INDEX($FK$325:$ID$396,HZ$169,SwaptionMonthsToGo+SwaptionShift))))))</f>
        <v/>
      </c>
      <c r="IA218" s="479" t="str">
        <f ca="1">IF(OR(IA$169&lt;SwaptionFirstMonthPosition+1,$FJ218&lt;SwaptionFirstMonthPosition+1,IA$169&gt;SwaptionFirstMonthPosition+SwaptionNumOfMonths+1,$FJ218&gt;SwaptionFirstMonthPosition+SwaptionNumOfMonths+1),"",IF($FJ218=IA$169,1,IF($FJ218&lt;IA$169,INDEX($FK$170:$ID$241,IA$169,$FJ218),SUMPRODUCT(INDEX($FK$325:$ID$396,IA$169,1+SwaptionShift):INDEX($FK$325:$ID$396,IA$169,SwaptionMonthsToGo+SwaptionShift),INDEX($FK$245:$ID$316,$FJ218-IA$169,73-IA$169+SwaptionShift):INDEX($FK$245:$ID$316,$FJ218-IA$169,72-IA$169+SwaptionMonthsToGo+SwaptionShift))/SQRT(SUM(INDEX($FK373:$ID373,1+SwaptionShift):INDEX($FK373:$ID373,SwaptionMonthsToGo+SwaptionShift))*SUM(INDEX($FK$325:$ID$396,IA$169,1+SwaptionShift):INDEX($FK$325:$ID$396,IA$169,SwaptionMonthsToGo+SwaptionShift))))))</f>
        <v/>
      </c>
      <c r="IB218" s="479" t="str">
        <f ca="1">IF(OR(IB$169&lt;SwaptionFirstMonthPosition+1,$FJ218&lt;SwaptionFirstMonthPosition+1,IB$169&gt;SwaptionFirstMonthPosition+SwaptionNumOfMonths+1,$FJ218&gt;SwaptionFirstMonthPosition+SwaptionNumOfMonths+1),"",IF($FJ218=IB$169,1,IF($FJ218&lt;IB$169,INDEX($FK$170:$ID$241,IB$169,$FJ218),SUMPRODUCT(INDEX($FK$325:$ID$396,IB$169,1+SwaptionShift):INDEX($FK$325:$ID$396,IB$169,SwaptionMonthsToGo+SwaptionShift),INDEX($FK$245:$ID$316,$FJ218-IB$169,73-IB$169+SwaptionShift):INDEX($FK$245:$ID$316,$FJ218-IB$169,72-IB$169+SwaptionMonthsToGo+SwaptionShift))/SQRT(SUM(INDEX($FK373:$ID373,1+SwaptionShift):INDEX($FK373:$ID373,SwaptionMonthsToGo+SwaptionShift))*SUM(INDEX($FK$325:$ID$396,IB$169,1+SwaptionShift):INDEX($FK$325:$ID$396,IB$169,SwaptionMonthsToGo+SwaptionShift))))))</f>
        <v/>
      </c>
      <c r="IC218" s="479" t="str">
        <f ca="1">IF(OR(IC$169&lt;SwaptionFirstMonthPosition+1,$FJ218&lt;SwaptionFirstMonthPosition+1,IC$169&gt;SwaptionFirstMonthPosition+SwaptionNumOfMonths+1,$FJ218&gt;SwaptionFirstMonthPosition+SwaptionNumOfMonths+1),"",IF($FJ218=IC$169,1,IF($FJ218&lt;IC$169,INDEX($FK$170:$ID$241,IC$169,$FJ218),SUMPRODUCT(INDEX($FK$325:$ID$396,IC$169,1+SwaptionShift):INDEX($FK$325:$ID$396,IC$169,SwaptionMonthsToGo+SwaptionShift),INDEX($FK$245:$ID$316,$FJ218-IC$169,73-IC$169+SwaptionShift):INDEX($FK$245:$ID$316,$FJ218-IC$169,72-IC$169+SwaptionMonthsToGo+SwaptionShift))/SQRT(SUM(INDEX($FK373:$ID373,1+SwaptionShift):INDEX($FK373:$ID373,SwaptionMonthsToGo+SwaptionShift))*SUM(INDEX($FK$325:$ID$396,IC$169,1+SwaptionShift):INDEX($FK$325:$ID$396,IC$169,SwaptionMonthsToGo+SwaptionShift))))))</f>
        <v/>
      </c>
      <c r="ID218" s="678" t="str">
        <f ca="1">IF(OR(ID$169&lt;SwaptionFirstMonthPosition+1,$FJ218&lt;SwaptionFirstMonthPosition+1,ID$169&gt;SwaptionFirstMonthPosition+SwaptionNumOfMonths+1,$FJ218&gt;SwaptionFirstMonthPosition+SwaptionNumOfMonths+1),"",IF($FJ218=ID$169,1,IF($FJ218&lt;ID$169,INDEX($FK$170:$ID$241,ID$169,$FJ218),SUMPRODUCT(INDEX($FK$325:$ID$396,ID$169,1+SwaptionShift):INDEX($FK$325:$ID$396,ID$169,SwaptionMonthsToGo+SwaptionShift),INDEX($FK$245:$ID$316,$FJ218-ID$169,73-ID$169+SwaptionShift):INDEX($FK$245:$ID$316,$FJ218-ID$169,72-ID$169+SwaptionMonthsToGo+SwaptionShift))/SQRT(SUM(INDEX($FK373:$ID373,1+SwaptionShift):INDEX($FK373:$ID373,SwaptionMonthsToGo+SwaptionShift))*SUM(INDEX($FK$325:$ID$396,ID$169,1+SwaptionShift):INDEX($FK$325:$ID$396,ID$169,SwaptionMonthsToGo+SwaptionShift))))))</f>
        <v/>
      </c>
      <c r="IE218" s="250"/>
    </row>
    <row r="219" spans="8:239">
      <c r="H219" s="51">
        <f t="shared" ca="1" si="646"/>
        <v>0</v>
      </c>
      <c r="I219" s="379">
        <f t="shared" si="647"/>
        <v>42826</v>
      </c>
      <c r="J219" s="377"/>
      <c r="K219" s="104" t="s">
        <v>268</v>
      </c>
      <c r="L219" s="392">
        <f t="shared" si="648"/>
        <v>4.6125000000000007</v>
      </c>
      <c r="M219" s="171"/>
      <c r="N219" s="382">
        <v>0</v>
      </c>
      <c r="O219" s="171">
        <f t="shared" si="596"/>
        <v>0</v>
      </c>
      <c r="P219" s="377"/>
      <c r="Q219" s="104" t="s">
        <v>268</v>
      </c>
      <c r="R219" s="377">
        <f t="shared" ca="1" si="597"/>
        <v>3.4225828348786749</v>
      </c>
      <c r="S219" s="832">
        <f t="shared" si="564"/>
        <v>0.3600000000000001</v>
      </c>
      <c r="T219" s="831">
        <f t="shared" si="661"/>
        <v>0.99999999999999667</v>
      </c>
      <c r="U219" s="545">
        <f t="shared" si="662"/>
        <v>0.99999999999999978</v>
      </c>
      <c r="V219" s="389">
        <v>0</v>
      </c>
      <c r="W219" s="434">
        <f t="shared" si="598"/>
        <v>0</v>
      </c>
      <c r="X219" s="415">
        <f t="shared" si="599"/>
        <v>4.6612500000000008</v>
      </c>
      <c r="Y219" s="322">
        <f t="shared" si="600"/>
        <v>-1.2915000000000001</v>
      </c>
      <c r="Z219" s="322">
        <f t="shared" ca="1" si="601"/>
        <v>3.3697500000000007</v>
      </c>
      <c r="AA219" s="429">
        <f t="shared" si="628"/>
        <v>1.2915000000000001</v>
      </c>
      <c r="AB219" s="433">
        <f t="shared" ca="1" si="629"/>
        <v>1.2915000000000001</v>
      </c>
      <c r="AC219" s="229">
        <v>42814</v>
      </c>
      <c r="AD219" s="229">
        <v>42810</v>
      </c>
      <c r="AE219" s="229">
        <v>42809</v>
      </c>
      <c r="AF219" s="229">
        <v>42805</v>
      </c>
      <c r="AG219" s="249" t="s">
        <v>499</v>
      </c>
      <c r="AH219" s="247" t="s">
        <v>499</v>
      </c>
      <c r="AI219" s="146">
        <v>20</v>
      </c>
      <c r="AJ219" s="41">
        <v>14</v>
      </c>
      <c r="AK219" s="41">
        <v>6</v>
      </c>
      <c r="AL219" s="293">
        <v>20</v>
      </c>
      <c r="AM219" s="41">
        <v>10</v>
      </c>
      <c r="AN219" s="147">
        <v>10</v>
      </c>
      <c r="AO219" s="374"/>
      <c r="AP219" s="153">
        <f t="shared" ca="1" si="649"/>
        <v>1</v>
      </c>
      <c r="AQ219" s="374"/>
      <c r="AR219" s="153">
        <f t="shared" ca="1" si="663"/>
        <v>1</v>
      </c>
      <c r="AS219" s="272">
        <f t="shared" si="602"/>
        <v>0</v>
      </c>
      <c r="AT219" s="157">
        <f t="shared" si="650"/>
        <v>0</v>
      </c>
      <c r="AU219" s="157">
        <f t="shared" si="630"/>
        <v>0</v>
      </c>
      <c r="AV219" s="271">
        <f t="shared" ca="1" si="670"/>
        <v>9.9999999999999995E-7</v>
      </c>
      <c r="AW219" s="158" t="str">
        <f t="shared" ca="1" si="583"/>
        <v/>
      </c>
      <c r="AX219" s="157">
        <f t="shared" ca="1" si="664"/>
        <v>3.077471403001588E-5</v>
      </c>
      <c r="AY219" s="157">
        <f t="shared" ca="1" si="665"/>
        <v>6.3185437642721522E-6</v>
      </c>
      <c r="AZ219" s="157">
        <f t="shared" ca="1" si="666"/>
        <v>1.488463135099613E-7</v>
      </c>
      <c r="BA219" s="157">
        <f t="shared" ca="1" si="667"/>
        <v>1.8605789188745162E-8</v>
      </c>
      <c r="BB219" s="157">
        <f t="shared" ca="1" si="668"/>
        <v>4.7715653465528501E-11</v>
      </c>
      <c r="BC219" s="157">
        <f t="shared" ca="1" si="669"/>
        <v>6.923507826719654E-13</v>
      </c>
      <c r="BD219" s="151">
        <f t="shared" ca="1" si="603"/>
        <v>0</v>
      </c>
      <c r="BE219" s="152">
        <f t="shared" ca="1" si="604"/>
        <v>0</v>
      </c>
      <c r="BF219" s="40">
        <f t="shared" si="605"/>
        <v>2017</v>
      </c>
      <c r="BG219" s="144">
        <f t="shared" si="606"/>
        <v>4</v>
      </c>
      <c r="BH219" s="145">
        <f t="shared" ca="1" si="607"/>
        <v>6065</v>
      </c>
      <c r="BI219" s="313">
        <f t="shared" ca="1" si="608"/>
        <v>16.648870636550306</v>
      </c>
      <c r="BJ219" s="42">
        <f t="shared" ca="1" si="631"/>
        <v>16.704449007529089</v>
      </c>
      <c r="BK219" s="42">
        <f t="shared" ca="1" si="632"/>
        <v>16.70718685831622</v>
      </c>
      <c r="BL219" s="42">
        <f t="shared" ca="1" si="609"/>
        <v>16.728268309377139</v>
      </c>
      <c r="BM219" s="150" t="e">
        <f t="shared" ca="1" si="633"/>
        <v>#DIV/0!</v>
      </c>
      <c r="BN219" s="42" t="e">
        <f t="shared" ca="1" si="634"/>
        <v>#DIV/0!</v>
      </c>
      <c r="BO219" s="293">
        <f t="shared" si="610"/>
        <v>20</v>
      </c>
      <c r="BP219" s="41">
        <f t="shared" si="611"/>
        <v>14</v>
      </c>
      <c r="BQ219" s="41">
        <f t="shared" si="612"/>
        <v>6</v>
      </c>
      <c r="BR219" s="305" t="str">
        <f t="shared" ca="1" si="635"/>
        <v/>
      </c>
      <c r="BS219" s="305" t="str">
        <f t="shared" ca="1" si="613"/>
        <v/>
      </c>
      <c r="BT219" s="307" t="str">
        <f t="shared" ca="1" si="614"/>
        <v/>
      </c>
      <c r="BU219" s="161" t="str">
        <f t="shared" ca="1" si="636"/>
        <v/>
      </c>
      <c r="BV219" s="161" t="str">
        <f t="shared" ca="1" si="637"/>
        <v/>
      </c>
      <c r="BW219" s="308" t="str">
        <f t="shared" ca="1" si="638"/>
        <v/>
      </c>
      <c r="BX219" s="309" t="str">
        <f t="shared" ca="1" si="639"/>
        <v/>
      </c>
      <c r="BY219" s="308" t="str">
        <f t="shared" ca="1" si="615"/>
        <v/>
      </c>
      <c r="BZ219" s="309" t="str">
        <f t="shared" ca="1" si="616"/>
        <v/>
      </c>
      <c r="CA219" s="154" t="str">
        <f t="shared" ca="1" si="640"/>
        <v/>
      </c>
      <c r="CB219" s="154" t="str">
        <f t="shared" ca="1" si="641"/>
        <v/>
      </c>
      <c r="CC219" s="154" t="str">
        <f t="shared" ca="1" si="642"/>
        <v/>
      </c>
      <c r="CD219" s="154" t="str">
        <f t="shared" ca="1" si="643"/>
        <v/>
      </c>
      <c r="CE219" s="310">
        <v>1</v>
      </c>
      <c r="CF219" s="162">
        <f ca="1">IF(BD219,_xll.xCrudeAPO(BU219,BV219,CA219,CB219,S220,S221,BI219,BL219,BP219,BQ219,0,Strike1,AO219,CE219,0,BL219,IF(OptControl=4,0,1),0,1),0)</f>
        <v>0</v>
      </c>
      <c r="CG219" s="163">
        <f ca="1">IF(BD219,_xll.xCrudeAPO(BU219,BV219,CA219,CB219,S220,S221,BI219,BL219,BP219,BQ219,0,Strike1,AO219,CE219,0,BL219,IF(OptControl=4,0,1),1,1)+_xll.xCrudeAPO(BU219,BV219,CA219,CB219,S220,S221,BI219,BL219,BP219,BQ219,0,Strike1,AO219,CE219,0,BL219,IF(OptControl=4,0,1),1,2)+IF(OR(VolSkewFlag=2,ABS(BS219)&lt;0.0001),0,IF(BS219&gt;0,-1,1)*CH219*Strike1/BR219^2*BY219/10%),0)</f>
        <v>0</v>
      </c>
      <c r="CH219" s="163">
        <f ca="1">IF(BD219,(_xll.xCrudeAPO(BU219,BV219,CA219,CB219,S220,S221,BI219,BL219,BP219,BQ219,0,Strike1,AO219,CE219,0,BL219,IF(OptControl=4,0,1),3,1)+_xll.xCrudeAPO(BU219,BV219,CA219,CB219,S220,S221,BI219,BL219,BP219,BQ219,0,Strike1,AO219,CE219,0,BL219,IF(OptControl=4,0,1),3,2))/100,0)</f>
        <v>0</v>
      </c>
      <c r="CI219" s="163">
        <f ca="1">IF(BD219,_xll.xCrudeAPO(BU219,BV219,CA219,CB219,S220,S221,BI219-DaysForThetaCalculation/365.25,BL219-DaysForThetaCalculation/365.25,BP219,BQ219,0,Strike1,AO219,CE219,0,BL219,IF(OptControl=4,0,1),0,1)-_xll.xCrudeAPO(BU219,BV219,CA219,CB219,S220,S221,BI219,BL219,BP219,BQ219,0,Strike1,AO219,CE219,0,BL219,IF(OptControl=4,0,1),0,1),0)</f>
        <v>0</v>
      </c>
      <c r="CJ219" s="311">
        <f ca="1">IF(BD219,_xll.xCrudeAPO(BU219,BV219,CC219,CD219,S220,S221,BI219,BL219,BP219,BQ219,0,Strike2,AO219,CE219,0,BL219,IF(OptControl=3,1,0),0,1),0)</f>
        <v>0</v>
      </c>
      <c r="CK219" s="163">
        <f ca="1">IF(BD219,_xll.xCrudeAPO(BU219,BV219,CC219,CD219,S220,S221,BI219,BL219,BP219,BQ219,0,Strike2,AO219,CE219,0,BL219,IF(OptControl=3,1,0),1,1)+_xll.xCrudeAPO(BU219,BV219,CC219,CD219,S220,S221,BI219,BL219,BP219,BQ219,0,Strike2,AO219,CE219,0,BL219,IF(OptControl=3,1,0),1,2)+IF(OR(VolSkewFlag=2,ABS(BT219)&lt;0.0001),0,IF(BT219&gt;0,-1,1)*CL219*Strike2/BR219^2*BZ219/10%),0)</f>
        <v>0</v>
      </c>
      <c r="CL219" s="163">
        <f ca="1">IF(BD219,(_xll.xCrudeAPO(BU219,BV219,CC219,CD219,S220,S221,BI219,BL219,BP219,BQ219,0,Strike2,AO219,CE219,0,BL219,IF(OptControl=3,1,0),3,1)+_xll.xCrudeAPO(BU219,BV219,CC219,CD219,S220,S221,BI219,BL219,BP219,BQ219,0,Strike2,AO219,CE219,0,BL219,IF(OptControl=3,1,0),3,2))/100,0)</f>
        <v>0</v>
      </c>
      <c r="CM219" s="164">
        <f ca="1">IF(BD219,_xll.xCrudeAPO(BU219,BV219,CC219,CD219,S220,S221,BI219-DaysForThetaCalculation/365.25,BL219-DaysForThetaCalculation/365.25,BP219,BQ219,0,Strike2,AO219,CE219,0,BL219,IF(OptControl=3,1,0),0,1)-_xll.xCrudeAPO(BU219,BV219,CC219,CD219,S220,S221,BI219,BL219,BP219,BQ219,0,Strike2,AO219,CE219,0,BL219,IF(OptControl=3,1,0),0,1),0)</f>
        <v>0</v>
      </c>
      <c r="CN219" s="53"/>
      <c r="CO219" s="796" t="str">
        <f t="shared" ca="1" si="651"/>
        <v/>
      </c>
      <c r="CP219" s="800" t="str">
        <f t="shared" ca="1" si="652"/>
        <v/>
      </c>
      <c r="CQ219" s="797" t="str">
        <f t="shared" ca="1" si="653"/>
        <v/>
      </c>
      <c r="CR219" s="797" t="str">
        <f t="shared" ca="1" si="654"/>
        <v/>
      </c>
      <c r="CS219" s="797" t="str">
        <f t="shared" ca="1" si="655"/>
        <v/>
      </c>
      <c r="CT219" s="797" t="str">
        <f t="shared" ca="1" si="656"/>
        <v/>
      </c>
      <c r="CU219" s="798" t="str">
        <f t="shared" ca="1" si="657"/>
        <v/>
      </c>
      <c r="CV219" s="799" t="str">
        <f t="shared" ca="1" si="658"/>
        <v/>
      </c>
      <c r="CW219" s="799" t="str">
        <f t="shared" ca="1" si="659"/>
        <v/>
      </c>
      <c r="CX219" s="163">
        <f ca="1">IF(BD219,_xll.EURO(CP219,Strike1,AO219,AO219,CV219,CO219,IF(OptControl=4,0,1),0),0)</f>
        <v>0</v>
      </c>
      <c r="CY219" s="163">
        <f ca="1">IF(BD219,_xll.EURO(CP219,Strike1,AO219,AO219,CV219,CO219,IF(OptControl=4,0,1),1)+IF(OR(VolSkewFlag=2,ABS(CQ219)&lt;0.0001),0,IF(CQ219&gt;0,-1,1)*CZ219*100*Strike1/CP219^2*CS219/10%),0)</f>
        <v>0</v>
      </c>
      <c r="CZ219" s="163">
        <f ca="1">IF(BD219,_xll.EURO(CP219,Strike1,AO219,AO219,CV219,CO219,IF(OptControl=4,0,1),3)/100,0)</f>
        <v>0</v>
      </c>
      <c r="DA219" s="163">
        <f ca="1">IF(BD219,_xll.EURO(CP219,Strike1,AO219,AO219,CV219,CO219,IF(OptControl=4,0,1),0)-_xll.EURO(CP219,Strike1,AO219,AO219,CV219,CO219-1,IF(OptControl=4,0,1),0),0)</f>
        <v>0</v>
      </c>
      <c r="DB219" s="163">
        <f ca="1">IF(BD219,_xll.EURO(CP219,Strike2,AO219,AO219,CW219,CO219,IF(OptControl=3,1,0),0),0)</f>
        <v>0</v>
      </c>
      <c r="DC219" s="163">
        <f ca="1">IF(BD219,_xll.EURO(CP219,Strike2,AO219,AO219,CW219,CO219,IF(OptControl=3,1,0),1)+IF(OR(VolSkewFlag=2,ABS(CR219)&lt;0.0001),0,IF(CR219&gt;0,-1,1)*DD219*100*Strike2/CP219^2*CT219/10%),0)</f>
        <v>0</v>
      </c>
      <c r="DD219" s="163">
        <f ca="1">IF(BD219,_xll.EURO(CP219,Strike2,AO219,AO219,CW219,CO219,IF(OptControl=3,1,0),3)/100,0)</f>
        <v>0</v>
      </c>
      <c r="DE219" s="164">
        <f ca="1">IF(BD219,_xll.EURO(CP219,Strike2,AO219,AO219,CW219,CO219,IF(OptControl=3,1,0),0)-_xll.EURO(CP219,Strike2,AO219,AO219,CW219,CO219-1,IF(OptControl=3,1,0),0),0)</f>
        <v>0</v>
      </c>
      <c r="DG219" s="667">
        <f t="shared" ca="1" si="660"/>
        <v>42614</v>
      </c>
      <c r="DH219" s="475">
        <v>24.110000000000088</v>
      </c>
      <c r="DI219" s="665">
        <v>24.178181818181908</v>
      </c>
      <c r="DJ219" s="666">
        <f t="shared" ca="1" si="617"/>
        <v>42614</v>
      </c>
      <c r="DK219" s="475">
        <v>22.932649564590381</v>
      </c>
      <c r="DL219" s="665">
        <v>22.911281818181909</v>
      </c>
      <c r="DM219" s="667">
        <f t="shared" ca="1" si="618"/>
        <v>42614</v>
      </c>
      <c r="DN219" s="668">
        <f t="shared" si="619"/>
        <v>22.982649564590382</v>
      </c>
      <c r="DO219" s="667">
        <f t="shared" ca="1" si="620"/>
        <v>42614</v>
      </c>
      <c r="DP219" s="579">
        <f t="shared" si="621"/>
        <v>22.911281818181909</v>
      </c>
      <c r="DQ219" s="821">
        <v>0</v>
      </c>
      <c r="DR219" s="666">
        <f t="shared" ca="1" si="622"/>
        <v>42614</v>
      </c>
      <c r="DS219" s="669">
        <v>0.10519999999999803</v>
      </c>
      <c r="DT219" s="606">
        <v>0.10438181818181622</v>
      </c>
      <c r="DU219" s="666">
        <f t="shared" ca="1" si="623"/>
        <v>42614</v>
      </c>
      <c r="DV219" s="669">
        <v>0.10519999999999803</v>
      </c>
      <c r="DW219" s="606">
        <v>0.10438181818181622</v>
      </c>
      <c r="DX219" s="667">
        <f t="shared" ca="1" si="624"/>
        <v>42614</v>
      </c>
      <c r="DY219" s="606">
        <v>0.35</v>
      </c>
      <c r="DZ219" s="667">
        <f t="shared" ca="1" si="625"/>
        <v>42614</v>
      </c>
      <c r="EA219" s="606">
        <f t="shared" si="626"/>
        <v>0.10438181818181622</v>
      </c>
      <c r="EB219" s="1"/>
      <c r="EC219" s="118" t="str">
        <f t="shared" ca="1" si="627"/>
        <v/>
      </c>
      <c r="ED219" s="119" t="str">
        <f t="shared" ca="1" si="644"/>
        <v/>
      </c>
      <c r="EE219" s="112" t="str">
        <f t="shared" ca="1" si="645"/>
        <v/>
      </c>
      <c r="EF219" s="120">
        <f ca="1">IF(BD219,_xll.xASN(BR219,Strike1,AO219,ED219,0,BO219,0,BI219,BL219,IF(OptControl=4,0,1),0),0)</f>
        <v>0</v>
      </c>
      <c r="EG219" s="111">
        <f ca="1">IF(BD219,_xll.xASN(BR219,Strike2,AO219,EE219,0,BO219,0,BI219,BL219,IF(OptControl=3,1,0),0),0)</f>
        <v>0</v>
      </c>
      <c r="EL219" s="55"/>
      <c r="EM219" s="1"/>
      <c r="EN219" s="106"/>
      <c r="EO219" s="106"/>
      <c r="EP219" s="1"/>
      <c r="EQ219" s="683" t="s">
        <v>433</v>
      </c>
      <c r="ES219" s="55"/>
      <c r="EU219" s="107"/>
      <c r="FJ219" s="673">
        <v>50</v>
      </c>
      <c r="FK219" s="479" t="str">
        <f ca="1">IF(OR(FK$169&lt;SwaptionFirstMonthPosition+1,$FJ219&lt;SwaptionFirstMonthPosition+1,FK$169&gt;SwaptionFirstMonthPosition+SwaptionNumOfMonths+1,$FJ219&gt;SwaptionFirstMonthPosition+SwaptionNumOfMonths+1),"",IF($FJ219=FK$169,1,IF($FJ219&lt;FK$169,INDEX($FK$170:$ID$241,FK$169,$FJ219),SUMPRODUCT(INDEX($FK$325:$ID$396,FK$169,1+SwaptionShift):INDEX($FK$325:$ID$396,FK$169,SwaptionMonthsToGo+SwaptionShift),INDEX($FK$245:$ID$316,$FJ219-FK$169,73-FK$169+SwaptionShift):INDEX($FK$245:$ID$316,$FJ219-FK$169,72-FK$169+SwaptionMonthsToGo+SwaptionShift))/SQRT(SUM(INDEX($FK374:$ID374,1+SwaptionShift):INDEX($FK374:$ID374,SwaptionMonthsToGo+SwaptionShift))*SUM(INDEX($FK$325:$ID$396,FK$169,1+SwaptionShift):INDEX($FK$325:$ID$396,FK$169,SwaptionMonthsToGo+SwaptionShift))))))</f>
        <v/>
      </c>
      <c r="FL219" s="479" t="str">
        <f ca="1">IF(OR(FL$169&lt;SwaptionFirstMonthPosition+1,$FJ219&lt;SwaptionFirstMonthPosition+1,FL$169&gt;SwaptionFirstMonthPosition+SwaptionNumOfMonths+1,$FJ219&gt;SwaptionFirstMonthPosition+SwaptionNumOfMonths+1),"",IF($FJ219=FL$169,1,IF($FJ219&lt;FL$169,INDEX($FK$170:$ID$241,FL$169,$FJ219),SUMPRODUCT(INDEX($FK$325:$ID$396,FL$169,1+SwaptionShift):INDEX($FK$325:$ID$396,FL$169,SwaptionMonthsToGo+SwaptionShift),INDEX($FK$245:$ID$316,$FJ219-FL$169,73-FL$169+SwaptionShift):INDEX($FK$245:$ID$316,$FJ219-FL$169,72-FL$169+SwaptionMonthsToGo+SwaptionShift))/SQRT(SUM(INDEX($FK374:$ID374,1+SwaptionShift):INDEX($FK374:$ID374,SwaptionMonthsToGo+SwaptionShift))*SUM(INDEX($FK$325:$ID$396,FL$169,1+SwaptionShift):INDEX($FK$325:$ID$396,FL$169,SwaptionMonthsToGo+SwaptionShift))))))</f>
        <v/>
      </c>
      <c r="FM219" s="479" t="str">
        <f ca="1">IF(OR(FM$169&lt;SwaptionFirstMonthPosition+1,$FJ219&lt;SwaptionFirstMonthPosition+1,FM$169&gt;SwaptionFirstMonthPosition+SwaptionNumOfMonths+1,$FJ219&gt;SwaptionFirstMonthPosition+SwaptionNumOfMonths+1),"",IF($FJ219=FM$169,1,IF($FJ219&lt;FM$169,INDEX($FK$170:$ID$241,FM$169,$FJ219),SUMPRODUCT(INDEX($FK$325:$ID$396,FM$169,1+SwaptionShift):INDEX($FK$325:$ID$396,FM$169,SwaptionMonthsToGo+SwaptionShift),INDEX($FK$245:$ID$316,$FJ219-FM$169,73-FM$169+SwaptionShift):INDEX($FK$245:$ID$316,$FJ219-FM$169,72-FM$169+SwaptionMonthsToGo+SwaptionShift))/SQRT(SUM(INDEX($FK374:$ID374,1+SwaptionShift):INDEX($FK374:$ID374,SwaptionMonthsToGo+SwaptionShift))*SUM(INDEX($FK$325:$ID$396,FM$169,1+SwaptionShift):INDEX($FK$325:$ID$396,FM$169,SwaptionMonthsToGo+SwaptionShift))))))</f>
        <v/>
      </c>
      <c r="FN219" s="479" t="str">
        <f ca="1">IF(OR(FN$169&lt;SwaptionFirstMonthPosition+1,$FJ219&lt;SwaptionFirstMonthPosition+1,FN$169&gt;SwaptionFirstMonthPosition+SwaptionNumOfMonths+1,$FJ219&gt;SwaptionFirstMonthPosition+SwaptionNumOfMonths+1),"",IF($FJ219=FN$169,1,IF($FJ219&lt;FN$169,INDEX($FK$170:$ID$241,FN$169,$FJ219),SUMPRODUCT(INDEX($FK$325:$ID$396,FN$169,1+SwaptionShift):INDEX($FK$325:$ID$396,FN$169,SwaptionMonthsToGo+SwaptionShift),INDEX($FK$245:$ID$316,$FJ219-FN$169,73-FN$169+SwaptionShift):INDEX($FK$245:$ID$316,$FJ219-FN$169,72-FN$169+SwaptionMonthsToGo+SwaptionShift))/SQRT(SUM(INDEX($FK374:$ID374,1+SwaptionShift):INDEX($FK374:$ID374,SwaptionMonthsToGo+SwaptionShift))*SUM(INDEX($FK$325:$ID$396,FN$169,1+SwaptionShift):INDEX($FK$325:$ID$396,FN$169,SwaptionMonthsToGo+SwaptionShift))))))</f>
        <v/>
      </c>
      <c r="FO219" s="479" t="str">
        <f ca="1">IF(OR(FO$169&lt;SwaptionFirstMonthPosition+1,$FJ219&lt;SwaptionFirstMonthPosition+1,FO$169&gt;SwaptionFirstMonthPosition+SwaptionNumOfMonths+1,$FJ219&gt;SwaptionFirstMonthPosition+SwaptionNumOfMonths+1),"",IF($FJ219=FO$169,1,IF($FJ219&lt;FO$169,INDEX($FK$170:$ID$241,FO$169,$FJ219),SUMPRODUCT(INDEX($FK$325:$ID$396,FO$169,1+SwaptionShift):INDEX($FK$325:$ID$396,FO$169,SwaptionMonthsToGo+SwaptionShift),INDEX($FK$245:$ID$316,$FJ219-FO$169,73-FO$169+SwaptionShift):INDEX($FK$245:$ID$316,$FJ219-FO$169,72-FO$169+SwaptionMonthsToGo+SwaptionShift))/SQRT(SUM(INDEX($FK374:$ID374,1+SwaptionShift):INDEX($FK374:$ID374,SwaptionMonthsToGo+SwaptionShift))*SUM(INDEX($FK$325:$ID$396,FO$169,1+SwaptionShift):INDEX($FK$325:$ID$396,FO$169,SwaptionMonthsToGo+SwaptionShift))))))</f>
        <v/>
      </c>
      <c r="FP219" s="479" t="str">
        <f ca="1">IF(OR(FP$169&lt;SwaptionFirstMonthPosition+1,$FJ219&lt;SwaptionFirstMonthPosition+1,FP$169&gt;SwaptionFirstMonthPosition+SwaptionNumOfMonths+1,$FJ219&gt;SwaptionFirstMonthPosition+SwaptionNumOfMonths+1),"",IF($FJ219=FP$169,1,IF($FJ219&lt;FP$169,INDEX($FK$170:$ID$241,FP$169,$FJ219),SUMPRODUCT(INDEX($FK$325:$ID$396,FP$169,1+SwaptionShift):INDEX($FK$325:$ID$396,FP$169,SwaptionMonthsToGo+SwaptionShift),INDEX($FK$245:$ID$316,$FJ219-FP$169,73-FP$169+SwaptionShift):INDEX($FK$245:$ID$316,$FJ219-FP$169,72-FP$169+SwaptionMonthsToGo+SwaptionShift))/SQRT(SUM(INDEX($FK374:$ID374,1+SwaptionShift):INDEX($FK374:$ID374,SwaptionMonthsToGo+SwaptionShift))*SUM(INDEX($FK$325:$ID$396,FP$169,1+SwaptionShift):INDEX($FK$325:$ID$396,FP$169,SwaptionMonthsToGo+SwaptionShift))))))</f>
        <v/>
      </c>
      <c r="FQ219" s="479" t="str">
        <f ca="1">IF(OR(FQ$169&lt;SwaptionFirstMonthPosition+1,$FJ219&lt;SwaptionFirstMonthPosition+1,FQ$169&gt;SwaptionFirstMonthPosition+SwaptionNumOfMonths+1,$FJ219&gt;SwaptionFirstMonthPosition+SwaptionNumOfMonths+1),"",IF($FJ219=FQ$169,1,IF($FJ219&lt;FQ$169,INDEX($FK$170:$ID$241,FQ$169,$FJ219),SUMPRODUCT(INDEX($FK$325:$ID$396,FQ$169,1+SwaptionShift):INDEX($FK$325:$ID$396,FQ$169,SwaptionMonthsToGo+SwaptionShift),INDEX($FK$245:$ID$316,$FJ219-FQ$169,73-FQ$169+SwaptionShift):INDEX($FK$245:$ID$316,$FJ219-FQ$169,72-FQ$169+SwaptionMonthsToGo+SwaptionShift))/SQRT(SUM(INDEX($FK374:$ID374,1+SwaptionShift):INDEX($FK374:$ID374,SwaptionMonthsToGo+SwaptionShift))*SUM(INDEX($FK$325:$ID$396,FQ$169,1+SwaptionShift):INDEX($FK$325:$ID$396,FQ$169,SwaptionMonthsToGo+SwaptionShift))))))</f>
        <v/>
      </c>
      <c r="FR219" s="479" t="str">
        <f ca="1">IF(OR(FR$169&lt;SwaptionFirstMonthPosition+1,$FJ219&lt;SwaptionFirstMonthPosition+1,FR$169&gt;SwaptionFirstMonthPosition+SwaptionNumOfMonths+1,$FJ219&gt;SwaptionFirstMonthPosition+SwaptionNumOfMonths+1),"",IF($FJ219=FR$169,1,IF($FJ219&lt;FR$169,INDEX($FK$170:$ID$241,FR$169,$FJ219),SUMPRODUCT(INDEX($FK$325:$ID$396,FR$169,1+SwaptionShift):INDEX($FK$325:$ID$396,FR$169,SwaptionMonthsToGo+SwaptionShift),INDEX($FK$245:$ID$316,$FJ219-FR$169,73-FR$169+SwaptionShift):INDEX($FK$245:$ID$316,$FJ219-FR$169,72-FR$169+SwaptionMonthsToGo+SwaptionShift))/SQRT(SUM(INDEX($FK374:$ID374,1+SwaptionShift):INDEX($FK374:$ID374,SwaptionMonthsToGo+SwaptionShift))*SUM(INDEX($FK$325:$ID$396,FR$169,1+SwaptionShift):INDEX($FK$325:$ID$396,FR$169,SwaptionMonthsToGo+SwaptionShift))))))</f>
        <v/>
      </c>
      <c r="FS219" s="479" t="str">
        <f ca="1">IF(OR(FS$169&lt;SwaptionFirstMonthPosition+1,$FJ219&lt;SwaptionFirstMonthPosition+1,FS$169&gt;SwaptionFirstMonthPosition+SwaptionNumOfMonths+1,$FJ219&gt;SwaptionFirstMonthPosition+SwaptionNumOfMonths+1),"",IF($FJ219=FS$169,1,IF($FJ219&lt;FS$169,INDEX($FK$170:$ID$241,FS$169,$FJ219),SUMPRODUCT(INDEX($FK$325:$ID$396,FS$169,1+SwaptionShift):INDEX($FK$325:$ID$396,FS$169,SwaptionMonthsToGo+SwaptionShift),INDEX($FK$245:$ID$316,$FJ219-FS$169,73-FS$169+SwaptionShift):INDEX($FK$245:$ID$316,$FJ219-FS$169,72-FS$169+SwaptionMonthsToGo+SwaptionShift))/SQRT(SUM(INDEX($FK374:$ID374,1+SwaptionShift):INDEX($FK374:$ID374,SwaptionMonthsToGo+SwaptionShift))*SUM(INDEX($FK$325:$ID$396,FS$169,1+SwaptionShift):INDEX($FK$325:$ID$396,FS$169,SwaptionMonthsToGo+SwaptionShift))))))</f>
        <v/>
      </c>
      <c r="FT219" s="479" t="str">
        <f ca="1">IF(OR(FT$169&lt;SwaptionFirstMonthPosition+1,$FJ219&lt;SwaptionFirstMonthPosition+1,FT$169&gt;SwaptionFirstMonthPosition+SwaptionNumOfMonths+1,$FJ219&gt;SwaptionFirstMonthPosition+SwaptionNumOfMonths+1),"",IF($FJ219=FT$169,1,IF($FJ219&lt;FT$169,INDEX($FK$170:$ID$241,FT$169,$FJ219),SUMPRODUCT(INDEX($FK$325:$ID$396,FT$169,1+SwaptionShift):INDEX($FK$325:$ID$396,FT$169,SwaptionMonthsToGo+SwaptionShift),INDEX($FK$245:$ID$316,$FJ219-FT$169,73-FT$169+SwaptionShift):INDEX($FK$245:$ID$316,$FJ219-FT$169,72-FT$169+SwaptionMonthsToGo+SwaptionShift))/SQRT(SUM(INDEX($FK374:$ID374,1+SwaptionShift):INDEX($FK374:$ID374,SwaptionMonthsToGo+SwaptionShift))*SUM(INDEX($FK$325:$ID$396,FT$169,1+SwaptionShift):INDEX($FK$325:$ID$396,FT$169,SwaptionMonthsToGo+SwaptionShift))))))</f>
        <v/>
      </c>
      <c r="FU219" s="479" t="str">
        <f ca="1">IF(OR(FU$169&lt;SwaptionFirstMonthPosition+1,$FJ219&lt;SwaptionFirstMonthPosition+1,FU$169&gt;SwaptionFirstMonthPosition+SwaptionNumOfMonths+1,$FJ219&gt;SwaptionFirstMonthPosition+SwaptionNumOfMonths+1),"",IF($FJ219=FU$169,1,IF($FJ219&lt;FU$169,INDEX($FK$170:$ID$241,FU$169,$FJ219),SUMPRODUCT(INDEX($FK$325:$ID$396,FU$169,1+SwaptionShift):INDEX($FK$325:$ID$396,FU$169,SwaptionMonthsToGo+SwaptionShift),INDEX($FK$245:$ID$316,$FJ219-FU$169,73-FU$169+SwaptionShift):INDEX($FK$245:$ID$316,$FJ219-FU$169,72-FU$169+SwaptionMonthsToGo+SwaptionShift))/SQRT(SUM(INDEX($FK374:$ID374,1+SwaptionShift):INDEX($FK374:$ID374,SwaptionMonthsToGo+SwaptionShift))*SUM(INDEX($FK$325:$ID$396,FU$169,1+SwaptionShift):INDEX($FK$325:$ID$396,FU$169,SwaptionMonthsToGo+SwaptionShift))))))</f>
        <v/>
      </c>
      <c r="FV219" s="479" t="str">
        <f ca="1">IF(OR(FV$169&lt;SwaptionFirstMonthPosition+1,$FJ219&lt;SwaptionFirstMonthPosition+1,FV$169&gt;SwaptionFirstMonthPosition+SwaptionNumOfMonths+1,$FJ219&gt;SwaptionFirstMonthPosition+SwaptionNumOfMonths+1),"",IF($FJ219=FV$169,1,IF($FJ219&lt;FV$169,INDEX($FK$170:$ID$241,FV$169,$FJ219),SUMPRODUCT(INDEX($FK$325:$ID$396,FV$169,1+SwaptionShift):INDEX($FK$325:$ID$396,FV$169,SwaptionMonthsToGo+SwaptionShift),INDEX($FK$245:$ID$316,$FJ219-FV$169,73-FV$169+SwaptionShift):INDEX($FK$245:$ID$316,$FJ219-FV$169,72-FV$169+SwaptionMonthsToGo+SwaptionShift))/SQRT(SUM(INDEX($FK374:$ID374,1+SwaptionShift):INDEX($FK374:$ID374,SwaptionMonthsToGo+SwaptionShift))*SUM(INDEX($FK$325:$ID$396,FV$169,1+SwaptionShift):INDEX($FK$325:$ID$396,FV$169,SwaptionMonthsToGo+SwaptionShift))))))</f>
        <v/>
      </c>
      <c r="FW219" s="479" t="str">
        <f ca="1">IF(OR(FW$169&lt;SwaptionFirstMonthPosition+1,$FJ219&lt;SwaptionFirstMonthPosition+1,FW$169&gt;SwaptionFirstMonthPosition+SwaptionNumOfMonths+1,$FJ219&gt;SwaptionFirstMonthPosition+SwaptionNumOfMonths+1),"",IF($FJ219=FW$169,1,IF($FJ219&lt;FW$169,INDEX($FK$170:$ID$241,FW$169,$FJ219),SUMPRODUCT(INDEX($FK$325:$ID$396,FW$169,1+SwaptionShift):INDEX($FK$325:$ID$396,FW$169,SwaptionMonthsToGo+SwaptionShift),INDEX($FK$245:$ID$316,$FJ219-FW$169,73-FW$169+SwaptionShift):INDEX($FK$245:$ID$316,$FJ219-FW$169,72-FW$169+SwaptionMonthsToGo+SwaptionShift))/SQRT(SUM(INDEX($FK374:$ID374,1+SwaptionShift):INDEX($FK374:$ID374,SwaptionMonthsToGo+SwaptionShift))*SUM(INDEX($FK$325:$ID$396,FW$169,1+SwaptionShift):INDEX($FK$325:$ID$396,FW$169,SwaptionMonthsToGo+SwaptionShift))))))</f>
        <v/>
      </c>
      <c r="FX219" s="479" t="str">
        <f ca="1">IF(OR(FX$169&lt;SwaptionFirstMonthPosition+1,$FJ219&lt;SwaptionFirstMonthPosition+1,FX$169&gt;SwaptionFirstMonthPosition+SwaptionNumOfMonths+1,$FJ219&gt;SwaptionFirstMonthPosition+SwaptionNumOfMonths+1),"",IF($FJ219=FX$169,1,IF($FJ219&lt;FX$169,INDEX($FK$170:$ID$241,FX$169,$FJ219),SUMPRODUCT(INDEX($FK$325:$ID$396,FX$169,1+SwaptionShift):INDEX($FK$325:$ID$396,FX$169,SwaptionMonthsToGo+SwaptionShift),INDEX($FK$245:$ID$316,$FJ219-FX$169,73-FX$169+SwaptionShift):INDEX($FK$245:$ID$316,$FJ219-FX$169,72-FX$169+SwaptionMonthsToGo+SwaptionShift))/SQRT(SUM(INDEX($FK374:$ID374,1+SwaptionShift):INDEX($FK374:$ID374,SwaptionMonthsToGo+SwaptionShift))*SUM(INDEX($FK$325:$ID$396,FX$169,1+SwaptionShift):INDEX($FK$325:$ID$396,FX$169,SwaptionMonthsToGo+SwaptionShift))))))</f>
        <v/>
      </c>
      <c r="FY219" s="479" t="str">
        <f ca="1">IF(OR(FY$169&lt;SwaptionFirstMonthPosition+1,$FJ219&lt;SwaptionFirstMonthPosition+1,FY$169&gt;SwaptionFirstMonthPosition+SwaptionNumOfMonths+1,$FJ219&gt;SwaptionFirstMonthPosition+SwaptionNumOfMonths+1),"",IF($FJ219=FY$169,1,IF($FJ219&lt;FY$169,INDEX($FK$170:$ID$241,FY$169,$FJ219),SUMPRODUCT(INDEX($FK$325:$ID$396,FY$169,1+SwaptionShift):INDEX($FK$325:$ID$396,FY$169,SwaptionMonthsToGo+SwaptionShift),INDEX($FK$245:$ID$316,$FJ219-FY$169,73-FY$169+SwaptionShift):INDEX($FK$245:$ID$316,$FJ219-FY$169,72-FY$169+SwaptionMonthsToGo+SwaptionShift))/SQRT(SUM(INDEX($FK374:$ID374,1+SwaptionShift):INDEX($FK374:$ID374,SwaptionMonthsToGo+SwaptionShift))*SUM(INDEX($FK$325:$ID$396,FY$169,1+SwaptionShift):INDEX($FK$325:$ID$396,FY$169,SwaptionMonthsToGo+SwaptionShift))))))</f>
        <v/>
      </c>
      <c r="FZ219" s="479" t="str">
        <f ca="1">IF(OR(FZ$169&lt;SwaptionFirstMonthPosition+1,$FJ219&lt;SwaptionFirstMonthPosition+1,FZ$169&gt;SwaptionFirstMonthPosition+SwaptionNumOfMonths+1,$FJ219&gt;SwaptionFirstMonthPosition+SwaptionNumOfMonths+1),"",IF($FJ219=FZ$169,1,IF($FJ219&lt;FZ$169,INDEX($FK$170:$ID$241,FZ$169,$FJ219),SUMPRODUCT(INDEX($FK$325:$ID$396,FZ$169,1+SwaptionShift):INDEX($FK$325:$ID$396,FZ$169,SwaptionMonthsToGo+SwaptionShift),INDEX($FK$245:$ID$316,$FJ219-FZ$169,73-FZ$169+SwaptionShift):INDEX($FK$245:$ID$316,$FJ219-FZ$169,72-FZ$169+SwaptionMonthsToGo+SwaptionShift))/SQRT(SUM(INDEX($FK374:$ID374,1+SwaptionShift):INDEX($FK374:$ID374,SwaptionMonthsToGo+SwaptionShift))*SUM(INDEX($FK$325:$ID$396,FZ$169,1+SwaptionShift):INDEX($FK$325:$ID$396,FZ$169,SwaptionMonthsToGo+SwaptionShift))))))</f>
        <v/>
      </c>
      <c r="GA219" s="479" t="str">
        <f ca="1">IF(OR(GA$169&lt;SwaptionFirstMonthPosition+1,$FJ219&lt;SwaptionFirstMonthPosition+1,GA$169&gt;SwaptionFirstMonthPosition+SwaptionNumOfMonths+1,$FJ219&gt;SwaptionFirstMonthPosition+SwaptionNumOfMonths+1),"",IF($FJ219=GA$169,1,IF($FJ219&lt;GA$169,INDEX($FK$170:$ID$241,GA$169,$FJ219),SUMPRODUCT(INDEX($FK$325:$ID$396,GA$169,1+SwaptionShift):INDEX($FK$325:$ID$396,GA$169,SwaptionMonthsToGo+SwaptionShift),INDEX($FK$245:$ID$316,$FJ219-GA$169,73-GA$169+SwaptionShift):INDEX($FK$245:$ID$316,$FJ219-GA$169,72-GA$169+SwaptionMonthsToGo+SwaptionShift))/SQRT(SUM(INDEX($FK374:$ID374,1+SwaptionShift):INDEX($FK374:$ID374,SwaptionMonthsToGo+SwaptionShift))*SUM(INDEX($FK$325:$ID$396,GA$169,1+SwaptionShift):INDEX($FK$325:$ID$396,GA$169,SwaptionMonthsToGo+SwaptionShift))))))</f>
        <v/>
      </c>
      <c r="GB219" s="479" t="str">
        <f ca="1">IF(OR(GB$169&lt;SwaptionFirstMonthPosition+1,$FJ219&lt;SwaptionFirstMonthPosition+1,GB$169&gt;SwaptionFirstMonthPosition+SwaptionNumOfMonths+1,$FJ219&gt;SwaptionFirstMonthPosition+SwaptionNumOfMonths+1),"",IF($FJ219=GB$169,1,IF($FJ219&lt;GB$169,INDEX($FK$170:$ID$241,GB$169,$FJ219),SUMPRODUCT(INDEX($FK$325:$ID$396,GB$169,1+SwaptionShift):INDEX($FK$325:$ID$396,GB$169,SwaptionMonthsToGo+SwaptionShift),INDEX($FK$245:$ID$316,$FJ219-GB$169,73-GB$169+SwaptionShift):INDEX($FK$245:$ID$316,$FJ219-GB$169,72-GB$169+SwaptionMonthsToGo+SwaptionShift))/SQRT(SUM(INDEX($FK374:$ID374,1+SwaptionShift):INDEX($FK374:$ID374,SwaptionMonthsToGo+SwaptionShift))*SUM(INDEX($FK$325:$ID$396,GB$169,1+SwaptionShift):INDEX($FK$325:$ID$396,GB$169,SwaptionMonthsToGo+SwaptionShift))))))</f>
        <v/>
      </c>
      <c r="GC219" s="479" t="str">
        <f ca="1">IF(OR(GC$169&lt;SwaptionFirstMonthPosition+1,$FJ219&lt;SwaptionFirstMonthPosition+1,GC$169&gt;SwaptionFirstMonthPosition+SwaptionNumOfMonths+1,$FJ219&gt;SwaptionFirstMonthPosition+SwaptionNumOfMonths+1),"",IF($FJ219=GC$169,1,IF($FJ219&lt;GC$169,INDEX($FK$170:$ID$241,GC$169,$FJ219),SUMPRODUCT(INDEX($FK$325:$ID$396,GC$169,1+SwaptionShift):INDEX($FK$325:$ID$396,GC$169,SwaptionMonthsToGo+SwaptionShift),INDEX($FK$245:$ID$316,$FJ219-GC$169,73-GC$169+SwaptionShift):INDEX($FK$245:$ID$316,$FJ219-GC$169,72-GC$169+SwaptionMonthsToGo+SwaptionShift))/SQRT(SUM(INDEX($FK374:$ID374,1+SwaptionShift):INDEX($FK374:$ID374,SwaptionMonthsToGo+SwaptionShift))*SUM(INDEX($FK$325:$ID$396,GC$169,1+SwaptionShift):INDEX($FK$325:$ID$396,GC$169,SwaptionMonthsToGo+SwaptionShift))))))</f>
        <v/>
      </c>
      <c r="GD219" s="479" t="str">
        <f ca="1">IF(OR(GD$169&lt;SwaptionFirstMonthPosition+1,$FJ219&lt;SwaptionFirstMonthPosition+1,GD$169&gt;SwaptionFirstMonthPosition+SwaptionNumOfMonths+1,$FJ219&gt;SwaptionFirstMonthPosition+SwaptionNumOfMonths+1),"",IF($FJ219=GD$169,1,IF($FJ219&lt;GD$169,INDEX($FK$170:$ID$241,GD$169,$FJ219),SUMPRODUCT(INDEX($FK$325:$ID$396,GD$169,1+SwaptionShift):INDEX($FK$325:$ID$396,GD$169,SwaptionMonthsToGo+SwaptionShift),INDEX($FK$245:$ID$316,$FJ219-GD$169,73-GD$169+SwaptionShift):INDEX($FK$245:$ID$316,$FJ219-GD$169,72-GD$169+SwaptionMonthsToGo+SwaptionShift))/SQRT(SUM(INDEX($FK374:$ID374,1+SwaptionShift):INDEX($FK374:$ID374,SwaptionMonthsToGo+SwaptionShift))*SUM(INDEX($FK$325:$ID$396,GD$169,1+SwaptionShift):INDEX($FK$325:$ID$396,GD$169,SwaptionMonthsToGo+SwaptionShift))))))</f>
        <v/>
      </c>
      <c r="GE219" s="479" t="str">
        <f ca="1">IF(OR(GE$169&lt;SwaptionFirstMonthPosition+1,$FJ219&lt;SwaptionFirstMonthPosition+1,GE$169&gt;SwaptionFirstMonthPosition+SwaptionNumOfMonths+1,$FJ219&gt;SwaptionFirstMonthPosition+SwaptionNumOfMonths+1),"",IF($FJ219=GE$169,1,IF($FJ219&lt;GE$169,INDEX($FK$170:$ID$241,GE$169,$FJ219),SUMPRODUCT(INDEX($FK$325:$ID$396,GE$169,1+SwaptionShift):INDEX($FK$325:$ID$396,GE$169,SwaptionMonthsToGo+SwaptionShift),INDEX($FK$245:$ID$316,$FJ219-GE$169,73-GE$169+SwaptionShift):INDEX($FK$245:$ID$316,$FJ219-GE$169,72-GE$169+SwaptionMonthsToGo+SwaptionShift))/SQRT(SUM(INDEX($FK374:$ID374,1+SwaptionShift):INDEX($FK374:$ID374,SwaptionMonthsToGo+SwaptionShift))*SUM(INDEX($FK$325:$ID$396,GE$169,1+SwaptionShift):INDEX($FK$325:$ID$396,GE$169,SwaptionMonthsToGo+SwaptionShift))))))</f>
        <v/>
      </c>
      <c r="GF219" s="479" t="str">
        <f ca="1">IF(OR(GF$169&lt;SwaptionFirstMonthPosition+1,$FJ219&lt;SwaptionFirstMonthPosition+1,GF$169&gt;SwaptionFirstMonthPosition+SwaptionNumOfMonths+1,$FJ219&gt;SwaptionFirstMonthPosition+SwaptionNumOfMonths+1),"",IF($FJ219=GF$169,1,IF($FJ219&lt;GF$169,INDEX($FK$170:$ID$241,GF$169,$FJ219),SUMPRODUCT(INDEX($FK$325:$ID$396,GF$169,1+SwaptionShift):INDEX($FK$325:$ID$396,GF$169,SwaptionMonthsToGo+SwaptionShift),INDEX($FK$245:$ID$316,$FJ219-GF$169,73-GF$169+SwaptionShift):INDEX($FK$245:$ID$316,$FJ219-GF$169,72-GF$169+SwaptionMonthsToGo+SwaptionShift))/SQRT(SUM(INDEX($FK374:$ID374,1+SwaptionShift):INDEX($FK374:$ID374,SwaptionMonthsToGo+SwaptionShift))*SUM(INDEX($FK$325:$ID$396,GF$169,1+SwaptionShift):INDEX($FK$325:$ID$396,GF$169,SwaptionMonthsToGo+SwaptionShift))))))</f>
        <v/>
      </c>
      <c r="GG219" s="479" t="str">
        <f ca="1">IF(OR(GG$169&lt;SwaptionFirstMonthPosition+1,$FJ219&lt;SwaptionFirstMonthPosition+1,GG$169&gt;SwaptionFirstMonthPosition+SwaptionNumOfMonths+1,$FJ219&gt;SwaptionFirstMonthPosition+SwaptionNumOfMonths+1),"",IF($FJ219=GG$169,1,IF($FJ219&lt;GG$169,INDEX($FK$170:$ID$241,GG$169,$FJ219),SUMPRODUCT(INDEX($FK$325:$ID$396,GG$169,1+SwaptionShift):INDEX($FK$325:$ID$396,GG$169,SwaptionMonthsToGo+SwaptionShift),INDEX($FK$245:$ID$316,$FJ219-GG$169,73-GG$169+SwaptionShift):INDEX($FK$245:$ID$316,$FJ219-GG$169,72-GG$169+SwaptionMonthsToGo+SwaptionShift))/SQRT(SUM(INDEX($FK374:$ID374,1+SwaptionShift):INDEX($FK374:$ID374,SwaptionMonthsToGo+SwaptionShift))*SUM(INDEX($FK$325:$ID$396,GG$169,1+SwaptionShift):INDEX($FK$325:$ID$396,GG$169,SwaptionMonthsToGo+SwaptionShift))))))</f>
        <v/>
      </c>
      <c r="GH219" s="479" t="str">
        <f ca="1">IF(OR(GH$169&lt;SwaptionFirstMonthPosition+1,$FJ219&lt;SwaptionFirstMonthPosition+1,GH$169&gt;SwaptionFirstMonthPosition+SwaptionNumOfMonths+1,$FJ219&gt;SwaptionFirstMonthPosition+SwaptionNumOfMonths+1),"",IF($FJ219=GH$169,1,IF($FJ219&lt;GH$169,INDEX($FK$170:$ID$241,GH$169,$FJ219),SUMPRODUCT(INDEX($FK$325:$ID$396,GH$169,1+SwaptionShift):INDEX($FK$325:$ID$396,GH$169,SwaptionMonthsToGo+SwaptionShift),INDEX($FK$245:$ID$316,$FJ219-GH$169,73-GH$169+SwaptionShift):INDEX($FK$245:$ID$316,$FJ219-GH$169,72-GH$169+SwaptionMonthsToGo+SwaptionShift))/SQRT(SUM(INDEX($FK374:$ID374,1+SwaptionShift):INDEX($FK374:$ID374,SwaptionMonthsToGo+SwaptionShift))*SUM(INDEX($FK$325:$ID$396,GH$169,1+SwaptionShift):INDEX($FK$325:$ID$396,GH$169,SwaptionMonthsToGo+SwaptionShift))))))</f>
        <v/>
      </c>
      <c r="GI219" s="479" t="str">
        <f ca="1">IF(OR(GI$169&lt;SwaptionFirstMonthPosition+1,$FJ219&lt;SwaptionFirstMonthPosition+1,GI$169&gt;SwaptionFirstMonthPosition+SwaptionNumOfMonths+1,$FJ219&gt;SwaptionFirstMonthPosition+SwaptionNumOfMonths+1),"",IF($FJ219=GI$169,1,IF($FJ219&lt;GI$169,INDEX($FK$170:$ID$241,GI$169,$FJ219),SUMPRODUCT(INDEX($FK$325:$ID$396,GI$169,1+SwaptionShift):INDEX($FK$325:$ID$396,GI$169,SwaptionMonthsToGo+SwaptionShift),INDEX($FK$245:$ID$316,$FJ219-GI$169,73-GI$169+SwaptionShift):INDEX($FK$245:$ID$316,$FJ219-GI$169,72-GI$169+SwaptionMonthsToGo+SwaptionShift))/SQRT(SUM(INDEX($FK374:$ID374,1+SwaptionShift):INDEX($FK374:$ID374,SwaptionMonthsToGo+SwaptionShift))*SUM(INDEX($FK$325:$ID$396,GI$169,1+SwaptionShift):INDEX($FK$325:$ID$396,GI$169,SwaptionMonthsToGo+SwaptionShift))))))</f>
        <v/>
      </c>
      <c r="GJ219" s="479" t="str">
        <f ca="1">IF(OR(GJ$169&lt;SwaptionFirstMonthPosition+1,$FJ219&lt;SwaptionFirstMonthPosition+1,GJ$169&gt;SwaptionFirstMonthPosition+SwaptionNumOfMonths+1,$FJ219&gt;SwaptionFirstMonthPosition+SwaptionNumOfMonths+1),"",IF($FJ219=GJ$169,1,IF($FJ219&lt;GJ$169,INDEX($FK$170:$ID$241,GJ$169,$FJ219),SUMPRODUCT(INDEX($FK$325:$ID$396,GJ$169,1+SwaptionShift):INDEX($FK$325:$ID$396,GJ$169,SwaptionMonthsToGo+SwaptionShift),INDEX($FK$245:$ID$316,$FJ219-GJ$169,73-GJ$169+SwaptionShift):INDEX($FK$245:$ID$316,$FJ219-GJ$169,72-GJ$169+SwaptionMonthsToGo+SwaptionShift))/SQRT(SUM(INDEX($FK374:$ID374,1+SwaptionShift):INDEX($FK374:$ID374,SwaptionMonthsToGo+SwaptionShift))*SUM(INDEX($FK$325:$ID$396,GJ$169,1+SwaptionShift):INDEX($FK$325:$ID$396,GJ$169,SwaptionMonthsToGo+SwaptionShift))))))</f>
        <v/>
      </c>
      <c r="GK219" s="479" t="str">
        <f ca="1">IF(OR(GK$169&lt;SwaptionFirstMonthPosition+1,$FJ219&lt;SwaptionFirstMonthPosition+1,GK$169&gt;SwaptionFirstMonthPosition+SwaptionNumOfMonths+1,$FJ219&gt;SwaptionFirstMonthPosition+SwaptionNumOfMonths+1),"",IF($FJ219=GK$169,1,IF($FJ219&lt;GK$169,INDEX($FK$170:$ID$241,GK$169,$FJ219),SUMPRODUCT(INDEX($FK$325:$ID$396,GK$169,1+SwaptionShift):INDEX($FK$325:$ID$396,GK$169,SwaptionMonthsToGo+SwaptionShift),INDEX($FK$245:$ID$316,$FJ219-GK$169,73-GK$169+SwaptionShift):INDEX($FK$245:$ID$316,$FJ219-GK$169,72-GK$169+SwaptionMonthsToGo+SwaptionShift))/SQRT(SUM(INDEX($FK374:$ID374,1+SwaptionShift):INDEX($FK374:$ID374,SwaptionMonthsToGo+SwaptionShift))*SUM(INDEX($FK$325:$ID$396,GK$169,1+SwaptionShift):INDEX($FK$325:$ID$396,GK$169,SwaptionMonthsToGo+SwaptionShift))))))</f>
        <v/>
      </c>
      <c r="GL219" s="479" t="str">
        <f ca="1">IF(OR(GL$169&lt;SwaptionFirstMonthPosition+1,$FJ219&lt;SwaptionFirstMonthPosition+1,GL$169&gt;SwaptionFirstMonthPosition+SwaptionNumOfMonths+1,$FJ219&gt;SwaptionFirstMonthPosition+SwaptionNumOfMonths+1),"",IF($FJ219=GL$169,1,IF($FJ219&lt;GL$169,INDEX($FK$170:$ID$241,GL$169,$FJ219),SUMPRODUCT(INDEX($FK$325:$ID$396,GL$169,1+SwaptionShift):INDEX($FK$325:$ID$396,GL$169,SwaptionMonthsToGo+SwaptionShift),INDEX($FK$245:$ID$316,$FJ219-GL$169,73-GL$169+SwaptionShift):INDEX($FK$245:$ID$316,$FJ219-GL$169,72-GL$169+SwaptionMonthsToGo+SwaptionShift))/SQRT(SUM(INDEX($FK374:$ID374,1+SwaptionShift):INDEX($FK374:$ID374,SwaptionMonthsToGo+SwaptionShift))*SUM(INDEX($FK$325:$ID$396,GL$169,1+SwaptionShift):INDEX($FK$325:$ID$396,GL$169,SwaptionMonthsToGo+SwaptionShift))))))</f>
        <v/>
      </c>
      <c r="GM219" s="479" t="str">
        <f ca="1">IF(OR(GM$169&lt;SwaptionFirstMonthPosition+1,$FJ219&lt;SwaptionFirstMonthPosition+1,GM$169&gt;SwaptionFirstMonthPosition+SwaptionNumOfMonths+1,$FJ219&gt;SwaptionFirstMonthPosition+SwaptionNumOfMonths+1),"",IF($FJ219=GM$169,1,IF($FJ219&lt;GM$169,INDEX($FK$170:$ID$241,GM$169,$FJ219),SUMPRODUCT(INDEX($FK$325:$ID$396,GM$169,1+SwaptionShift):INDEX($FK$325:$ID$396,GM$169,SwaptionMonthsToGo+SwaptionShift),INDEX($FK$245:$ID$316,$FJ219-GM$169,73-GM$169+SwaptionShift):INDEX($FK$245:$ID$316,$FJ219-GM$169,72-GM$169+SwaptionMonthsToGo+SwaptionShift))/SQRT(SUM(INDEX($FK374:$ID374,1+SwaptionShift):INDEX($FK374:$ID374,SwaptionMonthsToGo+SwaptionShift))*SUM(INDEX($FK$325:$ID$396,GM$169,1+SwaptionShift):INDEX($FK$325:$ID$396,GM$169,SwaptionMonthsToGo+SwaptionShift))))))</f>
        <v/>
      </c>
      <c r="GN219" s="479" t="str">
        <f ca="1">IF(OR(GN$169&lt;SwaptionFirstMonthPosition+1,$FJ219&lt;SwaptionFirstMonthPosition+1,GN$169&gt;SwaptionFirstMonthPosition+SwaptionNumOfMonths+1,$FJ219&gt;SwaptionFirstMonthPosition+SwaptionNumOfMonths+1),"",IF($FJ219=GN$169,1,IF($FJ219&lt;GN$169,INDEX($FK$170:$ID$241,GN$169,$FJ219),SUMPRODUCT(INDEX($FK$325:$ID$396,GN$169,1+SwaptionShift):INDEX($FK$325:$ID$396,GN$169,SwaptionMonthsToGo+SwaptionShift),INDEX($FK$245:$ID$316,$FJ219-GN$169,73-GN$169+SwaptionShift):INDEX($FK$245:$ID$316,$FJ219-GN$169,72-GN$169+SwaptionMonthsToGo+SwaptionShift))/SQRT(SUM(INDEX($FK374:$ID374,1+SwaptionShift):INDEX($FK374:$ID374,SwaptionMonthsToGo+SwaptionShift))*SUM(INDEX($FK$325:$ID$396,GN$169,1+SwaptionShift):INDEX($FK$325:$ID$396,GN$169,SwaptionMonthsToGo+SwaptionShift))))))</f>
        <v/>
      </c>
      <c r="GO219" s="479" t="str">
        <f ca="1">IF(OR(GO$169&lt;SwaptionFirstMonthPosition+1,$FJ219&lt;SwaptionFirstMonthPosition+1,GO$169&gt;SwaptionFirstMonthPosition+SwaptionNumOfMonths+1,$FJ219&gt;SwaptionFirstMonthPosition+SwaptionNumOfMonths+1),"",IF($FJ219=GO$169,1,IF($FJ219&lt;GO$169,INDEX($FK$170:$ID$241,GO$169,$FJ219),SUMPRODUCT(INDEX($FK$325:$ID$396,GO$169,1+SwaptionShift):INDEX($FK$325:$ID$396,GO$169,SwaptionMonthsToGo+SwaptionShift),INDEX($FK$245:$ID$316,$FJ219-GO$169,73-GO$169+SwaptionShift):INDEX($FK$245:$ID$316,$FJ219-GO$169,72-GO$169+SwaptionMonthsToGo+SwaptionShift))/SQRT(SUM(INDEX($FK374:$ID374,1+SwaptionShift):INDEX($FK374:$ID374,SwaptionMonthsToGo+SwaptionShift))*SUM(INDEX($FK$325:$ID$396,GO$169,1+SwaptionShift):INDEX($FK$325:$ID$396,GO$169,SwaptionMonthsToGo+SwaptionShift))))))</f>
        <v/>
      </c>
      <c r="GP219" s="479" t="str">
        <f ca="1">IF(OR(GP$169&lt;SwaptionFirstMonthPosition+1,$FJ219&lt;SwaptionFirstMonthPosition+1,GP$169&gt;SwaptionFirstMonthPosition+SwaptionNumOfMonths+1,$FJ219&gt;SwaptionFirstMonthPosition+SwaptionNumOfMonths+1),"",IF($FJ219=GP$169,1,IF($FJ219&lt;GP$169,INDEX($FK$170:$ID$241,GP$169,$FJ219),SUMPRODUCT(INDEX($FK$325:$ID$396,GP$169,1+SwaptionShift):INDEX($FK$325:$ID$396,GP$169,SwaptionMonthsToGo+SwaptionShift),INDEX($FK$245:$ID$316,$FJ219-GP$169,73-GP$169+SwaptionShift):INDEX($FK$245:$ID$316,$FJ219-GP$169,72-GP$169+SwaptionMonthsToGo+SwaptionShift))/SQRT(SUM(INDEX($FK374:$ID374,1+SwaptionShift):INDEX($FK374:$ID374,SwaptionMonthsToGo+SwaptionShift))*SUM(INDEX($FK$325:$ID$396,GP$169,1+SwaptionShift):INDEX($FK$325:$ID$396,GP$169,SwaptionMonthsToGo+SwaptionShift))))))</f>
        <v/>
      </c>
      <c r="GQ219" s="479" t="str">
        <f ca="1">IF(OR(GQ$169&lt;SwaptionFirstMonthPosition+1,$FJ219&lt;SwaptionFirstMonthPosition+1,GQ$169&gt;SwaptionFirstMonthPosition+SwaptionNumOfMonths+1,$FJ219&gt;SwaptionFirstMonthPosition+SwaptionNumOfMonths+1),"",IF($FJ219=GQ$169,1,IF($FJ219&lt;GQ$169,INDEX($FK$170:$ID$241,GQ$169,$FJ219),SUMPRODUCT(INDEX($FK$325:$ID$396,GQ$169,1+SwaptionShift):INDEX($FK$325:$ID$396,GQ$169,SwaptionMonthsToGo+SwaptionShift),INDEX($FK$245:$ID$316,$FJ219-GQ$169,73-GQ$169+SwaptionShift):INDEX($FK$245:$ID$316,$FJ219-GQ$169,72-GQ$169+SwaptionMonthsToGo+SwaptionShift))/SQRT(SUM(INDEX($FK374:$ID374,1+SwaptionShift):INDEX($FK374:$ID374,SwaptionMonthsToGo+SwaptionShift))*SUM(INDEX($FK$325:$ID$396,GQ$169,1+SwaptionShift):INDEX($FK$325:$ID$396,GQ$169,SwaptionMonthsToGo+SwaptionShift))))))</f>
        <v/>
      </c>
      <c r="GR219" s="479" t="str">
        <f ca="1">IF(OR(GR$169&lt;SwaptionFirstMonthPosition+1,$FJ219&lt;SwaptionFirstMonthPosition+1,GR$169&gt;SwaptionFirstMonthPosition+SwaptionNumOfMonths+1,$FJ219&gt;SwaptionFirstMonthPosition+SwaptionNumOfMonths+1),"",IF($FJ219=GR$169,1,IF($FJ219&lt;GR$169,INDEX($FK$170:$ID$241,GR$169,$FJ219),SUMPRODUCT(INDEX($FK$325:$ID$396,GR$169,1+SwaptionShift):INDEX($FK$325:$ID$396,GR$169,SwaptionMonthsToGo+SwaptionShift),INDEX($FK$245:$ID$316,$FJ219-GR$169,73-GR$169+SwaptionShift):INDEX($FK$245:$ID$316,$FJ219-GR$169,72-GR$169+SwaptionMonthsToGo+SwaptionShift))/SQRT(SUM(INDEX($FK374:$ID374,1+SwaptionShift):INDEX($FK374:$ID374,SwaptionMonthsToGo+SwaptionShift))*SUM(INDEX($FK$325:$ID$396,GR$169,1+SwaptionShift):INDEX($FK$325:$ID$396,GR$169,SwaptionMonthsToGo+SwaptionShift))))))</f>
        <v/>
      </c>
      <c r="GS219" s="479" t="str">
        <f ca="1">IF(OR(GS$169&lt;SwaptionFirstMonthPosition+1,$FJ219&lt;SwaptionFirstMonthPosition+1,GS$169&gt;SwaptionFirstMonthPosition+SwaptionNumOfMonths+1,$FJ219&gt;SwaptionFirstMonthPosition+SwaptionNumOfMonths+1),"",IF($FJ219=GS$169,1,IF($FJ219&lt;GS$169,INDEX($FK$170:$ID$241,GS$169,$FJ219),SUMPRODUCT(INDEX($FK$325:$ID$396,GS$169,1+SwaptionShift):INDEX($FK$325:$ID$396,GS$169,SwaptionMonthsToGo+SwaptionShift),INDEX($FK$245:$ID$316,$FJ219-GS$169,73-GS$169+SwaptionShift):INDEX($FK$245:$ID$316,$FJ219-GS$169,72-GS$169+SwaptionMonthsToGo+SwaptionShift))/SQRT(SUM(INDEX($FK374:$ID374,1+SwaptionShift):INDEX($FK374:$ID374,SwaptionMonthsToGo+SwaptionShift))*SUM(INDEX($FK$325:$ID$396,GS$169,1+SwaptionShift):INDEX($FK$325:$ID$396,GS$169,SwaptionMonthsToGo+SwaptionShift))))))</f>
        <v/>
      </c>
      <c r="GT219" s="479" t="str">
        <f ca="1">IF(OR(GT$169&lt;SwaptionFirstMonthPosition+1,$FJ219&lt;SwaptionFirstMonthPosition+1,GT$169&gt;SwaptionFirstMonthPosition+SwaptionNumOfMonths+1,$FJ219&gt;SwaptionFirstMonthPosition+SwaptionNumOfMonths+1),"",IF($FJ219=GT$169,1,IF($FJ219&lt;GT$169,INDEX($FK$170:$ID$241,GT$169,$FJ219),SUMPRODUCT(INDEX($FK$325:$ID$396,GT$169,1+SwaptionShift):INDEX($FK$325:$ID$396,GT$169,SwaptionMonthsToGo+SwaptionShift),INDEX($FK$245:$ID$316,$FJ219-GT$169,73-GT$169+SwaptionShift):INDEX($FK$245:$ID$316,$FJ219-GT$169,72-GT$169+SwaptionMonthsToGo+SwaptionShift))/SQRT(SUM(INDEX($FK374:$ID374,1+SwaptionShift):INDEX($FK374:$ID374,SwaptionMonthsToGo+SwaptionShift))*SUM(INDEX($FK$325:$ID$396,GT$169,1+SwaptionShift):INDEX($FK$325:$ID$396,GT$169,SwaptionMonthsToGo+SwaptionShift))))))</f>
        <v/>
      </c>
      <c r="GU219" s="479" t="str">
        <f ca="1">IF(OR(GU$169&lt;SwaptionFirstMonthPosition+1,$FJ219&lt;SwaptionFirstMonthPosition+1,GU$169&gt;SwaptionFirstMonthPosition+SwaptionNumOfMonths+1,$FJ219&gt;SwaptionFirstMonthPosition+SwaptionNumOfMonths+1),"",IF($FJ219=GU$169,1,IF($FJ219&lt;GU$169,INDEX($FK$170:$ID$241,GU$169,$FJ219),SUMPRODUCT(INDEX($FK$325:$ID$396,GU$169,1+SwaptionShift):INDEX($FK$325:$ID$396,GU$169,SwaptionMonthsToGo+SwaptionShift),INDEX($FK$245:$ID$316,$FJ219-GU$169,73-GU$169+SwaptionShift):INDEX($FK$245:$ID$316,$FJ219-GU$169,72-GU$169+SwaptionMonthsToGo+SwaptionShift))/SQRT(SUM(INDEX($FK374:$ID374,1+SwaptionShift):INDEX($FK374:$ID374,SwaptionMonthsToGo+SwaptionShift))*SUM(INDEX($FK$325:$ID$396,GU$169,1+SwaptionShift):INDEX($FK$325:$ID$396,GU$169,SwaptionMonthsToGo+SwaptionShift))))))</f>
        <v/>
      </c>
      <c r="GV219" s="479" t="str">
        <f ca="1">IF(OR(GV$169&lt;SwaptionFirstMonthPosition+1,$FJ219&lt;SwaptionFirstMonthPosition+1,GV$169&gt;SwaptionFirstMonthPosition+SwaptionNumOfMonths+1,$FJ219&gt;SwaptionFirstMonthPosition+SwaptionNumOfMonths+1),"",IF($FJ219=GV$169,1,IF($FJ219&lt;GV$169,INDEX($FK$170:$ID$241,GV$169,$FJ219),SUMPRODUCT(INDEX($FK$325:$ID$396,GV$169,1+SwaptionShift):INDEX($FK$325:$ID$396,GV$169,SwaptionMonthsToGo+SwaptionShift),INDEX($FK$245:$ID$316,$FJ219-GV$169,73-GV$169+SwaptionShift):INDEX($FK$245:$ID$316,$FJ219-GV$169,72-GV$169+SwaptionMonthsToGo+SwaptionShift))/SQRT(SUM(INDEX($FK374:$ID374,1+SwaptionShift):INDEX($FK374:$ID374,SwaptionMonthsToGo+SwaptionShift))*SUM(INDEX($FK$325:$ID$396,GV$169,1+SwaptionShift):INDEX($FK$325:$ID$396,GV$169,SwaptionMonthsToGo+SwaptionShift))))))</f>
        <v/>
      </c>
      <c r="GW219" s="479" t="str">
        <f ca="1">IF(OR(GW$169&lt;SwaptionFirstMonthPosition+1,$FJ219&lt;SwaptionFirstMonthPosition+1,GW$169&gt;SwaptionFirstMonthPosition+SwaptionNumOfMonths+1,$FJ219&gt;SwaptionFirstMonthPosition+SwaptionNumOfMonths+1),"",IF($FJ219=GW$169,1,IF($FJ219&lt;GW$169,INDEX($FK$170:$ID$241,GW$169,$FJ219),SUMPRODUCT(INDEX($FK$325:$ID$396,GW$169,1+SwaptionShift):INDEX($FK$325:$ID$396,GW$169,SwaptionMonthsToGo+SwaptionShift),INDEX($FK$245:$ID$316,$FJ219-GW$169,73-GW$169+SwaptionShift):INDEX($FK$245:$ID$316,$FJ219-GW$169,72-GW$169+SwaptionMonthsToGo+SwaptionShift))/SQRT(SUM(INDEX($FK374:$ID374,1+SwaptionShift):INDEX($FK374:$ID374,SwaptionMonthsToGo+SwaptionShift))*SUM(INDEX($FK$325:$ID$396,GW$169,1+SwaptionShift):INDEX($FK$325:$ID$396,GW$169,SwaptionMonthsToGo+SwaptionShift))))))</f>
        <v/>
      </c>
      <c r="GX219" s="479" t="str">
        <f ca="1">IF(OR(GX$169&lt;SwaptionFirstMonthPosition+1,$FJ219&lt;SwaptionFirstMonthPosition+1,GX$169&gt;SwaptionFirstMonthPosition+SwaptionNumOfMonths+1,$FJ219&gt;SwaptionFirstMonthPosition+SwaptionNumOfMonths+1),"",IF($FJ219=GX$169,1,IF($FJ219&lt;GX$169,INDEX($FK$170:$ID$241,GX$169,$FJ219),SUMPRODUCT(INDEX($FK$325:$ID$396,GX$169,1+SwaptionShift):INDEX($FK$325:$ID$396,GX$169,SwaptionMonthsToGo+SwaptionShift),INDEX($FK$245:$ID$316,$FJ219-GX$169,73-GX$169+SwaptionShift):INDEX($FK$245:$ID$316,$FJ219-GX$169,72-GX$169+SwaptionMonthsToGo+SwaptionShift))/SQRT(SUM(INDEX($FK374:$ID374,1+SwaptionShift):INDEX($FK374:$ID374,SwaptionMonthsToGo+SwaptionShift))*SUM(INDEX($FK$325:$ID$396,GX$169,1+SwaptionShift):INDEX($FK$325:$ID$396,GX$169,SwaptionMonthsToGo+SwaptionShift))))))</f>
        <v/>
      </c>
      <c r="GY219" s="479" t="str">
        <f ca="1">IF(OR(GY$169&lt;SwaptionFirstMonthPosition+1,$FJ219&lt;SwaptionFirstMonthPosition+1,GY$169&gt;SwaptionFirstMonthPosition+SwaptionNumOfMonths+1,$FJ219&gt;SwaptionFirstMonthPosition+SwaptionNumOfMonths+1),"",IF($FJ219=GY$169,1,IF($FJ219&lt;GY$169,INDEX($FK$170:$ID$241,GY$169,$FJ219),SUMPRODUCT(INDEX($FK$325:$ID$396,GY$169,1+SwaptionShift):INDEX($FK$325:$ID$396,GY$169,SwaptionMonthsToGo+SwaptionShift),INDEX($FK$245:$ID$316,$FJ219-GY$169,73-GY$169+SwaptionShift):INDEX($FK$245:$ID$316,$FJ219-GY$169,72-GY$169+SwaptionMonthsToGo+SwaptionShift))/SQRT(SUM(INDEX($FK374:$ID374,1+SwaptionShift):INDEX($FK374:$ID374,SwaptionMonthsToGo+SwaptionShift))*SUM(INDEX($FK$325:$ID$396,GY$169,1+SwaptionShift):INDEX($FK$325:$ID$396,GY$169,SwaptionMonthsToGo+SwaptionShift))))))</f>
        <v/>
      </c>
      <c r="GZ219" s="479" t="str">
        <f ca="1">IF(OR(GZ$169&lt;SwaptionFirstMonthPosition+1,$FJ219&lt;SwaptionFirstMonthPosition+1,GZ$169&gt;SwaptionFirstMonthPosition+SwaptionNumOfMonths+1,$FJ219&gt;SwaptionFirstMonthPosition+SwaptionNumOfMonths+1),"",IF($FJ219=GZ$169,1,IF($FJ219&lt;GZ$169,INDEX($FK$170:$ID$241,GZ$169,$FJ219),SUMPRODUCT(INDEX($FK$325:$ID$396,GZ$169,1+SwaptionShift):INDEX($FK$325:$ID$396,GZ$169,SwaptionMonthsToGo+SwaptionShift),INDEX($FK$245:$ID$316,$FJ219-GZ$169,73-GZ$169+SwaptionShift):INDEX($FK$245:$ID$316,$FJ219-GZ$169,72-GZ$169+SwaptionMonthsToGo+SwaptionShift))/SQRT(SUM(INDEX($FK374:$ID374,1+SwaptionShift):INDEX($FK374:$ID374,SwaptionMonthsToGo+SwaptionShift))*SUM(INDEX($FK$325:$ID$396,GZ$169,1+SwaptionShift):INDEX($FK$325:$ID$396,GZ$169,SwaptionMonthsToGo+SwaptionShift))))))</f>
        <v/>
      </c>
      <c r="HA219" s="479" t="str">
        <f ca="1">IF(OR(HA$169&lt;SwaptionFirstMonthPosition+1,$FJ219&lt;SwaptionFirstMonthPosition+1,HA$169&gt;SwaptionFirstMonthPosition+SwaptionNumOfMonths+1,$FJ219&gt;SwaptionFirstMonthPosition+SwaptionNumOfMonths+1),"",IF($FJ219=HA$169,1,IF($FJ219&lt;HA$169,INDEX($FK$170:$ID$241,HA$169,$FJ219),SUMPRODUCT(INDEX($FK$325:$ID$396,HA$169,1+SwaptionShift):INDEX($FK$325:$ID$396,HA$169,SwaptionMonthsToGo+SwaptionShift),INDEX($FK$245:$ID$316,$FJ219-HA$169,73-HA$169+SwaptionShift):INDEX($FK$245:$ID$316,$FJ219-HA$169,72-HA$169+SwaptionMonthsToGo+SwaptionShift))/SQRT(SUM(INDEX($FK374:$ID374,1+SwaptionShift):INDEX($FK374:$ID374,SwaptionMonthsToGo+SwaptionShift))*SUM(INDEX($FK$325:$ID$396,HA$169,1+SwaptionShift):INDEX($FK$325:$ID$396,HA$169,SwaptionMonthsToGo+SwaptionShift))))))</f>
        <v/>
      </c>
      <c r="HB219" s="479" t="str">
        <f ca="1">IF(OR(HB$169&lt;SwaptionFirstMonthPosition+1,$FJ219&lt;SwaptionFirstMonthPosition+1,HB$169&gt;SwaptionFirstMonthPosition+SwaptionNumOfMonths+1,$FJ219&gt;SwaptionFirstMonthPosition+SwaptionNumOfMonths+1),"",IF($FJ219=HB$169,1,IF($FJ219&lt;HB$169,INDEX($FK$170:$ID$241,HB$169,$FJ219),SUMPRODUCT(INDEX($FK$325:$ID$396,HB$169,1+SwaptionShift):INDEX($FK$325:$ID$396,HB$169,SwaptionMonthsToGo+SwaptionShift),INDEX($FK$245:$ID$316,$FJ219-HB$169,73-HB$169+SwaptionShift):INDEX($FK$245:$ID$316,$FJ219-HB$169,72-HB$169+SwaptionMonthsToGo+SwaptionShift))/SQRT(SUM(INDEX($FK374:$ID374,1+SwaptionShift):INDEX($FK374:$ID374,SwaptionMonthsToGo+SwaptionShift))*SUM(INDEX($FK$325:$ID$396,HB$169,1+SwaptionShift):INDEX($FK$325:$ID$396,HB$169,SwaptionMonthsToGo+SwaptionShift))))))</f>
        <v/>
      </c>
      <c r="HC219" s="479" t="str">
        <f ca="1">IF(OR(HC$169&lt;SwaptionFirstMonthPosition+1,$FJ219&lt;SwaptionFirstMonthPosition+1,HC$169&gt;SwaptionFirstMonthPosition+SwaptionNumOfMonths+1,$FJ219&gt;SwaptionFirstMonthPosition+SwaptionNumOfMonths+1),"",IF($FJ219=HC$169,1,IF($FJ219&lt;HC$169,INDEX($FK$170:$ID$241,HC$169,$FJ219),SUMPRODUCT(INDEX($FK$325:$ID$396,HC$169,1+SwaptionShift):INDEX($FK$325:$ID$396,HC$169,SwaptionMonthsToGo+SwaptionShift),INDEX($FK$245:$ID$316,$FJ219-HC$169,73-HC$169+SwaptionShift):INDEX($FK$245:$ID$316,$FJ219-HC$169,72-HC$169+SwaptionMonthsToGo+SwaptionShift))/SQRT(SUM(INDEX($FK374:$ID374,1+SwaptionShift):INDEX($FK374:$ID374,SwaptionMonthsToGo+SwaptionShift))*SUM(INDEX($FK$325:$ID$396,HC$169,1+SwaptionShift):INDEX($FK$325:$ID$396,HC$169,SwaptionMonthsToGo+SwaptionShift))))))</f>
        <v/>
      </c>
      <c r="HD219" s="479" t="str">
        <f ca="1">IF(OR(HD$169&lt;SwaptionFirstMonthPosition+1,$FJ219&lt;SwaptionFirstMonthPosition+1,HD$169&gt;SwaptionFirstMonthPosition+SwaptionNumOfMonths+1,$FJ219&gt;SwaptionFirstMonthPosition+SwaptionNumOfMonths+1),"",IF($FJ219=HD$169,1,IF($FJ219&lt;HD$169,INDEX($FK$170:$ID$241,HD$169,$FJ219),SUMPRODUCT(INDEX($FK$325:$ID$396,HD$169,1+SwaptionShift):INDEX($FK$325:$ID$396,HD$169,SwaptionMonthsToGo+SwaptionShift),INDEX($FK$245:$ID$316,$FJ219-HD$169,73-HD$169+SwaptionShift):INDEX($FK$245:$ID$316,$FJ219-HD$169,72-HD$169+SwaptionMonthsToGo+SwaptionShift))/SQRT(SUM(INDEX($FK374:$ID374,1+SwaptionShift):INDEX($FK374:$ID374,SwaptionMonthsToGo+SwaptionShift))*SUM(INDEX($FK$325:$ID$396,HD$169,1+SwaptionShift):INDEX($FK$325:$ID$396,HD$169,SwaptionMonthsToGo+SwaptionShift))))))</f>
        <v/>
      </c>
      <c r="HE219" s="479" t="str">
        <f ca="1">IF(OR(HE$169&lt;SwaptionFirstMonthPosition+1,$FJ219&lt;SwaptionFirstMonthPosition+1,HE$169&gt;SwaptionFirstMonthPosition+SwaptionNumOfMonths+1,$FJ219&gt;SwaptionFirstMonthPosition+SwaptionNumOfMonths+1),"",IF($FJ219=HE$169,1,IF($FJ219&lt;HE$169,INDEX($FK$170:$ID$241,HE$169,$FJ219),SUMPRODUCT(INDEX($FK$325:$ID$396,HE$169,1+SwaptionShift):INDEX($FK$325:$ID$396,HE$169,SwaptionMonthsToGo+SwaptionShift),INDEX($FK$245:$ID$316,$FJ219-HE$169,73-HE$169+SwaptionShift):INDEX($FK$245:$ID$316,$FJ219-HE$169,72-HE$169+SwaptionMonthsToGo+SwaptionShift))/SQRT(SUM(INDEX($FK374:$ID374,1+SwaptionShift):INDEX($FK374:$ID374,SwaptionMonthsToGo+SwaptionShift))*SUM(INDEX($FK$325:$ID$396,HE$169,1+SwaptionShift):INDEX($FK$325:$ID$396,HE$169,SwaptionMonthsToGo+SwaptionShift))))))</f>
        <v/>
      </c>
      <c r="HF219" s="479" t="str">
        <f ca="1">IF(OR(HF$169&lt;SwaptionFirstMonthPosition+1,$FJ219&lt;SwaptionFirstMonthPosition+1,HF$169&gt;SwaptionFirstMonthPosition+SwaptionNumOfMonths+1,$FJ219&gt;SwaptionFirstMonthPosition+SwaptionNumOfMonths+1),"",IF($FJ219=HF$169,1,IF($FJ219&lt;HF$169,INDEX($FK$170:$ID$241,HF$169,$FJ219),SUMPRODUCT(INDEX($FK$325:$ID$396,HF$169,1+SwaptionShift):INDEX($FK$325:$ID$396,HF$169,SwaptionMonthsToGo+SwaptionShift),INDEX($FK$245:$ID$316,$FJ219-HF$169,73-HF$169+SwaptionShift):INDEX($FK$245:$ID$316,$FJ219-HF$169,72-HF$169+SwaptionMonthsToGo+SwaptionShift))/SQRT(SUM(INDEX($FK374:$ID374,1+SwaptionShift):INDEX($FK374:$ID374,SwaptionMonthsToGo+SwaptionShift))*SUM(INDEX($FK$325:$ID$396,HF$169,1+SwaptionShift):INDEX($FK$325:$ID$396,HF$169,SwaptionMonthsToGo+SwaptionShift))))))</f>
        <v/>
      </c>
      <c r="HG219" s="479" t="str">
        <f ca="1">IF(OR(HG$169&lt;SwaptionFirstMonthPosition+1,$FJ219&lt;SwaptionFirstMonthPosition+1,HG$169&gt;SwaptionFirstMonthPosition+SwaptionNumOfMonths+1,$FJ219&gt;SwaptionFirstMonthPosition+SwaptionNumOfMonths+1),"",IF($FJ219=HG$169,1,IF($FJ219&lt;HG$169,INDEX($FK$170:$ID$241,HG$169,$FJ219),SUMPRODUCT(INDEX($FK$325:$ID$396,HG$169,1+SwaptionShift):INDEX($FK$325:$ID$396,HG$169,SwaptionMonthsToGo+SwaptionShift),INDEX($FK$245:$ID$316,$FJ219-HG$169,73-HG$169+SwaptionShift):INDEX($FK$245:$ID$316,$FJ219-HG$169,72-HG$169+SwaptionMonthsToGo+SwaptionShift))/SQRT(SUM(INDEX($FK374:$ID374,1+SwaptionShift):INDEX($FK374:$ID374,SwaptionMonthsToGo+SwaptionShift))*SUM(INDEX($FK$325:$ID$396,HG$169,1+SwaptionShift):INDEX($FK$325:$ID$396,HG$169,SwaptionMonthsToGo+SwaptionShift))))))</f>
        <v/>
      </c>
      <c r="HH219" s="479" t="str">
        <f ca="1">IF(OR(HH$169&lt;SwaptionFirstMonthPosition+1,$FJ219&lt;SwaptionFirstMonthPosition+1,HH$169&gt;SwaptionFirstMonthPosition+SwaptionNumOfMonths+1,$FJ219&gt;SwaptionFirstMonthPosition+SwaptionNumOfMonths+1),"",IF($FJ219=HH$169,1,IF($FJ219&lt;HH$169,INDEX($FK$170:$ID$241,HH$169,$FJ219),SUMPRODUCT(INDEX($FK$325:$ID$396,HH$169,1+SwaptionShift):INDEX($FK$325:$ID$396,HH$169,SwaptionMonthsToGo+SwaptionShift),INDEX($FK$245:$ID$316,$FJ219-HH$169,73-HH$169+SwaptionShift):INDEX($FK$245:$ID$316,$FJ219-HH$169,72-HH$169+SwaptionMonthsToGo+SwaptionShift))/SQRT(SUM(INDEX($FK374:$ID374,1+SwaptionShift):INDEX($FK374:$ID374,SwaptionMonthsToGo+SwaptionShift))*SUM(INDEX($FK$325:$ID$396,HH$169,1+SwaptionShift):INDEX($FK$325:$ID$396,HH$169,SwaptionMonthsToGo+SwaptionShift))))))</f>
        <v/>
      </c>
      <c r="HI219" s="479" t="str">
        <f ca="1">IF(OR(HI$169&lt;SwaptionFirstMonthPosition+1,$FJ219&lt;SwaptionFirstMonthPosition+1,HI$169&gt;SwaptionFirstMonthPosition+SwaptionNumOfMonths+1,$FJ219&gt;SwaptionFirstMonthPosition+SwaptionNumOfMonths+1),"",IF($FJ219=HI$169,1,IF($FJ219&lt;HI$169,INDEX($FK$170:$ID$241,HI$169,$FJ219),SUMPRODUCT(INDEX($FK$325:$ID$396,HI$169,1+SwaptionShift):INDEX($FK$325:$ID$396,HI$169,SwaptionMonthsToGo+SwaptionShift),INDEX($FK$245:$ID$316,$FJ219-HI$169,73-HI$169+SwaptionShift):INDEX($FK$245:$ID$316,$FJ219-HI$169,72-HI$169+SwaptionMonthsToGo+SwaptionShift))/SQRT(SUM(INDEX($FK374:$ID374,1+SwaptionShift):INDEX($FK374:$ID374,SwaptionMonthsToGo+SwaptionShift))*SUM(INDEX($FK$325:$ID$396,HI$169,1+SwaptionShift):INDEX($FK$325:$ID$396,HI$169,SwaptionMonthsToGo+SwaptionShift))))))</f>
        <v/>
      </c>
      <c r="HJ219" s="479" t="str">
        <f ca="1">IF(OR(HJ$169&lt;SwaptionFirstMonthPosition+1,$FJ219&lt;SwaptionFirstMonthPosition+1,HJ$169&gt;SwaptionFirstMonthPosition+SwaptionNumOfMonths+1,$FJ219&gt;SwaptionFirstMonthPosition+SwaptionNumOfMonths+1),"",IF($FJ219=HJ$169,1,IF($FJ219&lt;HJ$169,INDEX($FK$170:$ID$241,HJ$169,$FJ219),SUMPRODUCT(INDEX($FK$325:$ID$396,HJ$169,1+SwaptionShift):INDEX($FK$325:$ID$396,HJ$169,SwaptionMonthsToGo+SwaptionShift),INDEX($FK$245:$ID$316,$FJ219-HJ$169,73-HJ$169+SwaptionShift):INDEX($FK$245:$ID$316,$FJ219-HJ$169,72-HJ$169+SwaptionMonthsToGo+SwaptionShift))/SQRT(SUM(INDEX($FK374:$ID374,1+SwaptionShift):INDEX($FK374:$ID374,SwaptionMonthsToGo+SwaptionShift))*SUM(INDEX($FK$325:$ID$396,HJ$169,1+SwaptionShift):INDEX($FK$325:$ID$396,HJ$169,SwaptionMonthsToGo+SwaptionShift))))))</f>
        <v/>
      </c>
      <c r="HK219" s="479" t="str">
        <f ca="1">IF(OR(HK$169&lt;SwaptionFirstMonthPosition+1,$FJ219&lt;SwaptionFirstMonthPosition+1,HK$169&gt;SwaptionFirstMonthPosition+SwaptionNumOfMonths+1,$FJ219&gt;SwaptionFirstMonthPosition+SwaptionNumOfMonths+1),"",IF($FJ219=HK$169,1,IF($FJ219&lt;HK$169,INDEX($FK$170:$ID$241,HK$169,$FJ219),SUMPRODUCT(INDEX($FK$325:$ID$396,HK$169,1+SwaptionShift):INDEX($FK$325:$ID$396,HK$169,SwaptionMonthsToGo+SwaptionShift),INDEX($FK$245:$ID$316,$FJ219-HK$169,73-HK$169+SwaptionShift):INDEX($FK$245:$ID$316,$FJ219-HK$169,72-HK$169+SwaptionMonthsToGo+SwaptionShift))/SQRT(SUM(INDEX($FK374:$ID374,1+SwaptionShift):INDEX($FK374:$ID374,SwaptionMonthsToGo+SwaptionShift))*SUM(INDEX($FK$325:$ID$396,HK$169,1+SwaptionShift):INDEX($FK$325:$ID$396,HK$169,SwaptionMonthsToGo+SwaptionShift))))))</f>
        <v/>
      </c>
      <c r="HL219" s="479" t="str">
        <f ca="1">IF(OR(HL$169&lt;SwaptionFirstMonthPosition+1,$FJ219&lt;SwaptionFirstMonthPosition+1,HL$169&gt;SwaptionFirstMonthPosition+SwaptionNumOfMonths+1,$FJ219&gt;SwaptionFirstMonthPosition+SwaptionNumOfMonths+1),"",IF($FJ219=HL$169,1,IF($FJ219&lt;HL$169,INDEX($FK$170:$ID$241,HL$169,$FJ219),SUMPRODUCT(INDEX($FK$325:$ID$396,HL$169,1+SwaptionShift):INDEX($FK$325:$ID$396,HL$169,SwaptionMonthsToGo+SwaptionShift),INDEX($FK$245:$ID$316,$FJ219-HL$169,73-HL$169+SwaptionShift):INDEX($FK$245:$ID$316,$FJ219-HL$169,72-HL$169+SwaptionMonthsToGo+SwaptionShift))/SQRT(SUM(INDEX($FK374:$ID374,1+SwaptionShift):INDEX($FK374:$ID374,SwaptionMonthsToGo+SwaptionShift))*SUM(INDEX($FK$325:$ID$396,HL$169,1+SwaptionShift):INDEX($FK$325:$ID$396,HL$169,SwaptionMonthsToGo+SwaptionShift))))))</f>
        <v/>
      </c>
      <c r="HM219" s="479" t="str">
        <f ca="1">IF(OR(HM$169&lt;SwaptionFirstMonthPosition+1,$FJ219&lt;SwaptionFirstMonthPosition+1,HM$169&gt;SwaptionFirstMonthPosition+SwaptionNumOfMonths+1,$FJ219&gt;SwaptionFirstMonthPosition+SwaptionNumOfMonths+1),"",IF($FJ219=HM$169,1,IF($FJ219&lt;HM$169,INDEX($FK$170:$ID$241,HM$169,$FJ219),SUMPRODUCT(INDEX($FK$325:$ID$396,HM$169,1+SwaptionShift):INDEX($FK$325:$ID$396,HM$169,SwaptionMonthsToGo+SwaptionShift),INDEX($FK$245:$ID$316,$FJ219-HM$169,73-HM$169+SwaptionShift):INDEX($FK$245:$ID$316,$FJ219-HM$169,72-HM$169+SwaptionMonthsToGo+SwaptionShift))/SQRT(SUM(INDEX($FK374:$ID374,1+SwaptionShift):INDEX($FK374:$ID374,SwaptionMonthsToGo+SwaptionShift))*SUM(INDEX($FK$325:$ID$396,HM$169,1+SwaptionShift):INDEX($FK$325:$ID$396,HM$169,SwaptionMonthsToGo+SwaptionShift))))))</f>
        <v/>
      </c>
      <c r="HN219" s="479" t="str">
        <f ca="1">IF(OR(HN$169&lt;SwaptionFirstMonthPosition+1,$FJ219&lt;SwaptionFirstMonthPosition+1,HN$169&gt;SwaptionFirstMonthPosition+SwaptionNumOfMonths+1,$FJ219&gt;SwaptionFirstMonthPosition+SwaptionNumOfMonths+1),"",IF($FJ219=HN$169,1,IF($FJ219&lt;HN$169,INDEX($FK$170:$ID$241,HN$169,$FJ219),SUMPRODUCT(INDEX($FK$325:$ID$396,HN$169,1+SwaptionShift):INDEX($FK$325:$ID$396,HN$169,SwaptionMonthsToGo+SwaptionShift),INDEX($FK$245:$ID$316,$FJ219-HN$169,73-HN$169+SwaptionShift):INDEX($FK$245:$ID$316,$FJ219-HN$169,72-HN$169+SwaptionMonthsToGo+SwaptionShift))/SQRT(SUM(INDEX($FK374:$ID374,1+SwaptionShift):INDEX($FK374:$ID374,SwaptionMonthsToGo+SwaptionShift))*SUM(INDEX($FK$325:$ID$396,HN$169,1+SwaptionShift):INDEX($FK$325:$ID$396,HN$169,SwaptionMonthsToGo+SwaptionShift))))))</f>
        <v/>
      </c>
      <c r="HO219" s="479" t="str">
        <f ca="1">IF(OR(HO$169&lt;SwaptionFirstMonthPosition+1,$FJ219&lt;SwaptionFirstMonthPosition+1,HO$169&gt;SwaptionFirstMonthPosition+SwaptionNumOfMonths+1,$FJ219&gt;SwaptionFirstMonthPosition+SwaptionNumOfMonths+1),"",IF($FJ219=HO$169,1,IF($FJ219&lt;HO$169,INDEX($FK$170:$ID$241,HO$169,$FJ219),SUMPRODUCT(INDEX($FK$325:$ID$396,HO$169,1+SwaptionShift):INDEX($FK$325:$ID$396,HO$169,SwaptionMonthsToGo+SwaptionShift),INDEX($FK$245:$ID$316,$FJ219-HO$169,73-HO$169+SwaptionShift):INDEX($FK$245:$ID$316,$FJ219-HO$169,72-HO$169+SwaptionMonthsToGo+SwaptionShift))/SQRT(SUM(INDEX($FK374:$ID374,1+SwaptionShift):INDEX($FK374:$ID374,SwaptionMonthsToGo+SwaptionShift))*SUM(INDEX($FK$325:$ID$396,HO$169,1+SwaptionShift):INDEX($FK$325:$ID$396,HO$169,SwaptionMonthsToGo+SwaptionShift))))))</f>
        <v/>
      </c>
      <c r="HP219" s="479" t="str">
        <f ca="1">IF(OR(HP$169&lt;SwaptionFirstMonthPosition+1,$FJ219&lt;SwaptionFirstMonthPosition+1,HP$169&gt;SwaptionFirstMonthPosition+SwaptionNumOfMonths+1,$FJ219&gt;SwaptionFirstMonthPosition+SwaptionNumOfMonths+1),"",IF($FJ219=HP$169,1,IF($FJ219&lt;HP$169,INDEX($FK$170:$ID$241,HP$169,$FJ219),SUMPRODUCT(INDEX($FK$325:$ID$396,HP$169,1+SwaptionShift):INDEX($FK$325:$ID$396,HP$169,SwaptionMonthsToGo+SwaptionShift),INDEX($FK$245:$ID$316,$FJ219-HP$169,73-HP$169+SwaptionShift):INDEX($FK$245:$ID$316,$FJ219-HP$169,72-HP$169+SwaptionMonthsToGo+SwaptionShift))/SQRT(SUM(INDEX($FK374:$ID374,1+SwaptionShift):INDEX($FK374:$ID374,SwaptionMonthsToGo+SwaptionShift))*SUM(INDEX($FK$325:$ID$396,HP$169,1+SwaptionShift):INDEX($FK$325:$ID$396,HP$169,SwaptionMonthsToGo+SwaptionShift))))))</f>
        <v/>
      </c>
      <c r="HQ219" s="479" t="str">
        <f ca="1">IF(OR(HQ$169&lt;SwaptionFirstMonthPosition+1,$FJ219&lt;SwaptionFirstMonthPosition+1,HQ$169&gt;SwaptionFirstMonthPosition+SwaptionNumOfMonths+1,$FJ219&gt;SwaptionFirstMonthPosition+SwaptionNumOfMonths+1),"",IF($FJ219=HQ$169,1,IF($FJ219&lt;HQ$169,INDEX($FK$170:$ID$241,HQ$169,$FJ219),SUMPRODUCT(INDEX($FK$325:$ID$396,HQ$169,1+SwaptionShift):INDEX($FK$325:$ID$396,HQ$169,SwaptionMonthsToGo+SwaptionShift),INDEX($FK$245:$ID$316,$FJ219-HQ$169,73-HQ$169+SwaptionShift):INDEX($FK$245:$ID$316,$FJ219-HQ$169,72-HQ$169+SwaptionMonthsToGo+SwaptionShift))/SQRT(SUM(INDEX($FK374:$ID374,1+SwaptionShift):INDEX($FK374:$ID374,SwaptionMonthsToGo+SwaptionShift))*SUM(INDEX($FK$325:$ID$396,HQ$169,1+SwaptionShift):INDEX($FK$325:$ID$396,HQ$169,SwaptionMonthsToGo+SwaptionShift))))))</f>
        <v/>
      </c>
      <c r="HR219" s="479" t="str">
        <f ca="1">IF(OR(HR$169&lt;SwaptionFirstMonthPosition+1,$FJ219&lt;SwaptionFirstMonthPosition+1,HR$169&gt;SwaptionFirstMonthPosition+SwaptionNumOfMonths+1,$FJ219&gt;SwaptionFirstMonthPosition+SwaptionNumOfMonths+1),"",IF($FJ219=HR$169,1,IF($FJ219&lt;HR$169,INDEX($FK$170:$ID$241,HR$169,$FJ219),SUMPRODUCT(INDEX($FK$325:$ID$396,HR$169,1+SwaptionShift):INDEX($FK$325:$ID$396,HR$169,SwaptionMonthsToGo+SwaptionShift),INDEX($FK$245:$ID$316,$FJ219-HR$169,73-HR$169+SwaptionShift):INDEX($FK$245:$ID$316,$FJ219-HR$169,72-HR$169+SwaptionMonthsToGo+SwaptionShift))/SQRT(SUM(INDEX($FK374:$ID374,1+SwaptionShift):INDEX($FK374:$ID374,SwaptionMonthsToGo+SwaptionShift))*SUM(INDEX($FK$325:$ID$396,HR$169,1+SwaptionShift):INDEX($FK$325:$ID$396,HR$169,SwaptionMonthsToGo+SwaptionShift))))))</f>
        <v/>
      </c>
      <c r="HS219" s="479" t="str">
        <f ca="1">IF(OR(HS$169&lt;SwaptionFirstMonthPosition+1,$FJ219&lt;SwaptionFirstMonthPosition+1,HS$169&gt;SwaptionFirstMonthPosition+SwaptionNumOfMonths+1,$FJ219&gt;SwaptionFirstMonthPosition+SwaptionNumOfMonths+1),"",IF($FJ219=HS$169,1,IF($FJ219&lt;HS$169,INDEX($FK$170:$ID$241,HS$169,$FJ219),SUMPRODUCT(INDEX($FK$325:$ID$396,HS$169,1+SwaptionShift):INDEX($FK$325:$ID$396,HS$169,SwaptionMonthsToGo+SwaptionShift),INDEX($FK$245:$ID$316,$FJ219-HS$169,73-HS$169+SwaptionShift):INDEX($FK$245:$ID$316,$FJ219-HS$169,72-HS$169+SwaptionMonthsToGo+SwaptionShift))/SQRT(SUM(INDEX($FK374:$ID374,1+SwaptionShift):INDEX($FK374:$ID374,SwaptionMonthsToGo+SwaptionShift))*SUM(INDEX($FK$325:$ID$396,HS$169,1+SwaptionShift):INDEX($FK$325:$ID$396,HS$169,SwaptionMonthsToGo+SwaptionShift))))))</f>
        <v/>
      </c>
      <c r="HT219" s="479" t="str">
        <f ca="1">IF(OR(HT$169&lt;SwaptionFirstMonthPosition+1,$FJ219&lt;SwaptionFirstMonthPosition+1,HT$169&gt;SwaptionFirstMonthPosition+SwaptionNumOfMonths+1,$FJ219&gt;SwaptionFirstMonthPosition+SwaptionNumOfMonths+1),"",IF($FJ219=HT$169,1,IF($FJ219&lt;HT$169,INDEX($FK$170:$ID$241,HT$169,$FJ219),SUMPRODUCT(INDEX($FK$325:$ID$396,HT$169,1+SwaptionShift):INDEX($FK$325:$ID$396,HT$169,SwaptionMonthsToGo+SwaptionShift),INDEX($FK$245:$ID$316,$FJ219-HT$169,73-HT$169+SwaptionShift):INDEX($FK$245:$ID$316,$FJ219-HT$169,72-HT$169+SwaptionMonthsToGo+SwaptionShift))/SQRT(SUM(INDEX($FK374:$ID374,1+SwaptionShift):INDEX($FK374:$ID374,SwaptionMonthsToGo+SwaptionShift))*SUM(INDEX($FK$325:$ID$396,HT$169,1+SwaptionShift):INDEX($FK$325:$ID$396,HT$169,SwaptionMonthsToGo+SwaptionShift))))))</f>
        <v/>
      </c>
      <c r="HU219" s="479" t="str">
        <f ca="1">IF(OR(HU$169&lt;SwaptionFirstMonthPosition+1,$FJ219&lt;SwaptionFirstMonthPosition+1,HU$169&gt;SwaptionFirstMonthPosition+SwaptionNumOfMonths+1,$FJ219&gt;SwaptionFirstMonthPosition+SwaptionNumOfMonths+1),"",IF($FJ219=HU$169,1,IF($FJ219&lt;HU$169,INDEX($FK$170:$ID$241,HU$169,$FJ219),SUMPRODUCT(INDEX($FK$325:$ID$396,HU$169,1+SwaptionShift):INDEX($FK$325:$ID$396,HU$169,SwaptionMonthsToGo+SwaptionShift),INDEX($FK$245:$ID$316,$FJ219-HU$169,73-HU$169+SwaptionShift):INDEX($FK$245:$ID$316,$FJ219-HU$169,72-HU$169+SwaptionMonthsToGo+SwaptionShift))/SQRT(SUM(INDEX($FK374:$ID374,1+SwaptionShift):INDEX($FK374:$ID374,SwaptionMonthsToGo+SwaptionShift))*SUM(INDEX($FK$325:$ID$396,HU$169,1+SwaptionShift):INDEX($FK$325:$ID$396,HU$169,SwaptionMonthsToGo+SwaptionShift))))))</f>
        <v/>
      </c>
      <c r="HV219" s="479" t="str">
        <f ca="1">IF(OR(HV$169&lt;SwaptionFirstMonthPosition+1,$FJ219&lt;SwaptionFirstMonthPosition+1,HV$169&gt;SwaptionFirstMonthPosition+SwaptionNumOfMonths+1,$FJ219&gt;SwaptionFirstMonthPosition+SwaptionNumOfMonths+1),"",IF($FJ219=HV$169,1,IF($FJ219&lt;HV$169,INDEX($FK$170:$ID$241,HV$169,$FJ219),SUMPRODUCT(INDEX($FK$325:$ID$396,HV$169,1+SwaptionShift):INDEX($FK$325:$ID$396,HV$169,SwaptionMonthsToGo+SwaptionShift),INDEX($FK$245:$ID$316,$FJ219-HV$169,73-HV$169+SwaptionShift):INDEX($FK$245:$ID$316,$FJ219-HV$169,72-HV$169+SwaptionMonthsToGo+SwaptionShift))/SQRT(SUM(INDEX($FK374:$ID374,1+SwaptionShift):INDEX($FK374:$ID374,SwaptionMonthsToGo+SwaptionShift))*SUM(INDEX($FK$325:$ID$396,HV$169,1+SwaptionShift):INDEX($FK$325:$ID$396,HV$169,SwaptionMonthsToGo+SwaptionShift))))))</f>
        <v/>
      </c>
      <c r="HW219" s="479" t="str">
        <f ca="1">IF(OR(HW$169&lt;SwaptionFirstMonthPosition+1,$FJ219&lt;SwaptionFirstMonthPosition+1,HW$169&gt;SwaptionFirstMonthPosition+SwaptionNumOfMonths+1,$FJ219&gt;SwaptionFirstMonthPosition+SwaptionNumOfMonths+1),"",IF($FJ219=HW$169,1,IF($FJ219&lt;HW$169,INDEX($FK$170:$ID$241,HW$169,$FJ219),SUMPRODUCT(INDEX($FK$325:$ID$396,HW$169,1+SwaptionShift):INDEX($FK$325:$ID$396,HW$169,SwaptionMonthsToGo+SwaptionShift),INDEX($FK$245:$ID$316,$FJ219-HW$169,73-HW$169+SwaptionShift):INDEX($FK$245:$ID$316,$FJ219-HW$169,72-HW$169+SwaptionMonthsToGo+SwaptionShift))/SQRT(SUM(INDEX($FK374:$ID374,1+SwaptionShift):INDEX($FK374:$ID374,SwaptionMonthsToGo+SwaptionShift))*SUM(INDEX($FK$325:$ID$396,HW$169,1+SwaptionShift):INDEX($FK$325:$ID$396,HW$169,SwaptionMonthsToGo+SwaptionShift))))))</f>
        <v/>
      </c>
      <c r="HX219" s="479" t="str">
        <f ca="1">IF(OR(HX$169&lt;SwaptionFirstMonthPosition+1,$FJ219&lt;SwaptionFirstMonthPosition+1,HX$169&gt;SwaptionFirstMonthPosition+SwaptionNumOfMonths+1,$FJ219&gt;SwaptionFirstMonthPosition+SwaptionNumOfMonths+1),"",IF($FJ219=HX$169,1,IF($FJ219&lt;HX$169,INDEX($FK$170:$ID$241,HX$169,$FJ219),SUMPRODUCT(INDEX($FK$325:$ID$396,HX$169,1+SwaptionShift):INDEX($FK$325:$ID$396,HX$169,SwaptionMonthsToGo+SwaptionShift),INDEX($FK$245:$ID$316,$FJ219-HX$169,73-HX$169+SwaptionShift):INDEX($FK$245:$ID$316,$FJ219-HX$169,72-HX$169+SwaptionMonthsToGo+SwaptionShift))/SQRT(SUM(INDEX($FK374:$ID374,1+SwaptionShift):INDEX($FK374:$ID374,SwaptionMonthsToGo+SwaptionShift))*SUM(INDEX($FK$325:$ID$396,HX$169,1+SwaptionShift):INDEX($FK$325:$ID$396,HX$169,SwaptionMonthsToGo+SwaptionShift))))))</f>
        <v/>
      </c>
      <c r="HY219" s="479" t="str">
        <f ca="1">IF(OR(HY$169&lt;SwaptionFirstMonthPosition+1,$FJ219&lt;SwaptionFirstMonthPosition+1,HY$169&gt;SwaptionFirstMonthPosition+SwaptionNumOfMonths+1,$FJ219&gt;SwaptionFirstMonthPosition+SwaptionNumOfMonths+1),"",IF($FJ219=HY$169,1,IF($FJ219&lt;HY$169,INDEX($FK$170:$ID$241,HY$169,$FJ219),SUMPRODUCT(INDEX($FK$325:$ID$396,HY$169,1+SwaptionShift):INDEX($FK$325:$ID$396,HY$169,SwaptionMonthsToGo+SwaptionShift),INDEX($FK$245:$ID$316,$FJ219-HY$169,73-HY$169+SwaptionShift):INDEX($FK$245:$ID$316,$FJ219-HY$169,72-HY$169+SwaptionMonthsToGo+SwaptionShift))/SQRT(SUM(INDEX($FK374:$ID374,1+SwaptionShift):INDEX($FK374:$ID374,SwaptionMonthsToGo+SwaptionShift))*SUM(INDEX($FK$325:$ID$396,HY$169,1+SwaptionShift):INDEX($FK$325:$ID$396,HY$169,SwaptionMonthsToGo+SwaptionShift))))))</f>
        <v/>
      </c>
      <c r="HZ219" s="479" t="str">
        <f ca="1">IF(OR(HZ$169&lt;SwaptionFirstMonthPosition+1,$FJ219&lt;SwaptionFirstMonthPosition+1,HZ$169&gt;SwaptionFirstMonthPosition+SwaptionNumOfMonths+1,$FJ219&gt;SwaptionFirstMonthPosition+SwaptionNumOfMonths+1),"",IF($FJ219=HZ$169,1,IF($FJ219&lt;HZ$169,INDEX($FK$170:$ID$241,HZ$169,$FJ219),SUMPRODUCT(INDEX($FK$325:$ID$396,HZ$169,1+SwaptionShift):INDEX($FK$325:$ID$396,HZ$169,SwaptionMonthsToGo+SwaptionShift),INDEX($FK$245:$ID$316,$FJ219-HZ$169,73-HZ$169+SwaptionShift):INDEX($FK$245:$ID$316,$FJ219-HZ$169,72-HZ$169+SwaptionMonthsToGo+SwaptionShift))/SQRT(SUM(INDEX($FK374:$ID374,1+SwaptionShift):INDEX($FK374:$ID374,SwaptionMonthsToGo+SwaptionShift))*SUM(INDEX($FK$325:$ID$396,HZ$169,1+SwaptionShift):INDEX($FK$325:$ID$396,HZ$169,SwaptionMonthsToGo+SwaptionShift))))))</f>
        <v/>
      </c>
      <c r="IA219" s="479" t="str">
        <f ca="1">IF(OR(IA$169&lt;SwaptionFirstMonthPosition+1,$FJ219&lt;SwaptionFirstMonthPosition+1,IA$169&gt;SwaptionFirstMonthPosition+SwaptionNumOfMonths+1,$FJ219&gt;SwaptionFirstMonthPosition+SwaptionNumOfMonths+1),"",IF($FJ219=IA$169,1,IF($FJ219&lt;IA$169,INDEX($FK$170:$ID$241,IA$169,$FJ219),SUMPRODUCT(INDEX($FK$325:$ID$396,IA$169,1+SwaptionShift):INDEX($FK$325:$ID$396,IA$169,SwaptionMonthsToGo+SwaptionShift),INDEX($FK$245:$ID$316,$FJ219-IA$169,73-IA$169+SwaptionShift):INDEX($FK$245:$ID$316,$FJ219-IA$169,72-IA$169+SwaptionMonthsToGo+SwaptionShift))/SQRT(SUM(INDEX($FK374:$ID374,1+SwaptionShift):INDEX($FK374:$ID374,SwaptionMonthsToGo+SwaptionShift))*SUM(INDEX($FK$325:$ID$396,IA$169,1+SwaptionShift):INDEX($FK$325:$ID$396,IA$169,SwaptionMonthsToGo+SwaptionShift))))))</f>
        <v/>
      </c>
      <c r="IB219" s="479" t="str">
        <f ca="1">IF(OR(IB$169&lt;SwaptionFirstMonthPosition+1,$FJ219&lt;SwaptionFirstMonthPosition+1,IB$169&gt;SwaptionFirstMonthPosition+SwaptionNumOfMonths+1,$FJ219&gt;SwaptionFirstMonthPosition+SwaptionNumOfMonths+1),"",IF($FJ219=IB$169,1,IF($FJ219&lt;IB$169,INDEX($FK$170:$ID$241,IB$169,$FJ219),SUMPRODUCT(INDEX($FK$325:$ID$396,IB$169,1+SwaptionShift):INDEX($FK$325:$ID$396,IB$169,SwaptionMonthsToGo+SwaptionShift),INDEX($FK$245:$ID$316,$FJ219-IB$169,73-IB$169+SwaptionShift):INDEX($FK$245:$ID$316,$FJ219-IB$169,72-IB$169+SwaptionMonthsToGo+SwaptionShift))/SQRT(SUM(INDEX($FK374:$ID374,1+SwaptionShift):INDEX($FK374:$ID374,SwaptionMonthsToGo+SwaptionShift))*SUM(INDEX($FK$325:$ID$396,IB$169,1+SwaptionShift):INDEX($FK$325:$ID$396,IB$169,SwaptionMonthsToGo+SwaptionShift))))))</f>
        <v/>
      </c>
      <c r="IC219" s="479" t="str">
        <f ca="1">IF(OR(IC$169&lt;SwaptionFirstMonthPosition+1,$FJ219&lt;SwaptionFirstMonthPosition+1,IC$169&gt;SwaptionFirstMonthPosition+SwaptionNumOfMonths+1,$FJ219&gt;SwaptionFirstMonthPosition+SwaptionNumOfMonths+1),"",IF($FJ219=IC$169,1,IF($FJ219&lt;IC$169,INDEX($FK$170:$ID$241,IC$169,$FJ219),SUMPRODUCT(INDEX($FK$325:$ID$396,IC$169,1+SwaptionShift):INDEX($FK$325:$ID$396,IC$169,SwaptionMonthsToGo+SwaptionShift),INDEX($FK$245:$ID$316,$FJ219-IC$169,73-IC$169+SwaptionShift):INDEX($FK$245:$ID$316,$FJ219-IC$169,72-IC$169+SwaptionMonthsToGo+SwaptionShift))/SQRT(SUM(INDEX($FK374:$ID374,1+SwaptionShift):INDEX($FK374:$ID374,SwaptionMonthsToGo+SwaptionShift))*SUM(INDEX($FK$325:$ID$396,IC$169,1+SwaptionShift):INDEX($FK$325:$ID$396,IC$169,SwaptionMonthsToGo+SwaptionShift))))))</f>
        <v/>
      </c>
      <c r="ID219" s="678" t="str">
        <f ca="1">IF(OR(ID$169&lt;SwaptionFirstMonthPosition+1,$FJ219&lt;SwaptionFirstMonthPosition+1,ID$169&gt;SwaptionFirstMonthPosition+SwaptionNumOfMonths+1,$FJ219&gt;SwaptionFirstMonthPosition+SwaptionNumOfMonths+1),"",IF($FJ219=ID$169,1,IF($FJ219&lt;ID$169,INDEX($FK$170:$ID$241,ID$169,$FJ219),SUMPRODUCT(INDEX($FK$325:$ID$396,ID$169,1+SwaptionShift):INDEX($FK$325:$ID$396,ID$169,SwaptionMonthsToGo+SwaptionShift),INDEX($FK$245:$ID$316,$FJ219-ID$169,73-ID$169+SwaptionShift):INDEX($FK$245:$ID$316,$FJ219-ID$169,72-ID$169+SwaptionMonthsToGo+SwaptionShift))/SQRT(SUM(INDEX($FK374:$ID374,1+SwaptionShift):INDEX($FK374:$ID374,SwaptionMonthsToGo+SwaptionShift))*SUM(INDEX($FK$325:$ID$396,ID$169,1+SwaptionShift):INDEX($FK$325:$ID$396,ID$169,SwaptionMonthsToGo+SwaptionShift))))))</f>
        <v/>
      </c>
      <c r="IE219" s="250"/>
    </row>
    <row r="220" spans="8:239">
      <c r="H220" s="51">
        <f t="shared" ca="1" si="646"/>
        <v>0</v>
      </c>
      <c r="I220" s="379">
        <f t="shared" si="647"/>
        <v>42856</v>
      </c>
      <c r="J220" s="377"/>
      <c r="K220" s="104" t="s">
        <v>268</v>
      </c>
      <c r="L220" s="392">
        <f t="shared" si="648"/>
        <v>4.6500000000000004</v>
      </c>
      <c r="M220" s="171"/>
      <c r="N220" s="382">
        <v>0</v>
      </c>
      <c r="O220" s="171">
        <f t="shared" si="596"/>
        <v>0</v>
      </c>
      <c r="P220" s="377"/>
      <c r="Q220" s="104" t="s">
        <v>268</v>
      </c>
      <c r="R220" s="377">
        <f t="shared" ca="1" si="597"/>
        <v>3.4864362808625597</v>
      </c>
      <c r="S220" s="832">
        <f t="shared" si="564"/>
        <v>0.3600000000000001</v>
      </c>
      <c r="T220" s="831">
        <f t="shared" si="661"/>
        <v>0.99999999999999711</v>
      </c>
      <c r="U220" s="545">
        <f t="shared" si="662"/>
        <v>0.99999999999999978</v>
      </c>
      <c r="V220" s="389">
        <v>0</v>
      </c>
      <c r="W220" s="434">
        <f t="shared" si="598"/>
        <v>0</v>
      </c>
      <c r="X220" s="415">
        <f t="shared" si="599"/>
        <v>4.7005434782608697</v>
      </c>
      <c r="Y220" s="322">
        <f t="shared" si="600"/>
        <v>-1.2915000000000001</v>
      </c>
      <c r="Z220" s="322">
        <f t="shared" ca="1" si="601"/>
        <v>3.4090434782608696</v>
      </c>
      <c r="AA220" s="429">
        <f t="shared" si="628"/>
        <v>1.2915000000000001</v>
      </c>
      <c r="AB220" s="433">
        <f t="shared" ca="1" si="629"/>
        <v>1.2915000000000001</v>
      </c>
      <c r="AC220" s="229">
        <v>42845</v>
      </c>
      <c r="AD220" s="229">
        <v>42841</v>
      </c>
      <c r="AE220" s="229">
        <v>42840</v>
      </c>
      <c r="AF220" s="229">
        <v>42836</v>
      </c>
      <c r="AG220" s="249" t="s">
        <v>499</v>
      </c>
      <c r="AH220" s="247" t="s">
        <v>499</v>
      </c>
      <c r="AI220" s="146">
        <v>23</v>
      </c>
      <c r="AJ220" s="41">
        <v>15</v>
      </c>
      <c r="AK220" s="41">
        <v>8</v>
      </c>
      <c r="AL220" s="293">
        <v>23</v>
      </c>
      <c r="AM220" s="41">
        <v>10</v>
      </c>
      <c r="AN220" s="147">
        <v>13</v>
      </c>
      <c r="AO220" s="374"/>
      <c r="AP220" s="153">
        <f t="shared" ca="1" si="649"/>
        <v>1</v>
      </c>
      <c r="AQ220" s="374"/>
      <c r="AR220" s="153">
        <f t="shared" ca="1" si="663"/>
        <v>1</v>
      </c>
      <c r="AS220" s="272">
        <f t="shared" si="602"/>
        <v>0</v>
      </c>
      <c r="AT220" s="157">
        <f t="shared" si="650"/>
        <v>0</v>
      </c>
      <c r="AU220" s="157">
        <f t="shared" si="630"/>
        <v>0</v>
      </c>
      <c r="AV220" s="271">
        <f t="shared" ca="1" si="670"/>
        <v>9.9999999999999995E-7</v>
      </c>
      <c r="AW220" s="158" t="str">
        <f t="shared" ca="1" si="583"/>
        <v/>
      </c>
      <c r="AX220" s="157">
        <f t="shared" ca="1" si="664"/>
        <v>2.9752245874917247E-5</v>
      </c>
      <c r="AY220" s="157">
        <f t="shared" ca="1" si="665"/>
        <v>6.0680043594249501E-6</v>
      </c>
      <c r="AZ220" s="157">
        <f t="shared" ca="1" si="666"/>
        <v>1.4049221185941859E-7</v>
      </c>
      <c r="BA220" s="157">
        <f t="shared" ca="1" si="667"/>
        <v>1.7561526482427324E-8</v>
      </c>
      <c r="BB220" s="157">
        <f t="shared" ca="1" si="668"/>
        <v>4.3541237820333382E-11</v>
      </c>
      <c r="BC220" s="157">
        <f t="shared" ca="1" si="669"/>
        <v>6.1681442478591411E-13</v>
      </c>
      <c r="BD220" s="151">
        <f t="shared" ca="1" si="603"/>
        <v>0</v>
      </c>
      <c r="BE220" s="152">
        <f t="shared" ca="1" si="604"/>
        <v>0</v>
      </c>
      <c r="BF220" s="40">
        <f t="shared" si="605"/>
        <v>2017</v>
      </c>
      <c r="BG220" s="144">
        <f t="shared" si="606"/>
        <v>5</v>
      </c>
      <c r="BH220" s="145">
        <f t="shared" ca="1" si="607"/>
        <v>6096</v>
      </c>
      <c r="BI220" s="313">
        <f t="shared" ca="1" si="608"/>
        <v>16.73100616016427</v>
      </c>
      <c r="BJ220" s="42">
        <f t="shared" ca="1" si="631"/>
        <v>16.784572805999463</v>
      </c>
      <c r="BK220" s="42">
        <f t="shared" ca="1" si="632"/>
        <v>16.787310656786595</v>
      </c>
      <c r="BL220" s="42">
        <f t="shared" ca="1" si="609"/>
        <v>16.813141683778234</v>
      </c>
      <c r="BM220" s="150" t="e">
        <f t="shared" ca="1" si="633"/>
        <v>#DIV/0!</v>
      </c>
      <c r="BN220" s="42" t="e">
        <f t="shared" ca="1" si="634"/>
        <v>#DIV/0!</v>
      </c>
      <c r="BO220" s="293">
        <f t="shared" si="610"/>
        <v>23</v>
      </c>
      <c r="BP220" s="41">
        <f t="shared" si="611"/>
        <v>15</v>
      </c>
      <c r="BQ220" s="41">
        <f t="shared" si="612"/>
        <v>8</v>
      </c>
      <c r="BR220" s="305" t="str">
        <f t="shared" ca="1" si="635"/>
        <v/>
      </c>
      <c r="BS220" s="305" t="str">
        <f t="shared" ca="1" si="613"/>
        <v/>
      </c>
      <c r="BT220" s="307" t="str">
        <f t="shared" ca="1" si="614"/>
        <v/>
      </c>
      <c r="BU220" s="161" t="str">
        <f t="shared" ca="1" si="636"/>
        <v/>
      </c>
      <c r="BV220" s="161" t="str">
        <f t="shared" ca="1" si="637"/>
        <v/>
      </c>
      <c r="BW220" s="308" t="str">
        <f t="shared" ca="1" si="638"/>
        <v/>
      </c>
      <c r="BX220" s="309" t="str">
        <f t="shared" ca="1" si="639"/>
        <v/>
      </c>
      <c r="BY220" s="308" t="str">
        <f t="shared" ca="1" si="615"/>
        <v/>
      </c>
      <c r="BZ220" s="309" t="str">
        <f t="shared" ca="1" si="616"/>
        <v/>
      </c>
      <c r="CA220" s="154" t="str">
        <f t="shared" ca="1" si="640"/>
        <v/>
      </c>
      <c r="CB220" s="154" t="str">
        <f t="shared" ca="1" si="641"/>
        <v/>
      </c>
      <c r="CC220" s="154" t="str">
        <f t="shared" ca="1" si="642"/>
        <v/>
      </c>
      <c r="CD220" s="154" t="str">
        <f t="shared" ca="1" si="643"/>
        <v/>
      </c>
      <c r="CE220" s="310">
        <v>1</v>
      </c>
      <c r="CF220" s="162">
        <f ca="1">IF(BD220,_xll.xCrudeAPO(BU220,BV220,CA220,CB220,S221,S222,BI220,BL220,BP220,BQ220,0,Strike1,AO220,CE220,0,BL220,IF(OptControl=4,0,1),0,1),0)</f>
        <v>0</v>
      </c>
      <c r="CG220" s="163">
        <f ca="1">IF(BD220,_xll.xCrudeAPO(BU220,BV220,CA220,CB220,S221,S222,BI220,BL220,BP220,BQ220,0,Strike1,AO220,CE220,0,BL220,IF(OptControl=4,0,1),1,1)+_xll.xCrudeAPO(BU220,BV220,CA220,CB220,S221,S222,BI220,BL220,BP220,BQ220,0,Strike1,AO220,CE220,0,BL220,IF(OptControl=4,0,1),1,2)+IF(OR(VolSkewFlag=2,ABS(BS220)&lt;0.0001),0,IF(BS220&gt;0,-1,1)*CH220*Strike1/BR220^2*BY220/10%),0)</f>
        <v>0</v>
      </c>
      <c r="CH220" s="163">
        <f ca="1">IF(BD220,(_xll.xCrudeAPO(BU220,BV220,CA220,CB220,S221,S222,BI220,BL220,BP220,BQ220,0,Strike1,AO220,CE220,0,BL220,IF(OptControl=4,0,1),3,1)+_xll.xCrudeAPO(BU220,BV220,CA220,CB220,S221,S222,BI220,BL220,BP220,BQ220,0,Strike1,AO220,CE220,0,BL220,IF(OptControl=4,0,1),3,2))/100,0)</f>
        <v>0</v>
      </c>
      <c r="CI220" s="163">
        <f ca="1">IF(BD220,_xll.xCrudeAPO(BU220,BV220,CA220,CB220,S221,S222,BI220-DaysForThetaCalculation/365.25,BL220-DaysForThetaCalculation/365.25,BP220,BQ220,0,Strike1,AO220,CE220,0,BL220,IF(OptControl=4,0,1),0,1)-_xll.xCrudeAPO(BU220,BV220,CA220,CB220,S221,S222,BI220,BL220,BP220,BQ220,0,Strike1,AO220,CE220,0,BL220,IF(OptControl=4,0,1),0,1),0)</f>
        <v>0</v>
      </c>
      <c r="CJ220" s="311">
        <f ca="1">IF(BD220,_xll.xCrudeAPO(BU220,BV220,CC220,CD220,S221,S222,BI220,BL220,BP220,BQ220,0,Strike2,AO220,CE220,0,BL220,IF(OptControl=3,1,0),0,1),0)</f>
        <v>0</v>
      </c>
      <c r="CK220" s="163">
        <f ca="1">IF(BD220,_xll.xCrudeAPO(BU220,BV220,CC220,CD220,S221,S222,BI220,BL220,BP220,BQ220,0,Strike2,AO220,CE220,0,BL220,IF(OptControl=3,1,0),1,1)+_xll.xCrudeAPO(BU220,BV220,CC220,CD220,S221,S222,BI220,BL220,BP220,BQ220,0,Strike2,AO220,CE220,0,BL220,IF(OptControl=3,1,0),1,2)+IF(OR(VolSkewFlag=2,ABS(BT220)&lt;0.0001),0,IF(BT220&gt;0,-1,1)*CL220*Strike2/BR220^2*BZ220/10%),0)</f>
        <v>0</v>
      </c>
      <c r="CL220" s="163">
        <f ca="1">IF(BD220,(_xll.xCrudeAPO(BU220,BV220,CC220,CD220,S221,S222,BI220,BL220,BP220,BQ220,0,Strike2,AO220,CE220,0,BL220,IF(OptControl=3,1,0),3,1)+_xll.xCrudeAPO(BU220,BV220,CC220,CD220,S221,S222,BI220,BL220,BP220,BQ220,0,Strike2,AO220,CE220,0,BL220,IF(OptControl=3,1,0),3,2))/100,0)</f>
        <v>0</v>
      </c>
      <c r="CM220" s="164">
        <f ca="1">IF(BD220,_xll.xCrudeAPO(BU220,BV220,CC220,CD220,S221,S222,BI220-DaysForThetaCalculation/365.25,BL220-DaysForThetaCalculation/365.25,BP220,BQ220,0,Strike2,AO220,CE220,0,BL220,IF(OptControl=3,1,0),0,1)-_xll.xCrudeAPO(BU220,BV220,CC220,CD220,S221,S222,BI220,BL220,BP220,BQ220,0,Strike2,AO220,CE220,0,BL220,IF(OptControl=3,1,0),0,1),0)</f>
        <v>0</v>
      </c>
      <c r="CN220" s="53"/>
      <c r="CO220" s="796" t="str">
        <f t="shared" ca="1" si="651"/>
        <v/>
      </c>
      <c r="CP220" s="800" t="str">
        <f t="shared" ca="1" si="652"/>
        <v/>
      </c>
      <c r="CQ220" s="797" t="str">
        <f t="shared" ca="1" si="653"/>
        <v/>
      </c>
      <c r="CR220" s="797" t="str">
        <f t="shared" ca="1" si="654"/>
        <v/>
      </c>
      <c r="CS220" s="797" t="str">
        <f t="shared" ca="1" si="655"/>
        <v/>
      </c>
      <c r="CT220" s="797" t="str">
        <f t="shared" ca="1" si="656"/>
        <v/>
      </c>
      <c r="CU220" s="798" t="str">
        <f t="shared" ca="1" si="657"/>
        <v/>
      </c>
      <c r="CV220" s="799" t="str">
        <f t="shared" ca="1" si="658"/>
        <v/>
      </c>
      <c r="CW220" s="799" t="str">
        <f t="shared" ca="1" si="659"/>
        <v/>
      </c>
      <c r="CX220" s="163">
        <f ca="1">IF(BD220,_xll.EURO(CP220,Strike1,AO220,AO220,CV220,CO220,IF(OptControl=4,0,1),0),0)</f>
        <v>0</v>
      </c>
      <c r="CY220" s="163">
        <f ca="1">IF(BD220,_xll.EURO(CP220,Strike1,AO220,AO220,CV220,CO220,IF(OptControl=4,0,1),1)+IF(OR(VolSkewFlag=2,ABS(CQ220)&lt;0.0001),0,IF(CQ220&gt;0,-1,1)*CZ220*100*Strike1/CP220^2*CS220/10%),0)</f>
        <v>0</v>
      </c>
      <c r="CZ220" s="163">
        <f ca="1">IF(BD220,_xll.EURO(CP220,Strike1,AO220,AO220,CV220,CO220,IF(OptControl=4,0,1),3)/100,0)</f>
        <v>0</v>
      </c>
      <c r="DA220" s="163">
        <f ca="1">IF(BD220,_xll.EURO(CP220,Strike1,AO220,AO220,CV220,CO220,IF(OptControl=4,0,1),0)-_xll.EURO(CP220,Strike1,AO220,AO220,CV220,CO220-1,IF(OptControl=4,0,1),0),0)</f>
        <v>0</v>
      </c>
      <c r="DB220" s="163">
        <f ca="1">IF(BD220,_xll.EURO(CP220,Strike2,AO220,AO220,CW220,CO220,IF(OptControl=3,1,0),0),0)</f>
        <v>0</v>
      </c>
      <c r="DC220" s="163">
        <f ca="1">IF(BD220,_xll.EURO(CP220,Strike2,AO220,AO220,CW220,CO220,IF(OptControl=3,1,0),1)+IF(OR(VolSkewFlag=2,ABS(CR220)&lt;0.0001),0,IF(CR220&gt;0,-1,1)*DD220*100*Strike2/CP220^2*CT220/10%),0)</f>
        <v>0</v>
      </c>
      <c r="DD220" s="163">
        <f ca="1">IF(BD220,_xll.EURO(CP220,Strike2,AO220,AO220,CW220,CO220,IF(OptControl=3,1,0),3)/100,0)</f>
        <v>0</v>
      </c>
      <c r="DE220" s="164">
        <f ca="1">IF(BD220,_xll.EURO(CP220,Strike2,AO220,AO220,CW220,CO220,IF(OptControl=3,1,0),0)-_xll.EURO(CP220,Strike2,AO220,AO220,CW220,CO220-1,IF(OptControl=3,1,0),0),0)</f>
        <v>0</v>
      </c>
      <c r="DG220" s="667">
        <f t="shared" ca="1" si="660"/>
        <v>42644</v>
      </c>
      <c r="DH220" s="475">
        <v>24.160000000000089</v>
      </c>
      <c r="DI220" s="665">
        <v>24.226666666666755</v>
      </c>
      <c r="DJ220" s="666">
        <f t="shared" ca="1" si="617"/>
        <v>42644</v>
      </c>
      <c r="DK220" s="475">
        <v>22.804984950315255</v>
      </c>
      <c r="DL220" s="665">
        <v>23.033566666666754</v>
      </c>
      <c r="DM220" s="667">
        <f t="shared" ca="1" si="618"/>
        <v>42644</v>
      </c>
      <c r="DN220" s="668">
        <f t="shared" si="619"/>
        <v>22.854984950315256</v>
      </c>
      <c r="DO220" s="667">
        <f t="shared" ca="1" si="620"/>
        <v>42644</v>
      </c>
      <c r="DP220" s="579">
        <f t="shared" si="621"/>
        <v>23.033566666666754</v>
      </c>
      <c r="DQ220" s="821">
        <v>0</v>
      </c>
      <c r="DR220" s="666">
        <f t="shared" ca="1" si="622"/>
        <v>42644</v>
      </c>
      <c r="DS220" s="669">
        <v>0.10459999999999803</v>
      </c>
      <c r="DT220" s="606">
        <v>0.10379999999999802</v>
      </c>
      <c r="DU220" s="666">
        <f t="shared" ca="1" si="623"/>
        <v>42644</v>
      </c>
      <c r="DV220" s="669">
        <v>0.10459999999999803</v>
      </c>
      <c r="DW220" s="606">
        <v>0.10379999999999802</v>
      </c>
      <c r="DX220" s="667">
        <f t="shared" ca="1" si="624"/>
        <v>42644</v>
      </c>
      <c r="DY220" s="606">
        <v>0.35</v>
      </c>
      <c r="DZ220" s="667">
        <f t="shared" ca="1" si="625"/>
        <v>42644</v>
      </c>
      <c r="EA220" s="606">
        <f t="shared" si="626"/>
        <v>0.10379999999999802</v>
      </c>
      <c r="EB220" s="1"/>
      <c r="EC220" s="118" t="str">
        <f t="shared" ca="1" si="627"/>
        <v/>
      </c>
      <c r="ED220" s="119" t="str">
        <f t="shared" ca="1" si="644"/>
        <v/>
      </c>
      <c r="EE220" s="112" t="str">
        <f t="shared" ca="1" si="645"/>
        <v/>
      </c>
      <c r="EF220" s="120">
        <f ca="1">IF(BD220,_xll.xASN(BR220,Strike1,AO220,ED220,0,BO220,0,BI220,BL220,IF(OptControl=4,0,1),0),0)</f>
        <v>0</v>
      </c>
      <c r="EG220" s="111">
        <f ca="1">IF(BD220,_xll.xASN(BR220,Strike2,AO220,EE220,0,BO220,0,BI220,BL220,IF(OptControl=3,1,0),0),0)</f>
        <v>0</v>
      </c>
      <c r="EL220" s="55"/>
      <c r="EM220" s="1"/>
      <c r="EN220" s="106"/>
      <c r="EO220" s="106"/>
      <c r="EP220" s="1"/>
      <c r="EQ220" s="683" t="s">
        <v>434</v>
      </c>
      <c r="ES220" s="55"/>
      <c r="EU220" s="107"/>
      <c r="FJ220" s="673">
        <v>51</v>
      </c>
      <c r="FK220" s="479" t="str">
        <f ca="1">IF(OR(FK$169&lt;SwaptionFirstMonthPosition+1,$FJ220&lt;SwaptionFirstMonthPosition+1,FK$169&gt;SwaptionFirstMonthPosition+SwaptionNumOfMonths+1,$FJ220&gt;SwaptionFirstMonthPosition+SwaptionNumOfMonths+1),"",IF($FJ220=FK$169,1,IF($FJ220&lt;FK$169,INDEX($FK$170:$ID$241,FK$169,$FJ220),SUMPRODUCT(INDEX($FK$325:$ID$396,FK$169,1+SwaptionShift):INDEX($FK$325:$ID$396,FK$169,SwaptionMonthsToGo+SwaptionShift),INDEX($FK$245:$ID$316,$FJ220-FK$169,73-FK$169+SwaptionShift):INDEX($FK$245:$ID$316,$FJ220-FK$169,72-FK$169+SwaptionMonthsToGo+SwaptionShift))/SQRT(SUM(INDEX($FK375:$ID375,1+SwaptionShift):INDEX($FK375:$ID375,SwaptionMonthsToGo+SwaptionShift))*SUM(INDEX($FK$325:$ID$396,FK$169,1+SwaptionShift):INDEX($FK$325:$ID$396,FK$169,SwaptionMonthsToGo+SwaptionShift))))))</f>
        <v/>
      </c>
      <c r="FL220" s="479" t="str">
        <f ca="1">IF(OR(FL$169&lt;SwaptionFirstMonthPosition+1,$FJ220&lt;SwaptionFirstMonthPosition+1,FL$169&gt;SwaptionFirstMonthPosition+SwaptionNumOfMonths+1,$FJ220&gt;SwaptionFirstMonthPosition+SwaptionNumOfMonths+1),"",IF($FJ220=FL$169,1,IF($FJ220&lt;FL$169,INDEX($FK$170:$ID$241,FL$169,$FJ220),SUMPRODUCT(INDEX($FK$325:$ID$396,FL$169,1+SwaptionShift):INDEX($FK$325:$ID$396,FL$169,SwaptionMonthsToGo+SwaptionShift),INDEX($FK$245:$ID$316,$FJ220-FL$169,73-FL$169+SwaptionShift):INDEX($FK$245:$ID$316,$FJ220-FL$169,72-FL$169+SwaptionMonthsToGo+SwaptionShift))/SQRT(SUM(INDEX($FK375:$ID375,1+SwaptionShift):INDEX($FK375:$ID375,SwaptionMonthsToGo+SwaptionShift))*SUM(INDEX($FK$325:$ID$396,FL$169,1+SwaptionShift):INDEX($FK$325:$ID$396,FL$169,SwaptionMonthsToGo+SwaptionShift))))))</f>
        <v/>
      </c>
      <c r="FM220" s="479" t="str">
        <f ca="1">IF(OR(FM$169&lt;SwaptionFirstMonthPosition+1,$FJ220&lt;SwaptionFirstMonthPosition+1,FM$169&gt;SwaptionFirstMonthPosition+SwaptionNumOfMonths+1,$FJ220&gt;SwaptionFirstMonthPosition+SwaptionNumOfMonths+1),"",IF($FJ220=FM$169,1,IF($FJ220&lt;FM$169,INDEX($FK$170:$ID$241,FM$169,$FJ220),SUMPRODUCT(INDEX($FK$325:$ID$396,FM$169,1+SwaptionShift):INDEX($FK$325:$ID$396,FM$169,SwaptionMonthsToGo+SwaptionShift),INDEX($FK$245:$ID$316,$FJ220-FM$169,73-FM$169+SwaptionShift):INDEX($FK$245:$ID$316,$FJ220-FM$169,72-FM$169+SwaptionMonthsToGo+SwaptionShift))/SQRT(SUM(INDEX($FK375:$ID375,1+SwaptionShift):INDEX($FK375:$ID375,SwaptionMonthsToGo+SwaptionShift))*SUM(INDEX($FK$325:$ID$396,FM$169,1+SwaptionShift):INDEX($FK$325:$ID$396,FM$169,SwaptionMonthsToGo+SwaptionShift))))))</f>
        <v/>
      </c>
      <c r="FN220" s="479" t="str">
        <f ca="1">IF(OR(FN$169&lt;SwaptionFirstMonthPosition+1,$FJ220&lt;SwaptionFirstMonthPosition+1,FN$169&gt;SwaptionFirstMonthPosition+SwaptionNumOfMonths+1,$FJ220&gt;SwaptionFirstMonthPosition+SwaptionNumOfMonths+1),"",IF($FJ220=FN$169,1,IF($FJ220&lt;FN$169,INDEX($FK$170:$ID$241,FN$169,$FJ220),SUMPRODUCT(INDEX($FK$325:$ID$396,FN$169,1+SwaptionShift):INDEX($FK$325:$ID$396,FN$169,SwaptionMonthsToGo+SwaptionShift),INDEX($FK$245:$ID$316,$FJ220-FN$169,73-FN$169+SwaptionShift):INDEX($FK$245:$ID$316,$FJ220-FN$169,72-FN$169+SwaptionMonthsToGo+SwaptionShift))/SQRT(SUM(INDEX($FK375:$ID375,1+SwaptionShift):INDEX($FK375:$ID375,SwaptionMonthsToGo+SwaptionShift))*SUM(INDEX($FK$325:$ID$396,FN$169,1+SwaptionShift):INDEX($FK$325:$ID$396,FN$169,SwaptionMonthsToGo+SwaptionShift))))))</f>
        <v/>
      </c>
      <c r="FO220" s="479" t="str">
        <f ca="1">IF(OR(FO$169&lt;SwaptionFirstMonthPosition+1,$FJ220&lt;SwaptionFirstMonthPosition+1,FO$169&gt;SwaptionFirstMonthPosition+SwaptionNumOfMonths+1,$FJ220&gt;SwaptionFirstMonthPosition+SwaptionNumOfMonths+1),"",IF($FJ220=FO$169,1,IF($FJ220&lt;FO$169,INDEX($FK$170:$ID$241,FO$169,$FJ220),SUMPRODUCT(INDEX($FK$325:$ID$396,FO$169,1+SwaptionShift):INDEX($FK$325:$ID$396,FO$169,SwaptionMonthsToGo+SwaptionShift),INDEX($FK$245:$ID$316,$FJ220-FO$169,73-FO$169+SwaptionShift):INDEX($FK$245:$ID$316,$FJ220-FO$169,72-FO$169+SwaptionMonthsToGo+SwaptionShift))/SQRT(SUM(INDEX($FK375:$ID375,1+SwaptionShift):INDEX($FK375:$ID375,SwaptionMonthsToGo+SwaptionShift))*SUM(INDEX($FK$325:$ID$396,FO$169,1+SwaptionShift):INDEX($FK$325:$ID$396,FO$169,SwaptionMonthsToGo+SwaptionShift))))))</f>
        <v/>
      </c>
      <c r="FP220" s="479" t="str">
        <f ca="1">IF(OR(FP$169&lt;SwaptionFirstMonthPosition+1,$FJ220&lt;SwaptionFirstMonthPosition+1,FP$169&gt;SwaptionFirstMonthPosition+SwaptionNumOfMonths+1,$FJ220&gt;SwaptionFirstMonthPosition+SwaptionNumOfMonths+1),"",IF($FJ220=FP$169,1,IF($FJ220&lt;FP$169,INDEX($FK$170:$ID$241,FP$169,$FJ220),SUMPRODUCT(INDEX($FK$325:$ID$396,FP$169,1+SwaptionShift):INDEX($FK$325:$ID$396,FP$169,SwaptionMonthsToGo+SwaptionShift),INDEX($FK$245:$ID$316,$FJ220-FP$169,73-FP$169+SwaptionShift):INDEX($FK$245:$ID$316,$FJ220-FP$169,72-FP$169+SwaptionMonthsToGo+SwaptionShift))/SQRT(SUM(INDEX($FK375:$ID375,1+SwaptionShift):INDEX($FK375:$ID375,SwaptionMonthsToGo+SwaptionShift))*SUM(INDEX($FK$325:$ID$396,FP$169,1+SwaptionShift):INDEX($FK$325:$ID$396,FP$169,SwaptionMonthsToGo+SwaptionShift))))))</f>
        <v/>
      </c>
      <c r="FQ220" s="479" t="str">
        <f ca="1">IF(OR(FQ$169&lt;SwaptionFirstMonthPosition+1,$FJ220&lt;SwaptionFirstMonthPosition+1,FQ$169&gt;SwaptionFirstMonthPosition+SwaptionNumOfMonths+1,$FJ220&gt;SwaptionFirstMonthPosition+SwaptionNumOfMonths+1),"",IF($FJ220=FQ$169,1,IF($FJ220&lt;FQ$169,INDEX($FK$170:$ID$241,FQ$169,$FJ220),SUMPRODUCT(INDEX($FK$325:$ID$396,FQ$169,1+SwaptionShift):INDEX($FK$325:$ID$396,FQ$169,SwaptionMonthsToGo+SwaptionShift),INDEX($FK$245:$ID$316,$FJ220-FQ$169,73-FQ$169+SwaptionShift):INDEX($FK$245:$ID$316,$FJ220-FQ$169,72-FQ$169+SwaptionMonthsToGo+SwaptionShift))/SQRT(SUM(INDEX($FK375:$ID375,1+SwaptionShift):INDEX($FK375:$ID375,SwaptionMonthsToGo+SwaptionShift))*SUM(INDEX($FK$325:$ID$396,FQ$169,1+SwaptionShift):INDEX($FK$325:$ID$396,FQ$169,SwaptionMonthsToGo+SwaptionShift))))))</f>
        <v/>
      </c>
      <c r="FR220" s="479" t="str">
        <f ca="1">IF(OR(FR$169&lt;SwaptionFirstMonthPosition+1,$FJ220&lt;SwaptionFirstMonthPosition+1,FR$169&gt;SwaptionFirstMonthPosition+SwaptionNumOfMonths+1,$FJ220&gt;SwaptionFirstMonthPosition+SwaptionNumOfMonths+1),"",IF($FJ220=FR$169,1,IF($FJ220&lt;FR$169,INDEX($FK$170:$ID$241,FR$169,$FJ220),SUMPRODUCT(INDEX($FK$325:$ID$396,FR$169,1+SwaptionShift):INDEX($FK$325:$ID$396,FR$169,SwaptionMonthsToGo+SwaptionShift),INDEX($FK$245:$ID$316,$FJ220-FR$169,73-FR$169+SwaptionShift):INDEX($FK$245:$ID$316,$FJ220-FR$169,72-FR$169+SwaptionMonthsToGo+SwaptionShift))/SQRT(SUM(INDEX($FK375:$ID375,1+SwaptionShift):INDEX($FK375:$ID375,SwaptionMonthsToGo+SwaptionShift))*SUM(INDEX($FK$325:$ID$396,FR$169,1+SwaptionShift):INDEX($FK$325:$ID$396,FR$169,SwaptionMonthsToGo+SwaptionShift))))))</f>
        <v/>
      </c>
      <c r="FS220" s="479" t="str">
        <f ca="1">IF(OR(FS$169&lt;SwaptionFirstMonthPosition+1,$FJ220&lt;SwaptionFirstMonthPosition+1,FS$169&gt;SwaptionFirstMonthPosition+SwaptionNumOfMonths+1,$FJ220&gt;SwaptionFirstMonthPosition+SwaptionNumOfMonths+1),"",IF($FJ220=FS$169,1,IF($FJ220&lt;FS$169,INDEX($FK$170:$ID$241,FS$169,$FJ220),SUMPRODUCT(INDEX($FK$325:$ID$396,FS$169,1+SwaptionShift):INDEX($FK$325:$ID$396,FS$169,SwaptionMonthsToGo+SwaptionShift),INDEX($FK$245:$ID$316,$FJ220-FS$169,73-FS$169+SwaptionShift):INDEX($FK$245:$ID$316,$FJ220-FS$169,72-FS$169+SwaptionMonthsToGo+SwaptionShift))/SQRT(SUM(INDEX($FK375:$ID375,1+SwaptionShift):INDEX($FK375:$ID375,SwaptionMonthsToGo+SwaptionShift))*SUM(INDEX($FK$325:$ID$396,FS$169,1+SwaptionShift):INDEX($FK$325:$ID$396,FS$169,SwaptionMonthsToGo+SwaptionShift))))))</f>
        <v/>
      </c>
      <c r="FT220" s="479" t="str">
        <f ca="1">IF(OR(FT$169&lt;SwaptionFirstMonthPosition+1,$FJ220&lt;SwaptionFirstMonthPosition+1,FT$169&gt;SwaptionFirstMonthPosition+SwaptionNumOfMonths+1,$FJ220&gt;SwaptionFirstMonthPosition+SwaptionNumOfMonths+1),"",IF($FJ220=FT$169,1,IF($FJ220&lt;FT$169,INDEX($FK$170:$ID$241,FT$169,$FJ220),SUMPRODUCT(INDEX($FK$325:$ID$396,FT$169,1+SwaptionShift):INDEX($FK$325:$ID$396,FT$169,SwaptionMonthsToGo+SwaptionShift),INDEX($FK$245:$ID$316,$FJ220-FT$169,73-FT$169+SwaptionShift):INDEX($FK$245:$ID$316,$FJ220-FT$169,72-FT$169+SwaptionMonthsToGo+SwaptionShift))/SQRT(SUM(INDEX($FK375:$ID375,1+SwaptionShift):INDEX($FK375:$ID375,SwaptionMonthsToGo+SwaptionShift))*SUM(INDEX($FK$325:$ID$396,FT$169,1+SwaptionShift):INDEX($FK$325:$ID$396,FT$169,SwaptionMonthsToGo+SwaptionShift))))))</f>
        <v/>
      </c>
      <c r="FU220" s="479" t="str">
        <f ca="1">IF(OR(FU$169&lt;SwaptionFirstMonthPosition+1,$FJ220&lt;SwaptionFirstMonthPosition+1,FU$169&gt;SwaptionFirstMonthPosition+SwaptionNumOfMonths+1,$FJ220&gt;SwaptionFirstMonthPosition+SwaptionNumOfMonths+1),"",IF($FJ220=FU$169,1,IF($FJ220&lt;FU$169,INDEX($FK$170:$ID$241,FU$169,$FJ220),SUMPRODUCT(INDEX($FK$325:$ID$396,FU$169,1+SwaptionShift):INDEX($FK$325:$ID$396,FU$169,SwaptionMonthsToGo+SwaptionShift),INDEX($FK$245:$ID$316,$FJ220-FU$169,73-FU$169+SwaptionShift):INDEX($FK$245:$ID$316,$FJ220-FU$169,72-FU$169+SwaptionMonthsToGo+SwaptionShift))/SQRT(SUM(INDEX($FK375:$ID375,1+SwaptionShift):INDEX($FK375:$ID375,SwaptionMonthsToGo+SwaptionShift))*SUM(INDEX($FK$325:$ID$396,FU$169,1+SwaptionShift):INDEX($FK$325:$ID$396,FU$169,SwaptionMonthsToGo+SwaptionShift))))))</f>
        <v/>
      </c>
      <c r="FV220" s="479" t="str">
        <f ca="1">IF(OR(FV$169&lt;SwaptionFirstMonthPosition+1,$FJ220&lt;SwaptionFirstMonthPosition+1,FV$169&gt;SwaptionFirstMonthPosition+SwaptionNumOfMonths+1,$FJ220&gt;SwaptionFirstMonthPosition+SwaptionNumOfMonths+1),"",IF($FJ220=FV$169,1,IF($FJ220&lt;FV$169,INDEX($FK$170:$ID$241,FV$169,$FJ220),SUMPRODUCT(INDEX($FK$325:$ID$396,FV$169,1+SwaptionShift):INDEX($FK$325:$ID$396,FV$169,SwaptionMonthsToGo+SwaptionShift),INDEX($FK$245:$ID$316,$FJ220-FV$169,73-FV$169+SwaptionShift):INDEX($FK$245:$ID$316,$FJ220-FV$169,72-FV$169+SwaptionMonthsToGo+SwaptionShift))/SQRT(SUM(INDEX($FK375:$ID375,1+SwaptionShift):INDEX($FK375:$ID375,SwaptionMonthsToGo+SwaptionShift))*SUM(INDEX($FK$325:$ID$396,FV$169,1+SwaptionShift):INDEX($FK$325:$ID$396,FV$169,SwaptionMonthsToGo+SwaptionShift))))))</f>
        <v/>
      </c>
      <c r="FW220" s="479" t="str">
        <f ca="1">IF(OR(FW$169&lt;SwaptionFirstMonthPosition+1,$FJ220&lt;SwaptionFirstMonthPosition+1,FW$169&gt;SwaptionFirstMonthPosition+SwaptionNumOfMonths+1,$FJ220&gt;SwaptionFirstMonthPosition+SwaptionNumOfMonths+1),"",IF($FJ220=FW$169,1,IF($FJ220&lt;FW$169,INDEX($FK$170:$ID$241,FW$169,$FJ220),SUMPRODUCT(INDEX($FK$325:$ID$396,FW$169,1+SwaptionShift):INDEX($FK$325:$ID$396,FW$169,SwaptionMonthsToGo+SwaptionShift),INDEX($FK$245:$ID$316,$FJ220-FW$169,73-FW$169+SwaptionShift):INDEX($FK$245:$ID$316,$FJ220-FW$169,72-FW$169+SwaptionMonthsToGo+SwaptionShift))/SQRT(SUM(INDEX($FK375:$ID375,1+SwaptionShift):INDEX($FK375:$ID375,SwaptionMonthsToGo+SwaptionShift))*SUM(INDEX($FK$325:$ID$396,FW$169,1+SwaptionShift):INDEX($FK$325:$ID$396,FW$169,SwaptionMonthsToGo+SwaptionShift))))))</f>
        <v/>
      </c>
      <c r="FX220" s="479" t="str">
        <f ca="1">IF(OR(FX$169&lt;SwaptionFirstMonthPosition+1,$FJ220&lt;SwaptionFirstMonthPosition+1,FX$169&gt;SwaptionFirstMonthPosition+SwaptionNumOfMonths+1,$FJ220&gt;SwaptionFirstMonthPosition+SwaptionNumOfMonths+1),"",IF($FJ220=FX$169,1,IF($FJ220&lt;FX$169,INDEX($FK$170:$ID$241,FX$169,$FJ220),SUMPRODUCT(INDEX($FK$325:$ID$396,FX$169,1+SwaptionShift):INDEX($FK$325:$ID$396,FX$169,SwaptionMonthsToGo+SwaptionShift),INDEX($FK$245:$ID$316,$FJ220-FX$169,73-FX$169+SwaptionShift):INDEX($FK$245:$ID$316,$FJ220-FX$169,72-FX$169+SwaptionMonthsToGo+SwaptionShift))/SQRT(SUM(INDEX($FK375:$ID375,1+SwaptionShift):INDEX($FK375:$ID375,SwaptionMonthsToGo+SwaptionShift))*SUM(INDEX($FK$325:$ID$396,FX$169,1+SwaptionShift):INDEX($FK$325:$ID$396,FX$169,SwaptionMonthsToGo+SwaptionShift))))))</f>
        <v/>
      </c>
      <c r="FY220" s="479" t="str">
        <f ca="1">IF(OR(FY$169&lt;SwaptionFirstMonthPosition+1,$FJ220&lt;SwaptionFirstMonthPosition+1,FY$169&gt;SwaptionFirstMonthPosition+SwaptionNumOfMonths+1,$FJ220&gt;SwaptionFirstMonthPosition+SwaptionNumOfMonths+1),"",IF($FJ220=FY$169,1,IF($FJ220&lt;FY$169,INDEX($FK$170:$ID$241,FY$169,$FJ220),SUMPRODUCT(INDEX($FK$325:$ID$396,FY$169,1+SwaptionShift):INDEX($FK$325:$ID$396,FY$169,SwaptionMonthsToGo+SwaptionShift),INDEX($FK$245:$ID$316,$FJ220-FY$169,73-FY$169+SwaptionShift):INDEX($FK$245:$ID$316,$FJ220-FY$169,72-FY$169+SwaptionMonthsToGo+SwaptionShift))/SQRT(SUM(INDEX($FK375:$ID375,1+SwaptionShift):INDEX($FK375:$ID375,SwaptionMonthsToGo+SwaptionShift))*SUM(INDEX($FK$325:$ID$396,FY$169,1+SwaptionShift):INDEX($FK$325:$ID$396,FY$169,SwaptionMonthsToGo+SwaptionShift))))))</f>
        <v/>
      </c>
      <c r="FZ220" s="479" t="str">
        <f ca="1">IF(OR(FZ$169&lt;SwaptionFirstMonthPosition+1,$FJ220&lt;SwaptionFirstMonthPosition+1,FZ$169&gt;SwaptionFirstMonthPosition+SwaptionNumOfMonths+1,$FJ220&gt;SwaptionFirstMonthPosition+SwaptionNumOfMonths+1),"",IF($FJ220=FZ$169,1,IF($FJ220&lt;FZ$169,INDEX($FK$170:$ID$241,FZ$169,$FJ220),SUMPRODUCT(INDEX($FK$325:$ID$396,FZ$169,1+SwaptionShift):INDEX($FK$325:$ID$396,FZ$169,SwaptionMonthsToGo+SwaptionShift),INDEX($FK$245:$ID$316,$FJ220-FZ$169,73-FZ$169+SwaptionShift):INDEX($FK$245:$ID$316,$FJ220-FZ$169,72-FZ$169+SwaptionMonthsToGo+SwaptionShift))/SQRT(SUM(INDEX($FK375:$ID375,1+SwaptionShift):INDEX($FK375:$ID375,SwaptionMonthsToGo+SwaptionShift))*SUM(INDEX($FK$325:$ID$396,FZ$169,1+SwaptionShift):INDEX($FK$325:$ID$396,FZ$169,SwaptionMonthsToGo+SwaptionShift))))))</f>
        <v/>
      </c>
      <c r="GA220" s="479" t="str">
        <f ca="1">IF(OR(GA$169&lt;SwaptionFirstMonthPosition+1,$FJ220&lt;SwaptionFirstMonthPosition+1,GA$169&gt;SwaptionFirstMonthPosition+SwaptionNumOfMonths+1,$FJ220&gt;SwaptionFirstMonthPosition+SwaptionNumOfMonths+1),"",IF($FJ220=GA$169,1,IF($FJ220&lt;GA$169,INDEX($FK$170:$ID$241,GA$169,$FJ220),SUMPRODUCT(INDEX($FK$325:$ID$396,GA$169,1+SwaptionShift):INDEX($FK$325:$ID$396,GA$169,SwaptionMonthsToGo+SwaptionShift),INDEX($FK$245:$ID$316,$FJ220-GA$169,73-GA$169+SwaptionShift):INDEX($FK$245:$ID$316,$FJ220-GA$169,72-GA$169+SwaptionMonthsToGo+SwaptionShift))/SQRT(SUM(INDEX($FK375:$ID375,1+SwaptionShift):INDEX($FK375:$ID375,SwaptionMonthsToGo+SwaptionShift))*SUM(INDEX($FK$325:$ID$396,GA$169,1+SwaptionShift):INDEX($FK$325:$ID$396,GA$169,SwaptionMonthsToGo+SwaptionShift))))))</f>
        <v/>
      </c>
      <c r="GB220" s="479" t="str">
        <f ca="1">IF(OR(GB$169&lt;SwaptionFirstMonthPosition+1,$FJ220&lt;SwaptionFirstMonthPosition+1,GB$169&gt;SwaptionFirstMonthPosition+SwaptionNumOfMonths+1,$FJ220&gt;SwaptionFirstMonthPosition+SwaptionNumOfMonths+1),"",IF($FJ220=GB$169,1,IF($FJ220&lt;GB$169,INDEX($FK$170:$ID$241,GB$169,$FJ220),SUMPRODUCT(INDEX($FK$325:$ID$396,GB$169,1+SwaptionShift):INDEX($FK$325:$ID$396,GB$169,SwaptionMonthsToGo+SwaptionShift),INDEX($FK$245:$ID$316,$FJ220-GB$169,73-GB$169+SwaptionShift):INDEX($FK$245:$ID$316,$FJ220-GB$169,72-GB$169+SwaptionMonthsToGo+SwaptionShift))/SQRT(SUM(INDEX($FK375:$ID375,1+SwaptionShift):INDEX($FK375:$ID375,SwaptionMonthsToGo+SwaptionShift))*SUM(INDEX($FK$325:$ID$396,GB$169,1+SwaptionShift):INDEX($FK$325:$ID$396,GB$169,SwaptionMonthsToGo+SwaptionShift))))))</f>
        <v/>
      </c>
      <c r="GC220" s="479" t="str">
        <f ca="1">IF(OR(GC$169&lt;SwaptionFirstMonthPosition+1,$FJ220&lt;SwaptionFirstMonthPosition+1,GC$169&gt;SwaptionFirstMonthPosition+SwaptionNumOfMonths+1,$FJ220&gt;SwaptionFirstMonthPosition+SwaptionNumOfMonths+1),"",IF($FJ220=GC$169,1,IF($FJ220&lt;GC$169,INDEX($FK$170:$ID$241,GC$169,$FJ220),SUMPRODUCT(INDEX($FK$325:$ID$396,GC$169,1+SwaptionShift):INDEX($FK$325:$ID$396,GC$169,SwaptionMonthsToGo+SwaptionShift),INDEX($FK$245:$ID$316,$FJ220-GC$169,73-GC$169+SwaptionShift):INDEX($FK$245:$ID$316,$FJ220-GC$169,72-GC$169+SwaptionMonthsToGo+SwaptionShift))/SQRT(SUM(INDEX($FK375:$ID375,1+SwaptionShift):INDEX($FK375:$ID375,SwaptionMonthsToGo+SwaptionShift))*SUM(INDEX($FK$325:$ID$396,GC$169,1+SwaptionShift):INDEX($FK$325:$ID$396,GC$169,SwaptionMonthsToGo+SwaptionShift))))))</f>
        <v/>
      </c>
      <c r="GD220" s="479" t="str">
        <f ca="1">IF(OR(GD$169&lt;SwaptionFirstMonthPosition+1,$FJ220&lt;SwaptionFirstMonthPosition+1,GD$169&gt;SwaptionFirstMonthPosition+SwaptionNumOfMonths+1,$FJ220&gt;SwaptionFirstMonthPosition+SwaptionNumOfMonths+1),"",IF($FJ220=GD$169,1,IF($FJ220&lt;GD$169,INDEX($FK$170:$ID$241,GD$169,$FJ220),SUMPRODUCT(INDEX($FK$325:$ID$396,GD$169,1+SwaptionShift):INDEX($FK$325:$ID$396,GD$169,SwaptionMonthsToGo+SwaptionShift),INDEX($FK$245:$ID$316,$FJ220-GD$169,73-GD$169+SwaptionShift):INDEX($FK$245:$ID$316,$FJ220-GD$169,72-GD$169+SwaptionMonthsToGo+SwaptionShift))/SQRT(SUM(INDEX($FK375:$ID375,1+SwaptionShift):INDEX($FK375:$ID375,SwaptionMonthsToGo+SwaptionShift))*SUM(INDEX($FK$325:$ID$396,GD$169,1+SwaptionShift):INDEX($FK$325:$ID$396,GD$169,SwaptionMonthsToGo+SwaptionShift))))))</f>
        <v/>
      </c>
      <c r="GE220" s="479" t="str">
        <f ca="1">IF(OR(GE$169&lt;SwaptionFirstMonthPosition+1,$FJ220&lt;SwaptionFirstMonthPosition+1,GE$169&gt;SwaptionFirstMonthPosition+SwaptionNumOfMonths+1,$FJ220&gt;SwaptionFirstMonthPosition+SwaptionNumOfMonths+1),"",IF($FJ220=GE$169,1,IF($FJ220&lt;GE$169,INDEX($FK$170:$ID$241,GE$169,$FJ220),SUMPRODUCT(INDEX($FK$325:$ID$396,GE$169,1+SwaptionShift):INDEX($FK$325:$ID$396,GE$169,SwaptionMonthsToGo+SwaptionShift),INDEX($FK$245:$ID$316,$FJ220-GE$169,73-GE$169+SwaptionShift):INDEX($FK$245:$ID$316,$FJ220-GE$169,72-GE$169+SwaptionMonthsToGo+SwaptionShift))/SQRT(SUM(INDEX($FK375:$ID375,1+SwaptionShift):INDEX($FK375:$ID375,SwaptionMonthsToGo+SwaptionShift))*SUM(INDEX($FK$325:$ID$396,GE$169,1+SwaptionShift):INDEX($FK$325:$ID$396,GE$169,SwaptionMonthsToGo+SwaptionShift))))))</f>
        <v/>
      </c>
      <c r="GF220" s="479" t="str">
        <f ca="1">IF(OR(GF$169&lt;SwaptionFirstMonthPosition+1,$FJ220&lt;SwaptionFirstMonthPosition+1,GF$169&gt;SwaptionFirstMonthPosition+SwaptionNumOfMonths+1,$FJ220&gt;SwaptionFirstMonthPosition+SwaptionNumOfMonths+1),"",IF($FJ220=GF$169,1,IF($FJ220&lt;GF$169,INDEX($FK$170:$ID$241,GF$169,$FJ220),SUMPRODUCT(INDEX($FK$325:$ID$396,GF$169,1+SwaptionShift):INDEX($FK$325:$ID$396,GF$169,SwaptionMonthsToGo+SwaptionShift),INDEX($FK$245:$ID$316,$FJ220-GF$169,73-GF$169+SwaptionShift):INDEX($FK$245:$ID$316,$FJ220-GF$169,72-GF$169+SwaptionMonthsToGo+SwaptionShift))/SQRT(SUM(INDEX($FK375:$ID375,1+SwaptionShift):INDEX($FK375:$ID375,SwaptionMonthsToGo+SwaptionShift))*SUM(INDEX($FK$325:$ID$396,GF$169,1+SwaptionShift):INDEX($FK$325:$ID$396,GF$169,SwaptionMonthsToGo+SwaptionShift))))))</f>
        <v/>
      </c>
      <c r="GG220" s="479" t="str">
        <f ca="1">IF(OR(GG$169&lt;SwaptionFirstMonthPosition+1,$FJ220&lt;SwaptionFirstMonthPosition+1,GG$169&gt;SwaptionFirstMonthPosition+SwaptionNumOfMonths+1,$FJ220&gt;SwaptionFirstMonthPosition+SwaptionNumOfMonths+1),"",IF($FJ220=GG$169,1,IF($FJ220&lt;GG$169,INDEX($FK$170:$ID$241,GG$169,$FJ220),SUMPRODUCT(INDEX($FK$325:$ID$396,GG$169,1+SwaptionShift):INDEX($FK$325:$ID$396,GG$169,SwaptionMonthsToGo+SwaptionShift),INDEX($FK$245:$ID$316,$FJ220-GG$169,73-GG$169+SwaptionShift):INDEX($FK$245:$ID$316,$FJ220-GG$169,72-GG$169+SwaptionMonthsToGo+SwaptionShift))/SQRT(SUM(INDEX($FK375:$ID375,1+SwaptionShift):INDEX($FK375:$ID375,SwaptionMonthsToGo+SwaptionShift))*SUM(INDEX($FK$325:$ID$396,GG$169,1+SwaptionShift):INDEX($FK$325:$ID$396,GG$169,SwaptionMonthsToGo+SwaptionShift))))))</f>
        <v/>
      </c>
      <c r="GH220" s="479" t="str">
        <f ca="1">IF(OR(GH$169&lt;SwaptionFirstMonthPosition+1,$FJ220&lt;SwaptionFirstMonthPosition+1,GH$169&gt;SwaptionFirstMonthPosition+SwaptionNumOfMonths+1,$FJ220&gt;SwaptionFirstMonthPosition+SwaptionNumOfMonths+1),"",IF($FJ220=GH$169,1,IF($FJ220&lt;GH$169,INDEX($FK$170:$ID$241,GH$169,$FJ220),SUMPRODUCT(INDEX($FK$325:$ID$396,GH$169,1+SwaptionShift):INDEX($FK$325:$ID$396,GH$169,SwaptionMonthsToGo+SwaptionShift),INDEX($FK$245:$ID$316,$FJ220-GH$169,73-GH$169+SwaptionShift):INDEX($FK$245:$ID$316,$FJ220-GH$169,72-GH$169+SwaptionMonthsToGo+SwaptionShift))/SQRT(SUM(INDEX($FK375:$ID375,1+SwaptionShift):INDEX($FK375:$ID375,SwaptionMonthsToGo+SwaptionShift))*SUM(INDEX($FK$325:$ID$396,GH$169,1+SwaptionShift):INDEX($FK$325:$ID$396,GH$169,SwaptionMonthsToGo+SwaptionShift))))))</f>
        <v/>
      </c>
      <c r="GI220" s="479" t="str">
        <f ca="1">IF(OR(GI$169&lt;SwaptionFirstMonthPosition+1,$FJ220&lt;SwaptionFirstMonthPosition+1,GI$169&gt;SwaptionFirstMonthPosition+SwaptionNumOfMonths+1,$FJ220&gt;SwaptionFirstMonthPosition+SwaptionNumOfMonths+1),"",IF($FJ220=GI$169,1,IF($FJ220&lt;GI$169,INDEX($FK$170:$ID$241,GI$169,$FJ220),SUMPRODUCT(INDEX($FK$325:$ID$396,GI$169,1+SwaptionShift):INDEX($FK$325:$ID$396,GI$169,SwaptionMonthsToGo+SwaptionShift),INDEX($FK$245:$ID$316,$FJ220-GI$169,73-GI$169+SwaptionShift):INDEX($FK$245:$ID$316,$FJ220-GI$169,72-GI$169+SwaptionMonthsToGo+SwaptionShift))/SQRT(SUM(INDEX($FK375:$ID375,1+SwaptionShift):INDEX($FK375:$ID375,SwaptionMonthsToGo+SwaptionShift))*SUM(INDEX($FK$325:$ID$396,GI$169,1+SwaptionShift):INDEX($FK$325:$ID$396,GI$169,SwaptionMonthsToGo+SwaptionShift))))))</f>
        <v/>
      </c>
      <c r="GJ220" s="479" t="str">
        <f ca="1">IF(OR(GJ$169&lt;SwaptionFirstMonthPosition+1,$FJ220&lt;SwaptionFirstMonthPosition+1,GJ$169&gt;SwaptionFirstMonthPosition+SwaptionNumOfMonths+1,$FJ220&gt;SwaptionFirstMonthPosition+SwaptionNumOfMonths+1),"",IF($FJ220=GJ$169,1,IF($FJ220&lt;GJ$169,INDEX($FK$170:$ID$241,GJ$169,$FJ220),SUMPRODUCT(INDEX($FK$325:$ID$396,GJ$169,1+SwaptionShift):INDEX($FK$325:$ID$396,GJ$169,SwaptionMonthsToGo+SwaptionShift),INDEX($FK$245:$ID$316,$FJ220-GJ$169,73-GJ$169+SwaptionShift):INDEX($FK$245:$ID$316,$FJ220-GJ$169,72-GJ$169+SwaptionMonthsToGo+SwaptionShift))/SQRT(SUM(INDEX($FK375:$ID375,1+SwaptionShift):INDEX($FK375:$ID375,SwaptionMonthsToGo+SwaptionShift))*SUM(INDEX($FK$325:$ID$396,GJ$169,1+SwaptionShift):INDEX($FK$325:$ID$396,GJ$169,SwaptionMonthsToGo+SwaptionShift))))))</f>
        <v/>
      </c>
      <c r="GK220" s="479" t="str">
        <f ca="1">IF(OR(GK$169&lt;SwaptionFirstMonthPosition+1,$FJ220&lt;SwaptionFirstMonthPosition+1,GK$169&gt;SwaptionFirstMonthPosition+SwaptionNumOfMonths+1,$FJ220&gt;SwaptionFirstMonthPosition+SwaptionNumOfMonths+1),"",IF($FJ220=GK$169,1,IF($FJ220&lt;GK$169,INDEX($FK$170:$ID$241,GK$169,$FJ220),SUMPRODUCT(INDEX($FK$325:$ID$396,GK$169,1+SwaptionShift):INDEX($FK$325:$ID$396,GK$169,SwaptionMonthsToGo+SwaptionShift),INDEX($FK$245:$ID$316,$FJ220-GK$169,73-GK$169+SwaptionShift):INDEX($FK$245:$ID$316,$FJ220-GK$169,72-GK$169+SwaptionMonthsToGo+SwaptionShift))/SQRT(SUM(INDEX($FK375:$ID375,1+SwaptionShift):INDEX($FK375:$ID375,SwaptionMonthsToGo+SwaptionShift))*SUM(INDEX($FK$325:$ID$396,GK$169,1+SwaptionShift):INDEX($FK$325:$ID$396,GK$169,SwaptionMonthsToGo+SwaptionShift))))))</f>
        <v/>
      </c>
      <c r="GL220" s="479" t="str">
        <f ca="1">IF(OR(GL$169&lt;SwaptionFirstMonthPosition+1,$FJ220&lt;SwaptionFirstMonthPosition+1,GL$169&gt;SwaptionFirstMonthPosition+SwaptionNumOfMonths+1,$FJ220&gt;SwaptionFirstMonthPosition+SwaptionNumOfMonths+1),"",IF($FJ220=GL$169,1,IF($FJ220&lt;GL$169,INDEX($FK$170:$ID$241,GL$169,$FJ220),SUMPRODUCT(INDEX($FK$325:$ID$396,GL$169,1+SwaptionShift):INDEX($FK$325:$ID$396,GL$169,SwaptionMonthsToGo+SwaptionShift),INDEX($FK$245:$ID$316,$FJ220-GL$169,73-GL$169+SwaptionShift):INDEX($FK$245:$ID$316,$FJ220-GL$169,72-GL$169+SwaptionMonthsToGo+SwaptionShift))/SQRT(SUM(INDEX($FK375:$ID375,1+SwaptionShift):INDEX($FK375:$ID375,SwaptionMonthsToGo+SwaptionShift))*SUM(INDEX($FK$325:$ID$396,GL$169,1+SwaptionShift):INDEX($FK$325:$ID$396,GL$169,SwaptionMonthsToGo+SwaptionShift))))))</f>
        <v/>
      </c>
      <c r="GM220" s="479" t="str">
        <f ca="1">IF(OR(GM$169&lt;SwaptionFirstMonthPosition+1,$FJ220&lt;SwaptionFirstMonthPosition+1,GM$169&gt;SwaptionFirstMonthPosition+SwaptionNumOfMonths+1,$FJ220&gt;SwaptionFirstMonthPosition+SwaptionNumOfMonths+1),"",IF($FJ220=GM$169,1,IF($FJ220&lt;GM$169,INDEX($FK$170:$ID$241,GM$169,$FJ220),SUMPRODUCT(INDEX($FK$325:$ID$396,GM$169,1+SwaptionShift):INDEX($FK$325:$ID$396,GM$169,SwaptionMonthsToGo+SwaptionShift),INDEX($FK$245:$ID$316,$FJ220-GM$169,73-GM$169+SwaptionShift):INDEX($FK$245:$ID$316,$FJ220-GM$169,72-GM$169+SwaptionMonthsToGo+SwaptionShift))/SQRT(SUM(INDEX($FK375:$ID375,1+SwaptionShift):INDEX($FK375:$ID375,SwaptionMonthsToGo+SwaptionShift))*SUM(INDEX($FK$325:$ID$396,GM$169,1+SwaptionShift):INDEX($FK$325:$ID$396,GM$169,SwaptionMonthsToGo+SwaptionShift))))))</f>
        <v/>
      </c>
      <c r="GN220" s="479" t="str">
        <f ca="1">IF(OR(GN$169&lt;SwaptionFirstMonthPosition+1,$FJ220&lt;SwaptionFirstMonthPosition+1,GN$169&gt;SwaptionFirstMonthPosition+SwaptionNumOfMonths+1,$FJ220&gt;SwaptionFirstMonthPosition+SwaptionNumOfMonths+1),"",IF($FJ220=GN$169,1,IF($FJ220&lt;GN$169,INDEX($FK$170:$ID$241,GN$169,$FJ220),SUMPRODUCT(INDEX($FK$325:$ID$396,GN$169,1+SwaptionShift):INDEX($FK$325:$ID$396,GN$169,SwaptionMonthsToGo+SwaptionShift),INDEX($FK$245:$ID$316,$FJ220-GN$169,73-GN$169+SwaptionShift):INDEX($FK$245:$ID$316,$FJ220-GN$169,72-GN$169+SwaptionMonthsToGo+SwaptionShift))/SQRT(SUM(INDEX($FK375:$ID375,1+SwaptionShift):INDEX($FK375:$ID375,SwaptionMonthsToGo+SwaptionShift))*SUM(INDEX($FK$325:$ID$396,GN$169,1+SwaptionShift):INDEX($FK$325:$ID$396,GN$169,SwaptionMonthsToGo+SwaptionShift))))))</f>
        <v/>
      </c>
      <c r="GO220" s="479" t="str">
        <f ca="1">IF(OR(GO$169&lt;SwaptionFirstMonthPosition+1,$FJ220&lt;SwaptionFirstMonthPosition+1,GO$169&gt;SwaptionFirstMonthPosition+SwaptionNumOfMonths+1,$FJ220&gt;SwaptionFirstMonthPosition+SwaptionNumOfMonths+1),"",IF($FJ220=GO$169,1,IF($FJ220&lt;GO$169,INDEX($FK$170:$ID$241,GO$169,$FJ220),SUMPRODUCT(INDEX($FK$325:$ID$396,GO$169,1+SwaptionShift):INDEX($FK$325:$ID$396,GO$169,SwaptionMonthsToGo+SwaptionShift),INDEX($FK$245:$ID$316,$FJ220-GO$169,73-GO$169+SwaptionShift):INDEX($FK$245:$ID$316,$FJ220-GO$169,72-GO$169+SwaptionMonthsToGo+SwaptionShift))/SQRT(SUM(INDEX($FK375:$ID375,1+SwaptionShift):INDEX($FK375:$ID375,SwaptionMonthsToGo+SwaptionShift))*SUM(INDEX($FK$325:$ID$396,GO$169,1+SwaptionShift):INDEX($FK$325:$ID$396,GO$169,SwaptionMonthsToGo+SwaptionShift))))))</f>
        <v/>
      </c>
      <c r="GP220" s="479" t="str">
        <f ca="1">IF(OR(GP$169&lt;SwaptionFirstMonthPosition+1,$FJ220&lt;SwaptionFirstMonthPosition+1,GP$169&gt;SwaptionFirstMonthPosition+SwaptionNumOfMonths+1,$FJ220&gt;SwaptionFirstMonthPosition+SwaptionNumOfMonths+1),"",IF($FJ220=GP$169,1,IF($FJ220&lt;GP$169,INDEX($FK$170:$ID$241,GP$169,$FJ220),SUMPRODUCT(INDEX($FK$325:$ID$396,GP$169,1+SwaptionShift):INDEX($FK$325:$ID$396,GP$169,SwaptionMonthsToGo+SwaptionShift),INDEX($FK$245:$ID$316,$FJ220-GP$169,73-GP$169+SwaptionShift):INDEX($FK$245:$ID$316,$FJ220-GP$169,72-GP$169+SwaptionMonthsToGo+SwaptionShift))/SQRT(SUM(INDEX($FK375:$ID375,1+SwaptionShift):INDEX($FK375:$ID375,SwaptionMonthsToGo+SwaptionShift))*SUM(INDEX($FK$325:$ID$396,GP$169,1+SwaptionShift):INDEX($FK$325:$ID$396,GP$169,SwaptionMonthsToGo+SwaptionShift))))))</f>
        <v/>
      </c>
      <c r="GQ220" s="479" t="str">
        <f ca="1">IF(OR(GQ$169&lt;SwaptionFirstMonthPosition+1,$FJ220&lt;SwaptionFirstMonthPosition+1,GQ$169&gt;SwaptionFirstMonthPosition+SwaptionNumOfMonths+1,$FJ220&gt;SwaptionFirstMonthPosition+SwaptionNumOfMonths+1),"",IF($FJ220=GQ$169,1,IF($FJ220&lt;GQ$169,INDEX($FK$170:$ID$241,GQ$169,$FJ220),SUMPRODUCT(INDEX($FK$325:$ID$396,GQ$169,1+SwaptionShift):INDEX($FK$325:$ID$396,GQ$169,SwaptionMonthsToGo+SwaptionShift),INDEX($FK$245:$ID$316,$FJ220-GQ$169,73-GQ$169+SwaptionShift):INDEX($FK$245:$ID$316,$FJ220-GQ$169,72-GQ$169+SwaptionMonthsToGo+SwaptionShift))/SQRT(SUM(INDEX($FK375:$ID375,1+SwaptionShift):INDEX($FK375:$ID375,SwaptionMonthsToGo+SwaptionShift))*SUM(INDEX($FK$325:$ID$396,GQ$169,1+SwaptionShift):INDEX($FK$325:$ID$396,GQ$169,SwaptionMonthsToGo+SwaptionShift))))))</f>
        <v/>
      </c>
      <c r="GR220" s="479" t="str">
        <f ca="1">IF(OR(GR$169&lt;SwaptionFirstMonthPosition+1,$FJ220&lt;SwaptionFirstMonthPosition+1,GR$169&gt;SwaptionFirstMonthPosition+SwaptionNumOfMonths+1,$FJ220&gt;SwaptionFirstMonthPosition+SwaptionNumOfMonths+1),"",IF($FJ220=GR$169,1,IF($FJ220&lt;GR$169,INDEX($FK$170:$ID$241,GR$169,$FJ220),SUMPRODUCT(INDEX($FK$325:$ID$396,GR$169,1+SwaptionShift):INDEX($FK$325:$ID$396,GR$169,SwaptionMonthsToGo+SwaptionShift),INDEX($FK$245:$ID$316,$FJ220-GR$169,73-GR$169+SwaptionShift):INDEX($FK$245:$ID$316,$FJ220-GR$169,72-GR$169+SwaptionMonthsToGo+SwaptionShift))/SQRT(SUM(INDEX($FK375:$ID375,1+SwaptionShift):INDEX($FK375:$ID375,SwaptionMonthsToGo+SwaptionShift))*SUM(INDEX($FK$325:$ID$396,GR$169,1+SwaptionShift):INDEX($FK$325:$ID$396,GR$169,SwaptionMonthsToGo+SwaptionShift))))))</f>
        <v/>
      </c>
      <c r="GS220" s="479" t="str">
        <f ca="1">IF(OR(GS$169&lt;SwaptionFirstMonthPosition+1,$FJ220&lt;SwaptionFirstMonthPosition+1,GS$169&gt;SwaptionFirstMonthPosition+SwaptionNumOfMonths+1,$FJ220&gt;SwaptionFirstMonthPosition+SwaptionNumOfMonths+1),"",IF($FJ220=GS$169,1,IF($FJ220&lt;GS$169,INDEX($FK$170:$ID$241,GS$169,$FJ220),SUMPRODUCT(INDEX($FK$325:$ID$396,GS$169,1+SwaptionShift):INDEX($FK$325:$ID$396,GS$169,SwaptionMonthsToGo+SwaptionShift),INDEX($FK$245:$ID$316,$FJ220-GS$169,73-GS$169+SwaptionShift):INDEX($FK$245:$ID$316,$FJ220-GS$169,72-GS$169+SwaptionMonthsToGo+SwaptionShift))/SQRT(SUM(INDEX($FK375:$ID375,1+SwaptionShift):INDEX($FK375:$ID375,SwaptionMonthsToGo+SwaptionShift))*SUM(INDEX($FK$325:$ID$396,GS$169,1+SwaptionShift):INDEX($FK$325:$ID$396,GS$169,SwaptionMonthsToGo+SwaptionShift))))))</f>
        <v/>
      </c>
      <c r="GT220" s="479" t="str">
        <f ca="1">IF(OR(GT$169&lt;SwaptionFirstMonthPosition+1,$FJ220&lt;SwaptionFirstMonthPosition+1,GT$169&gt;SwaptionFirstMonthPosition+SwaptionNumOfMonths+1,$FJ220&gt;SwaptionFirstMonthPosition+SwaptionNumOfMonths+1),"",IF($FJ220=GT$169,1,IF($FJ220&lt;GT$169,INDEX($FK$170:$ID$241,GT$169,$FJ220),SUMPRODUCT(INDEX($FK$325:$ID$396,GT$169,1+SwaptionShift):INDEX($FK$325:$ID$396,GT$169,SwaptionMonthsToGo+SwaptionShift),INDEX($FK$245:$ID$316,$FJ220-GT$169,73-GT$169+SwaptionShift):INDEX($FK$245:$ID$316,$FJ220-GT$169,72-GT$169+SwaptionMonthsToGo+SwaptionShift))/SQRT(SUM(INDEX($FK375:$ID375,1+SwaptionShift):INDEX($FK375:$ID375,SwaptionMonthsToGo+SwaptionShift))*SUM(INDEX($FK$325:$ID$396,GT$169,1+SwaptionShift):INDEX($FK$325:$ID$396,GT$169,SwaptionMonthsToGo+SwaptionShift))))))</f>
        <v/>
      </c>
      <c r="GU220" s="479" t="str">
        <f ca="1">IF(OR(GU$169&lt;SwaptionFirstMonthPosition+1,$FJ220&lt;SwaptionFirstMonthPosition+1,GU$169&gt;SwaptionFirstMonthPosition+SwaptionNumOfMonths+1,$FJ220&gt;SwaptionFirstMonthPosition+SwaptionNumOfMonths+1),"",IF($FJ220=GU$169,1,IF($FJ220&lt;GU$169,INDEX($FK$170:$ID$241,GU$169,$FJ220),SUMPRODUCT(INDEX($FK$325:$ID$396,GU$169,1+SwaptionShift):INDEX($FK$325:$ID$396,GU$169,SwaptionMonthsToGo+SwaptionShift),INDEX($FK$245:$ID$316,$FJ220-GU$169,73-GU$169+SwaptionShift):INDEX($FK$245:$ID$316,$FJ220-GU$169,72-GU$169+SwaptionMonthsToGo+SwaptionShift))/SQRT(SUM(INDEX($FK375:$ID375,1+SwaptionShift):INDEX($FK375:$ID375,SwaptionMonthsToGo+SwaptionShift))*SUM(INDEX($FK$325:$ID$396,GU$169,1+SwaptionShift):INDEX($FK$325:$ID$396,GU$169,SwaptionMonthsToGo+SwaptionShift))))))</f>
        <v/>
      </c>
      <c r="GV220" s="479" t="str">
        <f ca="1">IF(OR(GV$169&lt;SwaptionFirstMonthPosition+1,$FJ220&lt;SwaptionFirstMonthPosition+1,GV$169&gt;SwaptionFirstMonthPosition+SwaptionNumOfMonths+1,$FJ220&gt;SwaptionFirstMonthPosition+SwaptionNumOfMonths+1),"",IF($FJ220=GV$169,1,IF($FJ220&lt;GV$169,INDEX($FK$170:$ID$241,GV$169,$FJ220),SUMPRODUCT(INDEX($FK$325:$ID$396,GV$169,1+SwaptionShift):INDEX($FK$325:$ID$396,GV$169,SwaptionMonthsToGo+SwaptionShift),INDEX($FK$245:$ID$316,$FJ220-GV$169,73-GV$169+SwaptionShift):INDEX($FK$245:$ID$316,$FJ220-GV$169,72-GV$169+SwaptionMonthsToGo+SwaptionShift))/SQRT(SUM(INDEX($FK375:$ID375,1+SwaptionShift):INDEX($FK375:$ID375,SwaptionMonthsToGo+SwaptionShift))*SUM(INDEX($FK$325:$ID$396,GV$169,1+SwaptionShift):INDEX($FK$325:$ID$396,GV$169,SwaptionMonthsToGo+SwaptionShift))))))</f>
        <v/>
      </c>
      <c r="GW220" s="479" t="str">
        <f ca="1">IF(OR(GW$169&lt;SwaptionFirstMonthPosition+1,$FJ220&lt;SwaptionFirstMonthPosition+1,GW$169&gt;SwaptionFirstMonthPosition+SwaptionNumOfMonths+1,$FJ220&gt;SwaptionFirstMonthPosition+SwaptionNumOfMonths+1),"",IF($FJ220=GW$169,1,IF($FJ220&lt;GW$169,INDEX($FK$170:$ID$241,GW$169,$FJ220),SUMPRODUCT(INDEX($FK$325:$ID$396,GW$169,1+SwaptionShift):INDEX($FK$325:$ID$396,GW$169,SwaptionMonthsToGo+SwaptionShift),INDEX($FK$245:$ID$316,$FJ220-GW$169,73-GW$169+SwaptionShift):INDEX($FK$245:$ID$316,$FJ220-GW$169,72-GW$169+SwaptionMonthsToGo+SwaptionShift))/SQRT(SUM(INDEX($FK375:$ID375,1+SwaptionShift):INDEX($FK375:$ID375,SwaptionMonthsToGo+SwaptionShift))*SUM(INDEX($FK$325:$ID$396,GW$169,1+SwaptionShift):INDEX($FK$325:$ID$396,GW$169,SwaptionMonthsToGo+SwaptionShift))))))</f>
        <v/>
      </c>
      <c r="GX220" s="479" t="str">
        <f ca="1">IF(OR(GX$169&lt;SwaptionFirstMonthPosition+1,$FJ220&lt;SwaptionFirstMonthPosition+1,GX$169&gt;SwaptionFirstMonthPosition+SwaptionNumOfMonths+1,$FJ220&gt;SwaptionFirstMonthPosition+SwaptionNumOfMonths+1),"",IF($FJ220=GX$169,1,IF($FJ220&lt;GX$169,INDEX($FK$170:$ID$241,GX$169,$FJ220),SUMPRODUCT(INDEX($FK$325:$ID$396,GX$169,1+SwaptionShift):INDEX($FK$325:$ID$396,GX$169,SwaptionMonthsToGo+SwaptionShift),INDEX($FK$245:$ID$316,$FJ220-GX$169,73-GX$169+SwaptionShift):INDEX($FK$245:$ID$316,$FJ220-GX$169,72-GX$169+SwaptionMonthsToGo+SwaptionShift))/SQRT(SUM(INDEX($FK375:$ID375,1+SwaptionShift):INDEX($FK375:$ID375,SwaptionMonthsToGo+SwaptionShift))*SUM(INDEX($FK$325:$ID$396,GX$169,1+SwaptionShift):INDEX($FK$325:$ID$396,GX$169,SwaptionMonthsToGo+SwaptionShift))))))</f>
        <v/>
      </c>
      <c r="GY220" s="479" t="str">
        <f ca="1">IF(OR(GY$169&lt;SwaptionFirstMonthPosition+1,$FJ220&lt;SwaptionFirstMonthPosition+1,GY$169&gt;SwaptionFirstMonthPosition+SwaptionNumOfMonths+1,$FJ220&gt;SwaptionFirstMonthPosition+SwaptionNumOfMonths+1),"",IF($FJ220=GY$169,1,IF($FJ220&lt;GY$169,INDEX($FK$170:$ID$241,GY$169,$FJ220),SUMPRODUCT(INDEX($FK$325:$ID$396,GY$169,1+SwaptionShift):INDEX($FK$325:$ID$396,GY$169,SwaptionMonthsToGo+SwaptionShift),INDEX($FK$245:$ID$316,$FJ220-GY$169,73-GY$169+SwaptionShift):INDEX($FK$245:$ID$316,$FJ220-GY$169,72-GY$169+SwaptionMonthsToGo+SwaptionShift))/SQRT(SUM(INDEX($FK375:$ID375,1+SwaptionShift):INDEX($FK375:$ID375,SwaptionMonthsToGo+SwaptionShift))*SUM(INDEX($FK$325:$ID$396,GY$169,1+SwaptionShift):INDEX($FK$325:$ID$396,GY$169,SwaptionMonthsToGo+SwaptionShift))))))</f>
        <v/>
      </c>
      <c r="GZ220" s="479" t="str">
        <f ca="1">IF(OR(GZ$169&lt;SwaptionFirstMonthPosition+1,$FJ220&lt;SwaptionFirstMonthPosition+1,GZ$169&gt;SwaptionFirstMonthPosition+SwaptionNumOfMonths+1,$FJ220&gt;SwaptionFirstMonthPosition+SwaptionNumOfMonths+1),"",IF($FJ220=GZ$169,1,IF($FJ220&lt;GZ$169,INDEX($FK$170:$ID$241,GZ$169,$FJ220),SUMPRODUCT(INDEX($FK$325:$ID$396,GZ$169,1+SwaptionShift):INDEX($FK$325:$ID$396,GZ$169,SwaptionMonthsToGo+SwaptionShift),INDEX($FK$245:$ID$316,$FJ220-GZ$169,73-GZ$169+SwaptionShift):INDEX($FK$245:$ID$316,$FJ220-GZ$169,72-GZ$169+SwaptionMonthsToGo+SwaptionShift))/SQRT(SUM(INDEX($FK375:$ID375,1+SwaptionShift):INDEX($FK375:$ID375,SwaptionMonthsToGo+SwaptionShift))*SUM(INDEX($FK$325:$ID$396,GZ$169,1+SwaptionShift):INDEX($FK$325:$ID$396,GZ$169,SwaptionMonthsToGo+SwaptionShift))))))</f>
        <v/>
      </c>
      <c r="HA220" s="479" t="str">
        <f ca="1">IF(OR(HA$169&lt;SwaptionFirstMonthPosition+1,$FJ220&lt;SwaptionFirstMonthPosition+1,HA$169&gt;SwaptionFirstMonthPosition+SwaptionNumOfMonths+1,$FJ220&gt;SwaptionFirstMonthPosition+SwaptionNumOfMonths+1),"",IF($FJ220=HA$169,1,IF($FJ220&lt;HA$169,INDEX($FK$170:$ID$241,HA$169,$FJ220),SUMPRODUCT(INDEX($FK$325:$ID$396,HA$169,1+SwaptionShift):INDEX($FK$325:$ID$396,HA$169,SwaptionMonthsToGo+SwaptionShift),INDEX($FK$245:$ID$316,$FJ220-HA$169,73-HA$169+SwaptionShift):INDEX($FK$245:$ID$316,$FJ220-HA$169,72-HA$169+SwaptionMonthsToGo+SwaptionShift))/SQRT(SUM(INDEX($FK375:$ID375,1+SwaptionShift):INDEX($FK375:$ID375,SwaptionMonthsToGo+SwaptionShift))*SUM(INDEX($FK$325:$ID$396,HA$169,1+SwaptionShift):INDEX($FK$325:$ID$396,HA$169,SwaptionMonthsToGo+SwaptionShift))))))</f>
        <v/>
      </c>
      <c r="HB220" s="479" t="str">
        <f ca="1">IF(OR(HB$169&lt;SwaptionFirstMonthPosition+1,$FJ220&lt;SwaptionFirstMonthPosition+1,HB$169&gt;SwaptionFirstMonthPosition+SwaptionNumOfMonths+1,$FJ220&gt;SwaptionFirstMonthPosition+SwaptionNumOfMonths+1),"",IF($FJ220=HB$169,1,IF($FJ220&lt;HB$169,INDEX($FK$170:$ID$241,HB$169,$FJ220),SUMPRODUCT(INDEX($FK$325:$ID$396,HB$169,1+SwaptionShift):INDEX($FK$325:$ID$396,HB$169,SwaptionMonthsToGo+SwaptionShift),INDEX($FK$245:$ID$316,$FJ220-HB$169,73-HB$169+SwaptionShift):INDEX($FK$245:$ID$316,$FJ220-HB$169,72-HB$169+SwaptionMonthsToGo+SwaptionShift))/SQRT(SUM(INDEX($FK375:$ID375,1+SwaptionShift):INDEX($FK375:$ID375,SwaptionMonthsToGo+SwaptionShift))*SUM(INDEX($FK$325:$ID$396,HB$169,1+SwaptionShift):INDEX($FK$325:$ID$396,HB$169,SwaptionMonthsToGo+SwaptionShift))))))</f>
        <v/>
      </c>
      <c r="HC220" s="479" t="str">
        <f ca="1">IF(OR(HC$169&lt;SwaptionFirstMonthPosition+1,$FJ220&lt;SwaptionFirstMonthPosition+1,HC$169&gt;SwaptionFirstMonthPosition+SwaptionNumOfMonths+1,$FJ220&gt;SwaptionFirstMonthPosition+SwaptionNumOfMonths+1),"",IF($FJ220=HC$169,1,IF($FJ220&lt;HC$169,INDEX($FK$170:$ID$241,HC$169,$FJ220),SUMPRODUCT(INDEX($FK$325:$ID$396,HC$169,1+SwaptionShift):INDEX($FK$325:$ID$396,HC$169,SwaptionMonthsToGo+SwaptionShift),INDEX($FK$245:$ID$316,$FJ220-HC$169,73-HC$169+SwaptionShift):INDEX($FK$245:$ID$316,$FJ220-HC$169,72-HC$169+SwaptionMonthsToGo+SwaptionShift))/SQRT(SUM(INDEX($FK375:$ID375,1+SwaptionShift):INDEX($FK375:$ID375,SwaptionMonthsToGo+SwaptionShift))*SUM(INDEX($FK$325:$ID$396,HC$169,1+SwaptionShift):INDEX($FK$325:$ID$396,HC$169,SwaptionMonthsToGo+SwaptionShift))))))</f>
        <v/>
      </c>
      <c r="HD220" s="479" t="str">
        <f ca="1">IF(OR(HD$169&lt;SwaptionFirstMonthPosition+1,$FJ220&lt;SwaptionFirstMonthPosition+1,HD$169&gt;SwaptionFirstMonthPosition+SwaptionNumOfMonths+1,$FJ220&gt;SwaptionFirstMonthPosition+SwaptionNumOfMonths+1),"",IF($FJ220=HD$169,1,IF($FJ220&lt;HD$169,INDEX($FK$170:$ID$241,HD$169,$FJ220),SUMPRODUCT(INDEX($FK$325:$ID$396,HD$169,1+SwaptionShift):INDEX($FK$325:$ID$396,HD$169,SwaptionMonthsToGo+SwaptionShift),INDEX($FK$245:$ID$316,$FJ220-HD$169,73-HD$169+SwaptionShift):INDEX($FK$245:$ID$316,$FJ220-HD$169,72-HD$169+SwaptionMonthsToGo+SwaptionShift))/SQRT(SUM(INDEX($FK375:$ID375,1+SwaptionShift):INDEX($FK375:$ID375,SwaptionMonthsToGo+SwaptionShift))*SUM(INDEX($FK$325:$ID$396,HD$169,1+SwaptionShift):INDEX($FK$325:$ID$396,HD$169,SwaptionMonthsToGo+SwaptionShift))))))</f>
        <v/>
      </c>
      <c r="HE220" s="479" t="str">
        <f ca="1">IF(OR(HE$169&lt;SwaptionFirstMonthPosition+1,$FJ220&lt;SwaptionFirstMonthPosition+1,HE$169&gt;SwaptionFirstMonthPosition+SwaptionNumOfMonths+1,$FJ220&gt;SwaptionFirstMonthPosition+SwaptionNumOfMonths+1),"",IF($FJ220=HE$169,1,IF($FJ220&lt;HE$169,INDEX($FK$170:$ID$241,HE$169,$FJ220),SUMPRODUCT(INDEX($FK$325:$ID$396,HE$169,1+SwaptionShift):INDEX($FK$325:$ID$396,HE$169,SwaptionMonthsToGo+SwaptionShift),INDEX($FK$245:$ID$316,$FJ220-HE$169,73-HE$169+SwaptionShift):INDEX($FK$245:$ID$316,$FJ220-HE$169,72-HE$169+SwaptionMonthsToGo+SwaptionShift))/SQRT(SUM(INDEX($FK375:$ID375,1+SwaptionShift):INDEX($FK375:$ID375,SwaptionMonthsToGo+SwaptionShift))*SUM(INDEX($FK$325:$ID$396,HE$169,1+SwaptionShift):INDEX($FK$325:$ID$396,HE$169,SwaptionMonthsToGo+SwaptionShift))))))</f>
        <v/>
      </c>
      <c r="HF220" s="479" t="str">
        <f ca="1">IF(OR(HF$169&lt;SwaptionFirstMonthPosition+1,$FJ220&lt;SwaptionFirstMonthPosition+1,HF$169&gt;SwaptionFirstMonthPosition+SwaptionNumOfMonths+1,$FJ220&gt;SwaptionFirstMonthPosition+SwaptionNumOfMonths+1),"",IF($FJ220=HF$169,1,IF($FJ220&lt;HF$169,INDEX($FK$170:$ID$241,HF$169,$FJ220),SUMPRODUCT(INDEX($FK$325:$ID$396,HF$169,1+SwaptionShift):INDEX($FK$325:$ID$396,HF$169,SwaptionMonthsToGo+SwaptionShift),INDEX($FK$245:$ID$316,$FJ220-HF$169,73-HF$169+SwaptionShift):INDEX($FK$245:$ID$316,$FJ220-HF$169,72-HF$169+SwaptionMonthsToGo+SwaptionShift))/SQRT(SUM(INDEX($FK375:$ID375,1+SwaptionShift):INDEX($FK375:$ID375,SwaptionMonthsToGo+SwaptionShift))*SUM(INDEX($FK$325:$ID$396,HF$169,1+SwaptionShift):INDEX($FK$325:$ID$396,HF$169,SwaptionMonthsToGo+SwaptionShift))))))</f>
        <v/>
      </c>
      <c r="HG220" s="479" t="str">
        <f ca="1">IF(OR(HG$169&lt;SwaptionFirstMonthPosition+1,$FJ220&lt;SwaptionFirstMonthPosition+1,HG$169&gt;SwaptionFirstMonthPosition+SwaptionNumOfMonths+1,$FJ220&gt;SwaptionFirstMonthPosition+SwaptionNumOfMonths+1),"",IF($FJ220=HG$169,1,IF($FJ220&lt;HG$169,INDEX($FK$170:$ID$241,HG$169,$FJ220),SUMPRODUCT(INDEX($FK$325:$ID$396,HG$169,1+SwaptionShift):INDEX($FK$325:$ID$396,HG$169,SwaptionMonthsToGo+SwaptionShift),INDEX($FK$245:$ID$316,$FJ220-HG$169,73-HG$169+SwaptionShift):INDEX($FK$245:$ID$316,$FJ220-HG$169,72-HG$169+SwaptionMonthsToGo+SwaptionShift))/SQRT(SUM(INDEX($FK375:$ID375,1+SwaptionShift):INDEX($FK375:$ID375,SwaptionMonthsToGo+SwaptionShift))*SUM(INDEX($FK$325:$ID$396,HG$169,1+SwaptionShift):INDEX($FK$325:$ID$396,HG$169,SwaptionMonthsToGo+SwaptionShift))))))</f>
        <v/>
      </c>
      <c r="HH220" s="479" t="str">
        <f ca="1">IF(OR(HH$169&lt;SwaptionFirstMonthPosition+1,$FJ220&lt;SwaptionFirstMonthPosition+1,HH$169&gt;SwaptionFirstMonthPosition+SwaptionNumOfMonths+1,$FJ220&gt;SwaptionFirstMonthPosition+SwaptionNumOfMonths+1),"",IF($FJ220=HH$169,1,IF($FJ220&lt;HH$169,INDEX($FK$170:$ID$241,HH$169,$FJ220),SUMPRODUCT(INDEX($FK$325:$ID$396,HH$169,1+SwaptionShift):INDEX($FK$325:$ID$396,HH$169,SwaptionMonthsToGo+SwaptionShift),INDEX($FK$245:$ID$316,$FJ220-HH$169,73-HH$169+SwaptionShift):INDEX($FK$245:$ID$316,$FJ220-HH$169,72-HH$169+SwaptionMonthsToGo+SwaptionShift))/SQRT(SUM(INDEX($FK375:$ID375,1+SwaptionShift):INDEX($FK375:$ID375,SwaptionMonthsToGo+SwaptionShift))*SUM(INDEX($FK$325:$ID$396,HH$169,1+SwaptionShift):INDEX($FK$325:$ID$396,HH$169,SwaptionMonthsToGo+SwaptionShift))))))</f>
        <v/>
      </c>
      <c r="HI220" s="479" t="str">
        <f ca="1">IF(OR(HI$169&lt;SwaptionFirstMonthPosition+1,$FJ220&lt;SwaptionFirstMonthPosition+1,HI$169&gt;SwaptionFirstMonthPosition+SwaptionNumOfMonths+1,$FJ220&gt;SwaptionFirstMonthPosition+SwaptionNumOfMonths+1),"",IF($FJ220=HI$169,1,IF($FJ220&lt;HI$169,INDEX($FK$170:$ID$241,HI$169,$FJ220),SUMPRODUCT(INDEX($FK$325:$ID$396,HI$169,1+SwaptionShift):INDEX($FK$325:$ID$396,HI$169,SwaptionMonthsToGo+SwaptionShift),INDEX($FK$245:$ID$316,$FJ220-HI$169,73-HI$169+SwaptionShift):INDEX($FK$245:$ID$316,$FJ220-HI$169,72-HI$169+SwaptionMonthsToGo+SwaptionShift))/SQRT(SUM(INDEX($FK375:$ID375,1+SwaptionShift):INDEX($FK375:$ID375,SwaptionMonthsToGo+SwaptionShift))*SUM(INDEX($FK$325:$ID$396,HI$169,1+SwaptionShift):INDEX($FK$325:$ID$396,HI$169,SwaptionMonthsToGo+SwaptionShift))))))</f>
        <v/>
      </c>
      <c r="HJ220" s="479" t="str">
        <f ca="1">IF(OR(HJ$169&lt;SwaptionFirstMonthPosition+1,$FJ220&lt;SwaptionFirstMonthPosition+1,HJ$169&gt;SwaptionFirstMonthPosition+SwaptionNumOfMonths+1,$FJ220&gt;SwaptionFirstMonthPosition+SwaptionNumOfMonths+1),"",IF($FJ220=HJ$169,1,IF($FJ220&lt;HJ$169,INDEX($FK$170:$ID$241,HJ$169,$FJ220),SUMPRODUCT(INDEX($FK$325:$ID$396,HJ$169,1+SwaptionShift):INDEX($FK$325:$ID$396,HJ$169,SwaptionMonthsToGo+SwaptionShift),INDEX($FK$245:$ID$316,$FJ220-HJ$169,73-HJ$169+SwaptionShift):INDEX($FK$245:$ID$316,$FJ220-HJ$169,72-HJ$169+SwaptionMonthsToGo+SwaptionShift))/SQRT(SUM(INDEX($FK375:$ID375,1+SwaptionShift):INDEX($FK375:$ID375,SwaptionMonthsToGo+SwaptionShift))*SUM(INDEX($FK$325:$ID$396,HJ$169,1+SwaptionShift):INDEX($FK$325:$ID$396,HJ$169,SwaptionMonthsToGo+SwaptionShift))))))</f>
        <v/>
      </c>
      <c r="HK220" s="479" t="str">
        <f ca="1">IF(OR(HK$169&lt;SwaptionFirstMonthPosition+1,$FJ220&lt;SwaptionFirstMonthPosition+1,HK$169&gt;SwaptionFirstMonthPosition+SwaptionNumOfMonths+1,$FJ220&gt;SwaptionFirstMonthPosition+SwaptionNumOfMonths+1),"",IF($FJ220=HK$169,1,IF($FJ220&lt;HK$169,INDEX($FK$170:$ID$241,HK$169,$FJ220),SUMPRODUCT(INDEX($FK$325:$ID$396,HK$169,1+SwaptionShift):INDEX($FK$325:$ID$396,HK$169,SwaptionMonthsToGo+SwaptionShift),INDEX($FK$245:$ID$316,$FJ220-HK$169,73-HK$169+SwaptionShift):INDEX($FK$245:$ID$316,$FJ220-HK$169,72-HK$169+SwaptionMonthsToGo+SwaptionShift))/SQRT(SUM(INDEX($FK375:$ID375,1+SwaptionShift):INDEX($FK375:$ID375,SwaptionMonthsToGo+SwaptionShift))*SUM(INDEX($FK$325:$ID$396,HK$169,1+SwaptionShift):INDEX($FK$325:$ID$396,HK$169,SwaptionMonthsToGo+SwaptionShift))))))</f>
        <v/>
      </c>
      <c r="HL220" s="479" t="str">
        <f ca="1">IF(OR(HL$169&lt;SwaptionFirstMonthPosition+1,$FJ220&lt;SwaptionFirstMonthPosition+1,HL$169&gt;SwaptionFirstMonthPosition+SwaptionNumOfMonths+1,$FJ220&gt;SwaptionFirstMonthPosition+SwaptionNumOfMonths+1),"",IF($FJ220=HL$169,1,IF($FJ220&lt;HL$169,INDEX($FK$170:$ID$241,HL$169,$FJ220),SUMPRODUCT(INDEX($FK$325:$ID$396,HL$169,1+SwaptionShift):INDEX($FK$325:$ID$396,HL$169,SwaptionMonthsToGo+SwaptionShift),INDEX($FK$245:$ID$316,$FJ220-HL$169,73-HL$169+SwaptionShift):INDEX($FK$245:$ID$316,$FJ220-HL$169,72-HL$169+SwaptionMonthsToGo+SwaptionShift))/SQRT(SUM(INDEX($FK375:$ID375,1+SwaptionShift):INDEX($FK375:$ID375,SwaptionMonthsToGo+SwaptionShift))*SUM(INDEX($FK$325:$ID$396,HL$169,1+SwaptionShift):INDEX($FK$325:$ID$396,HL$169,SwaptionMonthsToGo+SwaptionShift))))))</f>
        <v/>
      </c>
      <c r="HM220" s="479" t="str">
        <f ca="1">IF(OR(HM$169&lt;SwaptionFirstMonthPosition+1,$FJ220&lt;SwaptionFirstMonthPosition+1,HM$169&gt;SwaptionFirstMonthPosition+SwaptionNumOfMonths+1,$FJ220&gt;SwaptionFirstMonthPosition+SwaptionNumOfMonths+1),"",IF($FJ220=HM$169,1,IF($FJ220&lt;HM$169,INDEX($FK$170:$ID$241,HM$169,$FJ220),SUMPRODUCT(INDEX($FK$325:$ID$396,HM$169,1+SwaptionShift):INDEX($FK$325:$ID$396,HM$169,SwaptionMonthsToGo+SwaptionShift),INDEX($FK$245:$ID$316,$FJ220-HM$169,73-HM$169+SwaptionShift):INDEX($FK$245:$ID$316,$FJ220-HM$169,72-HM$169+SwaptionMonthsToGo+SwaptionShift))/SQRT(SUM(INDEX($FK375:$ID375,1+SwaptionShift):INDEX($FK375:$ID375,SwaptionMonthsToGo+SwaptionShift))*SUM(INDEX($FK$325:$ID$396,HM$169,1+SwaptionShift):INDEX($FK$325:$ID$396,HM$169,SwaptionMonthsToGo+SwaptionShift))))))</f>
        <v/>
      </c>
      <c r="HN220" s="479" t="str">
        <f ca="1">IF(OR(HN$169&lt;SwaptionFirstMonthPosition+1,$FJ220&lt;SwaptionFirstMonthPosition+1,HN$169&gt;SwaptionFirstMonthPosition+SwaptionNumOfMonths+1,$FJ220&gt;SwaptionFirstMonthPosition+SwaptionNumOfMonths+1),"",IF($FJ220=HN$169,1,IF($FJ220&lt;HN$169,INDEX($FK$170:$ID$241,HN$169,$FJ220),SUMPRODUCT(INDEX($FK$325:$ID$396,HN$169,1+SwaptionShift):INDEX($FK$325:$ID$396,HN$169,SwaptionMonthsToGo+SwaptionShift),INDEX($FK$245:$ID$316,$FJ220-HN$169,73-HN$169+SwaptionShift):INDEX($FK$245:$ID$316,$FJ220-HN$169,72-HN$169+SwaptionMonthsToGo+SwaptionShift))/SQRT(SUM(INDEX($FK375:$ID375,1+SwaptionShift):INDEX($FK375:$ID375,SwaptionMonthsToGo+SwaptionShift))*SUM(INDEX($FK$325:$ID$396,HN$169,1+SwaptionShift):INDEX($FK$325:$ID$396,HN$169,SwaptionMonthsToGo+SwaptionShift))))))</f>
        <v/>
      </c>
      <c r="HO220" s="479" t="str">
        <f ca="1">IF(OR(HO$169&lt;SwaptionFirstMonthPosition+1,$FJ220&lt;SwaptionFirstMonthPosition+1,HO$169&gt;SwaptionFirstMonthPosition+SwaptionNumOfMonths+1,$FJ220&gt;SwaptionFirstMonthPosition+SwaptionNumOfMonths+1),"",IF($FJ220=HO$169,1,IF($FJ220&lt;HO$169,INDEX($FK$170:$ID$241,HO$169,$FJ220),SUMPRODUCT(INDEX($FK$325:$ID$396,HO$169,1+SwaptionShift):INDEX($FK$325:$ID$396,HO$169,SwaptionMonthsToGo+SwaptionShift),INDEX($FK$245:$ID$316,$FJ220-HO$169,73-HO$169+SwaptionShift):INDEX($FK$245:$ID$316,$FJ220-HO$169,72-HO$169+SwaptionMonthsToGo+SwaptionShift))/SQRT(SUM(INDEX($FK375:$ID375,1+SwaptionShift):INDEX($FK375:$ID375,SwaptionMonthsToGo+SwaptionShift))*SUM(INDEX($FK$325:$ID$396,HO$169,1+SwaptionShift):INDEX($FK$325:$ID$396,HO$169,SwaptionMonthsToGo+SwaptionShift))))))</f>
        <v/>
      </c>
      <c r="HP220" s="479" t="str">
        <f ca="1">IF(OR(HP$169&lt;SwaptionFirstMonthPosition+1,$FJ220&lt;SwaptionFirstMonthPosition+1,HP$169&gt;SwaptionFirstMonthPosition+SwaptionNumOfMonths+1,$FJ220&gt;SwaptionFirstMonthPosition+SwaptionNumOfMonths+1),"",IF($FJ220=HP$169,1,IF($FJ220&lt;HP$169,INDEX($FK$170:$ID$241,HP$169,$FJ220),SUMPRODUCT(INDEX($FK$325:$ID$396,HP$169,1+SwaptionShift):INDEX($FK$325:$ID$396,HP$169,SwaptionMonthsToGo+SwaptionShift),INDEX($FK$245:$ID$316,$FJ220-HP$169,73-HP$169+SwaptionShift):INDEX($FK$245:$ID$316,$FJ220-HP$169,72-HP$169+SwaptionMonthsToGo+SwaptionShift))/SQRT(SUM(INDEX($FK375:$ID375,1+SwaptionShift):INDEX($FK375:$ID375,SwaptionMonthsToGo+SwaptionShift))*SUM(INDEX($FK$325:$ID$396,HP$169,1+SwaptionShift):INDEX($FK$325:$ID$396,HP$169,SwaptionMonthsToGo+SwaptionShift))))))</f>
        <v/>
      </c>
      <c r="HQ220" s="479" t="str">
        <f ca="1">IF(OR(HQ$169&lt;SwaptionFirstMonthPosition+1,$FJ220&lt;SwaptionFirstMonthPosition+1,HQ$169&gt;SwaptionFirstMonthPosition+SwaptionNumOfMonths+1,$FJ220&gt;SwaptionFirstMonthPosition+SwaptionNumOfMonths+1),"",IF($FJ220=HQ$169,1,IF($FJ220&lt;HQ$169,INDEX($FK$170:$ID$241,HQ$169,$FJ220),SUMPRODUCT(INDEX($FK$325:$ID$396,HQ$169,1+SwaptionShift):INDEX($FK$325:$ID$396,HQ$169,SwaptionMonthsToGo+SwaptionShift),INDEX($FK$245:$ID$316,$FJ220-HQ$169,73-HQ$169+SwaptionShift):INDEX($FK$245:$ID$316,$FJ220-HQ$169,72-HQ$169+SwaptionMonthsToGo+SwaptionShift))/SQRT(SUM(INDEX($FK375:$ID375,1+SwaptionShift):INDEX($FK375:$ID375,SwaptionMonthsToGo+SwaptionShift))*SUM(INDEX($FK$325:$ID$396,HQ$169,1+SwaptionShift):INDEX($FK$325:$ID$396,HQ$169,SwaptionMonthsToGo+SwaptionShift))))))</f>
        <v/>
      </c>
      <c r="HR220" s="479" t="str">
        <f ca="1">IF(OR(HR$169&lt;SwaptionFirstMonthPosition+1,$FJ220&lt;SwaptionFirstMonthPosition+1,HR$169&gt;SwaptionFirstMonthPosition+SwaptionNumOfMonths+1,$FJ220&gt;SwaptionFirstMonthPosition+SwaptionNumOfMonths+1),"",IF($FJ220=HR$169,1,IF($FJ220&lt;HR$169,INDEX($FK$170:$ID$241,HR$169,$FJ220),SUMPRODUCT(INDEX($FK$325:$ID$396,HR$169,1+SwaptionShift):INDEX($FK$325:$ID$396,HR$169,SwaptionMonthsToGo+SwaptionShift),INDEX($FK$245:$ID$316,$FJ220-HR$169,73-HR$169+SwaptionShift):INDEX($FK$245:$ID$316,$FJ220-HR$169,72-HR$169+SwaptionMonthsToGo+SwaptionShift))/SQRT(SUM(INDEX($FK375:$ID375,1+SwaptionShift):INDEX($FK375:$ID375,SwaptionMonthsToGo+SwaptionShift))*SUM(INDEX($FK$325:$ID$396,HR$169,1+SwaptionShift):INDEX($FK$325:$ID$396,HR$169,SwaptionMonthsToGo+SwaptionShift))))))</f>
        <v/>
      </c>
      <c r="HS220" s="479" t="str">
        <f ca="1">IF(OR(HS$169&lt;SwaptionFirstMonthPosition+1,$FJ220&lt;SwaptionFirstMonthPosition+1,HS$169&gt;SwaptionFirstMonthPosition+SwaptionNumOfMonths+1,$FJ220&gt;SwaptionFirstMonthPosition+SwaptionNumOfMonths+1),"",IF($FJ220=HS$169,1,IF($FJ220&lt;HS$169,INDEX($FK$170:$ID$241,HS$169,$FJ220),SUMPRODUCT(INDEX($FK$325:$ID$396,HS$169,1+SwaptionShift):INDEX($FK$325:$ID$396,HS$169,SwaptionMonthsToGo+SwaptionShift),INDEX($FK$245:$ID$316,$FJ220-HS$169,73-HS$169+SwaptionShift):INDEX($FK$245:$ID$316,$FJ220-HS$169,72-HS$169+SwaptionMonthsToGo+SwaptionShift))/SQRT(SUM(INDEX($FK375:$ID375,1+SwaptionShift):INDEX($FK375:$ID375,SwaptionMonthsToGo+SwaptionShift))*SUM(INDEX($FK$325:$ID$396,HS$169,1+SwaptionShift):INDEX($FK$325:$ID$396,HS$169,SwaptionMonthsToGo+SwaptionShift))))))</f>
        <v/>
      </c>
      <c r="HT220" s="479" t="str">
        <f ca="1">IF(OR(HT$169&lt;SwaptionFirstMonthPosition+1,$FJ220&lt;SwaptionFirstMonthPosition+1,HT$169&gt;SwaptionFirstMonthPosition+SwaptionNumOfMonths+1,$FJ220&gt;SwaptionFirstMonthPosition+SwaptionNumOfMonths+1),"",IF($FJ220=HT$169,1,IF($FJ220&lt;HT$169,INDEX($FK$170:$ID$241,HT$169,$FJ220),SUMPRODUCT(INDEX($FK$325:$ID$396,HT$169,1+SwaptionShift):INDEX($FK$325:$ID$396,HT$169,SwaptionMonthsToGo+SwaptionShift),INDEX($FK$245:$ID$316,$FJ220-HT$169,73-HT$169+SwaptionShift):INDEX($FK$245:$ID$316,$FJ220-HT$169,72-HT$169+SwaptionMonthsToGo+SwaptionShift))/SQRT(SUM(INDEX($FK375:$ID375,1+SwaptionShift):INDEX($FK375:$ID375,SwaptionMonthsToGo+SwaptionShift))*SUM(INDEX($FK$325:$ID$396,HT$169,1+SwaptionShift):INDEX($FK$325:$ID$396,HT$169,SwaptionMonthsToGo+SwaptionShift))))))</f>
        <v/>
      </c>
      <c r="HU220" s="479" t="str">
        <f ca="1">IF(OR(HU$169&lt;SwaptionFirstMonthPosition+1,$FJ220&lt;SwaptionFirstMonthPosition+1,HU$169&gt;SwaptionFirstMonthPosition+SwaptionNumOfMonths+1,$FJ220&gt;SwaptionFirstMonthPosition+SwaptionNumOfMonths+1),"",IF($FJ220=HU$169,1,IF($FJ220&lt;HU$169,INDEX($FK$170:$ID$241,HU$169,$FJ220),SUMPRODUCT(INDEX($FK$325:$ID$396,HU$169,1+SwaptionShift):INDEX($FK$325:$ID$396,HU$169,SwaptionMonthsToGo+SwaptionShift),INDEX($FK$245:$ID$316,$FJ220-HU$169,73-HU$169+SwaptionShift):INDEX($FK$245:$ID$316,$FJ220-HU$169,72-HU$169+SwaptionMonthsToGo+SwaptionShift))/SQRT(SUM(INDEX($FK375:$ID375,1+SwaptionShift):INDEX($FK375:$ID375,SwaptionMonthsToGo+SwaptionShift))*SUM(INDEX($FK$325:$ID$396,HU$169,1+SwaptionShift):INDEX($FK$325:$ID$396,HU$169,SwaptionMonthsToGo+SwaptionShift))))))</f>
        <v/>
      </c>
      <c r="HV220" s="479" t="str">
        <f ca="1">IF(OR(HV$169&lt;SwaptionFirstMonthPosition+1,$FJ220&lt;SwaptionFirstMonthPosition+1,HV$169&gt;SwaptionFirstMonthPosition+SwaptionNumOfMonths+1,$FJ220&gt;SwaptionFirstMonthPosition+SwaptionNumOfMonths+1),"",IF($FJ220=HV$169,1,IF($FJ220&lt;HV$169,INDEX($FK$170:$ID$241,HV$169,$FJ220),SUMPRODUCT(INDEX($FK$325:$ID$396,HV$169,1+SwaptionShift):INDEX($FK$325:$ID$396,HV$169,SwaptionMonthsToGo+SwaptionShift),INDEX($FK$245:$ID$316,$FJ220-HV$169,73-HV$169+SwaptionShift):INDEX($FK$245:$ID$316,$FJ220-HV$169,72-HV$169+SwaptionMonthsToGo+SwaptionShift))/SQRT(SUM(INDEX($FK375:$ID375,1+SwaptionShift):INDEX($FK375:$ID375,SwaptionMonthsToGo+SwaptionShift))*SUM(INDEX($FK$325:$ID$396,HV$169,1+SwaptionShift):INDEX($FK$325:$ID$396,HV$169,SwaptionMonthsToGo+SwaptionShift))))))</f>
        <v/>
      </c>
      <c r="HW220" s="479" t="str">
        <f ca="1">IF(OR(HW$169&lt;SwaptionFirstMonthPosition+1,$FJ220&lt;SwaptionFirstMonthPosition+1,HW$169&gt;SwaptionFirstMonthPosition+SwaptionNumOfMonths+1,$FJ220&gt;SwaptionFirstMonthPosition+SwaptionNumOfMonths+1),"",IF($FJ220=HW$169,1,IF($FJ220&lt;HW$169,INDEX($FK$170:$ID$241,HW$169,$FJ220),SUMPRODUCT(INDEX($FK$325:$ID$396,HW$169,1+SwaptionShift):INDEX($FK$325:$ID$396,HW$169,SwaptionMonthsToGo+SwaptionShift),INDEX($FK$245:$ID$316,$FJ220-HW$169,73-HW$169+SwaptionShift):INDEX($FK$245:$ID$316,$FJ220-HW$169,72-HW$169+SwaptionMonthsToGo+SwaptionShift))/SQRT(SUM(INDEX($FK375:$ID375,1+SwaptionShift):INDEX($FK375:$ID375,SwaptionMonthsToGo+SwaptionShift))*SUM(INDEX($FK$325:$ID$396,HW$169,1+SwaptionShift):INDEX($FK$325:$ID$396,HW$169,SwaptionMonthsToGo+SwaptionShift))))))</f>
        <v/>
      </c>
      <c r="HX220" s="479" t="str">
        <f ca="1">IF(OR(HX$169&lt;SwaptionFirstMonthPosition+1,$FJ220&lt;SwaptionFirstMonthPosition+1,HX$169&gt;SwaptionFirstMonthPosition+SwaptionNumOfMonths+1,$FJ220&gt;SwaptionFirstMonthPosition+SwaptionNumOfMonths+1),"",IF($FJ220=HX$169,1,IF($FJ220&lt;HX$169,INDEX($FK$170:$ID$241,HX$169,$FJ220),SUMPRODUCT(INDEX($FK$325:$ID$396,HX$169,1+SwaptionShift):INDEX($FK$325:$ID$396,HX$169,SwaptionMonthsToGo+SwaptionShift),INDEX($FK$245:$ID$316,$FJ220-HX$169,73-HX$169+SwaptionShift):INDEX($FK$245:$ID$316,$FJ220-HX$169,72-HX$169+SwaptionMonthsToGo+SwaptionShift))/SQRT(SUM(INDEX($FK375:$ID375,1+SwaptionShift):INDEX($FK375:$ID375,SwaptionMonthsToGo+SwaptionShift))*SUM(INDEX($FK$325:$ID$396,HX$169,1+SwaptionShift):INDEX($FK$325:$ID$396,HX$169,SwaptionMonthsToGo+SwaptionShift))))))</f>
        <v/>
      </c>
      <c r="HY220" s="479" t="str">
        <f ca="1">IF(OR(HY$169&lt;SwaptionFirstMonthPosition+1,$FJ220&lt;SwaptionFirstMonthPosition+1,HY$169&gt;SwaptionFirstMonthPosition+SwaptionNumOfMonths+1,$FJ220&gt;SwaptionFirstMonthPosition+SwaptionNumOfMonths+1),"",IF($FJ220=HY$169,1,IF($FJ220&lt;HY$169,INDEX($FK$170:$ID$241,HY$169,$FJ220),SUMPRODUCT(INDEX($FK$325:$ID$396,HY$169,1+SwaptionShift):INDEX($FK$325:$ID$396,HY$169,SwaptionMonthsToGo+SwaptionShift),INDEX($FK$245:$ID$316,$FJ220-HY$169,73-HY$169+SwaptionShift):INDEX($FK$245:$ID$316,$FJ220-HY$169,72-HY$169+SwaptionMonthsToGo+SwaptionShift))/SQRT(SUM(INDEX($FK375:$ID375,1+SwaptionShift):INDEX($FK375:$ID375,SwaptionMonthsToGo+SwaptionShift))*SUM(INDEX($FK$325:$ID$396,HY$169,1+SwaptionShift):INDEX($FK$325:$ID$396,HY$169,SwaptionMonthsToGo+SwaptionShift))))))</f>
        <v/>
      </c>
      <c r="HZ220" s="479" t="str">
        <f ca="1">IF(OR(HZ$169&lt;SwaptionFirstMonthPosition+1,$FJ220&lt;SwaptionFirstMonthPosition+1,HZ$169&gt;SwaptionFirstMonthPosition+SwaptionNumOfMonths+1,$FJ220&gt;SwaptionFirstMonthPosition+SwaptionNumOfMonths+1),"",IF($FJ220=HZ$169,1,IF($FJ220&lt;HZ$169,INDEX($FK$170:$ID$241,HZ$169,$FJ220),SUMPRODUCT(INDEX($FK$325:$ID$396,HZ$169,1+SwaptionShift):INDEX($FK$325:$ID$396,HZ$169,SwaptionMonthsToGo+SwaptionShift),INDEX($FK$245:$ID$316,$FJ220-HZ$169,73-HZ$169+SwaptionShift):INDEX($FK$245:$ID$316,$FJ220-HZ$169,72-HZ$169+SwaptionMonthsToGo+SwaptionShift))/SQRT(SUM(INDEX($FK375:$ID375,1+SwaptionShift):INDEX($FK375:$ID375,SwaptionMonthsToGo+SwaptionShift))*SUM(INDEX($FK$325:$ID$396,HZ$169,1+SwaptionShift):INDEX($FK$325:$ID$396,HZ$169,SwaptionMonthsToGo+SwaptionShift))))))</f>
        <v/>
      </c>
      <c r="IA220" s="479" t="str">
        <f ca="1">IF(OR(IA$169&lt;SwaptionFirstMonthPosition+1,$FJ220&lt;SwaptionFirstMonthPosition+1,IA$169&gt;SwaptionFirstMonthPosition+SwaptionNumOfMonths+1,$FJ220&gt;SwaptionFirstMonthPosition+SwaptionNumOfMonths+1),"",IF($FJ220=IA$169,1,IF($FJ220&lt;IA$169,INDEX($FK$170:$ID$241,IA$169,$FJ220),SUMPRODUCT(INDEX($FK$325:$ID$396,IA$169,1+SwaptionShift):INDEX($FK$325:$ID$396,IA$169,SwaptionMonthsToGo+SwaptionShift),INDEX($FK$245:$ID$316,$FJ220-IA$169,73-IA$169+SwaptionShift):INDEX($FK$245:$ID$316,$FJ220-IA$169,72-IA$169+SwaptionMonthsToGo+SwaptionShift))/SQRT(SUM(INDEX($FK375:$ID375,1+SwaptionShift):INDEX($FK375:$ID375,SwaptionMonthsToGo+SwaptionShift))*SUM(INDEX($FK$325:$ID$396,IA$169,1+SwaptionShift):INDEX($FK$325:$ID$396,IA$169,SwaptionMonthsToGo+SwaptionShift))))))</f>
        <v/>
      </c>
      <c r="IB220" s="479" t="str">
        <f ca="1">IF(OR(IB$169&lt;SwaptionFirstMonthPosition+1,$FJ220&lt;SwaptionFirstMonthPosition+1,IB$169&gt;SwaptionFirstMonthPosition+SwaptionNumOfMonths+1,$FJ220&gt;SwaptionFirstMonthPosition+SwaptionNumOfMonths+1),"",IF($FJ220=IB$169,1,IF($FJ220&lt;IB$169,INDEX($FK$170:$ID$241,IB$169,$FJ220),SUMPRODUCT(INDEX($FK$325:$ID$396,IB$169,1+SwaptionShift):INDEX($FK$325:$ID$396,IB$169,SwaptionMonthsToGo+SwaptionShift),INDEX($FK$245:$ID$316,$FJ220-IB$169,73-IB$169+SwaptionShift):INDEX($FK$245:$ID$316,$FJ220-IB$169,72-IB$169+SwaptionMonthsToGo+SwaptionShift))/SQRT(SUM(INDEX($FK375:$ID375,1+SwaptionShift):INDEX($FK375:$ID375,SwaptionMonthsToGo+SwaptionShift))*SUM(INDEX($FK$325:$ID$396,IB$169,1+SwaptionShift):INDEX($FK$325:$ID$396,IB$169,SwaptionMonthsToGo+SwaptionShift))))))</f>
        <v/>
      </c>
      <c r="IC220" s="479" t="str">
        <f ca="1">IF(OR(IC$169&lt;SwaptionFirstMonthPosition+1,$FJ220&lt;SwaptionFirstMonthPosition+1,IC$169&gt;SwaptionFirstMonthPosition+SwaptionNumOfMonths+1,$FJ220&gt;SwaptionFirstMonthPosition+SwaptionNumOfMonths+1),"",IF($FJ220=IC$169,1,IF($FJ220&lt;IC$169,INDEX($FK$170:$ID$241,IC$169,$FJ220),SUMPRODUCT(INDEX($FK$325:$ID$396,IC$169,1+SwaptionShift):INDEX($FK$325:$ID$396,IC$169,SwaptionMonthsToGo+SwaptionShift),INDEX($FK$245:$ID$316,$FJ220-IC$169,73-IC$169+SwaptionShift):INDEX($FK$245:$ID$316,$FJ220-IC$169,72-IC$169+SwaptionMonthsToGo+SwaptionShift))/SQRT(SUM(INDEX($FK375:$ID375,1+SwaptionShift):INDEX($FK375:$ID375,SwaptionMonthsToGo+SwaptionShift))*SUM(INDEX($FK$325:$ID$396,IC$169,1+SwaptionShift):INDEX($FK$325:$ID$396,IC$169,SwaptionMonthsToGo+SwaptionShift))))))</f>
        <v/>
      </c>
      <c r="ID220" s="678" t="str">
        <f ca="1">IF(OR(ID$169&lt;SwaptionFirstMonthPosition+1,$FJ220&lt;SwaptionFirstMonthPosition+1,ID$169&gt;SwaptionFirstMonthPosition+SwaptionNumOfMonths+1,$FJ220&gt;SwaptionFirstMonthPosition+SwaptionNumOfMonths+1),"",IF($FJ220=ID$169,1,IF($FJ220&lt;ID$169,INDEX($FK$170:$ID$241,ID$169,$FJ220),SUMPRODUCT(INDEX($FK$325:$ID$396,ID$169,1+SwaptionShift):INDEX($FK$325:$ID$396,ID$169,SwaptionMonthsToGo+SwaptionShift),INDEX($FK$245:$ID$316,$FJ220-ID$169,73-ID$169+SwaptionShift):INDEX($FK$245:$ID$316,$FJ220-ID$169,72-ID$169+SwaptionMonthsToGo+SwaptionShift))/SQRT(SUM(INDEX($FK375:$ID375,1+SwaptionShift):INDEX($FK375:$ID375,SwaptionMonthsToGo+SwaptionShift))*SUM(INDEX($FK$325:$ID$396,ID$169,1+SwaptionShift):INDEX($FK$325:$ID$396,ID$169,SwaptionMonthsToGo+SwaptionShift))))))</f>
        <v/>
      </c>
      <c r="IE220" s="250"/>
    </row>
    <row r="221" spans="8:239">
      <c r="H221" s="51">
        <f t="shared" ca="1" si="646"/>
        <v>0</v>
      </c>
      <c r="I221" s="379">
        <f t="shared" si="647"/>
        <v>42887</v>
      </c>
      <c r="J221" s="377"/>
      <c r="K221" s="104" t="s">
        <v>268</v>
      </c>
      <c r="L221" s="392">
        <f t="shared" si="648"/>
        <v>4.6875</v>
      </c>
      <c r="M221" s="171"/>
      <c r="N221" s="382">
        <v>0</v>
      </c>
      <c r="O221" s="171">
        <f t="shared" si="596"/>
        <v>0</v>
      </c>
      <c r="P221" s="377"/>
      <c r="Q221" s="104" t="s">
        <v>268</v>
      </c>
      <c r="R221" s="377">
        <f t="shared" ca="1" si="597"/>
        <v>3.2530637191374412</v>
      </c>
      <c r="S221" s="832">
        <f t="shared" si="564"/>
        <v>0.3600000000000001</v>
      </c>
      <c r="T221" s="831">
        <f t="shared" si="661"/>
        <v>0.99999999999999756</v>
      </c>
      <c r="U221" s="545">
        <f t="shared" si="662"/>
        <v>0.99999999999999978</v>
      </c>
      <c r="V221" s="389">
        <v>0</v>
      </c>
      <c r="W221" s="434">
        <f t="shared" si="598"/>
        <v>0</v>
      </c>
      <c r="X221" s="415">
        <f t="shared" si="599"/>
        <v>4.7386363636363633</v>
      </c>
      <c r="Y221" s="322">
        <f t="shared" si="600"/>
        <v>-1.2915000000000001</v>
      </c>
      <c r="Z221" s="322">
        <f t="shared" ca="1" si="601"/>
        <v>3.4471363636363632</v>
      </c>
      <c r="AA221" s="429">
        <f t="shared" si="628"/>
        <v>1.2915000000000001</v>
      </c>
      <c r="AB221" s="433">
        <f t="shared" ca="1" si="629"/>
        <v>1.2915000000000001</v>
      </c>
      <c r="AC221" s="229">
        <v>42875</v>
      </c>
      <c r="AD221" s="229">
        <v>42871</v>
      </c>
      <c r="AE221" s="229">
        <v>42870</v>
      </c>
      <c r="AF221" s="229">
        <v>42866</v>
      </c>
      <c r="AG221" s="249" t="s">
        <v>499</v>
      </c>
      <c r="AH221" s="247" t="s">
        <v>499</v>
      </c>
      <c r="AI221" s="146">
        <v>22</v>
      </c>
      <c r="AJ221" s="41">
        <v>14</v>
      </c>
      <c r="AK221" s="41">
        <v>8</v>
      </c>
      <c r="AL221" s="293">
        <v>22</v>
      </c>
      <c r="AM221" s="41">
        <v>10</v>
      </c>
      <c r="AN221" s="147">
        <v>12</v>
      </c>
      <c r="AO221" s="374"/>
      <c r="AP221" s="153">
        <f t="shared" ca="1" si="649"/>
        <v>1</v>
      </c>
      <c r="AQ221" s="374"/>
      <c r="AR221" s="153">
        <f t="shared" ca="1" si="663"/>
        <v>1</v>
      </c>
      <c r="AS221" s="272">
        <f t="shared" si="602"/>
        <v>0</v>
      </c>
      <c r="AT221" s="157">
        <f t="shared" si="650"/>
        <v>0</v>
      </c>
      <c r="AU221" s="157">
        <f t="shared" si="630"/>
        <v>0</v>
      </c>
      <c r="AV221" s="271">
        <f t="shared" ca="1" si="670"/>
        <v>9.9999999999999995E-7</v>
      </c>
      <c r="AW221" s="158" t="str">
        <f t="shared" ca="1" si="583"/>
        <v/>
      </c>
      <c r="AX221" s="157">
        <f t="shared" ca="1" si="664"/>
        <v>2.8763748502688316E-5</v>
      </c>
      <c r="AY221" s="157">
        <f t="shared" ca="1" si="665"/>
        <v>5.8273992045763191E-6</v>
      </c>
      <c r="AZ221" s="157">
        <f t="shared" ca="1" si="666"/>
        <v>1.3260698990593959E-7</v>
      </c>
      <c r="BA221" s="157">
        <f t="shared" ca="1" si="667"/>
        <v>1.6575873738242449E-8</v>
      </c>
      <c r="BB221" s="157">
        <f t="shared" ca="1" si="668"/>
        <v>3.9732021951589796E-11</v>
      </c>
      <c r="BC221" s="157">
        <f t="shared" ca="1" si="669"/>
        <v>5.4951918037224121E-13</v>
      </c>
      <c r="BD221" s="151">
        <f t="shared" ca="1" si="603"/>
        <v>0</v>
      </c>
      <c r="BE221" s="152">
        <f t="shared" ca="1" si="604"/>
        <v>0</v>
      </c>
      <c r="BF221" s="40">
        <f t="shared" si="605"/>
        <v>2017</v>
      </c>
      <c r="BG221" s="144">
        <f t="shared" si="606"/>
        <v>6</v>
      </c>
      <c r="BH221" s="145">
        <f t="shared" ca="1" si="607"/>
        <v>6126</v>
      </c>
      <c r="BI221" s="313">
        <f t="shared" ca="1" si="608"/>
        <v>16.815879534565365</v>
      </c>
      <c r="BJ221" s="42">
        <f t="shared" ca="1" si="631"/>
        <v>16.866405326364259</v>
      </c>
      <c r="BK221" s="42">
        <f t="shared" ca="1" si="632"/>
        <v>16.86914317715139</v>
      </c>
      <c r="BL221" s="42">
        <f t="shared" ca="1" si="609"/>
        <v>16.895277207392198</v>
      </c>
      <c r="BM221" s="150" t="e">
        <f t="shared" ca="1" si="633"/>
        <v>#DIV/0!</v>
      </c>
      <c r="BN221" s="42" t="e">
        <f t="shared" ca="1" si="634"/>
        <v>#DIV/0!</v>
      </c>
      <c r="BO221" s="293">
        <f t="shared" si="610"/>
        <v>22</v>
      </c>
      <c r="BP221" s="41">
        <f t="shared" si="611"/>
        <v>14</v>
      </c>
      <c r="BQ221" s="41">
        <f t="shared" si="612"/>
        <v>8</v>
      </c>
      <c r="BR221" s="305" t="str">
        <f t="shared" ca="1" si="635"/>
        <v/>
      </c>
      <c r="BS221" s="305" t="str">
        <f t="shared" ca="1" si="613"/>
        <v/>
      </c>
      <c r="BT221" s="307" t="str">
        <f t="shared" ca="1" si="614"/>
        <v/>
      </c>
      <c r="BU221" s="161" t="str">
        <f t="shared" ca="1" si="636"/>
        <v/>
      </c>
      <c r="BV221" s="161" t="str">
        <f t="shared" ca="1" si="637"/>
        <v/>
      </c>
      <c r="BW221" s="308" t="str">
        <f t="shared" ca="1" si="638"/>
        <v/>
      </c>
      <c r="BX221" s="309" t="str">
        <f t="shared" ca="1" si="639"/>
        <v/>
      </c>
      <c r="BY221" s="308" t="str">
        <f t="shared" ca="1" si="615"/>
        <v/>
      </c>
      <c r="BZ221" s="309" t="str">
        <f t="shared" ca="1" si="616"/>
        <v/>
      </c>
      <c r="CA221" s="154" t="str">
        <f t="shared" ca="1" si="640"/>
        <v/>
      </c>
      <c r="CB221" s="154" t="str">
        <f t="shared" ca="1" si="641"/>
        <v/>
      </c>
      <c r="CC221" s="154" t="str">
        <f t="shared" ca="1" si="642"/>
        <v/>
      </c>
      <c r="CD221" s="154" t="str">
        <f t="shared" ca="1" si="643"/>
        <v/>
      </c>
      <c r="CE221" s="310">
        <v>1</v>
      </c>
      <c r="CF221" s="162">
        <f ca="1">IF(BD221,_xll.xCrudeAPO(BU221,BV221,CA221,CB221,S222,S223,BI221,BL221,BP221,BQ221,0,Strike1,AO221,CE221,0,BL221,IF(OptControl=4,0,1),0,1),0)</f>
        <v>0</v>
      </c>
      <c r="CG221" s="163">
        <f ca="1">IF(BD221,_xll.xCrudeAPO(BU221,BV221,CA221,CB221,S222,S223,BI221,BL221,BP221,BQ221,0,Strike1,AO221,CE221,0,BL221,IF(OptControl=4,0,1),1,1)+_xll.xCrudeAPO(BU221,BV221,CA221,CB221,S222,S223,BI221,BL221,BP221,BQ221,0,Strike1,AO221,CE221,0,BL221,IF(OptControl=4,0,1),1,2)+IF(OR(VolSkewFlag=2,ABS(BS221)&lt;0.0001),0,IF(BS221&gt;0,-1,1)*CH221*Strike1/BR221^2*BY221/10%),0)</f>
        <v>0</v>
      </c>
      <c r="CH221" s="163">
        <f ca="1">IF(BD221,(_xll.xCrudeAPO(BU221,BV221,CA221,CB221,S222,S223,BI221,BL221,BP221,BQ221,0,Strike1,AO221,CE221,0,BL221,IF(OptControl=4,0,1),3,1)+_xll.xCrudeAPO(BU221,BV221,CA221,CB221,S222,S223,BI221,BL221,BP221,BQ221,0,Strike1,AO221,CE221,0,BL221,IF(OptControl=4,0,1),3,2))/100,0)</f>
        <v>0</v>
      </c>
      <c r="CI221" s="163">
        <f ca="1">IF(BD221,_xll.xCrudeAPO(BU221,BV221,CA221,CB221,S222,S223,BI221-DaysForThetaCalculation/365.25,BL221-DaysForThetaCalculation/365.25,BP221,BQ221,0,Strike1,AO221,CE221,0,BL221,IF(OptControl=4,0,1),0,1)-_xll.xCrudeAPO(BU221,BV221,CA221,CB221,S222,S223,BI221,BL221,BP221,BQ221,0,Strike1,AO221,CE221,0,BL221,IF(OptControl=4,0,1),0,1),0)</f>
        <v>0</v>
      </c>
      <c r="CJ221" s="311">
        <f ca="1">IF(BD221,_xll.xCrudeAPO(BU221,BV221,CC221,CD221,S222,S223,BI221,BL221,BP221,BQ221,0,Strike2,AO221,CE221,0,BL221,IF(OptControl=3,1,0),0,1),0)</f>
        <v>0</v>
      </c>
      <c r="CK221" s="163">
        <f ca="1">IF(BD221,_xll.xCrudeAPO(BU221,BV221,CC221,CD221,S222,S223,BI221,BL221,BP221,BQ221,0,Strike2,AO221,CE221,0,BL221,IF(OptControl=3,1,0),1,1)+_xll.xCrudeAPO(BU221,BV221,CC221,CD221,S222,S223,BI221,BL221,BP221,BQ221,0,Strike2,AO221,CE221,0,BL221,IF(OptControl=3,1,0),1,2)+IF(OR(VolSkewFlag=2,ABS(BT221)&lt;0.0001),0,IF(BT221&gt;0,-1,1)*CL221*Strike2/BR221^2*BZ221/10%),0)</f>
        <v>0</v>
      </c>
      <c r="CL221" s="163">
        <f ca="1">IF(BD221,(_xll.xCrudeAPO(BU221,BV221,CC221,CD221,S222,S223,BI221,BL221,BP221,BQ221,0,Strike2,AO221,CE221,0,BL221,IF(OptControl=3,1,0),3,1)+_xll.xCrudeAPO(BU221,BV221,CC221,CD221,S222,S223,BI221,BL221,BP221,BQ221,0,Strike2,AO221,CE221,0,BL221,IF(OptControl=3,1,0),3,2))/100,0)</f>
        <v>0</v>
      </c>
      <c r="CM221" s="164">
        <f ca="1">IF(BD221,_xll.xCrudeAPO(BU221,BV221,CC221,CD221,S222,S223,BI221-DaysForThetaCalculation/365.25,BL221-DaysForThetaCalculation/365.25,BP221,BQ221,0,Strike2,AO221,CE221,0,BL221,IF(OptControl=3,1,0),0,1)-_xll.xCrudeAPO(BU221,BV221,CC221,CD221,S222,S223,BI221,BL221,BP221,BQ221,0,Strike2,AO221,CE221,0,BL221,IF(OptControl=3,1,0),0,1),0)</f>
        <v>0</v>
      </c>
      <c r="CN221" s="53"/>
      <c r="CO221" s="796" t="str">
        <f t="shared" ca="1" si="651"/>
        <v/>
      </c>
      <c r="CP221" s="800" t="str">
        <f t="shared" ca="1" si="652"/>
        <v/>
      </c>
      <c r="CQ221" s="797" t="str">
        <f t="shared" ca="1" si="653"/>
        <v/>
      </c>
      <c r="CR221" s="797" t="str">
        <f t="shared" ca="1" si="654"/>
        <v/>
      </c>
      <c r="CS221" s="797" t="str">
        <f t="shared" ca="1" si="655"/>
        <v/>
      </c>
      <c r="CT221" s="797" t="str">
        <f t="shared" ca="1" si="656"/>
        <v/>
      </c>
      <c r="CU221" s="798" t="str">
        <f t="shared" ca="1" si="657"/>
        <v/>
      </c>
      <c r="CV221" s="799" t="str">
        <f t="shared" ca="1" si="658"/>
        <v/>
      </c>
      <c r="CW221" s="799" t="str">
        <f t="shared" ca="1" si="659"/>
        <v/>
      </c>
      <c r="CX221" s="163">
        <f ca="1">IF(BD221,_xll.EURO(CP221,Strike1,AO221,AO221,CV221,CO221,IF(OptControl=4,0,1),0),0)</f>
        <v>0</v>
      </c>
      <c r="CY221" s="163">
        <f ca="1">IF(BD221,_xll.EURO(CP221,Strike1,AO221,AO221,CV221,CO221,IF(OptControl=4,0,1),1)+IF(OR(VolSkewFlag=2,ABS(CQ221)&lt;0.0001),0,IF(CQ221&gt;0,-1,1)*CZ221*100*Strike1/CP221^2*CS221/10%),0)</f>
        <v>0</v>
      </c>
      <c r="CZ221" s="163">
        <f ca="1">IF(BD221,_xll.EURO(CP221,Strike1,AO221,AO221,CV221,CO221,IF(OptControl=4,0,1),3)/100,0)</f>
        <v>0</v>
      </c>
      <c r="DA221" s="163">
        <f ca="1">IF(BD221,_xll.EURO(CP221,Strike1,AO221,AO221,CV221,CO221,IF(OptControl=4,0,1),0)-_xll.EURO(CP221,Strike1,AO221,AO221,CV221,CO221-1,IF(OptControl=4,0,1),0),0)</f>
        <v>0</v>
      </c>
      <c r="DB221" s="163">
        <f ca="1">IF(BD221,_xll.EURO(CP221,Strike2,AO221,AO221,CW221,CO221,IF(OptControl=3,1,0),0),0)</f>
        <v>0</v>
      </c>
      <c r="DC221" s="163">
        <f ca="1">IF(BD221,_xll.EURO(CP221,Strike2,AO221,AO221,CW221,CO221,IF(OptControl=3,1,0),1)+IF(OR(VolSkewFlag=2,ABS(CR221)&lt;0.0001),0,IF(CR221&gt;0,-1,1)*DD221*100*Strike2/CP221^2*CT221/10%),0)</f>
        <v>0</v>
      </c>
      <c r="DD221" s="163">
        <f ca="1">IF(BD221,_xll.EURO(CP221,Strike2,AO221,AO221,CW221,CO221,IF(OptControl=3,1,0),3)/100,0)</f>
        <v>0</v>
      </c>
      <c r="DE221" s="164">
        <f ca="1">IF(BD221,_xll.EURO(CP221,Strike2,AO221,AO221,CW221,CO221,IF(OptControl=3,1,0),0)-_xll.EURO(CP221,Strike2,AO221,AO221,CW221,CO221-1,IF(OptControl=3,1,0),0),0)</f>
        <v>0</v>
      </c>
      <c r="DG221" s="667">
        <f t="shared" ca="1" si="660"/>
        <v>42675</v>
      </c>
      <c r="DH221" s="475">
        <v>24.21000000000009</v>
      </c>
      <c r="DI221" s="665">
        <v>24.278181818181906</v>
      </c>
      <c r="DJ221" s="666">
        <f t="shared" ca="1" si="617"/>
        <v>42675</v>
      </c>
      <c r="DK221" s="475">
        <v>22.999862541404116</v>
      </c>
      <c r="DL221" s="665">
        <v>23.085081818181905</v>
      </c>
      <c r="DM221" s="667">
        <f t="shared" ca="1" si="618"/>
        <v>42675</v>
      </c>
      <c r="DN221" s="668">
        <f t="shared" si="619"/>
        <v>23.049862541404117</v>
      </c>
      <c r="DO221" s="667">
        <f t="shared" ca="1" si="620"/>
        <v>42675</v>
      </c>
      <c r="DP221" s="579">
        <f t="shared" si="621"/>
        <v>23.085081818181905</v>
      </c>
      <c r="DQ221" s="821">
        <v>0</v>
      </c>
      <c r="DR221" s="666">
        <f t="shared" ca="1" si="622"/>
        <v>42675</v>
      </c>
      <c r="DS221" s="669">
        <v>0.10399999999999804</v>
      </c>
      <c r="DT221" s="606">
        <v>0.10318181818181621</v>
      </c>
      <c r="DU221" s="666">
        <f t="shared" ca="1" si="623"/>
        <v>42675</v>
      </c>
      <c r="DV221" s="669">
        <v>0.10399999999999804</v>
      </c>
      <c r="DW221" s="606">
        <v>0.10318181818181621</v>
      </c>
      <c r="DX221" s="667">
        <f t="shared" ca="1" si="624"/>
        <v>42675</v>
      </c>
      <c r="DY221" s="606">
        <v>0.35</v>
      </c>
      <c r="DZ221" s="667">
        <f t="shared" ca="1" si="625"/>
        <v>42675</v>
      </c>
      <c r="EA221" s="606">
        <f t="shared" si="626"/>
        <v>0.10318181818181621</v>
      </c>
      <c r="EB221" s="1"/>
      <c r="EC221" s="118" t="str">
        <f t="shared" ca="1" si="627"/>
        <v/>
      </c>
      <c r="ED221" s="119" t="str">
        <f t="shared" ca="1" si="644"/>
        <v/>
      </c>
      <c r="EE221" s="112" t="str">
        <f t="shared" ca="1" si="645"/>
        <v/>
      </c>
      <c r="EF221" s="120">
        <f ca="1">IF(BD221,_xll.xASN(BR221,Strike1,AO221,ED221,0,BO221,0,BI221,BL221,IF(OptControl=4,0,1),0),0)</f>
        <v>0</v>
      </c>
      <c r="EG221" s="111">
        <f ca="1">IF(BD221,_xll.xASN(BR221,Strike2,AO221,EE221,0,BO221,0,BI221,BL221,IF(OptControl=3,1,0),0),0)</f>
        <v>0</v>
      </c>
      <c r="EL221" s="55"/>
      <c r="EM221" s="1"/>
      <c r="EN221" s="106"/>
      <c r="EO221" s="106"/>
      <c r="EP221" s="1"/>
      <c r="EQ221" s="683" t="s">
        <v>435</v>
      </c>
      <c r="ES221" s="55"/>
      <c r="EU221" s="107"/>
      <c r="FJ221" s="673">
        <v>52</v>
      </c>
      <c r="FK221" s="479" t="str">
        <f ca="1">IF(OR(FK$169&lt;SwaptionFirstMonthPosition+1,$FJ221&lt;SwaptionFirstMonthPosition+1,FK$169&gt;SwaptionFirstMonthPosition+SwaptionNumOfMonths+1,$FJ221&gt;SwaptionFirstMonthPosition+SwaptionNumOfMonths+1),"",IF($FJ221=FK$169,1,IF($FJ221&lt;FK$169,INDEX($FK$170:$ID$241,FK$169,$FJ221),SUMPRODUCT(INDEX($FK$325:$ID$396,FK$169,1+SwaptionShift):INDEX($FK$325:$ID$396,FK$169,SwaptionMonthsToGo+SwaptionShift),INDEX($FK$245:$ID$316,$FJ221-FK$169,73-FK$169+SwaptionShift):INDEX($FK$245:$ID$316,$FJ221-FK$169,72-FK$169+SwaptionMonthsToGo+SwaptionShift))/SQRT(SUM(INDEX($FK376:$ID376,1+SwaptionShift):INDEX($FK376:$ID376,SwaptionMonthsToGo+SwaptionShift))*SUM(INDEX($FK$325:$ID$396,FK$169,1+SwaptionShift):INDEX($FK$325:$ID$396,FK$169,SwaptionMonthsToGo+SwaptionShift))))))</f>
        <v/>
      </c>
      <c r="FL221" s="479" t="str">
        <f ca="1">IF(OR(FL$169&lt;SwaptionFirstMonthPosition+1,$FJ221&lt;SwaptionFirstMonthPosition+1,FL$169&gt;SwaptionFirstMonthPosition+SwaptionNumOfMonths+1,$FJ221&gt;SwaptionFirstMonthPosition+SwaptionNumOfMonths+1),"",IF($FJ221=FL$169,1,IF($FJ221&lt;FL$169,INDEX($FK$170:$ID$241,FL$169,$FJ221),SUMPRODUCT(INDEX($FK$325:$ID$396,FL$169,1+SwaptionShift):INDEX($FK$325:$ID$396,FL$169,SwaptionMonthsToGo+SwaptionShift),INDEX($FK$245:$ID$316,$FJ221-FL$169,73-FL$169+SwaptionShift):INDEX($FK$245:$ID$316,$FJ221-FL$169,72-FL$169+SwaptionMonthsToGo+SwaptionShift))/SQRT(SUM(INDEX($FK376:$ID376,1+SwaptionShift):INDEX($FK376:$ID376,SwaptionMonthsToGo+SwaptionShift))*SUM(INDEX($FK$325:$ID$396,FL$169,1+SwaptionShift):INDEX($FK$325:$ID$396,FL$169,SwaptionMonthsToGo+SwaptionShift))))))</f>
        <v/>
      </c>
      <c r="FM221" s="479" t="str">
        <f ca="1">IF(OR(FM$169&lt;SwaptionFirstMonthPosition+1,$FJ221&lt;SwaptionFirstMonthPosition+1,FM$169&gt;SwaptionFirstMonthPosition+SwaptionNumOfMonths+1,$FJ221&gt;SwaptionFirstMonthPosition+SwaptionNumOfMonths+1),"",IF($FJ221=FM$169,1,IF($FJ221&lt;FM$169,INDEX($FK$170:$ID$241,FM$169,$FJ221),SUMPRODUCT(INDEX($FK$325:$ID$396,FM$169,1+SwaptionShift):INDEX($FK$325:$ID$396,FM$169,SwaptionMonthsToGo+SwaptionShift),INDEX($FK$245:$ID$316,$FJ221-FM$169,73-FM$169+SwaptionShift):INDEX($FK$245:$ID$316,$FJ221-FM$169,72-FM$169+SwaptionMonthsToGo+SwaptionShift))/SQRT(SUM(INDEX($FK376:$ID376,1+SwaptionShift):INDEX($FK376:$ID376,SwaptionMonthsToGo+SwaptionShift))*SUM(INDEX($FK$325:$ID$396,FM$169,1+SwaptionShift):INDEX($FK$325:$ID$396,FM$169,SwaptionMonthsToGo+SwaptionShift))))))</f>
        <v/>
      </c>
      <c r="FN221" s="479" t="str">
        <f ca="1">IF(OR(FN$169&lt;SwaptionFirstMonthPosition+1,$FJ221&lt;SwaptionFirstMonthPosition+1,FN$169&gt;SwaptionFirstMonthPosition+SwaptionNumOfMonths+1,$FJ221&gt;SwaptionFirstMonthPosition+SwaptionNumOfMonths+1),"",IF($FJ221=FN$169,1,IF($FJ221&lt;FN$169,INDEX($FK$170:$ID$241,FN$169,$FJ221),SUMPRODUCT(INDEX($FK$325:$ID$396,FN$169,1+SwaptionShift):INDEX($FK$325:$ID$396,FN$169,SwaptionMonthsToGo+SwaptionShift),INDEX($FK$245:$ID$316,$FJ221-FN$169,73-FN$169+SwaptionShift):INDEX($FK$245:$ID$316,$FJ221-FN$169,72-FN$169+SwaptionMonthsToGo+SwaptionShift))/SQRT(SUM(INDEX($FK376:$ID376,1+SwaptionShift):INDEX($FK376:$ID376,SwaptionMonthsToGo+SwaptionShift))*SUM(INDEX($FK$325:$ID$396,FN$169,1+SwaptionShift):INDEX($FK$325:$ID$396,FN$169,SwaptionMonthsToGo+SwaptionShift))))))</f>
        <v/>
      </c>
      <c r="FO221" s="479" t="str">
        <f ca="1">IF(OR(FO$169&lt;SwaptionFirstMonthPosition+1,$FJ221&lt;SwaptionFirstMonthPosition+1,FO$169&gt;SwaptionFirstMonthPosition+SwaptionNumOfMonths+1,$FJ221&gt;SwaptionFirstMonthPosition+SwaptionNumOfMonths+1),"",IF($FJ221=FO$169,1,IF($FJ221&lt;FO$169,INDEX($FK$170:$ID$241,FO$169,$FJ221),SUMPRODUCT(INDEX($FK$325:$ID$396,FO$169,1+SwaptionShift):INDEX($FK$325:$ID$396,FO$169,SwaptionMonthsToGo+SwaptionShift),INDEX($FK$245:$ID$316,$FJ221-FO$169,73-FO$169+SwaptionShift):INDEX($FK$245:$ID$316,$FJ221-FO$169,72-FO$169+SwaptionMonthsToGo+SwaptionShift))/SQRT(SUM(INDEX($FK376:$ID376,1+SwaptionShift):INDEX($FK376:$ID376,SwaptionMonthsToGo+SwaptionShift))*SUM(INDEX($FK$325:$ID$396,FO$169,1+SwaptionShift):INDEX($FK$325:$ID$396,FO$169,SwaptionMonthsToGo+SwaptionShift))))))</f>
        <v/>
      </c>
      <c r="FP221" s="479" t="str">
        <f ca="1">IF(OR(FP$169&lt;SwaptionFirstMonthPosition+1,$FJ221&lt;SwaptionFirstMonthPosition+1,FP$169&gt;SwaptionFirstMonthPosition+SwaptionNumOfMonths+1,$FJ221&gt;SwaptionFirstMonthPosition+SwaptionNumOfMonths+1),"",IF($FJ221=FP$169,1,IF($FJ221&lt;FP$169,INDEX($FK$170:$ID$241,FP$169,$FJ221),SUMPRODUCT(INDEX($FK$325:$ID$396,FP$169,1+SwaptionShift):INDEX($FK$325:$ID$396,FP$169,SwaptionMonthsToGo+SwaptionShift),INDEX($FK$245:$ID$316,$FJ221-FP$169,73-FP$169+SwaptionShift):INDEX($FK$245:$ID$316,$FJ221-FP$169,72-FP$169+SwaptionMonthsToGo+SwaptionShift))/SQRT(SUM(INDEX($FK376:$ID376,1+SwaptionShift):INDEX($FK376:$ID376,SwaptionMonthsToGo+SwaptionShift))*SUM(INDEX($FK$325:$ID$396,FP$169,1+SwaptionShift):INDEX($FK$325:$ID$396,FP$169,SwaptionMonthsToGo+SwaptionShift))))))</f>
        <v/>
      </c>
      <c r="FQ221" s="479" t="str">
        <f ca="1">IF(OR(FQ$169&lt;SwaptionFirstMonthPosition+1,$FJ221&lt;SwaptionFirstMonthPosition+1,FQ$169&gt;SwaptionFirstMonthPosition+SwaptionNumOfMonths+1,$FJ221&gt;SwaptionFirstMonthPosition+SwaptionNumOfMonths+1),"",IF($FJ221=FQ$169,1,IF($FJ221&lt;FQ$169,INDEX($FK$170:$ID$241,FQ$169,$FJ221),SUMPRODUCT(INDEX($FK$325:$ID$396,FQ$169,1+SwaptionShift):INDEX($FK$325:$ID$396,FQ$169,SwaptionMonthsToGo+SwaptionShift),INDEX($FK$245:$ID$316,$FJ221-FQ$169,73-FQ$169+SwaptionShift):INDEX($FK$245:$ID$316,$FJ221-FQ$169,72-FQ$169+SwaptionMonthsToGo+SwaptionShift))/SQRT(SUM(INDEX($FK376:$ID376,1+SwaptionShift):INDEX($FK376:$ID376,SwaptionMonthsToGo+SwaptionShift))*SUM(INDEX($FK$325:$ID$396,FQ$169,1+SwaptionShift):INDEX($FK$325:$ID$396,FQ$169,SwaptionMonthsToGo+SwaptionShift))))))</f>
        <v/>
      </c>
      <c r="FR221" s="479" t="str">
        <f ca="1">IF(OR(FR$169&lt;SwaptionFirstMonthPosition+1,$FJ221&lt;SwaptionFirstMonthPosition+1,FR$169&gt;SwaptionFirstMonthPosition+SwaptionNumOfMonths+1,$FJ221&gt;SwaptionFirstMonthPosition+SwaptionNumOfMonths+1),"",IF($FJ221=FR$169,1,IF($FJ221&lt;FR$169,INDEX($FK$170:$ID$241,FR$169,$FJ221),SUMPRODUCT(INDEX($FK$325:$ID$396,FR$169,1+SwaptionShift):INDEX($FK$325:$ID$396,FR$169,SwaptionMonthsToGo+SwaptionShift),INDEX($FK$245:$ID$316,$FJ221-FR$169,73-FR$169+SwaptionShift):INDEX($FK$245:$ID$316,$FJ221-FR$169,72-FR$169+SwaptionMonthsToGo+SwaptionShift))/SQRT(SUM(INDEX($FK376:$ID376,1+SwaptionShift):INDEX($FK376:$ID376,SwaptionMonthsToGo+SwaptionShift))*SUM(INDEX($FK$325:$ID$396,FR$169,1+SwaptionShift):INDEX($FK$325:$ID$396,FR$169,SwaptionMonthsToGo+SwaptionShift))))))</f>
        <v/>
      </c>
      <c r="FS221" s="479" t="str">
        <f ca="1">IF(OR(FS$169&lt;SwaptionFirstMonthPosition+1,$FJ221&lt;SwaptionFirstMonthPosition+1,FS$169&gt;SwaptionFirstMonthPosition+SwaptionNumOfMonths+1,$FJ221&gt;SwaptionFirstMonthPosition+SwaptionNumOfMonths+1),"",IF($FJ221=FS$169,1,IF($FJ221&lt;FS$169,INDEX($FK$170:$ID$241,FS$169,$FJ221),SUMPRODUCT(INDEX($FK$325:$ID$396,FS$169,1+SwaptionShift):INDEX($FK$325:$ID$396,FS$169,SwaptionMonthsToGo+SwaptionShift),INDEX($FK$245:$ID$316,$FJ221-FS$169,73-FS$169+SwaptionShift):INDEX($FK$245:$ID$316,$FJ221-FS$169,72-FS$169+SwaptionMonthsToGo+SwaptionShift))/SQRT(SUM(INDEX($FK376:$ID376,1+SwaptionShift):INDEX($FK376:$ID376,SwaptionMonthsToGo+SwaptionShift))*SUM(INDEX($FK$325:$ID$396,FS$169,1+SwaptionShift):INDEX($FK$325:$ID$396,FS$169,SwaptionMonthsToGo+SwaptionShift))))))</f>
        <v/>
      </c>
      <c r="FT221" s="479" t="str">
        <f ca="1">IF(OR(FT$169&lt;SwaptionFirstMonthPosition+1,$FJ221&lt;SwaptionFirstMonthPosition+1,FT$169&gt;SwaptionFirstMonthPosition+SwaptionNumOfMonths+1,$FJ221&gt;SwaptionFirstMonthPosition+SwaptionNumOfMonths+1),"",IF($FJ221=FT$169,1,IF($FJ221&lt;FT$169,INDEX($FK$170:$ID$241,FT$169,$FJ221),SUMPRODUCT(INDEX($FK$325:$ID$396,FT$169,1+SwaptionShift):INDEX($FK$325:$ID$396,FT$169,SwaptionMonthsToGo+SwaptionShift),INDEX($FK$245:$ID$316,$FJ221-FT$169,73-FT$169+SwaptionShift):INDEX($FK$245:$ID$316,$FJ221-FT$169,72-FT$169+SwaptionMonthsToGo+SwaptionShift))/SQRT(SUM(INDEX($FK376:$ID376,1+SwaptionShift):INDEX($FK376:$ID376,SwaptionMonthsToGo+SwaptionShift))*SUM(INDEX($FK$325:$ID$396,FT$169,1+SwaptionShift):INDEX($FK$325:$ID$396,FT$169,SwaptionMonthsToGo+SwaptionShift))))))</f>
        <v/>
      </c>
      <c r="FU221" s="479" t="str">
        <f ca="1">IF(OR(FU$169&lt;SwaptionFirstMonthPosition+1,$FJ221&lt;SwaptionFirstMonthPosition+1,FU$169&gt;SwaptionFirstMonthPosition+SwaptionNumOfMonths+1,$FJ221&gt;SwaptionFirstMonthPosition+SwaptionNumOfMonths+1),"",IF($FJ221=FU$169,1,IF($FJ221&lt;FU$169,INDEX($FK$170:$ID$241,FU$169,$FJ221),SUMPRODUCT(INDEX($FK$325:$ID$396,FU$169,1+SwaptionShift):INDEX($FK$325:$ID$396,FU$169,SwaptionMonthsToGo+SwaptionShift),INDEX($FK$245:$ID$316,$FJ221-FU$169,73-FU$169+SwaptionShift):INDEX($FK$245:$ID$316,$FJ221-FU$169,72-FU$169+SwaptionMonthsToGo+SwaptionShift))/SQRT(SUM(INDEX($FK376:$ID376,1+SwaptionShift):INDEX($FK376:$ID376,SwaptionMonthsToGo+SwaptionShift))*SUM(INDEX($FK$325:$ID$396,FU$169,1+SwaptionShift):INDEX($FK$325:$ID$396,FU$169,SwaptionMonthsToGo+SwaptionShift))))))</f>
        <v/>
      </c>
      <c r="FV221" s="479" t="str">
        <f ca="1">IF(OR(FV$169&lt;SwaptionFirstMonthPosition+1,$FJ221&lt;SwaptionFirstMonthPosition+1,FV$169&gt;SwaptionFirstMonthPosition+SwaptionNumOfMonths+1,$FJ221&gt;SwaptionFirstMonthPosition+SwaptionNumOfMonths+1),"",IF($FJ221=FV$169,1,IF($FJ221&lt;FV$169,INDEX($FK$170:$ID$241,FV$169,$FJ221),SUMPRODUCT(INDEX($FK$325:$ID$396,FV$169,1+SwaptionShift):INDEX($FK$325:$ID$396,FV$169,SwaptionMonthsToGo+SwaptionShift),INDEX($FK$245:$ID$316,$FJ221-FV$169,73-FV$169+SwaptionShift):INDEX($FK$245:$ID$316,$FJ221-FV$169,72-FV$169+SwaptionMonthsToGo+SwaptionShift))/SQRT(SUM(INDEX($FK376:$ID376,1+SwaptionShift):INDEX($FK376:$ID376,SwaptionMonthsToGo+SwaptionShift))*SUM(INDEX($FK$325:$ID$396,FV$169,1+SwaptionShift):INDEX($FK$325:$ID$396,FV$169,SwaptionMonthsToGo+SwaptionShift))))))</f>
        <v/>
      </c>
      <c r="FW221" s="479" t="str">
        <f ca="1">IF(OR(FW$169&lt;SwaptionFirstMonthPosition+1,$FJ221&lt;SwaptionFirstMonthPosition+1,FW$169&gt;SwaptionFirstMonthPosition+SwaptionNumOfMonths+1,$FJ221&gt;SwaptionFirstMonthPosition+SwaptionNumOfMonths+1),"",IF($FJ221=FW$169,1,IF($FJ221&lt;FW$169,INDEX($FK$170:$ID$241,FW$169,$FJ221),SUMPRODUCT(INDEX($FK$325:$ID$396,FW$169,1+SwaptionShift):INDEX($FK$325:$ID$396,FW$169,SwaptionMonthsToGo+SwaptionShift),INDEX($FK$245:$ID$316,$FJ221-FW$169,73-FW$169+SwaptionShift):INDEX($FK$245:$ID$316,$FJ221-FW$169,72-FW$169+SwaptionMonthsToGo+SwaptionShift))/SQRT(SUM(INDEX($FK376:$ID376,1+SwaptionShift):INDEX($FK376:$ID376,SwaptionMonthsToGo+SwaptionShift))*SUM(INDEX($FK$325:$ID$396,FW$169,1+SwaptionShift):INDEX($FK$325:$ID$396,FW$169,SwaptionMonthsToGo+SwaptionShift))))))</f>
        <v/>
      </c>
      <c r="FX221" s="479" t="str">
        <f ca="1">IF(OR(FX$169&lt;SwaptionFirstMonthPosition+1,$FJ221&lt;SwaptionFirstMonthPosition+1,FX$169&gt;SwaptionFirstMonthPosition+SwaptionNumOfMonths+1,$FJ221&gt;SwaptionFirstMonthPosition+SwaptionNumOfMonths+1),"",IF($FJ221=FX$169,1,IF($FJ221&lt;FX$169,INDEX($FK$170:$ID$241,FX$169,$FJ221),SUMPRODUCT(INDEX($FK$325:$ID$396,FX$169,1+SwaptionShift):INDEX($FK$325:$ID$396,FX$169,SwaptionMonthsToGo+SwaptionShift),INDEX($FK$245:$ID$316,$FJ221-FX$169,73-FX$169+SwaptionShift):INDEX($FK$245:$ID$316,$FJ221-FX$169,72-FX$169+SwaptionMonthsToGo+SwaptionShift))/SQRT(SUM(INDEX($FK376:$ID376,1+SwaptionShift):INDEX($FK376:$ID376,SwaptionMonthsToGo+SwaptionShift))*SUM(INDEX($FK$325:$ID$396,FX$169,1+SwaptionShift):INDEX($FK$325:$ID$396,FX$169,SwaptionMonthsToGo+SwaptionShift))))))</f>
        <v/>
      </c>
      <c r="FY221" s="479" t="str">
        <f ca="1">IF(OR(FY$169&lt;SwaptionFirstMonthPosition+1,$FJ221&lt;SwaptionFirstMonthPosition+1,FY$169&gt;SwaptionFirstMonthPosition+SwaptionNumOfMonths+1,$FJ221&gt;SwaptionFirstMonthPosition+SwaptionNumOfMonths+1),"",IF($FJ221=FY$169,1,IF($FJ221&lt;FY$169,INDEX($FK$170:$ID$241,FY$169,$FJ221),SUMPRODUCT(INDEX($FK$325:$ID$396,FY$169,1+SwaptionShift):INDEX($FK$325:$ID$396,FY$169,SwaptionMonthsToGo+SwaptionShift),INDEX($FK$245:$ID$316,$FJ221-FY$169,73-FY$169+SwaptionShift):INDEX($FK$245:$ID$316,$FJ221-FY$169,72-FY$169+SwaptionMonthsToGo+SwaptionShift))/SQRT(SUM(INDEX($FK376:$ID376,1+SwaptionShift):INDEX($FK376:$ID376,SwaptionMonthsToGo+SwaptionShift))*SUM(INDEX($FK$325:$ID$396,FY$169,1+SwaptionShift):INDEX($FK$325:$ID$396,FY$169,SwaptionMonthsToGo+SwaptionShift))))))</f>
        <v/>
      </c>
      <c r="FZ221" s="479" t="str">
        <f ca="1">IF(OR(FZ$169&lt;SwaptionFirstMonthPosition+1,$FJ221&lt;SwaptionFirstMonthPosition+1,FZ$169&gt;SwaptionFirstMonthPosition+SwaptionNumOfMonths+1,$FJ221&gt;SwaptionFirstMonthPosition+SwaptionNumOfMonths+1),"",IF($FJ221=FZ$169,1,IF($FJ221&lt;FZ$169,INDEX($FK$170:$ID$241,FZ$169,$FJ221),SUMPRODUCT(INDEX($FK$325:$ID$396,FZ$169,1+SwaptionShift):INDEX($FK$325:$ID$396,FZ$169,SwaptionMonthsToGo+SwaptionShift),INDEX($FK$245:$ID$316,$FJ221-FZ$169,73-FZ$169+SwaptionShift):INDEX($FK$245:$ID$316,$FJ221-FZ$169,72-FZ$169+SwaptionMonthsToGo+SwaptionShift))/SQRT(SUM(INDEX($FK376:$ID376,1+SwaptionShift):INDEX($FK376:$ID376,SwaptionMonthsToGo+SwaptionShift))*SUM(INDEX($FK$325:$ID$396,FZ$169,1+SwaptionShift):INDEX($FK$325:$ID$396,FZ$169,SwaptionMonthsToGo+SwaptionShift))))))</f>
        <v/>
      </c>
      <c r="GA221" s="479" t="str">
        <f ca="1">IF(OR(GA$169&lt;SwaptionFirstMonthPosition+1,$FJ221&lt;SwaptionFirstMonthPosition+1,GA$169&gt;SwaptionFirstMonthPosition+SwaptionNumOfMonths+1,$FJ221&gt;SwaptionFirstMonthPosition+SwaptionNumOfMonths+1),"",IF($FJ221=GA$169,1,IF($FJ221&lt;GA$169,INDEX($FK$170:$ID$241,GA$169,$FJ221),SUMPRODUCT(INDEX($FK$325:$ID$396,GA$169,1+SwaptionShift):INDEX($FK$325:$ID$396,GA$169,SwaptionMonthsToGo+SwaptionShift),INDEX($FK$245:$ID$316,$FJ221-GA$169,73-GA$169+SwaptionShift):INDEX($FK$245:$ID$316,$FJ221-GA$169,72-GA$169+SwaptionMonthsToGo+SwaptionShift))/SQRT(SUM(INDEX($FK376:$ID376,1+SwaptionShift):INDEX($FK376:$ID376,SwaptionMonthsToGo+SwaptionShift))*SUM(INDEX($FK$325:$ID$396,GA$169,1+SwaptionShift):INDEX($FK$325:$ID$396,GA$169,SwaptionMonthsToGo+SwaptionShift))))))</f>
        <v/>
      </c>
      <c r="GB221" s="479" t="str">
        <f ca="1">IF(OR(GB$169&lt;SwaptionFirstMonthPosition+1,$FJ221&lt;SwaptionFirstMonthPosition+1,GB$169&gt;SwaptionFirstMonthPosition+SwaptionNumOfMonths+1,$FJ221&gt;SwaptionFirstMonthPosition+SwaptionNumOfMonths+1),"",IF($FJ221=GB$169,1,IF($FJ221&lt;GB$169,INDEX($FK$170:$ID$241,GB$169,$FJ221),SUMPRODUCT(INDEX($FK$325:$ID$396,GB$169,1+SwaptionShift):INDEX($FK$325:$ID$396,GB$169,SwaptionMonthsToGo+SwaptionShift),INDEX($FK$245:$ID$316,$FJ221-GB$169,73-GB$169+SwaptionShift):INDEX($FK$245:$ID$316,$FJ221-GB$169,72-GB$169+SwaptionMonthsToGo+SwaptionShift))/SQRT(SUM(INDEX($FK376:$ID376,1+SwaptionShift):INDEX($FK376:$ID376,SwaptionMonthsToGo+SwaptionShift))*SUM(INDEX($FK$325:$ID$396,GB$169,1+SwaptionShift):INDEX($FK$325:$ID$396,GB$169,SwaptionMonthsToGo+SwaptionShift))))))</f>
        <v/>
      </c>
      <c r="GC221" s="479" t="str">
        <f ca="1">IF(OR(GC$169&lt;SwaptionFirstMonthPosition+1,$FJ221&lt;SwaptionFirstMonthPosition+1,GC$169&gt;SwaptionFirstMonthPosition+SwaptionNumOfMonths+1,$FJ221&gt;SwaptionFirstMonthPosition+SwaptionNumOfMonths+1),"",IF($FJ221=GC$169,1,IF($FJ221&lt;GC$169,INDEX($FK$170:$ID$241,GC$169,$FJ221),SUMPRODUCT(INDEX($FK$325:$ID$396,GC$169,1+SwaptionShift):INDEX($FK$325:$ID$396,GC$169,SwaptionMonthsToGo+SwaptionShift),INDEX($FK$245:$ID$316,$FJ221-GC$169,73-GC$169+SwaptionShift):INDEX($FK$245:$ID$316,$FJ221-GC$169,72-GC$169+SwaptionMonthsToGo+SwaptionShift))/SQRT(SUM(INDEX($FK376:$ID376,1+SwaptionShift):INDEX($FK376:$ID376,SwaptionMonthsToGo+SwaptionShift))*SUM(INDEX($FK$325:$ID$396,GC$169,1+SwaptionShift):INDEX($FK$325:$ID$396,GC$169,SwaptionMonthsToGo+SwaptionShift))))))</f>
        <v/>
      </c>
      <c r="GD221" s="479" t="str">
        <f ca="1">IF(OR(GD$169&lt;SwaptionFirstMonthPosition+1,$FJ221&lt;SwaptionFirstMonthPosition+1,GD$169&gt;SwaptionFirstMonthPosition+SwaptionNumOfMonths+1,$FJ221&gt;SwaptionFirstMonthPosition+SwaptionNumOfMonths+1),"",IF($FJ221=GD$169,1,IF($FJ221&lt;GD$169,INDEX($FK$170:$ID$241,GD$169,$FJ221),SUMPRODUCT(INDEX($FK$325:$ID$396,GD$169,1+SwaptionShift):INDEX($FK$325:$ID$396,GD$169,SwaptionMonthsToGo+SwaptionShift),INDEX($FK$245:$ID$316,$FJ221-GD$169,73-GD$169+SwaptionShift):INDEX($FK$245:$ID$316,$FJ221-GD$169,72-GD$169+SwaptionMonthsToGo+SwaptionShift))/SQRT(SUM(INDEX($FK376:$ID376,1+SwaptionShift):INDEX($FK376:$ID376,SwaptionMonthsToGo+SwaptionShift))*SUM(INDEX($FK$325:$ID$396,GD$169,1+SwaptionShift):INDEX($FK$325:$ID$396,GD$169,SwaptionMonthsToGo+SwaptionShift))))))</f>
        <v/>
      </c>
      <c r="GE221" s="479" t="str">
        <f ca="1">IF(OR(GE$169&lt;SwaptionFirstMonthPosition+1,$FJ221&lt;SwaptionFirstMonthPosition+1,GE$169&gt;SwaptionFirstMonthPosition+SwaptionNumOfMonths+1,$FJ221&gt;SwaptionFirstMonthPosition+SwaptionNumOfMonths+1),"",IF($FJ221=GE$169,1,IF($FJ221&lt;GE$169,INDEX($FK$170:$ID$241,GE$169,$FJ221),SUMPRODUCT(INDEX($FK$325:$ID$396,GE$169,1+SwaptionShift):INDEX($FK$325:$ID$396,GE$169,SwaptionMonthsToGo+SwaptionShift),INDEX($FK$245:$ID$316,$FJ221-GE$169,73-GE$169+SwaptionShift):INDEX($FK$245:$ID$316,$FJ221-GE$169,72-GE$169+SwaptionMonthsToGo+SwaptionShift))/SQRT(SUM(INDEX($FK376:$ID376,1+SwaptionShift):INDEX($FK376:$ID376,SwaptionMonthsToGo+SwaptionShift))*SUM(INDEX($FK$325:$ID$396,GE$169,1+SwaptionShift):INDEX($FK$325:$ID$396,GE$169,SwaptionMonthsToGo+SwaptionShift))))))</f>
        <v/>
      </c>
      <c r="GF221" s="479" t="str">
        <f ca="1">IF(OR(GF$169&lt;SwaptionFirstMonthPosition+1,$FJ221&lt;SwaptionFirstMonthPosition+1,GF$169&gt;SwaptionFirstMonthPosition+SwaptionNumOfMonths+1,$FJ221&gt;SwaptionFirstMonthPosition+SwaptionNumOfMonths+1),"",IF($FJ221=GF$169,1,IF($FJ221&lt;GF$169,INDEX($FK$170:$ID$241,GF$169,$FJ221),SUMPRODUCT(INDEX($FK$325:$ID$396,GF$169,1+SwaptionShift):INDEX($FK$325:$ID$396,GF$169,SwaptionMonthsToGo+SwaptionShift),INDEX($FK$245:$ID$316,$FJ221-GF$169,73-GF$169+SwaptionShift):INDEX($FK$245:$ID$316,$FJ221-GF$169,72-GF$169+SwaptionMonthsToGo+SwaptionShift))/SQRT(SUM(INDEX($FK376:$ID376,1+SwaptionShift):INDEX($FK376:$ID376,SwaptionMonthsToGo+SwaptionShift))*SUM(INDEX($FK$325:$ID$396,GF$169,1+SwaptionShift):INDEX($FK$325:$ID$396,GF$169,SwaptionMonthsToGo+SwaptionShift))))))</f>
        <v/>
      </c>
      <c r="GG221" s="479" t="str">
        <f ca="1">IF(OR(GG$169&lt;SwaptionFirstMonthPosition+1,$FJ221&lt;SwaptionFirstMonthPosition+1,GG$169&gt;SwaptionFirstMonthPosition+SwaptionNumOfMonths+1,$FJ221&gt;SwaptionFirstMonthPosition+SwaptionNumOfMonths+1),"",IF($FJ221=GG$169,1,IF($FJ221&lt;GG$169,INDEX($FK$170:$ID$241,GG$169,$FJ221),SUMPRODUCT(INDEX($FK$325:$ID$396,GG$169,1+SwaptionShift):INDEX($FK$325:$ID$396,GG$169,SwaptionMonthsToGo+SwaptionShift),INDEX($FK$245:$ID$316,$FJ221-GG$169,73-GG$169+SwaptionShift):INDEX($FK$245:$ID$316,$FJ221-GG$169,72-GG$169+SwaptionMonthsToGo+SwaptionShift))/SQRT(SUM(INDEX($FK376:$ID376,1+SwaptionShift):INDEX($FK376:$ID376,SwaptionMonthsToGo+SwaptionShift))*SUM(INDEX($FK$325:$ID$396,GG$169,1+SwaptionShift):INDEX($FK$325:$ID$396,GG$169,SwaptionMonthsToGo+SwaptionShift))))))</f>
        <v/>
      </c>
      <c r="GH221" s="479" t="str">
        <f ca="1">IF(OR(GH$169&lt;SwaptionFirstMonthPosition+1,$FJ221&lt;SwaptionFirstMonthPosition+1,GH$169&gt;SwaptionFirstMonthPosition+SwaptionNumOfMonths+1,$FJ221&gt;SwaptionFirstMonthPosition+SwaptionNumOfMonths+1),"",IF($FJ221=GH$169,1,IF($FJ221&lt;GH$169,INDEX($FK$170:$ID$241,GH$169,$FJ221),SUMPRODUCT(INDEX($FK$325:$ID$396,GH$169,1+SwaptionShift):INDEX($FK$325:$ID$396,GH$169,SwaptionMonthsToGo+SwaptionShift),INDEX($FK$245:$ID$316,$FJ221-GH$169,73-GH$169+SwaptionShift):INDEX($FK$245:$ID$316,$FJ221-GH$169,72-GH$169+SwaptionMonthsToGo+SwaptionShift))/SQRT(SUM(INDEX($FK376:$ID376,1+SwaptionShift):INDEX($FK376:$ID376,SwaptionMonthsToGo+SwaptionShift))*SUM(INDEX($FK$325:$ID$396,GH$169,1+SwaptionShift):INDEX($FK$325:$ID$396,GH$169,SwaptionMonthsToGo+SwaptionShift))))))</f>
        <v/>
      </c>
      <c r="GI221" s="479" t="str">
        <f ca="1">IF(OR(GI$169&lt;SwaptionFirstMonthPosition+1,$FJ221&lt;SwaptionFirstMonthPosition+1,GI$169&gt;SwaptionFirstMonthPosition+SwaptionNumOfMonths+1,$FJ221&gt;SwaptionFirstMonthPosition+SwaptionNumOfMonths+1),"",IF($FJ221=GI$169,1,IF($FJ221&lt;GI$169,INDEX($FK$170:$ID$241,GI$169,$FJ221),SUMPRODUCT(INDEX($FK$325:$ID$396,GI$169,1+SwaptionShift):INDEX($FK$325:$ID$396,GI$169,SwaptionMonthsToGo+SwaptionShift),INDEX($FK$245:$ID$316,$FJ221-GI$169,73-GI$169+SwaptionShift):INDEX($FK$245:$ID$316,$FJ221-GI$169,72-GI$169+SwaptionMonthsToGo+SwaptionShift))/SQRT(SUM(INDEX($FK376:$ID376,1+SwaptionShift):INDEX($FK376:$ID376,SwaptionMonthsToGo+SwaptionShift))*SUM(INDEX($FK$325:$ID$396,GI$169,1+SwaptionShift):INDEX($FK$325:$ID$396,GI$169,SwaptionMonthsToGo+SwaptionShift))))))</f>
        <v/>
      </c>
      <c r="GJ221" s="479" t="str">
        <f ca="1">IF(OR(GJ$169&lt;SwaptionFirstMonthPosition+1,$FJ221&lt;SwaptionFirstMonthPosition+1,GJ$169&gt;SwaptionFirstMonthPosition+SwaptionNumOfMonths+1,$FJ221&gt;SwaptionFirstMonthPosition+SwaptionNumOfMonths+1),"",IF($FJ221=GJ$169,1,IF($FJ221&lt;GJ$169,INDEX($FK$170:$ID$241,GJ$169,$FJ221),SUMPRODUCT(INDEX($FK$325:$ID$396,GJ$169,1+SwaptionShift):INDEX($FK$325:$ID$396,GJ$169,SwaptionMonthsToGo+SwaptionShift),INDEX($FK$245:$ID$316,$FJ221-GJ$169,73-GJ$169+SwaptionShift):INDEX($FK$245:$ID$316,$FJ221-GJ$169,72-GJ$169+SwaptionMonthsToGo+SwaptionShift))/SQRT(SUM(INDEX($FK376:$ID376,1+SwaptionShift):INDEX($FK376:$ID376,SwaptionMonthsToGo+SwaptionShift))*SUM(INDEX($FK$325:$ID$396,GJ$169,1+SwaptionShift):INDEX($FK$325:$ID$396,GJ$169,SwaptionMonthsToGo+SwaptionShift))))))</f>
        <v/>
      </c>
      <c r="GK221" s="479" t="str">
        <f ca="1">IF(OR(GK$169&lt;SwaptionFirstMonthPosition+1,$FJ221&lt;SwaptionFirstMonthPosition+1,GK$169&gt;SwaptionFirstMonthPosition+SwaptionNumOfMonths+1,$FJ221&gt;SwaptionFirstMonthPosition+SwaptionNumOfMonths+1),"",IF($FJ221=GK$169,1,IF($FJ221&lt;GK$169,INDEX($FK$170:$ID$241,GK$169,$FJ221),SUMPRODUCT(INDEX($FK$325:$ID$396,GK$169,1+SwaptionShift):INDEX($FK$325:$ID$396,GK$169,SwaptionMonthsToGo+SwaptionShift),INDEX($FK$245:$ID$316,$FJ221-GK$169,73-GK$169+SwaptionShift):INDEX($FK$245:$ID$316,$FJ221-GK$169,72-GK$169+SwaptionMonthsToGo+SwaptionShift))/SQRT(SUM(INDEX($FK376:$ID376,1+SwaptionShift):INDEX($FK376:$ID376,SwaptionMonthsToGo+SwaptionShift))*SUM(INDEX($FK$325:$ID$396,GK$169,1+SwaptionShift):INDEX($FK$325:$ID$396,GK$169,SwaptionMonthsToGo+SwaptionShift))))))</f>
        <v/>
      </c>
      <c r="GL221" s="479" t="str">
        <f ca="1">IF(OR(GL$169&lt;SwaptionFirstMonthPosition+1,$FJ221&lt;SwaptionFirstMonthPosition+1,GL$169&gt;SwaptionFirstMonthPosition+SwaptionNumOfMonths+1,$FJ221&gt;SwaptionFirstMonthPosition+SwaptionNumOfMonths+1),"",IF($FJ221=GL$169,1,IF($FJ221&lt;GL$169,INDEX($FK$170:$ID$241,GL$169,$FJ221),SUMPRODUCT(INDEX($FK$325:$ID$396,GL$169,1+SwaptionShift):INDEX($FK$325:$ID$396,GL$169,SwaptionMonthsToGo+SwaptionShift),INDEX($FK$245:$ID$316,$FJ221-GL$169,73-GL$169+SwaptionShift):INDEX($FK$245:$ID$316,$FJ221-GL$169,72-GL$169+SwaptionMonthsToGo+SwaptionShift))/SQRT(SUM(INDEX($FK376:$ID376,1+SwaptionShift):INDEX($FK376:$ID376,SwaptionMonthsToGo+SwaptionShift))*SUM(INDEX($FK$325:$ID$396,GL$169,1+SwaptionShift):INDEX($FK$325:$ID$396,GL$169,SwaptionMonthsToGo+SwaptionShift))))))</f>
        <v/>
      </c>
      <c r="GM221" s="479" t="str">
        <f ca="1">IF(OR(GM$169&lt;SwaptionFirstMonthPosition+1,$FJ221&lt;SwaptionFirstMonthPosition+1,GM$169&gt;SwaptionFirstMonthPosition+SwaptionNumOfMonths+1,$FJ221&gt;SwaptionFirstMonthPosition+SwaptionNumOfMonths+1),"",IF($FJ221=GM$169,1,IF($FJ221&lt;GM$169,INDEX($FK$170:$ID$241,GM$169,$FJ221),SUMPRODUCT(INDEX($FK$325:$ID$396,GM$169,1+SwaptionShift):INDEX($FK$325:$ID$396,GM$169,SwaptionMonthsToGo+SwaptionShift),INDEX($FK$245:$ID$316,$FJ221-GM$169,73-GM$169+SwaptionShift):INDEX($FK$245:$ID$316,$FJ221-GM$169,72-GM$169+SwaptionMonthsToGo+SwaptionShift))/SQRT(SUM(INDEX($FK376:$ID376,1+SwaptionShift):INDEX($FK376:$ID376,SwaptionMonthsToGo+SwaptionShift))*SUM(INDEX($FK$325:$ID$396,GM$169,1+SwaptionShift):INDEX($FK$325:$ID$396,GM$169,SwaptionMonthsToGo+SwaptionShift))))))</f>
        <v/>
      </c>
      <c r="GN221" s="479" t="str">
        <f ca="1">IF(OR(GN$169&lt;SwaptionFirstMonthPosition+1,$FJ221&lt;SwaptionFirstMonthPosition+1,GN$169&gt;SwaptionFirstMonthPosition+SwaptionNumOfMonths+1,$FJ221&gt;SwaptionFirstMonthPosition+SwaptionNumOfMonths+1),"",IF($FJ221=GN$169,1,IF($FJ221&lt;GN$169,INDEX($FK$170:$ID$241,GN$169,$FJ221),SUMPRODUCT(INDEX($FK$325:$ID$396,GN$169,1+SwaptionShift):INDEX($FK$325:$ID$396,GN$169,SwaptionMonthsToGo+SwaptionShift),INDEX($FK$245:$ID$316,$FJ221-GN$169,73-GN$169+SwaptionShift):INDEX($FK$245:$ID$316,$FJ221-GN$169,72-GN$169+SwaptionMonthsToGo+SwaptionShift))/SQRT(SUM(INDEX($FK376:$ID376,1+SwaptionShift):INDEX($FK376:$ID376,SwaptionMonthsToGo+SwaptionShift))*SUM(INDEX($FK$325:$ID$396,GN$169,1+SwaptionShift):INDEX($FK$325:$ID$396,GN$169,SwaptionMonthsToGo+SwaptionShift))))))</f>
        <v/>
      </c>
      <c r="GO221" s="479" t="str">
        <f ca="1">IF(OR(GO$169&lt;SwaptionFirstMonthPosition+1,$FJ221&lt;SwaptionFirstMonthPosition+1,GO$169&gt;SwaptionFirstMonthPosition+SwaptionNumOfMonths+1,$FJ221&gt;SwaptionFirstMonthPosition+SwaptionNumOfMonths+1),"",IF($FJ221=GO$169,1,IF($FJ221&lt;GO$169,INDEX($FK$170:$ID$241,GO$169,$FJ221),SUMPRODUCT(INDEX($FK$325:$ID$396,GO$169,1+SwaptionShift):INDEX($FK$325:$ID$396,GO$169,SwaptionMonthsToGo+SwaptionShift),INDEX($FK$245:$ID$316,$FJ221-GO$169,73-GO$169+SwaptionShift):INDEX($FK$245:$ID$316,$FJ221-GO$169,72-GO$169+SwaptionMonthsToGo+SwaptionShift))/SQRT(SUM(INDEX($FK376:$ID376,1+SwaptionShift):INDEX($FK376:$ID376,SwaptionMonthsToGo+SwaptionShift))*SUM(INDEX($FK$325:$ID$396,GO$169,1+SwaptionShift):INDEX($FK$325:$ID$396,GO$169,SwaptionMonthsToGo+SwaptionShift))))))</f>
        <v/>
      </c>
      <c r="GP221" s="479" t="str">
        <f ca="1">IF(OR(GP$169&lt;SwaptionFirstMonthPosition+1,$FJ221&lt;SwaptionFirstMonthPosition+1,GP$169&gt;SwaptionFirstMonthPosition+SwaptionNumOfMonths+1,$FJ221&gt;SwaptionFirstMonthPosition+SwaptionNumOfMonths+1),"",IF($FJ221=GP$169,1,IF($FJ221&lt;GP$169,INDEX($FK$170:$ID$241,GP$169,$FJ221),SUMPRODUCT(INDEX($FK$325:$ID$396,GP$169,1+SwaptionShift):INDEX($FK$325:$ID$396,GP$169,SwaptionMonthsToGo+SwaptionShift),INDEX($FK$245:$ID$316,$FJ221-GP$169,73-GP$169+SwaptionShift):INDEX($FK$245:$ID$316,$FJ221-GP$169,72-GP$169+SwaptionMonthsToGo+SwaptionShift))/SQRT(SUM(INDEX($FK376:$ID376,1+SwaptionShift):INDEX($FK376:$ID376,SwaptionMonthsToGo+SwaptionShift))*SUM(INDEX($FK$325:$ID$396,GP$169,1+SwaptionShift):INDEX($FK$325:$ID$396,GP$169,SwaptionMonthsToGo+SwaptionShift))))))</f>
        <v/>
      </c>
      <c r="GQ221" s="479" t="str">
        <f ca="1">IF(OR(GQ$169&lt;SwaptionFirstMonthPosition+1,$FJ221&lt;SwaptionFirstMonthPosition+1,GQ$169&gt;SwaptionFirstMonthPosition+SwaptionNumOfMonths+1,$FJ221&gt;SwaptionFirstMonthPosition+SwaptionNumOfMonths+1),"",IF($FJ221=GQ$169,1,IF($FJ221&lt;GQ$169,INDEX($FK$170:$ID$241,GQ$169,$FJ221),SUMPRODUCT(INDEX($FK$325:$ID$396,GQ$169,1+SwaptionShift):INDEX($FK$325:$ID$396,GQ$169,SwaptionMonthsToGo+SwaptionShift),INDEX($FK$245:$ID$316,$FJ221-GQ$169,73-GQ$169+SwaptionShift):INDEX($FK$245:$ID$316,$FJ221-GQ$169,72-GQ$169+SwaptionMonthsToGo+SwaptionShift))/SQRT(SUM(INDEX($FK376:$ID376,1+SwaptionShift):INDEX($FK376:$ID376,SwaptionMonthsToGo+SwaptionShift))*SUM(INDEX($FK$325:$ID$396,GQ$169,1+SwaptionShift):INDEX($FK$325:$ID$396,GQ$169,SwaptionMonthsToGo+SwaptionShift))))))</f>
        <v/>
      </c>
      <c r="GR221" s="479" t="str">
        <f ca="1">IF(OR(GR$169&lt;SwaptionFirstMonthPosition+1,$FJ221&lt;SwaptionFirstMonthPosition+1,GR$169&gt;SwaptionFirstMonthPosition+SwaptionNumOfMonths+1,$FJ221&gt;SwaptionFirstMonthPosition+SwaptionNumOfMonths+1),"",IF($FJ221=GR$169,1,IF($FJ221&lt;GR$169,INDEX($FK$170:$ID$241,GR$169,$FJ221),SUMPRODUCT(INDEX($FK$325:$ID$396,GR$169,1+SwaptionShift):INDEX($FK$325:$ID$396,GR$169,SwaptionMonthsToGo+SwaptionShift),INDEX($FK$245:$ID$316,$FJ221-GR$169,73-GR$169+SwaptionShift):INDEX($FK$245:$ID$316,$FJ221-GR$169,72-GR$169+SwaptionMonthsToGo+SwaptionShift))/SQRT(SUM(INDEX($FK376:$ID376,1+SwaptionShift):INDEX($FK376:$ID376,SwaptionMonthsToGo+SwaptionShift))*SUM(INDEX($FK$325:$ID$396,GR$169,1+SwaptionShift):INDEX($FK$325:$ID$396,GR$169,SwaptionMonthsToGo+SwaptionShift))))))</f>
        <v/>
      </c>
      <c r="GS221" s="479" t="str">
        <f ca="1">IF(OR(GS$169&lt;SwaptionFirstMonthPosition+1,$FJ221&lt;SwaptionFirstMonthPosition+1,GS$169&gt;SwaptionFirstMonthPosition+SwaptionNumOfMonths+1,$FJ221&gt;SwaptionFirstMonthPosition+SwaptionNumOfMonths+1),"",IF($FJ221=GS$169,1,IF($FJ221&lt;GS$169,INDEX($FK$170:$ID$241,GS$169,$FJ221),SUMPRODUCT(INDEX($FK$325:$ID$396,GS$169,1+SwaptionShift):INDEX($FK$325:$ID$396,GS$169,SwaptionMonthsToGo+SwaptionShift),INDEX($FK$245:$ID$316,$FJ221-GS$169,73-GS$169+SwaptionShift):INDEX($FK$245:$ID$316,$FJ221-GS$169,72-GS$169+SwaptionMonthsToGo+SwaptionShift))/SQRT(SUM(INDEX($FK376:$ID376,1+SwaptionShift):INDEX($FK376:$ID376,SwaptionMonthsToGo+SwaptionShift))*SUM(INDEX($FK$325:$ID$396,GS$169,1+SwaptionShift):INDEX($FK$325:$ID$396,GS$169,SwaptionMonthsToGo+SwaptionShift))))))</f>
        <v/>
      </c>
      <c r="GT221" s="479" t="str">
        <f ca="1">IF(OR(GT$169&lt;SwaptionFirstMonthPosition+1,$FJ221&lt;SwaptionFirstMonthPosition+1,GT$169&gt;SwaptionFirstMonthPosition+SwaptionNumOfMonths+1,$FJ221&gt;SwaptionFirstMonthPosition+SwaptionNumOfMonths+1),"",IF($FJ221=GT$169,1,IF($FJ221&lt;GT$169,INDEX($FK$170:$ID$241,GT$169,$FJ221),SUMPRODUCT(INDEX($FK$325:$ID$396,GT$169,1+SwaptionShift):INDEX($FK$325:$ID$396,GT$169,SwaptionMonthsToGo+SwaptionShift),INDEX($FK$245:$ID$316,$FJ221-GT$169,73-GT$169+SwaptionShift):INDEX($FK$245:$ID$316,$FJ221-GT$169,72-GT$169+SwaptionMonthsToGo+SwaptionShift))/SQRT(SUM(INDEX($FK376:$ID376,1+SwaptionShift):INDEX($FK376:$ID376,SwaptionMonthsToGo+SwaptionShift))*SUM(INDEX($FK$325:$ID$396,GT$169,1+SwaptionShift):INDEX($FK$325:$ID$396,GT$169,SwaptionMonthsToGo+SwaptionShift))))))</f>
        <v/>
      </c>
      <c r="GU221" s="479" t="str">
        <f ca="1">IF(OR(GU$169&lt;SwaptionFirstMonthPosition+1,$FJ221&lt;SwaptionFirstMonthPosition+1,GU$169&gt;SwaptionFirstMonthPosition+SwaptionNumOfMonths+1,$FJ221&gt;SwaptionFirstMonthPosition+SwaptionNumOfMonths+1),"",IF($FJ221=GU$169,1,IF($FJ221&lt;GU$169,INDEX($FK$170:$ID$241,GU$169,$FJ221),SUMPRODUCT(INDEX($FK$325:$ID$396,GU$169,1+SwaptionShift):INDEX($FK$325:$ID$396,GU$169,SwaptionMonthsToGo+SwaptionShift),INDEX($FK$245:$ID$316,$FJ221-GU$169,73-GU$169+SwaptionShift):INDEX($FK$245:$ID$316,$FJ221-GU$169,72-GU$169+SwaptionMonthsToGo+SwaptionShift))/SQRT(SUM(INDEX($FK376:$ID376,1+SwaptionShift):INDEX($FK376:$ID376,SwaptionMonthsToGo+SwaptionShift))*SUM(INDEX($FK$325:$ID$396,GU$169,1+SwaptionShift):INDEX($FK$325:$ID$396,GU$169,SwaptionMonthsToGo+SwaptionShift))))))</f>
        <v/>
      </c>
      <c r="GV221" s="479" t="str">
        <f ca="1">IF(OR(GV$169&lt;SwaptionFirstMonthPosition+1,$FJ221&lt;SwaptionFirstMonthPosition+1,GV$169&gt;SwaptionFirstMonthPosition+SwaptionNumOfMonths+1,$FJ221&gt;SwaptionFirstMonthPosition+SwaptionNumOfMonths+1),"",IF($FJ221=GV$169,1,IF($FJ221&lt;GV$169,INDEX($FK$170:$ID$241,GV$169,$FJ221),SUMPRODUCT(INDEX($FK$325:$ID$396,GV$169,1+SwaptionShift):INDEX($FK$325:$ID$396,GV$169,SwaptionMonthsToGo+SwaptionShift),INDEX($FK$245:$ID$316,$FJ221-GV$169,73-GV$169+SwaptionShift):INDEX($FK$245:$ID$316,$FJ221-GV$169,72-GV$169+SwaptionMonthsToGo+SwaptionShift))/SQRT(SUM(INDEX($FK376:$ID376,1+SwaptionShift):INDEX($FK376:$ID376,SwaptionMonthsToGo+SwaptionShift))*SUM(INDEX($FK$325:$ID$396,GV$169,1+SwaptionShift):INDEX($FK$325:$ID$396,GV$169,SwaptionMonthsToGo+SwaptionShift))))))</f>
        <v/>
      </c>
      <c r="GW221" s="479" t="str">
        <f ca="1">IF(OR(GW$169&lt;SwaptionFirstMonthPosition+1,$FJ221&lt;SwaptionFirstMonthPosition+1,GW$169&gt;SwaptionFirstMonthPosition+SwaptionNumOfMonths+1,$FJ221&gt;SwaptionFirstMonthPosition+SwaptionNumOfMonths+1),"",IF($FJ221=GW$169,1,IF($FJ221&lt;GW$169,INDEX($FK$170:$ID$241,GW$169,$FJ221),SUMPRODUCT(INDEX($FK$325:$ID$396,GW$169,1+SwaptionShift):INDEX($FK$325:$ID$396,GW$169,SwaptionMonthsToGo+SwaptionShift),INDEX($FK$245:$ID$316,$FJ221-GW$169,73-GW$169+SwaptionShift):INDEX($FK$245:$ID$316,$FJ221-GW$169,72-GW$169+SwaptionMonthsToGo+SwaptionShift))/SQRT(SUM(INDEX($FK376:$ID376,1+SwaptionShift):INDEX($FK376:$ID376,SwaptionMonthsToGo+SwaptionShift))*SUM(INDEX($FK$325:$ID$396,GW$169,1+SwaptionShift):INDEX($FK$325:$ID$396,GW$169,SwaptionMonthsToGo+SwaptionShift))))))</f>
        <v/>
      </c>
      <c r="GX221" s="479" t="str">
        <f ca="1">IF(OR(GX$169&lt;SwaptionFirstMonthPosition+1,$FJ221&lt;SwaptionFirstMonthPosition+1,GX$169&gt;SwaptionFirstMonthPosition+SwaptionNumOfMonths+1,$FJ221&gt;SwaptionFirstMonthPosition+SwaptionNumOfMonths+1),"",IF($FJ221=GX$169,1,IF($FJ221&lt;GX$169,INDEX($FK$170:$ID$241,GX$169,$FJ221),SUMPRODUCT(INDEX($FK$325:$ID$396,GX$169,1+SwaptionShift):INDEX($FK$325:$ID$396,GX$169,SwaptionMonthsToGo+SwaptionShift),INDEX($FK$245:$ID$316,$FJ221-GX$169,73-GX$169+SwaptionShift):INDEX($FK$245:$ID$316,$FJ221-GX$169,72-GX$169+SwaptionMonthsToGo+SwaptionShift))/SQRT(SUM(INDEX($FK376:$ID376,1+SwaptionShift):INDEX($FK376:$ID376,SwaptionMonthsToGo+SwaptionShift))*SUM(INDEX($FK$325:$ID$396,GX$169,1+SwaptionShift):INDEX($FK$325:$ID$396,GX$169,SwaptionMonthsToGo+SwaptionShift))))))</f>
        <v/>
      </c>
      <c r="GY221" s="479" t="str">
        <f ca="1">IF(OR(GY$169&lt;SwaptionFirstMonthPosition+1,$FJ221&lt;SwaptionFirstMonthPosition+1,GY$169&gt;SwaptionFirstMonthPosition+SwaptionNumOfMonths+1,$FJ221&gt;SwaptionFirstMonthPosition+SwaptionNumOfMonths+1),"",IF($FJ221=GY$169,1,IF($FJ221&lt;GY$169,INDEX($FK$170:$ID$241,GY$169,$FJ221),SUMPRODUCT(INDEX($FK$325:$ID$396,GY$169,1+SwaptionShift):INDEX($FK$325:$ID$396,GY$169,SwaptionMonthsToGo+SwaptionShift),INDEX($FK$245:$ID$316,$FJ221-GY$169,73-GY$169+SwaptionShift):INDEX($FK$245:$ID$316,$FJ221-GY$169,72-GY$169+SwaptionMonthsToGo+SwaptionShift))/SQRT(SUM(INDEX($FK376:$ID376,1+SwaptionShift):INDEX($FK376:$ID376,SwaptionMonthsToGo+SwaptionShift))*SUM(INDEX($FK$325:$ID$396,GY$169,1+SwaptionShift):INDEX($FK$325:$ID$396,GY$169,SwaptionMonthsToGo+SwaptionShift))))))</f>
        <v/>
      </c>
      <c r="GZ221" s="479" t="str">
        <f ca="1">IF(OR(GZ$169&lt;SwaptionFirstMonthPosition+1,$FJ221&lt;SwaptionFirstMonthPosition+1,GZ$169&gt;SwaptionFirstMonthPosition+SwaptionNumOfMonths+1,$FJ221&gt;SwaptionFirstMonthPosition+SwaptionNumOfMonths+1),"",IF($FJ221=GZ$169,1,IF($FJ221&lt;GZ$169,INDEX($FK$170:$ID$241,GZ$169,$FJ221),SUMPRODUCT(INDEX($FK$325:$ID$396,GZ$169,1+SwaptionShift):INDEX($FK$325:$ID$396,GZ$169,SwaptionMonthsToGo+SwaptionShift),INDEX($FK$245:$ID$316,$FJ221-GZ$169,73-GZ$169+SwaptionShift):INDEX($FK$245:$ID$316,$FJ221-GZ$169,72-GZ$169+SwaptionMonthsToGo+SwaptionShift))/SQRT(SUM(INDEX($FK376:$ID376,1+SwaptionShift):INDEX($FK376:$ID376,SwaptionMonthsToGo+SwaptionShift))*SUM(INDEX($FK$325:$ID$396,GZ$169,1+SwaptionShift):INDEX($FK$325:$ID$396,GZ$169,SwaptionMonthsToGo+SwaptionShift))))))</f>
        <v/>
      </c>
      <c r="HA221" s="479" t="str">
        <f ca="1">IF(OR(HA$169&lt;SwaptionFirstMonthPosition+1,$FJ221&lt;SwaptionFirstMonthPosition+1,HA$169&gt;SwaptionFirstMonthPosition+SwaptionNumOfMonths+1,$FJ221&gt;SwaptionFirstMonthPosition+SwaptionNumOfMonths+1),"",IF($FJ221=HA$169,1,IF($FJ221&lt;HA$169,INDEX($FK$170:$ID$241,HA$169,$FJ221),SUMPRODUCT(INDEX($FK$325:$ID$396,HA$169,1+SwaptionShift):INDEX($FK$325:$ID$396,HA$169,SwaptionMonthsToGo+SwaptionShift),INDEX($FK$245:$ID$316,$FJ221-HA$169,73-HA$169+SwaptionShift):INDEX($FK$245:$ID$316,$FJ221-HA$169,72-HA$169+SwaptionMonthsToGo+SwaptionShift))/SQRT(SUM(INDEX($FK376:$ID376,1+SwaptionShift):INDEX($FK376:$ID376,SwaptionMonthsToGo+SwaptionShift))*SUM(INDEX($FK$325:$ID$396,HA$169,1+SwaptionShift):INDEX($FK$325:$ID$396,HA$169,SwaptionMonthsToGo+SwaptionShift))))))</f>
        <v/>
      </c>
      <c r="HB221" s="479" t="str">
        <f ca="1">IF(OR(HB$169&lt;SwaptionFirstMonthPosition+1,$FJ221&lt;SwaptionFirstMonthPosition+1,HB$169&gt;SwaptionFirstMonthPosition+SwaptionNumOfMonths+1,$FJ221&gt;SwaptionFirstMonthPosition+SwaptionNumOfMonths+1),"",IF($FJ221=HB$169,1,IF($FJ221&lt;HB$169,INDEX($FK$170:$ID$241,HB$169,$FJ221),SUMPRODUCT(INDEX($FK$325:$ID$396,HB$169,1+SwaptionShift):INDEX($FK$325:$ID$396,HB$169,SwaptionMonthsToGo+SwaptionShift),INDEX($FK$245:$ID$316,$FJ221-HB$169,73-HB$169+SwaptionShift):INDEX($FK$245:$ID$316,$FJ221-HB$169,72-HB$169+SwaptionMonthsToGo+SwaptionShift))/SQRT(SUM(INDEX($FK376:$ID376,1+SwaptionShift):INDEX($FK376:$ID376,SwaptionMonthsToGo+SwaptionShift))*SUM(INDEX($FK$325:$ID$396,HB$169,1+SwaptionShift):INDEX($FK$325:$ID$396,HB$169,SwaptionMonthsToGo+SwaptionShift))))))</f>
        <v/>
      </c>
      <c r="HC221" s="479" t="str">
        <f ca="1">IF(OR(HC$169&lt;SwaptionFirstMonthPosition+1,$FJ221&lt;SwaptionFirstMonthPosition+1,HC$169&gt;SwaptionFirstMonthPosition+SwaptionNumOfMonths+1,$FJ221&gt;SwaptionFirstMonthPosition+SwaptionNumOfMonths+1),"",IF($FJ221=HC$169,1,IF($FJ221&lt;HC$169,INDEX($FK$170:$ID$241,HC$169,$FJ221),SUMPRODUCT(INDEX($FK$325:$ID$396,HC$169,1+SwaptionShift):INDEX($FK$325:$ID$396,HC$169,SwaptionMonthsToGo+SwaptionShift),INDEX($FK$245:$ID$316,$FJ221-HC$169,73-HC$169+SwaptionShift):INDEX($FK$245:$ID$316,$FJ221-HC$169,72-HC$169+SwaptionMonthsToGo+SwaptionShift))/SQRT(SUM(INDEX($FK376:$ID376,1+SwaptionShift):INDEX($FK376:$ID376,SwaptionMonthsToGo+SwaptionShift))*SUM(INDEX($FK$325:$ID$396,HC$169,1+SwaptionShift):INDEX($FK$325:$ID$396,HC$169,SwaptionMonthsToGo+SwaptionShift))))))</f>
        <v/>
      </c>
      <c r="HD221" s="479" t="str">
        <f ca="1">IF(OR(HD$169&lt;SwaptionFirstMonthPosition+1,$FJ221&lt;SwaptionFirstMonthPosition+1,HD$169&gt;SwaptionFirstMonthPosition+SwaptionNumOfMonths+1,$FJ221&gt;SwaptionFirstMonthPosition+SwaptionNumOfMonths+1),"",IF($FJ221=HD$169,1,IF($FJ221&lt;HD$169,INDEX($FK$170:$ID$241,HD$169,$FJ221),SUMPRODUCT(INDEX($FK$325:$ID$396,HD$169,1+SwaptionShift):INDEX($FK$325:$ID$396,HD$169,SwaptionMonthsToGo+SwaptionShift),INDEX($FK$245:$ID$316,$FJ221-HD$169,73-HD$169+SwaptionShift):INDEX($FK$245:$ID$316,$FJ221-HD$169,72-HD$169+SwaptionMonthsToGo+SwaptionShift))/SQRT(SUM(INDEX($FK376:$ID376,1+SwaptionShift):INDEX($FK376:$ID376,SwaptionMonthsToGo+SwaptionShift))*SUM(INDEX($FK$325:$ID$396,HD$169,1+SwaptionShift):INDEX($FK$325:$ID$396,HD$169,SwaptionMonthsToGo+SwaptionShift))))))</f>
        <v/>
      </c>
      <c r="HE221" s="479" t="str">
        <f ca="1">IF(OR(HE$169&lt;SwaptionFirstMonthPosition+1,$FJ221&lt;SwaptionFirstMonthPosition+1,HE$169&gt;SwaptionFirstMonthPosition+SwaptionNumOfMonths+1,$FJ221&gt;SwaptionFirstMonthPosition+SwaptionNumOfMonths+1),"",IF($FJ221=HE$169,1,IF($FJ221&lt;HE$169,INDEX($FK$170:$ID$241,HE$169,$FJ221),SUMPRODUCT(INDEX($FK$325:$ID$396,HE$169,1+SwaptionShift):INDEX($FK$325:$ID$396,HE$169,SwaptionMonthsToGo+SwaptionShift),INDEX($FK$245:$ID$316,$FJ221-HE$169,73-HE$169+SwaptionShift):INDEX($FK$245:$ID$316,$FJ221-HE$169,72-HE$169+SwaptionMonthsToGo+SwaptionShift))/SQRT(SUM(INDEX($FK376:$ID376,1+SwaptionShift):INDEX($FK376:$ID376,SwaptionMonthsToGo+SwaptionShift))*SUM(INDEX($FK$325:$ID$396,HE$169,1+SwaptionShift):INDEX($FK$325:$ID$396,HE$169,SwaptionMonthsToGo+SwaptionShift))))))</f>
        <v/>
      </c>
      <c r="HF221" s="479" t="str">
        <f ca="1">IF(OR(HF$169&lt;SwaptionFirstMonthPosition+1,$FJ221&lt;SwaptionFirstMonthPosition+1,HF$169&gt;SwaptionFirstMonthPosition+SwaptionNumOfMonths+1,$FJ221&gt;SwaptionFirstMonthPosition+SwaptionNumOfMonths+1),"",IF($FJ221=HF$169,1,IF($FJ221&lt;HF$169,INDEX($FK$170:$ID$241,HF$169,$FJ221),SUMPRODUCT(INDEX($FK$325:$ID$396,HF$169,1+SwaptionShift):INDEX($FK$325:$ID$396,HF$169,SwaptionMonthsToGo+SwaptionShift),INDEX($FK$245:$ID$316,$FJ221-HF$169,73-HF$169+SwaptionShift):INDEX($FK$245:$ID$316,$FJ221-HF$169,72-HF$169+SwaptionMonthsToGo+SwaptionShift))/SQRT(SUM(INDEX($FK376:$ID376,1+SwaptionShift):INDEX($FK376:$ID376,SwaptionMonthsToGo+SwaptionShift))*SUM(INDEX($FK$325:$ID$396,HF$169,1+SwaptionShift):INDEX($FK$325:$ID$396,HF$169,SwaptionMonthsToGo+SwaptionShift))))))</f>
        <v/>
      </c>
      <c r="HG221" s="479" t="str">
        <f ca="1">IF(OR(HG$169&lt;SwaptionFirstMonthPosition+1,$FJ221&lt;SwaptionFirstMonthPosition+1,HG$169&gt;SwaptionFirstMonthPosition+SwaptionNumOfMonths+1,$FJ221&gt;SwaptionFirstMonthPosition+SwaptionNumOfMonths+1),"",IF($FJ221=HG$169,1,IF($FJ221&lt;HG$169,INDEX($FK$170:$ID$241,HG$169,$FJ221),SUMPRODUCT(INDEX($FK$325:$ID$396,HG$169,1+SwaptionShift):INDEX($FK$325:$ID$396,HG$169,SwaptionMonthsToGo+SwaptionShift),INDEX($FK$245:$ID$316,$FJ221-HG$169,73-HG$169+SwaptionShift):INDEX($FK$245:$ID$316,$FJ221-HG$169,72-HG$169+SwaptionMonthsToGo+SwaptionShift))/SQRT(SUM(INDEX($FK376:$ID376,1+SwaptionShift):INDEX($FK376:$ID376,SwaptionMonthsToGo+SwaptionShift))*SUM(INDEX($FK$325:$ID$396,HG$169,1+SwaptionShift):INDEX($FK$325:$ID$396,HG$169,SwaptionMonthsToGo+SwaptionShift))))))</f>
        <v/>
      </c>
      <c r="HH221" s="479" t="str">
        <f ca="1">IF(OR(HH$169&lt;SwaptionFirstMonthPosition+1,$FJ221&lt;SwaptionFirstMonthPosition+1,HH$169&gt;SwaptionFirstMonthPosition+SwaptionNumOfMonths+1,$FJ221&gt;SwaptionFirstMonthPosition+SwaptionNumOfMonths+1),"",IF($FJ221=HH$169,1,IF($FJ221&lt;HH$169,INDEX($FK$170:$ID$241,HH$169,$FJ221),SUMPRODUCT(INDEX($FK$325:$ID$396,HH$169,1+SwaptionShift):INDEX($FK$325:$ID$396,HH$169,SwaptionMonthsToGo+SwaptionShift),INDEX($FK$245:$ID$316,$FJ221-HH$169,73-HH$169+SwaptionShift):INDEX($FK$245:$ID$316,$FJ221-HH$169,72-HH$169+SwaptionMonthsToGo+SwaptionShift))/SQRT(SUM(INDEX($FK376:$ID376,1+SwaptionShift):INDEX($FK376:$ID376,SwaptionMonthsToGo+SwaptionShift))*SUM(INDEX($FK$325:$ID$396,HH$169,1+SwaptionShift):INDEX($FK$325:$ID$396,HH$169,SwaptionMonthsToGo+SwaptionShift))))))</f>
        <v/>
      </c>
      <c r="HI221" s="479" t="str">
        <f ca="1">IF(OR(HI$169&lt;SwaptionFirstMonthPosition+1,$FJ221&lt;SwaptionFirstMonthPosition+1,HI$169&gt;SwaptionFirstMonthPosition+SwaptionNumOfMonths+1,$FJ221&gt;SwaptionFirstMonthPosition+SwaptionNumOfMonths+1),"",IF($FJ221=HI$169,1,IF($FJ221&lt;HI$169,INDEX($FK$170:$ID$241,HI$169,$FJ221),SUMPRODUCT(INDEX($FK$325:$ID$396,HI$169,1+SwaptionShift):INDEX($FK$325:$ID$396,HI$169,SwaptionMonthsToGo+SwaptionShift),INDEX($FK$245:$ID$316,$FJ221-HI$169,73-HI$169+SwaptionShift):INDEX($FK$245:$ID$316,$FJ221-HI$169,72-HI$169+SwaptionMonthsToGo+SwaptionShift))/SQRT(SUM(INDEX($FK376:$ID376,1+SwaptionShift):INDEX($FK376:$ID376,SwaptionMonthsToGo+SwaptionShift))*SUM(INDEX($FK$325:$ID$396,HI$169,1+SwaptionShift):INDEX($FK$325:$ID$396,HI$169,SwaptionMonthsToGo+SwaptionShift))))))</f>
        <v/>
      </c>
      <c r="HJ221" s="479" t="str">
        <f ca="1">IF(OR(HJ$169&lt;SwaptionFirstMonthPosition+1,$FJ221&lt;SwaptionFirstMonthPosition+1,HJ$169&gt;SwaptionFirstMonthPosition+SwaptionNumOfMonths+1,$FJ221&gt;SwaptionFirstMonthPosition+SwaptionNumOfMonths+1),"",IF($FJ221=HJ$169,1,IF($FJ221&lt;HJ$169,INDEX($FK$170:$ID$241,HJ$169,$FJ221),SUMPRODUCT(INDEX($FK$325:$ID$396,HJ$169,1+SwaptionShift):INDEX($FK$325:$ID$396,HJ$169,SwaptionMonthsToGo+SwaptionShift),INDEX($FK$245:$ID$316,$FJ221-HJ$169,73-HJ$169+SwaptionShift):INDEX($FK$245:$ID$316,$FJ221-HJ$169,72-HJ$169+SwaptionMonthsToGo+SwaptionShift))/SQRT(SUM(INDEX($FK376:$ID376,1+SwaptionShift):INDEX($FK376:$ID376,SwaptionMonthsToGo+SwaptionShift))*SUM(INDEX($FK$325:$ID$396,HJ$169,1+SwaptionShift):INDEX($FK$325:$ID$396,HJ$169,SwaptionMonthsToGo+SwaptionShift))))))</f>
        <v/>
      </c>
      <c r="HK221" s="479" t="str">
        <f ca="1">IF(OR(HK$169&lt;SwaptionFirstMonthPosition+1,$FJ221&lt;SwaptionFirstMonthPosition+1,HK$169&gt;SwaptionFirstMonthPosition+SwaptionNumOfMonths+1,$FJ221&gt;SwaptionFirstMonthPosition+SwaptionNumOfMonths+1),"",IF($FJ221=HK$169,1,IF($FJ221&lt;HK$169,INDEX($FK$170:$ID$241,HK$169,$FJ221),SUMPRODUCT(INDEX($FK$325:$ID$396,HK$169,1+SwaptionShift):INDEX($FK$325:$ID$396,HK$169,SwaptionMonthsToGo+SwaptionShift),INDEX($FK$245:$ID$316,$FJ221-HK$169,73-HK$169+SwaptionShift):INDEX($FK$245:$ID$316,$FJ221-HK$169,72-HK$169+SwaptionMonthsToGo+SwaptionShift))/SQRT(SUM(INDEX($FK376:$ID376,1+SwaptionShift):INDEX($FK376:$ID376,SwaptionMonthsToGo+SwaptionShift))*SUM(INDEX($FK$325:$ID$396,HK$169,1+SwaptionShift):INDEX($FK$325:$ID$396,HK$169,SwaptionMonthsToGo+SwaptionShift))))))</f>
        <v/>
      </c>
      <c r="HL221" s="479" t="str">
        <f ca="1">IF(OR(HL$169&lt;SwaptionFirstMonthPosition+1,$FJ221&lt;SwaptionFirstMonthPosition+1,HL$169&gt;SwaptionFirstMonthPosition+SwaptionNumOfMonths+1,$FJ221&gt;SwaptionFirstMonthPosition+SwaptionNumOfMonths+1),"",IF($FJ221=HL$169,1,IF($FJ221&lt;HL$169,INDEX($FK$170:$ID$241,HL$169,$FJ221),SUMPRODUCT(INDEX($FK$325:$ID$396,HL$169,1+SwaptionShift):INDEX($FK$325:$ID$396,HL$169,SwaptionMonthsToGo+SwaptionShift),INDEX($FK$245:$ID$316,$FJ221-HL$169,73-HL$169+SwaptionShift):INDEX($FK$245:$ID$316,$FJ221-HL$169,72-HL$169+SwaptionMonthsToGo+SwaptionShift))/SQRT(SUM(INDEX($FK376:$ID376,1+SwaptionShift):INDEX($FK376:$ID376,SwaptionMonthsToGo+SwaptionShift))*SUM(INDEX($FK$325:$ID$396,HL$169,1+SwaptionShift):INDEX($FK$325:$ID$396,HL$169,SwaptionMonthsToGo+SwaptionShift))))))</f>
        <v/>
      </c>
      <c r="HM221" s="479" t="str">
        <f ca="1">IF(OR(HM$169&lt;SwaptionFirstMonthPosition+1,$FJ221&lt;SwaptionFirstMonthPosition+1,HM$169&gt;SwaptionFirstMonthPosition+SwaptionNumOfMonths+1,$FJ221&gt;SwaptionFirstMonthPosition+SwaptionNumOfMonths+1),"",IF($FJ221=HM$169,1,IF($FJ221&lt;HM$169,INDEX($FK$170:$ID$241,HM$169,$FJ221),SUMPRODUCT(INDEX($FK$325:$ID$396,HM$169,1+SwaptionShift):INDEX($FK$325:$ID$396,HM$169,SwaptionMonthsToGo+SwaptionShift),INDEX($FK$245:$ID$316,$FJ221-HM$169,73-HM$169+SwaptionShift):INDEX($FK$245:$ID$316,$FJ221-HM$169,72-HM$169+SwaptionMonthsToGo+SwaptionShift))/SQRT(SUM(INDEX($FK376:$ID376,1+SwaptionShift):INDEX($FK376:$ID376,SwaptionMonthsToGo+SwaptionShift))*SUM(INDEX($FK$325:$ID$396,HM$169,1+SwaptionShift):INDEX($FK$325:$ID$396,HM$169,SwaptionMonthsToGo+SwaptionShift))))))</f>
        <v/>
      </c>
      <c r="HN221" s="479" t="str">
        <f ca="1">IF(OR(HN$169&lt;SwaptionFirstMonthPosition+1,$FJ221&lt;SwaptionFirstMonthPosition+1,HN$169&gt;SwaptionFirstMonthPosition+SwaptionNumOfMonths+1,$FJ221&gt;SwaptionFirstMonthPosition+SwaptionNumOfMonths+1),"",IF($FJ221=HN$169,1,IF($FJ221&lt;HN$169,INDEX($FK$170:$ID$241,HN$169,$FJ221),SUMPRODUCT(INDEX($FK$325:$ID$396,HN$169,1+SwaptionShift):INDEX($FK$325:$ID$396,HN$169,SwaptionMonthsToGo+SwaptionShift),INDEX($FK$245:$ID$316,$FJ221-HN$169,73-HN$169+SwaptionShift):INDEX($FK$245:$ID$316,$FJ221-HN$169,72-HN$169+SwaptionMonthsToGo+SwaptionShift))/SQRT(SUM(INDEX($FK376:$ID376,1+SwaptionShift):INDEX($FK376:$ID376,SwaptionMonthsToGo+SwaptionShift))*SUM(INDEX($FK$325:$ID$396,HN$169,1+SwaptionShift):INDEX($FK$325:$ID$396,HN$169,SwaptionMonthsToGo+SwaptionShift))))))</f>
        <v/>
      </c>
      <c r="HO221" s="479" t="str">
        <f ca="1">IF(OR(HO$169&lt;SwaptionFirstMonthPosition+1,$FJ221&lt;SwaptionFirstMonthPosition+1,HO$169&gt;SwaptionFirstMonthPosition+SwaptionNumOfMonths+1,$FJ221&gt;SwaptionFirstMonthPosition+SwaptionNumOfMonths+1),"",IF($FJ221=HO$169,1,IF($FJ221&lt;HO$169,INDEX($FK$170:$ID$241,HO$169,$FJ221),SUMPRODUCT(INDEX($FK$325:$ID$396,HO$169,1+SwaptionShift):INDEX($FK$325:$ID$396,HO$169,SwaptionMonthsToGo+SwaptionShift),INDEX($FK$245:$ID$316,$FJ221-HO$169,73-HO$169+SwaptionShift):INDEX($FK$245:$ID$316,$FJ221-HO$169,72-HO$169+SwaptionMonthsToGo+SwaptionShift))/SQRT(SUM(INDEX($FK376:$ID376,1+SwaptionShift):INDEX($FK376:$ID376,SwaptionMonthsToGo+SwaptionShift))*SUM(INDEX($FK$325:$ID$396,HO$169,1+SwaptionShift):INDEX($FK$325:$ID$396,HO$169,SwaptionMonthsToGo+SwaptionShift))))))</f>
        <v/>
      </c>
      <c r="HP221" s="479" t="str">
        <f ca="1">IF(OR(HP$169&lt;SwaptionFirstMonthPosition+1,$FJ221&lt;SwaptionFirstMonthPosition+1,HP$169&gt;SwaptionFirstMonthPosition+SwaptionNumOfMonths+1,$FJ221&gt;SwaptionFirstMonthPosition+SwaptionNumOfMonths+1),"",IF($FJ221=HP$169,1,IF($FJ221&lt;HP$169,INDEX($FK$170:$ID$241,HP$169,$FJ221),SUMPRODUCT(INDEX($FK$325:$ID$396,HP$169,1+SwaptionShift):INDEX($FK$325:$ID$396,HP$169,SwaptionMonthsToGo+SwaptionShift),INDEX($FK$245:$ID$316,$FJ221-HP$169,73-HP$169+SwaptionShift):INDEX($FK$245:$ID$316,$FJ221-HP$169,72-HP$169+SwaptionMonthsToGo+SwaptionShift))/SQRT(SUM(INDEX($FK376:$ID376,1+SwaptionShift):INDEX($FK376:$ID376,SwaptionMonthsToGo+SwaptionShift))*SUM(INDEX($FK$325:$ID$396,HP$169,1+SwaptionShift):INDEX($FK$325:$ID$396,HP$169,SwaptionMonthsToGo+SwaptionShift))))))</f>
        <v/>
      </c>
      <c r="HQ221" s="479" t="str">
        <f ca="1">IF(OR(HQ$169&lt;SwaptionFirstMonthPosition+1,$FJ221&lt;SwaptionFirstMonthPosition+1,HQ$169&gt;SwaptionFirstMonthPosition+SwaptionNumOfMonths+1,$FJ221&gt;SwaptionFirstMonthPosition+SwaptionNumOfMonths+1),"",IF($FJ221=HQ$169,1,IF($FJ221&lt;HQ$169,INDEX($FK$170:$ID$241,HQ$169,$FJ221),SUMPRODUCT(INDEX($FK$325:$ID$396,HQ$169,1+SwaptionShift):INDEX($FK$325:$ID$396,HQ$169,SwaptionMonthsToGo+SwaptionShift),INDEX($FK$245:$ID$316,$FJ221-HQ$169,73-HQ$169+SwaptionShift):INDEX($FK$245:$ID$316,$FJ221-HQ$169,72-HQ$169+SwaptionMonthsToGo+SwaptionShift))/SQRT(SUM(INDEX($FK376:$ID376,1+SwaptionShift):INDEX($FK376:$ID376,SwaptionMonthsToGo+SwaptionShift))*SUM(INDEX($FK$325:$ID$396,HQ$169,1+SwaptionShift):INDEX($FK$325:$ID$396,HQ$169,SwaptionMonthsToGo+SwaptionShift))))))</f>
        <v/>
      </c>
      <c r="HR221" s="479" t="str">
        <f ca="1">IF(OR(HR$169&lt;SwaptionFirstMonthPosition+1,$FJ221&lt;SwaptionFirstMonthPosition+1,HR$169&gt;SwaptionFirstMonthPosition+SwaptionNumOfMonths+1,$FJ221&gt;SwaptionFirstMonthPosition+SwaptionNumOfMonths+1),"",IF($FJ221=HR$169,1,IF($FJ221&lt;HR$169,INDEX($FK$170:$ID$241,HR$169,$FJ221),SUMPRODUCT(INDEX($FK$325:$ID$396,HR$169,1+SwaptionShift):INDEX($FK$325:$ID$396,HR$169,SwaptionMonthsToGo+SwaptionShift),INDEX($FK$245:$ID$316,$FJ221-HR$169,73-HR$169+SwaptionShift):INDEX($FK$245:$ID$316,$FJ221-HR$169,72-HR$169+SwaptionMonthsToGo+SwaptionShift))/SQRT(SUM(INDEX($FK376:$ID376,1+SwaptionShift):INDEX($FK376:$ID376,SwaptionMonthsToGo+SwaptionShift))*SUM(INDEX($FK$325:$ID$396,HR$169,1+SwaptionShift):INDEX($FK$325:$ID$396,HR$169,SwaptionMonthsToGo+SwaptionShift))))))</f>
        <v/>
      </c>
      <c r="HS221" s="479" t="str">
        <f ca="1">IF(OR(HS$169&lt;SwaptionFirstMonthPosition+1,$FJ221&lt;SwaptionFirstMonthPosition+1,HS$169&gt;SwaptionFirstMonthPosition+SwaptionNumOfMonths+1,$FJ221&gt;SwaptionFirstMonthPosition+SwaptionNumOfMonths+1),"",IF($FJ221=HS$169,1,IF($FJ221&lt;HS$169,INDEX($FK$170:$ID$241,HS$169,$FJ221),SUMPRODUCT(INDEX($FK$325:$ID$396,HS$169,1+SwaptionShift):INDEX($FK$325:$ID$396,HS$169,SwaptionMonthsToGo+SwaptionShift),INDEX($FK$245:$ID$316,$FJ221-HS$169,73-HS$169+SwaptionShift):INDEX($FK$245:$ID$316,$FJ221-HS$169,72-HS$169+SwaptionMonthsToGo+SwaptionShift))/SQRT(SUM(INDEX($FK376:$ID376,1+SwaptionShift):INDEX($FK376:$ID376,SwaptionMonthsToGo+SwaptionShift))*SUM(INDEX($FK$325:$ID$396,HS$169,1+SwaptionShift):INDEX($FK$325:$ID$396,HS$169,SwaptionMonthsToGo+SwaptionShift))))))</f>
        <v/>
      </c>
      <c r="HT221" s="479" t="str">
        <f ca="1">IF(OR(HT$169&lt;SwaptionFirstMonthPosition+1,$FJ221&lt;SwaptionFirstMonthPosition+1,HT$169&gt;SwaptionFirstMonthPosition+SwaptionNumOfMonths+1,$FJ221&gt;SwaptionFirstMonthPosition+SwaptionNumOfMonths+1),"",IF($FJ221=HT$169,1,IF($FJ221&lt;HT$169,INDEX($FK$170:$ID$241,HT$169,$FJ221),SUMPRODUCT(INDEX($FK$325:$ID$396,HT$169,1+SwaptionShift):INDEX($FK$325:$ID$396,HT$169,SwaptionMonthsToGo+SwaptionShift),INDEX($FK$245:$ID$316,$FJ221-HT$169,73-HT$169+SwaptionShift):INDEX($FK$245:$ID$316,$FJ221-HT$169,72-HT$169+SwaptionMonthsToGo+SwaptionShift))/SQRT(SUM(INDEX($FK376:$ID376,1+SwaptionShift):INDEX($FK376:$ID376,SwaptionMonthsToGo+SwaptionShift))*SUM(INDEX($FK$325:$ID$396,HT$169,1+SwaptionShift):INDEX($FK$325:$ID$396,HT$169,SwaptionMonthsToGo+SwaptionShift))))))</f>
        <v/>
      </c>
      <c r="HU221" s="479" t="str">
        <f ca="1">IF(OR(HU$169&lt;SwaptionFirstMonthPosition+1,$FJ221&lt;SwaptionFirstMonthPosition+1,HU$169&gt;SwaptionFirstMonthPosition+SwaptionNumOfMonths+1,$FJ221&gt;SwaptionFirstMonthPosition+SwaptionNumOfMonths+1),"",IF($FJ221=HU$169,1,IF($FJ221&lt;HU$169,INDEX($FK$170:$ID$241,HU$169,$FJ221),SUMPRODUCT(INDEX($FK$325:$ID$396,HU$169,1+SwaptionShift):INDEX($FK$325:$ID$396,HU$169,SwaptionMonthsToGo+SwaptionShift),INDEX($FK$245:$ID$316,$FJ221-HU$169,73-HU$169+SwaptionShift):INDEX($FK$245:$ID$316,$FJ221-HU$169,72-HU$169+SwaptionMonthsToGo+SwaptionShift))/SQRT(SUM(INDEX($FK376:$ID376,1+SwaptionShift):INDEX($FK376:$ID376,SwaptionMonthsToGo+SwaptionShift))*SUM(INDEX($FK$325:$ID$396,HU$169,1+SwaptionShift):INDEX($FK$325:$ID$396,HU$169,SwaptionMonthsToGo+SwaptionShift))))))</f>
        <v/>
      </c>
      <c r="HV221" s="479" t="str">
        <f ca="1">IF(OR(HV$169&lt;SwaptionFirstMonthPosition+1,$FJ221&lt;SwaptionFirstMonthPosition+1,HV$169&gt;SwaptionFirstMonthPosition+SwaptionNumOfMonths+1,$FJ221&gt;SwaptionFirstMonthPosition+SwaptionNumOfMonths+1),"",IF($FJ221=HV$169,1,IF($FJ221&lt;HV$169,INDEX($FK$170:$ID$241,HV$169,$FJ221),SUMPRODUCT(INDEX($FK$325:$ID$396,HV$169,1+SwaptionShift):INDEX($FK$325:$ID$396,HV$169,SwaptionMonthsToGo+SwaptionShift),INDEX($FK$245:$ID$316,$FJ221-HV$169,73-HV$169+SwaptionShift):INDEX($FK$245:$ID$316,$FJ221-HV$169,72-HV$169+SwaptionMonthsToGo+SwaptionShift))/SQRT(SUM(INDEX($FK376:$ID376,1+SwaptionShift):INDEX($FK376:$ID376,SwaptionMonthsToGo+SwaptionShift))*SUM(INDEX($FK$325:$ID$396,HV$169,1+SwaptionShift):INDEX($FK$325:$ID$396,HV$169,SwaptionMonthsToGo+SwaptionShift))))))</f>
        <v/>
      </c>
      <c r="HW221" s="479" t="str">
        <f ca="1">IF(OR(HW$169&lt;SwaptionFirstMonthPosition+1,$FJ221&lt;SwaptionFirstMonthPosition+1,HW$169&gt;SwaptionFirstMonthPosition+SwaptionNumOfMonths+1,$FJ221&gt;SwaptionFirstMonthPosition+SwaptionNumOfMonths+1),"",IF($FJ221=HW$169,1,IF($FJ221&lt;HW$169,INDEX($FK$170:$ID$241,HW$169,$FJ221),SUMPRODUCT(INDEX($FK$325:$ID$396,HW$169,1+SwaptionShift):INDEX($FK$325:$ID$396,HW$169,SwaptionMonthsToGo+SwaptionShift),INDEX($FK$245:$ID$316,$FJ221-HW$169,73-HW$169+SwaptionShift):INDEX($FK$245:$ID$316,$FJ221-HW$169,72-HW$169+SwaptionMonthsToGo+SwaptionShift))/SQRT(SUM(INDEX($FK376:$ID376,1+SwaptionShift):INDEX($FK376:$ID376,SwaptionMonthsToGo+SwaptionShift))*SUM(INDEX($FK$325:$ID$396,HW$169,1+SwaptionShift):INDEX($FK$325:$ID$396,HW$169,SwaptionMonthsToGo+SwaptionShift))))))</f>
        <v/>
      </c>
      <c r="HX221" s="479" t="str">
        <f ca="1">IF(OR(HX$169&lt;SwaptionFirstMonthPosition+1,$FJ221&lt;SwaptionFirstMonthPosition+1,HX$169&gt;SwaptionFirstMonthPosition+SwaptionNumOfMonths+1,$FJ221&gt;SwaptionFirstMonthPosition+SwaptionNumOfMonths+1),"",IF($FJ221=HX$169,1,IF($FJ221&lt;HX$169,INDEX($FK$170:$ID$241,HX$169,$FJ221),SUMPRODUCT(INDEX($FK$325:$ID$396,HX$169,1+SwaptionShift):INDEX($FK$325:$ID$396,HX$169,SwaptionMonthsToGo+SwaptionShift),INDEX($FK$245:$ID$316,$FJ221-HX$169,73-HX$169+SwaptionShift):INDEX($FK$245:$ID$316,$FJ221-HX$169,72-HX$169+SwaptionMonthsToGo+SwaptionShift))/SQRT(SUM(INDEX($FK376:$ID376,1+SwaptionShift):INDEX($FK376:$ID376,SwaptionMonthsToGo+SwaptionShift))*SUM(INDEX($FK$325:$ID$396,HX$169,1+SwaptionShift):INDEX($FK$325:$ID$396,HX$169,SwaptionMonthsToGo+SwaptionShift))))))</f>
        <v/>
      </c>
      <c r="HY221" s="479" t="str">
        <f ca="1">IF(OR(HY$169&lt;SwaptionFirstMonthPosition+1,$FJ221&lt;SwaptionFirstMonthPosition+1,HY$169&gt;SwaptionFirstMonthPosition+SwaptionNumOfMonths+1,$FJ221&gt;SwaptionFirstMonthPosition+SwaptionNumOfMonths+1),"",IF($FJ221=HY$169,1,IF($FJ221&lt;HY$169,INDEX($FK$170:$ID$241,HY$169,$FJ221),SUMPRODUCT(INDEX($FK$325:$ID$396,HY$169,1+SwaptionShift):INDEX($FK$325:$ID$396,HY$169,SwaptionMonthsToGo+SwaptionShift),INDEX($FK$245:$ID$316,$FJ221-HY$169,73-HY$169+SwaptionShift):INDEX($FK$245:$ID$316,$FJ221-HY$169,72-HY$169+SwaptionMonthsToGo+SwaptionShift))/SQRT(SUM(INDEX($FK376:$ID376,1+SwaptionShift):INDEX($FK376:$ID376,SwaptionMonthsToGo+SwaptionShift))*SUM(INDEX($FK$325:$ID$396,HY$169,1+SwaptionShift):INDEX($FK$325:$ID$396,HY$169,SwaptionMonthsToGo+SwaptionShift))))))</f>
        <v/>
      </c>
      <c r="HZ221" s="479" t="str">
        <f ca="1">IF(OR(HZ$169&lt;SwaptionFirstMonthPosition+1,$FJ221&lt;SwaptionFirstMonthPosition+1,HZ$169&gt;SwaptionFirstMonthPosition+SwaptionNumOfMonths+1,$FJ221&gt;SwaptionFirstMonthPosition+SwaptionNumOfMonths+1),"",IF($FJ221=HZ$169,1,IF($FJ221&lt;HZ$169,INDEX($FK$170:$ID$241,HZ$169,$FJ221),SUMPRODUCT(INDEX($FK$325:$ID$396,HZ$169,1+SwaptionShift):INDEX($FK$325:$ID$396,HZ$169,SwaptionMonthsToGo+SwaptionShift),INDEX($FK$245:$ID$316,$FJ221-HZ$169,73-HZ$169+SwaptionShift):INDEX($FK$245:$ID$316,$FJ221-HZ$169,72-HZ$169+SwaptionMonthsToGo+SwaptionShift))/SQRT(SUM(INDEX($FK376:$ID376,1+SwaptionShift):INDEX($FK376:$ID376,SwaptionMonthsToGo+SwaptionShift))*SUM(INDEX($FK$325:$ID$396,HZ$169,1+SwaptionShift):INDEX($FK$325:$ID$396,HZ$169,SwaptionMonthsToGo+SwaptionShift))))))</f>
        <v/>
      </c>
      <c r="IA221" s="479" t="str">
        <f ca="1">IF(OR(IA$169&lt;SwaptionFirstMonthPosition+1,$FJ221&lt;SwaptionFirstMonthPosition+1,IA$169&gt;SwaptionFirstMonthPosition+SwaptionNumOfMonths+1,$FJ221&gt;SwaptionFirstMonthPosition+SwaptionNumOfMonths+1),"",IF($FJ221=IA$169,1,IF($FJ221&lt;IA$169,INDEX($FK$170:$ID$241,IA$169,$FJ221),SUMPRODUCT(INDEX($FK$325:$ID$396,IA$169,1+SwaptionShift):INDEX($FK$325:$ID$396,IA$169,SwaptionMonthsToGo+SwaptionShift),INDEX($FK$245:$ID$316,$FJ221-IA$169,73-IA$169+SwaptionShift):INDEX($FK$245:$ID$316,$FJ221-IA$169,72-IA$169+SwaptionMonthsToGo+SwaptionShift))/SQRT(SUM(INDEX($FK376:$ID376,1+SwaptionShift):INDEX($FK376:$ID376,SwaptionMonthsToGo+SwaptionShift))*SUM(INDEX($FK$325:$ID$396,IA$169,1+SwaptionShift):INDEX($FK$325:$ID$396,IA$169,SwaptionMonthsToGo+SwaptionShift))))))</f>
        <v/>
      </c>
      <c r="IB221" s="479" t="str">
        <f ca="1">IF(OR(IB$169&lt;SwaptionFirstMonthPosition+1,$FJ221&lt;SwaptionFirstMonthPosition+1,IB$169&gt;SwaptionFirstMonthPosition+SwaptionNumOfMonths+1,$FJ221&gt;SwaptionFirstMonthPosition+SwaptionNumOfMonths+1),"",IF($FJ221=IB$169,1,IF($FJ221&lt;IB$169,INDEX($FK$170:$ID$241,IB$169,$FJ221),SUMPRODUCT(INDEX($FK$325:$ID$396,IB$169,1+SwaptionShift):INDEX($FK$325:$ID$396,IB$169,SwaptionMonthsToGo+SwaptionShift),INDEX($FK$245:$ID$316,$FJ221-IB$169,73-IB$169+SwaptionShift):INDEX($FK$245:$ID$316,$FJ221-IB$169,72-IB$169+SwaptionMonthsToGo+SwaptionShift))/SQRT(SUM(INDEX($FK376:$ID376,1+SwaptionShift):INDEX($FK376:$ID376,SwaptionMonthsToGo+SwaptionShift))*SUM(INDEX($FK$325:$ID$396,IB$169,1+SwaptionShift):INDEX($FK$325:$ID$396,IB$169,SwaptionMonthsToGo+SwaptionShift))))))</f>
        <v/>
      </c>
      <c r="IC221" s="479" t="str">
        <f ca="1">IF(OR(IC$169&lt;SwaptionFirstMonthPosition+1,$FJ221&lt;SwaptionFirstMonthPosition+1,IC$169&gt;SwaptionFirstMonthPosition+SwaptionNumOfMonths+1,$FJ221&gt;SwaptionFirstMonthPosition+SwaptionNumOfMonths+1),"",IF($FJ221=IC$169,1,IF($FJ221&lt;IC$169,INDEX($FK$170:$ID$241,IC$169,$FJ221),SUMPRODUCT(INDEX($FK$325:$ID$396,IC$169,1+SwaptionShift):INDEX($FK$325:$ID$396,IC$169,SwaptionMonthsToGo+SwaptionShift),INDEX($FK$245:$ID$316,$FJ221-IC$169,73-IC$169+SwaptionShift):INDEX($FK$245:$ID$316,$FJ221-IC$169,72-IC$169+SwaptionMonthsToGo+SwaptionShift))/SQRT(SUM(INDEX($FK376:$ID376,1+SwaptionShift):INDEX($FK376:$ID376,SwaptionMonthsToGo+SwaptionShift))*SUM(INDEX($FK$325:$ID$396,IC$169,1+SwaptionShift):INDEX($FK$325:$ID$396,IC$169,SwaptionMonthsToGo+SwaptionShift))))))</f>
        <v/>
      </c>
      <c r="ID221" s="678" t="str">
        <f ca="1">IF(OR(ID$169&lt;SwaptionFirstMonthPosition+1,$FJ221&lt;SwaptionFirstMonthPosition+1,ID$169&gt;SwaptionFirstMonthPosition+SwaptionNumOfMonths+1,$FJ221&gt;SwaptionFirstMonthPosition+SwaptionNumOfMonths+1),"",IF($FJ221=ID$169,1,IF($FJ221&lt;ID$169,INDEX($FK$170:$ID$241,ID$169,$FJ221),SUMPRODUCT(INDEX($FK$325:$ID$396,ID$169,1+SwaptionShift):INDEX($FK$325:$ID$396,ID$169,SwaptionMonthsToGo+SwaptionShift),INDEX($FK$245:$ID$316,$FJ221-ID$169,73-ID$169+SwaptionShift):INDEX($FK$245:$ID$316,$FJ221-ID$169,72-ID$169+SwaptionMonthsToGo+SwaptionShift))/SQRT(SUM(INDEX($FK376:$ID376,1+SwaptionShift):INDEX($FK376:$ID376,SwaptionMonthsToGo+SwaptionShift))*SUM(INDEX($FK$325:$ID$396,ID$169,1+SwaptionShift):INDEX($FK$325:$ID$396,ID$169,SwaptionMonthsToGo+SwaptionShift))))))</f>
        <v/>
      </c>
      <c r="IE221" s="250"/>
    </row>
    <row r="222" spans="8:239">
      <c r="H222" s="51">
        <f t="shared" ca="1" si="646"/>
        <v>0</v>
      </c>
      <c r="I222" s="379">
        <f t="shared" si="647"/>
        <v>42917</v>
      </c>
      <c r="J222" s="377"/>
      <c r="K222" s="104" t="s">
        <v>268</v>
      </c>
      <c r="L222" s="392">
        <f t="shared" si="648"/>
        <v>4.7249999999999996</v>
      </c>
      <c r="M222" s="171"/>
      <c r="N222" s="382">
        <v>0</v>
      </c>
      <c r="O222" s="171">
        <f t="shared" si="596"/>
        <v>0</v>
      </c>
      <c r="P222" s="377"/>
      <c r="Q222" s="104" t="s">
        <v>268</v>
      </c>
      <c r="R222" s="377">
        <f t="shared" ca="1" si="597"/>
        <v>3.5290279083558147</v>
      </c>
      <c r="S222" s="832">
        <f t="shared" si="564"/>
        <v>0.3600000000000001</v>
      </c>
      <c r="T222" s="831">
        <f t="shared" si="661"/>
        <v>0.99999999999999789</v>
      </c>
      <c r="U222" s="545">
        <f t="shared" si="662"/>
        <v>0.99999999999999978</v>
      </c>
      <c r="V222" s="389">
        <v>0</v>
      </c>
      <c r="W222" s="434">
        <f t="shared" si="598"/>
        <v>0</v>
      </c>
      <c r="X222" s="415">
        <f t="shared" si="599"/>
        <v>4.7756249999999998</v>
      </c>
      <c r="Y222" s="322">
        <f t="shared" si="600"/>
        <v>-1.2668999999999999</v>
      </c>
      <c r="Z222" s="322">
        <f t="shared" ca="1" si="601"/>
        <v>3.5087250000000001</v>
      </c>
      <c r="AA222" s="429">
        <f t="shared" si="628"/>
        <v>1.2668999999999999</v>
      </c>
      <c r="AB222" s="433">
        <f t="shared" ca="1" si="629"/>
        <v>1.2668999999999999</v>
      </c>
      <c r="AC222" s="229">
        <v>42906</v>
      </c>
      <c r="AD222" s="229">
        <v>42902</v>
      </c>
      <c r="AE222" s="229">
        <v>42901</v>
      </c>
      <c r="AF222" s="229">
        <v>42897</v>
      </c>
      <c r="AG222" s="249" t="s">
        <v>499</v>
      </c>
      <c r="AH222" s="247" t="s">
        <v>499</v>
      </c>
      <c r="AI222" s="146">
        <v>20</v>
      </c>
      <c r="AJ222" s="41">
        <v>13</v>
      </c>
      <c r="AK222" s="41">
        <v>7</v>
      </c>
      <c r="AL222" s="293">
        <v>21</v>
      </c>
      <c r="AM222" s="41">
        <v>10</v>
      </c>
      <c r="AN222" s="147">
        <v>11</v>
      </c>
      <c r="AO222" s="374"/>
      <c r="AP222" s="153">
        <f t="shared" ca="1" si="649"/>
        <v>1</v>
      </c>
      <c r="AQ222" s="374"/>
      <c r="AR222" s="153">
        <f t="shared" ca="1" si="663"/>
        <v>1</v>
      </c>
      <c r="AS222" s="272">
        <f t="shared" si="602"/>
        <v>0</v>
      </c>
      <c r="AT222" s="157">
        <f t="shared" si="650"/>
        <v>0</v>
      </c>
      <c r="AU222" s="157">
        <f t="shared" si="630"/>
        <v>0</v>
      </c>
      <c r="AV222" s="271">
        <f t="shared" ca="1" si="670"/>
        <v>9.9999999999999995E-7</v>
      </c>
      <c r="AW222" s="158" t="str">
        <f t="shared" ca="1" si="583"/>
        <v/>
      </c>
      <c r="AX222" s="157">
        <f t="shared" ca="1" si="664"/>
        <v>2.7808093258042339E-5</v>
      </c>
      <c r="AY222" s="157">
        <f t="shared" ca="1" si="665"/>
        <v>5.5963343923363444E-6</v>
      </c>
      <c r="AZ222" s="157">
        <f t="shared" ca="1" si="666"/>
        <v>1.25164331454257E-7</v>
      </c>
      <c r="BA222" s="157">
        <f t="shared" ca="1" si="667"/>
        <v>1.5645541431782125E-8</v>
      </c>
      <c r="BB222" s="157">
        <f t="shared" ca="1" si="668"/>
        <v>3.6256056267293467E-11</v>
      </c>
      <c r="BC222" s="157">
        <f t="shared" ca="1" si="669"/>
        <v>4.8956593338715922E-13</v>
      </c>
      <c r="BD222" s="151">
        <f t="shared" ca="1" si="603"/>
        <v>0</v>
      </c>
      <c r="BE222" s="152">
        <f t="shared" ca="1" si="604"/>
        <v>0</v>
      </c>
      <c r="BF222" s="40">
        <f t="shared" si="605"/>
        <v>2017</v>
      </c>
      <c r="BG222" s="144">
        <f t="shared" si="606"/>
        <v>7</v>
      </c>
      <c r="BH222" s="145">
        <f t="shared" ca="1" si="607"/>
        <v>6157</v>
      </c>
      <c r="BI222" s="313">
        <f t="shared" ca="1" si="608"/>
        <v>16.898015058179329</v>
      </c>
      <c r="BJ222" s="42">
        <f t="shared" ca="1" si="631"/>
        <v>16.951403148528406</v>
      </c>
      <c r="BK222" s="42">
        <f t="shared" ca="1" si="632"/>
        <v>16.954140999315538</v>
      </c>
      <c r="BL222" s="42">
        <f t="shared" ca="1" si="609"/>
        <v>16.980150581793293</v>
      </c>
      <c r="BM222" s="150" t="e">
        <f t="shared" ca="1" si="633"/>
        <v>#DIV/0!</v>
      </c>
      <c r="BN222" s="42" t="e">
        <f t="shared" ca="1" si="634"/>
        <v>#DIV/0!</v>
      </c>
      <c r="BO222" s="293">
        <f t="shared" si="610"/>
        <v>20</v>
      </c>
      <c r="BP222" s="41">
        <f t="shared" si="611"/>
        <v>13</v>
      </c>
      <c r="BQ222" s="41">
        <f t="shared" si="612"/>
        <v>7</v>
      </c>
      <c r="BR222" s="305" t="str">
        <f t="shared" ca="1" si="635"/>
        <v/>
      </c>
      <c r="BS222" s="305" t="str">
        <f t="shared" ca="1" si="613"/>
        <v/>
      </c>
      <c r="BT222" s="307" t="str">
        <f t="shared" ca="1" si="614"/>
        <v/>
      </c>
      <c r="BU222" s="161" t="str">
        <f t="shared" ca="1" si="636"/>
        <v/>
      </c>
      <c r="BV222" s="161" t="str">
        <f t="shared" ca="1" si="637"/>
        <v/>
      </c>
      <c r="BW222" s="308" t="str">
        <f t="shared" ca="1" si="638"/>
        <v/>
      </c>
      <c r="BX222" s="309" t="str">
        <f t="shared" ca="1" si="639"/>
        <v/>
      </c>
      <c r="BY222" s="308" t="str">
        <f t="shared" ca="1" si="615"/>
        <v/>
      </c>
      <c r="BZ222" s="309" t="str">
        <f t="shared" ca="1" si="616"/>
        <v/>
      </c>
      <c r="CA222" s="154" t="str">
        <f t="shared" ca="1" si="640"/>
        <v/>
      </c>
      <c r="CB222" s="154" t="str">
        <f t="shared" ca="1" si="641"/>
        <v/>
      </c>
      <c r="CC222" s="154" t="str">
        <f t="shared" ca="1" si="642"/>
        <v/>
      </c>
      <c r="CD222" s="154" t="str">
        <f t="shared" ca="1" si="643"/>
        <v/>
      </c>
      <c r="CE222" s="310">
        <v>1</v>
      </c>
      <c r="CF222" s="162">
        <f ca="1">IF(BD222,_xll.xCrudeAPO(BU222,BV222,CA222,CB222,S223,S224,BI222,BL222,BP222,BQ222,0,Strike1,AO222,CE222,0,BL222,IF(OptControl=4,0,1),0,1),0)</f>
        <v>0</v>
      </c>
      <c r="CG222" s="163">
        <f ca="1">IF(BD222,_xll.xCrudeAPO(BU222,BV222,CA222,CB222,S223,S224,BI222,BL222,BP222,BQ222,0,Strike1,AO222,CE222,0,BL222,IF(OptControl=4,0,1),1,1)+_xll.xCrudeAPO(BU222,BV222,CA222,CB222,S223,S224,BI222,BL222,BP222,BQ222,0,Strike1,AO222,CE222,0,BL222,IF(OptControl=4,0,1),1,2)+IF(OR(VolSkewFlag=2,ABS(BS222)&lt;0.0001),0,IF(BS222&gt;0,-1,1)*CH222*Strike1/BR222^2*BY222/10%),0)</f>
        <v>0</v>
      </c>
      <c r="CH222" s="163">
        <f ca="1">IF(BD222,(_xll.xCrudeAPO(BU222,BV222,CA222,CB222,S223,S224,BI222,BL222,BP222,BQ222,0,Strike1,AO222,CE222,0,BL222,IF(OptControl=4,0,1),3,1)+_xll.xCrudeAPO(BU222,BV222,CA222,CB222,S223,S224,BI222,BL222,BP222,BQ222,0,Strike1,AO222,CE222,0,BL222,IF(OptControl=4,0,1),3,2))/100,0)</f>
        <v>0</v>
      </c>
      <c r="CI222" s="163">
        <f ca="1">IF(BD222,_xll.xCrudeAPO(BU222,BV222,CA222,CB222,S223,S224,BI222-DaysForThetaCalculation/365.25,BL222-DaysForThetaCalculation/365.25,BP222,BQ222,0,Strike1,AO222,CE222,0,BL222,IF(OptControl=4,0,1),0,1)-_xll.xCrudeAPO(BU222,BV222,CA222,CB222,S223,S224,BI222,BL222,BP222,BQ222,0,Strike1,AO222,CE222,0,BL222,IF(OptControl=4,0,1),0,1),0)</f>
        <v>0</v>
      </c>
      <c r="CJ222" s="311">
        <f ca="1">IF(BD222,_xll.xCrudeAPO(BU222,BV222,CC222,CD222,S223,S224,BI222,BL222,BP222,BQ222,0,Strike2,AO222,CE222,0,BL222,IF(OptControl=3,1,0),0,1),0)</f>
        <v>0</v>
      </c>
      <c r="CK222" s="163">
        <f ca="1">IF(BD222,_xll.xCrudeAPO(BU222,BV222,CC222,CD222,S223,S224,BI222,BL222,BP222,BQ222,0,Strike2,AO222,CE222,0,BL222,IF(OptControl=3,1,0),1,1)+_xll.xCrudeAPO(BU222,BV222,CC222,CD222,S223,S224,BI222,BL222,BP222,BQ222,0,Strike2,AO222,CE222,0,BL222,IF(OptControl=3,1,0),1,2)+IF(OR(VolSkewFlag=2,ABS(BT222)&lt;0.0001),0,IF(BT222&gt;0,-1,1)*CL222*Strike2/BR222^2*BZ222/10%),0)</f>
        <v>0</v>
      </c>
      <c r="CL222" s="163">
        <f ca="1">IF(BD222,(_xll.xCrudeAPO(BU222,BV222,CC222,CD222,S223,S224,BI222,BL222,BP222,BQ222,0,Strike2,AO222,CE222,0,BL222,IF(OptControl=3,1,0),3,1)+_xll.xCrudeAPO(BU222,BV222,CC222,CD222,S223,S224,BI222,BL222,BP222,BQ222,0,Strike2,AO222,CE222,0,BL222,IF(OptControl=3,1,0),3,2))/100,0)</f>
        <v>0</v>
      </c>
      <c r="CM222" s="164">
        <f ca="1">IF(BD222,_xll.xCrudeAPO(BU222,BV222,CC222,CD222,S223,S224,BI222-DaysForThetaCalculation/365.25,BL222-DaysForThetaCalculation/365.25,BP222,BQ222,0,Strike2,AO222,CE222,0,BL222,IF(OptControl=3,1,0),0,1)-_xll.xCrudeAPO(BU222,BV222,CC222,CD222,S223,S224,BI222,BL222,BP222,BQ222,0,Strike2,AO222,CE222,0,BL222,IF(OptControl=3,1,0),0,1),0)</f>
        <v>0</v>
      </c>
      <c r="CN222" s="53"/>
      <c r="CO222" s="796" t="str">
        <f t="shared" ca="1" si="651"/>
        <v/>
      </c>
      <c r="CP222" s="800" t="str">
        <f t="shared" ca="1" si="652"/>
        <v/>
      </c>
      <c r="CQ222" s="797" t="str">
        <f t="shared" ca="1" si="653"/>
        <v/>
      </c>
      <c r="CR222" s="797" t="str">
        <f t="shared" ca="1" si="654"/>
        <v/>
      </c>
      <c r="CS222" s="797" t="str">
        <f t="shared" ca="1" si="655"/>
        <v/>
      </c>
      <c r="CT222" s="797" t="str">
        <f t="shared" ca="1" si="656"/>
        <v/>
      </c>
      <c r="CU222" s="798" t="str">
        <f t="shared" ca="1" si="657"/>
        <v/>
      </c>
      <c r="CV222" s="799" t="str">
        <f t="shared" ca="1" si="658"/>
        <v/>
      </c>
      <c r="CW222" s="799" t="str">
        <f t="shared" ca="1" si="659"/>
        <v/>
      </c>
      <c r="CX222" s="163">
        <f ca="1">IF(BD222,_xll.EURO(CP222,Strike1,AO222,AO222,CV222,CO222,IF(OptControl=4,0,1),0),0)</f>
        <v>0</v>
      </c>
      <c r="CY222" s="163">
        <f ca="1">IF(BD222,_xll.EURO(CP222,Strike1,AO222,AO222,CV222,CO222,IF(OptControl=4,0,1),1)+IF(OR(VolSkewFlag=2,ABS(CQ222)&lt;0.0001),0,IF(CQ222&gt;0,-1,1)*CZ222*100*Strike1/CP222^2*CS222/10%),0)</f>
        <v>0</v>
      </c>
      <c r="CZ222" s="163">
        <f ca="1">IF(BD222,_xll.EURO(CP222,Strike1,AO222,AO222,CV222,CO222,IF(OptControl=4,0,1),3)/100,0)</f>
        <v>0</v>
      </c>
      <c r="DA222" s="163">
        <f ca="1">IF(BD222,_xll.EURO(CP222,Strike1,AO222,AO222,CV222,CO222,IF(OptControl=4,0,1),0)-_xll.EURO(CP222,Strike1,AO222,AO222,CV222,CO222-1,IF(OptControl=4,0,1),0),0)</f>
        <v>0</v>
      </c>
      <c r="DB222" s="163">
        <f ca="1">IF(BD222,_xll.EURO(CP222,Strike2,AO222,AO222,CW222,CO222,IF(OptControl=3,1,0),0),0)</f>
        <v>0</v>
      </c>
      <c r="DC222" s="163">
        <f ca="1">IF(BD222,_xll.EURO(CP222,Strike2,AO222,AO222,CW222,CO222,IF(OptControl=3,1,0),1)+IF(OR(VolSkewFlag=2,ABS(CR222)&lt;0.0001),0,IF(CR222&gt;0,-1,1)*DD222*100*Strike2/CP222^2*CT222/10%),0)</f>
        <v>0</v>
      </c>
      <c r="DD222" s="163">
        <f ca="1">IF(BD222,_xll.EURO(CP222,Strike2,AO222,AO222,CW222,CO222,IF(OptControl=3,1,0),3)/100,0)</f>
        <v>0</v>
      </c>
      <c r="DE222" s="164">
        <f ca="1">IF(BD222,_xll.EURO(CP222,Strike2,AO222,AO222,CW222,CO222,IF(OptControl=3,1,0),0)-_xll.EURO(CP222,Strike2,AO222,AO222,CW222,CO222-1,IF(OptControl=3,1,0),0),0)</f>
        <v>0</v>
      </c>
      <c r="DG222" s="667">
        <f t="shared" ca="1" si="660"/>
        <v>42705</v>
      </c>
      <c r="DH222" s="475">
        <v>24.26000000000009</v>
      </c>
      <c r="DI222" s="665">
        <v>24.328181818181914</v>
      </c>
      <c r="DJ222" s="666">
        <f t="shared" ca="1" si="617"/>
        <v>42705</v>
      </c>
      <c r="DK222" s="475">
        <v>23.06420678054188</v>
      </c>
      <c r="DL222" s="665">
        <v>23.135081818181913</v>
      </c>
      <c r="DM222" s="667">
        <f t="shared" ca="1" si="618"/>
        <v>42705</v>
      </c>
      <c r="DN222" s="668">
        <f t="shared" si="619"/>
        <v>23.114206780541881</v>
      </c>
      <c r="DO222" s="667">
        <f t="shared" ca="1" si="620"/>
        <v>42705</v>
      </c>
      <c r="DP222" s="579">
        <f t="shared" si="621"/>
        <v>23.135081818181913</v>
      </c>
      <c r="DQ222" s="821">
        <v>0</v>
      </c>
      <c r="DR222" s="666">
        <f t="shared" ca="1" si="622"/>
        <v>42705</v>
      </c>
      <c r="DS222" s="669">
        <v>0.10339999999999804</v>
      </c>
      <c r="DT222" s="606">
        <v>0.10258181818181621</v>
      </c>
      <c r="DU222" s="666">
        <f t="shared" ca="1" si="623"/>
        <v>42705</v>
      </c>
      <c r="DV222" s="669">
        <v>0.10339999999999804</v>
      </c>
      <c r="DW222" s="606">
        <v>0.10258181818181621</v>
      </c>
      <c r="DX222" s="667">
        <f t="shared" ca="1" si="624"/>
        <v>42705</v>
      </c>
      <c r="DY222" s="606">
        <v>0.35</v>
      </c>
      <c r="DZ222" s="667">
        <f t="shared" ca="1" si="625"/>
        <v>42705</v>
      </c>
      <c r="EA222" s="606">
        <f t="shared" si="626"/>
        <v>0.10258181818181621</v>
      </c>
      <c r="EB222" s="1"/>
      <c r="EC222" s="118" t="str">
        <f t="shared" ca="1" si="627"/>
        <v/>
      </c>
      <c r="ED222" s="119" t="str">
        <f t="shared" ca="1" si="644"/>
        <v/>
      </c>
      <c r="EE222" s="112" t="str">
        <f t="shared" ca="1" si="645"/>
        <v/>
      </c>
      <c r="EF222" s="120">
        <f ca="1">IF(BD222,_xll.xASN(BR222,Strike1,AO222,ED222,0,BO222,0,BI222,BL222,IF(OptControl=4,0,1),0),0)</f>
        <v>0</v>
      </c>
      <c r="EG222" s="111">
        <f ca="1">IF(BD222,_xll.xASN(BR222,Strike2,AO222,EE222,0,BO222,0,BI222,BL222,IF(OptControl=3,1,0),0),0)</f>
        <v>0</v>
      </c>
      <c r="EL222" s="55"/>
      <c r="EM222" s="1"/>
      <c r="EN222" s="106"/>
      <c r="EO222" s="106"/>
      <c r="EP222" s="1"/>
      <c r="EQ222" s="683" t="s">
        <v>436</v>
      </c>
      <c r="ES222" s="55"/>
      <c r="EU222" s="107"/>
      <c r="FJ222" s="673">
        <v>53</v>
      </c>
      <c r="FK222" s="479" t="str">
        <f ca="1">IF(OR(FK$169&lt;SwaptionFirstMonthPosition+1,$FJ222&lt;SwaptionFirstMonthPosition+1,FK$169&gt;SwaptionFirstMonthPosition+SwaptionNumOfMonths+1,$FJ222&gt;SwaptionFirstMonthPosition+SwaptionNumOfMonths+1),"",IF($FJ222=FK$169,1,IF($FJ222&lt;FK$169,INDEX($FK$170:$ID$241,FK$169,$FJ222),SUMPRODUCT(INDEX($FK$325:$ID$396,FK$169,1+SwaptionShift):INDEX($FK$325:$ID$396,FK$169,SwaptionMonthsToGo+SwaptionShift),INDEX($FK$245:$ID$316,$FJ222-FK$169,73-FK$169+SwaptionShift):INDEX($FK$245:$ID$316,$FJ222-FK$169,72-FK$169+SwaptionMonthsToGo+SwaptionShift))/SQRT(SUM(INDEX($FK377:$ID377,1+SwaptionShift):INDEX($FK377:$ID377,SwaptionMonthsToGo+SwaptionShift))*SUM(INDEX($FK$325:$ID$396,FK$169,1+SwaptionShift):INDEX($FK$325:$ID$396,FK$169,SwaptionMonthsToGo+SwaptionShift))))))</f>
        <v/>
      </c>
      <c r="FL222" s="479" t="str">
        <f ca="1">IF(OR(FL$169&lt;SwaptionFirstMonthPosition+1,$FJ222&lt;SwaptionFirstMonthPosition+1,FL$169&gt;SwaptionFirstMonthPosition+SwaptionNumOfMonths+1,$FJ222&gt;SwaptionFirstMonthPosition+SwaptionNumOfMonths+1),"",IF($FJ222=FL$169,1,IF($FJ222&lt;FL$169,INDEX($FK$170:$ID$241,FL$169,$FJ222),SUMPRODUCT(INDEX($FK$325:$ID$396,FL$169,1+SwaptionShift):INDEX($FK$325:$ID$396,FL$169,SwaptionMonthsToGo+SwaptionShift),INDEX($FK$245:$ID$316,$FJ222-FL$169,73-FL$169+SwaptionShift):INDEX($FK$245:$ID$316,$FJ222-FL$169,72-FL$169+SwaptionMonthsToGo+SwaptionShift))/SQRT(SUM(INDEX($FK377:$ID377,1+SwaptionShift):INDEX($FK377:$ID377,SwaptionMonthsToGo+SwaptionShift))*SUM(INDEX($FK$325:$ID$396,FL$169,1+SwaptionShift):INDEX($FK$325:$ID$396,FL$169,SwaptionMonthsToGo+SwaptionShift))))))</f>
        <v/>
      </c>
      <c r="FM222" s="479" t="str">
        <f ca="1">IF(OR(FM$169&lt;SwaptionFirstMonthPosition+1,$FJ222&lt;SwaptionFirstMonthPosition+1,FM$169&gt;SwaptionFirstMonthPosition+SwaptionNumOfMonths+1,$FJ222&gt;SwaptionFirstMonthPosition+SwaptionNumOfMonths+1),"",IF($FJ222=FM$169,1,IF($FJ222&lt;FM$169,INDEX($FK$170:$ID$241,FM$169,$FJ222),SUMPRODUCT(INDEX($FK$325:$ID$396,FM$169,1+SwaptionShift):INDEX($FK$325:$ID$396,FM$169,SwaptionMonthsToGo+SwaptionShift),INDEX($FK$245:$ID$316,$FJ222-FM$169,73-FM$169+SwaptionShift):INDEX($FK$245:$ID$316,$FJ222-FM$169,72-FM$169+SwaptionMonthsToGo+SwaptionShift))/SQRT(SUM(INDEX($FK377:$ID377,1+SwaptionShift):INDEX($FK377:$ID377,SwaptionMonthsToGo+SwaptionShift))*SUM(INDEX($FK$325:$ID$396,FM$169,1+SwaptionShift):INDEX($FK$325:$ID$396,FM$169,SwaptionMonthsToGo+SwaptionShift))))))</f>
        <v/>
      </c>
      <c r="FN222" s="479" t="str">
        <f ca="1">IF(OR(FN$169&lt;SwaptionFirstMonthPosition+1,$FJ222&lt;SwaptionFirstMonthPosition+1,FN$169&gt;SwaptionFirstMonthPosition+SwaptionNumOfMonths+1,$FJ222&gt;SwaptionFirstMonthPosition+SwaptionNumOfMonths+1),"",IF($FJ222=FN$169,1,IF($FJ222&lt;FN$169,INDEX($FK$170:$ID$241,FN$169,$FJ222),SUMPRODUCT(INDEX($FK$325:$ID$396,FN$169,1+SwaptionShift):INDEX($FK$325:$ID$396,FN$169,SwaptionMonthsToGo+SwaptionShift),INDEX($FK$245:$ID$316,$FJ222-FN$169,73-FN$169+SwaptionShift):INDEX($FK$245:$ID$316,$FJ222-FN$169,72-FN$169+SwaptionMonthsToGo+SwaptionShift))/SQRT(SUM(INDEX($FK377:$ID377,1+SwaptionShift):INDEX($FK377:$ID377,SwaptionMonthsToGo+SwaptionShift))*SUM(INDEX($FK$325:$ID$396,FN$169,1+SwaptionShift):INDEX($FK$325:$ID$396,FN$169,SwaptionMonthsToGo+SwaptionShift))))))</f>
        <v/>
      </c>
      <c r="FO222" s="479" t="str">
        <f ca="1">IF(OR(FO$169&lt;SwaptionFirstMonthPosition+1,$FJ222&lt;SwaptionFirstMonthPosition+1,FO$169&gt;SwaptionFirstMonthPosition+SwaptionNumOfMonths+1,$FJ222&gt;SwaptionFirstMonthPosition+SwaptionNumOfMonths+1),"",IF($FJ222=FO$169,1,IF($FJ222&lt;FO$169,INDEX($FK$170:$ID$241,FO$169,$FJ222),SUMPRODUCT(INDEX($FK$325:$ID$396,FO$169,1+SwaptionShift):INDEX($FK$325:$ID$396,FO$169,SwaptionMonthsToGo+SwaptionShift),INDEX($FK$245:$ID$316,$FJ222-FO$169,73-FO$169+SwaptionShift):INDEX($FK$245:$ID$316,$FJ222-FO$169,72-FO$169+SwaptionMonthsToGo+SwaptionShift))/SQRT(SUM(INDEX($FK377:$ID377,1+SwaptionShift):INDEX($FK377:$ID377,SwaptionMonthsToGo+SwaptionShift))*SUM(INDEX($FK$325:$ID$396,FO$169,1+SwaptionShift):INDEX($FK$325:$ID$396,FO$169,SwaptionMonthsToGo+SwaptionShift))))))</f>
        <v/>
      </c>
      <c r="FP222" s="479" t="str">
        <f ca="1">IF(OR(FP$169&lt;SwaptionFirstMonthPosition+1,$FJ222&lt;SwaptionFirstMonthPosition+1,FP$169&gt;SwaptionFirstMonthPosition+SwaptionNumOfMonths+1,$FJ222&gt;SwaptionFirstMonthPosition+SwaptionNumOfMonths+1),"",IF($FJ222=FP$169,1,IF($FJ222&lt;FP$169,INDEX($FK$170:$ID$241,FP$169,$FJ222),SUMPRODUCT(INDEX($FK$325:$ID$396,FP$169,1+SwaptionShift):INDEX($FK$325:$ID$396,FP$169,SwaptionMonthsToGo+SwaptionShift),INDEX($FK$245:$ID$316,$FJ222-FP$169,73-FP$169+SwaptionShift):INDEX($FK$245:$ID$316,$FJ222-FP$169,72-FP$169+SwaptionMonthsToGo+SwaptionShift))/SQRT(SUM(INDEX($FK377:$ID377,1+SwaptionShift):INDEX($FK377:$ID377,SwaptionMonthsToGo+SwaptionShift))*SUM(INDEX($FK$325:$ID$396,FP$169,1+SwaptionShift):INDEX($FK$325:$ID$396,FP$169,SwaptionMonthsToGo+SwaptionShift))))))</f>
        <v/>
      </c>
      <c r="FQ222" s="479" t="str">
        <f ca="1">IF(OR(FQ$169&lt;SwaptionFirstMonthPosition+1,$FJ222&lt;SwaptionFirstMonthPosition+1,FQ$169&gt;SwaptionFirstMonthPosition+SwaptionNumOfMonths+1,$FJ222&gt;SwaptionFirstMonthPosition+SwaptionNumOfMonths+1),"",IF($FJ222=FQ$169,1,IF($FJ222&lt;FQ$169,INDEX($FK$170:$ID$241,FQ$169,$FJ222),SUMPRODUCT(INDEX($FK$325:$ID$396,FQ$169,1+SwaptionShift):INDEX($FK$325:$ID$396,FQ$169,SwaptionMonthsToGo+SwaptionShift),INDEX($FK$245:$ID$316,$FJ222-FQ$169,73-FQ$169+SwaptionShift):INDEX($FK$245:$ID$316,$FJ222-FQ$169,72-FQ$169+SwaptionMonthsToGo+SwaptionShift))/SQRT(SUM(INDEX($FK377:$ID377,1+SwaptionShift):INDEX($FK377:$ID377,SwaptionMonthsToGo+SwaptionShift))*SUM(INDEX($FK$325:$ID$396,FQ$169,1+SwaptionShift):INDEX($FK$325:$ID$396,FQ$169,SwaptionMonthsToGo+SwaptionShift))))))</f>
        <v/>
      </c>
      <c r="FR222" s="479" t="str">
        <f ca="1">IF(OR(FR$169&lt;SwaptionFirstMonthPosition+1,$FJ222&lt;SwaptionFirstMonthPosition+1,FR$169&gt;SwaptionFirstMonthPosition+SwaptionNumOfMonths+1,$FJ222&gt;SwaptionFirstMonthPosition+SwaptionNumOfMonths+1),"",IF($FJ222=FR$169,1,IF($FJ222&lt;FR$169,INDEX($FK$170:$ID$241,FR$169,$FJ222),SUMPRODUCT(INDEX($FK$325:$ID$396,FR$169,1+SwaptionShift):INDEX($FK$325:$ID$396,FR$169,SwaptionMonthsToGo+SwaptionShift),INDEX($FK$245:$ID$316,$FJ222-FR$169,73-FR$169+SwaptionShift):INDEX($FK$245:$ID$316,$FJ222-FR$169,72-FR$169+SwaptionMonthsToGo+SwaptionShift))/SQRT(SUM(INDEX($FK377:$ID377,1+SwaptionShift):INDEX($FK377:$ID377,SwaptionMonthsToGo+SwaptionShift))*SUM(INDEX($FK$325:$ID$396,FR$169,1+SwaptionShift):INDEX($FK$325:$ID$396,FR$169,SwaptionMonthsToGo+SwaptionShift))))))</f>
        <v/>
      </c>
      <c r="FS222" s="479" t="str">
        <f ca="1">IF(OR(FS$169&lt;SwaptionFirstMonthPosition+1,$FJ222&lt;SwaptionFirstMonthPosition+1,FS$169&gt;SwaptionFirstMonthPosition+SwaptionNumOfMonths+1,$FJ222&gt;SwaptionFirstMonthPosition+SwaptionNumOfMonths+1),"",IF($FJ222=FS$169,1,IF($FJ222&lt;FS$169,INDEX($FK$170:$ID$241,FS$169,$FJ222),SUMPRODUCT(INDEX($FK$325:$ID$396,FS$169,1+SwaptionShift):INDEX($FK$325:$ID$396,FS$169,SwaptionMonthsToGo+SwaptionShift),INDEX($FK$245:$ID$316,$FJ222-FS$169,73-FS$169+SwaptionShift):INDEX($FK$245:$ID$316,$FJ222-FS$169,72-FS$169+SwaptionMonthsToGo+SwaptionShift))/SQRT(SUM(INDEX($FK377:$ID377,1+SwaptionShift):INDEX($FK377:$ID377,SwaptionMonthsToGo+SwaptionShift))*SUM(INDEX($FK$325:$ID$396,FS$169,1+SwaptionShift):INDEX($FK$325:$ID$396,FS$169,SwaptionMonthsToGo+SwaptionShift))))))</f>
        <v/>
      </c>
      <c r="FT222" s="479" t="str">
        <f ca="1">IF(OR(FT$169&lt;SwaptionFirstMonthPosition+1,$FJ222&lt;SwaptionFirstMonthPosition+1,FT$169&gt;SwaptionFirstMonthPosition+SwaptionNumOfMonths+1,$FJ222&gt;SwaptionFirstMonthPosition+SwaptionNumOfMonths+1),"",IF($FJ222=FT$169,1,IF($FJ222&lt;FT$169,INDEX($FK$170:$ID$241,FT$169,$FJ222),SUMPRODUCT(INDEX($FK$325:$ID$396,FT$169,1+SwaptionShift):INDEX($FK$325:$ID$396,FT$169,SwaptionMonthsToGo+SwaptionShift),INDEX($FK$245:$ID$316,$FJ222-FT$169,73-FT$169+SwaptionShift):INDEX($FK$245:$ID$316,$FJ222-FT$169,72-FT$169+SwaptionMonthsToGo+SwaptionShift))/SQRT(SUM(INDEX($FK377:$ID377,1+SwaptionShift):INDEX($FK377:$ID377,SwaptionMonthsToGo+SwaptionShift))*SUM(INDEX($FK$325:$ID$396,FT$169,1+SwaptionShift):INDEX($FK$325:$ID$396,FT$169,SwaptionMonthsToGo+SwaptionShift))))))</f>
        <v/>
      </c>
      <c r="FU222" s="479" t="str">
        <f ca="1">IF(OR(FU$169&lt;SwaptionFirstMonthPosition+1,$FJ222&lt;SwaptionFirstMonthPosition+1,FU$169&gt;SwaptionFirstMonthPosition+SwaptionNumOfMonths+1,$FJ222&gt;SwaptionFirstMonthPosition+SwaptionNumOfMonths+1),"",IF($FJ222=FU$169,1,IF($FJ222&lt;FU$169,INDEX($FK$170:$ID$241,FU$169,$FJ222),SUMPRODUCT(INDEX($FK$325:$ID$396,FU$169,1+SwaptionShift):INDEX($FK$325:$ID$396,FU$169,SwaptionMonthsToGo+SwaptionShift),INDEX($FK$245:$ID$316,$FJ222-FU$169,73-FU$169+SwaptionShift):INDEX($FK$245:$ID$316,$FJ222-FU$169,72-FU$169+SwaptionMonthsToGo+SwaptionShift))/SQRT(SUM(INDEX($FK377:$ID377,1+SwaptionShift):INDEX($FK377:$ID377,SwaptionMonthsToGo+SwaptionShift))*SUM(INDEX($FK$325:$ID$396,FU$169,1+SwaptionShift):INDEX($FK$325:$ID$396,FU$169,SwaptionMonthsToGo+SwaptionShift))))))</f>
        <v/>
      </c>
      <c r="FV222" s="479" t="str">
        <f ca="1">IF(OR(FV$169&lt;SwaptionFirstMonthPosition+1,$FJ222&lt;SwaptionFirstMonthPosition+1,FV$169&gt;SwaptionFirstMonthPosition+SwaptionNumOfMonths+1,$FJ222&gt;SwaptionFirstMonthPosition+SwaptionNumOfMonths+1),"",IF($FJ222=FV$169,1,IF($FJ222&lt;FV$169,INDEX($FK$170:$ID$241,FV$169,$FJ222),SUMPRODUCT(INDEX($FK$325:$ID$396,FV$169,1+SwaptionShift):INDEX($FK$325:$ID$396,FV$169,SwaptionMonthsToGo+SwaptionShift),INDEX($FK$245:$ID$316,$FJ222-FV$169,73-FV$169+SwaptionShift):INDEX($FK$245:$ID$316,$FJ222-FV$169,72-FV$169+SwaptionMonthsToGo+SwaptionShift))/SQRT(SUM(INDEX($FK377:$ID377,1+SwaptionShift):INDEX($FK377:$ID377,SwaptionMonthsToGo+SwaptionShift))*SUM(INDEX($FK$325:$ID$396,FV$169,1+SwaptionShift):INDEX($FK$325:$ID$396,FV$169,SwaptionMonthsToGo+SwaptionShift))))))</f>
        <v/>
      </c>
      <c r="FW222" s="479" t="str">
        <f ca="1">IF(OR(FW$169&lt;SwaptionFirstMonthPosition+1,$FJ222&lt;SwaptionFirstMonthPosition+1,FW$169&gt;SwaptionFirstMonthPosition+SwaptionNumOfMonths+1,$FJ222&gt;SwaptionFirstMonthPosition+SwaptionNumOfMonths+1),"",IF($FJ222=FW$169,1,IF($FJ222&lt;FW$169,INDEX($FK$170:$ID$241,FW$169,$FJ222),SUMPRODUCT(INDEX($FK$325:$ID$396,FW$169,1+SwaptionShift):INDEX($FK$325:$ID$396,FW$169,SwaptionMonthsToGo+SwaptionShift),INDEX($FK$245:$ID$316,$FJ222-FW$169,73-FW$169+SwaptionShift):INDEX($FK$245:$ID$316,$FJ222-FW$169,72-FW$169+SwaptionMonthsToGo+SwaptionShift))/SQRT(SUM(INDEX($FK377:$ID377,1+SwaptionShift):INDEX($FK377:$ID377,SwaptionMonthsToGo+SwaptionShift))*SUM(INDEX($FK$325:$ID$396,FW$169,1+SwaptionShift):INDEX($FK$325:$ID$396,FW$169,SwaptionMonthsToGo+SwaptionShift))))))</f>
        <v/>
      </c>
      <c r="FX222" s="479" t="str">
        <f ca="1">IF(OR(FX$169&lt;SwaptionFirstMonthPosition+1,$FJ222&lt;SwaptionFirstMonthPosition+1,FX$169&gt;SwaptionFirstMonthPosition+SwaptionNumOfMonths+1,$FJ222&gt;SwaptionFirstMonthPosition+SwaptionNumOfMonths+1),"",IF($FJ222=FX$169,1,IF($FJ222&lt;FX$169,INDEX($FK$170:$ID$241,FX$169,$FJ222),SUMPRODUCT(INDEX($FK$325:$ID$396,FX$169,1+SwaptionShift):INDEX($FK$325:$ID$396,FX$169,SwaptionMonthsToGo+SwaptionShift),INDEX($FK$245:$ID$316,$FJ222-FX$169,73-FX$169+SwaptionShift):INDEX($FK$245:$ID$316,$FJ222-FX$169,72-FX$169+SwaptionMonthsToGo+SwaptionShift))/SQRT(SUM(INDEX($FK377:$ID377,1+SwaptionShift):INDEX($FK377:$ID377,SwaptionMonthsToGo+SwaptionShift))*SUM(INDEX($FK$325:$ID$396,FX$169,1+SwaptionShift):INDEX($FK$325:$ID$396,FX$169,SwaptionMonthsToGo+SwaptionShift))))))</f>
        <v/>
      </c>
      <c r="FY222" s="479" t="str">
        <f ca="1">IF(OR(FY$169&lt;SwaptionFirstMonthPosition+1,$FJ222&lt;SwaptionFirstMonthPosition+1,FY$169&gt;SwaptionFirstMonthPosition+SwaptionNumOfMonths+1,$FJ222&gt;SwaptionFirstMonthPosition+SwaptionNumOfMonths+1),"",IF($FJ222=FY$169,1,IF($FJ222&lt;FY$169,INDEX($FK$170:$ID$241,FY$169,$FJ222),SUMPRODUCT(INDEX($FK$325:$ID$396,FY$169,1+SwaptionShift):INDEX($FK$325:$ID$396,FY$169,SwaptionMonthsToGo+SwaptionShift),INDEX($FK$245:$ID$316,$FJ222-FY$169,73-FY$169+SwaptionShift):INDEX($FK$245:$ID$316,$FJ222-FY$169,72-FY$169+SwaptionMonthsToGo+SwaptionShift))/SQRT(SUM(INDEX($FK377:$ID377,1+SwaptionShift):INDEX($FK377:$ID377,SwaptionMonthsToGo+SwaptionShift))*SUM(INDEX($FK$325:$ID$396,FY$169,1+SwaptionShift):INDEX($FK$325:$ID$396,FY$169,SwaptionMonthsToGo+SwaptionShift))))))</f>
        <v/>
      </c>
      <c r="FZ222" s="479" t="str">
        <f ca="1">IF(OR(FZ$169&lt;SwaptionFirstMonthPosition+1,$FJ222&lt;SwaptionFirstMonthPosition+1,FZ$169&gt;SwaptionFirstMonthPosition+SwaptionNumOfMonths+1,$FJ222&gt;SwaptionFirstMonthPosition+SwaptionNumOfMonths+1),"",IF($FJ222=FZ$169,1,IF($FJ222&lt;FZ$169,INDEX($FK$170:$ID$241,FZ$169,$FJ222),SUMPRODUCT(INDEX($FK$325:$ID$396,FZ$169,1+SwaptionShift):INDEX($FK$325:$ID$396,FZ$169,SwaptionMonthsToGo+SwaptionShift),INDEX($FK$245:$ID$316,$FJ222-FZ$169,73-FZ$169+SwaptionShift):INDEX($FK$245:$ID$316,$FJ222-FZ$169,72-FZ$169+SwaptionMonthsToGo+SwaptionShift))/SQRT(SUM(INDEX($FK377:$ID377,1+SwaptionShift):INDEX($FK377:$ID377,SwaptionMonthsToGo+SwaptionShift))*SUM(INDEX($FK$325:$ID$396,FZ$169,1+SwaptionShift):INDEX($FK$325:$ID$396,FZ$169,SwaptionMonthsToGo+SwaptionShift))))))</f>
        <v/>
      </c>
      <c r="GA222" s="479" t="str">
        <f ca="1">IF(OR(GA$169&lt;SwaptionFirstMonthPosition+1,$FJ222&lt;SwaptionFirstMonthPosition+1,GA$169&gt;SwaptionFirstMonthPosition+SwaptionNumOfMonths+1,$FJ222&gt;SwaptionFirstMonthPosition+SwaptionNumOfMonths+1),"",IF($FJ222=GA$169,1,IF($FJ222&lt;GA$169,INDEX($FK$170:$ID$241,GA$169,$FJ222),SUMPRODUCT(INDEX($FK$325:$ID$396,GA$169,1+SwaptionShift):INDEX($FK$325:$ID$396,GA$169,SwaptionMonthsToGo+SwaptionShift),INDEX($FK$245:$ID$316,$FJ222-GA$169,73-GA$169+SwaptionShift):INDEX($FK$245:$ID$316,$FJ222-GA$169,72-GA$169+SwaptionMonthsToGo+SwaptionShift))/SQRT(SUM(INDEX($FK377:$ID377,1+SwaptionShift):INDEX($FK377:$ID377,SwaptionMonthsToGo+SwaptionShift))*SUM(INDEX($FK$325:$ID$396,GA$169,1+SwaptionShift):INDEX($FK$325:$ID$396,GA$169,SwaptionMonthsToGo+SwaptionShift))))))</f>
        <v/>
      </c>
      <c r="GB222" s="479" t="str">
        <f ca="1">IF(OR(GB$169&lt;SwaptionFirstMonthPosition+1,$FJ222&lt;SwaptionFirstMonthPosition+1,GB$169&gt;SwaptionFirstMonthPosition+SwaptionNumOfMonths+1,$FJ222&gt;SwaptionFirstMonthPosition+SwaptionNumOfMonths+1),"",IF($FJ222=GB$169,1,IF($FJ222&lt;GB$169,INDEX($FK$170:$ID$241,GB$169,$FJ222),SUMPRODUCT(INDEX($FK$325:$ID$396,GB$169,1+SwaptionShift):INDEX($FK$325:$ID$396,GB$169,SwaptionMonthsToGo+SwaptionShift),INDEX($FK$245:$ID$316,$FJ222-GB$169,73-GB$169+SwaptionShift):INDEX($FK$245:$ID$316,$FJ222-GB$169,72-GB$169+SwaptionMonthsToGo+SwaptionShift))/SQRT(SUM(INDEX($FK377:$ID377,1+SwaptionShift):INDEX($FK377:$ID377,SwaptionMonthsToGo+SwaptionShift))*SUM(INDEX($FK$325:$ID$396,GB$169,1+SwaptionShift):INDEX($FK$325:$ID$396,GB$169,SwaptionMonthsToGo+SwaptionShift))))))</f>
        <v/>
      </c>
      <c r="GC222" s="479" t="str">
        <f ca="1">IF(OR(GC$169&lt;SwaptionFirstMonthPosition+1,$FJ222&lt;SwaptionFirstMonthPosition+1,GC$169&gt;SwaptionFirstMonthPosition+SwaptionNumOfMonths+1,$FJ222&gt;SwaptionFirstMonthPosition+SwaptionNumOfMonths+1),"",IF($FJ222=GC$169,1,IF($FJ222&lt;GC$169,INDEX($FK$170:$ID$241,GC$169,$FJ222),SUMPRODUCT(INDEX($FK$325:$ID$396,GC$169,1+SwaptionShift):INDEX($FK$325:$ID$396,GC$169,SwaptionMonthsToGo+SwaptionShift),INDEX($FK$245:$ID$316,$FJ222-GC$169,73-GC$169+SwaptionShift):INDEX($FK$245:$ID$316,$FJ222-GC$169,72-GC$169+SwaptionMonthsToGo+SwaptionShift))/SQRT(SUM(INDEX($FK377:$ID377,1+SwaptionShift):INDEX($FK377:$ID377,SwaptionMonthsToGo+SwaptionShift))*SUM(INDEX($FK$325:$ID$396,GC$169,1+SwaptionShift):INDEX($FK$325:$ID$396,GC$169,SwaptionMonthsToGo+SwaptionShift))))))</f>
        <v/>
      </c>
      <c r="GD222" s="479" t="str">
        <f ca="1">IF(OR(GD$169&lt;SwaptionFirstMonthPosition+1,$FJ222&lt;SwaptionFirstMonthPosition+1,GD$169&gt;SwaptionFirstMonthPosition+SwaptionNumOfMonths+1,$FJ222&gt;SwaptionFirstMonthPosition+SwaptionNumOfMonths+1),"",IF($FJ222=GD$169,1,IF($FJ222&lt;GD$169,INDEX($FK$170:$ID$241,GD$169,$FJ222),SUMPRODUCT(INDEX($FK$325:$ID$396,GD$169,1+SwaptionShift):INDEX($FK$325:$ID$396,GD$169,SwaptionMonthsToGo+SwaptionShift),INDEX($FK$245:$ID$316,$FJ222-GD$169,73-GD$169+SwaptionShift):INDEX($FK$245:$ID$316,$FJ222-GD$169,72-GD$169+SwaptionMonthsToGo+SwaptionShift))/SQRT(SUM(INDEX($FK377:$ID377,1+SwaptionShift):INDEX($FK377:$ID377,SwaptionMonthsToGo+SwaptionShift))*SUM(INDEX($FK$325:$ID$396,GD$169,1+SwaptionShift):INDEX($FK$325:$ID$396,GD$169,SwaptionMonthsToGo+SwaptionShift))))))</f>
        <v/>
      </c>
      <c r="GE222" s="479" t="str">
        <f ca="1">IF(OR(GE$169&lt;SwaptionFirstMonthPosition+1,$FJ222&lt;SwaptionFirstMonthPosition+1,GE$169&gt;SwaptionFirstMonthPosition+SwaptionNumOfMonths+1,$FJ222&gt;SwaptionFirstMonthPosition+SwaptionNumOfMonths+1),"",IF($FJ222=GE$169,1,IF($FJ222&lt;GE$169,INDEX($FK$170:$ID$241,GE$169,$FJ222),SUMPRODUCT(INDEX($FK$325:$ID$396,GE$169,1+SwaptionShift):INDEX($FK$325:$ID$396,GE$169,SwaptionMonthsToGo+SwaptionShift),INDEX($FK$245:$ID$316,$FJ222-GE$169,73-GE$169+SwaptionShift):INDEX($FK$245:$ID$316,$FJ222-GE$169,72-GE$169+SwaptionMonthsToGo+SwaptionShift))/SQRT(SUM(INDEX($FK377:$ID377,1+SwaptionShift):INDEX($FK377:$ID377,SwaptionMonthsToGo+SwaptionShift))*SUM(INDEX($FK$325:$ID$396,GE$169,1+SwaptionShift):INDEX($FK$325:$ID$396,GE$169,SwaptionMonthsToGo+SwaptionShift))))))</f>
        <v/>
      </c>
      <c r="GF222" s="479" t="str">
        <f ca="1">IF(OR(GF$169&lt;SwaptionFirstMonthPosition+1,$FJ222&lt;SwaptionFirstMonthPosition+1,GF$169&gt;SwaptionFirstMonthPosition+SwaptionNumOfMonths+1,$FJ222&gt;SwaptionFirstMonthPosition+SwaptionNumOfMonths+1),"",IF($FJ222=GF$169,1,IF($FJ222&lt;GF$169,INDEX($FK$170:$ID$241,GF$169,$FJ222),SUMPRODUCT(INDEX($FK$325:$ID$396,GF$169,1+SwaptionShift):INDEX($FK$325:$ID$396,GF$169,SwaptionMonthsToGo+SwaptionShift),INDEX($FK$245:$ID$316,$FJ222-GF$169,73-GF$169+SwaptionShift):INDEX($FK$245:$ID$316,$FJ222-GF$169,72-GF$169+SwaptionMonthsToGo+SwaptionShift))/SQRT(SUM(INDEX($FK377:$ID377,1+SwaptionShift):INDEX($FK377:$ID377,SwaptionMonthsToGo+SwaptionShift))*SUM(INDEX($FK$325:$ID$396,GF$169,1+SwaptionShift):INDEX($FK$325:$ID$396,GF$169,SwaptionMonthsToGo+SwaptionShift))))))</f>
        <v/>
      </c>
      <c r="GG222" s="479" t="str">
        <f ca="1">IF(OR(GG$169&lt;SwaptionFirstMonthPosition+1,$FJ222&lt;SwaptionFirstMonthPosition+1,GG$169&gt;SwaptionFirstMonthPosition+SwaptionNumOfMonths+1,$FJ222&gt;SwaptionFirstMonthPosition+SwaptionNumOfMonths+1),"",IF($FJ222=GG$169,1,IF($FJ222&lt;GG$169,INDEX($FK$170:$ID$241,GG$169,$FJ222),SUMPRODUCT(INDEX($FK$325:$ID$396,GG$169,1+SwaptionShift):INDEX($FK$325:$ID$396,GG$169,SwaptionMonthsToGo+SwaptionShift),INDEX($FK$245:$ID$316,$FJ222-GG$169,73-GG$169+SwaptionShift):INDEX($FK$245:$ID$316,$FJ222-GG$169,72-GG$169+SwaptionMonthsToGo+SwaptionShift))/SQRT(SUM(INDEX($FK377:$ID377,1+SwaptionShift):INDEX($FK377:$ID377,SwaptionMonthsToGo+SwaptionShift))*SUM(INDEX($FK$325:$ID$396,GG$169,1+SwaptionShift):INDEX($FK$325:$ID$396,GG$169,SwaptionMonthsToGo+SwaptionShift))))))</f>
        <v/>
      </c>
      <c r="GH222" s="479" t="str">
        <f ca="1">IF(OR(GH$169&lt;SwaptionFirstMonthPosition+1,$FJ222&lt;SwaptionFirstMonthPosition+1,GH$169&gt;SwaptionFirstMonthPosition+SwaptionNumOfMonths+1,$FJ222&gt;SwaptionFirstMonthPosition+SwaptionNumOfMonths+1),"",IF($FJ222=GH$169,1,IF($FJ222&lt;GH$169,INDEX($FK$170:$ID$241,GH$169,$FJ222),SUMPRODUCT(INDEX($FK$325:$ID$396,GH$169,1+SwaptionShift):INDEX($FK$325:$ID$396,GH$169,SwaptionMonthsToGo+SwaptionShift),INDEX($FK$245:$ID$316,$FJ222-GH$169,73-GH$169+SwaptionShift):INDEX($FK$245:$ID$316,$FJ222-GH$169,72-GH$169+SwaptionMonthsToGo+SwaptionShift))/SQRT(SUM(INDEX($FK377:$ID377,1+SwaptionShift):INDEX($FK377:$ID377,SwaptionMonthsToGo+SwaptionShift))*SUM(INDEX($FK$325:$ID$396,GH$169,1+SwaptionShift):INDEX($FK$325:$ID$396,GH$169,SwaptionMonthsToGo+SwaptionShift))))))</f>
        <v/>
      </c>
      <c r="GI222" s="479" t="str">
        <f ca="1">IF(OR(GI$169&lt;SwaptionFirstMonthPosition+1,$FJ222&lt;SwaptionFirstMonthPosition+1,GI$169&gt;SwaptionFirstMonthPosition+SwaptionNumOfMonths+1,$FJ222&gt;SwaptionFirstMonthPosition+SwaptionNumOfMonths+1),"",IF($FJ222=GI$169,1,IF($FJ222&lt;GI$169,INDEX($FK$170:$ID$241,GI$169,$FJ222),SUMPRODUCT(INDEX($FK$325:$ID$396,GI$169,1+SwaptionShift):INDEX($FK$325:$ID$396,GI$169,SwaptionMonthsToGo+SwaptionShift),INDEX($FK$245:$ID$316,$FJ222-GI$169,73-GI$169+SwaptionShift):INDEX($FK$245:$ID$316,$FJ222-GI$169,72-GI$169+SwaptionMonthsToGo+SwaptionShift))/SQRT(SUM(INDEX($FK377:$ID377,1+SwaptionShift):INDEX($FK377:$ID377,SwaptionMonthsToGo+SwaptionShift))*SUM(INDEX($FK$325:$ID$396,GI$169,1+SwaptionShift):INDEX($FK$325:$ID$396,GI$169,SwaptionMonthsToGo+SwaptionShift))))))</f>
        <v/>
      </c>
      <c r="GJ222" s="479" t="str">
        <f ca="1">IF(OR(GJ$169&lt;SwaptionFirstMonthPosition+1,$FJ222&lt;SwaptionFirstMonthPosition+1,GJ$169&gt;SwaptionFirstMonthPosition+SwaptionNumOfMonths+1,$FJ222&gt;SwaptionFirstMonthPosition+SwaptionNumOfMonths+1),"",IF($FJ222=GJ$169,1,IF($FJ222&lt;GJ$169,INDEX($FK$170:$ID$241,GJ$169,$FJ222),SUMPRODUCT(INDEX($FK$325:$ID$396,GJ$169,1+SwaptionShift):INDEX($FK$325:$ID$396,GJ$169,SwaptionMonthsToGo+SwaptionShift),INDEX($FK$245:$ID$316,$FJ222-GJ$169,73-GJ$169+SwaptionShift):INDEX($FK$245:$ID$316,$FJ222-GJ$169,72-GJ$169+SwaptionMonthsToGo+SwaptionShift))/SQRT(SUM(INDEX($FK377:$ID377,1+SwaptionShift):INDEX($FK377:$ID377,SwaptionMonthsToGo+SwaptionShift))*SUM(INDEX($FK$325:$ID$396,GJ$169,1+SwaptionShift):INDEX($FK$325:$ID$396,GJ$169,SwaptionMonthsToGo+SwaptionShift))))))</f>
        <v/>
      </c>
      <c r="GK222" s="479" t="str">
        <f ca="1">IF(OR(GK$169&lt;SwaptionFirstMonthPosition+1,$FJ222&lt;SwaptionFirstMonthPosition+1,GK$169&gt;SwaptionFirstMonthPosition+SwaptionNumOfMonths+1,$FJ222&gt;SwaptionFirstMonthPosition+SwaptionNumOfMonths+1),"",IF($FJ222=GK$169,1,IF($FJ222&lt;GK$169,INDEX($FK$170:$ID$241,GK$169,$FJ222),SUMPRODUCT(INDEX($FK$325:$ID$396,GK$169,1+SwaptionShift):INDEX($FK$325:$ID$396,GK$169,SwaptionMonthsToGo+SwaptionShift),INDEX($FK$245:$ID$316,$FJ222-GK$169,73-GK$169+SwaptionShift):INDEX($FK$245:$ID$316,$FJ222-GK$169,72-GK$169+SwaptionMonthsToGo+SwaptionShift))/SQRT(SUM(INDEX($FK377:$ID377,1+SwaptionShift):INDEX($FK377:$ID377,SwaptionMonthsToGo+SwaptionShift))*SUM(INDEX($FK$325:$ID$396,GK$169,1+SwaptionShift):INDEX($FK$325:$ID$396,GK$169,SwaptionMonthsToGo+SwaptionShift))))))</f>
        <v/>
      </c>
      <c r="GL222" s="479" t="str">
        <f ca="1">IF(OR(GL$169&lt;SwaptionFirstMonthPosition+1,$FJ222&lt;SwaptionFirstMonthPosition+1,GL$169&gt;SwaptionFirstMonthPosition+SwaptionNumOfMonths+1,$FJ222&gt;SwaptionFirstMonthPosition+SwaptionNumOfMonths+1),"",IF($FJ222=GL$169,1,IF($FJ222&lt;GL$169,INDEX($FK$170:$ID$241,GL$169,$FJ222),SUMPRODUCT(INDEX($FK$325:$ID$396,GL$169,1+SwaptionShift):INDEX($FK$325:$ID$396,GL$169,SwaptionMonthsToGo+SwaptionShift),INDEX($FK$245:$ID$316,$FJ222-GL$169,73-GL$169+SwaptionShift):INDEX($FK$245:$ID$316,$FJ222-GL$169,72-GL$169+SwaptionMonthsToGo+SwaptionShift))/SQRT(SUM(INDEX($FK377:$ID377,1+SwaptionShift):INDEX($FK377:$ID377,SwaptionMonthsToGo+SwaptionShift))*SUM(INDEX($FK$325:$ID$396,GL$169,1+SwaptionShift):INDEX($FK$325:$ID$396,GL$169,SwaptionMonthsToGo+SwaptionShift))))))</f>
        <v/>
      </c>
      <c r="GM222" s="479" t="str">
        <f ca="1">IF(OR(GM$169&lt;SwaptionFirstMonthPosition+1,$FJ222&lt;SwaptionFirstMonthPosition+1,GM$169&gt;SwaptionFirstMonthPosition+SwaptionNumOfMonths+1,$FJ222&gt;SwaptionFirstMonthPosition+SwaptionNumOfMonths+1),"",IF($FJ222=GM$169,1,IF($FJ222&lt;GM$169,INDEX($FK$170:$ID$241,GM$169,$FJ222),SUMPRODUCT(INDEX($FK$325:$ID$396,GM$169,1+SwaptionShift):INDEX($FK$325:$ID$396,GM$169,SwaptionMonthsToGo+SwaptionShift),INDEX($FK$245:$ID$316,$FJ222-GM$169,73-GM$169+SwaptionShift):INDEX($FK$245:$ID$316,$FJ222-GM$169,72-GM$169+SwaptionMonthsToGo+SwaptionShift))/SQRT(SUM(INDEX($FK377:$ID377,1+SwaptionShift):INDEX($FK377:$ID377,SwaptionMonthsToGo+SwaptionShift))*SUM(INDEX($FK$325:$ID$396,GM$169,1+SwaptionShift):INDEX($FK$325:$ID$396,GM$169,SwaptionMonthsToGo+SwaptionShift))))))</f>
        <v/>
      </c>
      <c r="GN222" s="479" t="str">
        <f ca="1">IF(OR(GN$169&lt;SwaptionFirstMonthPosition+1,$FJ222&lt;SwaptionFirstMonthPosition+1,GN$169&gt;SwaptionFirstMonthPosition+SwaptionNumOfMonths+1,$FJ222&gt;SwaptionFirstMonthPosition+SwaptionNumOfMonths+1),"",IF($FJ222=GN$169,1,IF($FJ222&lt;GN$169,INDEX($FK$170:$ID$241,GN$169,$FJ222),SUMPRODUCT(INDEX($FK$325:$ID$396,GN$169,1+SwaptionShift):INDEX($FK$325:$ID$396,GN$169,SwaptionMonthsToGo+SwaptionShift),INDEX($FK$245:$ID$316,$FJ222-GN$169,73-GN$169+SwaptionShift):INDEX($FK$245:$ID$316,$FJ222-GN$169,72-GN$169+SwaptionMonthsToGo+SwaptionShift))/SQRT(SUM(INDEX($FK377:$ID377,1+SwaptionShift):INDEX($FK377:$ID377,SwaptionMonthsToGo+SwaptionShift))*SUM(INDEX($FK$325:$ID$396,GN$169,1+SwaptionShift):INDEX($FK$325:$ID$396,GN$169,SwaptionMonthsToGo+SwaptionShift))))))</f>
        <v/>
      </c>
      <c r="GO222" s="479" t="str">
        <f ca="1">IF(OR(GO$169&lt;SwaptionFirstMonthPosition+1,$FJ222&lt;SwaptionFirstMonthPosition+1,GO$169&gt;SwaptionFirstMonthPosition+SwaptionNumOfMonths+1,$FJ222&gt;SwaptionFirstMonthPosition+SwaptionNumOfMonths+1),"",IF($FJ222=GO$169,1,IF($FJ222&lt;GO$169,INDEX($FK$170:$ID$241,GO$169,$FJ222),SUMPRODUCT(INDEX($FK$325:$ID$396,GO$169,1+SwaptionShift):INDEX($FK$325:$ID$396,GO$169,SwaptionMonthsToGo+SwaptionShift),INDEX($FK$245:$ID$316,$FJ222-GO$169,73-GO$169+SwaptionShift):INDEX($FK$245:$ID$316,$FJ222-GO$169,72-GO$169+SwaptionMonthsToGo+SwaptionShift))/SQRT(SUM(INDEX($FK377:$ID377,1+SwaptionShift):INDEX($FK377:$ID377,SwaptionMonthsToGo+SwaptionShift))*SUM(INDEX($FK$325:$ID$396,GO$169,1+SwaptionShift):INDEX($FK$325:$ID$396,GO$169,SwaptionMonthsToGo+SwaptionShift))))))</f>
        <v/>
      </c>
      <c r="GP222" s="479" t="str">
        <f ca="1">IF(OR(GP$169&lt;SwaptionFirstMonthPosition+1,$FJ222&lt;SwaptionFirstMonthPosition+1,GP$169&gt;SwaptionFirstMonthPosition+SwaptionNumOfMonths+1,$FJ222&gt;SwaptionFirstMonthPosition+SwaptionNumOfMonths+1),"",IF($FJ222=GP$169,1,IF($FJ222&lt;GP$169,INDEX($FK$170:$ID$241,GP$169,$FJ222),SUMPRODUCT(INDEX($FK$325:$ID$396,GP$169,1+SwaptionShift):INDEX($FK$325:$ID$396,GP$169,SwaptionMonthsToGo+SwaptionShift),INDEX($FK$245:$ID$316,$FJ222-GP$169,73-GP$169+SwaptionShift):INDEX($FK$245:$ID$316,$FJ222-GP$169,72-GP$169+SwaptionMonthsToGo+SwaptionShift))/SQRT(SUM(INDEX($FK377:$ID377,1+SwaptionShift):INDEX($FK377:$ID377,SwaptionMonthsToGo+SwaptionShift))*SUM(INDEX($FK$325:$ID$396,GP$169,1+SwaptionShift):INDEX($FK$325:$ID$396,GP$169,SwaptionMonthsToGo+SwaptionShift))))))</f>
        <v/>
      </c>
      <c r="GQ222" s="479" t="str">
        <f ca="1">IF(OR(GQ$169&lt;SwaptionFirstMonthPosition+1,$FJ222&lt;SwaptionFirstMonthPosition+1,GQ$169&gt;SwaptionFirstMonthPosition+SwaptionNumOfMonths+1,$FJ222&gt;SwaptionFirstMonthPosition+SwaptionNumOfMonths+1),"",IF($FJ222=GQ$169,1,IF($FJ222&lt;GQ$169,INDEX($FK$170:$ID$241,GQ$169,$FJ222),SUMPRODUCT(INDEX($FK$325:$ID$396,GQ$169,1+SwaptionShift):INDEX($FK$325:$ID$396,GQ$169,SwaptionMonthsToGo+SwaptionShift),INDEX($FK$245:$ID$316,$FJ222-GQ$169,73-GQ$169+SwaptionShift):INDEX($FK$245:$ID$316,$FJ222-GQ$169,72-GQ$169+SwaptionMonthsToGo+SwaptionShift))/SQRT(SUM(INDEX($FK377:$ID377,1+SwaptionShift):INDEX($FK377:$ID377,SwaptionMonthsToGo+SwaptionShift))*SUM(INDEX($FK$325:$ID$396,GQ$169,1+SwaptionShift):INDEX($FK$325:$ID$396,GQ$169,SwaptionMonthsToGo+SwaptionShift))))))</f>
        <v/>
      </c>
      <c r="GR222" s="479" t="str">
        <f ca="1">IF(OR(GR$169&lt;SwaptionFirstMonthPosition+1,$FJ222&lt;SwaptionFirstMonthPosition+1,GR$169&gt;SwaptionFirstMonthPosition+SwaptionNumOfMonths+1,$FJ222&gt;SwaptionFirstMonthPosition+SwaptionNumOfMonths+1),"",IF($FJ222=GR$169,1,IF($FJ222&lt;GR$169,INDEX($FK$170:$ID$241,GR$169,$FJ222),SUMPRODUCT(INDEX($FK$325:$ID$396,GR$169,1+SwaptionShift):INDEX($FK$325:$ID$396,GR$169,SwaptionMonthsToGo+SwaptionShift),INDEX($FK$245:$ID$316,$FJ222-GR$169,73-GR$169+SwaptionShift):INDEX($FK$245:$ID$316,$FJ222-GR$169,72-GR$169+SwaptionMonthsToGo+SwaptionShift))/SQRT(SUM(INDEX($FK377:$ID377,1+SwaptionShift):INDEX($FK377:$ID377,SwaptionMonthsToGo+SwaptionShift))*SUM(INDEX($FK$325:$ID$396,GR$169,1+SwaptionShift):INDEX($FK$325:$ID$396,GR$169,SwaptionMonthsToGo+SwaptionShift))))))</f>
        <v/>
      </c>
      <c r="GS222" s="479" t="str">
        <f ca="1">IF(OR(GS$169&lt;SwaptionFirstMonthPosition+1,$FJ222&lt;SwaptionFirstMonthPosition+1,GS$169&gt;SwaptionFirstMonthPosition+SwaptionNumOfMonths+1,$FJ222&gt;SwaptionFirstMonthPosition+SwaptionNumOfMonths+1),"",IF($FJ222=GS$169,1,IF($FJ222&lt;GS$169,INDEX($FK$170:$ID$241,GS$169,$FJ222),SUMPRODUCT(INDEX($FK$325:$ID$396,GS$169,1+SwaptionShift):INDEX($FK$325:$ID$396,GS$169,SwaptionMonthsToGo+SwaptionShift),INDEX($FK$245:$ID$316,$FJ222-GS$169,73-GS$169+SwaptionShift):INDEX($FK$245:$ID$316,$FJ222-GS$169,72-GS$169+SwaptionMonthsToGo+SwaptionShift))/SQRT(SUM(INDEX($FK377:$ID377,1+SwaptionShift):INDEX($FK377:$ID377,SwaptionMonthsToGo+SwaptionShift))*SUM(INDEX($FK$325:$ID$396,GS$169,1+SwaptionShift):INDEX($FK$325:$ID$396,GS$169,SwaptionMonthsToGo+SwaptionShift))))))</f>
        <v/>
      </c>
      <c r="GT222" s="479" t="str">
        <f ca="1">IF(OR(GT$169&lt;SwaptionFirstMonthPosition+1,$FJ222&lt;SwaptionFirstMonthPosition+1,GT$169&gt;SwaptionFirstMonthPosition+SwaptionNumOfMonths+1,$FJ222&gt;SwaptionFirstMonthPosition+SwaptionNumOfMonths+1),"",IF($FJ222=GT$169,1,IF($FJ222&lt;GT$169,INDEX($FK$170:$ID$241,GT$169,$FJ222),SUMPRODUCT(INDEX($FK$325:$ID$396,GT$169,1+SwaptionShift):INDEX($FK$325:$ID$396,GT$169,SwaptionMonthsToGo+SwaptionShift),INDEX($FK$245:$ID$316,$FJ222-GT$169,73-GT$169+SwaptionShift):INDEX($FK$245:$ID$316,$FJ222-GT$169,72-GT$169+SwaptionMonthsToGo+SwaptionShift))/SQRT(SUM(INDEX($FK377:$ID377,1+SwaptionShift):INDEX($FK377:$ID377,SwaptionMonthsToGo+SwaptionShift))*SUM(INDEX($FK$325:$ID$396,GT$169,1+SwaptionShift):INDEX($FK$325:$ID$396,GT$169,SwaptionMonthsToGo+SwaptionShift))))))</f>
        <v/>
      </c>
      <c r="GU222" s="479" t="str">
        <f ca="1">IF(OR(GU$169&lt;SwaptionFirstMonthPosition+1,$FJ222&lt;SwaptionFirstMonthPosition+1,GU$169&gt;SwaptionFirstMonthPosition+SwaptionNumOfMonths+1,$FJ222&gt;SwaptionFirstMonthPosition+SwaptionNumOfMonths+1),"",IF($FJ222=GU$169,1,IF($FJ222&lt;GU$169,INDEX($FK$170:$ID$241,GU$169,$FJ222),SUMPRODUCT(INDEX($FK$325:$ID$396,GU$169,1+SwaptionShift):INDEX($FK$325:$ID$396,GU$169,SwaptionMonthsToGo+SwaptionShift),INDEX($FK$245:$ID$316,$FJ222-GU$169,73-GU$169+SwaptionShift):INDEX($FK$245:$ID$316,$FJ222-GU$169,72-GU$169+SwaptionMonthsToGo+SwaptionShift))/SQRT(SUM(INDEX($FK377:$ID377,1+SwaptionShift):INDEX($FK377:$ID377,SwaptionMonthsToGo+SwaptionShift))*SUM(INDEX($FK$325:$ID$396,GU$169,1+SwaptionShift):INDEX($FK$325:$ID$396,GU$169,SwaptionMonthsToGo+SwaptionShift))))))</f>
        <v/>
      </c>
      <c r="GV222" s="479" t="str">
        <f ca="1">IF(OR(GV$169&lt;SwaptionFirstMonthPosition+1,$FJ222&lt;SwaptionFirstMonthPosition+1,GV$169&gt;SwaptionFirstMonthPosition+SwaptionNumOfMonths+1,$FJ222&gt;SwaptionFirstMonthPosition+SwaptionNumOfMonths+1),"",IF($FJ222=GV$169,1,IF($FJ222&lt;GV$169,INDEX($FK$170:$ID$241,GV$169,$FJ222),SUMPRODUCT(INDEX($FK$325:$ID$396,GV$169,1+SwaptionShift):INDEX($FK$325:$ID$396,GV$169,SwaptionMonthsToGo+SwaptionShift),INDEX($FK$245:$ID$316,$FJ222-GV$169,73-GV$169+SwaptionShift):INDEX($FK$245:$ID$316,$FJ222-GV$169,72-GV$169+SwaptionMonthsToGo+SwaptionShift))/SQRT(SUM(INDEX($FK377:$ID377,1+SwaptionShift):INDEX($FK377:$ID377,SwaptionMonthsToGo+SwaptionShift))*SUM(INDEX($FK$325:$ID$396,GV$169,1+SwaptionShift):INDEX($FK$325:$ID$396,GV$169,SwaptionMonthsToGo+SwaptionShift))))))</f>
        <v/>
      </c>
      <c r="GW222" s="479" t="str">
        <f ca="1">IF(OR(GW$169&lt;SwaptionFirstMonthPosition+1,$FJ222&lt;SwaptionFirstMonthPosition+1,GW$169&gt;SwaptionFirstMonthPosition+SwaptionNumOfMonths+1,$FJ222&gt;SwaptionFirstMonthPosition+SwaptionNumOfMonths+1),"",IF($FJ222=GW$169,1,IF($FJ222&lt;GW$169,INDEX($FK$170:$ID$241,GW$169,$FJ222),SUMPRODUCT(INDEX($FK$325:$ID$396,GW$169,1+SwaptionShift):INDEX($FK$325:$ID$396,GW$169,SwaptionMonthsToGo+SwaptionShift),INDEX($FK$245:$ID$316,$FJ222-GW$169,73-GW$169+SwaptionShift):INDEX($FK$245:$ID$316,$FJ222-GW$169,72-GW$169+SwaptionMonthsToGo+SwaptionShift))/SQRT(SUM(INDEX($FK377:$ID377,1+SwaptionShift):INDEX($FK377:$ID377,SwaptionMonthsToGo+SwaptionShift))*SUM(INDEX($FK$325:$ID$396,GW$169,1+SwaptionShift):INDEX($FK$325:$ID$396,GW$169,SwaptionMonthsToGo+SwaptionShift))))))</f>
        <v/>
      </c>
      <c r="GX222" s="479" t="str">
        <f ca="1">IF(OR(GX$169&lt;SwaptionFirstMonthPosition+1,$FJ222&lt;SwaptionFirstMonthPosition+1,GX$169&gt;SwaptionFirstMonthPosition+SwaptionNumOfMonths+1,$FJ222&gt;SwaptionFirstMonthPosition+SwaptionNumOfMonths+1),"",IF($FJ222=GX$169,1,IF($FJ222&lt;GX$169,INDEX($FK$170:$ID$241,GX$169,$FJ222),SUMPRODUCT(INDEX($FK$325:$ID$396,GX$169,1+SwaptionShift):INDEX($FK$325:$ID$396,GX$169,SwaptionMonthsToGo+SwaptionShift),INDEX($FK$245:$ID$316,$FJ222-GX$169,73-GX$169+SwaptionShift):INDEX($FK$245:$ID$316,$FJ222-GX$169,72-GX$169+SwaptionMonthsToGo+SwaptionShift))/SQRT(SUM(INDEX($FK377:$ID377,1+SwaptionShift):INDEX($FK377:$ID377,SwaptionMonthsToGo+SwaptionShift))*SUM(INDEX($FK$325:$ID$396,GX$169,1+SwaptionShift):INDEX($FK$325:$ID$396,GX$169,SwaptionMonthsToGo+SwaptionShift))))))</f>
        <v/>
      </c>
      <c r="GY222" s="479" t="str">
        <f ca="1">IF(OR(GY$169&lt;SwaptionFirstMonthPosition+1,$FJ222&lt;SwaptionFirstMonthPosition+1,GY$169&gt;SwaptionFirstMonthPosition+SwaptionNumOfMonths+1,$FJ222&gt;SwaptionFirstMonthPosition+SwaptionNumOfMonths+1),"",IF($FJ222=GY$169,1,IF($FJ222&lt;GY$169,INDEX($FK$170:$ID$241,GY$169,$FJ222),SUMPRODUCT(INDEX($FK$325:$ID$396,GY$169,1+SwaptionShift):INDEX($FK$325:$ID$396,GY$169,SwaptionMonthsToGo+SwaptionShift),INDEX($FK$245:$ID$316,$FJ222-GY$169,73-GY$169+SwaptionShift):INDEX($FK$245:$ID$316,$FJ222-GY$169,72-GY$169+SwaptionMonthsToGo+SwaptionShift))/SQRT(SUM(INDEX($FK377:$ID377,1+SwaptionShift):INDEX($FK377:$ID377,SwaptionMonthsToGo+SwaptionShift))*SUM(INDEX($FK$325:$ID$396,GY$169,1+SwaptionShift):INDEX($FK$325:$ID$396,GY$169,SwaptionMonthsToGo+SwaptionShift))))))</f>
        <v/>
      </c>
      <c r="GZ222" s="479" t="str">
        <f ca="1">IF(OR(GZ$169&lt;SwaptionFirstMonthPosition+1,$FJ222&lt;SwaptionFirstMonthPosition+1,GZ$169&gt;SwaptionFirstMonthPosition+SwaptionNumOfMonths+1,$FJ222&gt;SwaptionFirstMonthPosition+SwaptionNumOfMonths+1),"",IF($FJ222=GZ$169,1,IF($FJ222&lt;GZ$169,INDEX($FK$170:$ID$241,GZ$169,$FJ222),SUMPRODUCT(INDEX($FK$325:$ID$396,GZ$169,1+SwaptionShift):INDEX($FK$325:$ID$396,GZ$169,SwaptionMonthsToGo+SwaptionShift),INDEX($FK$245:$ID$316,$FJ222-GZ$169,73-GZ$169+SwaptionShift):INDEX($FK$245:$ID$316,$FJ222-GZ$169,72-GZ$169+SwaptionMonthsToGo+SwaptionShift))/SQRT(SUM(INDEX($FK377:$ID377,1+SwaptionShift):INDEX($FK377:$ID377,SwaptionMonthsToGo+SwaptionShift))*SUM(INDEX($FK$325:$ID$396,GZ$169,1+SwaptionShift):INDEX($FK$325:$ID$396,GZ$169,SwaptionMonthsToGo+SwaptionShift))))))</f>
        <v/>
      </c>
      <c r="HA222" s="479" t="str">
        <f ca="1">IF(OR(HA$169&lt;SwaptionFirstMonthPosition+1,$FJ222&lt;SwaptionFirstMonthPosition+1,HA$169&gt;SwaptionFirstMonthPosition+SwaptionNumOfMonths+1,$FJ222&gt;SwaptionFirstMonthPosition+SwaptionNumOfMonths+1),"",IF($FJ222=HA$169,1,IF($FJ222&lt;HA$169,INDEX($FK$170:$ID$241,HA$169,$FJ222),SUMPRODUCT(INDEX($FK$325:$ID$396,HA$169,1+SwaptionShift):INDEX($FK$325:$ID$396,HA$169,SwaptionMonthsToGo+SwaptionShift),INDEX($FK$245:$ID$316,$FJ222-HA$169,73-HA$169+SwaptionShift):INDEX($FK$245:$ID$316,$FJ222-HA$169,72-HA$169+SwaptionMonthsToGo+SwaptionShift))/SQRT(SUM(INDEX($FK377:$ID377,1+SwaptionShift):INDEX($FK377:$ID377,SwaptionMonthsToGo+SwaptionShift))*SUM(INDEX($FK$325:$ID$396,HA$169,1+SwaptionShift):INDEX($FK$325:$ID$396,HA$169,SwaptionMonthsToGo+SwaptionShift))))))</f>
        <v/>
      </c>
      <c r="HB222" s="479" t="str">
        <f ca="1">IF(OR(HB$169&lt;SwaptionFirstMonthPosition+1,$FJ222&lt;SwaptionFirstMonthPosition+1,HB$169&gt;SwaptionFirstMonthPosition+SwaptionNumOfMonths+1,$FJ222&gt;SwaptionFirstMonthPosition+SwaptionNumOfMonths+1),"",IF($FJ222=HB$169,1,IF($FJ222&lt;HB$169,INDEX($FK$170:$ID$241,HB$169,$FJ222),SUMPRODUCT(INDEX($FK$325:$ID$396,HB$169,1+SwaptionShift):INDEX($FK$325:$ID$396,HB$169,SwaptionMonthsToGo+SwaptionShift),INDEX($FK$245:$ID$316,$FJ222-HB$169,73-HB$169+SwaptionShift):INDEX($FK$245:$ID$316,$FJ222-HB$169,72-HB$169+SwaptionMonthsToGo+SwaptionShift))/SQRT(SUM(INDEX($FK377:$ID377,1+SwaptionShift):INDEX($FK377:$ID377,SwaptionMonthsToGo+SwaptionShift))*SUM(INDEX($FK$325:$ID$396,HB$169,1+SwaptionShift):INDEX($FK$325:$ID$396,HB$169,SwaptionMonthsToGo+SwaptionShift))))))</f>
        <v/>
      </c>
      <c r="HC222" s="479" t="str">
        <f ca="1">IF(OR(HC$169&lt;SwaptionFirstMonthPosition+1,$FJ222&lt;SwaptionFirstMonthPosition+1,HC$169&gt;SwaptionFirstMonthPosition+SwaptionNumOfMonths+1,$FJ222&gt;SwaptionFirstMonthPosition+SwaptionNumOfMonths+1),"",IF($FJ222=HC$169,1,IF($FJ222&lt;HC$169,INDEX($FK$170:$ID$241,HC$169,$FJ222),SUMPRODUCT(INDEX($FK$325:$ID$396,HC$169,1+SwaptionShift):INDEX($FK$325:$ID$396,HC$169,SwaptionMonthsToGo+SwaptionShift),INDEX($FK$245:$ID$316,$FJ222-HC$169,73-HC$169+SwaptionShift):INDEX($FK$245:$ID$316,$FJ222-HC$169,72-HC$169+SwaptionMonthsToGo+SwaptionShift))/SQRT(SUM(INDEX($FK377:$ID377,1+SwaptionShift):INDEX($FK377:$ID377,SwaptionMonthsToGo+SwaptionShift))*SUM(INDEX($FK$325:$ID$396,HC$169,1+SwaptionShift):INDEX($FK$325:$ID$396,HC$169,SwaptionMonthsToGo+SwaptionShift))))))</f>
        <v/>
      </c>
      <c r="HD222" s="479" t="str">
        <f ca="1">IF(OR(HD$169&lt;SwaptionFirstMonthPosition+1,$FJ222&lt;SwaptionFirstMonthPosition+1,HD$169&gt;SwaptionFirstMonthPosition+SwaptionNumOfMonths+1,$FJ222&gt;SwaptionFirstMonthPosition+SwaptionNumOfMonths+1),"",IF($FJ222=HD$169,1,IF($FJ222&lt;HD$169,INDEX($FK$170:$ID$241,HD$169,$FJ222),SUMPRODUCT(INDEX($FK$325:$ID$396,HD$169,1+SwaptionShift):INDEX($FK$325:$ID$396,HD$169,SwaptionMonthsToGo+SwaptionShift),INDEX($FK$245:$ID$316,$FJ222-HD$169,73-HD$169+SwaptionShift):INDEX($FK$245:$ID$316,$FJ222-HD$169,72-HD$169+SwaptionMonthsToGo+SwaptionShift))/SQRT(SUM(INDEX($FK377:$ID377,1+SwaptionShift):INDEX($FK377:$ID377,SwaptionMonthsToGo+SwaptionShift))*SUM(INDEX($FK$325:$ID$396,HD$169,1+SwaptionShift):INDEX($FK$325:$ID$396,HD$169,SwaptionMonthsToGo+SwaptionShift))))))</f>
        <v/>
      </c>
      <c r="HE222" s="479" t="str">
        <f ca="1">IF(OR(HE$169&lt;SwaptionFirstMonthPosition+1,$FJ222&lt;SwaptionFirstMonthPosition+1,HE$169&gt;SwaptionFirstMonthPosition+SwaptionNumOfMonths+1,$FJ222&gt;SwaptionFirstMonthPosition+SwaptionNumOfMonths+1),"",IF($FJ222=HE$169,1,IF($FJ222&lt;HE$169,INDEX($FK$170:$ID$241,HE$169,$FJ222),SUMPRODUCT(INDEX($FK$325:$ID$396,HE$169,1+SwaptionShift):INDEX($FK$325:$ID$396,HE$169,SwaptionMonthsToGo+SwaptionShift),INDEX($FK$245:$ID$316,$FJ222-HE$169,73-HE$169+SwaptionShift):INDEX($FK$245:$ID$316,$FJ222-HE$169,72-HE$169+SwaptionMonthsToGo+SwaptionShift))/SQRT(SUM(INDEX($FK377:$ID377,1+SwaptionShift):INDEX($FK377:$ID377,SwaptionMonthsToGo+SwaptionShift))*SUM(INDEX($FK$325:$ID$396,HE$169,1+SwaptionShift):INDEX($FK$325:$ID$396,HE$169,SwaptionMonthsToGo+SwaptionShift))))))</f>
        <v/>
      </c>
      <c r="HF222" s="479" t="str">
        <f ca="1">IF(OR(HF$169&lt;SwaptionFirstMonthPosition+1,$FJ222&lt;SwaptionFirstMonthPosition+1,HF$169&gt;SwaptionFirstMonthPosition+SwaptionNumOfMonths+1,$FJ222&gt;SwaptionFirstMonthPosition+SwaptionNumOfMonths+1),"",IF($FJ222=HF$169,1,IF($FJ222&lt;HF$169,INDEX($FK$170:$ID$241,HF$169,$FJ222),SUMPRODUCT(INDEX($FK$325:$ID$396,HF$169,1+SwaptionShift):INDEX($FK$325:$ID$396,HF$169,SwaptionMonthsToGo+SwaptionShift),INDEX($FK$245:$ID$316,$FJ222-HF$169,73-HF$169+SwaptionShift):INDEX($FK$245:$ID$316,$FJ222-HF$169,72-HF$169+SwaptionMonthsToGo+SwaptionShift))/SQRT(SUM(INDEX($FK377:$ID377,1+SwaptionShift):INDEX($FK377:$ID377,SwaptionMonthsToGo+SwaptionShift))*SUM(INDEX($FK$325:$ID$396,HF$169,1+SwaptionShift):INDEX($FK$325:$ID$396,HF$169,SwaptionMonthsToGo+SwaptionShift))))))</f>
        <v/>
      </c>
      <c r="HG222" s="479" t="str">
        <f ca="1">IF(OR(HG$169&lt;SwaptionFirstMonthPosition+1,$FJ222&lt;SwaptionFirstMonthPosition+1,HG$169&gt;SwaptionFirstMonthPosition+SwaptionNumOfMonths+1,$FJ222&gt;SwaptionFirstMonthPosition+SwaptionNumOfMonths+1),"",IF($FJ222=HG$169,1,IF($FJ222&lt;HG$169,INDEX($FK$170:$ID$241,HG$169,$FJ222),SUMPRODUCT(INDEX($FK$325:$ID$396,HG$169,1+SwaptionShift):INDEX($FK$325:$ID$396,HG$169,SwaptionMonthsToGo+SwaptionShift),INDEX($FK$245:$ID$316,$FJ222-HG$169,73-HG$169+SwaptionShift):INDEX($FK$245:$ID$316,$FJ222-HG$169,72-HG$169+SwaptionMonthsToGo+SwaptionShift))/SQRT(SUM(INDEX($FK377:$ID377,1+SwaptionShift):INDEX($FK377:$ID377,SwaptionMonthsToGo+SwaptionShift))*SUM(INDEX($FK$325:$ID$396,HG$169,1+SwaptionShift):INDEX($FK$325:$ID$396,HG$169,SwaptionMonthsToGo+SwaptionShift))))))</f>
        <v/>
      </c>
      <c r="HH222" s="479" t="str">
        <f ca="1">IF(OR(HH$169&lt;SwaptionFirstMonthPosition+1,$FJ222&lt;SwaptionFirstMonthPosition+1,HH$169&gt;SwaptionFirstMonthPosition+SwaptionNumOfMonths+1,$FJ222&gt;SwaptionFirstMonthPosition+SwaptionNumOfMonths+1),"",IF($FJ222=HH$169,1,IF($FJ222&lt;HH$169,INDEX($FK$170:$ID$241,HH$169,$FJ222),SUMPRODUCT(INDEX($FK$325:$ID$396,HH$169,1+SwaptionShift):INDEX($FK$325:$ID$396,HH$169,SwaptionMonthsToGo+SwaptionShift),INDEX($FK$245:$ID$316,$FJ222-HH$169,73-HH$169+SwaptionShift):INDEX($FK$245:$ID$316,$FJ222-HH$169,72-HH$169+SwaptionMonthsToGo+SwaptionShift))/SQRT(SUM(INDEX($FK377:$ID377,1+SwaptionShift):INDEX($FK377:$ID377,SwaptionMonthsToGo+SwaptionShift))*SUM(INDEX($FK$325:$ID$396,HH$169,1+SwaptionShift):INDEX($FK$325:$ID$396,HH$169,SwaptionMonthsToGo+SwaptionShift))))))</f>
        <v/>
      </c>
      <c r="HI222" s="479" t="str">
        <f ca="1">IF(OR(HI$169&lt;SwaptionFirstMonthPosition+1,$FJ222&lt;SwaptionFirstMonthPosition+1,HI$169&gt;SwaptionFirstMonthPosition+SwaptionNumOfMonths+1,$FJ222&gt;SwaptionFirstMonthPosition+SwaptionNumOfMonths+1),"",IF($FJ222=HI$169,1,IF($FJ222&lt;HI$169,INDEX($FK$170:$ID$241,HI$169,$FJ222),SUMPRODUCT(INDEX($FK$325:$ID$396,HI$169,1+SwaptionShift):INDEX($FK$325:$ID$396,HI$169,SwaptionMonthsToGo+SwaptionShift),INDEX($FK$245:$ID$316,$FJ222-HI$169,73-HI$169+SwaptionShift):INDEX($FK$245:$ID$316,$FJ222-HI$169,72-HI$169+SwaptionMonthsToGo+SwaptionShift))/SQRT(SUM(INDEX($FK377:$ID377,1+SwaptionShift):INDEX($FK377:$ID377,SwaptionMonthsToGo+SwaptionShift))*SUM(INDEX($FK$325:$ID$396,HI$169,1+SwaptionShift):INDEX($FK$325:$ID$396,HI$169,SwaptionMonthsToGo+SwaptionShift))))))</f>
        <v/>
      </c>
      <c r="HJ222" s="479" t="str">
        <f ca="1">IF(OR(HJ$169&lt;SwaptionFirstMonthPosition+1,$FJ222&lt;SwaptionFirstMonthPosition+1,HJ$169&gt;SwaptionFirstMonthPosition+SwaptionNumOfMonths+1,$FJ222&gt;SwaptionFirstMonthPosition+SwaptionNumOfMonths+1),"",IF($FJ222=HJ$169,1,IF($FJ222&lt;HJ$169,INDEX($FK$170:$ID$241,HJ$169,$FJ222),SUMPRODUCT(INDEX($FK$325:$ID$396,HJ$169,1+SwaptionShift):INDEX($FK$325:$ID$396,HJ$169,SwaptionMonthsToGo+SwaptionShift),INDEX($FK$245:$ID$316,$FJ222-HJ$169,73-HJ$169+SwaptionShift):INDEX($FK$245:$ID$316,$FJ222-HJ$169,72-HJ$169+SwaptionMonthsToGo+SwaptionShift))/SQRT(SUM(INDEX($FK377:$ID377,1+SwaptionShift):INDEX($FK377:$ID377,SwaptionMonthsToGo+SwaptionShift))*SUM(INDEX($FK$325:$ID$396,HJ$169,1+SwaptionShift):INDEX($FK$325:$ID$396,HJ$169,SwaptionMonthsToGo+SwaptionShift))))))</f>
        <v/>
      </c>
      <c r="HK222" s="479" t="str">
        <f ca="1">IF(OR(HK$169&lt;SwaptionFirstMonthPosition+1,$FJ222&lt;SwaptionFirstMonthPosition+1,HK$169&gt;SwaptionFirstMonthPosition+SwaptionNumOfMonths+1,$FJ222&gt;SwaptionFirstMonthPosition+SwaptionNumOfMonths+1),"",IF($FJ222=HK$169,1,IF($FJ222&lt;HK$169,INDEX($FK$170:$ID$241,HK$169,$FJ222),SUMPRODUCT(INDEX($FK$325:$ID$396,HK$169,1+SwaptionShift):INDEX($FK$325:$ID$396,HK$169,SwaptionMonthsToGo+SwaptionShift),INDEX($FK$245:$ID$316,$FJ222-HK$169,73-HK$169+SwaptionShift):INDEX($FK$245:$ID$316,$FJ222-HK$169,72-HK$169+SwaptionMonthsToGo+SwaptionShift))/SQRT(SUM(INDEX($FK377:$ID377,1+SwaptionShift):INDEX($FK377:$ID377,SwaptionMonthsToGo+SwaptionShift))*SUM(INDEX($FK$325:$ID$396,HK$169,1+SwaptionShift):INDEX($FK$325:$ID$396,HK$169,SwaptionMonthsToGo+SwaptionShift))))))</f>
        <v/>
      </c>
      <c r="HL222" s="479" t="str">
        <f ca="1">IF(OR(HL$169&lt;SwaptionFirstMonthPosition+1,$FJ222&lt;SwaptionFirstMonthPosition+1,HL$169&gt;SwaptionFirstMonthPosition+SwaptionNumOfMonths+1,$FJ222&gt;SwaptionFirstMonthPosition+SwaptionNumOfMonths+1),"",IF($FJ222=HL$169,1,IF($FJ222&lt;HL$169,INDEX($FK$170:$ID$241,HL$169,$FJ222),SUMPRODUCT(INDEX($FK$325:$ID$396,HL$169,1+SwaptionShift):INDEX($FK$325:$ID$396,HL$169,SwaptionMonthsToGo+SwaptionShift),INDEX($FK$245:$ID$316,$FJ222-HL$169,73-HL$169+SwaptionShift):INDEX($FK$245:$ID$316,$FJ222-HL$169,72-HL$169+SwaptionMonthsToGo+SwaptionShift))/SQRT(SUM(INDEX($FK377:$ID377,1+SwaptionShift):INDEX($FK377:$ID377,SwaptionMonthsToGo+SwaptionShift))*SUM(INDEX($FK$325:$ID$396,HL$169,1+SwaptionShift):INDEX($FK$325:$ID$396,HL$169,SwaptionMonthsToGo+SwaptionShift))))))</f>
        <v/>
      </c>
      <c r="HM222" s="479" t="str">
        <f ca="1">IF(OR(HM$169&lt;SwaptionFirstMonthPosition+1,$FJ222&lt;SwaptionFirstMonthPosition+1,HM$169&gt;SwaptionFirstMonthPosition+SwaptionNumOfMonths+1,$FJ222&gt;SwaptionFirstMonthPosition+SwaptionNumOfMonths+1),"",IF($FJ222=HM$169,1,IF($FJ222&lt;HM$169,INDEX($FK$170:$ID$241,HM$169,$FJ222),SUMPRODUCT(INDEX($FK$325:$ID$396,HM$169,1+SwaptionShift):INDEX($FK$325:$ID$396,HM$169,SwaptionMonthsToGo+SwaptionShift),INDEX($FK$245:$ID$316,$FJ222-HM$169,73-HM$169+SwaptionShift):INDEX($FK$245:$ID$316,$FJ222-HM$169,72-HM$169+SwaptionMonthsToGo+SwaptionShift))/SQRT(SUM(INDEX($FK377:$ID377,1+SwaptionShift):INDEX($FK377:$ID377,SwaptionMonthsToGo+SwaptionShift))*SUM(INDEX($FK$325:$ID$396,HM$169,1+SwaptionShift):INDEX($FK$325:$ID$396,HM$169,SwaptionMonthsToGo+SwaptionShift))))))</f>
        <v/>
      </c>
      <c r="HN222" s="479" t="str">
        <f ca="1">IF(OR(HN$169&lt;SwaptionFirstMonthPosition+1,$FJ222&lt;SwaptionFirstMonthPosition+1,HN$169&gt;SwaptionFirstMonthPosition+SwaptionNumOfMonths+1,$FJ222&gt;SwaptionFirstMonthPosition+SwaptionNumOfMonths+1),"",IF($FJ222=HN$169,1,IF($FJ222&lt;HN$169,INDEX($FK$170:$ID$241,HN$169,$FJ222),SUMPRODUCT(INDEX($FK$325:$ID$396,HN$169,1+SwaptionShift):INDEX($FK$325:$ID$396,HN$169,SwaptionMonthsToGo+SwaptionShift),INDEX($FK$245:$ID$316,$FJ222-HN$169,73-HN$169+SwaptionShift):INDEX($FK$245:$ID$316,$FJ222-HN$169,72-HN$169+SwaptionMonthsToGo+SwaptionShift))/SQRT(SUM(INDEX($FK377:$ID377,1+SwaptionShift):INDEX($FK377:$ID377,SwaptionMonthsToGo+SwaptionShift))*SUM(INDEX($FK$325:$ID$396,HN$169,1+SwaptionShift):INDEX($FK$325:$ID$396,HN$169,SwaptionMonthsToGo+SwaptionShift))))))</f>
        <v/>
      </c>
      <c r="HO222" s="479" t="str">
        <f ca="1">IF(OR(HO$169&lt;SwaptionFirstMonthPosition+1,$FJ222&lt;SwaptionFirstMonthPosition+1,HO$169&gt;SwaptionFirstMonthPosition+SwaptionNumOfMonths+1,$FJ222&gt;SwaptionFirstMonthPosition+SwaptionNumOfMonths+1),"",IF($FJ222=HO$169,1,IF($FJ222&lt;HO$169,INDEX($FK$170:$ID$241,HO$169,$FJ222),SUMPRODUCT(INDEX($FK$325:$ID$396,HO$169,1+SwaptionShift):INDEX($FK$325:$ID$396,HO$169,SwaptionMonthsToGo+SwaptionShift),INDEX($FK$245:$ID$316,$FJ222-HO$169,73-HO$169+SwaptionShift):INDEX($FK$245:$ID$316,$FJ222-HO$169,72-HO$169+SwaptionMonthsToGo+SwaptionShift))/SQRT(SUM(INDEX($FK377:$ID377,1+SwaptionShift):INDEX($FK377:$ID377,SwaptionMonthsToGo+SwaptionShift))*SUM(INDEX($FK$325:$ID$396,HO$169,1+SwaptionShift):INDEX($FK$325:$ID$396,HO$169,SwaptionMonthsToGo+SwaptionShift))))))</f>
        <v/>
      </c>
      <c r="HP222" s="479" t="str">
        <f ca="1">IF(OR(HP$169&lt;SwaptionFirstMonthPosition+1,$FJ222&lt;SwaptionFirstMonthPosition+1,HP$169&gt;SwaptionFirstMonthPosition+SwaptionNumOfMonths+1,$FJ222&gt;SwaptionFirstMonthPosition+SwaptionNumOfMonths+1),"",IF($FJ222=HP$169,1,IF($FJ222&lt;HP$169,INDEX($FK$170:$ID$241,HP$169,$FJ222),SUMPRODUCT(INDEX($FK$325:$ID$396,HP$169,1+SwaptionShift):INDEX($FK$325:$ID$396,HP$169,SwaptionMonthsToGo+SwaptionShift),INDEX($FK$245:$ID$316,$FJ222-HP$169,73-HP$169+SwaptionShift):INDEX($FK$245:$ID$316,$FJ222-HP$169,72-HP$169+SwaptionMonthsToGo+SwaptionShift))/SQRT(SUM(INDEX($FK377:$ID377,1+SwaptionShift):INDEX($FK377:$ID377,SwaptionMonthsToGo+SwaptionShift))*SUM(INDEX($FK$325:$ID$396,HP$169,1+SwaptionShift):INDEX($FK$325:$ID$396,HP$169,SwaptionMonthsToGo+SwaptionShift))))))</f>
        <v/>
      </c>
      <c r="HQ222" s="479" t="str">
        <f ca="1">IF(OR(HQ$169&lt;SwaptionFirstMonthPosition+1,$FJ222&lt;SwaptionFirstMonthPosition+1,HQ$169&gt;SwaptionFirstMonthPosition+SwaptionNumOfMonths+1,$FJ222&gt;SwaptionFirstMonthPosition+SwaptionNumOfMonths+1),"",IF($FJ222=HQ$169,1,IF($FJ222&lt;HQ$169,INDEX($FK$170:$ID$241,HQ$169,$FJ222),SUMPRODUCT(INDEX($FK$325:$ID$396,HQ$169,1+SwaptionShift):INDEX($FK$325:$ID$396,HQ$169,SwaptionMonthsToGo+SwaptionShift),INDEX($FK$245:$ID$316,$FJ222-HQ$169,73-HQ$169+SwaptionShift):INDEX($FK$245:$ID$316,$FJ222-HQ$169,72-HQ$169+SwaptionMonthsToGo+SwaptionShift))/SQRT(SUM(INDEX($FK377:$ID377,1+SwaptionShift):INDEX($FK377:$ID377,SwaptionMonthsToGo+SwaptionShift))*SUM(INDEX($FK$325:$ID$396,HQ$169,1+SwaptionShift):INDEX($FK$325:$ID$396,HQ$169,SwaptionMonthsToGo+SwaptionShift))))))</f>
        <v/>
      </c>
      <c r="HR222" s="479" t="str">
        <f ca="1">IF(OR(HR$169&lt;SwaptionFirstMonthPosition+1,$FJ222&lt;SwaptionFirstMonthPosition+1,HR$169&gt;SwaptionFirstMonthPosition+SwaptionNumOfMonths+1,$FJ222&gt;SwaptionFirstMonthPosition+SwaptionNumOfMonths+1),"",IF($FJ222=HR$169,1,IF($FJ222&lt;HR$169,INDEX($FK$170:$ID$241,HR$169,$FJ222),SUMPRODUCT(INDEX($FK$325:$ID$396,HR$169,1+SwaptionShift):INDEX($FK$325:$ID$396,HR$169,SwaptionMonthsToGo+SwaptionShift),INDEX($FK$245:$ID$316,$FJ222-HR$169,73-HR$169+SwaptionShift):INDEX($FK$245:$ID$316,$FJ222-HR$169,72-HR$169+SwaptionMonthsToGo+SwaptionShift))/SQRT(SUM(INDEX($FK377:$ID377,1+SwaptionShift):INDEX($FK377:$ID377,SwaptionMonthsToGo+SwaptionShift))*SUM(INDEX($FK$325:$ID$396,HR$169,1+SwaptionShift):INDEX($FK$325:$ID$396,HR$169,SwaptionMonthsToGo+SwaptionShift))))))</f>
        <v/>
      </c>
      <c r="HS222" s="479" t="str">
        <f ca="1">IF(OR(HS$169&lt;SwaptionFirstMonthPosition+1,$FJ222&lt;SwaptionFirstMonthPosition+1,HS$169&gt;SwaptionFirstMonthPosition+SwaptionNumOfMonths+1,$FJ222&gt;SwaptionFirstMonthPosition+SwaptionNumOfMonths+1),"",IF($FJ222=HS$169,1,IF($FJ222&lt;HS$169,INDEX($FK$170:$ID$241,HS$169,$FJ222),SUMPRODUCT(INDEX($FK$325:$ID$396,HS$169,1+SwaptionShift):INDEX($FK$325:$ID$396,HS$169,SwaptionMonthsToGo+SwaptionShift),INDEX($FK$245:$ID$316,$FJ222-HS$169,73-HS$169+SwaptionShift):INDEX($FK$245:$ID$316,$FJ222-HS$169,72-HS$169+SwaptionMonthsToGo+SwaptionShift))/SQRT(SUM(INDEX($FK377:$ID377,1+SwaptionShift):INDEX($FK377:$ID377,SwaptionMonthsToGo+SwaptionShift))*SUM(INDEX($FK$325:$ID$396,HS$169,1+SwaptionShift):INDEX($FK$325:$ID$396,HS$169,SwaptionMonthsToGo+SwaptionShift))))))</f>
        <v/>
      </c>
      <c r="HT222" s="479" t="str">
        <f ca="1">IF(OR(HT$169&lt;SwaptionFirstMonthPosition+1,$FJ222&lt;SwaptionFirstMonthPosition+1,HT$169&gt;SwaptionFirstMonthPosition+SwaptionNumOfMonths+1,$FJ222&gt;SwaptionFirstMonthPosition+SwaptionNumOfMonths+1),"",IF($FJ222=HT$169,1,IF($FJ222&lt;HT$169,INDEX($FK$170:$ID$241,HT$169,$FJ222),SUMPRODUCT(INDEX($FK$325:$ID$396,HT$169,1+SwaptionShift):INDEX($FK$325:$ID$396,HT$169,SwaptionMonthsToGo+SwaptionShift),INDEX($FK$245:$ID$316,$FJ222-HT$169,73-HT$169+SwaptionShift):INDEX($FK$245:$ID$316,$FJ222-HT$169,72-HT$169+SwaptionMonthsToGo+SwaptionShift))/SQRT(SUM(INDEX($FK377:$ID377,1+SwaptionShift):INDEX($FK377:$ID377,SwaptionMonthsToGo+SwaptionShift))*SUM(INDEX($FK$325:$ID$396,HT$169,1+SwaptionShift):INDEX($FK$325:$ID$396,HT$169,SwaptionMonthsToGo+SwaptionShift))))))</f>
        <v/>
      </c>
      <c r="HU222" s="479" t="str">
        <f ca="1">IF(OR(HU$169&lt;SwaptionFirstMonthPosition+1,$FJ222&lt;SwaptionFirstMonthPosition+1,HU$169&gt;SwaptionFirstMonthPosition+SwaptionNumOfMonths+1,$FJ222&gt;SwaptionFirstMonthPosition+SwaptionNumOfMonths+1),"",IF($FJ222=HU$169,1,IF($FJ222&lt;HU$169,INDEX($FK$170:$ID$241,HU$169,$FJ222),SUMPRODUCT(INDEX($FK$325:$ID$396,HU$169,1+SwaptionShift):INDEX($FK$325:$ID$396,HU$169,SwaptionMonthsToGo+SwaptionShift),INDEX($FK$245:$ID$316,$FJ222-HU$169,73-HU$169+SwaptionShift):INDEX($FK$245:$ID$316,$FJ222-HU$169,72-HU$169+SwaptionMonthsToGo+SwaptionShift))/SQRT(SUM(INDEX($FK377:$ID377,1+SwaptionShift):INDEX($FK377:$ID377,SwaptionMonthsToGo+SwaptionShift))*SUM(INDEX($FK$325:$ID$396,HU$169,1+SwaptionShift):INDEX($FK$325:$ID$396,HU$169,SwaptionMonthsToGo+SwaptionShift))))))</f>
        <v/>
      </c>
      <c r="HV222" s="479" t="str">
        <f ca="1">IF(OR(HV$169&lt;SwaptionFirstMonthPosition+1,$FJ222&lt;SwaptionFirstMonthPosition+1,HV$169&gt;SwaptionFirstMonthPosition+SwaptionNumOfMonths+1,$FJ222&gt;SwaptionFirstMonthPosition+SwaptionNumOfMonths+1),"",IF($FJ222=HV$169,1,IF($FJ222&lt;HV$169,INDEX($FK$170:$ID$241,HV$169,$FJ222),SUMPRODUCT(INDEX($FK$325:$ID$396,HV$169,1+SwaptionShift):INDEX($FK$325:$ID$396,HV$169,SwaptionMonthsToGo+SwaptionShift),INDEX($FK$245:$ID$316,$FJ222-HV$169,73-HV$169+SwaptionShift):INDEX($FK$245:$ID$316,$FJ222-HV$169,72-HV$169+SwaptionMonthsToGo+SwaptionShift))/SQRT(SUM(INDEX($FK377:$ID377,1+SwaptionShift):INDEX($FK377:$ID377,SwaptionMonthsToGo+SwaptionShift))*SUM(INDEX($FK$325:$ID$396,HV$169,1+SwaptionShift):INDEX($FK$325:$ID$396,HV$169,SwaptionMonthsToGo+SwaptionShift))))))</f>
        <v/>
      </c>
      <c r="HW222" s="479" t="str">
        <f ca="1">IF(OR(HW$169&lt;SwaptionFirstMonthPosition+1,$FJ222&lt;SwaptionFirstMonthPosition+1,HW$169&gt;SwaptionFirstMonthPosition+SwaptionNumOfMonths+1,$FJ222&gt;SwaptionFirstMonthPosition+SwaptionNumOfMonths+1),"",IF($FJ222=HW$169,1,IF($FJ222&lt;HW$169,INDEX($FK$170:$ID$241,HW$169,$FJ222),SUMPRODUCT(INDEX($FK$325:$ID$396,HW$169,1+SwaptionShift):INDEX($FK$325:$ID$396,HW$169,SwaptionMonthsToGo+SwaptionShift),INDEX($FK$245:$ID$316,$FJ222-HW$169,73-HW$169+SwaptionShift):INDEX($FK$245:$ID$316,$FJ222-HW$169,72-HW$169+SwaptionMonthsToGo+SwaptionShift))/SQRT(SUM(INDEX($FK377:$ID377,1+SwaptionShift):INDEX($FK377:$ID377,SwaptionMonthsToGo+SwaptionShift))*SUM(INDEX($FK$325:$ID$396,HW$169,1+SwaptionShift):INDEX($FK$325:$ID$396,HW$169,SwaptionMonthsToGo+SwaptionShift))))))</f>
        <v/>
      </c>
      <c r="HX222" s="479" t="str">
        <f ca="1">IF(OR(HX$169&lt;SwaptionFirstMonthPosition+1,$FJ222&lt;SwaptionFirstMonthPosition+1,HX$169&gt;SwaptionFirstMonthPosition+SwaptionNumOfMonths+1,$FJ222&gt;SwaptionFirstMonthPosition+SwaptionNumOfMonths+1),"",IF($FJ222=HX$169,1,IF($FJ222&lt;HX$169,INDEX($FK$170:$ID$241,HX$169,$FJ222),SUMPRODUCT(INDEX($FK$325:$ID$396,HX$169,1+SwaptionShift):INDEX($FK$325:$ID$396,HX$169,SwaptionMonthsToGo+SwaptionShift),INDEX($FK$245:$ID$316,$FJ222-HX$169,73-HX$169+SwaptionShift):INDEX($FK$245:$ID$316,$FJ222-HX$169,72-HX$169+SwaptionMonthsToGo+SwaptionShift))/SQRT(SUM(INDEX($FK377:$ID377,1+SwaptionShift):INDEX($FK377:$ID377,SwaptionMonthsToGo+SwaptionShift))*SUM(INDEX($FK$325:$ID$396,HX$169,1+SwaptionShift):INDEX($FK$325:$ID$396,HX$169,SwaptionMonthsToGo+SwaptionShift))))))</f>
        <v/>
      </c>
      <c r="HY222" s="479" t="str">
        <f ca="1">IF(OR(HY$169&lt;SwaptionFirstMonthPosition+1,$FJ222&lt;SwaptionFirstMonthPosition+1,HY$169&gt;SwaptionFirstMonthPosition+SwaptionNumOfMonths+1,$FJ222&gt;SwaptionFirstMonthPosition+SwaptionNumOfMonths+1),"",IF($FJ222=HY$169,1,IF($FJ222&lt;HY$169,INDEX($FK$170:$ID$241,HY$169,$FJ222),SUMPRODUCT(INDEX($FK$325:$ID$396,HY$169,1+SwaptionShift):INDEX($FK$325:$ID$396,HY$169,SwaptionMonthsToGo+SwaptionShift),INDEX($FK$245:$ID$316,$FJ222-HY$169,73-HY$169+SwaptionShift):INDEX($FK$245:$ID$316,$FJ222-HY$169,72-HY$169+SwaptionMonthsToGo+SwaptionShift))/SQRT(SUM(INDEX($FK377:$ID377,1+SwaptionShift):INDEX($FK377:$ID377,SwaptionMonthsToGo+SwaptionShift))*SUM(INDEX($FK$325:$ID$396,HY$169,1+SwaptionShift):INDEX($FK$325:$ID$396,HY$169,SwaptionMonthsToGo+SwaptionShift))))))</f>
        <v/>
      </c>
      <c r="HZ222" s="479" t="str">
        <f ca="1">IF(OR(HZ$169&lt;SwaptionFirstMonthPosition+1,$FJ222&lt;SwaptionFirstMonthPosition+1,HZ$169&gt;SwaptionFirstMonthPosition+SwaptionNumOfMonths+1,$FJ222&gt;SwaptionFirstMonthPosition+SwaptionNumOfMonths+1),"",IF($FJ222=HZ$169,1,IF($FJ222&lt;HZ$169,INDEX($FK$170:$ID$241,HZ$169,$FJ222),SUMPRODUCT(INDEX($FK$325:$ID$396,HZ$169,1+SwaptionShift):INDEX($FK$325:$ID$396,HZ$169,SwaptionMonthsToGo+SwaptionShift),INDEX($FK$245:$ID$316,$FJ222-HZ$169,73-HZ$169+SwaptionShift):INDEX($FK$245:$ID$316,$FJ222-HZ$169,72-HZ$169+SwaptionMonthsToGo+SwaptionShift))/SQRT(SUM(INDEX($FK377:$ID377,1+SwaptionShift):INDEX($FK377:$ID377,SwaptionMonthsToGo+SwaptionShift))*SUM(INDEX($FK$325:$ID$396,HZ$169,1+SwaptionShift):INDEX($FK$325:$ID$396,HZ$169,SwaptionMonthsToGo+SwaptionShift))))))</f>
        <v/>
      </c>
      <c r="IA222" s="479" t="str">
        <f ca="1">IF(OR(IA$169&lt;SwaptionFirstMonthPosition+1,$FJ222&lt;SwaptionFirstMonthPosition+1,IA$169&gt;SwaptionFirstMonthPosition+SwaptionNumOfMonths+1,$FJ222&gt;SwaptionFirstMonthPosition+SwaptionNumOfMonths+1),"",IF($FJ222=IA$169,1,IF($FJ222&lt;IA$169,INDEX($FK$170:$ID$241,IA$169,$FJ222),SUMPRODUCT(INDEX($FK$325:$ID$396,IA$169,1+SwaptionShift):INDEX($FK$325:$ID$396,IA$169,SwaptionMonthsToGo+SwaptionShift),INDEX($FK$245:$ID$316,$FJ222-IA$169,73-IA$169+SwaptionShift):INDEX($FK$245:$ID$316,$FJ222-IA$169,72-IA$169+SwaptionMonthsToGo+SwaptionShift))/SQRT(SUM(INDEX($FK377:$ID377,1+SwaptionShift):INDEX($FK377:$ID377,SwaptionMonthsToGo+SwaptionShift))*SUM(INDEX($FK$325:$ID$396,IA$169,1+SwaptionShift):INDEX($FK$325:$ID$396,IA$169,SwaptionMonthsToGo+SwaptionShift))))))</f>
        <v/>
      </c>
      <c r="IB222" s="479" t="str">
        <f ca="1">IF(OR(IB$169&lt;SwaptionFirstMonthPosition+1,$FJ222&lt;SwaptionFirstMonthPosition+1,IB$169&gt;SwaptionFirstMonthPosition+SwaptionNumOfMonths+1,$FJ222&gt;SwaptionFirstMonthPosition+SwaptionNumOfMonths+1),"",IF($FJ222=IB$169,1,IF($FJ222&lt;IB$169,INDEX($FK$170:$ID$241,IB$169,$FJ222),SUMPRODUCT(INDEX($FK$325:$ID$396,IB$169,1+SwaptionShift):INDEX($FK$325:$ID$396,IB$169,SwaptionMonthsToGo+SwaptionShift),INDEX($FK$245:$ID$316,$FJ222-IB$169,73-IB$169+SwaptionShift):INDEX($FK$245:$ID$316,$FJ222-IB$169,72-IB$169+SwaptionMonthsToGo+SwaptionShift))/SQRT(SUM(INDEX($FK377:$ID377,1+SwaptionShift):INDEX($FK377:$ID377,SwaptionMonthsToGo+SwaptionShift))*SUM(INDEX($FK$325:$ID$396,IB$169,1+SwaptionShift):INDEX($FK$325:$ID$396,IB$169,SwaptionMonthsToGo+SwaptionShift))))))</f>
        <v/>
      </c>
      <c r="IC222" s="479" t="str">
        <f ca="1">IF(OR(IC$169&lt;SwaptionFirstMonthPosition+1,$FJ222&lt;SwaptionFirstMonthPosition+1,IC$169&gt;SwaptionFirstMonthPosition+SwaptionNumOfMonths+1,$FJ222&gt;SwaptionFirstMonthPosition+SwaptionNumOfMonths+1),"",IF($FJ222=IC$169,1,IF($FJ222&lt;IC$169,INDEX($FK$170:$ID$241,IC$169,$FJ222),SUMPRODUCT(INDEX($FK$325:$ID$396,IC$169,1+SwaptionShift):INDEX($FK$325:$ID$396,IC$169,SwaptionMonthsToGo+SwaptionShift),INDEX($FK$245:$ID$316,$FJ222-IC$169,73-IC$169+SwaptionShift):INDEX($FK$245:$ID$316,$FJ222-IC$169,72-IC$169+SwaptionMonthsToGo+SwaptionShift))/SQRT(SUM(INDEX($FK377:$ID377,1+SwaptionShift):INDEX($FK377:$ID377,SwaptionMonthsToGo+SwaptionShift))*SUM(INDEX($FK$325:$ID$396,IC$169,1+SwaptionShift):INDEX($FK$325:$ID$396,IC$169,SwaptionMonthsToGo+SwaptionShift))))))</f>
        <v/>
      </c>
      <c r="ID222" s="678" t="str">
        <f ca="1">IF(OR(ID$169&lt;SwaptionFirstMonthPosition+1,$FJ222&lt;SwaptionFirstMonthPosition+1,ID$169&gt;SwaptionFirstMonthPosition+SwaptionNumOfMonths+1,$FJ222&gt;SwaptionFirstMonthPosition+SwaptionNumOfMonths+1),"",IF($FJ222=ID$169,1,IF($FJ222&lt;ID$169,INDEX($FK$170:$ID$241,ID$169,$FJ222),SUMPRODUCT(INDEX($FK$325:$ID$396,ID$169,1+SwaptionShift):INDEX($FK$325:$ID$396,ID$169,SwaptionMonthsToGo+SwaptionShift),INDEX($FK$245:$ID$316,$FJ222-ID$169,73-ID$169+SwaptionShift):INDEX($FK$245:$ID$316,$FJ222-ID$169,72-ID$169+SwaptionMonthsToGo+SwaptionShift))/SQRT(SUM(INDEX($FK377:$ID377,1+SwaptionShift):INDEX($FK377:$ID377,SwaptionMonthsToGo+SwaptionShift))*SUM(INDEX($FK$325:$ID$396,ID$169,1+SwaptionShift):INDEX($FK$325:$ID$396,ID$169,SwaptionMonthsToGo+SwaptionShift))))))</f>
        <v/>
      </c>
      <c r="IE222" s="250"/>
    </row>
    <row r="223" spans="8:239">
      <c r="H223" s="51">
        <f t="shared" ca="1" si="646"/>
        <v>0</v>
      </c>
      <c r="I223" s="379">
        <f t="shared" si="647"/>
        <v>42948</v>
      </c>
      <c r="J223" s="377"/>
      <c r="K223" s="104" t="s">
        <v>268</v>
      </c>
      <c r="L223" s="392">
        <f t="shared" si="648"/>
        <v>4.7624999999999993</v>
      </c>
      <c r="M223" s="171"/>
      <c r="N223" s="382">
        <v>0</v>
      </c>
      <c r="O223" s="171">
        <f t="shared" si="596"/>
        <v>0</v>
      </c>
      <c r="P223" s="377"/>
      <c r="Q223" s="104" t="s">
        <v>268</v>
      </c>
      <c r="R223" s="377">
        <f t="shared" ca="1" si="597"/>
        <v>3.3788934097034868</v>
      </c>
      <c r="S223" s="832">
        <f t="shared" si="564"/>
        <v>0.3600000000000001</v>
      </c>
      <c r="T223" s="831">
        <f t="shared" si="661"/>
        <v>0.99999999999999822</v>
      </c>
      <c r="U223" s="545">
        <f t="shared" si="662"/>
        <v>0.99999999999999978</v>
      </c>
      <c r="V223" s="389">
        <v>0</v>
      </c>
      <c r="W223" s="434">
        <f t="shared" si="598"/>
        <v>0</v>
      </c>
      <c r="X223" s="415">
        <f t="shared" si="599"/>
        <v>4.8146739130434772</v>
      </c>
      <c r="Y223" s="322">
        <f t="shared" si="600"/>
        <v>-1.2668999999999999</v>
      </c>
      <c r="Z223" s="322">
        <f t="shared" ca="1" si="601"/>
        <v>3.5477739130434776</v>
      </c>
      <c r="AA223" s="429">
        <f t="shared" si="628"/>
        <v>1.2668999999999999</v>
      </c>
      <c r="AB223" s="433">
        <f t="shared" ca="1" si="629"/>
        <v>1.2668999999999999</v>
      </c>
      <c r="AC223" s="229">
        <v>42936</v>
      </c>
      <c r="AD223" s="229">
        <v>42932</v>
      </c>
      <c r="AE223" s="229">
        <v>42931</v>
      </c>
      <c r="AF223" s="229">
        <v>42927</v>
      </c>
      <c r="AG223" s="249" t="s">
        <v>499</v>
      </c>
      <c r="AH223" s="247" t="s">
        <v>499</v>
      </c>
      <c r="AI223" s="146">
        <v>23</v>
      </c>
      <c r="AJ223" s="41">
        <v>14</v>
      </c>
      <c r="AK223" s="41">
        <v>9</v>
      </c>
      <c r="AL223" s="293">
        <v>23</v>
      </c>
      <c r="AM223" s="41">
        <v>10</v>
      </c>
      <c r="AN223" s="147">
        <v>13</v>
      </c>
      <c r="AO223" s="374"/>
      <c r="AP223" s="153">
        <f t="shared" ca="1" si="649"/>
        <v>1</v>
      </c>
      <c r="AQ223" s="374"/>
      <c r="AR223" s="153">
        <f t="shared" ca="1" si="663"/>
        <v>1</v>
      </c>
      <c r="AS223" s="272">
        <f t="shared" si="602"/>
        <v>0</v>
      </c>
      <c r="AT223" s="157">
        <f t="shared" si="650"/>
        <v>0</v>
      </c>
      <c r="AU223" s="157">
        <f t="shared" si="630"/>
        <v>0</v>
      </c>
      <c r="AV223" s="271">
        <f t="shared" ca="1" si="670"/>
        <v>9.9999999999999995E-7</v>
      </c>
      <c r="AW223" s="158" t="str">
        <f t="shared" ca="1" si="583"/>
        <v/>
      </c>
      <c r="AX223" s="157">
        <f t="shared" ca="1" si="664"/>
        <v>2.6884188984467953E-5</v>
      </c>
      <c r="AY223" s="157">
        <f t="shared" ca="1" si="665"/>
        <v>5.374431634313209E-6</v>
      </c>
      <c r="AZ223" s="157">
        <f t="shared" ca="1" si="666"/>
        <v>1.1813939732365049E-7</v>
      </c>
      <c r="BA223" s="157">
        <f t="shared" ca="1" si="667"/>
        <v>1.4767424665456311E-8</v>
      </c>
      <c r="BB223" s="157">
        <f t="shared" ca="1" si="668"/>
        <v>3.308418629333191E-11</v>
      </c>
      <c r="BC223" s="157">
        <f t="shared" ca="1" si="669"/>
        <v>4.3615366249979862E-13</v>
      </c>
      <c r="BD223" s="151">
        <f t="shared" ca="1" si="603"/>
        <v>0</v>
      </c>
      <c r="BE223" s="152">
        <f t="shared" ca="1" si="604"/>
        <v>0</v>
      </c>
      <c r="BF223" s="40">
        <f t="shared" si="605"/>
        <v>2017</v>
      </c>
      <c r="BG223" s="144">
        <f t="shared" si="606"/>
        <v>8</v>
      </c>
      <c r="BH223" s="145">
        <f t="shared" ca="1" si="607"/>
        <v>6187</v>
      </c>
      <c r="BI223" s="313">
        <f t="shared" ca="1" si="608"/>
        <v>16.982888432580424</v>
      </c>
      <c r="BJ223" s="42">
        <f t="shared" ca="1" si="631"/>
        <v>17.032883968693273</v>
      </c>
      <c r="BK223" s="42">
        <f t="shared" ca="1" si="632"/>
        <v>17.035621819480404</v>
      </c>
      <c r="BL223" s="42">
        <f t="shared" ca="1" si="609"/>
        <v>17.065023956194388</v>
      </c>
      <c r="BM223" s="150" t="e">
        <f t="shared" ca="1" si="633"/>
        <v>#DIV/0!</v>
      </c>
      <c r="BN223" s="42" t="e">
        <f t="shared" ca="1" si="634"/>
        <v>#DIV/0!</v>
      </c>
      <c r="BO223" s="293">
        <f t="shared" si="610"/>
        <v>23</v>
      </c>
      <c r="BP223" s="41">
        <f t="shared" si="611"/>
        <v>14</v>
      </c>
      <c r="BQ223" s="41">
        <f t="shared" si="612"/>
        <v>9</v>
      </c>
      <c r="BR223" s="305" t="str">
        <f t="shared" ca="1" si="635"/>
        <v/>
      </c>
      <c r="BS223" s="305" t="str">
        <f t="shared" ca="1" si="613"/>
        <v/>
      </c>
      <c r="BT223" s="307" t="str">
        <f t="shared" ca="1" si="614"/>
        <v/>
      </c>
      <c r="BU223" s="161" t="str">
        <f t="shared" ca="1" si="636"/>
        <v/>
      </c>
      <c r="BV223" s="161" t="str">
        <f t="shared" ca="1" si="637"/>
        <v/>
      </c>
      <c r="BW223" s="308" t="str">
        <f t="shared" ca="1" si="638"/>
        <v/>
      </c>
      <c r="BX223" s="309" t="str">
        <f t="shared" ca="1" si="639"/>
        <v/>
      </c>
      <c r="BY223" s="308" t="str">
        <f t="shared" ca="1" si="615"/>
        <v/>
      </c>
      <c r="BZ223" s="309" t="str">
        <f t="shared" ca="1" si="616"/>
        <v/>
      </c>
      <c r="CA223" s="154" t="str">
        <f t="shared" ca="1" si="640"/>
        <v/>
      </c>
      <c r="CB223" s="154" t="str">
        <f t="shared" ca="1" si="641"/>
        <v/>
      </c>
      <c r="CC223" s="154" t="str">
        <f t="shared" ca="1" si="642"/>
        <v/>
      </c>
      <c r="CD223" s="154" t="str">
        <f t="shared" ca="1" si="643"/>
        <v/>
      </c>
      <c r="CE223" s="310">
        <v>1</v>
      </c>
      <c r="CF223" s="162">
        <f ca="1">IF(BD223,_xll.xCrudeAPO(BU223,BV223,CA223,CB223,S224,S225,BI223,BL223,BP223,BQ223,0,Strike1,AO223,CE223,0,BL223,IF(OptControl=4,0,1),0,1),0)</f>
        <v>0</v>
      </c>
      <c r="CG223" s="163">
        <f ca="1">IF(BD223,_xll.xCrudeAPO(BU223,BV223,CA223,CB223,S224,S225,BI223,BL223,BP223,BQ223,0,Strike1,AO223,CE223,0,BL223,IF(OptControl=4,0,1),1,1)+_xll.xCrudeAPO(BU223,BV223,CA223,CB223,S224,S225,BI223,BL223,BP223,BQ223,0,Strike1,AO223,CE223,0,BL223,IF(OptControl=4,0,1),1,2)+IF(OR(VolSkewFlag=2,ABS(BS223)&lt;0.0001),0,IF(BS223&gt;0,-1,1)*CH223*Strike1/BR223^2*BY223/10%),0)</f>
        <v>0</v>
      </c>
      <c r="CH223" s="163">
        <f ca="1">IF(BD223,(_xll.xCrudeAPO(BU223,BV223,CA223,CB223,S224,S225,BI223,BL223,BP223,BQ223,0,Strike1,AO223,CE223,0,BL223,IF(OptControl=4,0,1),3,1)+_xll.xCrudeAPO(BU223,BV223,CA223,CB223,S224,S225,BI223,BL223,BP223,BQ223,0,Strike1,AO223,CE223,0,BL223,IF(OptControl=4,0,1),3,2))/100,0)</f>
        <v>0</v>
      </c>
      <c r="CI223" s="163">
        <f ca="1">IF(BD223,_xll.xCrudeAPO(BU223,BV223,CA223,CB223,S224,S225,BI223-DaysForThetaCalculation/365.25,BL223-DaysForThetaCalculation/365.25,BP223,BQ223,0,Strike1,AO223,CE223,0,BL223,IF(OptControl=4,0,1),0,1)-_xll.xCrudeAPO(BU223,BV223,CA223,CB223,S224,S225,BI223,BL223,BP223,BQ223,0,Strike1,AO223,CE223,0,BL223,IF(OptControl=4,0,1),0,1),0)</f>
        <v>0</v>
      </c>
      <c r="CJ223" s="311">
        <f ca="1">IF(BD223,_xll.xCrudeAPO(BU223,BV223,CC223,CD223,S224,S225,BI223,BL223,BP223,BQ223,0,Strike2,AO223,CE223,0,BL223,IF(OptControl=3,1,0),0,1),0)</f>
        <v>0</v>
      </c>
      <c r="CK223" s="163">
        <f ca="1">IF(BD223,_xll.xCrudeAPO(BU223,BV223,CC223,CD223,S224,S225,BI223,BL223,BP223,BQ223,0,Strike2,AO223,CE223,0,BL223,IF(OptControl=3,1,0),1,1)+_xll.xCrudeAPO(BU223,BV223,CC223,CD223,S224,S225,BI223,BL223,BP223,BQ223,0,Strike2,AO223,CE223,0,BL223,IF(OptControl=3,1,0),1,2)+IF(OR(VolSkewFlag=2,ABS(BT223)&lt;0.0001),0,IF(BT223&gt;0,-1,1)*CL223*Strike2/BR223^2*BZ223/10%),0)</f>
        <v>0</v>
      </c>
      <c r="CL223" s="163">
        <f ca="1">IF(BD223,(_xll.xCrudeAPO(BU223,BV223,CC223,CD223,S224,S225,BI223,BL223,BP223,BQ223,0,Strike2,AO223,CE223,0,BL223,IF(OptControl=3,1,0),3,1)+_xll.xCrudeAPO(BU223,BV223,CC223,CD223,S224,S225,BI223,BL223,BP223,BQ223,0,Strike2,AO223,CE223,0,BL223,IF(OptControl=3,1,0),3,2))/100,0)</f>
        <v>0</v>
      </c>
      <c r="CM223" s="164">
        <f ca="1">IF(BD223,_xll.xCrudeAPO(BU223,BV223,CC223,CD223,S224,S225,BI223-DaysForThetaCalculation/365.25,BL223-DaysForThetaCalculation/365.25,BP223,BQ223,0,Strike2,AO223,CE223,0,BL223,IF(OptControl=3,1,0),0,1)-_xll.xCrudeAPO(BU223,BV223,CC223,CD223,S224,S225,BI223,BL223,BP223,BQ223,0,Strike2,AO223,CE223,0,BL223,IF(OptControl=3,1,0),0,1),0)</f>
        <v>0</v>
      </c>
      <c r="CN223" s="53"/>
      <c r="CO223" s="796" t="str">
        <f t="shared" ca="1" si="651"/>
        <v/>
      </c>
      <c r="CP223" s="800" t="str">
        <f t="shared" ca="1" si="652"/>
        <v/>
      </c>
      <c r="CQ223" s="797" t="str">
        <f t="shared" ca="1" si="653"/>
        <v/>
      </c>
      <c r="CR223" s="797" t="str">
        <f t="shared" ca="1" si="654"/>
        <v/>
      </c>
      <c r="CS223" s="797" t="str">
        <f t="shared" ca="1" si="655"/>
        <v/>
      </c>
      <c r="CT223" s="797" t="str">
        <f t="shared" ca="1" si="656"/>
        <v/>
      </c>
      <c r="CU223" s="798" t="str">
        <f t="shared" ca="1" si="657"/>
        <v/>
      </c>
      <c r="CV223" s="799" t="str">
        <f t="shared" ca="1" si="658"/>
        <v/>
      </c>
      <c r="CW223" s="799" t="str">
        <f t="shared" ca="1" si="659"/>
        <v/>
      </c>
      <c r="CX223" s="163">
        <f ca="1">IF(BD223,_xll.EURO(CP223,Strike1,AO223,AO223,CV223,CO223,IF(OptControl=4,0,1),0),0)</f>
        <v>0</v>
      </c>
      <c r="CY223" s="163">
        <f ca="1">IF(BD223,_xll.EURO(CP223,Strike1,AO223,AO223,CV223,CO223,IF(OptControl=4,0,1),1)+IF(OR(VolSkewFlag=2,ABS(CQ223)&lt;0.0001),0,IF(CQ223&gt;0,-1,1)*CZ223*100*Strike1/CP223^2*CS223/10%),0)</f>
        <v>0</v>
      </c>
      <c r="CZ223" s="163">
        <f ca="1">IF(BD223,_xll.EURO(CP223,Strike1,AO223,AO223,CV223,CO223,IF(OptControl=4,0,1),3)/100,0)</f>
        <v>0</v>
      </c>
      <c r="DA223" s="163">
        <f ca="1">IF(BD223,_xll.EURO(CP223,Strike1,AO223,AO223,CV223,CO223,IF(OptControl=4,0,1),0)-_xll.EURO(CP223,Strike1,AO223,AO223,CV223,CO223-1,IF(OptControl=4,0,1),0),0)</f>
        <v>0</v>
      </c>
      <c r="DB223" s="163">
        <f ca="1">IF(BD223,_xll.EURO(CP223,Strike2,AO223,AO223,CW223,CO223,IF(OptControl=3,1,0),0),0)</f>
        <v>0</v>
      </c>
      <c r="DC223" s="163">
        <f ca="1">IF(BD223,_xll.EURO(CP223,Strike2,AO223,AO223,CW223,CO223,IF(OptControl=3,1,0),1)+IF(OR(VolSkewFlag=2,ABS(CR223)&lt;0.0001),0,IF(CR223&gt;0,-1,1)*DD223*100*Strike2/CP223^2*CT223/10%),0)</f>
        <v>0</v>
      </c>
      <c r="DD223" s="163">
        <f ca="1">IF(BD223,_xll.EURO(CP223,Strike2,AO223,AO223,CW223,CO223,IF(OptControl=3,1,0),3)/100,0)</f>
        <v>0</v>
      </c>
      <c r="DE223" s="164">
        <f ca="1">IF(BD223,_xll.EURO(CP223,Strike2,AO223,AO223,CW223,CO223,IF(OptControl=3,1,0),0)-_xll.EURO(CP223,Strike2,AO223,AO223,CW223,CO223-1,IF(OptControl=3,1,0),0),0)</f>
        <v>0</v>
      </c>
      <c r="DG223" s="667">
        <f t="shared" ca="1" si="660"/>
        <v>42736</v>
      </c>
      <c r="DH223" s="475">
        <v>24.310000000000091</v>
      </c>
      <c r="DI223" s="665">
        <v>24.375909090909182</v>
      </c>
      <c r="DJ223" s="666">
        <f t="shared" ca="1" si="617"/>
        <v>42736</v>
      </c>
      <c r="DK223" s="475">
        <v>23.102477682881926</v>
      </c>
      <c r="DL223" s="665">
        <v>23.207409090909181</v>
      </c>
      <c r="DM223" s="667">
        <f t="shared" ca="1" si="618"/>
        <v>42736</v>
      </c>
      <c r="DN223" s="668">
        <f t="shared" si="619"/>
        <v>23.152477682881926</v>
      </c>
      <c r="DO223" s="667">
        <f t="shared" ca="1" si="620"/>
        <v>42736</v>
      </c>
      <c r="DP223" s="579">
        <f t="shared" si="621"/>
        <v>23.207409090909181</v>
      </c>
      <c r="DQ223" s="821">
        <v>0</v>
      </c>
      <c r="DR223" s="666">
        <f t="shared" ca="1" si="622"/>
        <v>42736</v>
      </c>
      <c r="DS223" s="669">
        <v>0.10279999999999802</v>
      </c>
      <c r="DT223" s="606">
        <v>0.10200909090908893</v>
      </c>
      <c r="DU223" s="666">
        <f t="shared" ca="1" si="623"/>
        <v>42736</v>
      </c>
      <c r="DV223" s="669">
        <v>0.10279999999999802</v>
      </c>
      <c r="DW223" s="606">
        <v>0.10200909090908893</v>
      </c>
      <c r="DX223" s="667">
        <f t="shared" ca="1" si="624"/>
        <v>42736</v>
      </c>
      <c r="DY223" s="606">
        <v>0.35</v>
      </c>
      <c r="DZ223" s="667">
        <f t="shared" ca="1" si="625"/>
        <v>42736</v>
      </c>
      <c r="EA223" s="606">
        <f t="shared" si="626"/>
        <v>0.10200909090908893</v>
      </c>
      <c r="EB223" s="1"/>
      <c r="EC223" s="118" t="str">
        <f t="shared" ca="1" si="627"/>
        <v/>
      </c>
      <c r="ED223" s="119" t="str">
        <f t="shared" ca="1" si="644"/>
        <v/>
      </c>
      <c r="EE223" s="112" t="str">
        <f t="shared" ca="1" si="645"/>
        <v/>
      </c>
      <c r="EF223" s="120">
        <f ca="1">IF(BD223,_xll.xASN(BR223,Strike1,AO223,ED223,0,BO223,0,BI223,BL223,IF(OptControl=4,0,1),0),0)</f>
        <v>0</v>
      </c>
      <c r="EG223" s="111">
        <f ca="1">IF(BD223,_xll.xASN(BR223,Strike2,AO223,EE223,0,BO223,0,BI223,BL223,IF(OptControl=3,1,0),0),0)</f>
        <v>0</v>
      </c>
      <c r="EL223" s="55"/>
      <c r="EM223" s="1"/>
      <c r="EN223" s="106"/>
      <c r="EO223" s="106"/>
      <c r="EP223" s="1"/>
      <c r="EQ223" s="683" t="s">
        <v>437</v>
      </c>
      <c r="ES223" s="55"/>
      <c r="EU223" s="107"/>
      <c r="FJ223" s="673">
        <v>54</v>
      </c>
      <c r="FK223" s="479" t="str">
        <f ca="1">IF(OR(FK$169&lt;SwaptionFirstMonthPosition+1,$FJ223&lt;SwaptionFirstMonthPosition+1,FK$169&gt;SwaptionFirstMonthPosition+SwaptionNumOfMonths+1,$FJ223&gt;SwaptionFirstMonthPosition+SwaptionNumOfMonths+1),"",IF($FJ223=FK$169,1,IF($FJ223&lt;FK$169,INDEX($FK$170:$ID$241,FK$169,$FJ223),SUMPRODUCT(INDEX($FK$325:$ID$396,FK$169,1+SwaptionShift):INDEX($FK$325:$ID$396,FK$169,SwaptionMonthsToGo+SwaptionShift),INDEX($FK$245:$ID$316,$FJ223-FK$169,73-FK$169+SwaptionShift):INDEX($FK$245:$ID$316,$FJ223-FK$169,72-FK$169+SwaptionMonthsToGo+SwaptionShift))/SQRT(SUM(INDEX($FK378:$ID378,1+SwaptionShift):INDEX($FK378:$ID378,SwaptionMonthsToGo+SwaptionShift))*SUM(INDEX($FK$325:$ID$396,FK$169,1+SwaptionShift):INDEX($FK$325:$ID$396,FK$169,SwaptionMonthsToGo+SwaptionShift))))))</f>
        <v/>
      </c>
      <c r="FL223" s="479" t="str">
        <f ca="1">IF(OR(FL$169&lt;SwaptionFirstMonthPosition+1,$FJ223&lt;SwaptionFirstMonthPosition+1,FL$169&gt;SwaptionFirstMonthPosition+SwaptionNumOfMonths+1,$FJ223&gt;SwaptionFirstMonthPosition+SwaptionNumOfMonths+1),"",IF($FJ223=FL$169,1,IF($FJ223&lt;FL$169,INDEX($FK$170:$ID$241,FL$169,$FJ223),SUMPRODUCT(INDEX($FK$325:$ID$396,FL$169,1+SwaptionShift):INDEX($FK$325:$ID$396,FL$169,SwaptionMonthsToGo+SwaptionShift),INDEX($FK$245:$ID$316,$FJ223-FL$169,73-FL$169+SwaptionShift):INDEX($FK$245:$ID$316,$FJ223-FL$169,72-FL$169+SwaptionMonthsToGo+SwaptionShift))/SQRT(SUM(INDEX($FK378:$ID378,1+SwaptionShift):INDEX($FK378:$ID378,SwaptionMonthsToGo+SwaptionShift))*SUM(INDEX($FK$325:$ID$396,FL$169,1+SwaptionShift):INDEX($FK$325:$ID$396,FL$169,SwaptionMonthsToGo+SwaptionShift))))))</f>
        <v/>
      </c>
      <c r="FM223" s="479" t="str">
        <f ca="1">IF(OR(FM$169&lt;SwaptionFirstMonthPosition+1,$FJ223&lt;SwaptionFirstMonthPosition+1,FM$169&gt;SwaptionFirstMonthPosition+SwaptionNumOfMonths+1,$FJ223&gt;SwaptionFirstMonthPosition+SwaptionNumOfMonths+1),"",IF($FJ223=FM$169,1,IF($FJ223&lt;FM$169,INDEX($FK$170:$ID$241,FM$169,$FJ223),SUMPRODUCT(INDEX($FK$325:$ID$396,FM$169,1+SwaptionShift):INDEX($FK$325:$ID$396,FM$169,SwaptionMonthsToGo+SwaptionShift),INDEX($FK$245:$ID$316,$FJ223-FM$169,73-FM$169+SwaptionShift):INDEX($FK$245:$ID$316,$FJ223-FM$169,72-FM$169+SwaptionMonthsToGo+SwaptionShift))/SQRT(SUM(INDEX($FK378:$ID378,1+SwaptionShift):INDEX($FK378:$ID378,SwaptionMonthsToGo+SwaptionShift))*SUM(INDEX($FK$325:$ID$396,FM$169,1+SwaptionShift):INDEX($FK$325:$ID$396,FM$169,SwaptionMonthsToGo+SwaptionShift))))))</f>
        <v/>
      </c>
      <c r="FN223" s="479" t="str">
        <f ca="1">IF(OR(FN$169&lt;SwaptionFirstMonthPosition+1,$FJ223&lt;SwaptionFirstMonthPosition+1,FN$169&gt;SwaptionFirstMonthPosition+SwaptionNumOfMonths+1,$FJ223&gt;SwaptionFirstMonthPosition+SwaptionNumOfMonths+1),"",IF($FJ223=FN$169,1,IF($FJ223&lt;FN$169,INDEX($FK$170:$ID$241,FN$169,$FJ223),SUMPRODUCT(INDEX($FK$325:$ID$396,FN$169,1+SwaptionShift):INDEX($FK$325:$ID$396,FN$169,SwaptionMonthsToGo+SwaptionShift),INDEX($FK$245:$ID$316,$FJ223-FN$169,73-FN$169+SwaptionShift):INDEX($FK$245:$ID$316,$FJ223-FN$169,72-FN$169+SwaptionMonthsToGo+SwaptionShift))/SQRT(SUM(INDEX($FK378:$ID378,1+SwaptionShift):INDEX($FK378:$ID378,SwaptionMonthsToGo+SwaptionShift))*SUM(INDEX($FK$325:$ID$396,FN$169,1+SwaptionShift):INDEX($FK$325:$ID$396,FN$169,SwaptionMonthsToGo+SwaptionShift))))))</f>
        <v/>
      </c>
      <c r="FO223" s="479" t="str">
        <f ca="1">IF(OR(FO$169&lt;SwaptionFirstMonthPosition+1,$FJ223&lt;SwaptionFirstMonthPosition+1,FO$169&gt;SwaptionFirstMonthPosition+SwaptionNumOfMonths+1,$FJ223&gt;SwaptionFirstMonthPosition+SwaptionNumOfMonths+1),"",IF($FJ223=FO$169,1,IF($FJ223&lt;FO$169,INDEX($FK$170:$ID$241,FO$169,$FJ223),SUMPRODUCT(INDEX($FK$325:$ID$396,FO$169,1+SwaptionShift):INDEX($FK$325:$ID$396,FO$169,SwaptionMonthsToGo+SwaptionShift),INDEX($FK$245:$ID$316,$FJ223-FO$169,73-FO$169+SwaptionShift):INDEX($FK$245:$ID$316,$FJ223-FO$169,72-FO$169+SwaptionMonthsToGo+SwaptionShift))/SQRT(SUM(INDEX($FK378:$ID378,1+SwaptionShift):INDEX($FK378:$ID378,SwaptionMonthsToGo+SwaptionShift))*SUM(INDEX($FK$325:$ID$396,FO$169,1+SwaptionShift):INDEX($FK$325:$ID$396,FO$169,SwaptionMonthsToGo+SwaptionShift))))))</f>
        <v/>
      </c>
      <c r="FP223" s="479" t="str">
        <f ca="1">IF(OR(FP$169&lt;SwaptionFirstMonthPosition+1,$FJ223&lt;SwaptionFirstMonthPosition+1,FP$169&gt;SwaptionFirstMonthPosition+SwaptionNumOfMonths+1,$FJ223&gt;SwaptionFirstMonthPosition+SwaptionNumOfMonths+1),"",IF($FJ223=FP$169,1,IF($FJ223&lt;FP$169,INDEX($FK$170:$ID$241,FP$169,$FJ223),SUMPRODUCT(INDEX($FK$325:$ID$396,FP$169,1+SwaptionShift):INDEX($FK$325:$ID$396,FP$169,SwaptionMonthsToGo+SwaptionShift),INDEX($FK$245:$ID$316,$FJ223-FP$169,73-FP$169+SwaptionShift):INDEX($FK$245:$ID$316,$FJ223-FP$169,72-FP$169+SwaptionMonthsToGo+SwaptionShift))/SQRT(SUM(INDEX($FK378:$ID378,1+SwaptionShift):INDEX($FK378:$ID378,SwaptionMonthsToGo+SwaptionShift))*SUM(INDEX($FK$325:$ID$396,FP$169,1+SwaptionShift):INDEX($FK$325:$ID$396,FP$169,SwaptionMonthsToGo+SwaptionShift))))))</f>
        <v/>
      </c>
      <c r="FQ223" s="479" t="str">
        <f ca="1">IF(OR(FQ$169&lt;SwaptionFirstMonthPosition+1,$FJ223&lt;SwaptionFirstMonthPosition+1,FQ$169&gt;SwaptionFirstMonthPosition+SwaptionNumOfMonths+1,$FJ223&gt;SwaptionFirstMonthPosition+SwaptionNumOfMonths+1),"",IF($FJ223=FQ$169,1,IF($FJ223&lt;FQ$169,INDEX($FK$170:$ID$241,FQ$169,$FJ223),SUMPRODUCT(INDEX($FK$325:$ID$396,FQ$169,1+SwaptionShift):INDEX($FK$325:$ID$396,FQ$169,SwaptionMonthsToGo+SwaptionShift),INDEX($FK$245:$ID$316,$FJ223-FQ$169,73-FQ$169+SwaptionShift):INDEX($FK$245:$ID$316,$FJ223-FQ$169,72-FQ$169+SwaptionMonthsToGo+SwaptionShift))/SQRT(SUM(INDEX($FK378:$ID378,1+SwaptionShift):INDEX($FK378:$ID378,SwaptionMonthsToGo+SwaptionShift))*SUM(INDEX($FK$325:$ID$396,FQ$169,1+SwaptionShift):INDEX($FK$325:$ID$396,FQ$169,SwaptionMonthsToGo+SwaptionShift))))))</f>
        <v/>
      </c>
      <c r="FR223" s="479" t="str">
        <f ca="1">IF(OR(FR$169&lt;SwaptionFirstMonthPosition+1,$FJ223&lt;SwaptionFirstMonthPosition+1,FR$169&gt;SwaptionFirstMonthPosition+SwaptionNumOfMonths+1,$FJ223&gt;SwaptionFirstMonthPosition+SwaptionNumOfMonths+1),"",IF($FJ223=FR$169,1,IF($FJ223&lt;FR$169,INDEX($FK$170:$ID$241,FR$169,$FJ223),SUMPRODUCT(INDEX($FK$325:$ID$396,FR$169,1+SwaptionShift):INDEX($FK$325:$ID$396,FR$169,SwaptionMonthsToGo+SwaptionShift),INDEX($FK$245:$ID$316,$FJ223-FR$169,73-FR$169+SwaptionShift):INDEX($FK$245:$ID$316,$FJ223-FR$169,72-FR$169+SwaptionMonthsToGo+SwaptionShift))/SQRT(SUM(INDEX($FK378:$ID378,1+SwaptionShift):INDEX($FK378:$ID378,SwaptionMonthsToGo+SwaptionShift))*SUM(INDEX($FK$325:$ID$396,FR$169,1+SwaptionShift):INDEX($FK$325:$ID$396,FR$169,SwaptionMonthsToGo+SwaptionShift))))))</f>
        <v/>
      </c>
      <c r="FS223" s="479" t="str">
        <f ca="1">IF(OR(FS$169&lt;SwaptionFirstMonthPosition+1,$FJ223&lt;SwaptionFirstMonthPosition+1,FS$169&gt;SwaptionFirstMonthPosition+SwaptionNumOfMonths+1,$FJ223&gt;SwaptionFirstMonthPosition+SwaptionNumOfMonths+1),"",IF($FJ223=FS$169,1,IF($FJ223&lt;FS$169,INDEX($FK$170:$ID$241,FS$169,$FJ223),SUMPRODUCT(INDEX($FK$325:$ID$396,FS$169,1+SwaptionShift):INDEX($FK$325:$ID$396,FS$169,SwaptionMonthsToGo+SwaptionShift),INDEX($FK$245:$ID$316,$FJ223-FS$169,73-FS$169+SwaptionShift):INDEX($FK$245:$ID$316,$FJ223-FS$169,72-FS$169+SwaptionMonthsToGo+SwaptionShift))/SQRT(SUM(INDEX($FK378:$ID378,1+SwaptionShift):INDEX($FK378:$ID378,SwaptionMonthsToGo+SwaptionShift))*SUM(INDEX($FK$325:$ID$396,FS$169,1+SwaptionShift):INDEX($FK$325:$ID$396,FS$169,SwaptionMonthsToGo+SwaptionShift))))))</f>
        <v/>
      </c>
      <c r="FT223" s="479" t="str">
        <f ca="1">IF(OR(FT$169&lt;SwaptionFirstMonthPosition+1,$FJ223&lt;SwaptionFirstMonthPosition+1,FT$169&gt;SwaptionFirstMonthPosition+SwaptionNumOfMonths+1,$FJ223&gt;SwaptionFirstMonthPosition+SwaptionNumOfMonths+1),"",IF($FJ223=FT$169,1,IF($FJ223&lt;FT$169,INDEX($FK$170:$ID$241,FT$169,$FJ223),SUMPRODUCT(INDEX($FK$325:$ID$396,FT$169,1+SwaptionShift):INDEX($FK$325:$ID$396,FT$169,SwaptionMonthsToGo+SwaptionShift),INDEX($FK$245:$ID$316,$FJ223-FT$169,73-FT$169+SwaptionShift):INDEX($FK$245:$ID$316,$FJ223-FT$169,72-FT$169+SwaptionMonthsToGo+SwaptionShift))/SQRT(SUM(INDEX($FK378:$ID378,1+SwaptionShift):INDEX($FK378:$ID378,SwaptionMonthsToGo+SwaptionShift))*SUM(INDEX($FK$325:$ID$396,FT$169,1+SwaptionShift):INDEX($FK$325:$ID$396,FT$169,SwaptionMonthsToGo+SwaptionShift))))))</f>
        <v/>
      </c>
      <c r="FU223" s="479" t="str">
        <f ca="1">IF(OR(FU$169&lt;SwaptionFirstMonthPosition+1,$FJ223&lt;SwaptionFirstMonthPosition+1,FU$169&gt;SwaptionFirstMonthPosition+SwaptionNumOfMonths+1,$FJ223&gt;SwaptionFirstMonthPosition+SwaptionNumOfMonths+1),"",IF($FJ223=FU$169,1,IF($FJ223&lt;FU$169,INDEX($FK$170:$ID$241,FU$169,$FJ223),SUMPRODUCT(INDEX($FK$325:$ID$396,FU$169,1+SwaptionShift):INDEX($FK$325:$ID$396,FU$169,SwaptionMonthsToGo+SwaptionShift),INDEX($FK$245:$ID$316,$FJ223-FU$169,73-FU$169+SwaptionShift):INDEX($FK$245:$ID$316,$FJ223-FU$169,72-FU$169+SwaptionMonthsToGo+SwaptionShift))/SQRT(SUM(INDEX($FK378:$ID378,1+SwaptionShift):INDEX($FK378:$ID378,SwaptionMonthsToGo+SwaptionShift))*SUM(INDEX($FK$325:$ID$396,FU$169,1+SwaptionShift):INDEX($FK$325:$ID$396,FU$169,SwaptionMonthsToGo+SwaptionShift))))))</f>
        <v/>
      </c>
      <c r="FV223" s="479" t="str">
        <f ca="1">IF(OR(FV$169&lt;SwaptionFirstMonthPosition+1,$FJ223&lt;SwaptionFirstMonthPosition+1,FV$169&gt;SwaptionFirstMonthPosition+SwaptionNumOfMonths+1,$FJ223&gt;SwaptionFirstMonthPosition+SwaptionNumOfMonths+1),"",IF($FJ223=FV$169,1,IF($FJ223&lt;FV$169,INDEX($FK$170:$ID$241,FV$169,$FJ223),SUMPRODUCT(INDEX($FK$325:$ID$396,FV$169,1+SwaptionShift):INDEX($FK$325:$ID$396,FV$169,SwaptionMonthsToGo+SwaptionShift),INDEX($FK$245:$ID$316,$FJ223-FV$169,73-FV$169+SwaptionShift):INDEX($FK$245:$ID$316,$FJ223-FV$169,72-FV$169+SwaptionMonthsToGo+SwaptionShift))/SQRT(SUM(INDEX($FK378:$ID378,1+SwaptionShift):INDEX($FK378:$ID378,SwaptionMonthsToGo+SwaptionShift))*SUM(INDEX($FK$325:$ID$396,FV$169,1+SwaptionShift):INDEX($FK$325:$ID$396,FV$169,SwaptionMonthsToGo+SwaptionShift))))))</f>
        <v/>
      </c>
      <c r="FW223" s="479" t="str">
        <f ca="1">IF(OR(FW$169&lt;SwaptionFirstMonthPosition+1,$FJ223&lt;SwaptionFirstMonthPosition+1,FW$169&gt;SwaptionFirstMonthPosition+SwaptionNumOfMonths+1,$FJ223&gt;SwaptionFirstMonthPosition+SwaptionNumOfMonths+1),"",IF($FJ223=FW$169,1,IF($FJ223&lt;FW$169,INDEX($FK$170:$ID$241,FW$169,$FJ223),SUMPRODUCT(INDEX($FK$325:$ID$396,FW$169,1+SwaptionShift):INDEX($FK$325:$ID$396,FW$169,SwaptionMonthsToGo+SwaptionShift),INDEX($FK$245:$ID$316,$FJ223-FW$169,73-FW$169+SwaptionShift):INDEX($FK$245:$ID$316,$FJ223-FW$169,72-FW$169+SwaptionMonthsToGo+SwaptionShift))/SQRT(SUM(INDEX($FK378:$ID378,1+SwaptionShift):INDEX($FK378:$ID378,SwaptionMonthsToGo+SwaptionShift))*SUM(INDEX($FK$325:$ID$396,FW$169,1+SwaptionShift):INDEX($FK$325:$ID$396,FW$169,SwaptionMonthsToGo+SwaptionShift))))))</f>
        <v/>
      </c>
      <c r="FX223" s="479" t="str">
        <f ca="1">IF(OR(FX$169&lt;SwaptionFirstMonthPosition+1,$FJ223&lt;SwaptionFirstMonthPosition+1,FX$169&gt;SwaptionFirstMonthPosition+SwaptionNumOfMonths+1,$FJ223&gt;SwaptionFirstMonthPosition+SwaptionNumOfMonths+1),"",IF($FJ223=FX$169,1,IF($FJ223&lt;FX$169,INDEX($FK$170:$ID$241,FX$169,$FJ223),SUMPRODUCT(INDEX($FK$325:$ID$396,FX$169,1+SwaptionShift):INDEX($FK$325:$ID$396,FX$169,SwaptionMonthsToGo+SwaptionShift),INDEX($FK$245:$ID$316,$FJ223-FX$169,73-FX$169+SwaptionShift):INDEX($FK$245:$ID$316,$FJ223-FX$169,72-FX$169+SwaptionMonthsToGo+SwaptionShift))/SQRT(SUM(INDEX($FK378:$ID378,1+SwaptionShift):INDEX($FK378:$ID378,SwaptionMonthsToGo+SwaptionShift))*SUM(INDEX($FK$325:$ID$396,FX$169,1+SwaptionShift):INDEX($FK$325:$ID$396,FX$169,SwaptionMonthsToGo+SwaptionShift))))))</f>
        <v/>
      </c>
      <c r="FY223" s="479" t="str">
        <f ca="1">IF(OR(FY$169&lt;SwaptionFirstMonthPosition+1,$FJ223&lt;SwaptionFirstMonthPosition+1,FY$169&gt;SwaptionFirstMonthPosition+SwaptionNumOfMonths+1,$FJ223&gt;SwaptionFirstMonthPosition+SwaptionNumOfMonths+1),"",IF($FJ223=FY$169,1,IF($FJ223&lt;FY$169,INDEX($FK$170:$ID$241,FY$169,$FJ223),SUMPRODUCT(INDEX($FK$325:$ID$396,FY$169,1+SwaptionShift):INDEX($FK$325:$ID$396,FY$169,SwaptionMonthsToGo+SwaptionShift),INDEX($FK$245:$ID$316,$FJ223-FY$169,73-FY$169+SwaptionShift):INDEX($FK$245:$ID$316,$FJ223-FY$169,72-FY$169+SwaptionMonthsToGo+SwaptionShift))/SQRT(SUM(INDEX($FK378:$ID378,1+SwaptionShift):INDEX($FK378:$ID378,SwaptionMonthsToGo+SwaptionShift))*SUM(INDEX($FK$325:$ID$396,FY$169,1+SwaptionShift):INDEX($FK$325:$ID$396,FY$169,SwaptionMonthsToGo+SwaptionShift))))))</f>
        <v/>
      </c>
      <c r="FZ223" s="479" t="str">
        <f ca="1">IF(OR(FZ$169&lt;SwaptionFirstMonthPosition+1,$FJ223&lt;SwaptionFirstMonthPosition+1,FZ$169&gt;SwaptionFirstMonthPosition+SwaptionNumOfMonths+1,$FJ223&gt;SwaptionFirstMonthPosition+SwaptionNumOfMonths+1),"",IF($FJ223=FZ$169,1,IF($FJ223&lt;FZ$169,INDEX($FK$170:$ID$241,FZ$169,$FJ223),SUMPRODUCT(INDEX($FK$325:$ID$396,FZ$169,1+SwaptionShift):INDEX($FK$325:$ID$396,FZ$169,SwaptionMonthsToGo+SwaptionShift),INDEX($FK$245:$ID$316,$FJ223-FZ$169,73-FZ$169+SwaptionShift):INDEX($FK$245:$ID$316,$FJ223-FZ$169,72-FZ$169+SwaptionMonthsToGo+SwaptionShift))/SQRT(SUM(INDEX($FK378:$ID378,1+SwaptionShift):INDEX($FK378:$ID378,SwaptionMonthsToGo+SwaptionShift))*SUM(INDEX($FK$325:$ID$396,FZ$169,1+SwaptionShift):INDEX($FK$325:$ID$396,FZ$169,SwaptionMonthsToGo+SwaptionShift))))))</f>
        <v/>
      </c>
      <c r="GA223" s="479" t="str">
        <f ca="1">IF(OR(GA$169&lt;SwaptionFirstMonthPosition+1,$FJ223&lt;SwaptionFirstMonthPosition+1,GA$169&gt;SwaptionFirstMonthPosition+SwaptionNumOfMonths+1,$FJ223&gt;SwaptionFirstMonthPosition+SwaptionNumOfMonths+1),"",IF($FJ223=GA$169,1,IF($FJ223&lt;GA$169,INDEX($FK$170:$ID$241,GA$169,$FJ223),SUMPRODUCT(INDEX($FK$325:$ID$396,GA$169,1+SwaptionShift):INDEX($FK$325:$ID$396,GA$169,SwaptionMonthsToGo+SwaptionShift),INDEX($FK$245:$ID$316,$FJ223-GA$169,73-GA$169+SwaptionShift):INDEX($FK$245:$ID$316,$FJ223-GA$169,72-GA$169+SwaptionMonthsToGo+SwaptionShift))/SQRT(SUM(INDEX($FK378:$ID378,1+SwaptionShift):INDEX($FK378:$ID378,SwaptionMonthsToGo+SwaptionShift))*SUM(INDEX($FK$325:$ID$396,GA$169,1+SwaptionShift):INDEX($FK$325:$ID$396,GA$169,SwaptionMonthsToGo+SwaptionShift))))))</f>
        <v/>
      </c>
      <c r="GB223" s="479" t="str">
        <f ca="1">IF(OR(GB$169&lt;SwaptionFirstMonthPosition+1,$FJ223&lt;SwaptionFirstMonthPosition+1,GB$169&gt;SwaptionFirstMonthPosition+SwaptionNumOfMonths+1,$FJ223&gt;SwaptionFirstMonthPosition+SwaptionNumOfMonths+1),"",IF($FJ223=GB$169,1,IF($FJ223&lt;GB$169,INDEX($FK$170:$ID$241,GB$169,$FJ223),SUMPRODUCT(INDEX($FK$325:$ID$396,GB$169,1+SwaptionShift):INDEX($FK$325:$ID$396,GB$169,SwaptionMonthsToGo+SwaptionShift),INDEX($FK$245:$ID$316,$FJ223-GB$169,73-GB$169+SwaptionShift):INDEX($FK$245:$ID$316,$FJ223-GB$169,72-GB$169+SwaptionMonthsToGo+SwaptionShift))/SQRT(SUM(INDEX($FK378:$ID378,1+SwaptionShift):INDEX($FK378:$ID378,SwaptionMonthsToGo+SwaptionShift))*SUM(INDEX($FK$325:$ID$396,GB$169,1+SwaptionShift):INDEX($FK$325:$ID$396,GB$169,SwaptionMonthsToGo+SwaptionShift))))))</f>
        <v/>
      </c>
      <c r="GC223" s="479" t="str">
        <f ca="1">IF(OR(GC$169&lt;SwaptionFirstMonthPosition+1,$FJ223&lt;SwaptionFirstMonthPosition+1,GC$169&gt;SwaptionFirstMonthPosition+SwaptionNumOfMonths+1,$FJ223&gt;SwaptionFirstMonthPosition+SwaptionNumOfMonths+1),"",IF($FJ223=GC$169,1,IF($FJ223&lt;GC$169,INDEX($FK$170:$ID$241,GC$169,$FJ223),SUMPRODUCT(INDEX($FK$325:$ID$396,GC$169,1+SwaptionShift):INDEX($FK$325:$ID$396,GC$169,SwaptionMonthsToGo+SwaptionShift),INDEX($FK$245:$ID$316,$FJ223-GC$169,73-GC$169+SwaptionShift):INDEX($FK$245:$ID$316,$FJ223-GC$169,72-GC$169+SwaptionMonthsToGo+SwaptionShift))/SQRT(SUM(INDEX($FK378:$ID378,1+SwaptionShift):INDEX($FK378:$ID378,SwaptionMonthsToGo+SwaptionShift))*SUM(INDEX($FK$325:$ID$396,GC$169,1+SwaptionShift):INDEX($FK$325:$ID$396,GC$169,SwaptionMonthsToGo+SwaptionShift))))))</f>
        <v/>
      </c>
      <c r="GD223" s="479" t="str">
        <f ca="1">IF(OR(GD$169&lt;SwaptionFirstMonthPosition+1,$FJ223&lt;SwaptionFirstMonthPosition+1,GD$169&gt;SwaptionFirstMonthPosition+SwaptionNumOfMonths+1,$FJ223&gt;SwaptionFirstMonthPosition+SwaptionNumOfMonths+1),"",IF($FJ223=GD$169,1,IF($FJ223&lt;GD$169,INDEX($FK$170:$ID$241,GD$169,$FJ223),SUMPRODUCT(INDEX($FK$325:$ID$396,GD$169,1+SwaptionShift):INDEX($FK$325:$ID$396,GD$169,SwaptionMonthsToGo+SwaptionShift),INDEX($FK$245:$ID$316,$FJ223-GD$169,73-GD$169+SwaptionShift):INDEX($FK$245:$ID$316,$FJ223-GD$169,72-GD$169+SwaptionMonthsToGo+SwaptionShift))/SQRT(SUM(INDEX($FK378:$ID378,1+SwaptionShift):INDEX($FK378:$ID378,SwaptionMonthsToGo+SwaptionShift))*SUM(INDEX($FK$325:$ID$396,GD$169,1+SwaptionShift):INDEX($FK$325:$ID$396,GD$169,SwaptionMonthsToGo+SwaptionShift))))))</f>
        <v/>
      </c>
      <c r="GE223" s="479" t="str">
        <f ca="1">IF(OR(GE$169&lt;SwaptionFirstMonthPosition+1,$FJ223&lt;SwaptionFirstMonthPosition+1,GE$169&gt;SwaptionFirstMonthPosition+SwaptionNumOfMonths+1,$FJ223&gt;SwaptionFirstMonthPosition+SwaptionNumOfMonths+1),"",IF($FJ223=GE$169,1,IF($FJ223&lt;GE$169,INDEX($FK$170:$ID$241,GE$169,$FJ223),SUMPRODUCT(INDEX($FK$325:$ID$396,GE$169,1+SwaptionShift):INDEX($FK$325:$ID$396,GE$169,SwaptionMonthsToGo+SwaptionShift),INDEX($FK$245:$ID$316,$FJ223-GE$169,73-GE$169+SwaptionShift):INDEX($FK$245:$ID$316,$FJ223-GE$169,72-GE$169+SwaptionMonthsToGo+SwaptionShift))/SQRT(SUM(INDEX($FK378:$ID378,1+SwaptionShift):INDEX($FK378:$ID378,SwaptionMonthsToGo+SwaptionShift))*SUM(INDEX($FK$325:$ID$396,GE$169,1+SwaptionShift):INDEX($FK$325:$ID$396,GE$169,SwaptionMonthsToGo+SwaptionShift))))))</f>
        <v/>
      </c>
      <c r="GF223" s="479" t="str">
        <f ca="1">IF(OR(GF$169&lt;SwaptionFirstMonthPosition+1,$FJ223&lt;SwaptionFirstMonthPosition+1,GF$169&gt;SwaptionFirstMonthPosition+SwaptionNumOfMonths+1,$FJ223&gt;SwaptionFirstMonthPosition+SwaptionNumOfMonths+1),"",IF($FJ223=GF$169,1,IF($FJ223&lt;GF$169,INDEX($FK$170:$ID$241,GF$169,$FJ223),SUMPRODUCT(INDEX($FK$325:$ID$396,GF$169,1+SwaptionShift):INDEX($FK$325:$ID$396,GF$169,SwaptionMonthsToGo+SwaptionShift),INDEX($FK$245:$ID$316,$FJ223-GF$169,73-GF$169+SwaptionShift):INDEX($FK$245:$ID$316,$FJ223-GF$169,72-GF$169+SwaptionMonthsToGo+SwaptionShift))/SQRT(SUM(INDEX($FK378:$ID378,1+SwaptionShift):INDEX($FK378:$ID378,SwaptionMonthsToGo+SwaptionShift))*SUM(INDEX($FK$325:$ID$396,GF$169,1+SwaptionShift):INDEX($FK$325:$ID$396,GF$169,SwaptionMonthsToGo+SwaptionShift))))))</f>
        <v/>
      </c>
      <c r="GG223" s="479" t="str">
        <f ca="1">IF(OR(GG$169&lt;SwaptionFirstMonthPosition+1,$FJ223&lt;SwaptionFirstMonthPosition+1,GG$169&gt;SwaptionFirstMonthPosition+SwaptionNumOfMonths+1,$FJ223&gt;SwaptionFirstMonthPosition+SwaptionNumOfMonths+1),"",IF($FJ223=GG$169,1,IF($FJ223&lt;GG$169,INDEX($FK$170:$ID$241,GG$169,$FJ223),SUMPRODUCT(INDEX($FK$325:$ID$396,GG$169,1+SwaptionShift):INDEX($FK$325:$ID$396,GG$169,SwaptionMonthsToGo+SwaptionShift),INDEX($FK$245:$ID$316,$FJ223-GG$169,73-GG$169+SwaptionShift):INDEX($FK$245:$ID$316,$FJ223-GG$169,72-GG$169+SwaptionMonthsToGo+SwaptionShift))/SQRT(SUM(INDEX($FK378:$ID378,1+SwaptionShift):INDEX($FK378:$ID378,SwaptionMonthsToGo+SwaptionShift))*SUM(INDEX($FK$325:$ID$396,GG$169,1+SwaptionShift):INDEX($FK$325:$ID$396,GG$169,SwaptionMonthsToGo+SwaptionShift))))))</f>
        <v/>
      </c>
      <c r="GH223" s="479" t="str">
        <f ca="1">IF(OR(GH$169&lt;SwaptionFirstMonthPosition+1,$FJ223&lt;SwaptionFirstMonthPosition+1,GH$169&gt;SwaptionFirstMonthPosition+SwaptionNumOfMonths+1,$FJ223&gt;SwaptionFirstMonthPosition+SwaptionNumOfMonths+1),"",IF($FJ223=GH$169,1,IF($FJ223&lt;GH$169,INDEX($FK$170:$ID$241,GH$169,$FJ223),SUMPRODUCT(INDEX($FK$325:$ID$396,GH$169,1+SwaptionShift):INDEX($FK$325:$ID$396,GH$169,SwaptionMonthsToGo+SwaptionShift),INDEX($FK$245:$ID$316,$FJ223-GH$169,73-GH$169+SwaptionShift):INDEX($FK$245:$ID$316,$FJ223-GH$169,72-GH$169+SwaptionMonthsToGo+SwaptionShift))/SQRT(SUM(INDEX($FK378:$ID378,1+SwaptionShift):INDEX($FK378:$ID378,SwaptionMonthsToGo+SwaptionShift))*SUM(INDEX($FK$325:$ID$396,GH$169,1+SwaptionShift):INDEX($FK$325:$ID$396,GH$169,SwaptionMonthsToGo+SwaptionShift))))))</f>
        <v/>
      </c>
      <c r="GI223" s="479" t="str">
        <f ca="1">IF(OR(GI$169&lt;SwaptionFirstMonthPosition+1,$FJ223&lt;SwaptionFirstMonthPosition+1,GI$169&gt;SwaptionFirstMonthPosition+SwaptionNumOfMonths+1,$FJ223&gt;SwaptionFirstMonthPosition+SwaptionNumOfMonths+1),"",IF($FJ223=GI$169,1,IF($FJ223&lt;GI$169,INDEX($FK$170:$ID$241,GI$169,$FJ223),SUMPRODUCT(INDEX($FK$325:$ID$396,GI$169,1+SwaptionShift):INDEX($FK$325:$ID$396,GI$169,SwaptionMonthsToGo+SwaptionShift),INDEX($FK$245:$ID$316,$FJ223-GI$169,73-GI$169+SwaptionShift):INDEX($FK$245:$ID$316,$FJ223-GI$169,72-GI$169+SwaptionMonthsToGo+SwaptionShift))/SQRT(SUM(INDEX($FK378:$ID378,1+SwaptionShift):INDEX($FK378:$ID378,SwaptionMonthsToGo+SwaptionShift))*SUM(INDEX($FK$325:$ID$396,GI$169,1+SwaptionShift):INDEX($FK$325:$ID$396,GI$169,SwaptionMonthsToGo+SwaptionShift))))))</f>
        <v/>
      </c>
      <c r="GJ223" s="479" t="str">
        <f ca="1">IF(OR(GJ$169&lt;SwaptionFirstMonthPosition+1,$FJ223&lt;SwaptionFirstMonthPosition+1,GJ$169&gt;SwaptionFirstMonthPosition+SwaptionNumOfMonths+1,$FJ223&gt;SwaptionFirstMonthPosition+SwaptionNumOfMonths+1),"",IF($FJ223=GJ$169,1,IF($FJ223&lt;GJ$169,INDEX($FK$170:$ID$241,GJ$169,$FJ223),SUMPRODUCT(INDEX($FK$325:$ID$396,GJ$169,1+SwaptionShift):INDEX($FK$325:$ID$396,GJ$169,SwaptionMonthsToGo+SwaptionShift),INDEX($FK$245:$ID$316,$FJ223-GJ$169,73-GJ$169+SwaptionShift):INDEX($FK$245:$ID$316,$FJ223-GJ$169,72-GJ$169+SwaptionMonthsToGo+SwaptionShift))/SQRT(SUM(INDEX($FK378:$ID378,1+SwaptionShift):INDEX($FK378:$ID378,SwaptionMonthsToGo+SwaptionShift))*SUM(INDEX($FK$325:$ID$396,GJ$169,1+SwaptionShift):INDEX($FK$325:$ID$396,GJ$169,SwaptionMonthsToGo+SwaptionShift))))))</f>
        <v/>
      </c>
      <c r="GK223" s="479" t="str">
        <f ca="1">IF(OR(GK$169&lt;SwaptionFirstMonthPosition+1,$FJ223&lt;SwaptionFirstMonthPosition+1,GK$169&gt;SwaptionFirstMonthPosition+SwaptionNumOfMonths+1,$FJ223&gt;SwaptionFirstMonthPosition+SwaptionNumOfMonths+1),"",IF($FJ223=GK$169,1,IF($FJ223&lt;GK$169,INDEX($FK$170:$ID$241,GK$169,$FJ223),SUMPRODUCT(INDEX($FK$325:$ID$396,GK$169,1+SwaptionShift):INDEX($FK$325:$ID$396,GK$169,SwaptionMonthsToGo+SwaptionShift),INDEX($FK$245:$ID$316,$FJ223-GK$169,73-GK$169+SwaptionShift):INDEX($FK$245:$ID$316,$FJ223-GK$169,72-GK$169+SwaptionMonthsToGo+SwaptionShift))/SQRT(SUM(INDEX($FK378:$ID378,1+SwaptionShift):INDEX($FK378:$ID378,SwaptionMonthsToGo+SwaptionShift))*SUM(INDEX($FK$325:$ID$396,GK$169,1+SwaptionShift):INDEX($FK$325:$ID$396,GK$169,SwaptionMonthsToGo+SwaptionShift))))))</f>
        <v/>
      </c>
      <c r="GL223" s="479" t="str">
        <f ca="1">IF(OR(GL$169&lt;SwaptionFirstMonthPosition+1,$FJ223&lt;SwaptionFirstMonthPosition+1,GL$169&gt;SwaptionFirstMonthPosition+SwaptionNumOfMonths+1,$FJ223&gt;SwaptionFirstMonthPosition+SwaptionNumOfMonths+1),"",IF($FJ223=GL$169,1,IF($FJ223&lt;GL$169,INDEX($FK$170:$ID$241,GL$169,$FJ223),SUMPRODUCT(INDEX($FK$325:$ID$396,GL$169,1+SwaptionShift):INDEX($FK$325:$ID$396,GL$169,SwaptionMonthsToGo+SwaptionShift),INDEX($FK$245:$ID$316,$FJ223-GL$169,73-GL$169+SwaptionShift):INDEX($FK$245:$ID$316,$FJ223-GL$169,72-GL$169+SwaptionMonthsToGo+SwaptionShift))/SQRT(SUM(INDEX($FK378:$ID378,1+SwaptionShift):INDEX($FK378:$ID378,SwaptionMonthsToGo+SwaptionShift))*SUM(INDEX($FK$325:$ID$396,GL$169,1+SwaptionShift):INDEX($FK$325:$ID$396,GL$169,SwaptionMonthsToGo+SwaptionShift))))))</f>
        <v/>
      </c>
      <c r="GM223" s="479" t="str">
        <f ca="1">IF(OR(GM$169&lt;SwaptionFirstMonthPosition+1,$FJ223&lt;SwaptionFirstMonthPosition+1,GM$169&gt;SwaptionFirstMonthPosition+SwaptionNumOfMonths+1,$FJ223&gt;SwaptionFirstMonthPosition+SwaptionNumOfMonths+1),"",IF($FJ223=GM$169,1,IF($FJ223&lt;GM$169,INDEX($FK$170:$ID$241,GM$169,$FJ223),SUMPRODUCT(INDEX($FK$325:$ID$396,GM$169,1+SwaptionShift):INDEX($FK$325:$ID$396,GM$169,SwaptionMonthsToGo+SwaptionShift),INDEX($FK$245:$ID$316,$FJ223-GM$169,73-GM$169+SwaptionShift):INDEX($FK$245:$ID$316,$FJ223-GM$169,72-GM$169+SwaptionMonthsToGo+SwaptionShift))/SQRT(SUM(INDEX($FK378:$ID378,1+SwaptionShift):INDEX($FK378:$ID378,SwaptionMonthsToGo+SwaptionShift))*SUM(INDEX($FK$325:$ID$396,GM$169,1+SwaptionShift):INDEX($FK$325:$ID$396,GM$169,SwaptionMonthsToGo+SwaptionShift))))))</f>
        <v/>
      </c>
      <c r="GN223" s="479" t="str">
        <f ca="1">IF(OR(GN$169&lt;SwaptionFirstMonthPosition+1,$FJ223&lt;SwaptionFirstMonthPosition+1,GN$169&gt;SwaptionFirstMonthPosition+SwaptionNumOfMonths+1,$FJ223&gt;SwaptionFirstMonthPosition+SwaptionNumOfMonths+1),"",IF($FJ223=GN$169,1,IF($FJ223&lt;GN$169,INDEX($FK$170:$ID$241,GN$169,$FJ223),SUMPRODUCT(INDEX($FK$325:$ID$396,GN$169,1+SwaptionShift):INDEX($FK$325:$ID$396,GN$169,SwaptionMonthsToGo+SwaptionShift),INDEX($FK$245:$ID$316,$FJ223-GN$169,73-GN$169+SwaptionShift):INDEX($FK$245:$ID$316,$FJ223-GN$169,72-GN$169+SwaptionMonthsToGo+SwaptionShift))/SQRT(SUM(INDEX($FK378:$ID378,1+SwaptionShift):INDEX($FK378:$ID378,SwaptionMonthsToGo+SwaptionShift))*SUM(INDEX($FK$325:$ID$396,GN$169,1+SwaptionShift):INDEX($FK$325:$ID$396,GN$169,SwaptionMonthsToGo+SwaptionShift))))))</f>
        <v/>
      </c>
      <c r="GO223" s="479" t="str">
        <f ca="1">IF(OR(GO$169&lt;SwaptionFirstMonthPosition+1,$FJ223&lt;SwaptionFirstMonthPosition+1,GO$169&gt;SwaptionFirstMonthPosition+SwaptionNumOfMonths+1,$FJ223&gt;SwaptionFirstMonthPosition+SwaptionNumOfMonths+1),"",IF($FJ223=GO$169,1,IF($FJ223&lt;GO$169,INDEX($FK$170:$ID$241,GO$169,$FJ223),SUMPRODUCT(INDEX($FK$325:$ID$396,GO$169,1+SwaptionShift):INDEX($FK$325:$ID$396,GO$169,SwaptionMonthsToGo+SwaptionShift),INDEX($FK$245:$ID$316,$FJ223-GO$169,73-GO$169+SwaptionShift):INDEX($FK$245:$ID$316,$FJ223-GO$169,72-GO$169+SwaptionMonthsToGo+SwaptionShift))/SQRT(SUM(INDEX($FK378:$ID378,1+SwaptionShift):INDEX($FK378:$ID378,SwaptionMonthsToGo+SwaptionShift))*SUM(INDEX($FK$325:$ID$396,GO$169,1+SwaptionShift):INDEX($FK$325:$ID$396,GO$169,SwaptionMonthsToGo+SwaptionShift))))))</f>
        <v/>
      </c>
      <c r="GP223" s="479" t="str">
        <f ca="1">IF(OR(GP$169&lt;SwaptionFirstMonthPosition+1,$FJ223&lt;SwaptionFirstMonthPosition+1,GP$169&gt;SwaptionFirstMonthPosition+SwaptionNumOfMonths+1,$FJ223&gt;SwaptionFirstMonthPosition+SwaptionNumOfMonths+1),"",IF($FJ223=GP$169,1,IF($FJ223&lt;GP$169,INDEX($FK$170:$ID$241,GP$169,$FJ223),SUMPRODUCT(INDEX($FK$325:$ID$396,GP$169,1+SwaptionShift):INDEX($FK$325:$ID$396,GP$169,SwaptionMonthsToGo+SwaptionShift),INDEX($FK$245:$ID$316,$FJ223-GP$169,73-GP$169+SwaptionShift):INDEX($FK$245:$ID$316,$FJ223-GP$169,72-GP$169+SwaptionMonthsToGo+SwaptionShift))/SQRT(SUM(INDEX($FK378:$ID378,1+SwaptionShift):INDEX($FK378:$ID378,SwaptionMonthsToGo+SwaptionShift))*SUM(INDEX($FK$325:$ID$396,GP$169,1+SwaptionShift):INDEX($FK$325:$ID$396,GP$169,SwaptionMonthsToGo+SwaptionShift))))))</f>
        <v/>
      </c>
      <c r="GQ223" s="479" t="str">
        <f ca="1">IF(OR(GQ$169&lt;SwaptionFirstMonthPosition+1,$FJ223&lt;SwaptionFirstMonthPosition+1,GQ$169&gt;SwaptionFirstMonthPosition+SwaptionNumOfMonths+1,$FJ223&gt;SwaptionFirstMonthPosition+SwaptionNumOfMonths+1),"",IF($FJ223=GQ$169,1,IF($FJ223&lt;GQ$169,INDEX($FK$170:$ID$241,GQ$169,$FJ223),SUMPRODUCT(INDEX($FK$325:$ID$396,GQ$169,1+SwaptionShift):INDEX($FK$325:$ID$396,GQ$169,SwaptionMonthsToGo+SwaptionShift),INDEX($FK$245:$ID$316,$FJ223-GQ$169,73-GQ$169+SwaptionShift):INDEX($FK$245:$ID$316,$FJ223-GQ$169,72-GQ$169+SwaptionMonthsToGo+SwaptionShift))/SQRT(SUM(INDEX($FK378:$ID378,1+SwaptionShift):INDEX($FK378:$ID378,SwaptionMonthsToGo+SwaptionShift))*SUM(INDEX($FK$325:$ID$396,GQ$169,1+SwaptionShift):INDEX($FK$325:$ID$396,GQ$169,SwaptionMonthsToGo+SwaptionShift))))))</f>
        <v/>
      </c>
      <c r="GR223" s="479" t="str">
        <f ca="1">IF(OR(GR$169&lt;SwaptionFirstMonthPosition+1,$FJ223&lt;SwaptionFirstMonthPosition+1,GR$169&gt;SwaptionFirstMonthPosition+SwaptionNumOfMonths+1,$FJ223&gt;SwaptionFirstMonthPosition+SwaptionNumOfMonths+1),"",IF($FJ223=GR$169,1,IF($FJ223&lt;GR$169,INDEX($FK$170:$ID$241,GR$169,$FJ223),SUMPRODUCT(INDEX($FK$325:$ID$396,GR$169,1+SwaptionShift):INDEX($FK$325:$ID$396,GR$169,SwaptionMonthsToGo+SwaptionShift),INDEX($FK$245:$ID$316,$FJ223-GR$169,73-GR$169+SwaptionShift):INDEX($FK$245:$ID$316,$FJ223-GR$169,72-GR$169+SwaptionMonthsToGo+SwaptionShift))/SQRT(SUM(INDEX($FK378:$ID378,1+SwaptionShift):INDEX($FK378:$ID378,SwaptionMonthsToGo+SwaptionShift))*SUM(INDEX($FK$325:$ID$396,GR$169,1+SwaptionShift):INDEX($FK$325:$ID$396,GR$169,SwaptionMonthsToGo+SwaptionShift))))))</f>
        <v/>
      </c>
      <c r="GS223" s="479" t="str">
        <f ca="1">IF(OR(GS$169&lt;SwaptionFirstMonthPosition+1,$FJ223&lt;SwaptionFirstMonthPosition+1,GS$169&gt;SwaptionFirstMonthPosition+SwaptionNumOfMonths+1,$FJ223&gt;SwaptionFirstMonthPosition+SwaptionNumOfMonths+1),"",IF($FJ223=GS$169,1,IF($FJ223&lt;GS$169,INDEX($FK$170:$ID$241,GS$169,$FJ223),SUMPRODUCT(INDEX($FK$325:$ID$396,GS$169,1+SwaptionShift):INDEX($FK$325:$ID$396,GS$169,SwaptionMonthsToGo+SwaptionShift),INDEX($FK$245:$ID$316,$FJ223-GS$169,73-GS$169+SwaptionShift):INDEX($FK$245:$ID$316,$FJ223-GS$169,72-GS$169+SwaptionMonthsToGo+SwaptionShift))/SQRT(SUM(INDEX($FK378:$ID378,1+SwaptionShift):INDEX($FK378:$ID378,SwaptionMonthsToGo+SwaptionShift))*SUM(INDEX($FK$325:$ID$396,GS$169,1+SwaptionShift):INDEX($FK$325:$ID$396,GS$169,SwaptionMonthsToGo+SwaptionShift))))))</f>
        <v/>
      </c>
      <c r="GT223" s="479" t="str">
        <f ca="1">IF(OR(GT$169&lt;SwaptionFirstMonthPosition+1,$FJ223&lt;SwaptionFirstMonthPosition+1,GT$169&gt;SwaptionFirstMonthPosition+SwaptionNumOfMonths+1,$FJ223&gt;SwaptionFirstMonthPosition+SwaptionNumOfMonths+1),"",IF($FJ223=GT$169,1,IF($FJ223&lt;GT$169,INDEX($FK$170:$ID$241,GT$169,$FJ223),SUMPRODUCT(INDEX($FK$325:$ID$396,GT$169,1+SwaptionShift):INDEX($FK$325:$ID$396,GT$169,SwaptionMonthsToGo+SwaptionShift),INDEX($FK$245:$ID$316,$FJ223-GT$169,73-GT$169+SwaptionShift):INDEX($FK$245:$ID$316,$FJ223-GT$169,72-GT$169+SwaptionMonthsToGo+SwaptionShift))/SQRT(SUM(INDEX($FK378:$ID378,1+SwaptionShift):INDEX($FK378:$ID378,SwaptionMonthsToGo+SwaptionShift))*SUM(INDEX($FK$325:$ID$396,GT$169,1+SwaptionShift):INDEX($FK$325:$ID$396,GT$169,SwaptionMonthsToGo+SwaptionShift))))))</f>
        <v/>
      </c>
      <c r="GU223" s="479" t="str">
        <f ca="1">IF(OR(GU$169&lt;SwaptionFirstMonthPosition+1,$FJ223&lt;SwaptionFirstMonthPosition+1,GU$169&gt;SwaptionFirstMonthPosition+SwaptionNumOfMonths+1,$FJ223&gt;SwaptionFirstMonthPosition+SwaptionNumOfMonths+1),"",IF($FJ223=GU$169,1,IF($FJ223&lt;GU$169,INDEX($FK$170:$ID$241,GU$169,$FJ223),SUMPRODUCT(INDEX($FK$325:$ID$396,GU$169,1+SwaptionShift):INDEX($FK$325:$ID$396,GU$169,SwaptionMonthsToGo+SwaptionShift),INDEX($FK$245:$ID$316,$FJ223-GU$169,73-GU$169+SwaptionShift):INDEX($FK$245:$ID$316,$FJ223-GU$169,72-GU$169+SwaptionMonthsToGo+SwaptionShift))/SQRT(SUM(INDEX($FK378:$ID378,1+SwaptionShift):INDEX($FK378:$ID378,SwaptionMonthsToGo+SwaptionShift))*SUM(INDEX($FK$325:$ID$396,GU$169,1+SwaptionShift):INDEX($FK$325:$ID$396,GU$169,SwaptionMonthsToGo+SwaptionShift))))))</f>
        <v/>
      </c>
      <c r="GV223" s="479" t="str">
        <f ca="1">IF(OR(GV$169&lt;SwaptionFirstMonthPosition+1,$FJ223&lt;SwaptionFirstMonthPosition+1,GV$169&gt;SwaptionFirstMonthPosition+SwaptionNumOfMonths+1,$FJ223&gt;SwaptionFirstMonthPosition+SwaptionNumOfMonths+1),"",IF($FJ223=GV$169,1,IF($FJ223&lt;GV$169,INDEX($FK$170:$ID$241,GV$169,$FJ223),SUMPRODUCT(INDEX($FK$325:$ID$396,GV$169,1+SwaptionShift):INDEX($FK$325:$ID$396,GV$169,SwaptionMonthsToGo+SwaptionShift),INDEX($FK$245:$ID$316,$FJ223-GV$169,73-GV$169+SwaptionShift):INDEX($FK$245:$ID$316,$FJ223-GV$169,72-GV$169+SwaptionMonthsToGo+SwaptionShift))/SQRT(SUM(INDEX($FK378:$ID378,1+SwaptionShift):INDEX($FK378:$ID378,SwaptionMonthsToGo+SwaptionShift))*SUM(INDEX($FK$325:$ID$396,GV$169,1+SwaptionShift):INDEX($FK$325:$ID$396,GV$169,SwaptionMonthsToGo+SwaptionShift))))))</f>
        <v/>
      </c>
      <c r="GW223" s="479" t="str">
        <f ca="1">IF(OR(GW$169&lt;SwaptionFirstMonthPosition+1,$FJ223&lt;SwaptionFirstMonthPosition+1,GW$169&gt;SwaptionFirstMonthPosition+SwaptionNumOfMonths+1,$FJ223&gt;SwaptionFirstMonthPosition+SwaptionNumOfMonths+1),"",IF($FJ223=GW$169,1,IF($FJ223&lt;GW$169,INDEX($FK$170:$ID$241,GW$169,$FJ223),SUMPRODUCT(INDEX($FK$325:$ID$396,GW$169,1+SwaptionShift):INDEX($FK$325:$ID$396,GW$169,SwaptionMonthsToGo+SwaptionShift),INDEX($FK$245:$ID$316,$FJ223-GW$169,73-GW$169+SwaptionShift):INDEX($FK$245:$ID$316,$FJ223-GW$169,72-GW$169+SwaptionMonthsToGo+SwaptionShift))/SQRT(SUM(INDEX($FK378:$ID378,1+SwaptionShift):INDEX($FK378:$ID378,SwaptionMonthsToGo+SwaptionShift))*SUM(INDEX($FK$325:$ID$396,GW$169,1+SwaptionShift):INDEX($FK$325:$ID$396,GW$169,SwaptionMonthsToGo+SwaptionShift))))))</f>
        <v/>
      </c>
      <c r="GX223" s="479" t="str">
        <f ca="1">IF(OR(GX$169&lt;SwaptionFirstMonthPosition+1,$FJ223&lt;SwaptionFirstMonthPosition+1,GX$169&gt;SwaptionFirstMonthPosition+SwaptionNumOfMonths+1,$FJ223&gt;SwaptionFirstMonthPosition+SwaptionNumOfMonths+1),"",IF($FJ223=GX$169,1,IF($FJ223&lt;GX$169,INDEX($FK$170:$ID$241,GX$169,$FJ223),SUMPRODUCT(INDEX($FK$325:$ID$396,GX$169,1+SwaptionShift):INDEX($FK$325:$ID$396,GX$169,SwaptionMonthsToGo+SwaptionShift),INDEX($FK$245:$ID$316,$FJ223-GX$169,73-GX$169+SwaptionShift):INDEX($FK$245:$ID$316,$FJ223-GX$169,72-GX$169+SwaptionMonthsToGo+SwaptionShift))/SQRT(SUM(INDEX($FK378:$ID378,1+SwaptionShift):INDEX($FK378:$ID378,SwaptionMonthsToGo+SwaptionShift))*SUM(INDEX($FK$325:$ID$396,GX$169,1+SwaptionShift):INDEX($FK$325:$ID$396,GX$169,SwaptionMonthsToGo+SwaptionShift))))))</f>
        <v/>
      </c>
      <c r="GY223" s="479" t="str">
        <f ca="1">IF(OR(GY$169&lt;SwaptionFirstMonthPosition+1,$FJ223&lt;SwaptionFirstMonthPosition+1,GY$169&gt;SwaptionFirstMonthPosition+SwaptionNumOfMonths+1,$FJ223&gt;SwaptionFirstMonthPosition+SwaptionNumOfMonths+1),"",IF($FJ223=GY$169,1,IF($FJ223&lt;GY$169,INDEX($FK$170:$ID$241,GY$169,$FJ223),SUMPRODUCT(INDEX($FK$325:$ID$396,GY$169,1+SwaptionShift):INDEX($FK$325:$ID$396,GY$169,SwaptionMonthsToGo+SwaptionShift),INDEX($FK$245:$ID$316,$FJ223-GY$169,73-GY$169+SwaptionShift):INDEX($FK$245:$ID$316,$FJ223-GY$169,72-GY$169+SwaptionMonthsToGo+SwaptionShift))/SQRT(SUM(INDEX($FK378:$ID378,1+SwaptionShift):INDEX($FK378:$ID378,SwaptionMonthsToGo+SwaptionShift))*SUM(INDEX($FK$325:$ID$396,GY$169,1+SwaptionShift):INDEX($FK$325:$ID$396,GY$169,SwaptionMonthsToGo+SwaptionShift))))))</f>
        <v/>
      </c>
      <c r="GZ223" s="479" t="str">
        <f ca="1">IF(OR(GZ$169&lt;SwaptionFirstMonthPosition+1,$FJ223&lt;SwaptionFirstMonthPosition+1,GZ$169&gt;SwaptionFirstMonthPosition+SwaptionNumOfMonths+1,$FJ223&gt;SwaptionFirstMonthPosition+SwaptionNumOfMonths+1),"",IF($FJ223=GZ$169,1,IF($FJ223&lt;GZ$169,INDEX($FK$170:$ID$241,GZ$169,$FJ223),SUMPRODUCT(INDEX($FK$325:$ID$396,GZ$169,1+SwaptionShift):INDEX($FK$325:$ID$396,GZ$169,SwaptionMonthsToGo+SwaptionShift),INDEX($FK$245:$ID$316,$FJ223-GZ$169,73-GZ$169+SwaptionShift):INDEX($FK$245:$ID$316,$FJ223-GZ$169,72-GZ$169+SwaptionMonthsToGo+SwaptionShift))/SQRT(SUM(INDEX($FK378:$ID378,1+SwaptionShift):INDEX($FK378:$ID378,SwaptionMonthsToGo+SwaptionShift))*SUM(INDEX($FK$325:$ID$396,GZ$169,1+SwaptionShift):INDEX($FK$325:$ID$396,GZ$169,SwaptionMonthsToGo+SwaptionShift))))))</f>
        <v/>
      </c>
      <c r="HA223" s="479" t="str">
        <f ca="1">IF(OR(HA$169&lt;SwaptionFirstMonthPosition+1,$FJ223&lt;SwaptionFirstMonthPosition+1,HA$169&gt;SwaptionFirstMonthPosition+SwaptionNumOfMonths+1,$FJ223&gt;SwaptionFirstMonthPosition+SwaptionNumOfMonths+1),"",IF($FJ223=HA$169,1,IF($FJ223&lt;HA$169,INDEX($FK$170:$ID$241,HA$169,$FJ223),SUMPRODUCT(INDEX($FK$325:$ID$396,HA$169,1+SwaptionShift):INDEX($FK$325:$ID$396,HA$169,SwaptionMonthsToGo+SwaptionShift),INDEX($FK$245:$ID$316,$FJ223-HA$169,73-HA$169+SwaptionShift):INDEX($FK$245:$ID$316,$FJ223-HA$169,72-HA$169+SwaptionMonthsToGo+SwaptionShift))/SQRT(SUM(INDEX($FK378:$ID378,1+SwaptionShift):INDEX($FK378:$ID378,SwaptionMonthsToGo+SwaptionShift))*SUM(INDEX($FK$325:$ID$396,HA$169,1+SwaptionShift):INDEX($FK$325:$ID$396,HA$169,SwaptionMonthsToGo+SwaptionShift))))))</f>
        <v/>
      </c>
      <c r="HB223" s="479" t="str">
        <f ca="1">IF(OR(HB$169&lt;SwaptionFirstMonthPosition+1,$FJ223&lt;SwaptionFirstMonthPosition+1,HB$169&gt;SwaptionFirstMonthPosition+SwaptionNumOfMonths+1,$FJ223&gt;SwaptionFirstMonthPosition+SwaptionNumOfMonths+1),"",IF($FJ223=HB$169,1,IF($FJ223&lt;HB$169,INDEX($FK$170:$ID$241,HB$169,$FJ223),SUMPRODUCT(INDEX($FK$325:$ID$396,HB$169,1+SwaptionShift):INDEX($FK$325:$ID$396,HB$169,SwaptionMonthsToGo+SwaptionShift),INDEX($FK$245:$ID$316,$FJ223-HB$169,73-HB$169+SwaptionShift):INDEX($FK$245:$ID$316,$FJ223-HB$169,72-HB$169+SwaptionMonthsToGo+SwaptionShift))/SQRT(SUM(INDEX($FK378:$ID378,1+SwaptionShift):INDEX($FK378:$ID378,SwaptionMonthsToGo+SwaptionShift))*SUM(INDEX($FK$325:$ID$396,HB$169,1+SwaptionShift):INDEX($FK$325:$ID$396,HB$169,SwaptionMonthsToGo+SwaptionShift))))))</f>
        <v/>
      </c>
      <c r="HC223" s="479" t="str">
        <f ca="1">IF(OR(HC$169&lt;SwaptionFirstMonthPosition+1,$FJ223&lt;SwaptionFirstMonthPosition+1,HC$169&gt;SwaptionFirstMonthPosition+SwaptionNumOfMonths+1,$FJ223&gt;SwaptionFirstMonthPosition+SwaptionNumOfMonths+1),"",IF($FJ223=HC$169,1,IF($FJ223&lt;HC$169,INDEX($FK$170:$ID$241,HC$169,$FJ223),SUMPRODUCT(INDEX($FK$325:$ID$396,HC$169,1+SwaptionShift):INDEX($FK$325:$ID$396,HC$169,SwaptionMonthsToGo+SwaptionShift),INDEX($FK$245:$ID$316,$FJ223-HC$169,73-HC$169+SwaptionShift):INDEX($FK$245:$ID$316,$FJ223-HC$169,72-HC$169+SwaptionMonthsToGo+SwaptionShift))/SQRT(SUM(INDEX($FK378:$ID378,1+SwaptionShift):INDEX($FK378:$ID378,SwaptionMonthsToGo+SwaptionShift))*SUM(INDEX($FK$325:$ID$396,HC$169,1+SwaptionShift):INDEX($FK$325:$ID$396,HC$169,SwaptionMonthsToGo+SwaptionShift))))))</f>
        <v/>
      </c>
      <c r="HD223" s="479" t="str">
        <f ca="1">IF(OR(HD$169&lt;SwaptionFirstMonthPosition+1,$FJ223&lt;SwaptionFirstMonthPosition+1,HD$169&gt;SwaptionFirstMonthPosition+SwaptionNumOfMonths+1,$FJ223&gt;SwaptionFirstMonthPosition+SwaptionNumOfMonths+1),"",IF($FJ223=HD$169,1,IF($FJ223&lt;HD$169,INDEX($FK$170:$ID$241,HD$169,$FJ223),SUMPRODUCT(INDEX($FK$325:$ID$396,HD$169,1+SwaptionShift):INDEX($FK$325:$ID$396,HD$169,SwaptionMonthsToGo+SwaptionShift),INDEX($FK$245:$ID$316,$FJ223-HD$169,73-HD$169+SwaptionShift):INDEX($FK$245:$ID$316,$FJ223-HD$169,72-HD$169+SwaptionMonthsToGo+SwaptionShift))/SQRT(SUM(INDEX($FK378:$ID378,1+SwaptionShift):INDEX($FK378:$ID378,SwaptionMonthsToGo+SwaptionShift))*SUM(INDEX($FK$325:$ID$396,HD$169,1+SwaptionShift):INDEX($FK$325:$ID$396,HD$169,SwaptionMonthsToGo+SwaptionShift))))))</f>
        <v/>
      </c>
      <c r="HE223" s="479" t="str">
        <f ca="1">IF(OR(HE$169&lt;SwaptionFirstMonthPosition+1,$FJ223&lt;SwaptionFirstMonthPosition+1,HE$169&gt;SwaptionFirstMonthPosition+SwaptionNumOfMonths+1,$FJ223&gt;SwaptionFirstMonthPosition+SwaptionNumOfMonths+1),"",IF($FJ223=HE$169,1,IF($FJ223&lt;HE$169,INDEX($FK$170:$ID$241,HE$169,$FJ223),SUMPRODUCT(INDEX($FK$325:$ID$396,HE$169,1+SwaptionShift):INDEX($FK$325:$ID$396,HE$169,SwaptionMonthsToGo+SwaptionShift),INDEX($FK$245:$ID$316,$FJ223-HE$169,73-HE$169+SwaptionShift):INDEX($FK$245:$ID$316,$FJ223-HE$169,72-HE$169+SwaptionMonthsToGo+SwaptionShift))/SQRT(SUM(INDEX($FK378:$ID378,1+SwaptionShift):INDEX($FK378:$ID378,SwaptionMonthsToGo+SwaptionShift))*SUM(INDEX($FK$325:$ID$396,HE$169,1+SwaptionShift):INDEX($FK$325:$ID$396,HE$169,SwaptionMonthsToGo+SwaptionShift))))))</f>
        <v/>
      </c>
      <c r="HF223" s="479" t="str">
        <f ca="1">IF(OR(HF$169&lt;SwaptionFirstMonthPosition+1,$FJ223&lt;SwaptionFirstMonthPosition+1,HF$169&gt;SwaptionFirstMonthPosition+SwaptionNumOfMonths+1,$FJ223&gt;SwaptionFirstMonthPosition+SwaptionNumOfMonths+1),"",IF($FJ223=HF$169,1,IF($FJ223&lt;HF$169,INDEX($FK$170:$ID$241,HF$169,$FJ223),SUMPRODUCT(INDEX($FK$325:$ID$396,HF$169,1+SwaptionShift):INDEX($FK$325:$ID$396,HF$169,SwaptionMonthsToGo+SwaptionShift),INDEX($FK$245:$ID$316,$FJ223-HF$169,73-HF$169+SwaptionShift):INDEX($FK$245:$ID$316,$FJ223-HF$169,72-HF$169+SwaptionMonthsToGo+SwaptionShift))/SQRT(SUM(INDEX($FK378:$ID378,1+SwaptionShift):INDEX($FK378:$ID378,SwaptionMonthsToGo+SwaptionShift))*SUM(INDEX($FK$325:$ID$396,HF$169,1+SwaptionShift):INDEX($FK$325:$ID$396,HF$169,SwaptionMonthsToGo+SwaptionShift))))))</f>
        <v/>
      </c>
      <c r="HG223" s="479" t="str">
        <f ca="1">IF(OR(HG$169&lt;SwaptionFirstMonthPosition+1,$FJ223&lt;SwaptionFirstMonthPosition+1,HG$169&gt;SwaptionFirstMonthPosition+SwaptionNumOfMonths+1,$FJ223&gt;SwaptionFirstMonthPosition+SwaptionNumOfMonths+1),"",IF($FJ223=HG$169,1,IF($FJ223&lt;HG$169,INDEX($FK$170:$ID$241,HG$169,$FJ223),SUMPRODUCT(INDEX($FK$325:$ID$396,HG$169,1+SwaptionShift):INDEX($FK$325:$ID$396,HG$169,SwaptionMonthsToGo+SwaptionShift),INDEX($FK$245:$ID$316,$FJ223-HG$169,73-HG$169+SwaptionShift):INDEX($FK$245:$ID$316,$FJ223-HG$169,72-HG$169+SwaptionMonthsToGo+SwaptionShift))/SQRT(SUM(INDEX($FK378:$ID378,1+SwaptionShift):INDEX($FK378:$ID378,SwaptionMonthsToGo+SwaptionShift))*SUM(INDEX($FK$325:$ID$396,HG$169,1+SwaptionShift):INDEX($FK$325:$ID$396,HG$169,SwaptionMonthsToGo+SwaptionShift))))))</f>
        <v/>
      </c>
      <c r="HH223" s="479" t="str">
        <f ca="1">IF(OR(HH$169&lt;SwaptionFirstMonthPosition+1,$FJ223&lt;SwaptionFirstMonthPosition+1,HH$169&gt;SwaptionFirstMonthPosition+SwaptionNumOfMonths+1,$FJ223&gt;SwaptionFirstMonthPosition+SwaptionNumOfMonths+1),"",IF($FJ223=HH$169,1,IF($FJ223&lt;HH$169,INDEX($FK$170:$ID$241,HH$169,$FJ223),SUMPRODUCT(INDEX($FK$325:$ID$396,HH$169,1+SwaptionShift):INDEX($FK$325:$ID$396,HH$169,SwaptionMonthsToGo+SwaptionShift),INDEX($FK$245:$ID$316,$FJ223-HH$169,73-HH$169+SwaptionShift):INDEX($FK$245:$ID$316,$FJ223-HH$169,72-HH$169+SwaptionMonthsToGo+SwaptionShift))/SQRT(SUM(INDEX($FK378:$ID378,1+SwaptionShift):INDEX($FK378:$ID378,SwaptionMonthsToGo+SwaptionShift))*SUM(INDEX($FK$325:$ID$396,HH$169,1+SwaptionShift):INDEX($FK$325:$ID$396,HH$169,SwaptionMonthsToGo+SwaptionShift))))))</f>
        <v/>
      </c>
      <c r="HI223" s="479" t="str">
        <f ca="1">IF(OR(HI$169&lt;SwaptionFirstMonthPosition+1,$FJ223&lt;SwaptionFirstMonthPosition+1,HI$169&gt;SwaptionFirstMonthPosition+SwaptionNumOfMonths+1,$FJ223&gt;SwaptionFirstMonthPosition+SwaptionNumOfMonths+1),"",IF($FJ223=HI$169,1,IF($FJ223&lt;HI$169,INDEX($FK$170:$ID$241,HI$169,$FJ223),SUMPRODUCT(INDEX($FK$325:$ID$396,HI$169,1+SwaptionShift):INDEX($FK$325:$ID$396,HI$169,SwaptionMonthsToGo+SwaptionShift),INDEX($FK$245:$ID$316,$FJ223-HI$169,73-HI$169+SwaptionShift):INDEX($FK$245:$ID$316,$FJ223-HI$169,72-HI$169+SwaptionMonthsToGo+SwaptionShift))/SQRT(SUM(INDEX($FK378:$ID378,1+SwaptionShift):INDEX($FK378:$ID378,SwaptionMonthsToGo+SwaptionShift))*SUM(INDEX($FK$325:$ID$396,HI$169,1+SwaptionShift):INDEX($FK$325:$ID$396,HI$169,SwaptionMonthsToGo+SwaptionShift))))))</f>
        <v/>
      </c>
      <c r="HJ223" s="479" t="str">
        <f ca="1">IF(OR(HJ$169&lt;SwaptionFirstMonthPosition+1,$FJ223&lt;SwaptionFirstMonthPosition+1,HJ$169&gt;SwaptionFirstMonthPosition+SwaptionNumOfMonths+1,$FJ223&gt;SwaptionFirstMonthPosition+SwaptionNumOfMonths+1),"",IF($FJ223=HJ$169,1,IF($FJ223&lt;HJ$169,INDEX($FK$170:$ID$241,HJ$169,$FJ223),SUMPRODUCT(INDEX($FK$325:$ID$396,HJ$169,1+SwaptionShift):INDEX($FK$325:$ID$396,HJ$169,SwaptionMonthsToGo+SwaptionShift),INDEX($FK$245:$ID$316,$FJ223-HJ$169,73-HJ$169+SwaptionShift):INDEX($FK$245:$ID$316,$FJ223-HJ$169,72-HJ$169+SwaptionMonthsToGo+SwaptionShift))/SQRT(SUM(INDEX($FK378:$ID378,1+SwaptionShift):INDEX($FK378:$ID378,SwaptionMonthsToGo+SwaptionShift))*SUM(INDEX($FK$325:$ID$396,HJ$169,1+SwaptionShift):INDEX($FK$325:$ID$396,HJ$169,SwaptionMonthsToGo+SwaptionShift))))))</f>
        <v/>
      </c>
      <c r="HK223" s="479" t="str">
        <f ca="1">IF(OR(HK$169&lt;SwaptionFirstMonthPosition+1,$FJ223&lt;SwaptionFirstMonthPosition+1,HK$169&gt;SwaptionFirstMonthPosition+SwaptionNumOfMonths+1,$FJ223&gt;SwaptionFirstMonthPosition+SwaptionNumOfMonths+1),"",IF($FJ223=HK$169,1,IF($FJ223&lt;HK$169,INDEX($FK$170:$ID$241,HK$169,$FJ223),SUMPRODUCT(INDEX($FK$325:$ID$396,HK$169,1+SwaptionShift):INDEX($FK$325:$ID$396,HK$169,SwaptionMonthsToGo+SwaptionShift),INDEX($FK$245:$ID$316,$FJ223-HK$169,73-HK$169+SwaptionShift):INDEX($FK$245:$ID$316,$FJ223-HK$169,72-HK$169+SwaptionMonthsToGo+SwaptionShift))/SQRT(SUM(INDEX($FK378:$ID378,1+SwaptionShift):INDEX($FK378:$ID378,SwaptionMonthsToGo+SwaptionShift))*SUM(INDEX($FK$325:$ID$396,HK$169,1+SwaptionShift):INDEX($FK$325:$ID$396,HK$169,SwaptionMonthsToGo+SwaptionShift))))))</f>
        <v/>
      </c>
      <c r="HL223" s="479" t="str">
        <f ca="1">IF(OR(HL$169&lt;SwaptionFirstMonthPosition+1,$FJ223&lt;SwaptionFirstMonthPosition+1,HL$169&gt;SwaptionFirstMonthPosition+SwaptionNumOfMonths+1,$FJ223&gt;SwaptionFirstMonthPosition+SwaptionNumOfMonths+1),"",IF($FJ223=HL$169,1,IF($FJ223&lt;HL$169,INDEX($FK$170:$ID$241,HL$169,$FJ223),SUMPRODUCT(INDEX($FK$325:$ID$396,HL$169,1+SwaptionShift):INDEX($FK$325:$ID$396,HL$169,SwaptionMonthsToGo+SwaptionShift),INDEX($FK$245:$ID$316,$FJ223-HL$169,73-HL$169+SwaptionShift):INDEX($FK$245:$ID$316,$FJ223-HL$169,72-HL$169+SwaptionMonthsToGo+SwaptionShift))/SQRT(SUM(INDEX($FK378:$ID378,1+SwaptionShift):INDEX($FK378:$ID378,SwaptionMonthsToGo+SwaptionShift))*SUM(INDEX($FK$325:$ID$396,HL$169,1+SwaptionShift):INDEX($FK$325:$ID$396,HL$169,SwaptionMonthsToGo+SwaptionShift))))))</f>
        <v/>
      </c>
      <c r="HM223" s="479" t="str">
        <f ca="1">IF(OR(HM$169&lt;SwaptionFirstMonthPosition+1,$FJ223&lt;SwaptionFirstMonthPosition+1,HM$169&gt;SwaptionFirstMonthPosition+SwaptionNumOfMonths+1,$FJ223&gt;SwaptionFirstMonthPosition+SwaptionNumOfMonths+1),"",IF($FJ223=HM$169,1,IF($FJ223&lt;HM$169,INDEX($FK$170:$ID$241,HM$169,$FJ223),SUMPRODUCT(INDEX($FK$325:$ID$396,HM$169,1+SwaptionShift):INDEX($FK$325:$ID$396,HM$169,SwaptionMonthsToGo+SwaptionShift),INDEX($FK$245:$ID$316,$FJ223-HM$169,73-HM$169+SwaptionShift):INDEX($FK$245:$ID$316,$FJ223-HM$169,72-HM$169+SwaptionMonthsToGo+SwaptionShift))/SQRT(SUM(INDEX($FK378:$ID378,1+SwaptionShift):INDEX($FK378:$ID378,SwaptionMonthsToGo+SwaptionShift))*SUM(INDEX($FK$325:$ID$396,HM$169,1+SwaptionShift):INDEX($FK$325:$ID$396,HM$169,SwaptionMonthsToGo+SwaptionShift))))))</f>
        <v/>
      </c>
      <c r="HN223" s="479" t="str">
        <f ca="1">IF(OR(HN$169&lt;SwaptionFirstMonthPosition+1,$FJ223&lt;SwaptionFirstMonthPosition+1,HN$169&gt;SwaptionFirstMonthPosition+SwaptionNumOfMonths+1,$FJ223&gt;SwaptionFirstMonthPosition+SwaptionNumOfMonths+1),"",IF($FJ223=HN$169,1,IF($FJ223&lt;HN$169,INDEX($FK$170:$ID$241,HN$169,$FJ223),SUMPRODUCT(INDEX($FK$325:$ID$396,HN$169,1+SwaptionShift):INDEX($FK$325:$ID$396,HN$169,SwaptionMonthsToGo+SwaptionShift),INDEX($FK$245:$ID$316,$FJ223-HN$169,73-HN$169+SwaptionShift):INDEX($FK$245:$ID$316,$FJ223-HN$169,72-HN$169+SwaptionMonthsToGo+SwaptionShift))/SQRT(SUM(INDEX($FK378:$ID378,1+SwaptionShift):INDEX($FK378:$ID378,SwaptionMonthsToGo+SwaptionShift))*SUM(INDEX($FK$325:$ID$396,HN$169,1+SwaptionShift):INDEX($FK$325:$ID$396,HN$169,SwaptionMonthsToGo+SwaptionShift))))))</f>
        <v/>
      </c>
      <c r="HO223" s="479" t="str">
        <f ca="1">IF(OR(HO$169&lt;SwaptionFirstMonthPosition+1,$FJ223&lt;SwaptionFirstMonthPosition+1,HO$169&gt;SwaptionFirstMonthPosition+SwaptionNumOfMonths+1,$FJ223&gt;SwaptionFirstMonthPosition+SwaptionNumOfMonths+1),"",IF($FJ223=HO$169,1,IF($FJ223&lt;HO$169,INDEX($FK$170:$ID$241,HO$169,$FJ223),SUMPRODUCT(INDEX($FK$325:$ID$396,HO$169,1+SwaptionShift):INDEX($FK$325:$ID$396,HO$169,SwaptionMonthsToGo+SwaptionShift),INDEX($FK$245:$ID$316,$FJ223-HO$169,73-HO$169+SwaptionShift):INDEX($FK$245:$ID$316,$FJ223-HO$169,72-HO$169+SwaptionMonthsToGo+SwaptionShift))/SQRT(SUM(INDEX($FK378:$ID378,1+SwaptionShift):INDEX($FK378:$ID378,SwaptionMonthsToGo+SwaptionShift))*SUM(INDEX($FK$325:$ID$396,HO$169,1+SwaptionShift):INDEX($FK$325:$ID$396,HO$169,SwaptionMonthsToGo+SwaptionShift))))))</f>
        <v/>
      </c>
      <c r="HP223" s="479" t="str">
        <f ca="1">IF(OR(HP$169&lt;SwaptionFirstMonthPosition+1,$FJ223&lt;SwaptionFirstMonthPosition+1,HP$169&gt;SwaptionFirstMonthPosition+SwaptionNumOfMonths+1,$FJ223&gt;SwaptionFirstMonthPosition+SwaptionNumOfMonths+1),"",IF($FJ223=HP$169,1,IF($FJ223&lt;HP$169,INDEX($FK$170:$ID$241,HP$169,$FJ223),SUMPRODUCT(INDEX($FK$325:$ID$396,HP$169,1+SwaptionShift):INDEX($FK$325:$ID$396,HP$169,SwaptionMonthsToGo+SwaptionShift),INDEX($FK$245:$ID$316,$FJ223-HP$169,73-HP$169+SwaptionShift):INDEX($FK$245:$ID$316,$FJ223-HP$169,72-HP$169+SwaptionMonthsToGo+SwaptionShift))/SQRT(SUM(INDEX($FK378:$ID378,1+SwaptionShift):INDEX($FK378:$ID378,SwaptionMonthsToGo+SwaptionShift))*SUM(INDEX($FK$325:$ID$396,HP$169,1+SwaptionShift):INDEX($FK$325:$ID$396,HP$169,SwaptionMonthsToGo+SwaptionShift))))))</f>
        <v/>
      </c>
      <c r="HQ223" s="479" t="str">
        <f ca="1">IF(OR(HQ$169&lt;SwaptionFirstMonthPosition+1,$FJ223&lt;SwaptionFirstMonthPosition+1,HQ$169&gt;SwaptionFirstMonthPosition+SwaptionNumOfMonths+1,$FJ223&gt;SwaptionFirstMonthPosition+SwaptionNumOfMonths+1),"",IF($FJ223=HQ$169,1,IF($FJ223&lt;HQ$169,INDEX($FK$170:$ID$241,HQ$169,$FJ223),SUMPRODUCT(INDEX($FK$325:$ID$396,HQ$169,1+SwaptionShift):INDEX($FK$325:$ID$396,HQ$169,SwaptionMonthsToGo+SwaptionShift),INDEX($FK$245:$ID$316,$FJ223-HQ$169,73-HQ$169+SwaptionShift):INDEX($FK$245:$ID$316,$FJ223-HQ$169,72-HQ$169+SwaptionMonthsToGo+SwaptionShift))/SQRT(SUM(INDEX($FK378:$ID378,1+SwaptionShift):INDEX($FK378:$ID378,SwaptionMonthsToGo+SwaptionShift))*SUM(INDEX($FK$325:$ID$396,HQ$169,1+SwaptionShift):INDEX($FK$325:$ID$396,HQ$169,SwaptionMonthsToGo+SwaptionShift))))))</f>
        <v/>
      </c>
      <c r="HR223" s="479" t="str">
        <f ca="1">IF(OR(HR$169&lt;SwaptionFirstMonthPosition+1,$FJ223&lt;SwaptionFirstMonthPosition+1,HR$169&gt;SwaptionFirstMonthPosition+SwaptionNumOfMonths+1,$FJ223&gt;SwaptionFirstMonthPosition+SwaptionNumOfMonths+1),"",IF($FJ223=HR$169,1,IF($FJ223&lt;HR$169,INDEX($FK$170:$ID$241,HR$169,$FJ223),SUMPRODUCT(INDEX($FK$325:$ID$396,HR$169,1+SwaptionShift):INDEX($FK$325:$ID$396,HR$169,SwaptionMonthsToGo+SwaptionShift),INDEX($FK$245:$ID$316,$FJ223-HR$169,73-HR$169+SwaptionShift):INDEX($FK$245:$ID$316,$FJ223-HR$169,72-HR$169+SwaptionMonthsToGo+SwaptionShift))/SQRT(SUM(INDEX($FK378:$ID378,1+SwaptionShift):INDEX($FK378:$ID378,SwaptionMonthsToGo+SwaptionShift))*SUM(INDEX($FK$325:$ID$396,HR$169,1+SwaptionShift):INDEX($FK$325:$ID$396,HR$169,SwaptionMonthsToGo+SwaptionShift))))))</f>
        <v/>
      </c>
      <c r="HS223" s="479" t="str">
        <f ca="1">IF(OR(HS$169&lt;SwaptionFirstMonthPosition+1,$FJ223&lt;SwaptionFirstMonthPosition+1,HS$169&gt;SwaptionFirstMonthPosition+SwaptionNumOfMonths+1,$FJ223&gt;SwaptionFirstMonthPosition+SwaptionNumOfMonths+1),"",IF($FJ223=HS$169,1,IF($FJ223&lt;HS$169,INDEX($FK$170:$ID$241,HS$169,$FJ223),SUMPRODUCT(INDEX($FK$325:$ID$396,HS$169,1+SwaptionShift):INDEX($FK$325:$ID$396,HS$169,SwaptionMonthsToGo+SwaptionShift),INDEX($FK$245:$ID$316,$FJ223-HS$169,73-HS$169+SwaptionShift):INDEX($FK$245:$ID$316,$FJ223-HS$169,72-HS$169+SwaptionMonthsToGo+SwaptionShift))/SQRT(SUM(INDEX($FK378:$ID378,1+SwaptionShift):INDEX($FK378:$ID378,SwaptionMonthsToGo+SwaptionShift))*SUM(INDEX($FK$325:$ID$396,HS$169,1+SwaptionShift):INDEX($FK$325:$ID$396,HS$169,SwaptionMonthsToGo+SwaptionShift))))))</f>
        <v/>
      </c>
      <c r="HT223" s="479" t="str">
        <f ca="1">IF(OR(HT$169&lt;SwaptionFirstMonthPosition+1,$FJ223&lt;SwaptionFirstMonthPosition+1,HT$169&gt;SwaptionFirstMonthPosition+SwaptionNumOfMonths+1,$FJ223&gt;SwaptionFirstMonthPosition+SwaptionNumOfMonths+1),"",IF($FJ223=HT$169,1,IF($FJ223&lt;HT$169,INDEX($FK$170:$ID$241,HT$169,$FJ223),SUMPRODUCT(INDEX($FK$325:$ID$396,HT$169,1+SwaptionShift):INDEX($FK$325:$ID$396,HT$169,SwaptionMonthsToGo+SwaptionShift),INDEX($FK$245:$ID$316,$FJ223-HT$169,73-HT$169+SwaptionShift):INDEX($FK$245:$ID$316,$FJ223-HT$169,72-HT$169+SwaptionMonthsToGo+SwaptionShift))/SQRT(SUM(INDEX($FK378:$ID378,1+SwaptionShift):INDEX($FK378:$ID378,SwaptionMonthsToGo+SwaptionShift))*SUM(INDEX($FK$325:$ID$396,HT$169,1+SwaptionShift):INDEX($FK$325:$ID$396,HT$169,SwaptionMonthsToGo+SwaptionShift))))))</f>
        <v/>
      </c>
      <c r="HU223" s="479" t="str">
        <f ca="1">IF(OR(HU$169&lt;SwaptionFirstMonthPosition+1,$FJ223&lt;SwaptionFirstMonthPosition+1,HU$169&gt;SwaptionFirstMonthPosition+SwaptionNumOfMonths+1,$FJ223&gt;SwaptionFirstMonthPosition+SwaptionNumOfMonths+1),"",IF($FJ223=HU$169,1,IF($FJ223&lt;HU$169,INDEX($FK$170:$ID$241,HU$169,$FJ223),SUMPRODUCT(INDEX($FK$325:$ID$396,HU$169,1+SwaptionShift):INDEX($FK$325:$ID$396,HU$169,SwaptionMonthsToGo+SwaptionShift),INDEX($FK$245:$ID$316,$FJ223-HU$169,73-HU$169+SwaptionShift):INDEX($FK$245:$ID$316,$FJ223-HU$169,72-HU$169+SwaptionMonthsToGo+SwaptionShift))/SQRT(SUM(INDEX($FK378:$ID378,1+SwaptionShift):INDEX($FK378:$ID378,SwaptionMonthsToGo+SwaptionShift))*SUM(INDEX($FK$325:$ID$396,HU$169,1+SwaptionShift):INDEX($FK$325:$ID$396,HU$169,SwaptionMonthsToGo+SwaptionShift))))))</f>
        <v/>
      </c>
      <c r="HV223" s="479" t="str">
        <f ca="1">IF(OR(HV$169&lt;SwaptionFirstMonthPosition+1,$FJ223&lt;SwaptionFirstMonthPosition+1,HV$169&gt;SwaptionFirstMonthPosition+SwaptionNumOfMonths+1,$FJ223&gt;SwaptionFirstMonthPosition+SwaptionNumOfMonths+1),"",IF($FJ223=HV$169,1,IF($FJ223&lt;HV$169,INDEX($FK$170:$ID$241,HV$169,$FJ223),SUMPRODUCT(INDEX($FK$325:$ID$396,HV$169,1+SwaptionShift):INDEX($FK$325:$ID$396,HV$169,SwaptionMonthsToGo+SwaptionShift),INDEX($FK$245:$ID$316,$FJ223-HV$169,73-HV$169+SwaptionShift):INDEX($FK$245:$ID$316,$FJ223-HV$169,72-HV$169+SwaptionMonthsToGo+SwaptionShift))/SQRT(SUM(INDEX($FK378:$ID378,1+SwaptionShift):INDEX($FK378:$ID378,SwaptionMonthsToGo+SwaptionShift))*SUM(INDEX($FK$325:$ID$396,HV$169,1+SwaptionShift):INDEX($FK$325:$ID$396,HV$169,SwaptionMonthsToGo+SwaptionShift))))))</f>
        <v/>
      </c>
      <c r="HW223" s="479" t="str">
        <f ca="1">IF(OR(HW$169&lt;SwaptionFirstMonthPosition+1,$FJ223&lt;SwaptionFirstMonthPosition+1,HW$169&gt;SwaptionFirstMonthPosition+SwaptionNumOfMonths+1,$FJ223&gt;SwaptionFirstMonthPosition+SwaptionNumOfMonths+1),"",IF($FJ223=HW$169,1,IF($FJ223&lt;HW$169,INDEX($FK$170:$ID$241,HW$169,$FJ223),SUMPRODUCT(INDEX($FK$325:$ID$396,HW$169,1+SwaptionShift):INDEX($FK$325:$ID$396,HW$169,SwaptionMonthsToGo+SwaptionShift),INDEX($FK$245:$ID$316,$FJ223-HW$169,73-HW$169+SwaptionShift):INDEX($FK$245:$ID$316,$FJ223-HW$169,72-HW$169+SwaptionMonthsToGo+SwaptionShift))/SQRT(SUM(INDEX($FK378:$ID378,1+SwaptionShift):INDEX($FK378:$ID378,SwaptionMonthsToGo+SwaptionShift))*SUM(INDEX($FK$325:$ID$396,HW$169,1+SwaptionShift):INDEX($FK$325:$ID$396,HW$169,SwaptionMonthsToGo+SwaptionShift))))))</f>
        <v/>
      </c>
      <c r="HX223" s="479" t="str">
        <f ca="1">IF(OR(HX$169&lt;SwaptionFirstMonthPosition+1,$FJ223&lt;SwaptionFirstMonthPosition+1,HX$169&gt;SwaptionFirstMonthPosition+SwaptionNumOfMonths+1,$FJ223&gt;SwaptionFirstMonthPosition+SwaptionNumOfMonths+1),"",IF($FJ223=HX$169,1,IF($FJ223&lt;HX$169,INDEX($FK$170:$ID$241,HX$169,$FJ223),SUMPRODUCT(INDEX($FK$325:$ID$396,HX$169,1+SwaptionShift):INDEX($FK$325:$ID$396,HX$169,SwaptionMonthsToGo+SwaptionShift),INDEX($FK$245:$ID$316,$FJ223-HX$169,73-HX$169+SwaptionShift):INDEX($FK$245:$ID$316,$FJ223-HX$169,72-HX$169+SwaptionMonthsToGo+SwaptionShift))/SQRT(SUM(INDEX($FK378:$ID378,1+SwaptionShift):INDEX($FK378:$ID378,SwaptionMonthsToGo+SwaptionShift))*SUM(INDEX($FK$325:$ID$396,HX$169,1+SwaptionShift):INDEX($FK$325:$ID$396,HX$169,SwaptionMonthsToGo+SwaptionShift))))))</f>
        <v/>
      </c>
      <c r="HY223" s="479" t="str">
        <f ca="1">IF(OR(HY$169&lt;SwaptionFirstMonthPosition+1,$FJ223&lt;SwaptionFirstMonthPosition+1,HY$169&gt;SwaptionFirstMonthPosition+SwaptionNumOfMonths+1,$FJ223&gt;SwaptionFirstMonthPosition+SwaptionNumOfMonths+1),"",IF($FJ223=HY$169,1,IF($FJ223&lt;HY$169,INDEX($FK$170:$ID$241,HY$169,$FJ223),SUMPRODUCT(INDEX($FK$325:$ID$396,HY$169,1+SwaptionShift):INDEX($FK$325:$ID$396,HY$169,SwaptionMonthsToGo+SwaptionShift),INDEX($FK$245:$ID$316,$FJ223-HY$169,73-HY$169+SwaptionShift):INDEX($FK$245:$ID$316,$FJ223-HY$169,72-HY$169+SwaptionMonthsToGo+SwaptionShift))/SQRT(SUM(INDEX($FK378:$ID378,1+SwaptionShift):INDEX($FK378:$ID378,SwaptionMonthsToGo+SwaptionShift))*SUM(INDEX($FK$325:$ID$396,HY$169,1+SwaptionShift):INDEX($FK$325:$ID$396,HY$169,SwaptionMonthsToGo+SwaptionShift))))))</f>
        <v/>
      </c>
      <c r="HZ223" s="479" t="str">
        <f ca="1">IF(OR(HZ$169&lt;SwaptionFirstMonthPosition+1,$FJ223&lt;SwaptionFirstMonthPosition+1,HZ$169&gt;SwaptionFirstMonthPosition+SwaptionNumOfMonths+1,$FJ223&gt;SwaptionFirstMonthPosition+SwaptionNumOfMonths+1),"",IF($FJ223=HZ$169,1,IF($FJ223&lt;HZ$169,INDEX($FK$170:$ID$241,HZ$169,$FJ223),SUMPRODUCT(INDEX($FK$325:$ID$396,HZ$169,1+SwaptionShift):INDEX($FK$325:$ID$396,HZ$169,SwaptionMonthsToGo+SwaptionShift),INDEX($FK$245:$ID$316,$FJ223-HZ$169,73-HZ$169+SwaptionShift):INDEX($FK$245:$ID$316,$FJ223-HZ$169,72-HZ$169+SwaptionMonthsToGo+SwaptionShift))/SQRT(SUM(INDEX($FK378:$ID378,1+SwaptionShift):INDEX($FK378:$ID378,SwaptionMonthsToGo+SwaptionShift))*SUM(INDEX($FK$325:$ID$396,HZ$169,1+SwaptionShift):INDEX($FK$325:$ID$396,HZ$169,SwaptionMonthsToGo+SwaptionShift))))))</f>
        <v/>
      </c>
      <c r="IA223" s="479" t="str">
        <f ca="1">IF(OR(IA$169&lt;SwaptionFirstMonthPosition+1,$FJ223&lt;SwaptionFirstMonthPosition+1,IA$169&gt;SwaptionFirstMonthPosition+SwaptionNumOfMonths+1,$FJ223&gt;SwaptionFirstMonthPosition+SwaptionNumOfMonths+1),"",IF($FJ223=IA$169,1,IF($FJ223&lt;IA$169,INDEX($FK$170:$ID$241,IA$169,$FJ223),SUMPRODUCT(INDEX($FK$325:$ID$396,IA$169,1+SwaptionShift):INDEX($FK$325:$ID$396,IA$169,SwaptionMonthsToGo+SwaptionShift),INDEX($FK$245:$ID$316,$FJ223-IA$169,73-IA$169+SwaptionShift):INDEX($FK$245:$ID$316,$FJ223-IA$169,72-IA$169+SwaptionMonthsToGo+SwaptionShift))/SQRT(SUM(INDEX($FK378:$ID378,1+SwaptionShift):INDEX($FK378:$ID378,SwaptionMonthsToGo+SwaptionShift))*SUM(INDEX($FK$325:$ID$396,IA$169,1+SwaptionShift):INDEX($FK$325:$ID$396,IA$169,SwaptionMonthsToGo+SwaptionShift))))))</f>
        <v/>
      </c>
      <c r="IB223" s="479" t="str">
        <f ca="1">IF(OR(IB$169&lt;SwaptionFirstMonthPosition+1,$FJ223&lt;SwaptionFirstMonthPosition+1,IB$169&gt;SwaptionFirstMonthPosition+SwaptionNumOfMonths+1,$FJ223&gt;SwaptionFirstMonthPosition+SwaptionNumOfMonths+1),"",IF($FJ223=IB$169,1,IF($FJ223&lt;IB$169,INDEX($FK$170:$ID$241,IB$169,$FJ223),SUMPRODUCT(INDEX($FK$325:$ID$396,IB$169,1+SwaptionShift):INDEX($FK$325:$ID$396,IB$169,SwaptionMonthsToGo+SwaptionShift),INDEX($FK$245:$ID$316,$FJ223-IB$169,73-IB$169+SwaptionShift):INDEX($FK$245:$ID$316,$FJ223-IB$169,72-IB$169+SwaptionMonthsToGo+SwaptionShift))/SQRT(SUM(INDEX($FK378:$ID378,1+SwaptionShift):INDEX($FK378:$ID378,SwaptionMonthsToGo+SwaptionShift))*SUM(INDEX($FK$325:$ID$396,IB$169,1+SwaptionShift):INDEX($FK$325:$ID$396,IB$169,SwaptionMonthsToGo+SwaptionShift))))))</f>
        <v/>
      </c>
      <c r="IC223" s="479" t="str">
        <f ca="1">IF(OR(IC$169&lt;SwaptionFirstMonthPosition+1,$FJ223&lt;SwaptionFirstMonthPosition+1,IC$169&gt;SwaptionFirstMonthPosition+SwaptionNumOfMonths+1,$FJ223&gt;SwaptionFirstMonthPosition+SwaptionNumOfMonths+1),"",IF($FJ223=IC$169,1,IF($FJ223&lt;IC$169,INDEX($FK$170:$ID$241,IC$169,$FJ223),SUMPRODUCT(INDEX($FK$325:$ID$396,IC$169,1+SwaptionShift):INDEX($FK$325:$ID$396,IC$169,SwaptionMonthsToGo+SwaptionShift),INDEX($FK$245:$ID$316,$FJ223-IC$169,73-IC$169+SwaptionShift):INDEX($FK$245:$ID$316,$FJ223-IC$169,72-IC$169+SwaptionMonthsToGo+SwaptionShift))/SQRT(SUM(INDEX($FK378:$ID378,1+SwaptionShift):INDEX($FK378:$ID378,SwaptionMonthsToGo+SwaptionShift))*SUM(INDEX($FK$325:$ID$396,IC$169,1+SwaptionShift):INDEX($FK$325:$ID$396,IC$169,SwaptionMonthsToGo+SwaptionShift))))))</f>
        <v/>
      </c>
      <c r="ID223" s="678" t="str">
        <f ca="1">IF(OR(ID$169&lt;SwaptionFirstMonthPosition+1,$FJ223&lt;SwaptionFirstMonthPosition+1,ID$169&gt;SwaptionFirstMonthPosition+SwaptionNumOfMonths+1,$FJ223&gt;SwaptionFirstMonthPosition+SwaptionNumOfMonths+1),"",IF($FJ223=ID$169,1,IF($FJ223&lt;ID$169,INDEX($FK$170:$ID$241,ID$169,$FJ223),SUMPRODUCT(INDEX($FK$325:$ID$396,ID$169,1+SwaptionShift):INDEX($FK$325:$ID$396,ID$169,SwaptionMonthsToGo+SwaptionShift),INDEX($FK$245:$ID$316,$FJ223-ID$169,73-ID$169+SwaptionShift):INDEX($FK$245:$ID$316,$FJ223-ID$169,72-ID$169+SwaptionMonthsToGo+SwaptionShift))/SQRT(SUM(INDEX($FK378:$ID378,1+SwaptionShift):INDEX($FK378:$ID378,SwaptionMonthsToGo+SwaptionShift))*SUM(INDEX($FK$325:$ID$396,ID$169,1+SwaptionShift):INDEX($FK$325:$ID$396,ID$169,SwaptionMonthsToGo+SwaptionShift))))))</f>
        <v/>
      </c>
      <c r="IE223" s="250"/>
    </row>
    <row r="224" spans="8:239">
      <c r="H224" s="51">
        <f t="shared" ca="1" si="646"/>
        <v>0</v>
      </c>
      <c r="I224" s="379">
        <f t="shared" si="647"/>
        <v>42979</v>
      </c>
      <c r="J224" s="377"/>
      <c r="K224" s="104" t="s">
        <v>268</v>
      </c>
      <c r="L224" s="392">
        <f t="shared" si="648"/>
        <v>4.7999999999999989</v>
      </c>
      <c r="M224" s="171"/>
      <c r="N224" s="382">
        <v>0</v>
      </c>
      <c r="O224" s="171">
        <f t="shared" si="596"/>
        <v>0</v>
      </c>
      <c r="P224" s="377"/>
      <c r="Q224" s="104" t="s">
        <v>268</v>
      </c>
      <c r="R224" s="377">
        <f t="shared" ca="1" si="597"/>
        <v>3.6267537184513761</v>
      </c>
      <c r="S224" s="832">
        <f t="shared" ref="S224:S260" si="671">S$19+(S223-S$19)*S$18</f>
        <v>0.3600000000000001</v>
      </c>
      <c r="T224" s="831">
        <f t="shared" si="661"/>
        <v>0.99999999999999845</v>
      </c>
      <c r="U224" s="545">
        <f t="shared" si="662"/>
        <v>0.99999999999999978</v>
      </c>
      <c r="V224" s="389">
        <v>0</v>
      </c>
      <c r="W224" s="434">
        <f t="shared" si="598"/>
        <v>0</v>
      </c>
      <c r="X224" s="415">
        <f t="shared" si="599"/>
        <v>4.8499999999999988</v>
      </c>
      <c r="Y224" s="322">
        <f t="shared" si="600"/>
        <v>-1.2668999999999999</v>
      </c>
      <c r="Z224" s="322">
        <f t="shared" ca="1" si="601"/>
        <v>3.5830999999999991</v>
      </c>
      <c r="AA224" s="429">
        <f t="shared" si="628"/>
        <v>1.2668999999999999</v>
      </c>
      <c r="AB224" s="433">
        <f t="shared" ca="1" si="629"/>
        <v>1.2668999999999999</v>
      </c>
      <c r="AC224" s="229">
        <v>42967</v>
      </c>
      <c r="AD224" s="229">
        <v>42963</v>
      </c>
      <c r="AE224" s="229">
        <v>42962</v>
      </c>
      <c r="AF224" s="229">
        <v>42958</v>
      </c>
      <c r="AG224" s="249" t="s">
        <v>499</v>
      </c>
      <c r="AH224" s="247" t="s">
        <v>499</v>
      </c>
      <c r="AI224" s="146">
        <v>21</v>
      </c>
      <c r="AJ224" s="41">
        <v>14</v>
      </c>
      <c r="AK224" s="41">
        <v>7</v>
      </c>
      <c r="AL224" s="293">
        <v>21</v>
      </c>
      <c r="AM224" s="41">
        <v>10</v>
      </c>
      <c r="AN224" s="147">
        <v>11</v>
      </c>
      <c r="AO224" s="374"/>
      <c r="AP224" s="153">
        <f t="shared" ca="1" si="649"/>
        <v>1</v>
      </c>
      <c r="AQ224" s="374"/>
      <c r="AR224" s="153">
        <f t="shared" ca="1" si="663"/>
        <v>1</v>
      </c>
      <c r="AS224" s="272">
        <f t="shared" si="602"/>
        <v>0</v>
      </c>
      <c r="AT224" s="157">
        <f t="shared" si="650"/>
        <v>0</v>
      </c>
      <c r="AU224" s="157">
        <f t="shared" si="630"/>
        <v>0</v>
      </c>
      <c r="AV224" s="271">
        <f t="shared" ca="1" si="670"/>
        <v>9.9999999999999995E-7</v>
      </c>
      <c r="AW224" s="158" t="str">
        <f t="shared" ca="1" si="583"/>
        <v/>
      </c>
      <c r="AX224" s="157">
        <f t="shared" ca="1" si="664"/>
        <v>2.5990980778358824E-5</v>
      </c>
      <c r="AY224" s="157">
        <f t="shared" ca="1" si="665"/>
        <v>5.1613276417973145E-6</v>
      </c>
      <c r="AZ224" s="157">
        <f t="shared" ca="1" si="666"/>
        <v>1.115087424494901E-7</v>
      </c>
      <c r="BA224" s="157">
        <f t="shared" ca="1" si="667"/>
        <v>1.3938592806186263E-8</v>
      </c>
      <c r="BB224" s="157">
        <f t="shared" ca="1" si="668"/>
        <v>3.0189808141910214E-11</v>
      </c>
      <c r="BC224" s="157">
        <f t="shared" ca="1" si="669"/>
        <v>3.8856873883328454E-13</v>
      </c>
      <c r="BD224" s="151">
        <f t="shared" ca="1" si="603"/>
        <v>0</v>
      </c>
      <c r="BE224" s="152">
        <f t="shared" ca="1" si="604"/>
        <v>0</v>
      </c>
      <c r="BF224" s="40">
        <f t="shared" si="605"/>
        <v>2017</v>
      </c>
      <c r="BG224" s="144">
        <f t="shared" si="606"/>
        <v>9</v>
      </c>
      <c r="BH224" s="145">
        <f t="shared" ca="1" si="607"/>
        <v>6218</v>
      </c>
      <c r="BI224" s="313">
        <f t="shared" ca="1" si="608"/>
        <v>17.067761806981519</v>
      </c>
      <c r="BJ224" s="42">
        <f t="shared" ca="1" si="631"/>
        <v>17.120693588866075</v>
      </c>
      <c r="BK224" s="42">
        <f t="shared" ca="1" si="632"/>
        <v>17.123431439653206</v>
      </c>
      <c r="BL224" s="42">
        <f t="shared" ca="1" si="609"/>
        <v>17.147159479808352</v>
      </c>
      <c r="BM224" s="150" t="e">
        <f t="shared" ca="1" si="633"/>
        <v>#DIV/0!</v>
      </c>
      <c r="BN224" s="42" t="e">
        <f t="shared" ca="1" si="634"/>
        <v>#DIV/0!</v>
      </c>
      <c r="BO224" s="293">
        <f t="shared" si="610"/>
        <v>21</v>
      </c>
      <c r="BP224" s="41">
        <f t="shared" si="611"/>
        <v>14</v>
      </c>
      <c r="BQ224" s="41">
        <f t="shared" si="612"/>
        <v>7</v>
      </c>
      <c r="BR224" s="305" t="str">
        <f t="shared" ca="1" si="635"/>
        <v/>
      </c>
      <c r="BS224" s="305" t="str">
        <f t="shared" ca="1" si="613"/>
        <v/>
      </c>
      <c r="BT224" s="307" t="str">
        <f t="shared" ca="1" si="614"/>
        <v/>
      </c>
      <c r="BU224" s="161" t="str">
        <f t="shared" ca="1" si="636"/>
        <v/>
      </c>
      <c r="BV224" s="161" t="str">
        <f t="shared" ca="1" si="637"/>
        <v/>
      </c>
      <c r="BW224" s="308" t="str">
        <f t="shared" ca="1" si="638"/>
        <v/>
      </c>
      <c r="BX224" s="309" t="str">
        <f t="shared" ca="1" si="639"/>
        <v/>
      </c>
      <c r="BY224" s="308" t="str">
        <f t="shared" ca="1" si="615"/>
        <v/>
      </c>
      <c r="BZ224" s="309" t="str">
        <f t="shared" ca="1" si="616"/>
        <v/>
      </c>
      <c r="CA224" s="154" t="str">
        <f t="shared" ca="1" si="640"/>
        <v/>
      </c>
      <c r="CB224" s="154" t="str">
        <f t="shared" ca="1" si="641"/>
        <v/>
      </c>
      <c r="CC224" s="154" t="str">
        <f t="shared" ca="1" si="642"/>
        <v/>
      </c>
      <c r="CD224" s="154" t="str">
        <f t="shared" ca="1" si="643"/>
        <v/>
      </c>
      <c r="CE224" s="310">
        <v>1</v>
      </c>
      <c r="CF224" s="162">
        <f ca="1">IF(BD224,_xll.xCrudeAPO(BU224,BV224,CA224,CB224,S225,S226,BI224,BL224,BP224,BQ224,0,Strike1,AO224,CE224,0,BL224,IF(OptControl=4,0,1),0,1),0)</f>
        <v>0</v>
      </c>
      <c r="CG224" s="163">
        <f ca="1">IF(BD224,_xll.xCrudeAPO(BU224,BV224,CA224,CB224,S225,S226,BI224,BL224,BP224,BQ224,0,Strike1,AO224,CE224,0,BL224,IF(OptControl=4,0,1),1,1)+_xll.xCrudeAPO(BU224,BV224,CA224,CB224,S225,S226,BI224,BL224,BP224,BQ224,0,Strike1,AO224,CE224,0,BL224,IF(OptControl=4,0,1),1,2)+IF(OR(VolSkewFlag=2,ABS(BS224)&lt;0.0001),0,IF(BS224&gt;0,-1,1)*CH224*Strike1/BR224^2*BY224/10%),0)</f>
        <v>0</v>
      </c>
      <c r="CH224" s="163">
        <f ca="1">IF(BD224,(_xll.xCrudeAPO(BU224,BV224,CA224,CB224,S225,S226,BI224,BL224,BP224,BQ224,0,Strike1,AO224,CE224,0,BL224,IF(OptControl=4,0,1),3,1)+_xll.xCrudeAPO(BU224,BV224,CA224,CB224,S225,S226,BI224,BL224,BP224,BQ224,0,Strike1,AO224,CE224,0,BL224,IF(OptControl=4,0,1),3,2))/100,0)</f>
        <v>0</v>
      </c>
      <c r="CI224" s="163">
        <f ca="1">IF(BD224,_xll.xCrudeAPO(BU224,BV224,CA224,CB224,S225,S226,BI224-DaysForThetaCalculation/365.25,BL224-DaysForThetaCalculation/365.25,BP224,BQ224,0,Strike1,AO224,CE224,0,BL224,IF(OptControl=4,0,1),0,1)-_xll.xCrudeAPO(BU224,BV224,CA224,CB224,S225,S226,BI224,BL224,BP224,BQ224,0,Strike1,AO224,CE224,0,BL224,IF(OptControl=4,0,1),0,1),0)</f>
        <v>0</v>
      </c>
      <c r="CJ224" s="311">
        <f ca="1">IF(BD224,_xll.xCrudeAPO(BU224,BV224,CC224,CD224,S225,S226,BI224,BL224,BP224,BQ224,0,Strike2,AO224,CE224,0,BL224,IF(OptControl=3,1,0),0,1),0)</f>
        <v>0</v>
      </c>
      <c r="CK224" s="163">
        <f ca="1">IF(BD224,_xll.xCrudeAPO(BU224,BV224,CC224,CD224,S225,S226,BI224,BL224,BP224,BQ224,0,Strike2,AO224,CE224,0,BL224,IF(OptControl=3,1,0),1,1)+_xll.xCrudeAPO(BU224,BV224,CC224,CD224,S225,S226,BI224,BL224,BP224,BQ224,0,Strike2,AO224,CE224,0,BL224,IF(OptControl=3,1,0),1,2)+IF(OR(VolSkewFlag=2,ABS(BT224)&lt;0.0001),0,IF(BT224&gt;0,-1,1)*CL224*Strike2/BR224^2*BZ224/10%),0)</f>
        <v>0</v>
      </c>
      <c r="CL224" s="163">
        <f ca="1">IF(BD224,(_xll.xCrudeAPO(BU224,BV224,CC224,CD224,S225,S226,BI224,BL224,BP224,BQ224,0,Strike2,AO224,CE224,0,BL224,IF(OptControl=3,1,0),3,1)+_xll.xCrudeAPO(BU224,BV224,CC224,CD224,S225,S226,BI224,BL224,BP224,BQ224,0,Strike2,AO224,CE224,0,BL224,IF(OptControl=3,1,0),3,2))/100,0)</f>
        <v>0</v>
      </c>
      <c r="CM224" s="164">
        <f ca="1">IF(BD224,_xll.xCrudeAPO(BU224,BV224,CC224,CD224,S225,S226,BI224-DaysForThetaCalculation/365.25,BL224-DaysForThetaCalculation/365.25,BP224,BQ224,0,Strike2,AO224,CE224,0,BL224,IF(OptControl=3,1,0),0,1)-_xll.xCrudeAPO(BU224,BV224,CC224,CD224,S225,S226,BI224,BL224,BP224,BQ224,0,Strike2,AO224,CE224,0,BL224,IF(OptControl=3,1,0),0,1),0)</f>
        <v>0</v>
      </c>
      <c r="CN224" s="53"/>
      <c r="CO224" s="796" t="str">
        <f t="shared" ca="1" si="651"/>
        <v/>
      </c>
      <c r="CP224" s="800" t="str">
        <f t="shared" ca="1" si="652"/>
        <v/>
      </c>
      <c r="CQ224" s="797" t="str">
        <f t="shared" ca="1" si="653"/>
        <v/>
      </c>
      <c r="CR224" s="797" t="str">
        <f t="shared" ca="1" si="654"/>
        <v/>
      </c>
      <c r="CS224" s="797" t="str">
        <f t="shared" ca="1" si="655"/>
        <v/>
      </c>
      <c r="CT224" s="797" t="str">
        <f t="shared" ca="1" si="656"/>
        <v/>
      </c>
      <c r="CU224" s="798" t="str">
        <f t="shared" ca="1" si="657"/>
        <v/>
      </c>
      <c r="CV224" s="799" t="str">
        <f t="shared" ca="1" si="658"/>
        <v/>
      </c>
      <c r="CW224" s="799" t="str">
        <f t="shared" ca="1" si="659"/>
        <v/>
      </c>
      <c r="CX224" s="163">
        <f ca="1">IF(BD224,_xll.EURO(CP224,Strike1,AO224,AO224,CV224,CO224,IF(OptControl=4,0,1),0),0)</f>
        <v>0</v>
      </c>
      <c r="CY224" s="163">
        <f ca="1">IF(BD224,_xll.EURO(CP224,Strike1,AO224,AO224,CV224,CO224,IF(OptControl=4,0,1),1)+IF(OR(VolSkewFlag=2,ABS(CQ224)&lt;0.0001),0,IF(CQ224&gt;0,-1,1)*CZ224*100*Strike1/CP224^2*CS224/10%),0)</f>
        <v>0</v>
      </c>
      <c r="CZ224" s="163">
        <f ca="1">IF(BD224,_xll.EURO(CP224,Strike1,AO224,AO224,CV224,CO224,IF(OptControl=4,0,1),3)/100,0)</f>
        <v>0</v>
      </c>
      <c r="DA224" s="163">
        <f ca="1">IF(BD224,_xll.EURO(CP224,Strike1,AO224,AO224,CV224,CO224,IF(OptControl=4,0,1),0)-_xll.EURO(CP224,Strike1,AO224,AO224,CV224,CO224-1,IF(OptControl=4,0,1),0),0)</f>
        <v>0</v>
      </c>
      <c r="DB224" s="163">
        <f ca="1">IF(BD224,_xll.EURO(CP224,Strike2,AO224,AO224,CW224,CO224,IF(OptControl=3,1,0),0),0)</f>
        <v>0</v>
      </c>
      <c r="DC224" s="163">
        <f ca="1">IF(BD224,_xll.EURO(CP224,Strike2,AO224,AO224,CW224,CO224,IF(OptControl=3,1,0),1)+IF(OR(VolSkewFlag=2,ABS(CR224)&lt;0.0001),0,IF(CR224&gt;0,-1,1)*DD224*100*Strike2/CP224^2*CT224/10%),0)</f>
        <v>0</v>
      </c>
      <c r="DD224" s="163">
        <f ca="1">IF(BD224,_xll.EURO(CP224,Strike2,AO224,AO224,CW224,CO224,IF(OptControl=3,1,0),3)/100,0)</f>
        <v>0</v>
      </c>
      <c r="DE224" s="164">
        <f ca="1">IF(BD224,_xll.EURO(CP224,Strike2,AO224,AO224,CW224,CO224,IF(OptControl=3,1,0),0)-_xll.EURO(CP224,Strike2,AO224,AO224,CW224,CO224-1,IF(OptControl=3,1,0),0),0)</f>
        <v>0</v>
      </c>
      <c r="DG224" s="667">
        <f t="shared" ca="1" si="660"/>
        <v>42767</v>
      </c>
      <c r="DH224" s="475">
        <v>24.360000000000092</v>
      </c>
      <c r="DI224" s="665">
        <v>24.425000000000093</v>
      </c>
      <c r="DJ224" s="666">
        <f t="shared" ca="1" si="617"/>
        <v>42767</v>
      </c>
      <c r="DK224" s="475">
        <v>23.162251930931902</v>
      </c>
      <c r="DL224" s="665">
        <v>23.256500000000095</v>
      </c>
      <c r="DM224" s="667">
        <f t="shared" ca="1" si="618"/>
        <v>42767</v>
      </c>
      <c r="DN224" s="668">
        <f t="shared" si="619"/>
        <v>23.212251930931902</v>
      </c>
      <c r="DO224" s="667">
        <f t="shared" ca="1" si="620"/>
        <v>42767</v>
      </c>
      <c r="DP224" s="579">
        <f t="shared" si="621"/>
        <v>23.256500000000095</v>
      </c>
      <c r="DQ224" s="821">
        <v>0</v>
      </c>
      <c r="DR224" s="666">
        <f t="shared" ca="1" si="622"/>
        <v>42767</v>
      </c>
      <c r="DS224" s="669">
        <v>0.10219999999999801</v>
      </c>
      <c r="DT224" s="606">
        <v>0.10141999999999803</v>
      </c>
      <c r="DU224" s="666">
        <f t="shared" ca="1" si="623"/>
        <v>42767</v>
      </c>
      <c r="DV224" s="669">
        <v>0.10219999999999801</v>
      </c>
      <c r="DW224" s="606">
        <v>0.10141999999999803</v>
      </c>
      <c r="DX224" s="667">
        <f t="shared" ca="1" si="624"/>
        <v>42767</v>
      </c>
      <c r="DY224" s="606">
        <v>0.35</v>
      </c>
      <c r="DZ224" s="667">
        <f t="shared" ca="1" si="625"/>
        <v>42767</v>
      </c>
      <c r="EA224" s="606">
        <f t="shared" si="626"/>
        <v>0.10141999999999803</v>
      </c>
      <c r="EB224" s="1"/>
      <c r="EC224" s="118" t="str">
        <f t="shared" ca="1" si="627"/>
        <v/>
      </c>
      <c r="ED224" s="119" t="str">
        <f t="shared" ca="1" si="644"/>
        <v/>
      </c>
      <c r="EE224" s="112" t="str">
        <f t="shared" ca="1" si="645"/>
        <v/>
      </c>
      <c r="EF224" s="120">
        <f ca="1">IF(BD224,_xll.xASN(BR224,Strike1,AO224,ED224,0,BO224,0,BI224,BL224,IF(OptControl=4,0,1),0),0)</f>
        <v>0</v>
      </c>
      <c r="EG224" s="111">
        <f ca="1">IF(BD224,_xll.xASN(BR224,Strike2,AO224,EE224,0,BO224,0,BI224,BL224,IF(OptControl=3,1,0),0),0)</f>
        <v>0</v>
      </c>
      <c r="EL224" s="55"/>
      <c r="EM224" s="1"/>
      <c r="EN224" s="106"/>
      <c r="EO224" s="106"/>
      <c r="EP224" s="1"/>
      <c r="EQ224" s="683" t="s">
        <v>438</v>
      </c>
      <c r="ES224" s="55"/>
      <c r="EU224" s="107"/>
      <c r="FJ224" s="673">
        <v>55</v>
      </c>
      <c r="FK224" s="479" t="str">
        <f ca="1">IF(OR(FK$169&lt;SwaptionFirstMonthPosition+1,$FJ224&lt;SwaptionFirstMonthPosition+1,FK$169&gt;SwaptionFirstMonthPosition+SwaptionNumOfMonths+1,$FJ224&gt;SwaptionFirstMonthPosition+SwaptionNumOfMonths+1),"",IF($FJ224=FK$169,1,IF($FJ224&lt;FK$169,INDEX($FK$170:$ID$241,FK$169,$FJ224),SUMPRODUCT(INDEX($FK$325:$ID$396,FK$169,1+SwaptionShift):INDEX($FK$325:$ID$396,FK$169,SwaptionMonthsToGo+SwaptionShift),INDEX($FK$245:$ID$316,$FJ224-FK$169,73-FK$169+SwaptionShift):INDEX($FK$245:$ID$316,$FJ224-FK$169,72-FK$169+SwaptionMonthsToGo+SwaptionShift))/SQRT(SUM(INDEX($FK379:$ID379,1+SwaptionShift):INDEX($FK379:$ID379,SwaptionMonthsToGo+SwaptionShift))*SUM(INDEX($FK$325:$ID$396,FK$169,1+SwaptionShift):INDEX($FK$325:$ID$396,FK$169,SwaptionMonthsToGo+SwaptionShift))))))</f>
        <v/>
      </c>
      <c r="FL224" s="479" t="str">
        <f ca="1">IF(OR(FL$169&lt;SwaptionFirstMonthPosition+1,$FJ224&lt;SwaptionFirstMonthPosition+1,FL$169&gt;SwaptionFirstMonthPosition+SwaptionNumOfMonths+1,$FJ224&gt;SwaptionFirstMonthPosition+SwaptionNumOfMonths+1),"",IF($FJ224=FL$169,1,IF($FJ224&lt;FL$169,INDEX($FK$170:$ID$241,FL$169,$FJ224),SUMPRODUCT(INDEX($FK$325:$ID$396,FL$169,1+SwaptionShift):INDEX($FK$325:$ID$396,FL$169,SwaptionMonthsToGo+SwaptionShift),INDEX($FK$245:$ID$316,$FJ224-FL$169,73-FL$169+SwaptionShift):INDEX($FK$245:$ID$316,$FJ224-FL$169,72-FL$169+SwaptionMonthsToGo+SwaptionShift))/SQRT(SUM(INDEX($FK379:$ID379,1+SwaptionShift):INDEX($FK379:$ID379,SwaptionMonthsToGo+SwaptionShift))*SUM(INDEX($FK$325:$ID$396,FL$169,1+SwaptionShift):INDEX($FK$325:$ID$396,FL$169,SwaptionMonthsToGo+SwaptionShift))))))</f>
        <v/>
      </c>
      <c r="FM224" s="479" t="str">
        <f ca="1">IF(OR(FM$169&lt;SwaptionFirstMonthPosition+1,$FJ224&lt;SwaptionFirstMonthPosition+1,FM$169&gt;SwaptionFirstMonthPosition+SwaptionNumOfMonths+1,$FJ224&gt;SwaptionFirstMonthPosition+SwaptionNumOfMonths+1),"",IF($FJ224=FM$169,1,IF($FJ224&lt;FM$169,INDEX($FK$170:$ID$241,FM$169,$FJ224),SUMPRODUCT(INDEX($FK$325:$ID$396,FM$169,1+SwaptionShift):INDEX($FK$325:$ID$396,FM$169,SwaptionMonthsToGo+SwaptionShift),INDEX($FK$245:$ID$316,$FJ224-FM$169,73-FM$169+SwaptionShift):INDEX($FK$245:$ID$316,$FJ224-FM$169,72-FM$169+SwaptionMonthsToGo+SwaptionShift))/SQRT(SUM(INDEX($FK379:$ID379,1+SwaptionShift):INDEX($FK379:$ID379,SwaptionMonthsToGo+SwaptionShift))*SUM(INDEX($FK$325:$ID$396,FM$169,1+SwaptionShift):INDEX($FK$325:$ID$396,FM$169,SwaptionMonthsToGo+SwaptionShift))))))</f>
        <v/>
      </c>
      <c r="FN224" s="479" t="str">
        <f ca="1">IF(OR(FN$169&lt;SwaptionFirstMonthPosition+1,$FJ224&lt;SwaptionFirstMonthPosition+1,FN$169&gt;SwaptionFirstMonthPosition+SwaptionNumOfMonths+1,$FJ224&gt;SwaptionFirstMonthPosition+SwaptionNumOfMonths+1),"",IF($FJ224=FN$169,1,IF($FJ224&lt;FN$169,INDEX($FK$170:$ID$241,FN$169,$FJ224),SUMPRODUCT(INDEX($FK$325:$ID$396,FN$169,1+SwaptionShift):INDEX($FK$325:$ID$396,FN$169,SwaptionMonthsToGo+SwaptionShift),INDEX($FK$245:$ID$316,$FJ224-FN$169,73-FN$169+SwaptionShift):INDEX($FK$245:$ID$316,$FJ224-FN$169,72-FN$169+SwaptionMonthsToGo+SwaptionShift))/SQRT(SUM(INDEX($FK379:$ID379,1+SwaptionShift):INDEX($FK379:$ID379,SwaptionMonthsToGo+SwaptionShift))*SUM(INDEX($FK$325:$ID$396,FN$169,1+SwaptionShift):INDEX($FK$325:$ID$396,FN$169,SwaptionMonthsToGo+SwaptionShift))))))</f>
        <v/>
      </c>
      <c r="FO224" s="479" t="str">
        <f ca="1">IF(OR(FO$169&lt;SwaptionFirstMonthPosition+1,$FJ224&lt;SwaptionFirstMonthPosition+1,FO$169&gt;SwaptionFirstMonthPosition+SwaptionNumOfMonths+1,$FJ224&gt;SwaptionFirstMonthPosition+SwaptionNumOfMonths+1),"",IF($FJ224=FO$169,1,IF($FJ224&lt;FO$169,INDEX($FK$170:$ID$241,FO$169,$FJ224),SUMPRODUCT(INDEX($FK$325:$ID$396,FO$169,1+SwaptionShift):INDEX($FK$325:$ID$396,FO$169,SwaptionMonthsToGo+SwaptionShift),INDEX($FK$245:$ID$316,$FJ224-FO$169,73-FO$169+SwaptionShift):INDEX($FK$245:$ID$316,$FJ224-FO$169,72-FO$169+SwaptionMonthsToGo+SwaptionShift))/SQRT(SUM(INDEX($FK379:$ID379,1+SwaptionShift):INDEX($FK379:$ID379,SwaptionMonthsToGo+SwaptionShift))*SUM(INDEX($FK$325:$ID$396,FO$169,1+SwaptionShift):INDEX($FK$325:$ID$396,FO$169,SwaptionMonthsToGo+SwaptionShift))))))</f>
        <v/>
      </c>
      <c r="FP224" s="479" t="str">
        <f ca="1">IF(OR(FP$169&lt;SwaptionFirstMonthPosition+1,$FJ224&lt;SwaptionFirstMonthPosition+1,FP$169&gt;SwaptionFirstMonthPosition+SwaptionNumOfMonths+1,$FJ224&gt;SwaptionFirstMonthPosition+SwaptionNumOfMonths+1),"",IF($FJ224=FP$169,1,IF($FJ224&lt;FP$169,INDEX($FK$170:$ID$241,FP$169,$FJ224),SUMPRODUCT(INDEX($FK$325:$ID$396,FP$169,1+SwaptionShift):INDEX($FK$325:$ID$396,FP$169,SwaptionMonthsToGo+SwaptionShift),INDEX($FK$245:$ID$316,$FJ224-FP$169,73-FP$169+SwaptionShift):INDEX($FK$245:$ID$316,$FJ224-FP$169,72-FP$169+SwaptionMonthsToGo+SwaptionShift))/SQRT(SUM(INDEX($FK379:$ID379,1+SwaptionShift):INDEX($FK379:$ID379,SwaptionMonthsToGo+SwaptionShift))*SUM(INDEX($FK$325:$ID$396,FP$169,1+SwaptionShift):INDEX($FK$325:$ID$396,FP$169,SwaptionMonthsToGo+SwaptionShift))))))</f>
        <v/>
      </c>
      <c r="FQ224" s="479" t="str">
        <f ca="1">IF(OR(FQ$169&lt;SwaptionFirstMonthPosition+1,$FJ224&lt;SwaptionFirstMonthPosition+1,FQ$169&gt;SwaptionFirstMonthPosition+SwaptionNumOfMonths+1,$FJ224&gt;SwaptionFirstMonthPosition+SwaptionNumOfMonths+1),"",IF($FJ224=FQ$169,1,IF($FJ224&lt;FQ$169,INDEX($FK$170:$ID$241,FQ$169,$FJ224),SUMPRODUCT(INDEX($FK$325:$ID$396,FQ$169,1+SwaptionShift):INDEX($FK$325:$ID$396,FQ$169,SwaptionMonthsToGo+SwaptionShift),INDEX($FK$245:$ID$316,$FJ224-FQ$169,73-FQ$169+SwaptionShift):INDEX($FK$245:$ID$316,$FJ224-FQ$169,72-FQ$169+SwaptionMonthsToGo+SwaptionShift))/SQRT(SUM(INDEX($FK379:$ID379,1+SwaptionShift):INDEX($FK379:$ID379,SwaptionMonthsToGo+SwaptionShift))*SUM(INDEX($FK$325:$ID$396,FQ$169,1+SwaptionShift):INDEX($FK$325:$ID$396,FQ$169,SwaptionMonthsToGo+SwaptionShift))))))</f>
        <v/>
      </c>
      <c r="FR224" s="479" t="str">
        <f ca="1">IF(OR(FR$169&lt;SwaptionFirstMonthPosition+1,$FJ224&lt;SwaptionFirstMonthPosition+1,FR$169&gt;SwaptionFirstMonthPosition+SwaptionNumOfMonths+1,$FJ224&gt;SwaptionFirstMonthPosition+SwaptionNumOfMonths+1),"",IF($FJ224=FR$169,1,IF($FJ224&lt;FR$169,INDEX($FK$170:$ID$241,FR$169,$FJ224),SUMPRODUCT(INDEX($FK$325:$ID$396,FR$169,1+SwaptionShift):INDEX($FK$325:$ID$396,FR$169,SwaptionMonthsToGo+SwaptionShift),INDEX($FK$245:$ID$316,$FJ224-FR$169,73-FR$169+SwaptionShift):INDEX($FK$245:$ID$316,$FJ224-FR$169,72-FR$169+SwaptionMonthsToGo+SwaptionShift))/SQRT(SUM(INDEX($FK379:$ID379,1+SwaptionShift):INDEX($FK379:$ID379,SwaptionMonthsToGo+SwaptionShift))*SUM(INDEX($FK$325:$ID$396,FR$169,1+SwaptionShift):INDEX($FK$325:$ID$396,FR$169,SwaptionMonthsToGo+SwaptionShift))))))</f>
        <v/>
      </c>
      <c r="FS224" s="479" t="str">
        <f ca="1">IF(OR(FS$169&lt;SwaptionFirstMonthPosition+1,$FJ224&lt;SwaptionFirstMonthPosition+1,FS$169&gt;SwaptionFirstMonthPosition+SwaptionNumOfMonths+1,$FJ224&gt;SwaptionFirstMonthPosition+SwaptionNumOfMonths+1),"",IF($FJ224=FS$169,1,IF($FJ224&lt;FS$169,INDEX($FK$170:$ID$241,FS$169,$FJ224),SUMPRODUCT(INDEX($FK$325:$ID$396,FS$169,1+SwaptionShift):INDEX($FK$325:$ID$396,FS$169,SwaptionMonthsToGo+SwaptionShift),INDEX($FK$245:$ID$316,$FJ224-FS$169,73-FS$169+SwaptionShift):INDEX($FK$245:$ID$316,$FJ224-FS$169,72-FS$169+SwaptionMonthsToGo+SwaptionShift))/SQRT(SUM(INDEX($FK379:$ID379,1+SwaptionShift):INDEX($FK379:$ID379,SwaptionMonthsToGo+SwaptionShift))*SUM(INDEX($FK$325:$ID$396,FS$169,1+SwaptionShift):INDEX($FK$325:$ID$396,FS$169,SwaptionMonthsToGo+SwaptionShift))))))</f>
        <v/>
      </c>
      <c r="FT224" s="479" t="str">
        <f ca="1">IF(OR(FT$169&lt;SwaptionFirstMonthPosition+1,$FJ224&lt;SwaptionFirstMonthPosition+1,FT$169&gt;SwaptionFirstMonthPosition+SwaptionNumOfMonths+1,$FJ224&gt;SwaptionFirstMonthPosition+SwaptionNumOfMonths+1),"",IF($FJ224=FT$169,1,IF($FJ224&lt;FT$169,INDEX($FK$170:$ID$241,FT$169,$FJ224),SUMPRODUCT(INDEX($FK$325:$ID$396,FT$169,1+SwaptionShift):INDEX($FK$325:$ID$396,FT$169,SwaptionMonthsToGo+SwaptionShift),INDEX($FK$245:$ID$316,$FJ224-FT$169,73-FT$169+SwaptionShift):INDEX($FK$245:$ID$316,$FJ224-FT$169,72-FT$169+SwaptionMonthsToGo+SwaptionShift))/SQRT(SUM(INDEX($FK379:$ID379,1+SwaptionShift):INDEX($FK379:$ID379,SwaptionMonthsToGo+SwaptionShift))*SUM(INDEX($FK$325:$ID$396,FT$169,1+SwaptionShift):INDEX($FK$325:$ID$396,FT$169,SwaptionMonthsToGo+SwaptionShift))))))</f>
        <v/>
      </c>
      <c r="FU224" s="479" t="str">
        <f ca="1">IF(OR(FU$169&lt;SwaptionFirstMonthPosition+1,$FJ224&lt;SwaptionFirstMonthPosition+1,FU$169&gt;SwaptionFirstMonthPosition+SwaptionNumOfMonths+1,$FJ224&gt;SwaptionFirstMonthPosition+SwaptionNumOfMonths+1),"",IF($FJ224=FU$169,1,IF($FJ224&lt;FU$169,INDEX($FK$170:$ID$241,FU$169,$FJ224),SUMPRODUCT(INDEX($FK$325:$ID$396,FU$169,1+SwaptionShift):INDEX($FK$325:$ID$396,FU$169,SwaptionMonthsToGo+SwaptionShift),INDEX($FK$245:$ID$316,$FJ224-FU$169,73-FU$169+SwaptionShift):INDEX($FK$245:$ID$316,$FJ224-FU$169,72-FU$169+SwaptionMonthsToGo+SwaptionShift))/SQRT(SUM(INDEX($FK379:$ID379,1+SwaptionShift):INDEX($FK379:$ID379,SwaptionMonthsToGo+SwaptionShift))*SUM(INDEX($FK$325:$ID$396,FU$169,1+SwaptionShift):INDEX($FK$325:$ID$396,FU$169,SwaptionMonthsToGo+SwaptionShift))))))</f>
        <v/>
      </c>
      <c r="FV224" s="479" t="str">
        <f ca="1">IF(OR(FV$169&lt;SwaptionFirstMonthPosition+1,$FJ224&lt;SwaptionFirstMonthPosition+1,FV$169&gt;SwaptionFirstMonthPosition+SwaptionNumOfMonths+1,$FJ224&gt;SwaptionFirstMonthPosition+SwaptionNumOfMonths+1),"",IF($FJ224=FV$169,1,IF($FJ224&lt;FV$169,INDEX($FK$170:$ID$241,FV$169,$FJ224),SUMPRODUCT(INDEX($FK$325:$ID$396,FV$169,1+SwaptionShift):INDEX($FK$325:$ID$396,FV$169,SwaptionMonthsToGo+SwaptionShift),INDEX($FK$245:$ID$316,$FJ224-FV$169,73-FV$169+SwaptionShift):INDEX($FK$245:$ID$316,$FJ224-FV$169,72-FV$169+SwaptionMonthsToGo+SwaptionShift))/SQRT(SUM(INDEX($FK379:$ID379,1+SwaptionShift):INDEX($FK379:$ID379,SwaptionMonthsToGo+SwaptionShift))*SUM(INDEX($FK$325:$ID$396,FV$169,1+SwaptionShift):INDEX($FK$325:$ID$396,FV$169,SwaptionMonthsToGo+SwaptionShift))))))</f>
        <v/>
      </c>
      <c r="FW224" s="479" t="str">
        <f ca="1">IF(OR(FW$169&lt;SwaptionFirstMonthPosition+1,$FJ224&lt;SwaptionFirstMonthPosition+1,FW$169&gt;SwaptionFirstMonthPosition+SwaptionNumOfMonths+1,$FJ224&gt;SwaptionFirstMonthPosition+SwaptionNumOfMonths+1),"",IF($FJ224=FW$169,1,IF($FJ224&lt;FW$169,INDEX($FK$170:$ID$241,FW$169,$FJ224),SUMPRODUCT(INDEX($FK$325:$ID$396,FW$169,1+SwaptionShift):INDEX($FK$325:$ID$396,FW$169,SwaptionMonthsToGo+SwaptionShift),INDEX($FK$245:$ID$316,$FJ224-FW$169,73-FW$169+SwaptionShift):INDEX($FK$245:$ID$316,$FJ224-FW$169,72-FW$169+SwaptionMonthsToGo+SwaptionShift))/SQRT(SUM(INDEX($FK379:$ID379,1+SwaptionShift):INDEX($FK379:$ID379,SwaptionMonthsToGo+SwaptionShift))*SUM(INDEX($FK$325:$ID$396,FW$169,1+SwaptionShift):INDEX($FK$325:$ID$396,FW$169,SwaptionMonthsToGo+SwaptionShift))))))</f>
        <v/>
      </c>
      <c r="FX224" s="479" t="str">
        <f ca="1">IF(OR(FX$169&lt;SwaptionFirstMonthPosition+1,$FJ224&lt;SwaptionFirstMonthPosition+1,FX$169&gt;SwaptionFirstMonthPosition+SwaptionNumOfMonths+1,$FJ224&gt;SwaptionFirstMonthPosition+SwaptionNumOfMonths+1),"",IF($FJ224=FX$169,1,IF($FJ224&lt;FX$169,INDEX($FK$170:$ID$241,FX$169,$FJ224),SUMPRODUCT(INDEX($FK$325:$ID$396,FX$169,1+SwaptionShift):INDEX($FK$325:$ID$396,FX$169,SwaptionMonthsToGo+SwaptionShift),INDEX($FK$245:$ID$316,$FJ224-FX$169,73-FX$169+SwaptionShift):INDEX($FK$245:$ID$316,$FJ224-FX$169,72-FX$169+SwaptionMonthsToGo+SwaptionShift))/SQRT(SUM(INDEX($FK379:$ID379,1+SwaptionShift):INDEX($FK379:$ID379,SwaptionMonthsToGo+SwaptionShift))*SUM(INDEX($FK$325:$ID$396,FX$169,1+SwaptionShift):INDEX($FK$325:$ID$396,FX$169,SwaptionMonthsToGo+SwaptionShift))))))</f>
        <v/>
      </c>
      <c r="FY224" s="479" t="str">
        <f ca="1">IF(OR(FY$169&lt;SwaptionFirstMonthPosition+1,$FJ224&lt;SwaptionFirstMonthPosition+1,FY$169&gt;SwaptionFirstMonthPosition+SwaptionNumOfMonths+1,$FJ224&gt;SwaptionFirstMonthPosition+SwaptionNumOfMonths+1),"",IF($FJ224=FY$169,1,IF($FJ224&lt;FY$169,INDEX($FK$170:$ID$241,FY$169,$FJ224),SUMPRODUCT(INDEX($FK$325:$ID$396,FY$169,1+SwaptionShift):INDEX($FK$325:$ID$396,FY$169,SwaptionMonthsToGo+SwaptionShift),INDEX($FK$245:$ID$316,$FJ224-FY$169,73-FY$169+SwaptionShift):INDEX($FK$245:$ID$316,$FJ224-FY$169,72-FY$169+SwaptionMonthsToGo+SwaptionShift))/SQRT(SUM(INDEX($FK379:$ID379,1+SwaptionShift):INDEX($FK379:$ID379,SwaptionMonthsToGo+SwaptionShift))*SUM(INDEX($FK$325:$ID$396,FY$169,1+SwaptionShift):INDEX($FK$325:$ID$396,FY$169,SwaptionMonthsToGo+SwaptionShift))))))</f>
        <v/>
      </c>
      <c r="FZ224" s="479" t="str">
        <f ca="1">IF(OR(FZ$169&lt;SwaptionFirstMonthPosition+1,$FJ224&lt;SwaptionFirstMonthPosition+1,FZ$169&gt;SwaptionFirstMonthPosition+SwaptionNumOfMonths+1,$FJ224&gt;SwaptionFirstMonthPosition+SwaptionNumOfMonths+1),"",IF($FJ224=FZ$169,1,IF($FJ224&lt;FZ$169,INDEX($FK$170:$ID$241,FZ$169,$FJ224),SUMPRODUCT(INDEX($FK$325:$ID$396,FZ$169,1+SwaptionShift):INDEX($FK$325:$ID$396,FZ$169,SwaptionMonthsToGo+SwaptionShift),INDEX($FK$245:$ID$316,$FJ224-FZ$169,73-FZ$169+SwaptionShift):INDEX($FK$245:$ID$316,$FJ224-FZ$169,72-FZ$169+SwaptionMonthsToGo+SwaptionShift))/SQRT(SUM(INDEX($FK379:$ID379,1+SwaptionShift):INDEX($FK379:$ID379,SwaptionMonthsToGo+SwaptionShift))*SUM(INDEX($FK$325:$ID$396,FZ$169,1+SwaptionShift):INDEX($FK$325:$ID$396,FZ$169,SwaptionMonthsToGo+SwaptionShift))))))</f>
        <v/>
      </c>
      <c r="GA224" s="479" t="str">
        <f ca="1">IF(OR(GA$169&lt;SwaptionFirstMonthPosition+1,$FJ224&lt;SwaptionFirstMonthPosition+1,GA$169&gt;SwaptionFirstMonthPosition+SwaptionNumOfMonths+1,$FJ224&gt;SwaptionFirstMonthPosition+SwaptionNumOfMonths+1),"",IF($FJ224=GA$169,1,IF($FJ224&lt;GA$169,INDEX($FK$170:$ID$241,GA$169,$FJ224),SUMPRODUCT(INDEX($FK$325:$ID$396,GA$169,1+SwaptionShift):INDEX($FK$325:$ID$396,GA$169,SwaptionMonthsToGo+SwaptionShift),INDEX($FK$245:$ID$316,$FJ224-GA$169,73-GA$169+SwaptionShift):INDEX($FK$245:$ID$316,$FJ224-GA$169,72-GA$169+SwaptionMonthsToGo+SwaptionShift))/SQRT(SUM(INDEX($FK379:$ID379,1+SwaptionShift):INDEX($FK379:$ID379,SwaptionMonthsToGo+SwaptionShift))*SUM(INDEX($FK$325:$ID$396,GA$169,1+SwaptionShift):INDEX($FK$325:$ID$396,GA$169,SwaptionMonthsToGo+SwaptionShift))))))</f>
        <v/>
      </c>
      <c r="GB224" s="479" t="str">
        <f ca="1">IF(OR(GB$169&lt;SwaptionFirstMonthPosition+1,$FJ224&lt;SwaptionFirstMonthPosition+1,GB$169&gt;SwaptionFirstMonthPosition+SwaptionNumOfMonths+1,$FJ224&gt;SwaptionFirstMonthPosition+SwaptionNumOfMonths+1),"",IF($FJ224=GB$169,1,IF($FJ224&lt;GB$169,INDEX($FK$170:$ID$241,GB$169,$FJ224),SUMPRODUCT(INDEX($FK$325:$ID$396,GB$169,1+SwaptionShift):INDEX($FK$325:$ID$396,GB$169,SwaptionMonthsToGo+SwaptionShift),INDEX($FK$245:$ID$316,$FJ224-GB$169,73-GB$169+SwaptionShift):INDEX($FK$245:$ID$316,$FJ224-GB$169,72-GB$169+SwaptionMonthsToGo+SwaptionShift))/SQRT(SUM(INDEX($FK379:$ID379,1+SwaptionShift):INDEX($FK379:$ID379,SwaptionMonthsToGo+SwaptionShift))*SUM(INDEX($FK$325:$ID$396,GB$169,1+SwaptionShift):INDEX($FK$325:$ID$396,GB$169,SwaptionMonthsToGo+SwaptionShift))))))</f>
        <v/>
      </c>
      <c r="GC224" s="479" t="str">
        <f ca="1">IF(OR(GC$169&lt;SwaptionFirstMonthPosition+1,$FJ224&lt;SwaptionFirstMonthPosition+1,GC$169&gt;SwaptionFirstMonthPosition+SwaptionNumOfMonths+1,$FJ224&gt;SwaptionFirstMonthPosition+SwaptionNumOfMonths+1),"",IF($FJ224=GC$169,1,IF($FJ224&lt;GC$169,INDEX($FK$170:$ID$241,GC$169,$FJ224),SUMPRODUCT(INDEX($FK$325:$ID$396,GC$169,1+SwaptionShift):INDEX($FK$325:$ID$396,GC$169,SwaptionMonthsToGo+SwaptionShift),INDEX($FK$245:$ID$316,$FJ224-GC$169,73-GC$169+SwaptionShift):INDEX($FK$245:$ID$316,$FJ224-GC$169,72-GC$169+SwaptionMonthsToGo+SwaptionShift))/SQRT(SUM(INDEX($FK379:$ID379,1+SwaptionShift):INDEX($FK379:$ID379,SwaptionMonthsToGo+SwaptionShift))*SUM(INDEX($FK$325:$ID$396,GC$169,1+SwaptionShift):INDEX($FK$325:$ID$396,GC$169,SwaptionMonthsToGo+SwaptionShift))))))</f>
        <v/>
      </c>
      <c r="GD224" s="479" t="str">
        <f ca="1">IF(OR(GD$169&lt;SwaptionFirstMonthPosition+1,$FJ224&lt;SwaptionFirstMonthPosition+1,GD$169&gt;SwaptionFirstMonthPosition+SwaptionNumOfMonths+1,$FJ224&gt;SwaptionFirstMonthPosition+SwaptionNumOfMonths+1),"",IF($FJ224=GD$169,1,IF($FJ224&lt;GD$169,INDEX($FK$170:$ID$241,GD$169,$FJ224),SUMPRODUCT(INDEX($FK$325:$ID$396,GD$169,1+SwaptionShift):INDEX($FK$325:$ID$396,GD$169,SwaptionMonthsToGo+SwaptionShift),INDEX($FK$245:$ID$316,$FJ224-GD$169,73-GD$169+SwaptionShift):INDEX($FK$245:$ID$316,$FJ224-GD$169,72-GD$169+SwaptionMonthsToGo+SwaptionShift))/SQRT(SUM(INDEX($FK379:$ID379,1+SwaptionShift):INDEX($FK379:$ID379,SwaptionMonthsToGo+SwaptionShift))*SUM(INDEX($FK$325:$ID$396,GD$169,1+SwaptionShift):INDEX($FK$325:$ID$396,GD$169,SwaptionMonthsToGo+SwaptionShift))))))</f>
        <v/>
      </c>
      <c r="GE224" s="479" t="str">
        <f ca="1">IF(OR(GE$169&lt;SwaptionFirstMonthPosition+1,$FJ224&lt;SwaptionFirstMonthPosition+1,GE$169&gt;SwaptionFirstMonthPosition+SwaptionNumOfMonths+1,$FJ224&gt;SwaptionFirstMonthPosition+SwaptionNumOfMonths+1),"",IF($FJ224=GE$169,1,IF($FJ224&lt;GE$169,INDEX($FK$170:$ID$241,GE$169,$FJ224),SUMPRODUCT(INDEX($FK$325:$ID$396,GE$169,1+SwaptionShift):INDEX($FK$325:$ID$396,GE$169,SwaptionMonthsToGo+SwaptionShift),INDEX($FK$245:$ID$316,$FJ224-GE$169,73-GE$169+SwaptionShift):INDEX($FK$245:$ID$316,$FJ224-GE$169,72-GE$169+SwaptionMonthsToGo+SwaptionShift))/SQRT(SUM(INDEX($FK379:$ID379,1+SwaptionShift):INDEX($FK379:$ID379,SwaptionMonthsToGo+SwaptionShift))*SUM(INDEX($FK$325:$ID$396,GE$169,1+SwaptionShift):INDEX($FK$325:$ID$396,GE$169,SwaptionMonthsToGo+SwaptionShift))))))</f>
        <v/>
      </c>
      <c r="GF224" s="479" t="str">
        <f ca="1">IF(OR(GF$169&lt;SwaptionFirstMonthPosition+1,$FJ224&lt;SwaptionFirstMonthPosition+1,GF$169&gt;SwaptionFirstMonthPosition+SwaptionNumOfMonths+1,$FJ224&gt;SwaptionFirstMonthPosition+SwaptionNumOfMonths+1),"",IF($FJ224=GF$169,1,IF($FJ224&lt;GF$169,INDEX($FK$170:$ID$241,GF$169,$FJ224),SUMPRODUCT(INDEX($FK$325:$ID$396,GF$169,1+SwaptionShift):INDEX($FK$325:$ID$396,GF$169,SwaptionMonthsToGo+SwaptionShift),INDEX($FK$245:$ID$316,$FJ224-GF$169,73-GF$169+SwaptionShift):INDEX($FK$245:$ID$316,$FJ224-GF$169,72-GF$169+SwaptionMonthsToGo+SwaptionShift))/SQRT(SUM(INDEX($FK379:$ID379,1+SwaptionShift):INDEX($FK379:$ID379,SwaptionMonthsToGo+SwaptionShift))*SUM(INDEX($FK$325:$ID$396,GF$169,1+SwaptionShift):INDEX($FK$325:$ID$396,GF$169,SwaptionMonthsToGo+SwaptionShift))))))</f>
        <v/>
      </c>
      <c r="GG224" s="479" t="str">
        <f ca="1">IF(OR(GG$169&lt;SwaptionFirstMonthPosition+1,$FJ224&lt;SwaptionFirstMonthPosition+1,GG$169&gt;SwaptionFirstMonthPosition+SwaptionNumOfMonths+1,$FJ224&gt;SwaptionFirstMonthPosition+SwaptionNumOfMonths+1),"",IF($FJ224=GG$169,1,IF($FJ224&lt;GG$169,INDEX($FK$170:$ID$241,GG$169,$FJ224),SUMPRODUCT(INDEX($FK$325:$ID$396,GG$169,1+SwaptionShift):INDEX($FK$325:$ID$396,GG$169,SwaptionMonthsToGo+SwaptionShift),INDEX($FK$245:$ID$316,$FJ224-GG$169,73-GG$169+SwaptionShift):INDEX($FK$245:$ID$316,$FJ224-GG$169,72-GG$169+SwaptionMonthsToGo+SwaptionShift))/SQRT(SUM(INDEX($FK379:$ID379,1+SwaptionShift):INDEX($FK379:$ID379,SwaptionMonthsToGo+SwaptionShift))*SUM(INDEX($FK$325:$ID$396,GG$169,1+SwaptionShift):INDEX($FK$325:$ID$396,GG$169,SwaptionMonthsToGo+SwaptionShift))))))</f>
        <v/>
      </c>
      <c r="GH224" s="479" t="str">
        <f ca="1">IF(OR(GH$169&lt;SwaptionFirstMonthPosition+1,$FJ224&lt;SwaptionFirstMonthPosition+1,GH$169&gt;SwaptionFirstMonthPosition+SwaptionNumOfMonths+1,$FJ224&gt;SwaptionFirstMonthPosition+SwaptionNumOfMonths+1),"",IF($FJ224=GH$169,1,IF($FJ224&lt;GH$169,INDEX($FK$170:$ID$241,GH$169,$FJ224),SUMPRODUCT(INDEX($FK$325:$ID$396,GH$169,1+SwaptionShift):INDEX($FK$325:$ID$396,GH$169,SwaptionMonthsToGo+SwaptionShift),INDEX($FK$245:$ID$316,$FJ224-GH$169,73-GH$169+SwaptionShift):INDEX($FK$245:$ID$316,$FJ224-GH$169,72-GH$169+SwaptionMonthsToGo+SwaptionShift))/SQRT(SUM(INDEX($FK379:$ID379,1+SwaptionShift):INDEX($FK379:$ID379,SwaptionMonthsToGo+SwaptionShift))*SUM(INDEX($FK$325:$ID$396,GH$169,1+SwaptionShift):INDEX($FK$325:$ID$396,GH$169,SwaptionMonthsToGo+SwaptionShift))))))</f>
        <v/>
      </c>
      <c r="GI224" s="479" t="str">
        <f ca="1">IF(OR(GI$169&lt;SwaptionFirstMonthPosition+1,$FJ224&lt;SwaptionFirstMonthPosition+1,GI$169&gt;SwaptionFirstMonthPosition+SwaptionNumOfMonths+1,$FJ224&gt;SwaptionFirstMonthPosition+SwaptionNumOfMonths+1),"",IF($FJ224=GI$169,1,IF($FJ224&lt;GI$169,INDEX($FK$170:$ID$241,GI$169,$FJ224),SUMPRODUCT(INDEX($FK$325:$ID$396,GI$169,1+SwaptionShift):INDEX($FK$325:$ID$396,GI$169,SwaptionMonthsToGo+SwaptionShift),INDEX($FK$245:$ID$316,$FJ224-GI$169,73-GI$169+SwaptionShift):INDEX($FK$245:$ID$316,$FJ224-GI$169,72-GI$169+SwaptionMonthsToGo+SwaptionShift))/SQRT(SUM(INDEX($FK379:$ID379,1+SwaptionShift):INDEX($FK379:$ID379,SwaptionMonthsToGo+SwaptionShift))*SUM(INDEX($FK$325:$ID$396,GI$169,1+SwaptionShift):INDEX($FK$325:$ID$396,GI$169,SwaptionMonthsToGo+SwaptionShift))))))</f>
        <v/>
      </c>
      <c r="GJ224" s="479" t="str">
        <f ca="1">IF(OR(GJ$169&lt;SwaptionFirstMonthPosition+1,$FJ224&lt;SwaptionFirstMonthPosition+1,GJ$169&gt;SwaptionFirstMonthPosition+SwaptionNumOfMonths+1,$FJ224&gt;SwaptionFirstMonthPosition+SwaptionNumOfMonths+1),"",IF($FJ224=GJ$169,1,IF($FJ224&lt;GJ$169,INDEX($FK$170:$ID$241,GJ$169,$FJ224),SUMPRODUCT(INDEX($FK$325:$ID$396,GJ$169,1+SwaptionShift):INDEX($FK$325:$ID$396,GJ$169,SwaptionMonthsToGo+SwaptionShift),INDEX($FK$245:$ID$316,$FJ224-GJ$169,73-GJ$169+SwaptionShift):INDEX($FK$245:$ID$316,$FJ224-GJ$169,72-GJ$169+SwaptionMonthsToGo+SwaptionShift))/SQRT(SUM(INDEX($FK379:$ID379,1+SwaptionShift):INDEX($FK379:$ID379,SwaptionMonthsToGo+SwaptionShift))*SUM(INDEX($FK$325:$ID$396,GJ$169,1+SwaptionShift):INDEX($FK$325:$ID$396,GJ$169,SwaptionMonthsToGo+SwaptionShift))))))</f>
        <v/>
      </c>
      <c r="GK224" s="479" t="str">
        <f ca="1">IF(OR(GK$169&lt;SwaptionFirstMonthPosition+1,$FJ224&lt;SwaptionFirstMonthPosition+1,GK$169&gt;SwaptionFirstMonthPosition+SwaptionNumOfMonths+1,$FJ224&gt;SwaptionFirstMonthPosition+SwaptionNumOfMonths+1),"",IF($FJ224=GK$169,1,IF($FJ224&lt;GK$169,INDEX($FK$170:$ID$241,GK$169,$FJ224),SUMPRODUCT(INDEX($FK$325:$ID$396,GK$169,1+SwaptionShift):INDEX($FK$325:$ID$396,GK$169,SwaptionMonthsToGo+SwaptionShift),INDEX($FK$245:$ID$316,$FJ224-GK$169,73-GK$169+SwaptionShift):INDEX($FK$245:$ID$316,$FJ224-GK$169,72-GK$169+SwaptionMonthsToGo+SwaptionShift))/SQRT(SUM(INDEX($FK379:$ID379,1+SwaptionShift):INDEX($FK379:$ID379,SwaptionMonthsToGo+SwaptionShift))*SUM(INDEX($FK$325:$ID$396,GK$169,1+SwaptionShift):INDEX($FK$325:$ID$396,GK$169,SwaptionMonthsToGo+SwaptionShift))))))</f>
        <v/>
      </c>
      <c r="GL224" s="479" t="str">
        <f ca="1">IF(OR(GL$169&lt;SwaptionFirstMonthPosition+1,$FJ224&lt;SwaptionFirstMonthPosition+1,GL$169&gt;SwaptionFirstMonthPosition+SwaptionNumOfMonths+1,$FJ224&gt;SwaptionFirstMonthPosition+SwaptionNumOfMonths+1),"",IF($FJ224=GL$169,1,IF($FJ224&lt;GL$169,INDEX($FK$170:$ID$241,GL$169,$FJ224),SUMPRODUCT(INDEX($FK$325:$ID$396,GL$169,1+SwaptionShift):INDEX($FK$325:$ID$396,GL$169,SwaptionMonthsToGo+SwaptionShift),INDEX($FK$245:$ID$316,$FJ224-GL$169,73-GL$169+SwaptionShift):INDEX($FK$245:$ID$316,$FJ224-GL$169,72-GL$169+SwaptionMonthsToGo+SwaptionShift))/SQRT(SUM(INDEX($FK379:$ID379,1+SwaptionShift):INDEX($FK379:$ID379,SwaptionMonthsToGo+SwaptionShift))*SUM(INDEX($FK$325:$ID$396,GL$169,1+SwaptionShift):INDEX($FK$325:$ID$396,GL$169,SwaptionMonthsToGo+SwaptionShift))))))</f>
        <v/>
      </c>
      <c r="GM224" s="479" t="str">
        <f ca="1">IF(OR(GM$169&lt;SwaptionFirstMonthPosition+1,$FJ224&lt;SwaptionFirstMonthPosition+1,GM$169&gt;SwaptionFirstMonthPosition+SwaptionNumOfMonths+1,$FJ224&gt;SwaptionFirstMonthPosition+SwaptionNumOfMonths+1),"",IF($FJ224=GM$169,1,IF($FJ224&lt;GM$169,INDEX($FK$170:$ID$241,GM$169,$FJ224),SUMPRODUCT(INDEX($FK$325:$ID$396,GM$169,1+SwaptionShift):INDEX($FK$325:$ID$396,GM$169,SwaptionMonthsToGo+SwaptionShift),INDEX($FK$245:$ID$316,$FJ224-GM$169,73-GM$169+SwaptionShift):INDEX($FK$245:$ID$316,$FJ224-GM$169,72-GM$169+SwaptionMonthsToGo+SwaptionShift))/SQRT(SUM(INDEX($FK379:$ID379,1+SwaptionShift):INDEX($FK379:$ID379,SwaptionMonthsToGo+SwaptionShift))*SUM(INDEX($FK$325:$ID$396,GM$169,1+SwaptionShift):INDEX($FK$325:$ID$396,GM$169,SwaptionMonthsToGo+SwaptionShift))))))</f>
        <v/>
      </c>
      <c r="GN224" s="479" t="str">
        <f ca="1">IF(OR(GN$169&lt;SwaptionFirstMonthPosition+1,$FJ224&lt;SwaptionFirstMonthPosition+1,GN$169&gt;SwaptionFirstMonthPosition+SwaptionNumOfMonths+1,$FJ224&gt;SwaptionFirstMonthPosition+SwaptionNumOfMonths+1),"",IF($FJ224=GN$169,1,IF($FJ224&lt;GN$169,INDEX($FK$170:$ID$241,GN$169,$FJ224),SUMPRODUCT(INDEX($FK$325:$ID$396,GN$169,1+SwaptionShift):INDEX($FK$325:$ID$396,GN$169,SwaptionMonthsToGo+SwaptionShift),INDEX($FK$245:$ID$316,$FJ224-GN$169,73-GN$169+SwaptionShift):INDEX($FK$245:$ID$316,$FJ224-GN$169,72-GN$169+SwaptionMonthsToGo+SwaptionShift))/SQRT(SUM(INDEX($FK379:$ID379,1+SwaptionShift):INDEX($FK379:$ID379,SwaptionMonthsToGo+SwaptionShift))*SUM(INDEX($FK$325:$ID$396,GN$169,1+SwaptionShift):INDEX($FK$325:$ID$396,GN$169,SwaptionMonthsToGo+SwaptionShift))))))</f>
        <v/>
      </c>
      <c r="GO224" s="479" t="str">
        <f ca="1">IF(OR(GO$169&lt;SwaptionFirstMonthPosition+1,$FJ224&lt;SwaptionFirstMonthPosition+1,GO$169&gt;SwaptionFirstMonthPosition+SwaptionNumOfMonths+1,$FJ224&gt;SwaptionFirstMonthPosition+SwaptionNumOfMonths+1),"",IF($FJ224=GO$169,1,IF($FJ224&lt;GO$169,INDEX($FK$170:$ID$241,GO$169,$FJ224),SUMPRODUCT(INDEX($FK$325:$ID$396,GO$169,1+SwaptionShift):INDEX($FK$325:$ID$396,GO$169,SwaptionMonthsToGo+SwaptionShift),INDEX($FK$245:$ID$316,$FJ224-GO$169,73-GO$169+SwaptionShift):INDEX($FK$245:$ID$316,$FJ224-GO$169,72-GO$169+SwaptionMonthsToGo+SwaptionShift))/SQRT(SUM(INDEX($FK379:$ID379,1+SwaptionShift):INDEX($FK379:$ID379,SwaptionMonthsToGo+SwaptionShift))*SUM(INDEX($FK$325:$ID$396,GO$169,1+SwaptionShift):INDEX($FK$325:$ID$396,GO$169,SwaptionMonthsToGo+SwaptionShift))))))</f>
        <v/>
      </c>
      <c r="GP224" s="479" t="str">
        <f ca="1">IF(OR(GP$169&lt;SwaptionFirstMonthPosition+1,$FJ224&lt;SwaptionFirstMonthPosition+1,GP$169&gt;SwaptionFirstMonthPosition+SwaptionNumOfMonths+1,$FJ224&gt;SwaptionFirstMonthPosition+SwaptionNumOfMonths+1),"",IF($FJ224=GP$169,1,IF($FJ224&lt;GP$169,INDEX($FK$170:$ID$241,GP$169,$FJ224),SUMPRODUCT(INDEX($FK$325:$ID$396,GP$169,1+SwaptionShift):INDEX($FK$325:$ID$396,GP$169,SwaptionMonthsToGo+SwaptionShift),INDEX($FK$245:$ID$316,$FJ224-GP$169,73-GP$169+SwaptionShift):INDEX($FK$245:$ID$316,$FJ224-GP$169,72-GP$169+SwaptionMonthsToGo+SwaptionShift))/SQRT(SUM(INDEX($FK379:$ID379,1+SwaptionShift):INDEX($FK379:$ID379,SwaptionMonthsToGo+SwaptionShift))*SUM(INDEX($FK$325:$ID$396,GP$169,1+SwaptionShift):INDEX($FK$325:$ID$396,GP$169,SwaptionMonthsToGo+SwaptionShift))))))</f>
        <v/>
      </c>
      <c r="GQ224" s="479" t="str">
        <f ca="1">IF(OR(GQ$169&lt;SwaptionFirstMonthPosition+1,$FJ224&lt;SwaptionFirstMonthPosition+1,GQ$169&gt;SwaptionFirstMonthPosition+SwaptionNumOfMonths+1,$FJ224&gt;SwaptionFirstMonthPosition+SwaptionNumOfMonths+1),"",IF($FJ224=GQ$169,1,IF($FJ224&lt;GQ$169,INDEX($FK$170:$ID$241,GQ$169,$FJ224),SUMPRODUCT(INDEX($FK$325:$ID$396,GQ$169,1+SwaptionShift):INDEX($FK$325:$ID$396,GQ$169,SwaptionMonthsToGo+SwaptionShift),INDEX($FK$245:$ID$316,$FJ224-GQ$169,73-GQ$169+SwaptionShift):INDEX($FK$245:$ID$316,$FJ224-GQ$169,72-GQ$169+SwaptionMonthsToGo+SwaptionShift))/SQRT(SUM(INDEX($FK379:$ID379,1+SwaptionShift):INDEX($FK379:$ID379,SwaptionMonthsToGo+SwaptionShift))*SUM(INDEX($FK$325:$ID$396,GQ$169,1+SwaptionShift):INDEX($FK$325:$ID$396,GQ$169,SwaptionMonthsToGo+SwaptionShift))))))</f>
        <v/>
      </c>
      <c r="GR224" s="479" t="str">
        <f ca="1">IF(OR(GR$169&lt;SwaptionFirstMonthPosition+1,$FJ224&lt;SwaptionFirstMonthPosition+1,GR$169&gt;SwaptionFirstMonthPosition+SwaptionNumOfMonths+1,$FJ224&gt;SwaptionFirstMonthPosition+SwaptionNumOfMonths+1),"",IF($FJ224=GR$169,1,IF($FJ224&lt;GR$169,INDEX($FK$170:$ID$241,GR$169,$FJ224),SUMPRODUCT(INDEX($FK$325:$ID$396,GR$169,1+SwaptionShift):INDEX($FK$325:$ID$396,GR$169,SwaptionMonthsToGo+SwaptionShift),INDEX($FK$245:$ID$316,$FJ224-GR$169,73-GR$169+SwaptionShift):INDEX($FK$245:$ID$316,$FJ224-GR$169,72-GR$169+SwaptionMonthsToGo+SwaptionShift))/SQRT(SUM(INDEX($FK379:$ID379,1+SwaptionShift):INDEX($FK379:$ID379,SwaptionMonthsToGo+SwaptionShift))*SUM(INDEX($FK$325:$ID$396,GR$169,1+SwaptionShift):INDEX($FK$325:$ID$396,GR$169,SwaptionMonthsToGo+SwaptionShift))))))</f>
        <v/>
      </c>
      <c r="GS224" s="479" t="str">
        <f ca="1">IF(OR(GS$169&lt;SwaptionFirstMonthPosition+1,$FJ224&lt;SwaptionFirstMonthPosition+1,GS$169&gt;SwaptionFirstMonthPosition+SwaptionNumOfMonths+1,$FJ224&gt;SwaptionFirstMonthPosition+SwaptionNumOfMonths+1),"",IF($FJ224=GS$169,1,IF($FJ224&lt;GS$169,INDEX($FK$170:$ID$241,GS$169,$FJ224),SUMPRODUCT(INDEX($FK$325:$ID$396,GS$169,1+SwaptionShift):INDEX($FK$325:$ID$396,GS$169,SwaptionMonthsToGo+SwaptionShift),INDEX($FK$245:$ID$316,$FJ224-GS$169,73-GS$169+SwaptionShift):INDEX($FK$245:$ID$316,$FJ224-GS$169,72-GS$169+SwaptionMonthsToGo+SwaptionShift))/SQRT(SUM(INDEX($FK379:$ID379,1+SwaptionShift):INDEX($FK379:$ID379,SwaptionMonthsToGo+SwaptionShift))*SUM(INDEX($FK$325:$ID$396,GS$169,1+SwaptionShift):INDEX($FK$325:$ID$396,GS$169,SwaptionMonthsToGo+SwaptionShift))))))</f>
        <v/>
      </c>
      <c r="GT224" s="479" t="str">
        <f ca="1">IF(OR(GT$169&lt;SwaptionFirstMonthPosition+1,$FJ224&lt;SwaptionFirstMonthPosition+1,GT$169&gt;SwaptionFirstMonthPosition+SwaptionNumOfMonths+1,$FJ224&gt;SwaptionFirstMonthPosition+SwaptionNumOfMonths+1),"",IF($FJ224=GT$169,1,IF($FJ224&lt;GT$169,INDEX($FK$170:$ID$241,GT$169,$FJ224),SUMPRODUCT(INDEX($FK$325:$ID$396,GT$169,1+SwaptionShift):INDEX($FK$325:$ID$396,GT$169,SwaptionMonthsToGo+SwaptionShift),INDEX($FK$245:$ID$316,$FJ224-GT$169,73-GT$169+SwaptionShift):INDEX($FK$245:$ID$316,$FJ224-GT$169,72-GT$169+SwaptionMonthsToGo+SwaptionShift))/SQRT(SUM(INDEX($FK379:$ID379,1+SwaptionShift):INDEX($FK379:$ID379,SwaptionMonthsToGo+SwaptionShift))*SUM(INDEX($FK$325:$ID$396,GT$169,1+SwaptionShift):INDEX($FK$325:$ID$396,GT$169,SwaptionMonthsToGo+SwaptionShift))))))</f>
        <v/>
      </c>
      <c r="GU224" s="479" t="str">
        <f ca="1">IF(OR(GU$169&lt;SwaptionFirstMonthPosition+1,$FJ224&lt;SwaptionFirstMonthPosition+1,GU$169&gt;SwaptionFirstMonthPosition+SwaptionNumOfMonths+1,$FJ224&gt;SwaptionFirstMonthPosition+SwaptionNumOfMonths+1),"",IF($FJ224=GU$169,1,IF($FJ224&lt;GU$169,INDEX($FK$170:$ID$241,GU$169,$FJ224),SUMPRODUCT(INDEX($FK$325:$ID$396,GU$169,1+SwaptionShift):INDEX($FK$325:$ID$396,GU$169,SwaptionMonthsToGo+SwaptionShift),INDEX($FK$245:$ID$316,$FJ224-GU$169,73-GU$169+SwaptionShift):INDEX($FK$245:$ID$316,$FJ224-GU$169,72-GU$169+SwaptionMonthsToGo+SwaptionShift))/SQRT(SUM(INDEX($FK379:$ID379,1+SwaptionShift):INDEX($FK379:$ID379,SwaptionMonthsToGo+SwaptionShift))*SUM(INDEX($FK$325:$ID$396,GU$169,1+SwaptionShift):INDEX($FK$325:$ID$396,GU$169,SwaptionMonthsToGo+SwaptionShift))))))</f>
        <v/>
      </c>
      <c r="GV224" s="479" t="str">
        <f ca="1">IF(OR(GV$169&lt;SwaptionFirstMonthPosition+1,$FJ224&lt;SwaptionFirstMonthPosition+1,GV$169&gt;SwaptionFirstMonthPosition+SwaptionNumOfMonths+1,$FJ224&gt;SwaptionFirstMonthPosition+SwaptionNumOfMonths+1),"",IF($FJ224=GV$169,1,IF($FJ224&lt;GV$169,INDEX($FK$170:$ID$241,GV$169,$FJ224),SUMPRODUCT(INDEX($FK$325:$ID$396,GV$169,1+SwaptionShift):INDEX($FK$325:$ID$396,GV$169,SwaptionMonthsToGo+SwaptionShift),INDEX($FK$245:$ID$316,$FJ224-GV$169,73-GV$169+SwaptionShift):INDEX($FK$245:$ID$316,$FJ224-GV$169,72-GV$169+SwaptionMonthsToGo+SwaptionShift))/SQRT(SUM(INDEX($FK379:$ID379,1+SwaptionShift):INDEX($FK379:$ID379,SwaptionMonthsToGo+SwaptionShift))*SUM(INDEX($FK$325:$ID$396,GV$169,1+SwaptionShift):INDEX($FK$325:$ID$396,GV$169,SwaptionMonthsToGo+SwaptionShift))))))</f>
        <v/>
      </c>
      <c r="GW224" s="479" t="str">
        <f ca="1">IF(OR(GW$169&lt;SwaptionFirstMonthPosition+1,$FJ224&lt;SwaptionFirstMonthPosition+1,GW$169&gt;SwaptionFirstMonthPosition+SwaptionNumOfMonths+1,$FJ224&gt;SwaptionFirstMonthPosition+SwaptionNumOfMonths+1),"",IF($FJ224=GW$169,1,IF($FJ224&lt;GW$169,INDEX($FK$170:$ID$241,GW$169,$FJ224),SUMPRODUCT(INDEX($FK$325:$ID$396,GW$169,1+SwaptionShift):INDEX($FK$325:$ID$396,GW$169,SwaptionMonthsToGo+SwaptionShift),INDEX($FK$245:$ID$316,$FJ224-GW$169,73-GW$169+SwaptionShift):INDEX($FK$245:$ID$316,$FJ224-GW$169,72-GW$169+SwaptionMonthsToGo+SwaptionShift))/SQRT(SUM(INDEX($FK379:$ID379,1+SwaptionShift):INDEX($FK379:$ID379,SwaptionMonthsToGo+SwaptionShift))*SUM(INDEX($FK$325:$ID$396,GW$169,1+SwaptionShift):INDEX($FK$325:$ID$396,GW$169,SwaptionMonthsToGo+SwaptionShift))))))</f>
        <v/>
      </c>
      <c r="GX224" s="479" t="str">
        <f ca="1">IF(OR(GX$169&lt;SwaptionFirstMonthPosition+1,$FJ224&lt;SwaptionFirstMonthPosition+1,GX$169&gt;SwaptionFirstMonthPosition+SwaptionNumOfMonths+1,$FJ224&gt;SwaptionFirstMonthPosition+SwaptionNumOfMonths+1),"",IF($FJ224=GX$169,1,IF($FJ224&lt;GX$169,INDEX($FK$170:$ID$241,GX$169,$FJ224),SUMPRODUCT(INDEX($FK$325:$ID$396,GX$169,1+SwaptionShift):INDEX($FK$325:$ID$396,GX$169,SwaptionMonthsToGo+SwaptionShift),INDEX($FK$245:$ID$316,$FJ224-GX$169,73-GX$169+SwaptionShift):INDEX($FK$245:$ID$316,$FJ224-GX$169,72-GX$169+SwaptionMonthsToGo+SwaptionShift))/SQRT(SUM(INDEX($FK379:$ID379,1+SwaptionShift):INDEX($FK379:$ID379,SwaptionMonthsToGo+SwaptionShift))*SUM(INDEX($FK$325:$ID$396,GX$169,1+SwaptionShift):INDEX($FK$325:$ID$396,GX$169,SwaptionMonthsToGo+SwaptionShift))))))</f>
        <v/>
      </c>
      <c r="GY224" s="479" t="str">
        <f ca="1">IF(OR(GY$169&lt;SwaptionFirstMonthPosition+1,$FJ224&lt;SwaptionFirstMonthPosition+1,GY$169&gt;SwaptionFirstMonthPosition+SwaptionNumOfMonths+1,$FJ224&gt;SwaptionFirstMonthPosition+SwaptionNumOfMonths+1),"",IF($FJ224=GY$169,1,IF($FJ224&lt;GY$169,INDEX($FK$170:$ID$241,GY$169,$FJ224),SUMPRODUCT(INDEX($FK$325:$ID$396,GY$169,1+SwaptionShift):INDEX($FK$325:$ID$396,GY$169,SwaptionMonthsToGo+SwaptionShift),INDEX($FK$245:$ID$316,$FJ224-GY$169,73-GY$169+SwaptionShift):INDEX($FK$245:$ID$316,$FJ224-GY$169,72-GY$169+SwaptionMonthsToGo+SwaptionShift))/SQRT(SUM(INDEX($FK379:$ID379,1+SwaptionShift):INDEX($FK379:$ID379,SwaptionMonthsToGo+SwaptionShift))*SUM(INDEX($FK$325:$ID$396,GY$169,1+SwaptionShift):INDEX($FK$325:$ID$396,GY$169,SwaptionMonthsToGo+SwaptionShift))))))</f>
        <v/>
      </c>
      <c r="GZ224" s="479" t="str">
        <f ca="1">IF(OR(GZ$169&lt;SwaptionFirstMonthPosition+1,$FJ224&lt;SwaptionFirstMonthPosition+1,GZ$169&gt;SwaptionFirstMonthPosition+SwaptionNumOfMonths+1,$FJ224&gt;SwaptionFirstMonthPosition+SwaptionNumOfMonths+1),"",IF($FJ224=GZ$169,1,IF($FJ224&lt;GZ$169,INDEX($FK$170:$ID$241,GZ$169,$FJ224),SUMPRODUCT(INDEX($FK$325:$ID$396,GZ$169,1+SwaptionShift):INDEX($FK$325:$ID$396,GZ$169,SwaptionMonthsToGo+SwaptionShift),INDEX($FK$245:$ID$316,$FJ224-GZ$169,73-GZ$169+SwaptionShift):INDEX($FK$245:$ID$316,$FJ224-GZ$169,72-GZ$169+SwaptionMonthsToGo+SwaptionShift))/SQRT(SUM(INDEX($FK379:$ID379,1+SwaptionShift):INDEX($FK379:$ID379,SwaptionMonthsToGo+SwaptionShift))*SUM(INDEX($FK$325:$ID$396,GZ$169,1+SwaptionShift):INDEX($FK$325:$ID$396,GZ$169,SwaptionMonthsToGo+SwaptionShift))))))</f>
        <v/>
      </c>
      <c r="HA224" s="479" t="str">
        <f ca="1">IF(OR(HA$169&lt;SwaptionFirstMonthPosition+1,$FJ224&lt;SwaptionFirstMonthPosition+1,HA$169&gt;SwaptionFirstMonthPosition+SwaptionNumOfMonths+1,$FJ224&gt;SwaptionFirstMonthPosition+SwaptionNumOfMonths+1),"",IF($FJ224=HA$169,1,IF($FJ224&lt;HA$169,INDEX($FK$170:$ID$241,HA$169,$FJ224),SUMPRODUCT(INDEX($FK$325:$ID$396,HA$169,1+SwaptionShift):INDEX($FK$325:$ID$396,HA$169,SwaptionMonthsToGo+SwaptionShift),INDEX($FK$245:$ID$316,$FJ224-HA$169,73-HA$169+SwaptionShift):INDEX($FK$245:$ID$316,$FJ224-HA$169,72-HA$169+SwaptionMonthsToGo+SwaptionShift))/SQRT(SUM(INDEX($FK379:$ID379,1+SwaptionShift):INDEX($FK379:$ID379,SwaptionMonthsToGo+SwaptionShift))*SUM(INDEX($FK$325:$ID$396,HA$169,1+SwaptionShift):INDEX($FK$325:$ID$396,HA$169,SwaptionMonthsToGo+SwaptionShift))))))</f>
        <v/>
      </c>
      <c r="HB224" s="479" t="str">
        <f ca="1">IF(OR(HB$169&lt;SwaptionFirstMonthPosition+1,$FJ224&lt;SwaptionFirstMonthPosition+1,HB$169&gt;SwaptionFirstMonthPosition+SwaptionNumOfMonths+1,$FJ224&gt;SwaptionFirstMonthPosition+SwaptionNumOfMonths+1),"",IF($FJ224=HB$169,1,IF($FJ224&lt;HB$169,INDEX($FK$170:$ID$241,HB$169,$FJ224),SUMPRODUCT(INDEX($FK$325:$ID$396,HB$169,1+SwaptionShift):INDEX($FK$325:$ID$396,HB$169,SwaptionMonthsToGo+SwaptionShift),INDEX($FK$245:$ID$316,$FJ224-HB$169,73-HB$169+SwaptionShift):INDEX($FK$245:$ID$316,$FJ224-HB$169,72-HB$169+SwaptionMonthsToGo+SwaptionShift))/SQRT(SUM(INDEX($FK379:$ID379,1+SwaptionShift):INDEX($FK379:$ID379,SwaptionMonthsToGo+SwaptionShift))*SUM(INDEX($FK$325:$ID$396,HB$169,1+SwaptionShift):INDEX($FK$325:$ID$396,HB$169,SwaptionMonthsToGo+SwaptionShift))))))</f>
        <v/>
      </c>
      <c r="HC224" s="479" t="str">
        <f ca="1">IF(OR(HC$169&lt;SwaptionFirstMonthPosition+1,$FJ224&lt;SwaptionFirstMonthPosition+1,HC$169&gt;SwaptionFirstMonthPosition+SwaptionNumOfMonths+1,$FJ224&gt;SwaptionFirstMonthPosition+SwaptionNumOfMonths+1),"",IF($FJ224=HC$169,1,IF($FJ224&lt;HC$169,INDEX($FK$170:$ID$241,HC$169,$FJ224),SUMPRODUCT(INDEX($FK$325:$ID$396,HC$169,1+SwaptionShift):INDEX($FK$325:$ID$396,HC$169,SwaptionMonthsToGo+SwaptionShift),INDEX($FK$245:$ID$316,$FJ224-HC$169,73-HC$169+SwaptionShift):INDEX($FK$245:$ID$316,$FJ224-HC$169,72-HC$169+SwaptionMonthsToGo+SwaptionShift))/SQRT(SUM(INDEX($FK379:$ID379,1+SwaptionShift):INDEX($FK379:$ID379,SwaptionMonthsToGo+SwaptionShift))*SUM(INDEX($FK$325:$ID$396,HC$169,1+SwaptionShift):INDEX($FK$325:$ID$396,HC$169,SwaptionMonthsToGo+SwaptionShift))))))</f>
        <v/>
      </c>
      <c r="HD224" s="479" t="str">
        <f ca="1">IF(OR(HD$169&lt;SwaptionFirstMonthPosition+1,$FJ224&lt;SwaptionFirstMonthPosition+1,HD$169&gt;SwaptionFirstMonthPosition+SwaptionNumOfMonths+1,$FJ224&gt;SwaptionFirstMonthPosition+SwaptionNumOfMonths+1),"",IF($FJ224=HD$169,1,IF($FJ224&lt;HD$169,INDEX($FK$170:$ID$241,HD$169,$FJ224),SUMPRODUCT(INDEX($FK$325:$ID$396,HD$169,1+SwaptionShift):INDEX($FK$325:$ID$396,HD$169,SwaptionMonthsToGo+SwaptionShift),INDEX($FK$245:$ID$316,$FJ224-HD$169,73-HD$169+SwaptionShift):INDEX($FK$245:$ID$316,$FJ224-HD$169,72-HD$169+SwaptionMonthsToGo+SwaptionShift))/SQRT(SUM(INDEX($FK379:$ID379,1+SwaptionShift):INDEX($FK379:$ID379,SwaptionMonthsToGo+SwaptionShift))*SUM(INDEX($FK$325:$ID$396,HD$169,1+SwaptionShift):INDEX($FK$325:$ID$396,HD$169,SwaptionMonthsToGo+SwaptionShift))))))</f>
        <v/>
      </c>
      <c r="HE224" s="479" t="str">
        <f ca="1">IF(OR(HE$169&lt;SwaptionFirstMonthPosition+1,$FJ224&lt;SwaptionFirstMonthPosition+1,HE$169&gt;SwaptionFirstMonthPosition+SwaptionNumOfMonths+1,$FJ224&gt;SwaptionFirstMonthPosition+SwaptionNumOfMonths+1),"",IF($FJ224=HE$169,1,IF($FJ224&lt;HE$169,INDEX($FK$170:$ID$241,HE$169,$FJ224),SUMPRODUCT(INDEX($FK$325:$ID$396,HE$169,1+SwaptionShift):INDEX($FK$325:$ID$396,HE$169,SwaptionMonthsToGo+SwaptionShift),INDEX($FK$245:$ID$316,$FJ224-HE$169,73-HE$169+SwaptionShift):INDEX($FK$245:$ID$316,$FJ224-HE$169,72-HE$169+SwaptionMonthsToGo+SwaptionShift))/SQRT(SUM(INDEX($FK379:$ID379,1+SwaptionShift):INDEX($FK379:$ID379,SwaptionMonthsToGo+SwaptionShift))*SUM(INDEX($FK$325:$ID$396,HE$169,1+SwaptionShift):INDEX($FK$325:$ID$396,HE$169,SwaptionMonthsToGo+SwaptionShift))))))</f>
        <v/>
      </c>
      <c r="HF224" s="479" t="str">
        <f ca="1">IF(OR(HF$169&lt;SwaptionFirstMonthPosition+1,$FJ224&lt;SwaptionFirstMonthPosition+1,HF$169&gt;SwaptionFirstMonthPosition+SwaptionNumOfMonths+1,$FJ224&gt;SwaptionFirstMonthPosition+SwaptionNumOfMonths+1),"",IF($FJ224=HF$169,1,IF($FJ224&lt;HF$169,INDEX($FK$170:$ID$241,HF$169,$FJ224),SUMPRODUCT(INDEX($FK$325:$ID$396,HF$169,1+SwaptionShift):INDEX($FK$325:$ID$396,HF$169,SwaptionMonthsToGo+SwaptionShift),INDEX($FK$245:$ID$316,$FJ224-HF$169,73-HF$169+SwaptionShift):INDEX($FK$245:$ID$316,$FJ224-HF$169,72-HF$169+SwaptionMonthsToGo+SwaptionShift))/SQRT(SUM(INDEX($FK379:$ID379,1+SwaptionShift):INDEX($FK379:$ID379,SwaptionMonthsToGo+SwaptionShift))*SUM(INDEX($FK$325:$ID$396,HF$169,1+SwaptionShift):INDEX($FK$325:$ID$396,HF$169,SwaptionMonthsToGo+SwaptionShift))))))</f>
        <v/>
      </c>
      <c r="HG224" s="479" t="str">
        <f ca="1">IF(OR(HG$169&lt;SwaptionFirstMonthPosition+1,$FJ224&lt;SwaptionFirstMonthPosition+1,HG$169&gt;SwaptionFirstMonthPosition+SwaptionNumOfMonths+1,$FJ224&gt;SwaptionFirstMonthPosition+SwaptionNumOfMonths+1),"",IF($FJ224=HG$169,1,IF($FJ224&lt;HG$169,INDEX($FK$170:$ID$241,HG$169,$FJ224),SUMPRODUCT(INDEX($FK$325:$ID$396,HG$169,1+SwaptionShift):INDEX($FK$325:$ID$396,HG$169,SwaptionMonthsToGo+SwaptionShift),INDEX($FK$245:$ID$316,$FJ224-HG$169,73-HG$169+SwaptionShift):INDEX($FK$245:$ID$316,$FJ224-HG$169,72-HG$169+SwaptionMonthsToGo+SwaptionShift))/SQRT(SUM(INDEX($FK379:$ID379,1+SwaptionShift):INDEX($FK379:$ID379,SwaptionMonthsToGo+SwaptionShift))*SUM(INDEX($FK$325:$ID$396,HG$169,1+SwaptionShift):INDEX($FK$325:$ID$396,HG$169,SwaptionMonthsToGo+SwaptionShift))))))</f>
        <v/>
      </c>
      <c r="HH224" s="479" t="str">
        <f ca="1">IF(OR(HH$169&lt;SwaptionFirstMonthPosition+1,$FJ224&lt;SwaptionFirstMonthPosition+1,HH$169&gt;SwaptionFirstMonthPosition+SwaptionNumOfMonths+1,$FJ224&gt;SwaptionFirstMonthPosition+SwaptionNumOfMonths+1),"",IF($FJ224=HH$169,1,IF($FJ224&lt;HH$169,INDEX($FK$170:$ID$241,HH$169,$FJ224),SUMPRODUCT(INDEX($FK$325:$ID$396,HH$169,1+SwaptionShift):INDEX($FK$325:$ID$396,HH$169,SwaptionMonthsToGo+SwaptionShift),INDEX($FK$245:$ID$316,$FJ224-HH$169,73-HH$169+SwaptionShift):INDEX($FK$245:$ID$316,$FJ224-HH$169,72-HH$169+SwaptionMonthsToGo+SwaptionShift))/SQRT(SUM(INDEX($FK379:$ID379,1+SwaptionShift):INDEX($FK379:$ID379,SwaptionMonthsToGo+SwaptionShift))*SUM(INDEX($FK$325:$ID$396,HH$169,1+SwaptionShift):INDEX($FK$325:$ID$396,HH$169,SwaptionMonthsToGo+SwaptionShift))))))</f>
        <v/>
      </c>
      <c r="HI224" s="479" t="str">
        <f ca="1">IF(OR(HI$169&lt;SwaptionFirstMonthPosition+1,$FJ224&lt;SwaptionFirstMonthPosition+1,HI$169&gt;SwaptionFirstMonthPosition+SwaptionNumOfMonths+1,$FJ224&gt;SwaptionFirstMonthPosition+SwaptionNumOfMonths+1),"",IF($FJ224=HI$169,1,IF($FJ224&lt;HI$169,INDEX($FK$170:$ID$241,HI$169,$FJ224),SUMPRODUCT(INDEX($FK$325:$ID$396,HI$169,1+SwaptionShift):INDEX($FK$325:$ID$396,HI$169,SwaptionMonthsToGo+SwaptionShift),INDEX($FK$245:$ID$316,$FJ224-HI$169,73-HI$169+SwaptionShift):INDEX($FK$245:$ID$316,$FJ224-HI$169,72-HI$169+SwaptionMonthsToGo+SwaptionShift))/SQRT(SUM(INDEX($FK379:$ID379,1+SwaptionShift):INDEX($FK379:$ID379,SwaptionMonthsToGo+SwaptionShift))*SUM(INDEX($FK$325:$ID$396,HI$169,1+SwaptionShift):INDEX($FK$325:$ID$396,HI$169,SwaptionMonthsToGo+SwaptionShift))))))</f>
        <v/>
      </c>
      <c r="HJ224" s="479" t="str">
        <f ca="1">IF(OR(HJ$169&lt;SwaptionFirstMonthPosition+1,$FJ224&lt;SwaptionFirstMonthPosition+1,HJ$169&gt;SwaptionFirstMonthPosition+SwaptionNumOfMonths+1,$FJ224&gt;SwaptionFirstMonthPosition+SwaptionNumOfMonths+1),"",IF($FJ224=HJ$169,1,IF($FJ224&lt;HJ$169,INDEX($FK$170:$ID$241,HJ$169,$FJ224),SUMPRODUCT(INDEX($FK$325:$ID$396,HJ$169,1+SwaptionShift):INDEX($FK$325:$ID$396,HJ$169,SwaptionMonthsToGo+SwaptionShift),INDEX($FK$245:$ID$316,$FJ224-HJ$169,73-HJ$169+SwaptionShift):INDEX($FK$245:$ID$316,$FJ224-HJ$169,72-HJ$169+SwaptionMonthsToGo+SwaptionShift))/SQRT(SUM(INDEX($FK379:$ID379,1+SwaptionShift):INDEX($FK379:$ID379,SwaptionMonthsToGo+SwaptionShift))*SUM(INDEX($FK$325:$ID$396,HJ$169,1+SwaptionShift):INDEX($FK$325:$ID$396,HJ$169,SwaptionMonthsToGo+SwaptionShift))))))</f>
        <v/>
      </c>
      <c r="HK224" s="479" t="str">
        <f ca="1">IF(OR(HK$169&lt;SwaptionFirstMonthPosition+1,$FJ224&lt;SwaptionFirstMonthPosition+1,HK$169&gt;SwaptionFirstMonthPosition+SwaptionNumOfMonths+1,$FJ224&gt;SwaptionFirstMonthPosition+SwaptionNumOfMonths+1),"",IF($FJ224=HK$169,1,IF($FJ224&lt;HK$169,INDEX($FK$170:$ID$241,HK$169,$FJ224),SUMPRODUCT(INDEX($FK$325:$ID$396,HK$169,1+SwaptionShift):INDEX($FK$325:$ID$396,HK$169,SwaptionMonthsToGo+SwaptionShift),INDEX($FK$245:$ID$316,$FJ224-HK$169,73-HK$169+SwaptionShift):INDEX($FK$245:$ID$316,$FJ224-HK$169,72-HK$169+SwaptionMonthsToGo+SwaptionShift))/SQRT(SUM(INDEX($FK379:$ID379,1+SwaptionShift):INDEX($FK379:$ID379,SwaptionMonthsToGo+SwaptionShift))*SUM(INDEX($FK$325:$ID$396,HK$169,1+SwaptionShift):INDEX($FK$325:$ID$396,HK$169,SwaptionMonthsToGo+SwaptionShift))))))</f>
        <v/>
      </c>
      <c r="HL224" s="479" t="str">
        <f ca="1">IF(OR(HL$169&lt;SwaptionFirstMonthPosition+1,$FJ224&lt;SwaptionFirstMonthPosition+1,HL$169&gt;SwaptionFirstMonthPosition+SwaptionNumOfMonths+1,$FJ224&gt;SwaptionFirstMonthPosition+SwaptionNumOfMonths+1),"",IF($FJ224=HL$169,1,IF($FJ224&lt;HL$169,INDEX($FK$170:$ID$241,HL$169,$FJ224),SUMPRODUCT(INDEX($FK$325:$ID$396,HL$169,1+SwaptionShift):INDEX($FK$325:$ID$396,HL$169,SwaptionMonthsToGo+SwaptionShift),INDEX($FK$245:$ID$316,$FJ224-HL$169,73-HL$169+SwaptionShift):INDEX($FK$245:$ID$316,$FJ224-HL$169,72-HL$169+SwaptionMonthsToGo+SwaptionShift))/SQRT(SUM(INDEX($FK379:$ID379,1+SwaptionShift):INDEX($FK379:$ID379,SwaptionMonthsToGo+SwaptionShift))*SUM(INDEX($FK$325:$ID$396,HL$169,1+SwaptionShift):INDEX($FK$325:$ID$396,HL$169,SwaptionMonthsToGo+SwaptionShift))))))</f>
        <v/>
      </c>
      <c r="HM224" s="479" t="str">
        <f ca="1">IF(OR(HM$169&lt;SwaptionFirstMonthPosition+1,$FJ224&lt;SwaptionFirstMonthPosition+1,HM$169&gt;SwaptionFirstMonthPosition+SwaptionNumOfMonths+1,$FJ224&gt;SwaptionFirstMonthPosition+SwaptionNumOfMonths+1),"",IF($FJ224=HM$169,1,IF($FJ224&lt;HM$169,INDEX($FK$170:$ID$241,HM$169,$FJ224),SUMPRODUCT(INDEX($FK$325:$ID$396,HM$169,1+SwaptionShift):INDEX($FK$325:$ID$396,HM$169,SwaptionMonthsToGo+SwaptionShift),INDEX($FK$245:$ID$316,$FJ224-HM$169,73-HM$169+SwaptionShift):INDEX($FK$245:$ID$316,$FJ224-HM$169,72-HM$169+SwaptionMonthsToGo+SwaptionShift))/SQRT(SUM(INDEX($FK379:$ID379,1+SwaptionShift):INDEX($FK379:$ID379,SwaptionMonthsToGo+SwaptionShift))*SUM(INDEX($FK$325:$ID$396,HM$169,1+SwaptionShift):INDEX($FK$325:$ID$396,HM$169,SwaptionMonthsToGo+SwaptionShift))))))</f>
        <v/>
      </c>
      <c r="HN224" s="479" t="str">
        <f ca="1">IF(OR(HN$169&lt;SwaptionFirstMonthPosition+1,$FJ224&lt;SwaptionFirstMonthPosition+1,HN$169&gt;SwaptionFirstMonthPosition+SwaptionNumOfMonths+1,$FJ224&gt;SwaptionFirstMonthPosition+SwaptionNumOfMonths+1),"",IF($FJ224=HN$169,1,IF($FJ224&lt;HN$169,INDEX($FK$170:$ID$241,HN$169,$FJ224),SUMPRODUCT(INDEX($FK$325:$ID$396,HN$169,1+SwaptionShift):INDEX($FK$325:$ID$396,HN$169,SwaptionMonthsToGo+SwaptionShift),INDEX($FK$245:$ID$316,$FJ224-HN$169,73-HN$169+SwaptionShift):INDEX($FK$245:$ID$316,$FJ224-HN$169,72-HN$169+SwaptionMonthsToGo+SwaptionShift))/SQRT(SUM(INDEX($FK379:$ID379,1+SwaptionShift):INDEX($FK379:$ID379,SwaptionMonthsToGo+SwaptionShift))*SUM(INDEX($FK$325:$ID$396,HN$169,1+SwaptionShift):INDEX($FK$325:$ID$396,HN$169,SwaptionMonthsToGo+SwaptionShift))))))</f>
        <v/>
      </c>
      <c r="HO224" s="479" t="str">
        <f ca="1">IF(OR(HO$169&lt;SwaptionFirstMonthPosition+1,$FJ224&lt;SwaptionFirstMonthPosition+1,HO$169&gt;SwaptionFirstMonthPosition+SwaptionNumOfMonths+1,$FJ224&gt;SwaptionFirstMonthPosition+SwaptionNumOfMonths+1),"",IF($FJ224=HO$169,1,IF($FJ224&lt;HO$169,INDEX($FK$170:$ID$241,HO$169,$FJ224),SUMPRODUCT(INDEX($FK$325:$ID$396,HO$169,1+SwaptionShift):INDEX($FK$325:$ID$396,HO$169,SwaptionMonthsToGo+SwaptionShift),INDEX($FK$245:$ID$316,$FJ224-HO$169,73-HO$169+SwaptionShift):INDEX($FK$245:$ID$316,$FJ224-HO$169,72-HO$169+SwaptionMonthsToGo+SwaptionShift))/SQRT(SUM(INDEX($FK379:$ID379,1+SwaptionShift):INDEX($FK379:$ID379,SwaptionMonthsToGo+SwaptionShift))*SUM(INDEX($FK$325:$ID$396,HO$169,1+SwaptionShift):INDEX($FK$325:$ID$396,HO$169,SwaptionMonthsToGo+SwaptionShift))))))</f>
        <v/>
      </c>
      <c r="HP224" s="479" t="str">
        <f ca="1">IF(OR(HP$169&lt;SwaptionFirstMonthPosition+1,$FJ224&lt;SwaptionFirstMonthPosition+1,HP$169&gt;SwaptionFirstMonthPosition+SwaptionNumOfMonths+1,$FJ224&gt;SwaptionFirstMonthPosition+SwaptionNumOfMonths+1),"",IF($FJ224=HP$169,1,IF($FJ224&lt;HP$169,INDEX($FK$170:$ID$241,HP$169,$FJ224),SUMPRODUCT(INDEX($FK$325:$ID$396,HP$169,1+SwaptionShift):INDEX($FK$325:$ID$396,HP$169,SwaptionMonthsToGo+SwaptionShift),INDEX($FK$245:$ID$316,$FJ224-HP$169,73-HP$169+SwaptionShift):INDEX($FK$245:$ID$316,$FJ224-HP$169,72-HP$169+SwaptionMonthsToGo+SwaptionShift))/SQRT(SUM(INDEX($FK379:$ID379,1+SwaptionShift):INDEX($FK379:$ID379,SwaptionMonthsToGo+SwaptionShift))*SUM(INDEX($FK$325:$ID$396,HP$169,1+SwaptionShift):INDEX($FK$325:$ID$396,HP$169,SwaptionMonthsToGo+SwaptionShift))))))</f>
        <v/>
      </c>
      <c r="HQ224" s="479" t="str">
        <f ca="1">IF(OR(HQ$169&lt;SwaptionFirstMonthPosition+1,$FJ224&lt;SwaptionFirstMonthPosition+1,HQ$169&gt;SwaptionFirstMonthPosition+SwaptionNumOfMonths+1,$FJ224&gt;SwaptionFirstMonthPosition+SwaptionNumOfMonths+1),"",IF($FJ224=HQ$169,1,IF($FJ224&lt;HQ$169,INDEX($FK$170:$ID$241,HQ$169,$FJ224),SUMPRODUCT(INDEX($FK$325:$ID$396,HQ$169,1+SwaptionShift):INDEX($FK$325:$ID$396,HQ$169,SwaptionMonthsToGo+SwaptionShift),INDEX($FK$245:$ID$316,$FJ224-HQ$169,73-HQ$169+SwaptionShift):INDEX($FK$245:$ID$316,$FJ224-HQ$169,72-HQ$169+SwaptionMonthsToGo+SwaptionShift))/SQRT(SUM(INDEX($FK379:$ID379,1+SwaptionShift):INDEX($FK379:$ID379,SwaptionMonthsToGo+SwaptionShift))*SUM(INDEX($FK$325:$ID$396,HQ$169,1+SwaptionShift):INDEX($FK$325:$ID$396,HQ$169,SwaptionMonthsToGo+SwaptionShift))))))</f>
        <v/>
      </c>
      <c r="HR224" s="479" t="str">
        <f ca="1">IF(OR(HR$169&lt;SwaptionFirstMonthPosition+1,$FJ224&lt;SwaptionFirstMonthPosition+1,HR$169&gt;SwaptionFirstMonthPosition+SwaptionNumOfMonths+1,$FJ224&gt;SwaptionFirstMonthPosition+SwaptionNumOfMonths+1),"",IF($FJ224=HR$169,1,IF($FJ224&lt;HR$169,INDEX($FK$170:$ID$241,HR$169,$FJ224),SUMPRODUCT(INDEX($FK$325:$ID$396,HR$169,1+SwaptionShift):INDEX($FK$325:$ID$396,HR$169,SwaptionMonthsToGo+SwaptionShift),INDEX($FK$245:$ID$316,$FJ224-HR$169,73-HR$169+SwaptionShift):INDEX($FK$245:$ID$316,$FJ224-HR$169,72-HR$169+SwaptionMonthsToGo+SwaptionShift))/SQRT(SUM(INDEX($FK379:$ID379,1+SwaptionShift):INDEX($FK379:$ID379,SwaptionMonthsToGo+SwaptionShift))*SUM(INDEX($FK$325:$ID$396,HR$169,1+SwaptionShift):INDEX($FK$325:$ID$396,HR$169,SwaptionMonthsToGo+SwaptionShift))))))</f>
        <v/>
      </c>
      <c r="HS224" s="479" t="str">
        <f ca="1">IF(OR(HS$169&lt;SwaptionFirstMonthPosition+1,$FJ224&lt;SwaptionFirstMonthPosition+1,HS$169&gt;SwaptionFirstMonthPosition+SwaptionNumOfMonths+1,$FJ224&gt;SwaptionFirstMonthPosition+SwaptionNumOfMonths+1),"",IF($FJ224=HS$169,1,IF($FJ224&lt;HS$169,INDEX($FK$170:$ID$241,HS$169,$FJ224),SUMPRODUCT(INDEX($FK$325:$ID$396,HS$169,1+SwaptionShift):INDEX($FK$325:$ID$396,HS$169,SwaptionMonthsToGo+SwaptionShift),INDEX($FK$245:$ID$316,$FJ224-HS$169,73-HS$169+SwaptionShift):INDEX($FK$245:$ID$316,$FJ224-HS$169,72-HS$169+SwaptionMonthsToGo+SwaptionShift))/SQRT(SUM(INDEX($FK379:$ID379,1+SwaptionShift):INDEX($FK379:$ID379,SwaptionMonthsToGo+SwaptionShift))*SUM(INDEX($FK$325:$ID$396,HS$169,1+SwaptionShift):INDEX($FK$325:$ID$396,HS$169,SwaptionMonthsToGo+SwaptionShift))))))</f>
        <v/>
      </c>
      <c r="HT224" s="479" t="str">
        <f ca="1">IF(OR(HT$169&lt;SwaptionFirstMonthPosition+1,$FJ224&lt;SwaptionFirstMonthPosition+1,HT$169&gt;SwaptionFirstMonthPosition+SwaptionNumOfMonths+1,$FJ224&gt;SwaptionFirstMonthPosition+SwaptionNumOfMonths+1),"",IF($FJ224=HT$169,1,IF($FJ224&lt;HT$169,INDEX($FK$170:$ID$241,HT$169,$FJ224),SUMPRODUCT(INDEX($FK$325:$ID$396,HT$169,1+SwaptionShift):INDEX($FK$325:$ID$396,HT$169,SwaptionMonthsToGo+SwaptionShift),INDEX($FK$245:$ID$316,$FJ224-HT$169,73-HT$169+SwaptionShift):INDEX($FK$245:$ID$316,$FJ224-HT$169,72-HT$169+SwaptionMonthsToGo+SwaptionShift))/SQRT(SUM(INDEX($FK379:$ID379,1+SwaptionShift):INDEX($FK379:$ID379,SwaptionMonthsToGo+SwaptionShift))*SUM(INDEX($FK$325:$ID$396,HT$169,1+SwaptionShift):INDEX($FK$325:$ID$396,HT$169,SwaptionMonthsToGo+SwaptionShift))))))</f>
        <v/>
      </c>
      <c r="HU224" s="479" t="str">
        <f ca="1">IF(OR(HU$169&lt;SwaptionFirstMonthPosition+1,$FJ224&lt;SwaptionFirstMonthPosition+1,HU$169&gt;SwaptionFirstMonthPosition+SwaptionNumOfMonths+1,$FJ224&gt;SwaptionFirstMonthPosition+SwaptionNumOfMonths+1),"",IF($FJ224=HU$169,1,IF($FJ224&lt;HU$169,INDEX($FK$170:$ID$241,HU$169,$FJ224),SUMPRODUCT(INDEX($FK$325:$ID$396,HU$169,1+SwaptionShift):INDEX($FK$325:$ID$396,HU$169,SwaptionMonthsToGo+SwaptionShift),INDEX($FK$245:$ID$316,$FJ224-HU$169,73-HU$169+SwaptionShift):INDEX($FK$245:$ID$316,$FJ224-HU$169,72-HU$169+SwaptionMonthsToGo+SwaptionShift))/SQRT(SUM(INDEX($FK379:$ID379,1+SwaptionShift):INDEX($FK379:$ID379,SwaptionMonthsToGo+SwaptionShift))*SUM(INDEX($FK$325:$ID$396,HU$169,1+SwaptionShift):INDEX($FK$325:$ID$396,HU$169,SwaptionMonthsToGo+SwaptionShift))))))</f>
        <v/>
      </c>
      <c r="HV224" s="479" t="str">
        <f ca="1">IF(OR(HV$169&lt;SwaptionFirstMonthPosition+1,$FJ224&lt;SwaptionFirstMonthPosition+1,HV$169&gt;SwaptionFirstMonthPosition+SwaptionNumOfMonths+1,$FJ224&gt;SwaptionFirstMonthPosition+SwaptionNumOfMonths+1),"",IF($FJ224=HV$169,1,IF($FJ224&lt;HV$169,INDEX($FK$170:$ID$241,HV$169,$FJ224),SUMPRODUCT(INDEX($FK$325:$ID$396,HV$169,1+SwaptionShift):INDEX($FK$325:$ID$396,HV$169,SwaptionMonthsToGo+SwaptionShift),INDEX($FK$245:$ID$316,$FJ224-HV$169,73-HV$169+SwaptionShift):INDEX($FK$245:$ID$316,$FJ224-HV$169,72-HV$169+SwaptionMonthsToGo+SwaptionShift))/SQRT(SUM(INDEX($FK379:$ID379,1+SwaptionShift):INDEX($FK379:$ID379,SwaptionMonthsToGo+SwaptionShift))*SUM(INDEX($FK$325:$ID$396,HV$169,1+SwaptionShift):INDEX($FK$325:$ID$396,HV$169,SwaptionMonthsToGo+SwaptionShift))))))</f>
        <v/>
      </c>
      <c r="HW224" s="479" t="str">
        <f ca="1">IF(OR(HW$169&lt;SwaptionFirstMonthPosition+1,$FJ224&lt;SwaptionFirstMonthPosition+1,HW$169&gt;SwaptionFirstMonthPosition+SwaptionNumOfMonths+1,$FJ224&gt;SwaptionFirstMonthPosition+SwaptionNumOfMonths+1),"",IF($FJ224=HW$169,1,IF($FJ224&lt;HW$169,INDEX($FK$170:$ID$241,HW$169,$FJ224),SUMPRODUCT(INDEX($FK$325:$ID$396,HW$169,1+SwaptionShift):INDEX($FK$325:$ID$396,HW$169,SwaptionMonthsToGo+SwaptionShift),INDEX($FK$245:$ID$316,$FJ224-HW$169,73-HW$169+SwaptionShift):INDEX($FK$245:$ID$316,$FJ224-HW$169,72-HW$169+SwaptionMonthsToGo+SwaptionShift))/SQRT(SUM(INDEX($FK379:$ID379,1+SwaptionShift):INDEX($FK379:$ID379,SwaptionMonthsToGo+SwaptionShift))*SUM(INDEX($FK$325:$ID$396,HW$169,1+SwaptionShift):INDEX($FK$325:$ID$396,HW$169,SwaptionMonthsToGo+SwaptionShift))))))</f>
        <v/>
      </c>
      <c r="HX224" s="479" t="str">
        <f ca="1">IF(OR(HX$169&lt;SwaptionFirstMonthPosition+1,$FJ224&lt;SwaptionFirstMonthPosition+1,HX$169&gt;SwaptionFirstMonthPosition+SwaptionNumOfMonths+1,$FJ224&gt;SwaptionFirstMonthPosition+SwaptionNumOfMonths+1),"",IF($FJ224=HX$169,1,IF($FJ224&lt;HX$169,INDEX($FK$170:$ID$241,HX$169,$FJ224),SUMPRODUCT(INDEX($FK$325:$ID$396,HX$169,1+SwaptionShift):INDEX($FK$325:$ID$396,HX$169,SwaptionMonthsToGo+SwaptionShift),INDEX($FK$245:$ID$316,$FJ224-HX$169,73-HX$169+SwaptionShift):INDEX($FK$245:$ID$316,$FJ224-HX$169,72-HX$169+SwaptionMonthsToGo+SwaptionShift))/SQRT(SUM(INDEX($FK379:$ID379,1+SwaptionShift):INDEX($FK379:$ID379,SwaptionMonthsToGo+SwaptionShift))*SUM(INDEX($FK$325:$ID$396,HX$169,1+SwaptionShift):INDEX($FK$325:$ID$396,HX$169,SwaptionMonthsToGo+SwaptionShift))))))</f>
        <v/>
      </c>
      <c r="HY224" s="479" t="str">
        <f ca="1">IF(OR(HY$169&lt;SwaptionFirstMonthPosition+1,$FJ224&lt;SwaptionFirstMonthPosition+1,HY$169&gt;SwaptionFirstMonthPosition+SwaptionNumOfMonths+1,$FJ224&gt;SwaptionFirstMonthPosition+SwaptionNumOfMonths+1),"",IF($FJ224=HY$169,1,IF($FJ224&lt;HY$169,INDEX($FK$170:$ID$241,HY$169,$FJ224),SUMPRODUCT(INDEX($FK$325:$ID$396,HY$169,1+SwaptionShift):INDEX($FK$325:$ID$396,HY$169,SwaptionMonthsToGo+SwaptionShift),INDEX($FK$245:$ID$316,$FJ224-HY$169,73-HY$169+SwaptionShift):INDEX($FK$245:$ID$316,$FJ224-HY$169,72-HY$169+SwaptionMonthsToGo+SwaptionShift))/SQRT(SUM(INDEX($FK379:$ID379,1+SwaptionShift):INDEX($FK379:$ID379,SwaptionMonthsToGo+SwaptionShift))*SUM(INDEX($FK$325:$ID$396,HY$169,1+SwaptionShift):INDEX($FK$325:$ID$396,HY$169,SwaptionMonthsToGo+SwaptionShift))))))</f>
        <v/>
      </c>
      <c r="HZ224" s="479" t="str">
        <f ca="1">IF(OR(HZ$169&lt;SwaptionFirstMonthPosition+1,$FJ224&lt;SwaptionFirstMonthPosition+1,HZ$169&gt;SwaptionFirstMonthPosition+SwaptionNumOfMonths+1,$FJ224&gt;SwaptionFirstMonthPosition+SwaptionNumOfMonths+1),"",IF($FJ224=HZ$169,1,IF($FJ224&lt;HZ$169,INDEX($FK$170:$ID$241,HZ$169,$FJ224),SUMPRODUCT(INDEX($FK$325:$ID$396,HZ$169,1+SwaptionShift):INDEX($FK$325:$ID$396,HZ$169,SwaptionMonthsToGo+SwaptionShift),INDEX($FK$245:$ID$316,$FJ224-HZ$169,73-HZ$169+SwaptionShift):INDEX($FK$245:$ID$316,$FJ224-HZ$169,72-HZ$169+SwaptionMonthsToGo+SwaptionShift))/SQRT(SUM(INDEX($FK379:$ID379,1+SwaptionShift):INDEX($FK379:$ID379,SwaptionMonthsToGo+SwaptionShift))*SUM(INDEX($FK$325:$ID$396,HZ$169,1+SwaptionShift):INDEX($FK$325:$ID$396,HZ$169,SwaptionMonthsToGo+SwaptionShift))))))</f>
        <v/>
      </c>
      <c r="IA224" s="479" t="str">
        <f ca="1">IF(OR(IA$169&lt;SwaptionFirstMonthPosition+1,$FJ224&lt;SwaptionFirstMonthPosition+1,IA$169&gt;SwaptionFirstMonthPosition+SwaptionNumOfMonths+1,$FJ224&gt;SwaptionFirstMonthPosition+SwaptionNumOfMonths+1),"",IF($FJ224=IA$169,1,IF($FJ224&lt;IA$169,INDEX($FK$170:$ID$241,IA$169,$FJ224),SUMPRODUCT(INDEX($FK$325:$ID$396,IA$169,1+SwaptionShift):INDEX($FK$325:$ID$396,IA$169,SwaptionMonthsToGo+SwaptionShift),INDEX($FK$245:$ID$316,$FJ224-IA$169,73-IA$169+SwaptionShift):INDEX($FK$245:$ID$316,$FJ224-IA$169,72-IA$169+SwaptionMonthsToGo+SwaptionShift))/SQRT(SUM(INDEX($FK379:$ID379,1+SwaptionShift):INDEX($FK379:$ID379,SwaptionMonthsToGo+SwaptionShift))*SUM(INDEX($FK$325:$ID$396,IA$169,1+SwaptionShift):INDEX($FK$325:$ID$396,IA$169,SwaptionMonthsToGo+SwaptionShift))))))</f>
        <v/>
      </c>
      <c r="IB224" s="479" t="str">
        <f ca="1">IF(OR(IB$169&lt;SwaptionFirstMonthPosition+1,$FJ224&lt;SwaptionFirstMonthPosition+1,IB$169&gt;SwaptionFirstMonthPosition+SwaptionNumOfMonths+1,$FJ224&gt;SwaptionFirstMonthPosition+SwaptionNumOfMonths+1),"",IF($FJ224=IB$169,1,IF($FJ224&lt;IB$169,INDEX($FK$170:$ID$241,IB$169,$FJ224),SUMPRODUCT(INDEX($FK$325:$ID$396,IB$169,1+SwaptionShift):INDEX($FK$325:$ID$396,IB$169,SwaptionMonthsToGo+SwaptionShift),INDEX($FK$245:$ID$316,$FJ224-IB$169,73-IB$169+SwaptionShift):INDEX($FK$245:$ID$316,$FJ224-IB$169,72-IB$169+SwaptionMonthsToGo+SwaptionShift))/SQRT(SUM(INDEX($FK379:$ID379,1+SwaptionShift):INDEX($FK379:$ID379,SwaptionMonthsToGo+SwaptionShift))*SUM(INDEX($FK$325:$ID$396,IB$169,1+SwaptionShift):INDEX($FK$325:$ID$396,IB$169,SwaptionMonthsToGo+SwaptionShift))))))</f>
        <v/>
      </c>
      <c r="IC224" s="479" t="str">
        <f ca="1">IF(OR(IC$169&lt;SwaptionFirstMonthPosition+1,$FJ224&lt;SwaptionFirstMonthPosition+1,IC$169&gt;SwaptionFirstMonthPosition+SwaptionNumOfMonths+1,$FJ224&gt;SwaptionFirstMonthPosition+SwaptionNumOfMonths+1),"",IF($FJ224=IC$169,1,IF($FJ224&lt;IC$169,INDEX($FK$170:$ID$241,IC$169,$FJ224),SUMPRODUCT(INDEX($FK$325:$ID$396,IC$169,1+SwaptionShift):INDEX($FK$325:$ID$396,IC$169,SwaptionMonthsToGo+SwaptionShift),INDEX($FK$245:$ID$316,$FJ224-IC$169,73-IC$169+SwaptionShift):INDEX($FK$245:$ID$316,$FJ224-IC$169,72-IC$169+SwaptionMonthsToGo+SwaptionShift))/SQRT(SUM(INDEX($FK379:$ID379,1+SwaptionShift):INDEX($FK379:$ID379,SwaptionMonthsToGo+SwaptionShift))*SUM(INDEX($FK$325:$ID$396,IC$169,1+SwaptionShift):INDEX($FK$325:$ID$396,IC$169,SwaptionMonthsToGo+SwaptionShift))))))</f>
        <v/>
      </c>
      <c r="ID224" s="678" t="str">
        <f ca="1">IF(OR(ID$169&lt;SwaptionFirstMonthPosition+1,$FJ224&lt;SwaptionFirstMonthPosition+1,ID$169&gt;SwaptionFirstMonthPosition+SwaptionNumOfMonths+1,$FJ224&gt;SwaptionFirstMonthPosition+SwaptionNumOfMonths+1),"",IF($FJ224=ID$169,1,IF($FJ224&lt;ID$169,INDEX($FK$170:$ID$241,ID$169,$FJ224),SUMPRODUCT(INDEX($FK$325:$ID$396,ID$169,1+SwaptionShift):INDEX($FK$325:$ID$396,ID$169,SwaptionMonthsToGo+SwaptionShift),INDEX($FK$245:$ID$316,$FJ224-ID$169,73-ID$169+SwaptionShift):INDEX($FK$245:$ID$316,$FJ224-ID$169,72-ID$169+SwaptionMonthsToGo+SwaptionShift))/SQRT(SUM(INDEX($FK379:$ID379,1+SwaptionShift):INDEX($FK379:$ID379,SwaptionMonthsToGo+SwaptionShift))*SUM(INDEX($FK$325:$ID$396,ID$169,1+SwaptionShift):INDEX($FK$325:$ID$396,ID$169,SwaptionMonthsToGo+SwaptionShift))))))</f>
        <v/>
      </c>
      <c r="IE224" s="250"/>
    </row>
    <row r="225" spans="8:239">
      <c r="H225" s="51">
        <f t="shared" ca="1" si="646"/>
        <v>0</v>
      </c>
      <c r="I225" s="379">
        <f t="shared" si="647"/>
        <v>43009</v>
      </c>
      <c r="J225" s="377"/>
      <c r="K225" s="104" t="s">
        <v>268</v>
      </c>
      <c r="L225" s="392">
        <f t="shared" si="648"/>
        <v>4.8374999999999986</v>
      </c>
      <c r="M225" s="171"/>
      <c r="N225" s="382">
        <v>0</v>
      </c>
      <c r="O225" s="171">
        <f t="shared" si="596"/>
        <v>0</v>
      </c>
      <c r="P225" s="377"/>
      <c r="Q225" s="104" t="s">
        <v>268</v>
      </c>
      <c r="R225" s="377">
        <f t="shared" ca="1" si="597"/>
        <v>3.4870202165758633</v>
      </c>
      <c r="S225" s="832">
        <f t="shared" si="671"/>
        <v>0.3600000000000001</v>
      </c>
      <c r="T225" s="831">
        <f t="shared" si="661"/>
        <v>0.99999999999999867</v>
      </c>
      <c r="U225" s="545">
        <f t="shared" si="662"/>
        <v>0.99999999999999978</v>
      </c>
      <c r="V225" s="389">
        <v>0</v>
      </c>
      <c r="W225" s="434">
        <f t="shared" si="598"/>
        <v>0</v>
      </c>
      <c r="X225" s="415">
        <f t="shared" si="599"/>
        <v>4.8869318181818162</v>
      </c>
      <c r="Y225" s="322">
        <f t="shared" si="600"/>
        <v>-1.1931</v>
      </c>
      <c r="Z225" s="322">
        <f t="shared" ca="1" si="601"/>
        <v>3.6938318181818159</v>
      </c>
      <c r="AA225" s="429">
        <f t="shared" si="628"/>
        <v>1.1931</v>
      </c>
      <c r="AB225" s="433">
        <f t="shared" ca="1" si="629"/>
        <v>1.1931</v>
      </c>
      <c r="AC225" s="229">
        <v>42998</v>
      </c>
      <c r="AD225" s="229">
        <v>42994</v>
      </c>
      <c r="AE225" s="229">
        <v>42993</v>
      </c>
      <c r="AF225" s="229">
        <v>42989</v>
      </c>
      <c r="AG225" s="249" t="s">
        <v>499</v>
      </c>
      <c r="AH225" s="247" t="s">
        <v>499</v>
      </c>
      <c r="AI225" s="146">
        <v>22</v>
      </c>
      <c r="AJ225" s="41">
        <v>15</v>
      </c>
      <c r="AK225" s="41">
        <v>7</v>
      </c>
      <c r="AL225" s="293">
        <v>22</v>
      </c>
      <c r="AM225" s="41">
        <v>10</v>
      </c>
      <c r="AN225" s="147">
        <v>12</v>
      </c>
      <c r="AO225" s="374"/>
      <c r="AP225" s="153">
        <f t="shared" ca="1" si="649"/>
        <v>1</v>
      </c>
      <c r="AQ225" s="374"/>
      <c r="AR225" s="153">
        <f t="shared" ca="1" si="663"/>
        <v>1</v>
      </c>
      <c r="AS225" s="272">
        <f t="shared" si="602"/>
        <v>0</v>
      </c>
      <c r="AT225" s="157">
        <f t="shared" si="650"/>
        <v>0</v>
      </c>
      <c r="AU225" s="157">
        <f t="shared" si="630"/>
        <v>0</v>
      </c>
      <c r="AV225" s="271">
        <f t="shared" ca="1" si="670"/>
        <v>9.9999999999999995E-7</v>
      </c>
      <c r="AW225" s="158" t="str">
        <f t="shared" ca="1" si="583"/>
        <v/>
      </c>
      <c r="AX225" s="157">
        <f t="shared" ca="1" si="664"/>
        <v>2.5127448784536465E-5</v>
      </c>
      <c r="AY225" s="157">
        <f t="shared" ca="1" si="665"/>
        <v>4.9566735310021719E-6</v>
      </c>
      <c r="AZ225" s="157">
        <f t="shared" ca="1" si="666"/>
        <v>1.0525023763751244E-7</v>
      </c>
      <c r="BA225" s="157">
        <f t="shared" ca="1" si="667"/>
        <v>1.3156279704689056E-8</v>
      </c>
      <c r="BB225" s="157">
        <f t="shared" ca="1" si="668"/>
        <v>2.7548645372881518E-11</v>
      </c>
      <c r="BC225" s="157">
        <f t="shared" ca="1" si="669"/>
        <v>3.4617539133598134E-13</v>
      </c>
      <c r="BD225" s="151">
        <f t="shared" ca="1" si="603"/>
        <v>0</v>
      </c>
      <c r="BE225" s="152">
        <f t="shared" ca="1" si="604"/>
        <v>0</v>
      </c>
      <c r="BF225" s="40">
        <f t="shared" si="605"/>
        <v>2017</v>
      </c>
      <c r="BG225" s="144">
        <f t="shared" si="606"/>
        <v>10</v>
      </c>
      <c r="BH225" s="145">
        <f t="shared" ca="1" si="607"/>
        <v>6249</v>
      </c>
      <c r="BI225" s="313">
        <f t="shared" ca="1" si="608"/>
        <v>17.149897330595483</v>
      </c>
      <c r="BJ225" s="42">
        <f t="shared" ca="1" si="631"/>
        <v>17.205898823968639</v>
      </c>
      <c r="BK225" s="42">
        <f t="shared" ca="1" si="632"/>
        <v>17.20863667475577</v>
      </c>
      <c r="BL225" s="42">
        <f t="shared" ca="1" si="609"/>
        <v>17.232032854209447</v>
      </c>
      <c r="BM225" s="150" t="e">
        <f t="shared" ca="1" si="633"/>
        <v>#DIV/0!</v>
      </c>
      <c r="BN225" s="42" t="e">
        <f t="shared" ca="1" si="634"/>
        <v>#DIV/0!</v>
      </c>
      <c r="BO225" s="293">
        <f t="shared" si="610"/>
        <v>22</v>
      </c>
      <c r="BP225" s="41">
        <f t="shared" si="611"/>
        <v>15</v>
      </c>
      <c r="BQ225" s="41">
        <f t="shared" si="612"/>
        <v>7</v>
      </c>
      <c r="BR225" s="305" t="str">
        <f t="shared" ca="1" si="635"/>
        <v/>
      </c>
      <c r="BS225" s="305" t="str">
        <f t="shared" ca="1" si="613"/>
        <v/>
      </c>
      <c r="BT225" s="307" t="str">
        <f t="shared" ca="1" si="614"/>
        <v/>
      </c>
      <c r="BU225" s="161" t="str">
        <f t="shared" ca="1" si="636"/>
        <v/>
      </c>
      <c r="BV225" s="161" t="str">
        <f t="shared" ca="1" si="637"/>
        <v/>
      </c>
      <c r="BW225" s="308" t="str">
        <f t="shared" ca="1" si="638"/>
        <v/>
      </c>
      <c r="BX225" s="309" t="str">
        <f t="shared" ca="1" si="639"/>
        <v/>
      </c>
      <c r="BY225" s="308" t="str">
        <f t="shared" ca="1" si="615"/>
        <v/>
      </c>
      <c r="BZ225" s="309" t="str">
        <f t="shared" ca="1" si="616"/>
        <v/>
      </c>
      <c r="CA225" s="154" t="str">
        <f t="shared" ca="1" si="640"/>
        <v/>
      </c>
      <c r="CB225" s="154" t="str">
        <f t="shared" ca="1" si="641"/>
        <v/>
      </c>
      <c r="CC225" s="154" t="str">
        <f t="shared" ca="1" si="642"/>
        <v/>
      </c>
      <c r="CD225" s="154" t="str">
        <f t="shared" ca="1" si="643"/>
        <v/>
      </c>
      <c r="CE225" s="310">
        <v>1</v>
      </c>
      <c r="CF225" s="162">
        <f ca="1">IF(BD225,_xll.xCrudeAPO(BU225,BV225,CA225,CB225,S226,S227,BI225,BL225,BP225,BQ225,0,Strike1,AO225,CE225,0,BL225,IF(OptControl=4,0,1),0,1),0)</f>
        <v>0</v>
      </c>
      <c r="CG225" s="163">
        <f ca="1">IF(BD225,_xll.xCrudeAPO(BU225,BV225,CA225,CB225,S226,S227,BI225,BL225,BP225,BQ225,0,Strike1,AO225,CE225,0,BL225,IF(OptControl=4,0,1),1,1)+_xll.xCrudeAPO(BU225,BV225,CA225,CB225,S226,S227,BI225,BL225,BP225,BQ225,0,Strike1,AO225,CE225,0,BL225,IF(OptControl=4,0,1),1,2)+IF(OR(VolSkewFlag=2,ABS(BS225)&lt;0.0001),0,IF(BS225&gt;0,-1,1)*CH225*Strike1/BR225^2*BY225/10%),0)</f>
        <v>0</v>
      </c>
      <c r="CH225" s="163">
        <f ca="1">IF(BD225,(_xll.xCrudeAPO(BU225,BV225,CA225,CB225,S226,S227,BI225,BL225,BP225,BQ225,0,Strike1,AO225,CE225,0,BL225,IF(OptControl=4,0,1),3,1)+_xll.xCrudeAPO(BU225,BV225,CA225,CB225,S226,S227,BI225,BL225,BP225,BQ225,0,Strike1,AO225,CE225,0,BL225,IF(OptControl=4,0,1),3,2))/100,0)</f>
        <v>0</v>
      </c>
      <c r="CI225" s="163">
        <f ca="1">IF(BD225,_xll.xCrudeAPO(BU225,BV225,CA225,CB225,S226,S227,BI225-DaysForThetaCalculation/365.25,BL225-DaysForThetaCalculation/365.25,BP225,BQ225,0,Strike1,AO225,CE225,0,BL225,IF(OptControl=4,0,1),0,1)-_xll.xCrudeAPO(BU225,BV225,CA225,CB225,S226,S227,BI225,BL225,BP225,BQ225,0,Strike1,AO225,CE225,0,BL225,IF(OptControl=4,0,1),0,1),0)</f>
        <v>0</v>
      </c>
      <c r="CJ225" s="311">
        <f ca="1">IF(BD225,_xll.xCrudeAPO(BU225,BV225,CC225,CD225,S226,S227,BI225,BL225,BP225,BQ225,0,Strike2,AO225,CE225,0,BL225,IF(OptControl=3,1,0),0,1),0)</f>
        <v>0</v>
      </c>
      <c r="CK225" s="163">
        <f ca="1">IF(BD225,_xll.xCrudeAPO(BU225,BV225,CC225,CD225,S226,S227,BI225,BL225,BP225,BQ225,0,Strike2,AO225,CE225,0,BL225,IF(OptControl=3,1,0),1,1)+_xll.xCrudeAPO(BU225,BV225,CC225,CD225,S226,S227,BI225,BL225,BP225,BQ225,0,Strike2,AO225,CE225,0,BL225,IF(OptControl=3,1,0),1,2)+IF(OR(VolSkewFlag=2,ABS(BT225)&lt;0.0001),0,IF(BT225&gt;0,-1,1)*CL225*Strike2/BR225^2*BZ225/10%),0)</f>
        <v>0</v>
      </c>
      <c r="CL225" s="163">
        <f ca="1">IF(BD225,(_xll.xCrudeAPO(BU225,BV225,CC225,CD225,S226,S227,BI225,BL225,BP225,BQ225,0,Strike2,AO225,CE225,0,BL225,IF(OptControl=3,1,0),3,1)+_xll.xCrudeAPO(BU225,BV225,CC225,CD225,S226,S227,BI225,BL225,BP225,BQ225,0,Strike2,AO225,CE225,0,BL225,IF(OptControl=3,1,0),3,2))/100,0)</f>
        <v>0</v>
      </c>
      <c r="CM225" s="164">
        <f ca="1">IF(BD225,_xll.xCrudeAPO(BU225,BV225,CC225,CD225,S226,S227,BI225-DaysForThetaCalculation/365.25,BL225-DaysForThetaCalculation/365.25,BP225,BQ225,0,Strike2,AO225,CE225,0,BL225,IF(OptControl=3,1,0),0,1)-_xll.xCrudeAPO(BU225,BV225,CC225,CD225,S226,S227,BI225,BL225,BP225,BQ225,0,Strike2,AO225,CE225,0,BL225,IF(OptControl=3,1,0),0,1),0)</f>
        <v>0</v>
      </c>
      <c r="CN225" s="53"/>
      <c r="CO225" s="796" t="str">
        <f t="shared" ca="1" si="651"/>
        <v/>
      </c>
      <c r="CP225" s="800" t="str">
        <f t="shared" ca="1" si="652"/>
        <v/>
      </c>
      <c r="CQ225" s="797" t="str">
        <f t="shared" ca="1" si="653"/>
        <v/>
      </c>
      <c r="CR225" s="797" t="str">
        <f t="shared" ca="1" si="654"/>
        <v/>
      </c>
      <c r="CS225" s="797" t="str">
        <f t="shared" ca="1" si="655"/>
        <v/>
      </c>
      <c r="CT225" s="797" t="str">
        <f t="shared" ca="1" si="656"/>
        <v/>
      </c>
      <c r="CU225" s="798" t="str">
        <f t="shared" ca="1" si="657"/>
        <v/>
      </c>
      <c r="CV225" s="799" t="str">
        <f t="shared" ca="1" si="658"/>
        <v/>
      </c>
      <c r="CW225" s="799" t="str">
        <f t="shared" ca="1" si="659"/>
        <v/>
      </c>
      <c r="CX225" s="163">
        <f ca="1">IF(BD225,_xll.EURO(CP225,Strike1,AO225,AO225,CV225,CO225,IF(OptControl=4,0,1),0),0)</f>
        <v>0</v>
      </c>
      <c r="CY225" s="163">
        <f ca="1">IF(BD225,_xll.EURO(CP225,Strike1,AO225,AO225,CV225,CO225,IF(OptControl=4,0,1),1)+IF(OR(VolSkewFlag=2,ABS(CQ225)&lt;0.0001),0,IF(CQ225&gt;0,-1,1)*CZ225*100*Strike1/CP225^2*CS225/10%),0)</f>
        <v>0</v>
      </c>
      <c r="CZ225" s="163">
        <f ca="1">IF(BD225,_xll.EURO(CP225,Strike1,AO225,AO225,CV225,CO225,IF(OptControl=4,0,1),3)/100,0)</f>
        <v>0</v>
      </c>
      <c r="DA225" s="163">
        <f ca="1">IF(BD225,_xll.EURO(CP225,Strike1,AO225,AO225,CV225,CO225,IF(OptControl=4,0,1),0)-_xll.EURO(CP225,Strike1,AO225,AO225,CV225,CO225-1,IF(OptControl=4,0,1),0),0)</f>
        <v>0</v>
      </c>
      <c r="DB225" s="163">
        <f ca="1">IF(BD225,_xll.EURO(CP225,Strike2,AO225,AO225,CW225,CO225,IF(OptControl=3,1,0),0),0)</f>
        <v>0</v>
      </c>
      <c r="DC225" s="163">
        <f ca="1">IF(BD225,_xll.EURO(CP225,Strike2,AO225,AO225,CW225,CO225,IF(OptControl=3,1,0),1)+IF(OR(VolSkewFlag=2,ABS(CR225)&lt;0.0001),0,IF(CR225&gt;0,-1,1)*DD225*100*Strike2/CP225^2*CT225/10%),0)</f>
        <v>0</v>
      </c>
      <c r="DD225" s="163">
        <f ca="1">IF(BD225,_xll.EURO(CP225,Strike2,AO225,AO225,CW225,CO225,IF(OptControl=3,1,0),3)/100,0)</f>
        <v>0</v>
      </c>
      <c r="DE225" s="164">
        <f ca="1">IF(BD225,_xll.EURO(CP225,Strike2,AO225,AO225,CW225,CO225,IF(OptControl=3,1,0),0)-_xll.EURO(CP225,Strike2,AO225,AO225,CW225,CO225-1,IF(OptControl=3,1,0),0),0)</f>
        <v>0</v>
      </c>
      <c r="DG225" s="667">
        <f t="shared" ca="1" si="660"/>
        <v>42795</v>
      </c>
      <c r="DH225" s="475">
        <v>24.410000000000093</v>
      </c>
      <c r="DI225" s="665">
        <v>24.479565217391396</v>
      </c>
      <c r="DJ225" s="666">
        <f t="shared" ca="1" si="617"/>
        <v>42795</v>
      </c>
      <c r="DK225" s="475">
        <v>23.245040057556917</v>
      </c>
      <c r="DL225" s="665">
        <v>23.311065217391395</v>
      </c>
      <c r="DM225" s="667">
        <f t="shared" ca="1" si="618"/>
        <v>42795</v>
      </c>
      <c r="DN225" s="668">
        <f t="shared" si="619"/>
        <v>23.295040057556918</v>
      </c>
      <c r="DO225" s="667">
        <f t="shared" ca="1" si="620"/>
        <v>42795</v>
      </c>
      <c r="DP225" s="579">
        <f t="shared" si="621"/>
        <v>23.311065217391395</v>
      </c>
      <c r="DQ225" s="821">
        <v>0</v>
      </c>
      <c r="DR225" s="666">
        <f t="shared" ca="1" si="622"/>
        <v>42795</v>
      </c>
      <c r="DS225" s="669">
        <v>0.10159999999999803</v>
      </c>
      <c r="DT225" s="606">
        <v>0.10076521739130237</v>
      </c>
      <c r="DU225" s="666">
        <f t="shared" ca="1" si="623"/>
        <v>42795</v>
      </c>
      <c r="DV225" s="669">
        <v>0.10159999999999803</v>
      </c>
      <c r="DW225" s="606">
        <v>0.10076521739130237</v>
      </c>
      <c r="DX225" s="667">
        <f t="shared" ca="1" si="624"/>
        <v>42795</v>
      </c>
      <c r="DY225" s="606">
        <v>0.35</v>
      </c>
      <c r="DZ225" s="667">
        <f t="shared" ca="1" si="625"/>
        <v>42795</v>
      </c>
      <c r="EA225" s="606">
        <f t="shared" si="626"/>
        <v>0.10076521739130237</v>
      </c>
      <c r="EB225" s="1"/>
      <c r="EC225" s="118" t="str">
        <f t="shared" ca="1" si="627"/>
        <v/>
      </c>
      <c r="ED225" s="119" t="str">
        <f t="shared" ca="1" si="644"/>
        <v/>
      </c>
      <c r="EE225" s="112" t="str">
        <f t="shared" ca="1" si="645"/>
        <v/>
      </c>
      <c r="EF225" s="120">
        <f ca="1">IF(BD225,_xll.xASN(BR225,Strike1,AO225,ED225,0,BO225,0,BI225,BL225,IF(OptControl=4,0,1),0),0)</f>
        <v>0</v>
      </c>
      <c r="EG225" s="111">
        <f ca="1">IF(BD225,_xll.xASN(BR225,Strike2,AO225,EE225,0,BO225,0,BI225,BL225,IF(OptControl=3,1,0),0),0)</f>
        <v>0</v>
      </c>
      <c r="EL225" s="55"/>
      <c r="EM225" s="1"/>
      <c r="EN225" s="106"/>
      <c r="EO225" s="106"/>
      <c r="EP225" s="1"/>
      <c r="EQ225" s="683" t="s">
        <v>439</v>
      </c>
      <c r="ES225" s="55"/>
      <c r="EU225" s="107"/>
      <c r="FJ225" s="673">
        <v>56</v>
      </c>
      <c r="FK225" s="479" t="str">
        <f ca="1">IF(OR(FK$169&lt;SwaptionFirstMonthPosition+1,$FJ225&lt;SwaptionFirstMonthPosition+1,FK$169&gt;SwaptionFirstMonthPosition+SwaptionNumOfMonths+1,$FJ225&gt;SwaptionFirstMonthPosition+SwaptionNumOfMonths+1),"",IF($FJ225=FK$169,1,IF($FJ225&lt;FK$169,INDEX($FK$170:$ID$241,FK$169,$FJ225),SUMPRODUCT(INDEX($FK$325:$ID$396,FK$169,1+SwaptionShift):INDEX($FK$325:$ID$396,FK$169,SwaptionMonthsToGo+SwaptionShift),INDEX($FK$245:$ID$316,$FJ225-FK$169,73-FK$169+SwaptionShift):INDEX($FK$245:$ID$316,$FJ225-FK$169,72-FK$169+SwaptionMonthsToGo+SwaptionShift))/SQRT(SUM(INDEX($FK380:$ID380,1+SwaptionShift):INDEX($FK380:$ID380,SwaptionMonthsToGo+SwaptionShift))*SUM(INDEX($FK$325:$ID$396,FK$169,1+SwaptionShift):INDEX($FK$325:$ID$396,FK$169,SwaptionMonthsToGo+SwaptionShift))))))</f>
        <v/>
      </c>
      <c r="FL225" s="479" t="str">
        <f ca="1">IF(OR(FL$169&lt;SwaptionFirstMonthPosition+1,$FJ225&lt;SwaptionFirstMonthPosition+1,FL$169&gt;SwaptionFirstMonthPosition+SwaptionNumOfMonths+1,$FJ225&gt;SwaptionFirstMonthPosition+SwaptionNumOfMonths+1),"",IF($FJ225=FL$169,1,IF($FJ225&lt;FL$169,INDEX($FK$170:$ID$241,FL$169,$FJ225),SUMPRODUCT(INDEX($FK$325:$ID$396,FL$169,1+SwaptionShift):INDEX($FK$325:$ID$396,FL$169,SwaptionMonthsToGo+SwaptionShift),INDEX($FK$245:$ID$316,$FJ225-FL$169,73-FL$169+SwaptionShift):INDEX($FK$245:$ID$316,$FJ225-FL$169,72-FL$169+SwaptionMonthsToGo+SwaptionShift))/SQRT(SUM(INDEX($FK380:$ID380,1+SwaptionShift):INDEX($FK380:$ID380,SwaptionMonthsToGo+SwaptionShift))*SUM(INDEX($FK$325:$ID$396,FL$169,1+SwaptionShift):INDEX($FK$325:$ID$396,FL$169,SwaptionMonthsToGo+SwaptionShift))))))</f>
        <v/>
      </c>
      <c r="FM225" s="479" t="str">
        <f ca="1">IF(OR(FM$169&lt;SwaptionFirstMonthPosition+1,$FJ225&lt;SwaptionFirstMonthPosition+1,FM$169&gt;SwaptionFirstMonthPosition+SwaptionNumOfMonths+1,$FJ225&gt;SwaptionFirstMonthPosition+SwaptionNumOfMonths+1),"",IF($FJ225=FM$169,1,IF($FJ225&lt;FM$169,INDEX($FK$170:$ID$241,FM$169,$FJ225),SUMPRODUCT(INDEX($FK$325:$ID$396,FM$169,1+SwaptionShift):INDEX($FK$325:$ID$396,FM$169,SwaptionMonthsToGo+SwaptionShift),INDEX($FK$245:$ID$316,$FJ225-FM$169,73-FM$169+SwaptionShift):INDEX($FK$245:$ID$316,$FJ225-FM$169,72-FM$169+SwaptionMonthsToGo+SwaptionShift))/SQRT(SUM(INDEX($FK380:$ID380,1+SwaptionShift):INDEX($FK380:$ID380,SwaptionMonthsToGo+SwaptionShift))*SUM(INDEX($FK$325:$ID$396,FM$169,1+SwaptionShift):INDEX($FK$325:$ID$396,FM$169,SwaptionMonthsToGo+SwaptionShift))))))</f>
        <v/>
      </c>
      <c r="FN225" s="479" t="str">
        <f ca="1">IF(OR(FN$169&lt;SwaptionFirstMonthPosition+1,$FJ225&lt;SwaptionFirstMonthPosition+1,FN$169&gt;SwaptionFirstMonthPosition+SwaptionNumOfMonths+1,$FJ225&gt;SwaptionFirstMonthPosition+SwaptionNumOfMonths+1),"",IF($FJ225=FN$169,1,IF($FJ225&lt;FN$169,INDEX($FK$170:$ID$241,FN$169,$FJ225),SUMPRODUCT(INDEX($FK$325:$ID$396,FN$169,1+SwaptionShift):INDEX($FK$325:$ID$396,FN$169,SwaptionMonthsToGo+SwaptionShift),INDEX($FK$245:$ID$316,$FJ225-FN$169,73-FN$169+SwaptionShift):INDEX($FK$245:$ID$316,$FJ225-FN$169,72-FN$169+SwaptionMonthsToGo+SwaptionShift))/SQRT(SUM(INDEX($FK380:$ID380,1+SwaptionShift):INDEX($FK380:$ID380,SwaptionMonthsToGo+SwaptionShift))*SUM(INDEX($FK$325:$ID$396,FN$169,1+SwaptionShift):INDEX($FK$325:$ID$396,FN$169,SwaptionMonthsToGo+SwaptionShift))))))</f>
        <v/>
      </c>
      <c r="FO225" s="479" t="str">
        <f ca="1">IF(OR(FO$169&lt;SwaptionFirstMonthPosition+1,$FJ225&lt;SwaptionFirstMonthPosition+1,FO$169&gt;SwaptionFirstMonthPosition+SwaptionNumOfMonths+1,$FJ225&gt;SwaptionFirstMonthPosition+SwaptionNumOfMonths+1),"",IF($FJ225=FO$169,1,IF($FJ225&lt;FO$169,INDEX($FK$170:$ID$241,FO$169,$FJ225),SUMPRODUCT(INDEX($FK$325:$ID$396,FO$169,1+SwaptionShift):INDEX($FK$325:$ID$396,FO$169,SwaptionMonthsToGo+SwaptionShift),INDEX($FK$245:$ID$316,$FJ225-FO$169,73-FO$169+SwaptionShift):INDEX($FK$245:$ID$316,$FJ225-FO$169,72-FO$169+SwaptionMonthsToGo+SwaptionShift))/SQRT(SUM(INDEX($FK380:$ID380,1+SwaptionShift):INDEX($FK380:$ID380,SwaptionMonthsToGo+SwaptionShift))*SUM(INDEX($FK$325:$ID$396,FO$169,1+SwaptionShift):INDEX($FK$325:$ID$396,FO$169,SwaptionMonthsToGo+SwaptionShift))))))</f>
        <v/>
      </c>
      <c r="FP225" s="479" t="str">
        <f ca="1">IF(OR(FP$169&lt;SwaptionFirstMonthPosition+1,$FJ225&lt;SwaptionFirstMonthPosition+1,FP$169&gt;SwaptionFirstMonthPosition+SwaptionNumOfMonths+1,$FJ225&gt;SwaptionFirstMonthPosition+SwaptionNumOfMonths+1),"",IF($FJ225=FP$169,1,IF($FJ225&lt;FP$169,INDEX($FK$170:$ID$241,FP$169,$FJ225),SUMPRODUCT(INDEX($FK$325:$ID$396,FP$169,1+SwaptionShift):INDEX($FK$325:$ID$396,FP$169,SwaptionMonthsToGo+SwaptionShift),INDEX($FK$245:$ID$316,$FJ225-FP$169,73-FP$169+SwaptionShift):INDEX($FK$245:$ID$316,$FJ225-FP$169,72-FP$169+SwaptionMonthsToGo+SwaptionShift))/SQRT(SUM(INDEX($FK380:$ID380,1+SwaptionShift):INDEX($FK380:$ID380,SwaptionMonthsToGo+SwaptionShift))*SUM(INDEX($FK$325:$ID$396,FP$169,1+SwaptionShift):INDEX($FK$325:$ID$396,FP$169,SwaptionMonthsToGo+SwaptionShift))))))</f>
        <v/>
      </c>
      <c r="FQ225" s="479" t="str">
        <f ca="1">IF(OR(FQ$169&lt;SwaptionFirstMonthPosition+1,$FJ225&lt;SwaptionFirstMonthPosition+1,FQ$169&gt;SwaptionFirstMonthPosition+SwaptionNumOfMonths+1,$FJ225&gt;SwaptionFirstMonthPosition+SwaptionNumOfMonths+1),"",IF($FJ225=FQ$169,1,IF($FJ225&lt;FQ$169,INDEX($FK$170:$ID$241,FQ$169,$FJ225),SUMPRODUCT(INDEX($FK$325:$ID$396,FQ$169,1+SwaptionShift):INDEX($FK$325:$ID$396,FQ$169,SwaptionMonthsToGo+SwaptionShift),INDEX($FK$245:$ID$316,$FJ225-FQ$169,73-FQ$169+SwaptionShift):INDEX($FK$245:$ID$316,$FJ225-FQ$169,72-FQ$169+SwaptionMonthsToGo+SwaptionShift))/SQRT(SUM(INDEX($FK380:$ID380,1+SwaptionShift):INDEX($FK380:$ID380,SwaptionMonthsToGo+SwaptionShift))*SUM(INDEX($FK$325:$ID$396,FQ$169,1+SwaptionShift):INDEX($FK$325:$ID$396,FQ$169,SwaptionMonthsToGo+SwaptionShift))))))</f>
        <v/>
      </c>
      <c r="FR225" s="479" t="str">
        <f ca="1">IF(OR(FR$169&lt;SwaptionFirstMonthPosition+1,$FJ225&lt;SwaptionFirstMonthPosition+1,FR$169&gt;SwaptionFirstMonthPosition+SwaptionNumOfMonths+1,$FJ225&gt;SwaptionFirstMonthPosition+SwaptionNumOfMonths+1),"",IF($FJ225=FR$169,1,IF($FJ225&lt;FR$169,INDEX($FK$170:$ID$241,FR$169,$FJ225),SUMPRODUCT(INDEX($FK$325:$ID$396,FR$169,1+SwaptionShift):INDEX($FK$325:$ID$396,FR$169,SwaptionMonthsToGo+SwaptionShift),INDEX($FK$245:$ID$316,$FJ225-FR$169,73-FR$169+SwaptionShift):INDEX($FK$245:$ID$316,$FJ225-FR$169,72-FR$169+SwaptionMonthsToGo+SwaptionShift))/SQRT(SUM(INDEX($FK380:$ID380,1+SwaptionShift):INDEX($FK380:$ID380,SwaptionMonthsToGo+SwaptionShift))*SUM(INDEX($FK$325:$ID$396,FR$169,1+SwaptionShift):INDEX($FK$325:$ID$396,FR$169,SwaptionMonthsToGo+SwaptionShift))))))</f>
        <v/>
      </c>
      <c r="FS225" s="479" t="str">
        <f ca="1">IF(OR(FS$169&lt;SwaptionFirstMonthPosition+1,$FJ225&lt;SwaptionFirstMonthPosition+1,FS$169&gt;SwaptionFirstMonthPosition+SwaptionNumOfMonths+1,$FJ225&gt;SwaptionFirstMonthPosition+SwaptionNumOfMonths+1),"",IF($FJ225=FS$169,1,IF($FJ225&lt;FS$169,INDEX($FK$170:$ID$241,FS$169,$FJ225),SUMPRODUCT(INDEX($FK$325:$ID$396,FS$169,1+SwaptionShift):INDEX($FK$325:$ID$396,FS$169,SwaptionMonthsToGo+SwaptionShift),INDEX($FK$245:$ID$316,$FJ225-FS$169,73-FS$169+SwaptionShift):INDEX($FK$245:$ID$316,$FJ225-FS$169,72-FS$169+SwaptionMonthsToGo+SwaptionShift))/SQRT(SUM(INDEX($FK380:$ID380,1+SwaptionShift):INDEX($FK380:$ID380,SwaptionMonthsToGo+SwaptionShift))*SUM(INDEX($FK$325:$ID$396,FS$169,1+SwaptionShift):INDEX($FK$325:$ID$396,FS$169,SwaptionMonthsToGo+SwaptionShift))))))</f>
        <v/>
      </c>
      <c r="FT225" s="479" t="str">
        <f ca="1">IF(OR(FT$169&lt;SwaptionFirstMonthPosition+1,$FJ225&lt;SwaptionFirstMonthPosition+1,FT$169&gt;SwaptionFirstMonthPosition+SwaptionNumOfMonths+1,$FJ225&gt;SwaptionFirstMonthPosition+SwaptionNumOfMonths+1),"",IF($FJ225=FT$169,1,IF($FJ225&lt;FT$169,INDEX($FK$170:$ID$241,FT$169,$FJ225),SUMPRODUCT(INDEX($FK$325:$ID$396,FT$169,1+SwaptionShift):INDEX($FK$325:$ID$396,FT$169,SwaptionMonthsToGo+SwaptionShift),INDEX($FK$245:$ID$316,$FJ225-FT$169,73-FT$169+SwaptionShift):INDEX($FK$245:$ID$316,$FJ225-FT$169,72-FT$169+SwaptionMonthsToGo+SwaptionShift))/SQRT(SUM(INDEX($FK380:$ID380,1+SwaptionShift):INDEX($FK380:$ID380,SwaptionMonthsToGo+SwaptionShift))*SUM(INDEX($FK$325:$ID$396,FT$169,1+SwaptionShift):INDEX($FK$325:$ID$396,FT$169,SwaptionMonthsToGo+SwaptionShift))))))</f>
        <v/>
      </c>
      <c r="FU225" s="479" t="str">
        <f ca="1">IF(OR(FU$169&lt;SwaptionFirstMonthPosition+1,$FJ225&lt;SwaptionFirstMonthPosition+1,FU$169&gt;SwaptionFirstMonthPosition+SwaptionNumOfMonths+1,$FJ225&gt;SwaptionFirstMonthPosition+SwaptionNumOfMonths+1),"",IF($FJ225=FU$169,1,IF($FJ225&lt;FU$169,INDEX($FK$170:$ID$241,FU$169,$FJ225),SUMPRODUCT(INDEX($FK$325:$ID$396,FU$169,1+SwaptionShift):INDEX($FK$325:$ID$396,FU$169,SwaptionMonthsToGo+SwaptionShift),INDEX($FK$245:$ID$316,$FJ225-FU$169,73-FU$169+SwaptionShift):INDEX($FK$245:$ID$316,$FJ225-FU$169,72-FU$169+SwaptionMonthsToGo+SwaptionShift))/SQRT(SUM(INDEX($FK380:$ID380,1+SwaptionShift):INDEX($FK380:$ID380,SwaptionMonthsToGo+SwaptionShift))*SUM(INDEX($FK$325:$ID$396,FU$169,1+SwaptionShift):INDEX($FK$325:$ID$396,FU$169,SwaptionMonthsToGo+SwaptionShift))))))</f>
        <v/>
      </c>
      <c r="FV225" s="479" t="str">
        <f ca="1">IF(OR(FV$169&lt;SwaptionFirstMonthPosition+1,$FJ225&lt;SwaptionFirstMonthPosition+1,FV$169&gt;SwaptionFirstMonthPosition+SwaptionNumOfMonths+1,$FJ225&gt;SwaptionFirstMonthPosition+SwaptionNumOfMonths+1),"",IF($FJ225=FV$169,1,IF($FJ225&lt;FV$169,INDEX($FK$170:$ID$241,FV$169,$FJ225),SUMPRODUCT(INDEX($FK$325:$ID$396,FV$169,1+SwaptionShift):INDEX($FK$325:$ID$396,FV$169,SwaptionMonthsToGo+SwaptionShift),INDEX($FK$245:$ID$316,$FJ225-FV$169,73-FV$169+SwaptionShift):INDEX($FK$245:$ID$316,$FJ225-FV$169,72-FV$169+SwaptionMonthsToGo+SwaptionShift))/SQRT(SUM(INDEX($FK380:$ID380,1+SwaptionShift):INDEX($FK380:$ID380,SwaptionMonthsToGo+SwaptionShift))*SUM(INDEX($FK$325:$ID$396,FV$169,1+SwaptionShift):INDEX($FK$325:$ID$396,FV$169,SwaptionMonthsToGo+SwaptionShift))))))</f>
        <v/>
      </c>
      <c r="FW225" s="479" t="str">
        <f ca="1">IF(OR(FW$169&lt;SwaptionFirstMonthPosition+1,$FJ225&lt;SwaptionFirstMonthPosition+1,FW$169&gt;SwaptionFirstMonthPosition+SwaptionNumOfMonths+1,$FJ225&gt;SwaptionFirstMonthPosition+SwaptionNumOfMonths+1),"",IF($FJ225=FW$169,1,IF($FJ225&lt;FW$169,INDEX($FK$170:$ID$241,FW$169,$FJ225),SUMPRODUCT(INDEX($FK$325:$ID$396,FW$169,1+SwaptionShift):INDEX($FK$325:$ID$396,FW$169,SwaptionMonthsToGo+SwaptionShift),INDEX($FK$245:$ID$316,$FJ225-FW$169,73-FW$169+SwaptionShift):INDEX($FK$245:$ID$316,$FJ225-FW$169,72-FW$169+SwaptionMonthsToGo+SwaptionShift))/SQRT(SUM(INDEX($FK380:$ID380,1+SwaptionShift):INDEX($FK380:$ID380,SwaptionMonthsToGo+SwaptionShift))*SUM(INDEX($FK$325:$ID$396,FW$169,1+SwaptionShift):INDEX($FK$325:$ID$396,FW$169,SwaptionMonthsToGo+SwaptionShift))))))</f>
        <v/>
      </c>
      <c r="FX225" s="479" t="str">
        <f ca="1">IF(OR(FX$169&lt;SwaptionFirstMonthPosition+1,$FJ225&lt;SwaptionFirstMonthPosition+1,FX$169&gt;SwaptionFirstMonthPosition+SwaptionNumOfMonths+1,$FJ225&gt;SwaptionFirstMonthPosition+SwaptionNumOfMonths+1),"",IF($FJ225=FX$169,1,IF($FJ225&lt;FX$169,INDEX($FK$170:$ID$241,FX$169,$FJ225),SUMPRODUCT(INDEX($FK$325:$ID$396,FX$169,1+SwaptionShift):INDEX($FK$325:$ID$396,FX$169,SwaptionMonthsToGo+SwaptionShift),INDEX($FK$245:$ID$316,$FJ225-FX$169,73-FX$169+SwaptionShift):INDEX($FK$245:$ID$316,$FJ225-FX$169,72-FX$169+SwaptionMonthsToGo+SwaptionShift))/SQRT(SUM(INDEX($FK380:$ID380,1+SwaptionShift):INDEX($FK380:$ID380,SwaptionMonthsToGo+SwaptionShift))*SUM(INDEX($FK$325:$ID$396,FX$169,1+SwaptionShift):INDEX($FK$325:$ID$396,FX$169,SwaptionMonthsToGo+SwaptionShift))))))</f>
        <v/>
      </c>
      <c r="FY225" s="479" t="str">
        <f ca="1">IF(OR(FY$169&lt;SwaptionFirstMonthPosition+1,$FJ225&lt;SwaptionFirstMonthPosition+1,FY$169&gt;SwaptionFirstMonthPosition+SwaptionNumOfMonths+1,$FJ225&gt;SwaptionFirstMonthPosition+SwaptionNumOfMonths+1),"",IF($FJ225=FY$169,1,IF($FJ225&lt;FY$169,INDEX($FK$170:$ID$241,FY$169,$FJ225),SUMPRODUCT(INDEX($FK$325:$ID$396,FY$169,1+SwaptionShift):INDEX($FK$325:$ID$396,FY$169,SwaptionMonthsToGo+SwaptionShift),INDEX($FK$245:$ID$316,$FJ225-FY$169,73-FY$169+SwaptionShift):INDEX($FK$245:$ID$316,$FJ225-FY$169,72-FY$169+SwaptionMonthsToGo+SwaptionShift))/SQRT(SUM(INDEX($FK380:$ID380,1+SwaptionShift):INDEX($FK380:$ID380,SwaptionMonthsToGo+SwaptionShift))*SUM(INDEX($FK$325:$ID$396,FY$169,1+SwaptionShift):INDEX($FK$325:$ID$396,FY$169,SwaptionMonthsToGo+SwaptionShift))))))</f>
        <v/>
      </c>
      <c r="FZ225" s="479" t="str">
        <f ca="1">IF(OR(FZ$169&lt;SwaptionFirstMonthPosition+1,$FJ225&lt;SwaptionFirstMonthPosition+1,FZ$169&gt;SwaptionFirstMonthPosition+SwaptionNumOfMonths+1,$FJ225&gt;SwaptionFirstMonthPosition+SwaptionNumOfMonths+1),"",IF($FJ225=FZ$169,1,IF($FJ225&lt;FZ$169,INDEX($FK$170:$ID$241,FZ$169,$FJ225),SUMPRODUCT(INDEX($FK$325:$ID$396,FZ$169,1+SwaptionShift):INDEX($FK$325:$ID$396,FZ$169,SwaptionMonthsToGo+SwaptionShift),INDEX($FK$245:$ID$316,$FJ225-FZ$169,73-FZ$169+SwaptionShift):INDEX($FK$245:$ID$316,$FJ225-FZ$169,72-FZ$169+SwaptionMonthsToGo+SwaptionShift))/SQRT(SUM(INDEX($FK380:$ID380,1+SwaptionShift):INDEX($FK380:$ID380,SwaptionMonthsToGo+SwaptionShift))*SUM(INDEX($FK$325:$ID$396,FZ$169,1+SwaptionShift):INDEX($FK$325:$ID$396,FZ$169,SwaptionMonthsToGo+SwaptionShift))))))</f>
        <v/>
      </c>
      <c r="GA225" s="479" t="str">
        <f ca="1">IF(OR(GA$169&lt;SwaptionFirstMonthPosition+1,$FJ225&lt;SwaptionFirstMonthPosition+1,GA$169&gt;SwaptionFirstMonthPosition+SwaptionNumOfMonths+1,$FJ225&gt;SwaptionFirstMonthPosition+SwaptionNumOfMonths+1),"",IF($FJ225=GA$169,1,IF($FJ225&lt;GA$169,INDEX($FK$170:$ID$241,GA$169,$FJ225),SUMPRODUCT(INDEX($FK$325:$ID$396,GA$169,1+SwaptionShift):INDEX($FK$325:$ID$396,GA$169,SwaptionMonthsToGo+SwaptionShift),INDEX($FK$245:$ID$316,$FJ225-GA$169,73-GA$169+SwaptionShift):INDEX($FK$245:$ID$316,$FJ225-GA$169,72-GA$169+SwaptionMonthsToGo+SwaptionShift))/SQRT(SUM(INDEX($FK380:$ID380,1+SwaptionShift):INDEX($FK380:$ID380,SwaptionMonthsToGo+SwaptionShift))*SUM(INDEX($FK$325:$ID$396,GA$169,1+SwaptionShift):INDEX($FK$325:$ID$396,GA$169,SwaptionMonthsToGo+SwaptionShift))))))</f>
        <v/>
      </c>
      <c r="GB225" s="479" t="str">
        <f ca="1">IF(OR(GB$169&lt;SwaptionFirstMonthPosition+1,$FJ225&lt;SwaptionFirstMonthPosition+1,GB$169&gt;SwaptionFirstMonthPosition+SwaptionNumOfMonths+1,$FJ225&gt;SwaptionFirstMonthPosition+SwaptionNumOfMonths+1),"",IF($FJ225=GB$169,1,IF($FJ225&lt;GB$169,INDEX($FK$170:$ID$241,GB$169,$FJ225),SUMPRODUCT(INDEX($FK$325:$ID$396,GB$169,1+SwaptionShift):INDEX($FK$325:$ID$396,GB$169,SwaptionMonthsToGo+SwaptionShift),INDEX($FK$245:$ID$316,$FJ225-GB$169,73-GB$169+SwaptionShift):INDEX($FK$245:$ID$316,$FJ225-GB$169,72-GB$169+SwaptionMonthsToGo+SwaptionShift))/SQRT(SUM(INDEX($FK380:$ID380,1+SwaptionShift):INDEX($FK380:$ID380,SwaptionMonthsToGo+SwaptionShift))*SUM(INDEX($FK$325:$ID$396,GB$169,1+SwaptionShift):INDEX($FK$325:$ID$396,GB$169,SwaptionMonthsToGo+SwaptionShift))))))</f>
        <v/>
      </c>
      <c r="GC225" s="479" t="str">
        <f ca="1">IF(OR(GC$169&lt;SwaptionFirstMonthPosition+1,$FJ225&lt;SwaptionFirstMonthPosition+1,GC$169&gt;SwaptionFirstMonthPosition+SwaptionNumOfMonths+1,$FJ225&gt;SwaptionFirstMonthPosition+SwaptionNumOfMonths+1),"",IF($FJ225=GC$169,1,IF($FJ225&lt;GC$169,INDEX($FK$170:$ID$241,GC$169,$FJ225),SUMPRODUCT(INDEX($FK$325:$ID$396,GC$169,1+SwaptionShift):INDEX($FK$325:$ID$396,GC$169,SwaptionMonthsToGo+SwaptionShift),INDEX($FK$245:$ID$316,$FJ225-GC$169,73-GC$169+SwaptionShift):INDEX($FK$245:$ID$316,$FJ225-GC$169,72-GC$169+SwaptionMonthsToGo+SwaptionShift))/SQRT(SUM(INDEX($FK380:$ID380,1+SwaptionShift):INDEX($FK380:$ID380,SwaptionMonthsToGo+SwaptionShift))*SUM(INDEX($FK$325:$ID$396,GC$169,1+SwaptionShift):INDEX($FK$325:$ID$396,GC$169,SwaptionMonthsToGo+SwaptionShift))))))</f>
        <v/>
      </c>
      <c r="GD225" s="479" t="str">
        <f ca="1">IF(OR(GD$169&lt;SwaptionFirstMonthPosition+1,$FJ225&lt;SwaptionFirstMonthPosition+1,GD$169&gt;SwaptionFirstMonthPosition+SwaptionNumOfMonths+1,$FJ225&gt;SwaptionFirstMonthPosition+SwaptionNumOfMonths+1),"",IF($FJ225=GD$169,1,IF($FJ225&lt;GD$169,INDEX($FK$170:$ID$241,GD$169,$FJ225),SUMPRODUCT(INDEX($FK$325:$ID$396,GD$169,1+SwaptionShift):INDEX($FK$325:$ID$396,GD$169,SwaptionMonthsToGo+SwaptionShift),INDEX($FK$245:$ID$316,$FJ225-GD$169,73-GD$169+SwaptionShift):INDEX($FK$245:$ID$316,$FJ225-GD$169,72-GD$169+SwaptionMonthsToGo+SwaptionShift))/SQRT(SUM(INDEX($FK380:$ID380,1+SwaptionShift):INDEX($FK380:$ID380,SwaptionMonthsToGo+SwaptionShift))*SUM(INDEX($FK$325:$ID$396,GD$169,1+SwaptionShift):INDEX($FK$325:$ID$396,GD$169,SwaptionMonthsToGo+SwaptionShift))))))</f>
        <v/>
      </c>
      <c r="GE225" s="479" t="str">
        <f ca="1">IF(OR(GE$169&lt;SwaptionFirstMonthPosition+1,$FJ225&lt;SwaptionFirstMonthPosition+1,GE$169&gt;SwaptionFirstMonthPosition+SwaptionNumOfMonths+1,$FJ225&gt;SwaptionFirstMonthPosition+SwaptionNumOfMonths+1),"",IF($FJ225=GE$169,1,IF($FJ225&lt;GE$169,INDEX($FK$170:$ID$241,GE$169,$FJ225),SUMPRODUCT(INDEX($FK$325:$ID$396,GE$169,1+SwaptionShift):INDEX($FK$325:$ID$396,GE$169,SwaptionMonthsToGo+SwaptionShift),INDEX($FK$245:$ID$316,$FJ225-GE$169,73-GE$169+SwaptionShift):INDEX($FK$245:$ID$316,$FJ225-GE$169,72-GE$169+SwaptionMonthsToGo+SwaptionShift))/SQRT(SUM(INDEX($FK380:$ID380,1+SwaptionShift):INDEX($FK380:$ID380,SwaptionMonthsToGo+SwaptionShift))*SUM(INDEX($FK$325:$ID$396,GE$169,1+SwaptionShift):INDEX($FK$325:$ID$396,GE$169,SwaptionMonthsToGo+SwaptionShift))))))</f>
        <v/>
      </c>
      <c r="GF225" s="479" t="str">
        <f ca="1">IF(OR(GF$169&lt;SwaptionFirstMonthPosition+1,$FJ225&lt;SwaptionFirstMonthPosition+1,GF$169&gt;SwaptionFirstMonthPosition+SwaptionNumOfMonths+1,$FJ225&gt;SwaptionFirstMonthPosition+SwaptionNumOfMonths+1),"",IF($FJ225=GF$169,1,IF($FJ225&lt;GF$169,INDEX($FK$170:$ID$241,GF$169,$FJ225),SUMPRODUCT(INDEX($FK$325:$ID$396,GF$169,1+SwaptionShift):INDEX($FK$325:$ID$396,GF$169,SwaptionMonthsToGo+SwaptionShift),INDEX($FK$245:$ID$316,$FJ225-GF$169,73-GF$169+SwaptionShift):INDEX($FK$245:$ID$316,$FJ225-GF$169,72-GF$169+SwaptionMonthsToGo+SwaptionShift))/SQRT(SUM(INDEX($FK380:$ID380,1+SwaptionShift):INDEX($FK380:$ID380,SwaptionMonthsToGo+SwaptionShift))*SUM(INDEX($FK$325:$ID$396,GF$169,1+SwaptionShift):INDEX($FK$325:$ID$396,GF$169,SwaptionMonthsToGo+SwaptionShift))))))</f>
        <v/>
      </c>
      <c r="GG225" s="479" t="str">
        <f ca="1">IF(OR(GG$169&lt;SwaptionFirstMonthPosition+1,$FJ225&lt;SwaptionFirstMonthPosition+1,GG$169&gt;SwaptionFirstMonthPosition+SwaptionNumOfMonths+1,$FJ225&gt;SwaptionFirstMonthPosition+SwaptionNumOfMonths+1),"",IF($FJ225=GG$169,1,IF($FJ225&lt;GG$169,INDEX($FK$170:$ID$241,GG$169,$FJ225),SUMPRODUCT(INDEX($FK$325:$ID$396,GG$169,1+SwaptionShift):INDEX($FK$325:$ID$396,GG$169,SwaptionMonthsToGo+SwaptionShift),INDEX($FK$245:$ID$316,$FJ225-GG$169,73-GG$169+SwaptionShift):INDEX($FK$245:$ID$316,$FJ225-GG$169,72-GG$169+SwaptionMonthsToGo+SwaptionShift))/SQRT(SUM(INDEX($FK380:$ID380,1+SwaptionShift):INDEX($FK380:$ID380,SwaptionMonthsToGo+SwaptionShift))*SUM(INDEX($FK$325:$ID$396,GG$169,1+SwaptionShift):INDEX($FK$325:$ID$396,GG$169,SwaptionMonthsToGo+SwaptionShift))))))</f>
        <v/>
      </c>
      <c r="GH225" s="479" t="str">
        <f ca="1">IF(OR(GH$169&lt;SwaptionFirstMonthPosition+1,$FJ225&lt;SwaptionFirstMonthPosition+1,GH$169&gt;SwaptionFirstMonthPosition+SwaptionNumOfMonths+1,$FJ225&gt;SwaptionFirstMonthPosition+SwaptionNumOfMonths+1),"",IF($FJ225=GH$169,1,IF($FJ225&lt;GH$169,INDEX($FK$170:$ID$241,GH$169,$FJ225),SUMPRODUCT(INDEX($FK$325:$ID$396,GH$169,1+SwaptionShift):INDEX($FK$325:$ID$396,GH$169,SwaptionMonthsToGo+SwaptionShift),INDEX($FK$245:$ID$316,$FJ225-GH$169,73-GH$169+SwaptionShift):INDEX($FK$245:$ID$316,$FJ225-GH$169,72-GH$169+SwaptionMonthsToGo+SwaptionShift))/SQRT(SUM(INDEX($FK380:$ID380,1+SwaptionShift):INDEX($FK380:$ID380,SwaptionMonthsToGo+SwaptionShift))*SUM(INDEX($FK$325:$ID$396,GH$169,1+SwaptionShift):INDEX($FK$325:$ID$396,GH$169,SwaptionMonthsToGo+SwaptionShift))))))</f>
        <v/>
      </c>
      <c r="GI225" s="479" t="str">
        <f ca="1">IF(OR(GI$169&lt;SwaptionFirstMonthPosition+1,$FJ225&lt;SwaptionFirstMonthPosition+1,GI$169&gt;SwaptionFirstMonthPosition+SwaptionNumOfMonths+1,$FJ225&gt;SwaptionFirstMonthPosition+SwaptionNumOfMonths+1),"",IF($FJ225=GI$169,1,IF($FJ225&lt;GI$169,INDEX($FK$170:$ID$241,GI$169,$FJ225),SUMPRODUCT(INDEX($FK$325:$ID$396,GI$169,1+SwaptionShift):INDEX($FK$325:$ID$396,GI$169,SwaptionMonthsToGo+SwaptionShift),INDEX($FK$245:$ID$316,$FJ225-GI$169,73-GI$169+SwaptionShift):INDEX($FK$245:$ID$316,$FJ225-GI$169,72-GI$169+SwaptionMonthsToGo+SwaptionShift))/SQRT(SUM(INDEX($FK380:$ID380,1+SwaptionShift):INDEX($FK380:$ID380,SwaptionMonthsToGo+SwaptionShift))*SUM(INDEX($FK$325:$ID$396,GI$169,1+SwaptionShift):INDEX($FK$325:$ID$396,GI$169,SwaptionMonthsToGo+SwaptionShift))))))</f>
        <v/>
      </c>
      <c r="GJ225" s="479" t="str">
        <f ca="1">IF(OR(GJ$169&lt;SwaptionFirstMonthPosition+1,$FJ225&lt;SwaptionFirstMonthPosition+1,GJ$169&gt;SwaptionFirstMonthPosition+SwaptionNumOfMonths+1,$FJ225&gt;SwaptionFirstMonthPosition+SwaptionNumOfMonths+1),"",IF($FJ225=GJ$169,1,IF($FJ225&lt;GJ$169,INDEX($FK$170:$ID$241,GJ$169,$FJ225),SUMPRODUCT(INDEX($FK$325:$ID$396,GJ$169,1+SwaptionShift):INDEX($FK$325:$ID$396,GJ$169,SwaptionMonthsToGo+SwaptionShift),INDEX($FK$245:$ID$316,$FJ225-GJ$169,73-GJ$169+SwaptionShift):INDEX($FK$245:$ID$316,$FJ225-GJ$169,72-GJ$169+SwaptionMonthsToGo+SwaptionShift))/SQRT(SUM(INDEX($FK380:$ID380,1+SwaptionShift):INDEX($FK380:$ID380,SwaptionMonthsToGo+SwaptionShift))*SUM(INDEX($FK$325:$ID$396,GJ$169,1+SwaptionShift):INDEX($FK$325:$ID$396,GJ$169,SwaptionMonthsToGo+SwaptionShift))))))</f>
        <v/>
      </c>
      <c r="GK225" s="479" t="str">
        <f ca="1">IF(OR(GK$169&lt;SwaptionFirstMonthPosition+1,$FJ225&lt;SwaptionFirstMonthPosition+1,GK$169&gt;SwaptionFirstMonthPosition+SwaptionNumOfMonths+1,$FJ225&gt;SwaptionFirstMonthPosition+SwaptionNumOfMonths+1),"",IF($FJ225=GK$169,1,IF($FJ225&lt;GK$169,INDEX($FK$170:$ID$241,GK$169,$FJ225),SUMPRODUCT(INDEX($FK$325:$ID$396,GK$169,1+SwaptionShift):INDEX($FK$325:$ID$396,GK$169,SwaptionMonthsToGo+SwaptionShift),INDEX($FK$245:$ID$316,$FJ225-GK$169,73-GK$169+SwaptionShift):INDEX($FK$245:$ID$316,$FJ225-GK$169,72-GK$169+SwaptionMonthsToGo+SwaptionShift))/SQRT(SUM(INDEX($FK380:$ID380,1+SwaptionShift):INDEX($FK380:$ID380,SwaptionMonthsToGo+SwaptionShift))*SUM(INDEX($FK$325:$ID$396,GK$169,1+SwaptionShift):INDEX($FK$325:$ID$396,GK$169,SwaptionMonthsToGo+SwaptionShift))))))</f>
        <v/>
      </c>
      <c r="GL225" s="479" t="str">
        <f ca="1">IF(OR(GL$169&lt;SwaptionFirstMonthPosition+1,$FJ225&lt;SwaptionFirstMonthPosition+1,GL$169&gt;SwaptionFirstMonthPosition+SwaptionNumOfMonths+1,$FJ225&gt;SwaptionFirstMonthPosition+SwaptionNumOfMonths+1),"",IF($FJ225=GL$169,1,IF($FJ225&lt;GL$169,INDEX($FK$170:$ID$241,GL$169,$FJ225),SUMPRODUCT(INDEX($FK$325:$ID$396,GL$169,1+SwaptionShift):INDEX($FK$325:$ID$396,GL$169,SwaptionMonthsToGo+SwaptionShift),INDEX($FK$245:$ID$316,$FJ225-GL$169,73-GL$169+SwaptionShift):INDEX($FK$245:$ID$316,$FJ225-GL$169,72-GL$169+SwaptionMonthsToGo+SwaptionShift))/SQRT(SUM(INDEX($FK380:$ID380,1+SwaptionShift):INDEX($FK380:$ID380,SwaptionMonthsToGo+SwaptionShift))*SUM(INDEX($FK$325:$ID$396,GL$169,1+SwaptionShift):INDEX($FK$325:$ID$396,GL$169,SwaptionMonthsToGo+SwaptionShift))))))</f>
        <v/>
      </c>
      <c r="GM225" s="479" t="str">
        <f ca="1">IF(OR(GM$169&lt;SwaptionFirstMonthPosition+1,$FJ225&lt;SwaptionFirstMonthPosition+1,GM$169&gt;SwaptionFirstMonthPosition+SwaptionNumOfMonths+1,$FJ225&gt;SwaptionFirstMonthPosition+SwaptionNumOfMonths+1),"",IF($FJ225=GM$169,1,IF($FJ225&lt;GM$169,INDEX($FK$170:$ID$241,GM$169,$FJ225),SUMPRODUCT(INDEX($FK$325:$ID$396,GM$169,1+SwaptionShift):INDEX($FK$325:$ID$396,GM$169,SwaptionMonthsToGo+SwaptionShift),INDEX($FK$245:$ID$316,$FJ225-GM$169,73-GM$169+SwaptionShift):INDEX($FK$245:$ID$316,$FJ225-GM$169,72-GM$169+SwaptionMonthsToGo+SwaptionShift))/SQRT(SUM(INDEX($FK380:$ID380,1+SwaptionShift):INDEX($FK380:$ID380,SwaptionMonthsToGo+SwaptionShift))*SUM(INDEX($FK$325:$ID$396,GM$169,1+SwaptionShift):INDEX($FK$325:$ID$396,GM$169,SwaptionMonthsToGo+SwaptionShift))))))</f>
        <v/>
      </c>
      <c r="GN225" s="479" t="str">
        <f ca="1">IF(OR(GN$169&lt;SwaptionFirstMonthPosition+1,$FJ225&lt;SwaptionFirstMonthPosition+1,GN$169&gt;SwaptionFirstMonthPosition+SwaptionNumOfMonths+1,$FJ225&gt;SwaptionFirstMonthPosition+SwaptionNumOfMonths+1),"",IF($FJ225=GN$169,1,IF($FJ225&lt;GN$169,INDEX($FK$170:$ID$241,GN$169,$FJ225),SUMPRODUCT(INDEX($FK$325:$ID$396,GN$169,1+SwaptionShift):INDEX($FK$325:$ID$396,GN$169,SwaptionMonthsToGo+SwaptionShift),INDEX($FK$245:$ID$316,$FJ225-GN$169,73-GN$169+SwaptionShift):INDEX($FK$245:$ID$316,$FJ225-GN$169,72-GN$169+SwaptionMonthsToGo+SwaptionShift))/SQRT(SUM(INDEX($FK380:$ID380,1+SwaptionShift):INDEX($FK380:$ID380,SwaptionMonthsToGo+SwaptionShift))*SUM(INDEX($FK$325:$ID$396,GN$169,1+SwaptionShift):INDEX($FK$325:$ID$396,GN$169,SwaptionMonthsToGo+SwaptionShift))))))</f>
        <v/>
      </c>
      <c r="GO225" s="479" t="str">
        <f ca="1">IF(OR(GO$169&lt;SwaptionFirstMonthPosition+1,$FJ225&lt;SwaptionFirstMonthPosition+1,GO$169&gt;SwaptionFirstMonthPosition+SwaptionNumOfMonths+1,$FJ225&gt;SwaptionFirstMonthPosition+SwaptionNumOfMonths+1),"",IF($FJ225=GO$169,1,IF($FJ225&lt;GO$169,INDEX($FK$170:$ID$241,GO$169,$FJ225),SUMPRODUCT(INDEX($FK$325:$ID$396,GO$169,1+SwaptionShift):INDEX($FK$325:$ID$396,GO$169,SwaptionMonthsToGo+SwaptionShift),INDEX($FK$245:$ID$316,$FJ225-GO$169,73-GO$169+SwaptionShift):INDEX($FK$245:$ID$316,$FJ225-GO$169,72-GO$169+SwaptionMonthsToGo+SwaptionShift))/SQRT(SUM(INDEX($FK380:$ID380,1+SwaptionShift):INDEX($FK380:$ID380,SwaptionMonthsToGo+SwaptionShift))*SUM(INDEX($FK$325:$ID$396,GO$169,1+SwaptionShift):INDEX($FK$325:$ID$396,GO$169,SwaptionMonthsToGo+SwaptionShift))))))</f>
        <v/>
      </c>
      <c r="GP225" s="479" t="str">
        <f ca="1">IF(OR(GP$169&lt;SwaptionFirstMonthPosition+1,$FJ225&lt;SwaptionFirstMonthPosition+1,GP$169&gt;SwaptionFirstMonthPosition+SwaptionNumOfMonths+1,$FJ225&gt;SwaptionFirstMonthPosition+SwaptionNumOfMonths+1),"",IF($FJ225=GP$169,1,IF($FJ225&lt;GP$169,INDEX($FK$170:$ID$241,GP$169,$FJ225),SUMPRODUCT(INDEX($FK$325:$ID$396,GP$169,1+SwaptionShift):INDEX($FK$325:$ID$396,GP$169,SwaptionMonthsToGo+SwaptionShift),INDEX($FK$245:$ID$316,$FJ225-GP$169,73-GP$169+SwaptionShift):INDEX($FK$245:$ID$316,$FJ225-GP$169,72-GP$169+SwaptionMonthsToGo+SwaptionShift))/SQRT(SUM(INDEX($FK380:$ID380,1+SwaptionShift):INDEX($FK380:$ID380,SwaptionMonthsToGo+SwaptionShift))*SUM(INDEX($FK$325:$ID$396,GP$169,1+SwaptionShift):INDEX($FK$325:$ID$396,GP$169,SwaptionMonthsToGo+SwaptionShift))))))</f>
        <v/>
      </c>
      <c r="GQ225" s="479" t="str">
        <f ca="1">IF(OR(GQ$169&lt;SwaptionFirstMonthPosition+1,$FJ225&lt;SwaptionFirstMonthPosition+1,GQ$169&gt;SwaptionFirstMonthPosition+SwaptionNumOfMonths+1,$FJ225&gt;SwaptionFirstMonthPosition+SwaptionNumOfMonths+1),"",IF($FJ225=GQ$169,1,IF($FJ225&lt;GQ$169,INDEX($FK$170:$ID$241,GQ$169,$FJ225),SUMPRODUCT(INDEX($FK$325:$ID$396,GQ$169,1+SwaptionShift):INDEX($FK$325:$ID$396,GQ$169,SwaptionMonthsToGo+SwaptionShift),INDEX($FK$245:$ID$316,$FJ225-GQ$169,73-GQ$169+SwaptionShift):INDEX($FK$245:$ID$316,$FJ225-GQ$169,72-GQ$169+SwaptionMonthsToGo+SwaptionShift))/SQRT(SUM(INDEX($FK380:$ID380,1+SwaptionShift):INDEX($FK380:$ID380,SwaptionMonthsToGo+SwaptionShift))*SUM(INDEX($FK$325:$ID$396,GQ$169,1+SwaptionShift):INDEX($FK$325:$ID$396,GQ$169,SwaptionMonthsToGo+SwaptionShift))))))</f>
        <v/>
      </c>
      <c r="GR225" s="479" t="str">
        <f ca="1">IF(OR(GR$169&lt;SwaptionFirstMonthPosition+1,$FJ225&lt;SwaptionFirstMonthPosition+1,GR$169&gt;SwaptionFirstMonthPosition+SwaptionNumOfMonths+1,$FJ225&gt;SwaptionFirstMonthPosition+SwaptionNumOfMonths+1),"",IF($FJ225=GR$169,1,IF($FJ225&lt;GR$169,INDEX($FK$170:$ID$241,GR$169,$FJ225),SUMPRODUCT(INDEX($FK$325:$ID$396,GR$169,1+SwaptionShift):INDEX($FK$325:$ID$396,GR$169,SwaptionMonthsToGo+SwaptionShift),INDEX($FK$245:$ID$316,$FJ225-GR$169,73-GR$169+SwaptionShift):INDEX($FK$245:$ID$316,$FJ225-GR$169,72-GR$169+SwaptionMonthsToGo+SwaptionShift))/SQRT(SUM(INDEX($FK380:$ID380,1+SwaptionShift):INDEX($FK380:$ID380,SwaptionMonthsToGo+SwaptionShift))*SUM(INDEX($FK$325:$ID$396,GR$169,1+SwaptionShift):INDEX($FK$325:$ID$396,GR$169,SwaptionMonthsToGo+SwaptionShift))))))</f>
        <v/>
      </c>
      <c r="GS225" s="479" t="str">
        <f ca="1">IF(OR(GS$169&lt;SwaptionFirstMonthPosition+1,$FJ225&lt;SwaptionFirstMonthPosition+1,GS$169&gt;SwaptionFirstMonthPosition+SwaptionNumOfMonths+1,$FJ225&gt;SwaptionFirstMonthPosition+SwaptionNumOfMonths+1),"",IF($FJ225=GS$169,1,IF($FJ225&lt;GS$169,INDEX($FK$170:$ID$241,GS$169,$FJ225),SUMPRODUCT(INDEX($FK$325:$ID$396,GS$169,1+SwaptionShift):INDEX($FK$325:$ID$396,GS$169,SwaptionMonthsToGo+SwaptionShift),INDEX($FK$245:$ID$316,$FJ225-GS$169,73-GS$169+SwaptionShift):INDEX($FK$245:$ID$316,$FJ225-GS$169,72-GS$169+SwaptionMonthsToGo+SwaptionShift))/SQRT(SUM(INDEX($FK380:$ID380,1+SwaptionShift):INDEX($FK380:$ID380,SwaptionMonthsToGo+SwaptionShift))*SUM(INDEX($FK$325:$ID$396,GS$169,1+SwaptionShift):INDEX($FK$325:$ID$396,GS$169,SwaptionMonthsToGo+SwaptionShift))))))</f>
        <v/>
      </c>
      <c r="GT225" s="479" t="str">
        <f ca="1">IF(OR(GT$169&lt;SwaptionFirstMonthPosition+1,$FJ225&lt;SwaptionFirstMonthPosition+1,GT$169&gt;SwaptionFirstMonthPosition+SwaptionNumOfMonths+1,$FJ225&gt;SwaptionFirstMonthPosition+SwaptionNumOfMonths+1),"",IF($FJ225=GT$169,1,IF($FJ225&lt;GT$169,INDEX($FK$170:$ID$241,GT$169,$FJ225),SUMPRODUCT(INDEX($FK$325:$ID$396,GT$169,1+SwaptionShift):INDEX($FK$325:$ID$396,GT$169,SwaptionMonthsToGo+SwaptionShift),INDEX($FK$245:$ID$316,$FJ225-GT$169,73-GT$169+SwaptionShift):INDEX($FK$245:$ID$316,$FJ225-GT$169,72-GT$169+SwaptionMonthsToGo+SwaptionShift))/SQRT(SUM(INDEX($FK380:$ID380,1+SwaptionShift):INDEX($FK380:$ID380,SwaptionMonthsToGo+SwaptionShift))*SUM(INDEX($FK$325:$ID$396,GT$169,1+SwaptionShift):INDEX($FK$325:$ID$396,GT$169,SwaptionMonthsToGo+SwaptionShift))))))</f>
        <v/>
      </c>
      <c r="GU225" s="479" t="str">
        <f ca="1">IF(OR(GU$169&lt;SwaptionFirstMonthPosition+1,$FJ225&lt;SwaptionFirstMonthPosition+1,GU$169&gt;SwaptionFirstMonthPosition+SwaptionNumOfMonths+1,$FJ225&gt;SwaptionFirstMonthPosition+SwaptionNumOfMonths+1),"",IF($FJ225=GU$169,1,IF($FJ225&lt;GU$169,INDEX($FK$170:$ID$241,GU$169,$FJ225),SUMPRODUCT(INDEX($FK$325:$ID$396,GU$169,1+SwaptionShift):INDEX($FK$325:$ID$396,GU$169,SwaptionMonthsToGo+SwaptionShift),INDEX($FK$245:$ID$316,$FJ225-GU$169,73-GU$169+SwaptionShift):INDEX($FK$245:$ID$316,$FJ225-GU$169,72-GU$169+SwaptionMonthsToGo+SwaptionShift))/SQRT(SUM(INDEX($FK380:$ID380,1+SwaptionShift):INDEX($FK380:$ID380,SwaptionMonthsToGo+SwaptionShift))*SUM(INDEX($FK$325:$ID$396,GU$169,1+SwaptionShift):INDEX($FK$325:$ID$396,GU$169,SwaptionMonthsToGo+SwaptionShift))))))</f>
        <v/>
      </c>
      <c r="GV225" s="479" t="str">
        <f ca="1">IF(OR(GV$169&lt;SwaptionFirstMonthPosition+1,$FJ225&lt;SwaptionFirstMonthPosition+1,GV$169&gt;SwaptionFirstMonthPosition+SwaptionNumOfMonths+1,$FJ225&gt;SwaptionFirstMonthPosition+SwaptionNumOfMonths+1),"",IF($FJ225=GV$169,1,IF($FJ225&lt;GV$169,INDEX($FK$170:$ID$241,GV$169,$FJ225),SUMPRODUCT(INDEX($FK$325:$ID$396,GV$169,1+SwaptionShift):INDEX($FK$325:$ID$396,GV$169,SwaptionMonthsToGo+SwaptionShift),INDEX($FK$245:$ID$316,$FJ225-GV$169,73-GV$169+SwaptionShift):INDEX($FK$245:$ID$316,$FJ225-GV$169,72-GV$169+SwaptionMonthsToGo+SwaptionShift))/SQRT(SUM(INDEX($FK380:$ID380,1+SwaptionShift):INDEX($FK380:$ID380,SwaptionMonthsToGo+SwaptionShift))*SUM(INDEX($FK$325:$ID$396,GV$169,1+SwaptionShift):INDEX($FK$325:$ID$396,GV$169,SwaptionMonthsToGo+SwaptionShift))))))</f>
        <v/>
      </c>
      <c r="GW225" s="479" t="str">
        <f ca="1">IF(OR(GW$169&lt;SwaptionFirstMonthPosition+1,$FJ225&lt;SwaptionFirstMonthPosition+1,GW$169&gt;SwaptionFirstMonthPosition+SwaptionNumOfMonths+1,$FJ225&gt;SwaptionFirstMonthPosition+SwaptionNumOfMonths+1),"",IF($FJ225=GW$169,1,IF($FJ225&lt;GW$169,INDEX($FK$170:$ID$241,GW$169,$FJ225),SUMPRODUCT(INDEX($FK$325:$ID$396,GW$169,1+SwaptionShift):INDEX($FK$325:$ID$396,GW$169,SwaptionMonthsToGo+SwaptionShift),INDEX($FK$245:$ID$316,$FJ225-GW$169,73-GW$169+SwaptionShift):INDEX($FK$245:$ID$316,$FJ225-GW$169,72-GW$169+SwaptionMonthsToGo+SwaptionShift))/SQRT(SUM(INDEX($FK380:$ID380,1+SwaptionShift):INDEX($FK380:$ID380,SwaptionMonthsToGo+SwaptionShift))*SUM(INDEX($FK$325:$ID$396,GW$169,1+SwaptionShift):INDEX($FK$325:$ID$396,GW$169,SwaptionMonthsToGo+SwaptionShift))))))</f>
        <v/>
      </c>
      <c r="GX225" s="479" t="str">
        <f ca="1">IF(OR(GX$169&lt;SwaptionFirstMonthPosition+1,$FJ225&lt;SwaptionFirstMonthPosition+1,GX$169&gt;SwaptionFirstMonthPosition+SwaptionNumOfMonths+1,$FJ225&gt;SwaptionFirstMonthPosition+SwaptionNumOfMonths+1),"",IF($FJ225=GX$169,1,IF($FJ225&lt;GX$169,INDEX($FK$170:$ID$241,GX$169,$FJ225),SUMPRODUCT(INDEX($FK$325:$ID$396,GX$169,1+SwaptionShift):INDEX($FK$325:$ID$396,GX$169,SwaptionMonthsToGo+SwaptionShift),INDEX($FK$245:$ID$316,$FJ225-GX$169,73-GX$169+SwaptionShift):INDEX($FK$245:$ID$316,$FJ225-GX$169,72-GX$169+SwaptionMonthsToGo+SwaptionShift))/SQRT(SUM(INDEX($FK380:$ID380,1+SwaptionShift):INDEX($FK380:$ID380,SwaptionMonthsToGo+SwaptionShift))*SUM(INDEX($FK$325:$ID$396,GX$169,1+SwaptionShift):INDEX($FK$325:$ID$396,GX$169,SwaptionMonthsToGo+SwaptionShift))))))</f>
        <v/>
      </c>
      <c r="GY225" s="479" t="str">
        <f ca="1">IF(OR(GY$169&lt;SwaptionFirstMonthPosition+1,$FJ225&lt;SwaptionFirstMonthPosition+1,GY$169&gt;SwaptionFirstMonthPosition+SwaptionNumOfMonths+1,$FJ225&gt;SwaptionFirstMonthPosition+SwaptionNumOfMonths+1),"",IF($FJ225=GY$169,1,IF($FJ225&lt;GY$169,INDEX($FK$170:$ID$241,GY$169,$FJ225),SUMPRODUCT(INDEX($FK$325:$ID$396,GY$169,1+SwaptionShift):INDEX($FK$325:$ID$396,GY$169,SwaptionMonthsToGo+SwaptionShift),INDEX($FK$245:$ID$316,$FJ225-GY$169,73-GY$169+SwaptionShift):INDEX($FK$245:$ID$316,$FJ225-GY$169,72-GY$169+SwaptionMonthsToGo+SwaptionShift))/SQRT(SUM(INDEX($FK380:$ID380,1+SwaptionShift):INDEX($FK380:$ID380,SwaptionMonthsToGo+SwaptionShift))*SUM(INDEX($FK$325:$ID$396,GY$169,1+SwaptionShift):INDEX($FK$325:$ID$396,GY$169,SwaptionMonthsToGo+SwaptionShift))))))</f>
        <v/>
      </c>
      <c r="GZ225" s="479" t="str">
        <f ca="1">IF(OR(GZ$169&lt;SwaptionFirstMonthPosition+1,$FJ225&lt;SwaptionFirstMonthPosition+1,GZ$169&gt;SwaptionFirstMonthPosition+SwaptionNumOfMonths+1,$FJ225&gt;SwaptionFirstMonthPosition+SwaptionNumOfMonths+1),"",IF($FJ225=GZ$169,1,IF($FJ225&lt;GZ$169,INDEX($FK$170:$ID$241,GZ$169,$FJ225),SUMPRODUCT(INDEX($FK$325:$ID$396,GZ$169,1+SwaptionShift):INDEX($FK$325:$ID$396,GZ$169,SwaptionMonthsToGo+SwaptionShift),INDEX($FK$245:$ID$316,$FJ225-GZ$169,73-GZ$169+SwaptionShift):INDEX($FK$245:$ID$316,$FJ225-GZ$169,72-GZ$169+SwaptionMonthsToGo+SwaptionShift))/SQRT(SUM(INDEX($FK380:$ID380,1+SwaptionShift):INDEX($FK380:$ID380,SwaptionMonthsToGo+SwaptionShift))*SUM(INDEX($FK$325:$ID$396,GZ$169,1+SwaptionShift):INDEX($FK$325:$ID$396,GZ$169,SwaptionMonthsToGo+SwaptionShift))))))</f>
        <v/>
      </c>
      <c r="HA225" s="479" t="str">
        <f ca="1">IF(OR(HA$169&lt;SwaptionFirstMonthPosition+1,$FJ225&lt;SwaptionFirstMonthPosition+1,HA$169&gt;SwaptionFirstMonthPosition+SwaptionNumOfMonths+1,$FJ225&gt;SwaptionFirstMonthPosition+SwaptionNumOfMonths+1),"",IF($FJ225=HA$169,1,IF($FJ225&lt;HA$169,INDEX($FK$170:$ID$241,HA$169,$FJ225),SUMPRODUCT(INDEX($FK$325:$ID$396,HA$169,1+SwaptionShift):INDEX($FK$325:$ID$396,HA$169,SwaptionMonthsToGo+SwaptionShift),INDEX($FK$245:$ID$316,$FJ225-HA$169,73-HA$169+SwaptionShift):INDEX($FK$245:$ID$316,$FJ225-HA$169,72-HA$169+SwaptionMonthsToGo+SwaptionShift))/SQRT(SUM(INDEX($FK380:$ID380,1+SwaptionShift):INDEX($FK380:$ID380,SwaptionMonthsToGo+SwaptionShift))*SUM(INDEX($FK$325:$ID$396,HA$169,1+SwaptionShift):INDEX($FK$325:$ID$396,HA$169,SwaptionMonthsToGo+SwaptionShift))))))</f>
        <v/>
      </c>
      <c r="HB225" s="479" t="str">
        <f ca="1">IF(OR(HB$169&lt;SwaptionFirstMonthPosition+1,$FJ225&lt;SwaptionFirstMonthPosition+1,HB$169&gt;SwaptionFirstMonthPosition+SwaptionNumOfMonths+1,$FJ225&gt;SwaptionFirstMonthPosition+SwaptionNumOfMonths+1),"",IF($FJ225=HB$169,1,IF($FJ225&lt;HB$169,INDEX($FK$170:$ID$241,HB$169,$FJ225),SUMPRODUCT(INDEX($FK$325:$ID$396,HB$169,1+SwaptionShift):INDEX($FK$325:$ID$396,HB$169,SwaptionMonthsToGo+SwaptionShift),INDEX($FK$245:$ID$316,$FJ225-HB$169,73-HB$169+SwaptionShift):INDEX($FK$245:$ID$316,$FJ225-HB$169,72-HB$169+SwaptionMonthsToGo+SwaptionShift))/SQRT(SUM(INDEX($FK380:$ID380,1+SwaptionShift):INDEX($FK380:$ID380,SwaptionMonthsToGo+SwaptionShift))*SUM(INDEX($FK$325:$ID$396,HB$169,1+SwaptionShift):INDEX($FK$325:$ID$396,HB$169,SwaptionMonthsToGo+SwaptionShift))))))</f>
        <v/>
      </c>
      <c r="HC225" s="479" t="str">
        <f ca="1">IF(OR(HC$169&lt;SwaptionFirstMonthPosition+1,$FJ225&lt;SwaptionFirstMonthPosition+1,HC$169&gt;SwaptionFirstMonthPosition+SwaptionNumOfMonths+1,$FJ225&gt;SwaptionFirstMonthPosition+SwaptionNumOfMonths+1),"",IF($FJ225=HC$169,1,IF($FJ225&lt;HC$169,INDEX($FK$170:$ID$241,HC$169,$FJ225),SUMPRODUCT(INDEX($FK$325:$ID$396,HC$169,1+SwaptionShift):INDEX($FK$325:$ID$396,HC$169,SwaptionMonthsToGo+SwaptionShift),INDEX($FK$245:$ID$316,$FJ225-HC$169,73-HC$169+SwaptionShift):INDEX($FK$245:$ID$316,$FJ225-HC$169,72-HC$169+SwaptionMonthsToGo+SwaptionShift))/SQRT(SUM(INDEX($FK380:$ID380,1+SwaptionShift):INDEX($FK380:$ID380,SwaptionMonthsToGo+SwaptionShift))*SUM(INDEX($FK$325:$ID$396,HC$169,1+SwaptionShift):INDEX($FK$325:$ID$396,HC$169,SwaptionMonthsToGo+SwaptionShift))))))</f>
        <v/>
      </c>
      <c r="HD225" s="479" t="str">
        <f ca="1">IF(OR(HD$169&lt;SwaptionFirstMonthPosition+1,$FJ225&lt;SwaptionFirstMonthPosition+1,HD$169&gt;SwaptionFirstMonthPosition+SwaptionNumOfMonths+1,$FJ225&gt;SwaptionFirstMonthPosition+SwaptionNumOfMonths+1),"",IF($FJ225=HD$169,1,IF($FJ225&lt;HD$169,INDEX($FK$170:$ID$241,HD$169,$FJ225),SUMPRODUCT(INDEX($FK$325:$ID$396,HD$169,1+SwaptionShift):INDEX($FK$325:$ID$396,HD$169,SwaptionMonthsToGo+SwaptionShift),INDEX($FK$245:$ID$316,$FJ225-HD$169,73-HD$169+SwaptionShift):INDEX($FK$245:$ID$316,$FJ225-HD$169,72-HD$169+SwaptionMonthsToGo+SwaptionShift))/SQRT(SUM(INDEX($FK380:$ID380,1+SwaptionShift):INDEX($FK380:$ID380,SwaptionMonthsToGo+SwaptionShift))*SUM(INDEX($FK$325:$ID$396,HD$169,1+SwaptionShift):INDEX($FK$325:$ID$396,HD$169,SwaptionMonthsToGo+SwaptionShift))))))</f>
        <v/>
      </c>
      <c r="HE225" s="479" t="str">
        <f ca="1">IF(OR(HE$169&lt;SwaptionFirstMonthPosition+1,$FJ225&lt;SwaptionFirstMonthPosition+1,HE$169&gt;SwaptionFirstMonthPosition+SwaptionNumOfMonths+1,$FJ225&gt;SwaptionFirstMonthPosition+SwaptionNumOfMonths+1),"",IF($FJ225=HE$169,1,IF($FJ225&lt;HE$169,INDEX($FK$170:$ID$241,HE$169,$FJ225),SUMPRODUCT(INDEX($FK$325:$ID$396,HE$169,1+SwaptionShift):INDEX($FK$325:$ID$396,HE$169,SwaptionMonthsToGo+SwaptionShift),INDEX($FK$245:$ID$316,$FJ225-HE$169,73-HE$169+SwaptionShift):INDEX($FK$245:$ID$316,$FJ225-HE$169,72-HE$169+SwaptionMonthsToGo+SwaptionShift))/SQRT(SUM(INDEX($FK380:$ID380,1+SwaptionShift):INDEX($FK380:$ID380,SwaptionMonthsToGo+SwaptionShift))*SUM(INDEX($FK$325:$ID$396,HE$169,1+SwaptionShift):INDEX($FK$325:$ID$396,HE$169,SwaptionMonthsToGo+SwaptionShift))))))</f>
        <v/>
      </c>
      <c r="HF225" s="479" t="str">
        <f ca="1">IF(OR(HF$169&lt;SwaptionFirstMonthPosition+1,$FJ225&lt;SwaptionFirstMonthPosition+1,HF$169&gt;SwaptionFirstMonthPosition+SwaptionNumOfMonths+1,$FJ225&gt;SwaptionFirstMonthPosition+SwaptionNumOfMonths+1),"",IF($FJ225=HF$169,1,IF($FJ225&lt;HF$169,INDEX($FK$170:$ID$241,HF$169,$FJ225),SUMPRODUCT(INDEX($FK$325:$ID$396,HF$169,1+SwaptionShift):INDEX($FK$325:$ID$396,HF$169,SwaptionMonthsToGo+SwaptionShift),INDEX($FK$245:$ID$316,$FJ225-HF$169,73-HF$169+SwaptionShift):INDEX($FK$245:$ID$316,$FJ225-HF$169,72-HF$169+SwaptionMonthsToGo+SwaptionShift))/SQRT(SUM(INDEX($FK380:$ID380,1+SwaptionShift):INDEX($FK380:$ID380,SwaptionMonthsToGo+SwaptionShift))*SUM(INDEX($FK$325:$ID$396,HF$169,1+SwaptionShift):INDEX($FK$325:$ID$396,HF$169,SwaptionMonthsToGo+SwaptionShift))))))</f>
        <v/>
      </c>
      <c r="HG225" s="479" t="str">
        <f ca="1">IF(OR(HG$169&lt;SwaptionFirstMonthPosition+1,$FJ225&lt;SwaptionFirstMonthPosition+1,HG$169&gt;SwaptionFirstMonthPosition+SwaptionNumOfMonths+1,$FJ225&gt;SwaptionFirstMonthPosition+SwaptionNumOfMonths+1),"",IF($FJ225=HG$169,1,IF($FJ225&lt;HG$169,INDEX($FK$170:$ID$241,HG$169,$FJ225),SUMPRODUCT(INDEX($FK$325:$ID$396,HG$169,1+SwaptionShift):INDEX($FK$325:$ID$396,HG$169,SwaptionMonthsToGo+SwaptionShift),INDEX($FK$245:$ID$316,$FJ225-HG$169,73-HG$169+SwaptionShift):INDEX($FK$245:$ID$316,$FJ225-HG$169,72-HG$169+SwaptionMonthsToGo+SwaptionShift))/SQRT(SUM(INDEX($FK380:$ID380,1+SwaptionShift):INDEX($FK380:$ID380,SwaptionMonthsToGo+SwaptionShift))*SUM(INDEX($FK$325:$ID$396,HG$169,1+SwaptionShift):INDEX($FK$325:$ID$396,HG$169,SwaptionMonthsToGo+SwaptionShift))))))</f>
        <v/>
      </c>
      <c r="HH225" s="479" t="str">
        <f ca="1">IF(OR(HH$169&lt;SwaptionFirstMonthPosition+1,$FJ225&lt;SwaptionFirstMonthPosition+1,HH$169&gt;SwaptionFirstMonthPosition+SwaptionNumOfMonths+1,$FJ225&gt;SwaptionFirstMonthPosition+SwaptionNumOfMonths+1),"",IF($FJ225=HH$169,1,IF($FJ225&lt;HH$169,INDEX($FK$170:$ID$241,HH$169,$FJ225),SUMPRODUCT(INDEX($FK$325:$ID$396,HH$169,1+SwaptionShift):INDEX($FK$325:$ID$396,HH$169,SwaptionMonthsToGo+SwaptionShift),INDEX($FK$245:$ID$316,$FJ225-HH$169,73-HH$169+SwaptionShift):INDEX($FK$245:$ID$316,$FJ225-HH$169,72-HH$169+SwaptionMonthsToGo+SwaptionShift))/SQRT(SUM(INDEX($FK380:$ID380,1+SwaptionShift):INDEX($FK380:$ID380,SwaptionMonthsToGo+SwaptionShift))*SUM(INDEX($FK$325:$ID$396,HH$169,1+SwaptionShift):INDEX($FK$325:$ID$396,HH$169,SwaptionMonthsToGo+SwaptionShift))))))</f>
        <v/>
      </c>
      <c r="HI225" s="479" t="str">
        <f ca="1">IF(OR(HI$169&lt;SwaptionFirstMonthPosition+1,$FJ225&lt;SwaptionFirstMonthPosition+1,HI$169&gt;SwaptionFirstMonthPosition+SwaptionNumOfMonths+1,$FJ225&gt;SwaptionFirstMonthPosition+SwaptionNumOfMonths+1),"",IF($FJ225=HI$169,1,IF($FJ225&lt;HI$169,INDEX($FK$170:$ID$241,HI$169,$FJ225),SUMPRODUCT(INDEX($FK$325:$ID$396,HI$169,1+SwaptionShift):INDEX($FK$325:$ID$396,HI$169,SwaptionMonthsToGo+SwaptionShift),INDEX($FK$245:$ID$316,$FJ225-HI$169,73-HI$169+SwaptionShift):INDEX($FK$245:$ID$316,$FJ225-HI$169,72-HI$169+SwaptionMonthsToGo+SwaptionShift))/SQRT(SUM(INDEX($FK380:$ID380,1+SwaptionShift):INDEX($FK380:$ID380,SwaptionMonthsToGo+SwaptionShift))*SUM(INDEX($FK$325:$ID$396,HI$169,1+SwaptionShift):INDEX($FK$325:$ID$396,HI$169,SwaptionMonthsToGo+SwaptionShift))))))</f>
        <v/>
      </c>
      <c r="HJ225" s="479" t="str">
        <f ca="1">IF(OR(HJ$169&lt;SwaptionFirstMonthPosition+1,$FJ225&lt;SwaptionFirstMonthPosition+1,HJ$169&gt;SwaptionFirstMonthPosition+SwaptionNumOfMonths+1,$FJ225&gt;SwaptionFirstMonthPosition+SwaptionNumOfMonths+1),"",IF($FJ225=HJ$169,1,IF($FJ225&lt;HJ$169,INDEX($FK$170:$ID$241,HJ$169,$FJ225),SUMPRODUCT(INDEX($FK$325:$ID$396,HJ$169,1+SwaptionShift):INDEX($FK$325:$ID$396,HJ$169,SwaptionMonthsToGo+SwaptionShift),INDEX($FK$245:$ID$316,$FJ225-HJ$169,73-HJ$169+SwaptionShift):INDEX($FK$245:$ID$316,$FJ225-HJ$169,72-HJ$169+SwaptionMonthsToGo+SwaptionShift))/SQRT(SUM(INDEX($FK380:$ID380,1+SwaptionShift):INDEX($FK380:$ID380,SwaptionMonthsToGo+SwaptionShift))*SUM(INDEX($FK$325:$ID$396,HJ$169,1+SwaptionShift):INDEX($FK$325:$ID$396,HJ$169,SwaptionMonthsToGo+SwaptionShift))))))</f>
        <v/>
      </c>
      <c r="HK225" s="479" t="str">
        <f ca="1">IF(OR(HK$169&lt;SwaptionFirstMonthPosition+1,$FJ225&lt;SwaptionFirstMonthPosition+1,HK$169&gt;SwaptionFirstMonthPosition+SwaptionNumOfMonths+1,$FJ225&gt;SwaptionFirstMonthPosition+SwaptionNumOfMonths+1),"",IF($FJ225=HK$169,1,IF($FJ225&lt;HK$169,INDEX($FK$170:$ID$241,HK$169,$FJ225),SUMPRODUCT(INDEX($FK$325:$ID$396,HK$169,1+SwaptionShift):INDEX($FK$325:$ID$396,HK$169,SwaptionMonthsToGo+SwaptionShift),INDEX($FK$245:$ID$316,$FJ225-HK$169,73-HK$169+SwaptionShift):INDEX($FK$245:$ID$316,$FJ225-HK$169,72-HK$169+SwaptionMonthsToGo+SwaptionShift))/SQRT(SUM(INDEX($FK380:$ID380,1+SwaptionShift):INDEX($FK380:$ID380,SwaptionMonthsToGo+SwaptionShift))*SUM(INDEX($FK$325:$ID$396,HK$169,1+SwaptionShift):INDEX($FK$325:$ID$396,HK$169,SwaptionMonthsToGo+SwaptionShift))))))</f>
        <v/>
      </c>
      <c r="HL225" s="479" t="str">
        <f ca="1">IF(OR(HL$169&lt;SwaptionFirstMonthPosition+1,$FJ225&lt;SwaptionFirstMonthPosition+1,HL$169&gt;SwaptionFirstMonthPosition+SwaptionNumOfMonths+1,$FJ225&gt;SwaptionFirstMonthPosition+SwaptionNumOfMonths+1),"",IF($FJ225=HL$169,1,IF($FJ225&lt;HL$169,INDEX($FK$170:$ID$241,HL$169,$FJ225),SUMPRODUCT(INDEX($FK$325:$ID$396,HL$169,1+SwaptionShift):INDEX($FK$325:$ID$396,HL$169,SwaptionMonthsToGo+SwaptionShift),INDEX($FK$245:$ID$316,$FJ225-HL$169,73-HL$169+SwaptionShift):INDEX($FK$245:$ID$316,$FJ225-HL$169,72-HL$169+SwaptionMonthsToGo+SwaptionShift))/SQRT(SUM(INDEX($FK380:$ID380,1+SwaptionShift):INDEX($FK380:$ID380,SwaptionMonthsToGo+SwaptionShift))*SUM(INDEX($FK$325:$ID$396,HL$169,1+SwaptionShift):INDEX($FK$325:$ID$396,HL$169,SwaptionMonthsToGo+SwaptionShift))))))</f>
        <v/>
      </c>
      <c r="HM225" s="479" t="str">
        <f ca="1">IF(OR(HM$169&lt;SwaptionFirstMonthPosition+1,$FJ225&lt;SwaptionFirstMonthPosition+1,HM$169&gt;SwaptionFirstMonthPosition+SwaptionNumOfMonths+1,$FJ225&gt;SwaptionFirstMonthPosition+SwaptionNumOfMonths+1),"",IF($FJ225=HM$169,1,IF($FJ225&lt;HM$169,INDEX($FK$170:$ID$241,HM$169,$FJ225),SUMPRODUCT(INDEX($FK$325:$ID$396,HM$169,1+SwaptionShift):INDEX($FK$325:$ID$396,HM$169,SwaptionMonthsToGo+SwaptionShift),INDEX($FK$245:$ID$316,$FJ225-HM$169,73-HM$169+SwaptionShift):INDEX($FK$245:$ID$316,$FJ225-HM$169,72-HM$169+SwaptionMonthsToGo+SwaptionShift))/SQRT(SUM(INDEX($FK380:$ID380,1+SwaptionShift):INDEX($FK380:$ID380,SwaptionMonthsToGo+SwaptionShift))*SUM(INDEX($FK$325:$ID$396,HM$169,1+SwaptionShift):INDEX($FK$325:$ID$396,HM$169,SwaptionMonthsToGo+SwaptionShift))))))</f>
        <v/>
      </c>
      <c r="HN225" s="479" t="str">
        <f ca="1">IF(OR(HN$169&lt;SwaptionFirstMonthPosition+1,$FJ225&lt;SwaptionFirstMonthPosition+1,HN$169&gt;SwaptionFirstMonthPosition+SwaptionNumOfMonths+1,$FJ225&gt;SwaptionFirstMonthPosition+SwaptionNumOfMonths+1),"",IF($FJ225=HN$169,1,IF($FJ225&lt;HN$169,INDEX($FK$170:$ID$241,HN$169,$FJ225),SUMPRODUCT(INDEX($FK$325:$ID$396,HN$169,1+SwaptionShift):INDEX($FK$325:$ID$396,HN$169,SwaptionMonthsToGo+SwaptionShift),INDEX($FK$245:$ID$316,$FJ225-HN$169,73-HN$169+SwaptionShift):INDEX($FK$245:$ID$316,$FJ225-HN$169,72-HN$169+SwaptionMonthsToGo+SwaptionShift))/SQRT(SUM(INDEX($FK380:$ID380,1+SwaptionShift):INDEX($FK380:$ID380,SwaptionMonthsToGo+SwaptionShift))*SUM(INDEX($FK$325:$ID$396,HN$169,1+SwaptionShift):INDEX($FK$325:$ID$396,HN$169,SwaptionMonthsToGo+SwaptionShift))))))</f>
        <v/>
      </c>
      <c r="HO225" s="479" t="str">
        <f ca="1">IF(OR(HO$169&lt;SwaptionFirstMonthPosition+1,$FJ225&lt;SwaptionFirstMonthPosition+1,HO$169&gt;SwaptionFirstMonthPosition+SwaptionNumOfMonths+1,$FJ225&gt;SwaptionFirstMonthPosition+SwaptionNumOfMonths+1),"",IF($FJ225=HO$169,1,IF($FJ225&lt;HO$169,INDEX($FK$170:$ID$241,HO$169,$FJ225),SUMPRODUCT(INDEX($FK$325:$ID$396,HO$169,1+SwaptionShift):INDEX($FK$325:$ID$396,HO$169,SwaptionMonthsToGo+SwaptionShift),INDEX($FK$245:$ID$316,$FJ225-HO$169,73-HO$169+SwaptionShift):INDEX($FK$245:$ID$316,$FJ225-HO$169,72-HO$169+SwaptionMonthsToGo+SwaptionShift))/SQRT(SUM(INDEX($FK380:$ID380,1+SwaptionShift):INDEX($FK380:$ID380,SwaptionMonthsToGo+SwaptionShift))*SUM(INDEX($FK$325:$ID$396,HO$169,1+SwaptionShift):INDEX($FK$325:$ID$396,HO$169,SwaptionMonthsToGo+SwaptionShift))))))</f>
        <v/>
      </c>
      <c r="HP225" s="479" t="str">
        <f ca="1">IF(OR(HP$169&lt;SwaptionFirstMonthPosition+1,$FJ225&lt;SwaptionFirstMonthPosition+1,HP$169&gt;SwaptionFirstMonthPosition+SwaptionNumOfMonths+1,$FJ225&gt;SwaptionFirstMonthPosition+SwaptionNumOfMonths+1),"",IF($FJ225=HP$169,1,IF($FJ225&lt;HP$169,INDEX($FK$170:$ID$241,HP$169,$FJ225),SUMPRODUCT(INDEX($FK$325:$ID$396,HP$169,1+SwaptionShift):INDEX($FK$325:$ID$396,HP$169,SwaptionMonthsToGo+SwaptionShift),INDEX($FK$245:$ID$316,$FJ225-HP$169,73-HP$169+SwaptionShift):INDEX($FK$245:$ID$316,$FJ225-HP$169,72-HP$169+SwaptionMonthsToGo+SwaptionShift))/SQRT(SUM(INDEX($FK380:$ID380,1+SwaptionShift):INDEX($FK380:$ID380,SwaptionMonthsToGo+SwaptionShift))*SUM(INDEX($FK$325:$ID$396,HP$169,1+SwaptionShift):INDEX($FK$325:$ID$396,HP$169,SwaptionMonthsToGo+SwaptionShift))))))</f>
        <v/>
      </c>
      <c r="HQ225" s="479" t="str">
        <f ca="1">IF(OR(HQ$169&lt;SwaptionFirstMonthPosition+1,$FJ225&lt;SwaptionFirstMonthPosition+1,HQ$169&gt;SwaptionFirstMonthPosition+SwaptionNumOfMonths+1,$FJ225&gt;SwaptionFirstMonthPosition+SwaptionNumOfMonths+1),"",IF($FJ225=HQ$169,1,IF($FJ225&lt;HQ$169,INDEX($FK$170:$ID$241,HQ$169,$FJ225),SUMPRODUCT(INDEX($FK$325:$ID$396,HQ$169,1+SwaptionShift):INDEX($FK$325:$ID$396,HQ$169,SwaptionMonthsToGo+SwaptionShift),INDEX($FK$245:$ID$316,$FJ225-HQ$169,73-HQ$169+SwaptionShift):INDEX($FK$245:$ID$316,$FJ225-HQ$169,72-HQ$169+SwaptionMonthsToGo+SwaptionShift))/SQRT(SUM(INDEX($FK380:$ID380,1+SwaptionShift):INDEX($FK380:$ID380,SwaptionMonthsToGo+SwaptionShift))*SUM(INDEX($FK$325:$ID$396,HQ$169,1+SwaptionShift):INDEX($FK$325:$ID$396,HQ$169,SwaptionMonthsToGo+SwaptionShift))))))</f>
        <v/>
      </c>
      <c r="HR225" s="479" t="str">
        <f ca="1">IF(OR(HR$169&lt;SwaptionFirstMonthPosition+1,$FJ225&lt;SwaptionFirstMonthPosition+1,HR$169&gt;SwaptionFirstMonthPosition+SwaptionNumOfMonths+1,$FJ225&gt;SwaptionFirstMonthPosition+SwaptionNumOfMonths+1),"",IF($FJ225=HR$169,1,IF($FJ225&lt;HR$169,INDEX($FK$170:$ID$241,HR$169,$FJ225),SUMPRODUCT(INDEX($FK$325:$ID$396,HR$169,1+SwaptionShift):INDEX($FK$325:$ID$396,HR$169,SwaptionMonthsToGo+SwaptionShift),INDEX($FK$245:$ID$316,$FJ225-HR$169,73-HR$169+SwaptionShift):INDEX($FK$245:$ID$316,$FJ225-HR$169,72-HR$169+SwaptionMonthsToGo+SwaptionShift))/SQRT(SUM(INDEX($FK380:$ID380,1+SwaptionShift):INDEX($FK380:$ID380,SwaptionMonthsToGo+SwaptionShift))*SUM(INDEX($FK$325:$ID$396,HR$169,1+SwaptionShift):INDEX($FK$325:$ID$396,HR$169,SwaptionMonthsToGo+SwaptionShift))))))</f>
        <v/>
      </c>
      <c r="HS225" s="479" t="str">
        <f ca="1">IF(OR(HS$169&lt;SwaptionFirstMonthPosition+1,$FJ225&lt;SwaptionFirstMonthPosition+1,HS$169&gt;SwaptionFirstMonthPosition+SwaptionNumOfMonths+1,$FJ225&gt;SwaptionFirstMonthPosition+SwaptionNumOfMonths+1),"",IF($FJ225=HS$169,1,IF($FJ225&lt;HS$169,INDEX($FK$170:$ID$241,HS$169,$FJ225),SUMPRODUCT(INDEX($FK$325:$ID$396,HS$169,1+SwaptionShift):INDEX($FK$325:$ID$396,HS$169,SwaptionMonthsToGo+SwaptionShift),INDEX($FK$245:$ID$316,$FJ225-HS$169,73-HS$169+SwaptionShift):INDEX($FK$245:$ID$316,$FJ225-HS$169,72-HS$169+SwaptionMonthsToGo+SwaptionShift))/SQRT(SUM(INDEX($FK380:$ID380,1+SwaptionShift):INDEX($FK380:$ID380,SwaptionMonthsToGo+SwaptionShift))*SUM(INDEX($FK$325:$ID$396,HS$169,1+SwaptionShift):INDEX($FK$325:$ID$396,HS$169,SwaptionMonthsToGo+SwaptionShift))))))</f>
        <v/>
      </c>
      <c r="HT225" s="479" t="str">
        <f ca="1">IF(OR(HT$169&lt;SwaptionFirstMonthPosition+1,$FJ225&lt;SwaptionFirstMonthPosition+1,HT$169&gt;SwaptionFirstMonthPosition+SwaptionNumOfMonths+1,$FJ225&gt;SwaptionFirstMonthPosition+SwaptionNumOfMonths+1),"",IF($FJ225=HT$169,1,IF($FJ225&lt;HT$169,INDEX($FK$170:$ID$241,HT$169,$FJ225),SUMPRODUCT(INDEX($FK$325:$ID$396,HT$169,1+SwaptionShift):INDEX($FK$325:$ID$396,HT$169,SwaptionMonthsToGo+SwaptionShift),INDEX($FK$245:$ID$316,$FJ225-HT$169,73-HT$169+SwaptionShift):INDEX($FK$245:$ID$316,$FJ225-HT$169,72-HT$169+SwaptionMonthsToGo+SwaptionShift))/SQRT(SUM(INDEX($FK380:$ID380,1+SwaptionShift):INDEX($FK380:$ID380,SwaptionMonthsToGo+SwaptionShift))*SUM(INDEX($FK$325:$ID$396,HT$169,1+SwaptionShift):INDEX($FK$325:$ID$396,HT$169,SwaptionMonthsToGo+SwaptionShift))))))</f>
        <v/>
      </c>
      <c r="HU225" s="479" t="str">
        <f ca="1">IF(OR(HU$169&lt;SwaptionFirstMonthPosition+1,$FJ225&lt;SwaptionFirstMonthPosition+1,HU$169&gt;SwaptionFirstMonthPosition+SwaptionNumOfMonths+1,$FJ225&gt;SwaptionFirstMonthPosition+SwaptionNumOfMonths+1),"",IF($FJ225=HU$169,1,IF($FJ225&lt;HU$169,INDEX($FK$170:$ID$241,HU$169,$FJ225),SUMPRODUCT(INDEX($FK$325:$ID$396,HU$169,1+SwaptionShift):INDEX($FK$325:$ID$396,HU$169,SwaptionMonthsToGo+SwaptionShift),INDEX($FK$245:$ID$316,$FJ225-HU$169,73-HU$169+SwaptionShift):INDEX($FK$245:$ID$316,$FJ225-HU$169,72-HU$169+SwaptionMonthsToGo+SwaptionShift))/SQRT(SUM(INDEX($FK380:$ID380,1+SwaptionShift):INDEX($FK380:$ID380,SwaptionMonthsToGo+SwaptionShift))*SUM(INDEX($FK$325:$ID$396,HU$169,1+SwaptionShift):INDEX($FK$325:$ID$396,HU$169,SwaptionMonthsToGo+SwaptionShift))))))</f>
        <v/>
      </c>
      <c r="HV225" s="479" t="str">
        <f ca="1">IF(OR(HV$169&lt;SwaptionFirstMonthPosition+1,$FJ225&lt;SwaptionFirstMonthPosition+1,HV$169&gt;SwaptionFirstMonthPosition+SwaptionNumOfMonths+1,$FJ225&gt;SwaptionFirstMonthPosition+SwaptionNumOfMonths+1),"",IF($FJ225=HV$169,1,IF($FJ225&lt;HV$169,INDEX($FK$170:$ID$241,HV$169,$FJ225),SUMPRODUCT(INDEX($FK$325:$ID$396,HV$169,1+SwaptionShift):INDEX($FK$325:$ID$396,HV$169,SwaptionMonthsToGo+SwaptionShift),INDEX($FK$245:$ID$316,$FJ225-HV$169,73-HV$169+SwaptionShift):INDEX($FK$245:$ID$316,$FJ225-HV$169,72-HV$169+SwaptionMonthsToGo+SwaptionShift))/SQRT(SUM(INDEX($FK380:$ID380,1+SwaptionShift):INDEX($FK380:$ID380,SwaptionMonthsToGo+SwaptionShift))*SUM(INDEX($FK$325:$ID$396,HV$169,1+SwaptionShift):INDEX($FK$325:$ID$396,HV$169,SwaptionMonthsToGo+SwaptionShift))))))</f>
        <v/>
      </c>
      <c r="HW225" s="479" t="str">
        <f ca="1">IF(OR(HW$169&lt;SwaptionFirstMonthPosition+1,$FJ225&lt;SwaptionFirstMonthPosition+1,HW$169&gt;SwaptionFirstMonthPosition+SwaptionNumOfMonths+1,$FJ225&gt;SwaptionFirstMonthPosition+SwaptionNumOfMonths+1),"",IF($FJ225=HW$169,1,IF($FJ225&lt;HW$169,INDEX($FK$170:$ID$241,HW$169,$FJ225),SUMPRODUCT(INDEX($FK$325:$ID$396,HW$169,1+SwaptionShift):INDEX($FK$325:$ID$396,HW$169,SwaptionMonthsToGo+SwaptionShift),INDEX($FK$245:$ID$316,$FJ225-HW$169,73-HW$169+SwaptionShift):INDEX($FK$245:$ID$316,$FJ225-HW$169,72-HW$169+SwaptionMonthsToGo+SwaptionShift))/SQRT(SUM(INDEX($FK380:$ID380,1+SwaptionShift):INDEX($FK380:$ID380,SwaptionMonthsToGo+SwaptionShift))*SUM(INDEX($FK$325:$ID$396,HW$169,1+SwaptionShift):INDEX($FK$325:$ID$396,HW$169,SwaptionMonthsToGo+SwaptionShift))))))</f>
        <v/>
      </c>
      <c r="HX225" s="479" t="str">
        <f ca="1">IF(OR(HX$169&lt;SwaptionFirstMonthPosition+1,$FJ225&lt;SwaptionFirstMonthPosition+1,HX$169&gt;SwaptionFirstMonthPosition+SwaptionNumOfMonths+1,$FJ225&gt;SwaptionFirstMonthPosition+SwaptionNumOfMonths+1),"",IF($FJ225=HX$169,1,IF($FJ225&lt;HX$169,INDEX($FK$170:$ID$241,HX$169,$FJ225),SUMPRODUCT(INDEX($FK$325:$ID$396,HX$169,1+SwaptionShift):INDEX($FK$325:$ID$396,HX$169,SwaptionMonthsToGo+SwaptionShift),INDEX($FK$245:$ID$316,$FJ225-HX$169,73-HX$169+SwaptionShift):INDEX($FK$245:$ID$316,$FJ225-HX$169,72-HX$169+SwaptionMonthsToGo+SwaptionShift))/SQRT(SUM(INDEX($FK380:$ID380,1+SwaptionShift):INDEX($FK380:$ID380,SwaptionMonthsToGo+SwaptionShift))*SUM(INDEX($FK$325:$ID$396,HX$169,1+SwaptionShift):INDEX($FK$325:$ID$396,HX$169,SwaptionMonthsToGo+SwaptionShift))))))</f>
        <v/>
      </c>
      <c r="HY225" s="479" t="str">
        <f ca="1">IF(OR(HY$169&lt;SwaptionFirstMonthPosition+1,$FJ225&lt;SwaptionFirstMonthPosition+1,HY$169&gt;SwaptionFirstMonthPosition+SwaptionNumOfMonths+1,$FJ225&gt;SwaptionFirstMonthPosition+SwaptionNumOfMonths+1),"",IF($FJ225=HY$169,1,IF($FJ225&lt;HY$169,INDEX($FK$170:$ID$241,HY$169,$FJ225),SUMPRODUCT(INDEX($FK$325:$ID$396,HY$169,1+SwaptionShift):INDEX($FK$325:$ID$396,HY$169,SwaptionMonthsToGo+SwaptionShift),INDEX($FK$245:$ID$316,$FJ225-HY$169,73-HY$169+SwaptionShift):INDEX($FK$245:$ID$316,$FJ225-HY$169,72-HY$169+SwaptionMonthsToGo+SwaptionShift))/SQRT(SUM(INDEX($FK380:$ID380,1+SwaptionShift):INDEX($FK380:$ID380,SwaptionMonthsToGo+SwaptionShift))*SUM(INDEX($FK$325:$ID$396,HY$169,1+SwaptionShift):INDEX($FK$325:$ID$396,HY$169,SwaptionMonthsToGo+SwaptionShift))))))</f>
        <v/>
      </c>
      <c r="HZ225" s="479" t="str">
        <f ca="1">IF(OR(HZ$169&lt;SwaptionFirstMonthPosition+1,$FJ225&lt;SwaptionFirstMonthPosition+1,HZ$169&gt;SwaptionFirstMonthPosition+SwaptionNumOfMonths+1,$FJ225&gt;SwaptionFirstMonthPosition+SwaptionNumOfMonths+1),"",IF($FJ225=HZ$169,1,IF($FJ225&lt;HZ$169,INDEX($FK$170:$ID$241,HZ$169,$FJ225),SUMPRODUCT(INDEX($FK$325:$ID$396,HZ$169,1+SwaptionShift):INDEX($FK$325:$ID$396,HZ$169,SwaptionMonthsToGo+SwaptionShift),INDEX($FK$245:$ID$316,$FJ225-HZ$169,73-HZ$169+SwaptionShift):INDEX($FK$245:$ID$316,$FJ225-HZ$169,72-HZ$169+SwaptionMonthsToGo+SwaptionShift))/SQRT(SUM(INDEX($FK380:$ID380,1+SwaptionShift):INDEX($FK380:$ID380,SwaptionMonthsToGo+SwaptionShift))*SUM(INDEX($FK$325:$ID$396,HZ$169,1+SwaptionShift):INDEX($FK$325:$ID$396,HZ$169,SwaptionMonthsToGo+SwaptionShift))))))</f>
        <v/>
      </c>
      <c r="IA225" s="479" t="str">
        <f ca="1">IF(OR(IA$169&lt;SwaptionFirstMonthPosition+1,$FJ225&lt;SwaptionFirstMonthPosition+1,IA$169&gt;SwaptionFirstMonthPosition+SwaptionNumOfMonths+1,$FJ225&gt;SwaptionFirstMonthPosition+SwaptionNumOfMonths+1),"",IF($FJ225=IA$169,1,IF($FJ225&lt;IA$169,INDEX($FK$170:$ID$241,IA$169,$FJ225),SUMPRODUCT(INDEX($FK$325:$ID$396,IA$169,1+SwaptionShift):INDEX($FK$325:$ID$396,IA$169,SwaptionMonthsToGo+SwaptionShift),INDEX($FK$245:$ID$316,$FJ225-IA$169,73-IA$169+SwaptionShift):INDEX($FK$245:$ID$316,$FJ225-IA$169,72-IA$169+SwaptionMonthsToGo+SwaptionShift))/SQRT(SUM(INDEX($FK380:$ID380,1+SwaptionShift):INDEX($FK380:$ID380,SwaptionMonthsToGo+SwaptionShift))*SUM(INDEX($FK$325:$ID$396,IA$169,1+SwaptionShift):INDEX($FK$325:$ID$396,IA$169,SwaptionMonthsToGo+SwaptionShift))))))</f>
        <v/>
      </c>
      <c r="IB225" s="479" t="str">
        <f ca="1">IF(OR(IB$169&lt;SwaptionFirstMonthPosition+1,$FJ225&lt;SwaptionFirstMonthPosition+1,IB$169&gt;SwaptionFirstMonthPosition+SwaptionNumOfMonths+1,$FJ225&gt;SwaptionFirstMonthPosition+SwaptionNumOfMonths+1),"",IF($FJ225=IB$169,1,IF($FJ225&lt;IB$169,INDEX($FK$170:$ID$241,IB$169,$FJ225),SUMPRODUCT(INDEX($FK$325:$ID$396,IB$169,1+SwaptionShift):INDEX($FK$325:$ID$396,IB$169,SwaptionMonthsToGo+SwaptionShift),INDEX($FK$245:$ID$316,$FJ225-IB$169,73-IB$169+SwaptionShift):INDEX($FK$245:$ID$316,$FJ225-IB$169,72-IB$169+SwaptionMonthsToGo+SwaptionShift))/SQRT(SUM(INDEX($FK380:$ID380,1+SwaptionShift):INDEX($FK380:$ID380,SwaptionMonthsToGo+SwaptionShift))*SUM(INDEX($FK$325:$ID$396,IB$169,1+SwaptionShift):INDEX($FK$325:$ID$396,IB$169,SwaptionMonthsToGo+SwaptionShift))))))</f>
        <v/>
      </c>
      <c r="IC225" s="479" t="str">
        <f ca="1">IF(OR(IC$169&lt;SwaptionFirstMonthPosition+1,$FJ225&lt;SwaptionFirstMonthPosition+1,IC$169&gt;SwaptionFirstMonthPosition+SwaptionNumOfMonths+1,$FJ225&gt;SwaptionFirstMonthPosition+SwaptionNumOfMonths+1),"",IF($FJ225=IC$169,1,IF($FJ225&lt;IC$169,INDEX($FK$170:$ID$241,IC$169,$FJ225),SUMPRODUCT(INDEX($FK$325:$ID$396,IC$169,1+SwaptionShift):INDEX($FK$325:$ID$396,IC$169,SwaptionMonthsToGo+SwaptionShift),INDEX($FK$245:$ID$316,$FJ225-IC$169,73-IC$169+SwaptionShift):INDEX($FK$245:$ID$316,$FJ225-IC$169,72-IC$169+SwaptionMonthsToGo+SwaptionShift))/SQRT(SUM(INDEX($FK380:$ID380,1+SwaptionShift):INDEX($FK380:$ID380,SwaptionMonthsToGo+SwaptionShift))*SUM(INDEX($FK$325:$ID$396,IC$169,1+SwaptionShift):INDEX($FK$325:$ID$396,IC$169,SwaptionMonthsToGo+SwaptionShift))))))</f>
        <v/>
      </c>
      <c r="ID225" s="678" t="str">
        <f ca="1">IF(OR(ID$169&lt;SwaptionFirstMonthPosition+1,$FJ225&lt;SwaptionFirstMonthPosition+1,ID$169&gt;SwaptionFirstMonthPosition+SwaptionNumOfMonths+1,$FJ225&gt;SwaptionFirstMonthPosition+SwaptionNumOfMonths+1),"",IF($FJ225=ID$169,1,IF($FJ225&lt;ID$169,INDEX($FK$170:$ID$241,ID$169,$FJ225),SUMPRODUCT(INDEX($FK$325:$ID$396,ID$169,1+SwaptionShift):INDEX($FK$325:$ID$396,ID$169,SwaptionMonthsToGo+SwaptionShift),INDEX($FK$245:$ID$316,$FJ225-ID$169,73-ID$169+SwaptionShift):INDEX($FK$245:$ID$316,$FJ225-ID$169,72-ID$169+SwaptionMonthsToGo+SwaptionShift))/SQRT(SUM(INDEX($FK380:$ID380,1+SwaptionShift):INDEX($FK380:$ID380,SwaptionMonthsToGo+SwaptionShift))*SUM(INDEX($FK$325:$ID$396,ID$169,1+SwaptionShift):INDEX($FK$325:$ID$396,ID$169,SwaptionMonthsToGo+SwaptionShift))))))</f>
        <v/>
      </c>
      <c r="IE225" s="250"/>
    </row>
    <row r="226" spans="8:239">
      <c r="H226" s="51">
        <f t="shared" ca="1" si="646"/>
        <v>0</v>
      </c>
      <c r="I226" s="379">
        <f t="shared" si="647"/>
        <v>43040</v>
      </c>
      <c r="J226" s="377"/>
      <c r="K226" s="104" t="s">
        <v>268</v>
      </c>
      <c r="L226" s="392">
        <f t="shared" si="648"/>
        <v>4.8749999999999982</v>
      </c>
      <c r="M226" s="171"/>
      <c r="N226" s="382">
        <v>0</v>
      </c>
      <c r="O226" s="171">
        <f t="shared" si="596"/>
        <v>0</v>
      </c>
      <c r="P226" s="377"/>
      <c r="Q226" s="104" t="s">
        <v>268</v>
      </c>
      <c r="R226" s="377">
        <f t="shared" ca="1" si="597"/>
        <v>3.670445257658304</v>
      </c>
      <c r="S226" s="832">
        <f t="shared" si="671"/>
        <v>0.3600000000000001</v>
      </c>
      <c r="T226" s="831">
        <f t="shared" si="661"/>
        <v>0.99999999999999889</v>
      </c>
      <c r="U226" s="545">
        <f t="shared" si="662"/>
        <v>0.99999999999999978</v>
      </c>
      <c r="V226" s="389">
        <v>0</v>
      </c>
      <c r="W226" s="434">
        <f t="shared" si="598"/>
        <v>0</v>
      </c>
      <c r="X226" s="415">
        <f t="shared" si="599"/>
        <v>4.9261363636363615</v>
      </c>
      <c r="Y226" s="322">
        <f t="shared" si="600"/>
        <v>-1.1931</v>
      </c>
      <c r="Z226" s="322">
        <f t="shared" ca="1" si="601"/>
        <v>3.7330363636363613</v>
      </c>
      <c r="AA226" s="429">
        <f t="shared" si="628"/>
        <v>1.1931</v>
      </c>
      <c r="AB226" s="433">
        <f t="shared" ca="1" si="629"/>
        <v>1.1931</v>
      </c>
      <c r="AC226" s="229">
        <v>43028</v>
      </c>
      <c r="AD226" s="229">
        <v>43024</v>
      </c>
      <c r="AE226" s="229">
        <v>43023</v>
      </c>
      <c r="AF226" s="229">
        <v>43019</v>
      </c>
      <c r="AG226" s="249" t="s">
        <v>499</v>
      </c>
      <c r="AH226" s="247" t="s">
        <v>499</v>
      </c>
      <c r="AI226" s="146">
        <v>22</v>
      </c>
      <c r="AJ226" s="41">
        <v>14</v>
      </c>
      <c r="AK226" s="41">
        <v>8</v>
      </c>
      <c r="AL226" s="293">
        <v>22</v>
      </c>
      <c r="AM226" s="41">
        <v>10</v>
      </c>
      <c r="AN226" s="147">
        <v>12</v>
      </c>
      <c r="AO226" s="374"/>
      <c r="AP226" s="153">
        <f t="shared" ca="1" si="649"/>
        <v>1</v>
      </c>
      <c r="AQ226" s="374"/>
      <c r="AR226" s="153">
        <f t="shared" ca="1" si="663"/>
        <v>1</v>
      </c>
      <c r="AS226" s="272">
        <f t="shared" si="602"/>
        <v>0</v>
      </c>
      <c r="AT226" s="157">
        <f t="shared" si="650"/>
        <v>0</v>
      </c>
      <c r="AU226" s="157">
        <f t="shared" si="630"/>
        <v>0</v>
      </c>
      <c r="AV226" s="271">
        <f t="shared" ca="1" si="670"/>
        <v>9.9999999999999995E-7</v>
      </c>
      <c r="AW226" s="158" t="str">
        <f t="shared" ca="1" si="583"/>
        <v/>
      </c>
      <c r="AX226" s="157">
        <f t="shared" ca="1" si="664"/>
        <v>2.4292607031790953E-5</v>
      </c>
      <c r="AY226" s="157">
        <f t="shared" ca="1" si="665"/>
        <v>4.7601342518883531E-6</v>
      </c>
      <c r="AZ226" s="157">
        <f t="shared" ca="1" si="666"/>
        <v>9.9342995709691968E-8</v>
      </c>
      <c r="BA226" s="157">
        <f t="shared" ca="1" si="667"/>
        <v>1.2417874463711496E-8</v>
      </c>
      <c r="BB226" s="157">
        <f t="shared" ca="1" si="668"/>
        <v>2.5138545376418755E-11</v>
      </c>
      <c r="BC226" s="157">
        <f t="shared" ca="1" si="669"/>
        <v>3.0840721239295599E-13</v>
      </c>
      <c r="BD226" s="151">
        <f t="shared" ca="1" si="603"/>
        <v>0</v>
      </c>
      <c r="BE226" s="152">
        <f t="shared" ca="1" si="604"/>
        <v>0</v>
      </c>
      <c r="BF226" s="40">
        <f t="shared" si="605"/>
        <v>2017</v>
      </c>
      <c r="BG226" s="144">
        <f t="shared" si="606"/>
        <v>11</v>
      </c>
      <c r="BH226" s="145">
        <f t="shared" ca="1" si="607"/>
        <v>6279</v>
      </c>
      <c r="BI226" s="313">
        <f t="shared" ca="1" si="608"/>
        <v>17.234770704996578</v>
      </c>
      <c r="BJ226" s="42">
        <f t="shared" ca="1" si="631"/>
        <v>17.285296496795471</v>
      </c>
      <c r="BK226" s="42">
        <f t="shared" ca="1" si="632"/>
        <v>17.288034347582602</v>
      </c>
      <c r="BL226" s="42">
        <f t="shared" ca="1" si="609"/>
        <v>17.31416837782341</v>
      </c>
      <c r="BM226" s="150" t="e">
        <f t="shared" ca="1" si="633"/>
        <v>#DIV/0!</v>
      </c>
      <c r="BN226" s="42" t="e">
        <f t="shared" ca="1" si="634"/>
        <v>#DIV/0!</v>
      </c>
      <c r="BO226" s="293">
        <f t="shared" si="610"/>
        <v>22</v>
      </c>
      <c r="BP226" s="41">
        <f t="shared" si="611"/>
        <v>14</v>
      </c>
      <c r="BQ226" s="41">
        <f t="shared" si="612"/>
        <v>8</v>
      </c>
      <c r="BR226" s="305" t="str">
        <f t="shared" ca="1" si="635"/>
        <v/>
      </c>
      <c r="BS226" s="305" t="str">
        <f t="shared" ca="1" si="613"/>
        <v/>
      </c>
      <c r="BT226" s="307" t="str">
        <f t="shared" ca="1" si="614"/>
        <v/>
      </c>
      <c r="BU226" s="161" t="str">
        <f t="shared" ca="1" si="636"/>
        <v/>
      </c>
      <c r="BV226" s="161" t="str">
        <f t="shared" ca="1" si="637"/>
        <v/>
      </c>
      <c r="BW226" s="308" t="str">
        <f t="shared" ca="1" si="638"/>
        <v/>
      </c>
      <c r="BX226" s="309" t="str">
        <f t="shared" ca="1" si="639"/>
        <v/>
      </c>
      <c r="BY226" s="308" t="str">
        <f t="shared" ca="1" si="615"/>
        <v/>
      </c>
      <c r="BZ226" s="309" t="str">
        <f t="shared" ca="1" si="616"/>
        <v/>
      </c>
      <c r="CA226" s="154" t="str">
        <f t="shared" ca="1" si="640"/>
        <v/>
      </c>
      <c r="CB226" s="154" t="str">
        <f t="shared" ca="1" si="641"/>
        <v/>
      </c>
      <c r="CC226" s="154" t="str">
        <f t="shared" ca="1" si="642"/>
        <v/>
      </c>
      <c r="CD226" s="154" t="str">
        <f t="shared" ca="1" si="643"/>
        <v/>
      </c>
      <c r="CE226" s="310">
        <v>1</v>
      </c>
      <c r="CF226" s="162">
        <f ca="1">IF(BD226,_xll.xCrudeAPO(BU226,BV226,CA226,CB226,S227,S228,BI226,BL226,BP226,BQ226,0,Strike1,AO226,CE226,0,BL226,IF(OptControl=4,0,1),0,1),0)</f>
        <v>0</v>
      </c>
      <c r="CG226" s="163">
        <f ca="1">IF(BD226,_xll.xCrudeAPO(BU226,BV226,CA226,CB226,S227,S228,BI226,BL226,BP226,BQ226,0,Strike1,AO226,CE226,0,BL226,IF(OptControl=4,0,1),1,1)+_xll.xCrudeAPO(BU226,BV226,CA226,CB226,S227,S228,BI226,BL226,BP226,BQ226,0,Strike1,AO226,CE226,0,BL226,IF(OptControl=4,0,1),1,2)+IF(OR(VolSkewFlag=2,ABS(BS226)&lt;0.0001),0,IF(BS226&gt;0,-1,1)*CH226*Strike1/BR226^2*BY226/10%),0)</f>
        <v>0</v>
      </c>
      <c r="CH226" s="163">
        <f ca="1">IF(BD226,(_xll.xCrudeAPO(BU226,BV226,CA226,CB226,S227,S228,BI226,BL226,BP226,BQ226,0,Strike1,AO226,CE226,0,BL226,IF(OptControl=4,0,1),3,1)+_xll.xCrudeAPO(BU226,BV226,CA226,CB226,S227,S228,BI226,BL226,BP226,BQ226,0,Strike1,AO226,CE226,0,BL226,IF(OptControl=4,0,1),3,2))/100,0)</f>
        <v>0</v>
      </c>
      <c r="CI226" s="163">
        <f ca="1">IF(BD226,_xll.xCrudeAPO(BU226,BV226,CA226,CB226,S227,S228,BI226-DaysForThetaCalculation/365.25,BL226-DaysForThetaCalculation/365.25,BP226,BQ226,0,Strike1,AO226,CE226,0,BL226,IF(OptControl=4,0,1),0,1)-_xll.xCrudeAPO(BU226,BV226,CA226,CB226,S227,S228,BI226,BL226,BP226,BQ226,0,Strike1,AO226,CE226,0,BL226,IF(OptControl=4,0,1),0,1),0)</f>
        <v>0</v>
      </c>
      <c r="CJ226" s="311">
        <f ca="1">IF(BD226,_xll.xCrudeAPO(BU226,BV226,CC226,CD226,S227,S228,BI226,BL226,BP226,BQ226,0,Strike2,AO226,CE226,0,BL226,IF(OptControl=3,1,0),0,1),0)</f>
        <v>0</v>
      </c>
      <c r="CK226" s="163">
        <f ca="1">IF(BD226,_xll.xCrudeAPO(BU226,BV226,CC226,CD226,S227,S228,BI226,BL226,BP226,BQ226,0,Strike2,AO226,CE226,0,BL226,IF(OptControl=3,1,0),1,1)+_xll.xCrudeAPO(BU226,BV226,CC226,CD226,S227,S228,BI226,BL226,BP226,BQ226,0,Strike2,AO226,CE226,0,BL226,IF(OptControl=3,1,0),1,2)+IF(OR(VolSkewFlag=2,ABS(BT226)&lt;0.0001),0,IF(BT226&gt;0,-1,1)*CL226*Strike2/BR226^2*BZ226/10%),0)</f>
        <v>0</v>
      </c>
      <c r="CL226" s="163">
        <f ca="1">IF(BD226,(_xll.xCrudeAPO(BU226,BV226,CC226,CD226,S227,S228,BI226,BL226,BP226,BQ226,0,Strike2,AO226,CE226,0,BL226,IF(OptControl=3,1,0),3,1)+_xll.xCrudeAPO(BU226,BV226,CC226,CD226,S227,S228,BI226,BL226,BP226,BQ226,0,Strike2,AO226,CE226,0,BL226,IF(OptControl=3,1,0),3,2))/100,0)</f>
        <v>0</v>
      </c>
      <c r="CM226" s="164">
        <f ca="1">IF(BD226,_xll.xCrudeAPO(BU226,BV226,CC226,CD226,S227,S228,BI226-DaysForThetaCalculation/365.25,BL226-DaysForThetaCalculation/365.25,BP226,BQ226,0,Strike2,AO226,CE226,0,BL226,IF(OptControl=3,1,0),0,1)-_xll.xCrudeAPO(BU226,BV226,CC226,CD226,S227,S228,BI226,BL226,BP226,BQ226,0,Strike2,AO226,CE226,0,BL226,IF(OptControl=3,1,0),0,1),0)</f>
        <v>0</v>
      </c>
      <c r="CN226" s="53"/>
      <c r="CO226" s="796" t="str">
        <f t="shared" ca="1" si="651"/>
        <v/>
      </c>
      <c r="CP226" s="800" t="str">
        <f t="shared" ca="1" si="652"/>
        <v/>
      </c>
      <c r="CQ226" s="797" t="str">
        <f t="shared" ca="1" si="653"/>
        <v/>
      </c>
      <c r="CR226" s="797" t="str">
        <f t="shared" ca="1" si="654"/>
        <v/>
      </c>
      <c r="CS226" s="797" t="str">
        <f t="shared" ca="1" si="655"/>
        <v/>
      </c>
      <c r="CT226" s="797" t="str">
        <f t="shared" ca="1" si="656"/>
        <v/>
      </c>
      <c r="CU226" s="798" t="str">
        <f t="shared" ca="1" si="657"/>
        <v/>
      </c>
      <c r="CV226" s="799" t="str">
        <f t="shared" ca="1" si="658"/>
        <v/>
      </c>
      <c r="CW226" s="799" t="str">
        <f t="shared" ca="1" si="659"/>
        <v/>
      </c>
      <c r="CX226" s="163">
        <f ca="1">IF(BD226,_xll.EURO(CP226,Strike1,AO226,AO226,CV226,CO226,IF(OptControl=4,0,1),0),0)</f>
        <v>0</v>
      </c>
      <c r="CY226" s="163">
        <f ca="1">IF(BD226,_xll.EURO(CP226,Strike1,AO226,AO226,CV226,CO226,IF(OptControl=4,0,1),1)+IF(OR(VolSkewFlag=2,ABS(CQ226)&lt;0.0001),0,IF(CQ226&gt;0,-1,1)*CZ226*100*Strike1/CP226^2*CS226/10%),0)</f>
        <v>0</v>
      </c>
      <c r="CZ226" s="163">
        <f ca="1">IF(BD226,_xll.EURO(CP226,Strike1,AO226,AO226,CV226,CO226,IF(OptControl=4,0,1),3)/100,0)</f>
        <v>0</v>
      </c>
      <c r="DA226" s="163">
        <f ca="1">IF(BD226,_xll.EURO(CP226,Strike1,AO226,AO226,CV226,CO226,IF(OptControl=4,0,1),0)-_xll.EURO(CP226,Strike1,AO226,AO226,CV226,CO226-1,IF(OptControl=4,0,1),0),0)</f>
        <v>0</v>
      </c>
      <c r="DB226" s="163">
        <f ca="1">IF(BD226,_xll.EURO(CP226,Strike2,AO226,AO226,CW226,CO226,IF(OptControl=3,1,0),0),0)</f>
        <v>0</v>
      </c>
      <c r="DC226" s="163">
        <f ca="1">IF(BD226,_xll.EURO(CP226,Strike2,AO226,AO226,CW226,CO226,IF(OptControl=3,1,0),1)+IF(OR(VolSkewFlag=2,ABS(CR226)&lt;0.0001),0,IF(CR226&gt;0,-1,1)*DD226*100*Strike2/CP226^2*CT226/10%),0)</f>
        <v>0</v>
      </c>
      <c r="DD226" s="163">
        <f ca="1">IF(BD226,_xll.EURO(CP226,Strike2,AO226,AO226,CW226,CO226,IF(OptControl=3,1,0),3)/100,0)</f>
        <v>0</v>
      </c>
      <c r="DE226" s="164">
        <f ca="1">IF(BD226,_xll.EURO(CP226,Strike2,AO226,AO226,CW226,CO226,IF(OptControl=3,1,0),0)-_xll.EURO(CP226,Strike2,AO226,AO226,CW226,CO226-1,IF(OptControl=3,1,0),0),0)</f>
        <v>0</v>
      </c>
      <c r="DG226" s="667">
        <f t="shared" ca="1" si="660"/>
        <v>42826</v>
      </c>
      <c r="DH226" s="475">
        <v>24.460000000000093</v>
      </c>
      <c r="DI226" s="665">
        <v>24.525000000000095</v>
      </c>
      <c r="DJ226" s="666">
        <f t="shared" ca="1" si="617"/>
        <v>42826</v>
      </c>
      <c r="DK226" s="475">
        <v>23.267959942443277</v>
      </c>
      <c r="DL226" s="665">
        <v>23.233500000000095</v>
      </c>
      <c r="DM226" s="667">
        <f t="shared" ca="1" si="618"/>
        <v>42826</v>
      </c>
      <c r="DN226" s="668">
        <f t="shared" si="619"/>
        <v>23.317959942443277</v>
      </c>
      <c r="DO226" s="667">
        <f t="shared" ca="1" si="620"/>
        <v>42826</v>
      </c>
      <c r="DP226" s="579">
        <f t="shared" si="621"/>
        <v>23.233500000000095</v>
      </c>
      <c r="DQ226" s="821">
        <v>0</v>
      </c>
      <c r="DR226" s="666">
        <f t="shared" ca="1" si="622"/>
        <v>42826</v>
      </c>
      <c r="DS226" s="669">
        <v>0.10099999999999802</v>
      </c>
      <c r="DT226" s="606">
        <v>0.10021999999999802</v>
      </c>
      <c r="DU226" s="666">
        <f t="shared" ca="1" si="623"/>
        <v>42826</v>
      </c>
      <c r="DV226" s="669">
        <v>0.10099999999999802</v>
      </c>
      <c r="DW226" s="606">
        <v>0.10021999999999802</v>
      </c>
      <c r="DX226" s="667">
        <f t="shared" ca="1" si="624"/>
        <v>42826</v>
      </c>
      <c r="DY226" s="606">
        <v>0.35</v>
      </c>
      <c r="DZ226" s="667">
        <f t="shared" ca="1" si="625"/>
        <v>42826</v>
      </c>
      <c r="EA226" s="606">
        <f t="shared" si="626"/>
        <v>0.10021999999999802</v>
      </c>
      <c r="EB226" s="1"/>
      <c r="EC226" s="118" t="str">
        <f t="shared" ca="1" si="627"/>
        <v/>
      </c>
      <c r="ED226" s="119" t="str">
        <f t="shared" ca="1" si="644"/>
        <v/>
      </c>
      <c r="EE226" s="112" t="str">
        <f t="shared" ca="1" si="645"/>
        <v/>
      </c>
      <c r="EF226" s="120">
        <f ca="1">IF(BD226,_xll.xASN(BR226,Strike1,AO226,ED226,0,BO226,0,BI226,BL226,IF(OptControl=4,0,1),0),0)</f>
        <v>0</v>
      </c>
      <c r="EG226" s="111">
        <f ca="1">IF(BD226,_xll.xASN(BR226,Strike2,AO226,EE226,0,BO226,0,BI226,BL226,IF(OptControl=3,1,0),0),0)</f>
        <v>0</v>
      </c>
      <c r="EL226" s="55"/>
      <c r="EM226" s="1"/>
      <c r="EN226" s="106"/>
      <c r="EO226" s="106"/>
      <c r="EP226" s="1"/>
      <c r="EQ226" s="683" t="s">
        <v>440</v>
      </c>
      <c r="ES226" s="55"/>
      <c r="EU226" s="107"/>
      <c r="FJ226" s="673">
        <v>57</v>
      </c>
      <c r="FK226" s="479" t="str">
        <f ca="1">IF(OR(FK$169&lt;SwaptionFirstMonthPosition+1,$FJ226&lt;SwaptionFirstMonthPosition+1,FK$169&gt;SwaptionFirstMonthPosition+SwaptionNumOfMonths+1,$FJ226&gt;SwaptionFirstMonthPosition+SwaptionNumOfMonths+1),"",IF($FJ226=FK$169,1,IF($FJ226&lt;FK$169,INDEX($FK$170:$ID$241,FK$169,$FJ226),SUMPRODUCT(INDEX($FK$325:$ID$396,FK$169,1+SwaptionShift):INDEX($FK$325:$ID$396,FK$169,SwaptionMonthsToGo+SwaptionShift),INDEX($FK$245:$ID$316,$FJ226-FK$169,73-FK$169+SwaptionShift):INDEX($FK$245:$ID$316,$FJ226-FK$169,72-FK$169+SwaptionMonthsToGo+SwaptionShift))/SQRT(SUM(INDEX($FK381:$ID381,1+SwaptionShift):INDEX($FK381:$ID381,SwaptionMonthsToGo+SwaptionShift))*SUM(INDEX($FK$325:$ID$396,FK$169,1+SwaptionShift):INDEX($FK$325:$ID$396,FK$169,SwaptionMonthsToGo+SwaptionShift))))))</f>
        <v/>
      </c>
      <c r="FL226" s="479" t="str">
        <f ca="1">IF(OR(FL$169&lt;SwaptionFirstMonthPosition+1,$FJ226&lt;SwaptionFirstMonthPosition+1,FL$169&gt;SwaptionFirstMonthPosition+SwaptionNumOfMonths+1,$FJ226&gt;SwaptionFirstMonthPosition+SwaptionNumOfMonths+1),"",IF($FJ226=FL$169,1,IF($FJ226&lt;FL$169,INDEX($FK$170:$ID$241,FL$169,$FJ226),SUMPRODUCT(INDEX($FK$325:$ID$396,FL$169,1+SwaptionShift):INDEX($FK$325:$ID$396,FL$169,SwaptionMonthsToGo+SwaptionShift),INDEX($FK$245:$ID$316,$FJ226-FL$169,73-FL$169+SwaptionShift):INDEX($FK$245:$ID$316,$FJ226-FL$169,72-FL$169+SwaptionMonthsToGo+SwaptionShift))/SQRT(SUM(INDEX($FK381:$ID381,1+SwaptionShift):INDEX($FK381:$ID381,SwaptionMonthsToGo+SwaptionShift))*SUM(INDEX($FK$325:$ID$396,FL$169,1+SwaptionShift):INDEX($FK$325:$ID$396,FL$169,SwaptionMonthsToGo+SwaptionShift))))))</f>
        <v/>
      </c>
      <c r="FM226" s="479" t="str">
        <f ca="1">IF(OR(FM$169&lt;SwaptionFirstMonthPosition+1,$FJ226&lt;SwaptionFirstMonthPosition+1,FM$169&gt;SwaptionFirstMonthPosition+SwaptionNumOfMonths+1,$FJ226&gt;SwaptionFirstMonthPosition+SwaptionNumOfMonths+1),"",IF($FJ226=FM$169,1,IF($FJ226&lt;FM$169,INDEX($FK$170:$ID$241,FM$169,$FJ226),SUMPRODUCT(INDEX($FK$325:$ID$396,FM$169,1+SwaptionShift):INDEX($FK$325:$ID$396,FM$169,SwaptionMonthsToGo+SwaptionShift),INDEX($FK$245:$ID$316,$FJ226-FM$169,73-FM$169+SwaptionShift):INDEX($FK$245:$ID$316,$FJ226-FM$169,72-FM$169+SwaptionMonthsToGo+SwaptionShift))/SQRT(SUM(INDEX($FK381:$ID381,1+SwaptionShift):INDEX($FK381:$ID381,SwaptionMonthsToGo+SwaptionShift))*SUM(INDEX($FK$325:$ID$396,FM$169,1+SwaptionShift):INDEX($FK$325:$ID$396,FM$169,SwaptionMonthsToGo+SwaptionShift))))))</f>
        <v/>
      </c>
      <c r="FN226" s="479" t="str">
        <f ca="1">IF(OR(FN$169&lt;SwaptionFirstMonthPosition+1,$FJ226&lt;SwaptionFirstMonthPosition+1,FN$169&gt;SwaptionFirstMonthPosition+SwaptionNumOfMonths+1,$FJ226&gt;SwaptionFirstMonthPosition+SwaptionNumOfMonths+1),"",IF($FJ226=FN$169,1,IF($FJ226&lt;FN$169,INDEX($FK$170:$ID$241,FN$169,$FJ226),SUMPRODUCT(INDEX($FK$325:$ID$396,FN$169,1+SwaptionShift):INDEX($FK$325:$ID$396,FN$169,SwaptionMonthsToGo+SwaptionShift),INDEX($FK$245:$ID$316,$FJ226-FN$169,73-FN$169+SwaptionShift):INDEX($FK$245:$ID$316,$FJ226-FN$169,72-FN$169+SwaptionMonthsToGo+SwaptionShift))/SQRT(SUM(INDEX($FK381:$ID381,1+SwaptionShift):INDEX($FK381:$ID381,SwaptionMonthsToGo+SwaptionShift))*SUM(INDEX($FK$325:$ID$396,FN$169,1+SwaptionShift):INDEX($FK$325:$ID$396,FN$169,SwaptionMonthsToGo+SwaptionShift))))))</f>
        <v/>
      </c>
      <c r="FO226" s="479" t="str">
        <f ca="1">IF(OR(FO$169&lt;SwaptionFirstMonthPosition+1,$FJ226&lt;SwaptionFirstMonthPosition+1,FO$169&gt;SwaptionFirstMonthPosition+SwaptionNumOfMonths+1,$FJ226&gt;SwaptionFirstMonthPosition+SwaptionNumOfMonths+1),"",IF($FJ226=FO$169,1,IF($FJ226&lt;FO$169,INDEX($FK$170:$ID$241,FO$169,$FJ226),SUMPRODUCT(INDEX($FK$325:$ID$396,FO$169,1+SwaptionShift):INDEX($FK$325:$ID$396,FO$169,SwaptionMonthsToGo+SwaptionShift),INDEX($FK$245:$ID$316,$FJ226-FO$169,73-FO$169+SwaptionShift):INDEX($FK$245:$ID$316,$FJ226-FO$169,72-FO$169+SwaptionMonthsToGo+SwaptionShift))/SQRT(SUM(INDEX($FK381:$ID381,1+SwaptionShift):INDEX($FK381:$ID381,SwaptionMonthsToGo+SwaptionShift))*SUM(INDEX($FK$325:$ID$396,FO$169,1+SwaptionShift):INDEX($FK$325:$ID$396,FO$169,SwaptionMonthsToGo+SwaptionShift))))))</f>
        <v/>
      </c>
      <c r="FP226" s="479" t="str">
        <f ca="1">IF(OR(FP$169&lt;SwaptionFirstMonthPosition+1,$FJ226&lt;SwaptionFirstMonthPosition+1,FP$169&gt;SwaptionFirstMonthPosition+SwaptionNumOfMonths+1,$FJ226&gt;SwaptionFirstMonthPosition+SwaptionNumOfMonths+1),"",IF($FJ226=FP$169,1,IF($FJ226&lt;FP$169,INDEX($FK$170:$ID$241,FP$169,$FJ226),SUMPRODUCT(INDEX($FK$325:$ID$396,FP$169,1+SwaptionShift):INDEX($FK$325:$ID$396,FP$169,SwaptionMonthsToGo+SwaptionShift),INDEX($FK$245:$ID$316,$FJ226-FP$169,73-FP$169+SwaptionShift):INDEX($FK$245:$ID$316,$FJ226-FP$169,72-FP$169+SwaptionMonthsToGo+SwaptionShift))/SQRT(SUM(INDEX($FK381:$ID381,1+SwaptionShift):INDEX($FK381:$ID381,SwaptionMonthsToGo+SwaptionShift))*SUM(INDEX($FK$325:$ID$396,FP$169,1+SwaptionShift):INDEX($FK$325:$ID$396,FP$169,SwaptionMonthsToGo+SwaptionShift))))))</f>
        <v/>
      </c>
      <c r="FQ226" s="479" t="str">
        <f ca="1">IF(OR(FQ$169&lt;SwaptionFirstMonthPosition+1,$FJ226&lt;SwaptionFirstMonthPosition+1,FQ$169&gt;SwaptionFirstMonthPosition+SwaptionNumOfMonths+1,$FJ226&gt;SwaptionFirstMonthPosition+SwaptionNumOfMonths+1),"",IF($FJ226=FQ$169,1,IF($FJ226&lt;FQ$169,INDEX($FK$170:$ID$241,FQ$169,$FJ226),SUMPRODUCT(INDEX($FK$325:$ID$396,FQ$169,1+SwaptionShift):INDEX($FK$325:$ID$396,FQ$169,SwaptionMonthsToGo+SwaptionShift),INDEX($FK$245:$ID$316,$FJ226-FQ$169,73-FQ$169+SwaptionShift):INDEX($FK$245:$ID$316,$FJ226-FQ$169,72-FQ$169+SwaptionMonthsToGo+SwaptionShift))/SQRT(SUM(INDEX($FK381:$ID381,1+SwaptionShift):INDEX($FK381:$ID381,SwaptionMonthsToGo+SwaptionShift))*SUM(INDEX($FK$325:$ID$396,FQ$169,1+SwaptionShift):INDEX($FK$325:$ID$396,FQ$169,SwaptionMonthsToGo+SwaptionShift))))))</f>
        <v/>
      </c>
      <c r="FR226" s="479" t="str">
        <f ca="1">IF(OR(FR$169&lt;SwaptionFirstMonthPosition+1,$FJ226&lt;SwaptionFirstMonthPosition+1,FR$169&gt;SwaptionFirstMonthPosition+SwaptionNumOfMonths+1,$FJ226&gt;SwaptionFirstMonthPosition+SwaptionNumOfMonths+1),"",IF($FJ226=FR$169,1,IF($FJ226&lt;FR$169,INDEX($FK$170:$ID$241,FR$169,$FJ226),SUMPRODUCT(INDEX($FK$325:$ID$396,FR$169,1+SwaptionShift):INDEX($FK$325:$ID$396,FR$169,SwaptionMonthsToGo+SwaptionShift),INDEX($FK$245:$ID$316,$FJ226-FR$169,73-FR$169+SwaptionShift):INDEX($FK$245:$ID$316,$FJ226-FR$169,72-FR$169+SwaptionMonthsToGo+SwaptionShift))/SQRT(SUM(INDEX($FK381:$ID381,1+SwaptionShift):INDEX($FK381:$ID381,SwaptionMonthsToGo+SwaptionShift))*SUM(INDEX($FK$325:$ID$396,FR$169,1+SwaptionShift):INDEX($FK$325:$ID$396,FR$169,SwaptionMonthsToGo+SwaptionShift))))))</f>
        <v/>
      </c>
      <c r="FS226" s="479" t="str">
        <f ca="1">IF(OR(FS$169&lt;SwaptionFirstMonthPosition+1,$FJ226&lt;SwaptionFirstMonthPosition+1,FS$169&gt;SwaptionFirstMonthPosition+SwaptionNumOfMonths+1,$FJ226&gt;SwaptionFirstMonthPosition+SwaptionNumOfMonths+1),"",IF($FJ226=FS$169,1,IF($FJ226&lt;FS$169,INDEX($FK$170:$ID$241,FS$169,$FJ226),SUMPRODUCT(INDEX($FK$325:$ID$396,FS$169,1+SwaptionShift):INDEX($FK$325:$ID$396,FS$169,SwaptionMonthsToGo+SwaptionShift),INDEX($FK$245:$ID$316,$FJ226-FS$169,73-FS$169+SwaptionShift):INDEX($FK$245:$ID$316,$FJ226-FS$169,72-FS$169+SwaptionMonthsToGo+SwaptionShift))/SQRT(SUM(INDEX($FK381:$ID381,1+SwaptionShift):INDEX($FK381:$ID381,SwaptionMonthsToGo+SwaptionShift))*SUM(INDEX($FK$325:$ID$396,FS$169,1+SwaptionShift):INDEX($FK$325:$ID$396,FS$169,SwaptionMonthsToGo+SwaptionShift))))))</f>
        <v/>
      </c>
      <c r="FT226" s="479" t="str">
        <f ca="1">IF(OR(FT$169&lt;SwaptionFirstMonthPosition+1,$FJ226&lt;SwaptionFirstMonthPosition+1,FT$169&gt;SwaptionFirstMonthPosition+SwaptionNumOfMonths+1,$FJ226&gt;SwaptionFirstMonthPosition+SwaptionNumOfMonths+1),"",IF($FJ226=FT$169,1,IF($FJ226&lt;FT$169,INDEX($FK$170:$ID$241,FT$169,$FJ226),SUMPRODUCT(INDEX($FK$325:$ID$396,FT$169,1+SwaptionShift):INDEX($FK$325:$ID$396,FT$169,SwaptionMonthsToGo+SwaptionShift),INDEX($FK$245:$ID$316,$FJ226-FT$169,73-FT$169+SwaptionShift):INDEX($FK$245:$ID$316,$FJ226-FT$169,72-FT$169+SwaptionMonthsToGo+SwaptionShift))/SQRT(SUM(INDEX($FK381:$ID381,1+SwaptionShift):INDEX($FK381:$ID381,SwaptionMonthsToGo+SwaptionShift))*SUM(INDEX($FK$325:$ID$396,FT$169,1+SwaptionShift):INDEX($FK$325:$ID$396,FT$169,SwaptionMonthsToGo+SwaptionShift))))))</f>
        <v/>
      </c>
      <c r="FU226" s="479" t="str">
        <f ca="1">IF(OR(FU$169&lt;SwaptionFirstMonthPosition+1,$FJ226&lt;SwaptionFirstMonthPosition+1,FU$169&gt;SwaptionFirstMonthPosition+SwaptionNumOfMonths+1,$FJ226&gt;SwaptionFirstMonthPosition+SwaptionNumOfMonths+1),"",IF($FJ226=FU$169,1,IF($FJ226&lt;FU$169,INDEX($FK$170:$ID$241,FU$169,$FJ226),SUMPRODUCT(INDEX($FK$325:$ID$396,FU$169,1+SwaptionShift):INDEX($FK$325:$ID$396,FU$169,SwaptionMonthsToGo+SwaptionShift),INDEX($FK$245:$ID$316,$FJ226-FU$169,73-FU$169+SwaptionShift):INDEX($FK$245:$ID$316,$FJ226-FU$169,72-FU$169+SwaptionMonthsToGo+SwaptionShift))/SQRT(SUM(INDEX($FK381:$ID381,1+SwaptionShift):INDEX($FK381:$ID381,SwaptionMonthsToGo+SwaptionShift))*SUM(INDEX($FK$325:$ID$396,FU$169,1+SwaptionShift):INDEX($FK$325:$ID$396,FU$169,SwaptionMonthsToGo+SwaptionShift))))))</f>
        <v/>
      </c>
      <c r="FV226" s="479" t="str">
        <f ca="1">IF(OR(FV$169&lt;SwaptionFirstMonthPosition+1,$FJ226&lt;SwaptionFirstMonthPosition+1,FV$169&gt;SwaptionFirstMonthPosition+SwaptionNumOfMonths+1,$FJ226&gt;SwaptionFirstMonthPosition+SwaptionNumOfMonths+1),"",IF($FJ226=FV$169,1,IF($FJ226&lt;FV$169,INDEX($FK$170:$ID$241,FV$169,$FJ226),SUMPRODUCT(INDEX($FK$325:$ID$396,FV$169,1+SwaptionShift):INDEX($FK$325:$ID$396,FV$169,SwaptionMonthsToGo+SwaptionShift),INDEX($FK$245:$ID$316,$FJ226-FV$169,73-FV$169+SwaptionShift):INDEX($FK$245:$ID$316,$FJ226-FV$169,72-FV$169+SwaptionMonthsToGo+SwaptionShift))/SQRT(SUM(INDEX($FK381:$ID381,1+SwaptionShift):INDEX($FK381:$ID381,SwaptionMonthsToGo+SwaptionShift))*SUM(INDEX($FK$325:$ID$396,FV$169,1+SwaptionShift):INDEX($FK$325:$ID$396,FV$169,SwaptionMonthsToGo+SwaptionShift))))))</f>
        <v/>
      </c>
      <c r="FW226" s="479" t="str">
        <f ca="1">IF(OR(FW$169&lt;SwaptionFirstMonthPosition+1,$FJ226&lt;SwaptionFirstMonthPosition+1,FW$169&gt;SwaptionFirstMonthPosition+SwaptionNumOfMonths+1,$FJ226&gt;SwaptionFirstMonthPosition+SwaptionNumOfMonths+1),"",IF($FJ226=FW$169,1,IF($FJ226&lt;FW$169,INDEX($FK$170:$ID$241,FW$169,$FJ226),SUMPRODUCT(INDEX($FK$325:$ID$396,FW$169,1+SwaptionShift):INDEX($FK$325:$ID$396,FW$169,SwaptionMonthsToGo+SwaptionShift),INDEX($FK$245:$ID$316,$FJ226-FW$169,73-FW$169+SwaptionShift):INDEX($FK$245:$ID$316,$FJ226-FW$169,72-FW$169+SwaptionMonthsToGo+SwaptionShift))/SQRT(SUM(INDEX($FK381:$ID381,1+SwaptionShift):INDEX($FK381:$ID381,SwaptionMonthsToGo+SwaptionShift))*SUM(INDEX($FK$325:$ID$396,FW$169,1+SwaptionShift):INDEX($FK$325:$ID$396,FW$169,SwaptionMonthsToGo+SwaptionShift))))))</f>
        <v/>
      </c>
      <c r="FX226" s="479" t="str">
        <f ca="1">IF(OR(FX$169&lt;SwaptionFirstMonthPosition+1,$FJ226&lt;SwaptionFirstMonthPosition+1,FX$169&gt;SwaptionFirstMonthPosition+SwaptionNumOfMonths+1,$FJ226&gt;SwaptionFirstMonthPosition+SwaptionNumOfMonths+1),"",IF($FJ226=FX$169,1,IF($FJ226&lt;FX$169,INDEX($FK$170:$ID$241,FX$169,$FJ226),SUMPRODUCT(INDEX($FK$325:$ID$396,FX$169,1+SwaptionShift):INDEX($FK$325:$ID$396,FX$169,SwaptionMonthsToGo+SwaptionShift),INDEX($FK$245:$ID$316,$FJ226-FX$169,73-FX$169+SwaptionShift):INDEX($FK$245:$ID$316,$FJ226-FX$169,72-FX$169+SwaptionMonthsToGo+SwaptionShift))/SQRT(SUM(INDEX($FK381:$ID381,1+SwaptionShift):INDEX($FK381:$ID381,SwaptionMonthsToGo+SwaptionShift))*SUM(INDEX($FK$325:$ID$396,FX$169,1+SwaptionShift):INDEX($FK$325:$ID$396,FX$169,SwaptionMonthsToGo+SwaptionShift))))))</f>
        <v/>
      </c>
      <c r="FY226" s="479" t="str">
        <f ca="1">IF(OR(FY$169&lt;SwaptionFirstMonthPosition+1,$FJ226&lt;SwaptionFirstMonthPosition+1,FY$169&gt;SwaptionFirstMonthPosition+SwaptionNumOfMonths+1,$FJ226&gt;SwaptionFirstMonthPosition+SwaptionNumOfMonths+1),"",IF($FJ226=FY$169,1,IF($FJ226&lt;FY$169,INDEX($FK$170:$ID$241,FY$169,$FJ226),SUMPRODUCT(INDEX($FK$325:$ID$396,FY$169,1+SwaptionShift):INDEX($FK$325:$ID$396,FY$169,SwaptionMonthsToGo+SwaptionShift),INDEX($FK$245:$ID$316,$FJ226-FY$169,73-FY$169+SwaptionShift):INDEX($FK$245:$ID$316,$FJ226-FY$169,72-FY$169+SwaptionMonthsToGo+SwaptionShift))/SQRT(SUM(INDEX($FK381:$ID381,1+SwaptionShift):INDEX($FK381:$ID381,SwaptionMonthsToGo+SwaptionShift))*SUM(INDEX($FK$325:$ID$396,FY$169,1+SwaptionShift):INDEX($FK$325:$ID$396,FY$169,SwaptionMonthsToGo+SwaptionShift))))))</f>
        <v/>
      </c>
      <c r="FZ226" s="479" t="str">
        <f ca="1">IF(OR(FZ$169&lt;SwaptionFirstMonthPosition+1,$FJ226&lt;SwaptionFirstMonthPosition+1,FZ$169&gt;SwaptionFirstMonthPosition+SwaptionNumOfMonths+1,$FJ226&gt;SwaptionFirstMonthPosition+SwaptionNumOfMonths+1),"",IF($FJ226=FZ$169,1,IF($FJ226&lt;FZ$169,INDEX($FK$170:$ID$241,FZ$169,$FJ226),SUMPRODUCT(INDEX($FK$325:$ID$396,FZ$169,1+SwaptionShift):INDEX($FK$325:$ID$396,FZ$169,SwaptionMonthsToGo+SwaptionShift),INDEX($FK$245:$ID$316,$FJ226-FZ$169,73-FZ$169+SwaptionShift):INDEX($FK$245:$ID$316,$FJ226-FZ$169,72-FZ$169+SwaptionMonthsToGo+SwaptionShift))/SQRT(SUM(INDEX($FK381:$ID381,1+SwaptionShift):INDEX($FK381:$ID381,SwaptionMonthsToGo+SwaptionShift))*SUM(INDEX($FK$325:$ID$396,FZ$169,1+SwaptionShift):INDEX($FK$325:$ID$396,FZ$169,SwaptionMonthsToGo+SwaptionShift))))))</f>
        <v/>
      </c>
      <c r="GA226" s="479" t="str">
        <f ca="1">IF(OR(GA$169&lt;SwaptionFirstMonthPosition+1,$FJ226&lt;SwaptionFirstMonthPosition+1,GA$169&gt;SwaptionFirstMonthPosition+SwaptionNumOfMonths+1,$FJ226&gt;SwaptionFirstMonthPosition+SwaptionNumOfMonths+1),"",IF($FJ226=GA$169,1,IF($FJ226&lt;GA$169,INDEX($FK$170:$ID$241,GA$169,$FJ226),SUMPRODUCT(INDEX($FK$325:$ID$396,GA$169,1+SwaptionShift):INDEX($FK$325:$ID$396,GA$169,SwaptionMonthsToGo+SwaptionShift),INDEX($FK$245:$ID$316,$FJ226-GA$169,73-GA$169+SwaptionShift):INDEX($FK$245:$ID$316,$FJ226-GA$169,72-GA$169+SwaptionMonthsToGo+SwaptionShift))/SQRT(SUM(INDEX($FK381:$ID381,1+SwaptionShift):INDEX($FK381:$ID381,SwaptionMonthsToGo+SwaptionShift))*SUM(INDEX($FK$325:$ID$396,GA$169,1+SwaptionShift):INDEX($FK$325:$ID$396,GA$169,SwaptionMonthsToGo+SwaptionShift))))))</f>
        <v/>
      </c>
      <c r="GB226" s="479" t="str">
        <f ca="1">IF(OR(GB$169&lt;SwaptionFirstMonthPosition+1,$FJ226&lt;SwaptionFirstMonthPosition+1,GB$169&gt;SwaptionFirstMonthPosition+SwaptionNumOfMonths+1,$FJ226&gt;SwaptionFirstMonthPosition+SwaptionNumOfMonths+1),"",IF($FJ226=GB$169,1,IF($FJ226&lt;GB$169,INDEX($FK$170:$ID$241,GB$169,$FJ226),SUMPRODUCT(INDEX($FK$325:$ID$396,GB$169,1+SwaptionShift):INDEX($FK$325:$ID$396,GB$169,SwaptionMonthsToGo+SwaptionShift),INDEX($FK$245:$ID$316,$FJ226-GB$169,73-GB$169+SwaptionShift):INDEX($FK$245:$ID$316,$FJ226-GB$169,72-GB$169+SwaptionMonthsToGo+SwaptionShift))/SQRT(SUM(INDEX($FK381:$ID381,1+SwaptionShift):INDEX($FK381:$ID381,SwaptionMonthsToGo+SwaptionShift))*SUM(INDEX($FK$325:$ID$396,GB$169,1+SwaptionShift):INDEX($FK$325:$ID$396,GB$169,SwaptionMonthsToGo+SwaptionShift))))))</f>
        <v/>
      </c>
      <c r="GC226" s="479" t="str">
        <f ca="1">IF(OR(GC$169&lt;SwaptionFirstMonthPosition+1,$FJ226&lt;SwaptionFirstMonthPosition+1,GC$169&gt;SwaptionFirstMonthPosition+SwaptionNumOfMonths+1,$FJ226&gt;SwaptionFirstMonthPosition+SwaptionNumOfMonths+1),"",IF($FJ226=GC$169,1,IF($FJ226&lt;GC$169,INDEX($FK$170:$ID$241,GC$169,$FJ226),SUMPRODUCT(INDEX($FK$325:$ID$396,GC$169,1+SwaptionShift):INDEX($FK$325:$ID$396,GC$169,SwaptionMonthsToGo+SwaptionShift),INDEX($FK$245:$ID$316,$FJ226-GC$169,73-GC$169+SwaptionShift):INDEX($FK$245:$ID$316,$FJ226-GC$169,72-GC$169+SwaptionMonthsToGo+SwaptionShift))/SQRT(SUM(INDEX($FK381:$ID381,1+SwaptionShift):INDEX($FK381:$ID381,SwaptionMonthsToGo+SwaptionShift))*SUM(INDEX($FK$325:$ID$396,GC$169,1+SwaptionShift):INDEX($FK$325:$ID$396,GC$169,SwaptionMonthsToGo+SwaptionShift))))))</f>
        <v/>
      </c>
      <c r="GD226" s="479" t="str">
        <f ca="1">IF(OR(GD$169&lt;SwaptionFirstMonthPosition+1,$FJ226&lt;SwaptionFirstMonthPosition+1,GD$169&gt;SwaptionFirstMonthPosition+SwaptionNumOfMonths+1,$FJ226&gt;SwaptionFirstMonthPosition+SwaptionNumOfMonths+1),"",IF($FJ226=GD$169,1,IF($FJ226&lt;GD$169,INDEX($FK$170:$ID$241,GD$169,$FJ226),SUMPRODUCT(INDEX($FK$325:$ID$396,GD$169,1+SwaptionShift):INDEX($FK$325:$ID$396,GD$169,SwaptionMonthsToGo+SwaptionShift),INDEX($FK$245:$ID$316,$FJ226-GD$169,73-GD$169+SwaptionShift):INDEX($FK$245:$ID$316,$FJ226-GD$169,72-GD$169+SwaptionMonthsToGo+SwaptionShift))/SQRT(SUM(INDEX($FK381:$ID381,1+SwaptionShift):INDEX($FK381:$ID381,SwaptionMonthsToGo+SwaptionShift))*SUM(INDEX($FK$325:$ID$396,GD$169,1+SwaptionShift):INDEX($FK$325:$ID$396,GD$169,SwaptionMonthsToGo+SwaptionShift))))))</f>
        <v/>
      </c>
      <c r="GE226" s="479" t="str">
        <f ca="1">IF(OR(GE$169&lt;SwaptionFirstMonthPosition+1,$FJ226&lt;SwaptionFirstMonthPosition+1,GE$169&gt;SwaptionFirstMonthPosition+SwaptionNumOfMonths+1,$FJ226&gt;SwaptionFirstMonthPosition+SwaptionNumOfMonths+1),"",IF($FJ226=GE$169,1,IF($FJ226&lt;GE$169,INDEX($FK$170:$ID$241,GE$169,$FJ226),SUMPRODUCT(INDEX($FK$325:$ID$396,GE$169,1+SwaptionShift):INDEX($FK$325:$ID$396,GE$169,SwaptionMonthsToGo+SwaptionShift),INDEX($FK$245:$ID$316,$FJ226-GE$169,73-GE$169+SwaptionShift):INDEX($FK$245:$ID$316,$FJ226-GE$169,72-GE$169+SwaptionMonthsToGo+SwaptionShift))/SQRT(SUM(INDEX($FK381:$ID381,1+SwaptionShift):INDEX($FK381:$ID381,SwaptionMonthsToGo+SwaptionShift))*SUM(INDEX($FK$325:$ID$396,GE$169,1+SwaptionShift):INDEX($FK$325:$ID$396,GE$169,SwaptionMonthsToGo+SwaptionShift))))))</f>
        <v/>
      </c>
      <c r="GF226" s="479" t="str">
        <f ca="1">IF(OR(GF$169&lt;SwaptionFirstMonthPosition+1,$FJ226&lt;SwaptionFirstMonthPosition+1,GF$169&gt;SwaptionFirstMonthPosition+SwaptionNumOfMonths+1,$FJ226&gt;SwaptionFirstMonthPosition+SwaptionNumOfMonths+1),"",IF($FJ226=GF$169,1,IF($FJ226&lt;GF$169,INDEX($FK$170:$ID$241,GF$169,$FJ226),SUMPRODUCT(INDEX($FK$325:$ID$396,GF$169,1+SwaptionShift):INDEX($FK$325:$ID$396,GF$169,SwaptionMonthsToGo+SwaptionShift),INDEX($FK$245:$ID$316,$FJ226-GF$169,73-GF$169+SwaptionShift):INDEX($FK$245:$ID$316,$FJ226-GF$169,72-GF$169+SwaptionMonthsToGo+SwaptionShift))/SQRT(SUM(INDEX($FK381:$ID381,1+SwaptionShift):INDEX($FK381:$ID381,SwaptionMonthsToGo+SwaptionShift))*SUM(INDEX($FK$325:$ID$396,GF$169,1+SwaptionShift):INDEX($FK$325:$ID$396,GF$169,SwaptionMonthsToGo+SwaptionShift))))))</f>
        <v/>
      </c>
      <c r="GG226" s="479" t="str">
        <f ca="1">IF(OR(GG$169&lt;SwaptionFirstMonthPosition+1,$FJ226&lt;SwaptionFirstMonthPosition+1,GG$169&gt;SwaptionFirstMonthPosition+SwaptionNumOfMonths+1,$FJ226&gt;SwaptionFirstMonthPosition+SwaptionNumOfMonths+1),"",IF($FJ226=GG$169,1,IF($FJ226&lt;GG$169,INDEX($FK$170:$ID$241,GG$169,$FJ226),SUMPRODUCT(INDEX($FK$325:$ID$396,GG$169,1+SwaptionShift):INDEX($FK$325:$ID$396,GG$169,SwaptionMonthsToGo+SwaptionShift),INDEX($FK$245:$ID$316,$FJ226-GG$169,73-GG$169+SwaptionShift):INDEX($FK$245:$ID$316,$FJ226-GG$169,72-GG$169+SwaptionMonthsToGo+SwaptionShift))/SQRT(SUM(INDEX($FK381:$ID381,1+SwaptionShift):INDEX($FK381:$ID381,SwaptionMonthsToGo+SwaptionShift))*SUM(INDEX($FK$325:$ID$396,GG$169,1+SwaptionShift):INDEX($FK$325:$ID$396,GG$169,SwaptionMonthsToGo+SwaptionShift))))))</f>
        <v/>
      </c>
      <c r="GH226" s="479" t="str">
        <f ca="1">IF(OR(GH$169&lt;SwaptionFirstMonthPosition+1,$FJ226&lt;SwaptionFirstMonthPosition+1,GH$169&gt;SwaptionFirstMonthPosition+SwaptionNumOfMonths+1,$FJ226&gt;SwaptionFirstMonthPosition+SwaptionNumOfMonths+1),"",IF($FJ226=GH$169,1,IF($FJ226&lt;GH$169,INDEX($FK$170:$ID$241,GH$169,$FJ226),SUMPRODUCT(INDEX($FK$325:$ID$396,GH$169,1+SwaptionShift):INDEX($FK$325:$ID$396,GH$169,SwaptionMonthsToGo+SwaptionShift),INDEX($FK$245:$ID$316,$FJ226-GH$169,73-GH$169+SwaptionShift):INDEX($FK$245:$ID$316,$FJ226-GH$169,72-GH$169+SwaptionMonthsToGo+SwaptionShift))/SQRT(SUM(INDEX($FK381:$ID381,1+SwaptionShift):INDEX($FK381:$ID381,SwaptionMonthsToGo+SwaptionShift))*SUM(INDEX($FK$325:$ID$396,GH$169,1+SwaptionShift):INDEX($FK$325:$ID$396,GH$169,SwaptionMonthsToGo+SwaptionShift))))))</f>
        <v/>
      </c>
      <c r="GI226" s="479" t="str">
        <f ca="1">IF(OR(GI$169&lt;SwaptionFirstMonthPosition+1,$FJ226&lt;SwaptionFirstMonthPosition+1,GI$169&gt;SwaptionFirstMonthPosition+SwaptionNumOfMonths+1,$FJ226&gt;SwaptionFirstMonthPosition+SwaptionNumOfMonths+1),"",IF($FJ226=GI$169,1,IF($FJ226&lt;GI$169,INDEX($FK$170:$ID$241,GI$169,$FJ226),SUMPRODUCT(INDEX($FK$325:$ID$396,GI$169,1+SwaptionShift):INDEX($FK$325:$ID$396,GI$169,SwaptionMonthsToGo+SwaptionShift),INDEX($FK$245:$ID$316,$FJ226-GI$169,73-GI$169+SwaptionShift):INDEX($FK$245:$ID$316,$FJ226-GI$169,72-GI$169+SwaptionMonthsToGo+SwaptionShift))/SQRT(SUM(INDEX($FK381:$ID381,1+SwaptionShift):INDEX($FK381:$ID381,SwaptionMonthsToGo+SwaptionShift))*SUM(INDEX($FK$325:$ID$396,GI$169,1+SwaptionShift):INDEX($FK$325:$ID$396,GI$169,SwaptionMonthsToGo+SwaptionShift))))))</f>
        <v/>
      </c>
      <c r="GJ226" s="479" t="str">
        <f ca="1">IF(OR(GJ$169&lt;SwaptionFirstMonthPosition+1,$FJ226&lt;SwaptionFirstMonthPosition+1,GJ$169&gt;SwaptionFirstMonthPosition+SwaptionNumOfMonths+1,$FJ226&gt;SwaptionFirstMonthPosition+SwaptionNumOfMonths+1),"",IF($FJ226=GJ$169,1,IF($FJ226&lt;GJ$169,INDEX($FK$170:$ID$241,GJ$169,$FJ226),SUMPRODUCT(INDEX($FK$325:$ID$396,GJ$169,1+SwaptionShift):INDEX($FK$325:$ID$396,GJ$169,SwaptionMonthsToGo+SwaptionShift),INDEX($FK$245:$ID$316,$FJ226-GJ$169,73-GJ$169+SwaptionShift):INDEX($FK$245:$ID$316,$FJ226-GJ$169,72-GJ$169+SwaptionMonthsToGo+SwaptionShift))/SQRT(SUM(INDEX($FK381:$ID381,1+SwaptionShift):INDEX($FK381:$ID381,SwaptionMonthsToGo+SwaptionShift))*SUM(INDEX($FK$325:$ID$396,GJ$169,1+SwaptionShift):INDEX($FK$325:$ID$396,GJ$169,SwaptionMonthsToGo+SwaptionShift))))))</f>
        <v/>
      </c>
      <c r="GK226" s="479" t="str">
        <f ca="1">IF(OR(GK$169&lt;SwaptionFirstMonthPosition+1,$FJ226&lt;SwaptionFirstMonthPosition+1,GK$169&gt;SwaptionFirstMonthPosition+SwaptionNumOfMonths+1,$FJ226&gt;SwaptionFirstMonthPosition+SwaptionNumOfMonths+1),"",IF($FJ226=GK$169,1,IF($FJ226&lt;GK$169,INDEX($FK$170:$ID$241,GK$169,$FJ226),SUMPRODUCT(INDEX($FK$325:$ID$396,GK$169,1+SwaptionShift):INDEX($FK$325:$ID$396,GK$169,SwaptionMonthsToGo+SwaptionShift),INDEX($FK$245:$ID$316,$FJ226-GK$169,73-GK$169+SwaptionShift):INDEX($FK$245:$ID$316,$FJ226-GK$169,72-GK$169+SwaptionMonthsToGo+SwaptionShift))/SQRT(SUM(INDEX($FK381:$ID381,1+SwaptionShift):INDEX($FK381:$ID381,SwaptionMonthsToGo+SwaptionShift))*SUM(INDEX($FK$325:$ID$396,GK$169,1+SwaptionShift):INDEX($FK$325:$ID$396,GK$169,SwaptionMonthsToGo+SwaptionShift))))))</f>
        <v/>
      </c>
      <c r="GL226" s="479" t="str">
        <f ca="1">IF(OR(GL$169&lt;SwaptionFirstMonthPosition+1,$FJ226&lt;SwaptionFirstMonthPosition+1,GL$169&gt;SwaptionFirstMonthPosition+SwaptionNumOfMonths+1,$FJ226&gt;SwaptionFirstMonthPosition+SwaptionNumOfMonths+1),"",IF($FJ226=GL$169,1,IF($FJ226&lt;GL$169,INDEX($FK$170:$ID$241,GL$169,$FJ226),SUMPRODUCT(INDEX($FK$325:$ID$396,GL$169,1+SwaptionShift):INDEX($FK$325:$ID$396,GL$169,SwaptionMonthsToGo+SwaptionShift),INDEX($FK$245:$ID$316,$FJ226-GL$169,73-GL$169+SwaptionShift):INDEX($FK$245:$ID$316,$FJ226-GL$169,72-GL$169+SwaptionMonthsToGo+SwaptionShift))/SQRT(SUM(INDEX($FK381:$ID381,1+SwaptionShift):INDEX($FK381:$ID381,SwaptionMonthsToGo+SwaptionShift))*SUM(INDEX($FK$325:$ID$396,GL$169,1+SwaptionShift):INDEX($FK$325:$ID$396,GL$169,SwaptionMonthsToGo+SwaptionShift))))))</f>
        <v/>
      </c>
      <c r="GM226" s="479" t="str">
        <f ca="1">IF(OR(GM$169&lt;SwaptionFirstMonthPosition+1,$FJ226&lt;SwaptionFirstMonthPosition+1,GM$169&gt;SwaptionFirstMonthPosition+SwaptionNumOfMonths+1,$FJ226&gt;SwaptionFirstMonthPosition+SwaptionNumOfMonths+1),"",IF($FJ226=GM$169,1,IF($FJ226&lt;GM$169,INDEX($FK$170:$ID$241,GM$169,$FJ226),SUMPRODUCT(INDEX($FK$325:$ID$396,GM$169,1+SwaptionShift):INDEX($FK$325:$ID$396,GM$169,SwaptionMonthsToGo+SwaptionShift),INDEX($FK$245:$ID$316,$FJ226-GM$169,73-GM$169+SwaptionShift):INDEX($FK$245:$ID$316,$FJ226-GM$169,72-GM$169+SwaptionMonthsToGo+SwaptionShift))/SQRT(SUM(INDEX($FK381:$ID381,1+SwaptionShift):INDEX($FK381:$ID381,SwaptionMonthsToGo+SwaptionShift))*SUM(INDEX($FK$325:$ID$396,GM$169,1+SwaptionShift):INDEX($FK$325:$ID$396,GM$169,SwaptionMonthsToGo+SwaptionShift))))))</f>
        <v/>
      </c>
      <c r="GN226" s="479" t="str">
        <f ca="1">IF(OR(GN$169&lt;SwaptionFirstMonthPosition+1,$FJ226&lt;SwaptionFirstMonthPosition+1,GN$169&gt;SwaptionFirstMonthPosition+SwaptionNumOfMonths+1,$FJ226&gt;SwaptionFirstMonthPosition+SwaptionNumOfMonths+1),"",IF($FJ226=GN$169,1,IF($FJ226&lt;GN$169,INDEX($FK$170:$ID$241,GN$169,$FJ226),SUMPRODUCT(INDEX($FK$325:$ID$396,GN$169,1+SwaptionShift):INDEX($FK$325:$ID$396,GN$169,SwaptionMonthsToGo+SwaptionShift),INDEX($FK$245:$ID$316,$FJ226-GN$169,73-GN$169+SwaptionShift):INDEX($FK$245:$ID$316,$FJ226-GN$169,72-GN$169+SwaptionMonthsToGo+SwaptionShift))/SQRT(SUM(INDEX($FK381:$ID381,1+SwaptionShift):INDEX($FK381:$ID381,SwaptionMonthsToGo+SwaptionShift))*SUM(INDEX($FK$325:$ID$396,GN$169,1+SwaptionShift):INDEX($FK$325:$ID$396,GN$169,SwaptionMonthsToGo+SwaptionShift))))))</f>
        <v/>
      </c>
      <c r="GO226" s="479" t="str">
        <f ca="1">IF(OR(GO$169&lt;SwaptionFirstMonthPosition+1,$FJ226&lt;SwaptionFirstMonthPosition+1,GO$169&gt;SwaptionFirstMonthPosition+SwaptionNumOfMonths+1,$FJ226&gt;SwaptionFirstMonthPosition+SwaptionNumOfMonths+1),"",IF($FJ226=GO$169,1,IF($FJ226&lt;GO$169,INDEX($FK$170:$ID$241,GO$169,$FJ226),SUMPRODUCT(INDEX($FK$325:$ID$396,GO$169,1+SwaptionShift):INDEX($FK$325:$ID$396,GO$169,SwaptionMonthsToGo+SwaptionShift),INDEX($FK$245:$ID$316,$FJ226-GO$169,73-GO$169+SwaptionShift):INDEX($FK$245:$ID$316,$FJ226-GO$169,72-GO$169+SwaptionMonthsToGo+SwaptionShift))/SQRT(SUM(INDEX($FK381:$ID381,1+SwaptionShift):INDEX($FK381:$ID381,SwaptionMonthsToGo+SwaptionShift))*SUM(INDEX($FK$325:$ID$396,GO$169,1+SwaptionShift):INDEX($FK$325:$ID$396,GO$169,SwaptionMonthsToGo+SwaptionShift))))))</f>
        <v/>
      </c>
      <c r="GP226" s="479" t="str">
        <f ca="1">IF(OR(GP$169&lt;SwaptionFirstMonthPosition+1,$FJ226&lt;SwaptionFirstMonthPosition+1,GP$169&gt;SwaptionFirstMonthPosition+SwaptionNumOfMonths+1,$FJ226&gt;SwaptionFirstMonthPosition+SwaptionNumOfMonths+1),"",IF($FJ226=GP$169,1,IF($FJ226&lt;GP$169,INDEX($FK$170:$ID$241,GP$169,$FJ226),SUMPRODUCT(INDEX($FK$325:$ID$396,GP$169,1+SwaptionShift):INDEX($FK$325:$ID$396,GP$169,SwaptionMonthsToGo+SwaptionShift),INDEX($FK$245:$ID$316,$FJ226-GP$169,73-GP$169+SwaptionShift):INDEX($FK$245:$ID$316,$FJ226-GP$169,72-GP$169+SwaptionMonthsToGo+SwaptionShift))/SQRT(SUM(INDEX($FK381:$ID381,1+SwaptionShift):INDEX($FK381:$ID381,SwaptionMonthsToGo+SwaptionShift))*SUM(INDEX($FK$325:$ID$396,GP$169,1+SwaptionShift):INDEX($FK$325:$ID$396,GP$169,SwaptionMonthsToGo+SwaptionShift))))))</f>
        <v/>
      </c>
      <c r="GQ226" s="479" t="str">
        <f ca="1">IF(OR(GQ$169&lt;SwaptionFirstMonthPosition+1,$FJ226&lt;SwaptionFirstMonthPosition+1,GQ$169&gt;SwaptionFirstMonthPosition+SwaptionNumOfMonths+1,$FJ226&gt;SwaptionFirstMonthPosition+SwaptionNumOfMonths+1),"",IF($FJ226=GQ$169,1,IF($FJ226&lt;GQ$169,INDEX($FK$170:$ID$241,GQ$169,$FJ226),SUMPRODUCT(INDEX($FK$325:$ID$396,GQ$169,1+SwaptionShift):INDEX($FK$325:$ID$396,GQ$169,SwaptionMonthsToGo+SwaptionShift),INDEX($FK$245:$ID$316,$FJ226-GQ$169,73-GQ$169+SwaptionShift):INDEX($FK$245:$ID$316,$FJ226-GQ$169,72-GQ$169+SwaptionMonthsToGo+SwaptionShift))/SQRT(SUM(INDEX($FK381:$ID381,1+SwaptionShift):INDEX($FK381:$ID381,SwaptionMonthsToGo+SwaptionShift))*SUM(INDEX($FK$325:$ID$396,GQ$169,1+SwaptionShift):INDEX($FK$325:$ID$396,GQ$169,SwaptionMonthsToGo+SwaptionShift))))))</f>
        <v/>
      </c>
      <c r="GR226" s="479" t="str">
        <f ca="1">IF(OR(GR$169&lt;SwaptionFirstMonthPosition+1,$FJ226&lt;SwaptionFirstMonthPosition+1,GR$169&gt;SwaptionFirstMonthPosition+SwaptionNumOfMonths+1,$FJ226&gt;SwaptionFirstMonthPosition+SwaptionNumOfMonths+1),"",IF($FJ226=GR$169,1,IF($FJ226&lt;GR$169,INDEX($FK$170:$ID$241,GR$169,$FJ226),SUMPRODUCT(INDEX($FK$325:$ID$396,GR$169,1+SwaptionShift):INDEX($FK$325:$ID$396,GR$169,SwaptionMonthsToGo+SwaptionShift),INDEX($FK$245:$ID$316,$FJ226-GR$169,73-GR$169+SwaptionShift):INDEX($FK$245:$ID$316,$FJ226-GR$169,72-GR$169+SwaptionMonthsToGo+SwaptionShift))/SQRT(SUM(INDEX($FK381:$ID381,1+SwaptionShift):INDEX($FK381:$ID381,SwaptionMonthsToGo+SwaptionShift))*SUM(INDEX($FK$325:$ID$396,GR$169,1+SwaptionShift):INDEX($FK$325:$ID$396,GR$169,SwaptionMonthsToGo+SwaptionShift))))))</f>
        <v/>
      </c>
      <c r="GS226" s="479" t="str">
        <f ca="1">IF(OR(GS$169&lt;SwaptionFirstMonthPosition+1,$FJ226&lt;SwaptionFirstMonthPosition+1,GS$169&gt;SwaptionFirstMonthPosition+SwaptionNumOfMonths+1,$FJ226&gt;SwaptionFirstMonthPosition+SwaptionNumOfMonths+1),"",IF($FJ226=GS$169,1,IF($FJ226&lt;GS$169,INDEX($FK$170:$ID$241,GS$169,$FJ226),SUMPRODUCT(INDEX($FK$325:$ID$396,GS$169,1+SwaptionShift):INDEX($FK$325:$ID$396,GS$169,SwaptionMonthsToGo+SwaptionShift),INDEX($FK$245:$ID$316,$FJ226-GS$169,73-GS$169+SwaptionShift):INDEX($FK$245:$ID$316,$FJ226-GS$169,72-GS$169+SwaptionMonthsToGo+SwaptionShift))/SQRT(SUM(INDEX($FK381:$ID381,1+SwaptionShift):INDEX($FK381:$ID381,SwaptionMonthsToGo+SwaptionShift))*SUM(INDEX($FK$325:$ID$396,GS$169,1+SwaptionShift):INDEX($FK$325:$ID$396,GS$169,SwaptionMonthsToGo+SwaptionShift))))))</f>
        <v/>
      </c>
      <c r="GT226" s="479" t="str">
        <f ca="1">IF(OR(GT$169&lt;SwaptionFirstMonthPosition+1,$FJ226&lt;SwaptionFirstMonthPosition+1,GT$169&gt;SwaptionFirstMonthPosition+SwaptionNumOfMonths+1,$FJ226&gt;SwaptionFirstMonthPosition+SwaptionNumOfMonths+1),"",IF($FJ226=GT$169,1,IF($FJ226&lt;GT$169,INDEX($FK$170:$ID$241,GT$169,$FJ226),SUMPRODUCT(INDEX($FK$325:$ID$396,GT$169,1+SwaptionShift):INDEX($FK$325:$ID$396,GT$169,SwaptionMonthsToGo+SwaptionShift),INDEX($FK$245:$ID$316,$FJ226-GT$169,73-GT$169+SwaptionShift):INDEX($FK$245:$ID$316,$FJ226-GT$169,72-GT$169+SwaptionMonthsToGo+SwaptionShift))/SQRT(SUM(INDEX($FK381:$ID381,1+SwaptionShift):INDEX($FK381:$ID381,SwaptionMonthsToGo+SwaptionShift))*SUM(INDEX($FK$325:$ID$396,GT$169,1+SwaptionShift):INDEX($FK$325:$ID$396,GT$169,SwaptionMonthsToGo+SwaptionShift))))))</f>
        <v/>
      </c>
      <c r="GU226" s="479" t="str">
        <f ca="1">IF(OR(GU$169&lt;SwaptionFirstMonthPosition+1,$FJ226&lt;SwaptionFirstMonthPosition+1,GU$169&gt;SwaptionFirstMonthPosition+SwaptionNumOfMonths+1,$FJ226&gt;SwaptionFirstMonthPosition+SwaptionNumOfMonths+1),"",IF($FJ226=GU$169,1,IF($FJ226&lt;GU$169,INDEX($FK$170:$ID$241,GU$169,$FJ226),SUMPRODUCT(INDEX($FK$325:$ID$396,GU$169,1+SwaptionShift):INDEX($FK$325:$ID$396,GU$169,SwaptionMonthsToGo+SwaptionShift),INDEX($FK$245:$ID$316,$FJ226-GU$169,73-GU$169+SwaptionShift):INDEX($FK$245:$ID$316,$FJ226-GU$169,72-GU$169+SwaptionMonthsToGo+SwaptionShift))/SQRT(SUM(INDEX($FK381:$ID381,1+SwaptionShift):INDEX($FK381:$ID381,SwaptionMonthsToGo+SwaptionShift))*SUM(INDEX($FK$325:$ID$396,GU$169,1+SwaptionShift):INDEX($FK$325:$ID$396,GU$169,SwaptionMonthsToGo+SwaptionShift))))))</f>
        <v/>
      </c>
      <c r="GV226" s="479" t="str">
        <f ca="1">IF(OR(GV$169&lt;SwaptionFirstMonthPosition+1,$FJ226&lt;SwaptionFirstMonthPosition+1,GV$169&gt;SwaptionFirstMonthPosition+SwaptionNumOfMonths+1,$FJ226&gt;SwaptionFirstMonthPosition+SwaptionNumOfMonths+1),"",IF($FJ226=GV$169,1,IF($FJ226&lt;GV$169,INDEX($FK$170:$ID$241,GV$169,$FJ226),SUMPRODUCT(INDEX($FK$325:$ID$396,GV$169,1+SwaptionShift):INDEX($FK$325:$ID$396,GV$169,SwaptionMonthsToGo+SwaptionShift),INDEX($FK$245:$ID$316,$FJ226-GV$169,73-GV$169+SwaptionShift):INDEX($FK$245:$ID$316,$FJ226-GV$169,72-GV$169+SwaptionMonthsToGo+SwaptionShift))/SQRT(SUM(INDEX($FK381:$ID381,1+SwaptionShift):INDEX($FK381:$ID381,SwaptionMonthsToGo+SwaptionShift))*SUM(INDEX($FK$325:$ID$396,GV$169,1+SwaptionShift):INDEX($FK$325:$ID$396,GV$169,SwaptionMonthsToGo+SwaptionShift))))))</f>
        <v/>
      </c>
      <c r="GW226" s="479" t="str">
        <f ca="1">IF(OR(GW$169&lt;SwaptionFirstMonthPosition+1,$FJ226&lt;SwaptionFirstMonthPosition+1,GW$169&gt;SwaptionFirstMonthPosition+SwaptionNumOfMonths+1,$FJ226&gt;SwaptionFirstMonthPosition+SwaptionNumOfMonths+1),"",IF($FJ226=GW$169,1,IF($FJ226&lt;GW$169,INDEX($FK$170:$ID$241,GW$169,$FJ226),SUMPRODUCT(INDEX($FK$325:$ID$396,GW$169,1+SwaptionShift):INDEX($FK$325:$ID$396,GW$169,SwaptionMonthsToGo+SwaptionShift),INDEX($FK$245:$ID$316,$FJ226-GW$169,73-GW$169+SwaptionShift):INDEX($FK$245:$ID$316,$FJ226-GW$169,72-GW$169+SwaptionMonthsToGo+SwaptionShift))/SQRT(SUM(INDEX($FK381:$ID381,1+SwaptionShift):INDEX($FK381:$ID381,SwaptionMonthsToGo+SwaptionShift))*SUM(INDEX($FK$325:$ID$396,GW$169,1+SwaptionShift):INDEX($FK$325:$ID$396,GW$169,SwaptionMonthsToGo+SwaptionShift))))))</f>
        <v/>
      </c>
      <c r="GX226" s="479" t="str">
        <f ca="1">IF(OR(GX$169&lt;SwaptionFirstMonthPosition+1,$FJ226&lt;SwaptionFirstMonthPosition+1,GX$169&gt;SwaptionFirstMonthPosition+SwaptionNumOfMonths+1,$FJ226&gt;SwaptionFirstMonthPosition+SwaptionNumOfMonths+1),"",IF($FJ226=GX$169,1,IF($FJ226&lt;GX$169,INDEX($FK$170:$ID$241,GX$169,$FJ226),SUMPRODUCT(INDEX($FK$325:$ID$396,GX$169,1+SwaptionShift):INDEX($FK$325:$ID$396,GX$169,SwaptionMonthsToGo+SwaptionShift),INDEX($FK$245:$ID$316,$FJ226-GX$169,73-GX$169+SwaptionShift):INDEX($FK$245:$ID$316,$FJ226-GX$169,72-GX$169+SwaptionMonthsToGo+SwaptionShift))/SQRT(SUM(INDEX($FK381:$ID381,1+SwaptionShift):INDEX($FK381:$ID381,SwaptionMonthsToGo+SwaptionShift))*SUM(INDEX($FK$325:$ID$396,GX$169,1+SwaptionShift):INDEX($FK$325:$ID$396,GX$169,SwaptionMonthsToGo+SwaptionShift))))))</f>
        <v/>
      </c>
      <c r="GY226" s="479" t="str">
        <f ca="1">IF(OR(GY$169&lt;SwaptionFirstMonthPosition+1,$FJ226&lt;SwaptionFirstMonthPosition+1,GY$169&gt;SwaptionFirstMonthPosition+SwaptionNumOfMonths+1,$FJ226&gt;SwaptionFirstMonthPosition+SwaptionNumOfMonths+1),"",IF($FJ226=GY$169,1,IF($FJ226&lt;GY$169,INDEX($FK$170:$ID$241,GY$169,$FJ226),SUMPRODUCT(INDEX($FK$325:$ID$396,GY$169,1+SwaptionShift):INDEX($FK$325:$ID$396,GY$169,SwaptionMonthsToGo+SwaptionShift),INDEX($FK$245:$ID$316,$FJ226-GY$169,73-GY$169+SwaptionShift):INDEX($FK$245:$ID$316,$FJ226-GY$169,72-GY$169+SwaptionMonthsToGo+SwaptionShift))/SQRT(SUM(INDEX($FK381:$ID381,1+SwaptionShift):INDEX($FK381:$ID381,SwaptionMonthsToGo+SwaptionShift))*SUM(INDEX($FK$325:$ID$396,GY$169,1+SwaptionShift):INDEX($FK$325:$ID$396,GY$169,SwaptionMonthsToGo+SwaptionShift))))))</f>
        <v/>
      </c>
      <c r="GZ226" s="479" t="str">
        <f ca="1">IF(OR(GZ$169&lt;SwaptionFirstMonthPosition+1,$FJ226&lt;SwaptionFirstMonthPosition+1,GZ$169&gt;SwaptionFirstMonthPosition+SwaptionNumOfMonths+1,$FJ226&gt;SwaptionFirstMonthPosition+SwaptionNumOfMonths+1),"",IF($FJ226=GZ$169,1,IF($FJ226&lt;GZ$169,INDEX($FK$170:$ID$241,GZ$169,$FJ226),SUMPRODUCT(INDEX($FK$325:$ID$396,GZ$169,1+SwaptionShift):INDEX($FK$325:$ID$396,GZ$169,SwaptionMonthsToGo+SwaptionShift),INDEX($FK$245:$ID$316,$FJ226-GZ$169,73-GZ$169+SwaptionShift):INDEX($FK$245:$ID$316,$FJ226-GZ$169,72-GZ$169+SwaptionMonthsToGo+SwaptionShift))/SQRT(SUM(INDEX($FK381:$ID381,1+SwaptionShift):INDEX($FK381:$ID381,SwaptionMonthsToGo+SwaptionShift))*SUM(INDEX($FK$325:$ID$396,GZ$169,1+SwaptionShift):INDEX($FK$325:$ID$396,GZ$169,SwaptionMonthsToGo+SwaptionShift))))))</f>
        <v/>
      </c>
      <c r="HA226" s="479" t="str">
        <f ca="1">IF(OR(HA$169&lt;SwaptionFirstMonthPosition+1,$FJ226&lt;SwaptionFirstMonthPosition+1,HA$169&gt;SwaptionFirstMonthPosition+SwaptionNumOfMonths+1,$FJ226&gt;SwaptionFirstMonthPosition+SwaptionNumOfMonths+1),"",IF($FJ226=HA$169,1,IF($FJ226&lt;HA$169,INDEX($FK$170:$ID$241,HA$169,$FJ226),SUMPRODUCT(INDEX($FK$325:$ID$396,HA$169,1+SwaptionShift):INDEX($FK$325:$ID$396,HA$169,SwaptionMonthsToGo+SwaptionShift),INDEX($FK$245:$ID$316,$FJ226-HA$169,73-HA$169+SwaptionShift):INDEX($FK$245:$ID$316,$FJ226-HA$169,72-HA$169+SwaptionMonthsToGo+SwaptionShift))/SQRT(SUM(INDEX($FK381:$ID381,1+SwaptionShift):INDEX($FK381:$ID381,SwaptionMonthsToGo+SwaptionShift))*SUM(INDEX($FK$325:$ID$396,HA$169,1+SwaptionShift):INDEX($FK$325:$ID$396,HA$169,SwaptionMonthsToGo+SwaptionShift))))))</f>
        <v/>
      </c>
      <c r="HB226" s="479" t="str">
        <f ca="1">IF(OR(HB$169&lt;SwaptionFirstMonthPosition+1,$FJ226&lt;SwaptionFirstMonthPosition+1,HB$169&gt;SwaptionFirstMonthPosition+SwaptionNumOfMonths+1,$FJ226&gt;SwaptionFirstMonthPosition+SwaptionNumOfMonths+1),"",IF($FJ226=HB$169,1,IF($FJ226&lt;HB$169,INDEX($FK$170:$ID$241,HB$169,$FJ226),SUMPRODUCT(INDEX($FK$325:$ID$396,HB$169,1+SwaptionShift):INDEX($FK$325:$ID$396,HB$169,SwaptionMonthsToGo+SwaptionShift),INDEX($FK$245:$ID$316,$FJ226-HB$169,73-HB$169+SwaptionShift):INDEX($FK$245:$ID$316,$FJ226-HB$169,72-HB$169+SwaptionMonthsToGo+SwaptionShift))/SQRT(SUM(INDEX($FK381:$ID381,1+SwaptionShift):INDEX($FK381:$ID381,SwaptionMonthsToGo+SwaptionShift))*SUM(INDEX($FK$325:$ID$396,HB$169,1+SwaptionShift):INDEX($FK$325:$ID$396,HB$169,SwaptionMonthsToGo+SwaptionShift))))))</f>
        <v/>
      </c>
      <c r="HC226" s="479" t="str">
        <f ca="1">IF(OR(HC$169&lt;SwaptionFirstMonthPosition+1,$FJ226&lt;SwaptionFirstMonthPosition+1,HC$169&gt;SwaptionFirstMonthPosition+SwaptionNumOfMonths+1,$FJ226&gt;SwaptionFirstMonthPosition+SwaptionNumOfMonths+1),"",IF($FJ226=HC$169,1,IF($FJ226&lt;HC$169,INDEX($FK$170:$ID$241,HC$169,$FJ226),SUMPRODUCT(INDEX($FK$325:$ID$396,HC$169,1+SwaptionShift):INDEX($FK$325:$ID$396,HC$169,SwaptionMonthsToGo+SwaptionShift),INDEX($FK$245:$ID$316,$FJ226-HC$169,73-HC$169+SwaptionShift):INDEX($FK$245:$ID$316,$FJ226-HC$169,72-HC$169+SwaptionMonthsToGo+SwaptionShift))/SQRT(SUM(INDEX($FK381:$ID381,1+SwaptionShift):INDEX($FK381:$ID381,SwaptionMonthsToGo+SwaptionShift))*SUM(INDEX($FK$325:$ID$396,HC$169,1+SwaptionShift):INDEX($FK$325:$ID$396,HC$169,SwaptionMonthsToGo+SwaptionShift))))))</f>
        <v/>
      </c>
      <c r="HD226" s="479" t="str">
        <f ca="1">IF(OR(HD$169&lt;SwaptionFirstMonthPosition+1,$FJ226&lt;SwaptionFirstMonthPosition+1,HD$169&gt;SwaptionFirstMonthPosition+SwaptionNumOfMonths+1,$FJ226&gt;SwaptionFirstMonthPosition+SwaptionNumOfMonths+1),"",IF($FJ226=HD$169,1,IF($FJ226&lt;HD$169,INDEX($FK$170:$ID$241,HD$169,$FJ226),SUMPRODUCT(INDEX($FK$325:$ID$396,HD$169,1+SwaptionShift):INDEX($FK$325:$ID$396,HD$169,SwaptionMonthsToGo+SwaptionShift),INDEX($FK$245:$ID$316,$FJ226-HD$169,73-HD$169+SwaptionShift):INDEX($FK$245:$ID$316,$FJ226-HD$169,72-HD$169+SwaptionMonthsToGo+SwaptionShift))/SQRT(SUM(INDEX($FK381:$ID381,1+SwaptionShift):INDEX($FK381:$ID381,SwaptionMonthsToGo+SwaptionShift))*SUM(INDEX($FK$325:$ID$396,HD$169,1+SwaptionShift):INDEX($FK$325:$ID$396,HD$169,SwaptionMonthsToGo+SwaptionShift))))))</f>
        <v/>
      </c>
      <c r="HE226" s="479" t="str">
        <f ca="1">IF(OR(HE$169&lt;SwaptionFirstMonthPosition+1,$FJ226&lt;SwaptionFirstMonthPosition+1,HE$169&gt;SwaptionFirstMonthPosition+SwaptionNumOfMonths+1,$FJ226&gt;SwaptionFirstMonthPosition+SwaptionNumOfMonths+1),"",IF($FJ226=HE$169,1,IF($FJ226&lt;HE$169,INDEX($FK$170:$ID$241,HE$169,$FJ226),SUMPRODUCT(INDEX($FK$325:$ID$396,HE$169,1+SwaptionShift):INDEX($FK$325:$ID$396,HE$169,SwaptionMonthsToGo+SwaptionShift),INDEX($FK$245:$ID$316,$FJ226-HE$169,73-HE$169+SwaptionShift):INDEX($FK$245:$ID$316,$FJ226-HE$169,72-HE$169+SwaptionMonthsToGo+SwaptionShift))/SQRT(SUM(INDEX($FK381:$ID381,1+SwaptionShift):INDEX($FK381:$ID381,SwaptionMonthsToGo+SwaptionShift))*SUM(INDEX($FK$325:$ID$396,HE$169,1+SwaptionShift):INDEX($FK$325:$ID$396,HE$169,SwaptionMonthsToGo+SwaptionShift))))))</f>
        <v/>
      </c>
      <c r="HF226" s="479" t="str">
        <f ca="1">IF(OR(HF$169&lt;SwaptionFirstMonthPosition+1,$FJ226&lt;SwaptionFirstMonthPosition+1,HF$169&gt;SwaptionFirstMonthPosition+SwaptionNumOfMonths+1,$FJ226&gt;SwaptionFirstMonthPosition+SwaptionNumOfMonths+1),"",IF($FJ226=HF$169,1,IF($FJ226&lt;HF$169,INDEX($FK$170:$ID$241,HF$169,$FJ226),SUMPRODUCT(INDEX($FK$325:$ID$396,HF$169,1+SwaptionShift):INDEX($FK$325:$ID$396,HF$169,SwaptionMonthsToGo+SwaptionShift),INDEX($FK$245:$ID$316,$FJ226-HF$169,73-HF$169+SwaptionShift):INDEX($FK$245:$ID$316,$FJ226-HF$169,72-HF$169+SwaptionMonthsToGo+SwaptionShift))/SQRT(SUM(INDEX($FK381:$ID381,1+SwaptionShift):INDEX($FK381:$ID381,SwaptionMonthsToGo+SwaptionShift))*SUM(INDEX($FK$325:$ID$396,HF$169,1+SwaptionShift):INDEX($FK$325:$ID$396,HF$169,SwaptionMonthsToGo+SwaptionShift))))))</f>
        <v/>
      </c>
      <c r="HG226" s="479" t="str">
        <f ca="1">IF(OR(HG$169&lt;SwaptionFirstMonthPosition+1,$FJ226&lt;SwaptionFirstMonthPosition+1,HG$169&gt;SwaptionFirstMonthPosition+SwaptionNumOfMonths+1,$FJ226&gt;SwaptionFirstMonthPosition+SwaptionNumOfMonths+1),"",IF($FJ226=HG$169,1,IF($FJ226&lt;HG$169,INDEX($FK$170:$ID$241,HG$169,$FJ226),SUMPRODUCT(INDEX($FK$325:$ID$396,HG$169,1+SwaptionShift):INDEX($FK$325:$ID$396,HG$169,SwaptionMonthsToGo+SwaptionShift),INDEX($FK$245:$ID$316,$FJ226-HG$169,73-HG$169+SwaptionShift):INDEX($FK$245:$ID$316,$FJ226-HG$169,72-HG$169+SwaptionMonthsToGo+SwaptionShift))/SQRT(SUM(INDEX($FK381:$ID381,1+SwaptionShift):INDEX($FK381:$ID381,SwaptionMonthsToGo+SwaptionShift))*SUM(INDEX($FK$325:$ID$396,HG$169,1+SwaptionShift):INDEX($FK$325:$ID$396,HG$169,SwaptionMonthsToGo+SwaptionShift))))))</f>
        <v/>
      </c>
      <c r="HH226" s="479" t="str">
        <f ca="1">IF(OR(HH$169&lt;SwaptionFirstMonthPosition+1,$FJ226&lt;SwaptionFirstMonthPosition+1,HH$169&gt;SwaptionFirstMonthPosition+SwaptionNumOfMonths+1,$FJ226&gt;SwaptionFirstMonthPosition+SwaptionNumOfMonths+1),"",IF($FJ226=HH$169,1,IF($FJ226&lt;HH$169,INDEX($FK$170:$ID$241,HH$169,$FJ226),SUMPRODUCT(INDEX($FK$325:$ID$396,HH$169,1+SwaptionShift):INDEX($FK$325:$ID$396,HH$169,SwaptionMonthsToGo+SwaptionShift),INDEX($FK$245:$ID$316,$FJ226-HH$169,73-HH$169+SwaptionShift):INDEX($FK$245:$ID$316,$FJ226-HH$169,72-HH$169+SwaptionMonthsToGo+SwaptionShift))/SQRT(SUM(INDEX($FK381:$ID381,1+SwaptionShift):INDEX($FK381:$ID381,SwaptionMonthsToGo+SwaptionShift))*SUM(INDEX($FK$325:$ID$396,HH$169,1+SwaptionShift):INDEX($FK$325:$ID$396,HH$169,SwaptionMonthsToGo+SwaptionShift))))))</f>
        <v/>
      </c>
      <c r="HI226" s="479" t="str">
        <f ca="1">IF(OR(HI$169&lt;SwaptionFirstMonthPosition+1,$FJ226&lt;SwaptionFirstMonthPosition+1,HI$169&gt;SwaptionFirstMonthPosition+SwaptionNumOfMonths+1,$FJ226&gt;SwaptionFirstMonthPosition+SwaptionNumOfMonths+1),"",IF($FJ226=HI$169,1,IF($FJ226&lt;HI$169,INDEX($FK$170:$ID$241,HI$169,$FJ226),SUMPRODUCT(INDEX($FK$325:$ID$396,HI$169,1+SwaptionShift):INDEX($FK$325:$ID$396,HI$169,SwaptionMonthsToGo+SwaptionShift),INDEX($FK$245:$ID$316,$FJ226-HI$169,73-HI$169+SwaptionShift):INDEX($FK$245:$ID$316,$FJ226-HI$169,72-HI$169+SwaptionMonthsToGo+SwaptionShift))/SQRT(SUM(INDEX($FK381:$ID381,1+SwaptionShift):INDEX($FK381:$ID381,SwaptionMonthsToGo+SwaptionShift))*SUM(INDEX($FK$325:$ID$396,HI$169,1+SwaptionShift):INDEX($FK$325:$ID$396,HI$169,SwaptionMonthsToGo+SwaptionShift))))))</f>
        <v/>
      </c>
      <c r="HJ226" s="479" t="str">
        <f ca="1">IF(OR(HJ$169&lt;SwaptionFirstMonthPosition+1,$FJ226&lt;SwaptionFirstMonthPosition+1,HJ$169&gt;SwaptionFirstMonthPosition+SwaptionNumOfMonths+1,$FJ226&gt;SwaptionFirstMonthPosition+SwaptionNumOfMonths+1),"",IF($FJ226=HJ$169,1,IF($FJ226&lt;HJ$169,INDEX($FK$170:$ID$241,HJ$169,$FJ226),SUMPRODUCT(INDEX($FK$325:$ID$396,HJ$169,1+SwaptionShift):INDEX($FK$325:$ID$396,HJ$169,SwaptionMonthsToGo+SwaptionShift),INDEX($FK$245:$ID$316,$FJ226-HJ$169,73-HJ$169+SwaptionShift):INDEX($FK$245:$ID$316,$FJ226-HJ$169,72-HJ$169+SwaptionMonthsToGo+SwaptionShift))/SQRT(SUM(INDEX($FK381:$ID381,1+SwaptionShift):INDEX($FK381:$ID381,SwaptionMonthsToGo+SwaptionShift))*SUM(INDEX($FK$325:$ID$396,HJ$169,1+SwaptionShift):INDEX($FK$325:$ID$396,HJ$169,SwaptionMonthsToGo+SwaptionShift))))))</f>
        <v/>
      </c>
      <c r="HK226" s="479" t="str">
        <f ca="1">IF(OR(HK$169&lt;SwaptionFirstMonthPosition+1,$FJ226&lt;SwaptionFirstMonthPosition+1,HK$169&gt;SwaptionFirstMonthPosition+SwaptionNumOfMonths+1,$FJ226&gt;SwaptionFirstMonthPosition+SwaptionNumOfMonths+1),"",IF($FJ226=HK$169,1,IF($FJ226&lt;HK$169,INDEX($FK$170:$ID$241,HK$169,$FJ226),SUMPRODUCT(INDEX($FK$325:$ID$396,HK$169,1+SwaptionShift):INDEX($FK$325:$ID$396,HK$169,SwaptionMonthsToGo+SwaptionShift),INDEX($FK$245:$ID$316,$FJ226-HK$169,73-HK$169+SwaptionShift):INDEX($FK$245:$ID$316,$FJ226-HK$169,72-HK$169+SwaptionMonthsToGo+SwaptionShift))/SQRT(SUM(INDEX($FK381:$ID381,1+SwaptionShift):INDEX($FK381:$ID381,SwaptionMonthsToGo+SwaptionShift))*SUM(INDEX($FK$325:$ID$396,HK$169,1+SwaptionShift):INDEX($FK$325:$ID$396,HK$169,SwaptionMonthsToGo+SwaptionShift))))))</f>
        <v/>
      </c>
      <c r="HL226" s="479" t="str">
        <f ca="1">IF(OR(HL$169&lt;SwaptionFirstMonthPosition+1,$FJ226&lt;SwaptionFirstMonthPosition+1,HL$169&gt;SwaptionFirstMonthPosition+SwaptionNumOfMonths+1,$FJ226&gt;SwaptionFirstMonthPosition+SwaptionNumOfMonths+1),"",IF($FJ226=HL$169,1,IF($FJ226&lt;HL$169,INDEX($FK$170:$ID$241,HL$169,$FJ226),SUMPRODUCT(INDEX($FK$325:$ID$396,HL$169,1+SwaptionShift):INDEX($FK$325:$ID$396,HL$169,SwaptionMonthsToGo+SwaptionShift),INDEX($FK$245:$ID$316,$FJ226-HL$169,73-HL$169+SwaptionShift):INDEX($FK$245:$ID$316,$FJ226-HL$169,72-HL$169+SwaptionMonthsToGo+SwaptionShift))/SQRT(SUM(INDEX($FK381:$ID381,1+SwaptionShift):INDEX($FK381:$ID381,SwaptionMonthsToGo+SwaptionShift))*SUM(INDEX($FK$325:$ID$396,HL$169,1+SwaptionShift):INDEX($FK$325:$ID$396,HL$169,SwaptionMonthsToGo+SwaptionShift))))))</f>
        <v/>
      </c>
      <c r="HM226" s="479" t="str">
        <f ca="1">IF(OR(HM$169&lt;SwaptionFirstMonthPosition+1,$FJ226&lt;SwaptionFirstMonthPosition+1,HM$169&gt;SwaptionFirstMonthPosition+SwaptionNumOfMonths+1,$FJ226&gt;SwaptionFirstMonthPosition+SwaptionNumOfMonths+1),"",IF($FJ226=HM$169,1,IF($FJ226&lt;HM$169,INDEX($FK$170:$ID$241,HM$169,$FJ226),SUMPRODUCT(INDEX($FK$325:$ID$396,HM$169,1+SwaptionShift):INDEX($FK$325:$ID$396,HM$169,SwaptionMonthsToGo+SwaptionShift),INDEX($FK$245:$ID$316,$FJ226-HM$169,73-HM$169+SwaptionShift):INDEX($FK$245:$ID$316,$FJ226-HM$169,72-HM$169+SwaptionMonthsToGo+SwaptionShift))/SQRT(SUM(INDEX($FK381:$ID381,1+SwaptionShift):INDEX($FK381:$ID381,SwaptionMonthsToGo+SwaptionShift))*SUM(INDEX($FK$325:$ID$396,HM$169,1+SwaptionShift):INDEX($FK$325:$ID$396,HM$169,SwaptionMonthsToGo+SwaptionShift))))))</f>
        <v/>
      </c>
      <c r="HN226" s="479" t="str">
        <f ca="1">IF(OR(HN$169&lt;SwaptionFirstMonthPosition+1,$FJ226&lt;SwaptionFirstMonthPosition+1,HN$169&gt;SwaptionFirstMonthPosition+SwaptionNumOfMonths+1,$FJ226&gt;SwaptionFirstMonthPosition+SwaptionNumOfMonths+1),"",IF($FJ226=HN$169,1,IF($FJ226&lt;HN$169,INDEX($FK$170:$ID$241,HN$169,$FJ226),SUMPRODUCT(INDEX($FK$325:$ID$396,HN$169,1+SwaptionShift):INDEX($FK$325:$ID$396,HN$169,SwaptionMonthsToGo+SwaptionShift),INDEX($FK$245:$ID$316,$FJ226-HN$169,73-HN$169+SwaptionShift):INDEX($FK$245:$ID$316,$FJ226-HN$169,72-HN$169+SwaptionMonthsToGo+SwaptionShift))/SQRT(SUM(INDEX($FK381:$ID381,1+SwaptionShift):INDEX($FK381:$ID381,SwaptionMonthsToGo+SwaptionShift))*SUM(INDEX($FK$325:$ID$396,HN$169,1+SwaptionShift):INDEX($FK$325:$ID$396,HN$169,SwaptionMonthsToGo+SwaptionShift))))))</f>
        <v/>
      </c>
      <c r="HO226" s="479" t="str">
        <f ca="1">IF(OR(HO$169&lt;SwaptionFirstMonthPosition+1,$FJ226&lt;SwaptionFirstMonthPosition+1,HO$169&gt;SwaptionFirstMonthPosition+SwaptionNumOfMonths+1,$FJ226&gt;SwaptionFirstMonthPosition+SwaptionNumOfMonths+1),"",IF($FJ226=HO$169,1,IF($FJ226&lt;HO$169,INDEX($FK$170:$ID$241,HO$169,$FJ226),SUMPRODUCT(INDEX($FK$325:$ID$396,HO$169,1+SwaptionShift):INDEX($FK$325:$ID$396,HO$169,SwaptionMonthsToGo+SwaptionShift),INDEX($FK$245:$ID$316,$FJ226-HO$169,73-HO$169+SwaptionShift):INDEX($FK$245:$ID$316,$FJ226-HO$169,72-HO$169+SwaptionMonthsToGo+SwaptionShift))/SQRT(SUM(INDEX($FK381:$ID381,1+SwaptionShift):INDEX($FK381:$ID381,SwaptionMonthsToGo+SwaptionShift))*SUM(INDEX($FK$325:$ID$396,HO$169,1+SwaptionShift):INDEX($FK$325:$ID$396,HO$169,SwaptionMonthsToGo+SwaptionShift))))))</f>
        <v/>
      </c>
      <c r="HP226" s="479" t="str">
        <f ca="1">IF(OR(HP$169&lt;SwaptionFirstMonthPosition+1,$FJ226&lt;SwaptionFirstMonthPosition+1,HP$169&gt;SwaptionFirstMonthPosition+SwaptionNumOfMonths+1,$FJ226&gt;SwaptionFirstMonthPosition+SwaptionNumOfMonths+1),"",IF($FJ226=HP$169,1,IF($FJ226&lt;HP$169,INDEX($FK$170:$ID$241,HP$169,$FJ226),SUMPRODUCT(INDEX($FK$325:$ID$396,HP$169,1+SwaptionShift):INDEX($FK$325:$ID$396,HP$169,SwaptionMonthsToGo+SwaptionShift),INDEX($FK$245:$ID$316,$FJ226-HP$169,73-HP$169+SwaptionShift):INDEX($FK$245:$ID$316,$FJ226-HP$169,72-HP$169+SwaptionMonthsToGo+SwaptionShift))/SQRT(SUM(INDEX($FK381:$ID381,1+SwaptionShift):INDEX($FK381:$ID381,SwaptionMonthsToGo+SwaptionShift))*SUM(INDEX($FK$325:$ID$396,HP$169,1+SwaptionShift):INDEX($FK$325:$ID$396,HP$169,SwaptionMonthsToGo+SwaptionShift))))))</f>
        <v/>
      </c>
      <c r="HQ226" s="479" t="str">
        <f ca="1">IF(OR(HQ$169&lt;SwaptionFirstMonthPosition+1,$FJ226&lt;SwaptionFirstMonthPosition+1,HQ$169&gt;SwaptionFirstMonthPosition+SwaptionNumOfMonths+1,$FJ226&gt;SwaptionFirstMonthPosition+SwaptionNumOfMonths+1),"",IF($FJ226=HQ$169,1,IF($FJ226&lt;HQ$169,INDEX($FK$170:$ID$241,HQ$169,$FJ226),SUMPRODUCT(INDEX($FK$325:$ID$396,HQ$169,1+SwaptionShift):INDEX($FK$325:$ID$396,HQ$169,SwaptionMonthsToGo+SwaptionShift),INDEX($FK$245:$ID$316,$FJ226-HQ$169,73-HQ$169+SwaptionShift):INDEX($FK$245:$ID$316,$FJ226-HQ$169,72-HQ$169+SwaptionMonthsToGo+SwaptionShift))/SQRT(SUM(INDEX($FK381:$ID381,1+SwaptionShift):INDEX($FK381:$ID381,SwaptionMonthsToGo+SwaptionShift))*SUM(INDEX($FK$325:$ID$396,HQ$169,1+SwaptionShift):INDEX($FK$325:$ID$396,HQ$169,SwaptionMonthsToGo+SwaptionShift))))))</f>
        <v/>
      </c>
      <c r="HR226" s="479" t="str">
        <f ca="1">IF(OR(HR$169&lt;SwaptionFirstMonthPosition+1,$FJ226&lt;SwaptionFirstMonthPosition+1,HR$169&gt;SwaptionFirstMonthPosition+SwaptionNumOfMonths+1,$FJ226&gt;SwaptionFirstMonthPosition+SwaptionNumOfMonths+1),"",IF($FJ226=HR$169,1,IF($FJ226&lt;HR$169,INDEX($FK$170:$ID$241,HR$169,$FJ226),SUMPRODUCT(INDEX($FK$325:$ID$396,HR$169,1+SwaptionShift):INDEX($FK$325:$ID$396,HR$169,SwaptionMonthsToGo+SwaptionShift),INDEX($FK$245:$ID$316,$FJ226-HR$169,73-HR$169+SwaptionShift):INDEX($FK$245:$ID$316,$FJ226-HR$169,72-HR$169+SwaptionMonthsToGo+SwaptionShift))/SQRT(SUM(INDEX($FK381:$ID381,1+SwaptionShift):INDEX($FK381:$ID381,SwaptionMonthsToGo+SwaptionShift))*SUM(INDEX($FK$325:$ID$396,HR$169,1+SwaptionShift):INDEX($FK$325:$ID$396,HR$169,SwaptionMonthsToGo+SwaptionShift))))))</f>
        <v/>
      </c>
      <c r="HS226" s="479" t="str">
        <f ca="1">IF(OR(HS$169&lt;SwaptionFirstMonthPosition+1,$FJ226&lt;SwaptionFirstMonthPosition+1,HS$169&gt;SwaptionFirstMonthPosition+SwaptionNumOfMonths+1,$FJ226&gt;SwaptionFirstMonthPosition+SwaptionNumOfMonths+1),"",IF($FJ226=HS$169,1,IF($FJ226&lt;HS$169,INDEX($FK$170:$ID$241,HS$169,$FJ226),SUMPRODUCT(INDEX($FK$325:$ID$396,HS$169,1+SwaptionShift):INDEX($FK$325:$ID$396,HS$169,SwaptionMonthsToGo+SwaptionShift),INDEX($FK$245:$ID$316,$FJ226-HS$169,73-HS$169+SwaptionShift):INDEX($FK$245:$ID$316,$FJ226-HS$169,72-HS$169+SwaptionMonthsToGo+SwaptionShift))/SQRT(SUM(INDEX($FK381:$ID381,1+SwaptionShift):INDEX($FK381:$ID381,SwaptionMonthsToGo+SwaptionShift))*SUM(INDEX($FK$325:$ID$396,HS$169,1+SwaptionShift):INDEX($FK$325:$ID$396,HS$169,SwaptionMonthsToGo+SwaptionShift))))))</f>
        <v/>
      </c>
      <c r="HT226" s="479" t="str">
        <f ca="1">IF(OR(HT$169&lt;SwaptionFirstMonthPosition+1,$FJ226&lt;SwaptionFirstMonthPosition+1,HT$169&gt;SwaptionFirstMonthPosition+SwaptionNumOfMonths+1,$FJ226&gt;SwaptionFirstMonthPosition+SwaptionNumOfMonths+1),"",IF($FJ226=HT$169,1,IF($FJ226&lt;HT$169,INDEX($FK$170:$ID$241,HT$169,$FJ226),SUMPRODUCT(INDEX($FK$325:$ID$396,HT$169,1+SwaptionShift):INDEX($FK$325:$ID$396,HT$169,SwaptionMonthsToGo+SwaptionShift),INDEX($FK$245:$ID$316,$FJ226-HT$169,73-HT$169+SwaptionShift):INDEX($FK$245:$ID$316,$FJ226-HT$169,72-HT$169+SwaptionMonthsToGo+SwaptionShift))/SQRT(SUM(INDEX($FK381:$ID381,1+SwaptionShift):INDEX($FK381:$ID381,SwaptionMonthsToGo+SwaptionShift))*SUM(INDEX($FK$325:$ID$396,HT$169,1+SwaptionShift):INDEX($FK$325:$ID$396,HT$169,SwaptionMonthsToGo+SwaptionShift))))))</f>
        <v/>
      </c>
      <c r="HU226" s="479" t="str">
        <f ca="1">IF(OR(HU$169&lt;SwaptionFirstMonthPosition+1,$FJ226&lt;SwaptionFirstMonthPosition+1,HU$169&gt;SwaptionFirstMonthPosition+SwaptionNumOfMonths+1,$FJ226&gt;SwaptionFirstMonthPosition+SwaptionNumOfMonths+1),"",IF($FJ226=HU$169,1,IF($FJ226&lt;HU$169,INDEX($FK$170:$ID$241,HU$169,$FJ226),SUMPRODUCT(INDEX($FK$325:$ID$396,HU$169,1+SwaptionShift):INDEX($FK$325:$ID$396,HU$169,SwaptionMonthsToGo+SwaptionShift),INDEX($FK$245:$ID$316,$FJ226-HU$169,73-HU$169+SwaptionShift):INDEX($FK$245:$ID$316,$FJ226-HU$169,72-HU$169+SwaptionMonthsToGo+SwaptionShift))/SQRT(SUM(INDEX($FK381:$ID381,1+SwaptionShift):INDEX($FK381:$ID381,SwaptionMonthsToGo+SwaptionShift))*SUM(INDEX($FK$325:$ID$396,HU$169,1+SwaptionShift):INDEX($FK$325:$ID$396,HU$169,SwaptionMonthsToGo+SwaptionShift))))))</f>
        <v/>
      </c>
      <c r="HV226" s="479" t="str">
        <f ca="1">IF(OR(HV$169&lt;SwaptionFirstMonthPosition+1,$FJ226&lt;SwaptionFirstMonthPosition+1,HV$169&gt;SwaptionFirstMonthPosition+SwaptionNumOfMonths+1,$FJ226&gt;SwaptionFirstMonthPosition+SwaptionNumOfMonths+1),"",IF($FJ226=HV$169,1,IF($FJ226&lt;HV$169,INDEX($FK$170:$ID$241,HV$169,$FJ226),SUMPRODUCT(INDEX($FK$325:$ID$396,HV$169,1+SwaptionShift):INDEX($FK$325:$ID$396,HV$169,SwaptionMonthsToGo+SwaptionShift),INDEX($FK$245:$ID$316,$FJ226-HV$169,73-HV$169+SwaptionShift):INDEX($FK$245:$ID$316,$FJ226-HV$169,72-HV$169+SwaptionMonthsToGo+SwaptionShift))/SQRT(SUM(INDEX($FK381:$ID381,1+SwaptionShift):INDEX($FK381:$ID381,SwaptionMonthsToGo+SwaptionShift))*SUM(INDEX($FK$325:$ID$396,HV$169,1+SwaptionShift):INDEX($FK$325:$ID$396,HV$169,SwaptionMonthsToGo+SwaptionShift))))))</f>
        <v/>
      </c>
      <c r="HW226" s="479" t="str">
        <f ca="1">IF(OR(HW$169&lt;SwaptionFirstMonthPosition+1,$FJ226&lt;SwaptionFirstMonthPosition+1,HW$169&gt;SwaptionFirstMonthPosition+SwaptionNumOfMonths+1,$FJ226&gt;SwaptionFirstMonthPosition+SwaptionNumOfMonths+1),"",IF($FJ226=HW$169,1,IF($FJ226&lt;HW$169,INDEX($FK$170:$ID$241,HW$169,$FJ226),SUMPRODUCT(INDEX($FK$325:$ID$396,HW$169,1+SwaptionShift):INDEX($FK$325:$ID$396,HW$169,SwaptionMonthsToGo+SwaptionShift),INDEX($FK$245:$ID$316,$FJ226-HW$169,73-HW$169+SwaptionShift):INDEX($FK$245:$ID$316,$FJ226-HW$169,72-HW$169+SwaptionMonthsToGo+SwaptionShift))/SQRT(SUM(INDEX($FK381:$ID381,1+SwaptionShift):INDEX($FK381:$ID381,SwaptionMonthsToGo+SwaptionShift))*SUM(INDEX($FK$325:$ID$396,HW$169,1+SwaptionShift):INDEX($FK$325:$ID$396,HW$169,SwaptionMonthsToGo+SwaptionShift))))))</f>
        <v/>
      </c>
      <c r="HX226" s="479" t="str">
        <f ca="1">IF(OR(HX$169&lt;SwaptionFirstMonthPosition+1,$FJ226&lt;SwaptionFirstMonthPosition+1,HX$169&gt;SwaptionFirstMonthPosition+SwaptionNumOfMonths+1,$FJ226&gt;SwaptionFirstMonthPosition+SwaptionNumOfMonths+1),"",IF($FJ226=HX$169,1,IF($FJ226&lt;HX$169,INDEX($FK$170:$ID$241,HX$169,$FJ226),SUMPRODUCT(INDEX($FK$325:$ID$396,HX$169,1+SwaptionShift):INDEX($FK$325:$ID$396,HX$169,SwaptionMonthsToGo+SwaptionShift),INDEX($FK$245:$ID$316,$FJ226-HX$169,73-HX$169+SwaptionShift):INDEX($FK$245:$ID$316,$FJ226-HX$169,72-HX$169+SwaptionMonthsToGo+SwaptionShift))/SQRT(SUM(INDEX($FK381:$ID381,1+SwaptionShift):INDEX($FK381:$ID381,SwaptionMonthsToGo+SwaptionShift))*SUM(INDEX($FK$325:$ID$396,HX$169,1+SwaptionShift):INDEX($FK$325:$ID$396,HX$169,SwaptionMonthsToGo+SwaptionShift))))))</f>
        <v/>
      </c>
      <c r="HY226" s="479" t="str">
        <f ca="1">IF(OR(HY$169&lt;SwaptionFirstMonthPosition+1,$FJ226&lt;SwaptionFirstMonthPosition+1,HY$169&gt;SwaptionFirstMonthPosition+SwaptionNumOfMonths+1,$FJ226&gt;SwaptionFirstMonthPosition+SwaptionNumOfMonths+1),"",IF($FJ226=HY$169,1,IF($FJ226&lt;HY$169,INDEX($FK$170:$ID$241,HY$169,$FJ226),SUMPRODUCT(INDEX($FK$325:$ID$396,HY$169,1+SwaptionShift):INDEX($FK$325:$ID$396,HY$169,SwaptionMonthsToGo+SwaptionShift),INDEX($FK$245:$ID$316,$FJ226-HY$169,73-HY$169+SwaptionShift):INDEX($FK$245:$ID$316,$FJ226-HY$169,72-HY$169+SwaptionMonthsToGo+SwaptionShift))/SQRT(SUM(INDEX($FK381:$ID381,1+SwaptionShift):INDEX($FK381:$ID381,SwaptionMonthsToGo+SwaptionShift))*SUM(INDEX($FK$325:$ID$396,HY$169,1+SwaptionShift):INDEX($FK$325:$ID$396,HY$169,SwaptionMonthsToGo+SwaptionShift))))))</f>
        <v/>
      </c>
      <c r="HZ226" s="479" t="str">
        <f ca="1">IF(OR(HZ$169&lt;SwaptionFirstMonthPosition+1,$FJ226&lt;SwaptionFirstMonthPosition+1,HZ$169&gt;SwaptionFirstMonthPosition+SwaptionNumOfMonths+1,$FJ226&gt;SwaptionFirstMonthPosition+SwaptionNumOfMonths+1),"",IF($FJ226=HZ$169,1,IF($FJ226&lt;HZ$169,INDEX($FK$170:$ID$241,HZ$169,$FJ226),SUMPRODUCT(INDEX($FK$325:$ID$396,HZ$169,1+SwaptionShift):INDEX($FK$325:$ID$396,HZ$169,SwaptionMonthsToGo+SwaptionShift),INDEX($FK$245:$ID$316,$FJ226-HZ$169,73-HZ$169+SwaptionShift):INDEX($FK$245:$ID$316,$FJ226-HZ$169,72-HZ$169+SwaptionMonthsToGo+SwaptionShift))/SQRT(SUM(INDEX($FK381:$ID381,1+SwaptionShift):INDEX($FK381:$ID381,SwaptionMonthsToGo+SwaptionShift))*SUM(INDEX($FK$325:$ID$396,HZ$169,1+SwaptionShift):INDEX($FK$325:$ID$396,HZ$169,SwaptionMonthsToGo+SwaptionShift))))))</f>
        <v/>
      </c>
      <c r="IA226" s="479" t="str">
        <f ca="1">IF(OR(IA$169&lt;SwaptionFirstMonthPosition+1,$FJ226&lt;SwaptionFirstMonthPosition+1,IA$169&gt;SwaptionFirstMonthPosition+SwaptionNumOfMonths+1,$FJ226&gt;SwaptionFirstMonthPosition+SwaptionNumOfMonths+1),"",IF($FJ226=IA$169,1,IF($FJ226&lt;IA$169,INDEX($FK$170:$ID$241,IA$169,$FJ226),SUMPRODUCT(INDEX($FK$325:$ID$396,IA$169,1+SwaptionShift):INDEX($FK$325:$ID$396,IA$169,SwaptionMonthsToGo+SwaptionShift),INDEX($FK$245:$ID$316,$FJ226-IA$169,73-IA$169+SwaptionShift):INDEX($FK$245:$ID$316,$FJ226-IA$169,72-IA$169+SwaptionMonthsToGo+SwaptionShift))/SQRT(SUM(INDEX($FK381:$ID381,1+SwaptionShift):INDEX($FK381:$ID381,SwaptionMonthsToGo+SwaptionShift))*SUM(INDEX($FK$325:$ID$396,IA$169,1+SwaptionShift):INDEX($FK$325:$ID$396,IA$169,SwaptionMonthsToGo+SwaptionShift))))))</f>
        <v/>
      </c>
      <c r="IB226" s="479" t="str">
        <f ca="1">IF(OR(IB$169&lt;SwaptionFirstMonthPosition+1,$FJ226&lt;SwaptionFirstMonthPosition+1,IB$169&gt;SwaptionFirstMonthPosition+SwaptionNumOfMonths+1,$FJ226&gt;SwaptionFirstMonthPosition+SwaptionNumOfMonths+1),"",IF($FJ226=IB$169,1,IF($FJ226&lt;IB$169,INDEX($FK$170:$ID$241,IB$169,$FJ226),SUMPRODUCT(INDEX($FK$325:$ID$396,IB$169,1+SwaptionShift):INDEX($FK$325:$ID$396,IB$169,SwaptionMonthsToGo+SwaptionShift),INDEX($FK$245:$ID$316,$FJ226-IB$169,73-IB$169+SwaptionShift):INDEX($FK$245:$ID$316,$FJ226-IB$169,72-IB$169+SwaptionMonthsToGo+SwaptionShift))/SQRT(SUM(INDEX($FK381:$ID381,1+SwaptionShift):INDEX($FK381:$ID381,SwaptionMonthsToGo+SwaptionShift))*SUM(INDEX($FK$325:$ID$396,IB$169,1+SwaptionShift):INDEX($FK$325:$ID$396,IB$169,SwaptionMonthsToGo+SwaptionShift))))))</f>
        <v/>
      </c>
      <c r="IC226" s="479" t="str">
        <f ca="1">IF(OR(IC$169&lt;SwaptionFirstMonthPosition+1,$FJ226&lt;SwaptionFirstMonthPosition+1,IC$169&gt;SwaptionFirstMonthPosition+SwaptionNumOfMonths+1,$FJ226&gt;SwaptionFirstMonthPosition+SwaptionNumOfMonths+1),"",IF($FJ226=IC$169,1,IF($FJ226&lt;IC$169,INDEX($FK$170:$ID$241,IC$169,$FJ226),SUMPRODUCT(INDEX($FK$325:$ID$396,IC$169,1+SwaptionShift):INDEX($FK$325:$ID$396,IC$169,SwaptionMonthsToGo+SwaptionShift),INDEX($FK$245:$ID$316,$FJ226-IC$169,73-IC$169+SwaptionShift):INDEX($FK$245:$ID$316,$FJ226-IC$169,72-IC$169+SwaptionMonthsToGo+SwaptionShift))/SQRT(SUM(INDEX($FK381:$ID381,1+SwaptionShift):INDEX($FK381:$ID381,SwaptionMonthsToGo+SwaptionShift))*SUM(INDEX($FK$325:$ID$396,IC$169,1+SwaptionShift):INDEX($FK$325:$ID$396,IC$169,SwaptionMonthsToGo+SwaptionShift))))))</f>
        <v/>
      </c>
      <c r="ID226" s="678" t="str">
        <f ca="1">IF(OR(ID$169&lt;SwaptionFirstMonthPosition+1,$FJ226&lt;SwaptionFirstMonthPosition+1,ID$169&gt;SwaptionFirstMonthPosition+SwaptionNumOfMonths+1,$FJ226&gt;SwaptionFirstMonthPosition+SwaptionNumOfMonths+1),"",IF($FJ226=ID$169,1,IF($FJ226&lt;ID$169,INDEX($FK$170:$ID$241,ID$169,$FJ226),SUMPRODUCT(INDEX($FK$325:$ID$396,ID$169,1+SwaptionShift):INDEX($FK$325:$ID$396,ID$169,SwaptionMonthsToGo+SwaptionShift),INDEX($FK$245:$ID$316,$FJ226-ID$169,73-ID$169+SwaptionShift):INDEX($FK$245:$ID$316,$FJ226-ID$169,72-ID$169+SwaptionMonthsToGo+SwaptionShift))/SQRT(SUM(INDEX($FK381:$ID381,1+SwaptionShift):INDEX($FK381:$ID381,SwaptionMonthsToGo+SwaptionShift))*SUM(INDEX($FK$325:$ID$396,ID$169,1+SwaptionShift):INDEX($FK$325:$ID$396,ID$169,SwaptionMonthsToGo+SwaptionShift))))))</f>
        <v/>
      </c>
      <c r="IE226" s="250"/>
    </row>
    <row r="227" spans="8:239">
      <c r="H227" s="51">
        <f t="shared" ca="1" si="646"/>
        <v>0</v>
      </c>
      <c r="I227" s="379">
        <f t="shared" si="647"/>
        <v>43070</v>
      </c>
      <c r="J227" s="377"/>
      <c r="K227" s="104" t="s">
        <v>268</v>
      </c>
      <c r="L227" s="392">
        <f t="shared" si="648"/>
        <v>4.9124999999999979</v>
      </c>
      <c r="M227" s="171"/>
      <c r="N227" s="382">
        <v>0</v>
      </c>
      <c r="O227" s="171">
        <f t="shared" si="596"/>
        <v>0</v>
      </c>
      <c r="P227" s="377"/>
      <c r="Q227" s="104" t="s">
        <v>268</v>
      </c>
      <c r="R227" s="377">
        <f t="shared" ca="1" si="597"/>
        <v>3.7133206186180758</v>
      </c>
      <c r="S227" s="832">
        <f t="shared" si="671"/>
        <v>0.3600000000000001</v>
      </c>
      <c r="T227" s="831">
        <f t="shared" si="661"/>
        <v>0.99999999999999911</v>
      </c>
      <c r="U227" s="545">
        <f t="shared" si="662"/>
        <v>0.99999999999999978</v>
      </c>
      <c r="V227" s="389">
        <v>0</v>
      </c>
      <c r="W227" s="434">
        <f t="shared" si="598"/>
        <v>0</v>
      </c>
      <c r="X227" s="415">
        <f t="shared" si="599"/>
        <v>4.9612499999999979</v>
      </c>
      <c r="Y227" s="322">
        <f t="shared" si="600"/>
        <v>-1.1931</v>
      </c>
      <c r="Z227" s="322">
        <f t="shared" ca="1" si="601"/>
        <v>3.7681499999999977</v>
      </c>
      <c r="AA227" s="429">
        <f t="shared" si="628"/>
        <v>1.1931</v>
      </c>
      <c r="AB227" s="433">
        <f t="shared" ca="1" si="629"/>
        <v>1.1931</v>
      </c>
      <c r="AC227" s="229">
        <v>43059</v>
      </c>
      <c r="AD227" s="229">
        <v>43055</v>
      </c>
      <c r="AE227" s="229">
        <v>43054</v>
      </c>
      <c r="AF227" s="229">
        <v>43050</v>
      </c>
      <c r="AG227" s="249" t="s">
        <v>499</v>
      </c>
      <c r="AH227" s="247" t="s">
        <v>499</v>
      </c>
      <c r="AI227" s="146">
        <v>20</v>
      </c>
      <c r="AJ227" s="41">
        <v>14</v>
      </c>
      <c r="AK227" s="41">
        <v>6</v>
      </c>
      <c r="AL227" s="293">
        <v>20</v>
      </c>
      <c r="AM227" s="41">
        <v>10</v>
      </c>
      <c r="AN227" s="147">
        <v>10</v>
      </c>
      <c r="AO227" s="374"/>
      <c r="AP227" s="153">
        <f t="shared" ca="1" si="649"/>
        <v>1</v>
      </c>
      <c r="AQ227" s="374"/>
      <c r="AR227" s="153">
        <f t="shared" ca="1" si="663"/>
        <v>1</v>
      </c>
      <c r="AS227" s="272">
        <f t="shared" si="602"/>
        <v>0</v>
      </c>
      <c r="AT227" s="157">
        <f t="shared" si="650"/>
        <v>0</v>
      </c>
      <c r="AU227" s="157">
        <f t="shared" si="630"/>
        <v>0</v>
      </c>
      <c r="AV227" s="271">
        <f t="shared" ca="1" si="670"/>
        <v>9.9999999999999995E-7</v>
      </c>
      <c r="AW227" s="158" t="str">
        <f t="shared" ca="1" si="583"/>
        <v/>
      </c>
      <c r="AX227" s="157">
        <f t="shared" ca="1" si="664"/>
        <v>2.3485502307109989E-5</v>
      </c>
      <c r="AY227" s="157">
        <f t="shared" ca="1" si="665"/>
        <v>4.5713880396353995E-6</v>
      </c>
      <c r="AZ227" s="157">
        <f t="shared" ca="1" si="666"/>
        <v>9.3767301795225939E-8</v>
      </c>
      <c r="BA227" s="157">
        <f t="shared" ca="1" si="667"/>
        <v>1.1720912724403242E-8</v>
      </c>
      <c r="BB227" s="157">
        <f t="shared" ca="1" si="668"/>
        <v>2.2939293569198272E-11</v>
      </c>
      <c r="BC227" s="157">
        <f t="shared" ca="1" si="669"/>
        <v>2.747595901861198E-13</v>
      </c>
      <c r="BD227" s="151">
        <f t="shared" ca="1" si="603"/>
        <v>0</v>
      </c>
      <c r="BE227" s="152">
        <f t="shared" ca="1" si="604"/>
        <v>0</v>
      </c>
      <c r="BF227" s="40">
        <f t="shared" si="605"/>
        <v>2017</v>
      </c>
      <c r="BG227" s="144">
        <f t="shared" si="606"/>
        <v>12</v>
      </c>
      <c r="BH227" s="145">
        <f t="shared" ca="1" si="607"/>
        <v>6310</v>
      </c>
      <c r="BI227" s="313">
        <f t="shared" ca="1" si="608"/>
        <v>17.316906228610542</v>
      </c>
      <c r="BJ227" s="42">
        <f t="shared" ca="1" si="631"/>
        <v>17.374401095140318</v>
      </c>
      <c r="BK227" s="42">
        <f t="shared" ca="1" si="632"/>
        <v>17.377138945927449</v>
      </c>
      <c r="BL227" s="42">
        <f t="shared" ca="1" si="609"/>
        <v>17.399041752224505</v>
      </c>
      <c r="BM227" s="150" t="e">
        <f t="shared" ca="1" si="633"/>
        <v>#DIV/0!</v>
      </c>
      <c r="BN227" s="42" t="e">
        <f t="shared" ca="1" si="634"/>
        <v>#DIV/0!</v>
      </c>
      <c r="BO227" s="293">
        <f t="shared" si="610"/>
        <v>20</v>
      </c>
      <c r="BP227" s="41">
        <f t="shared" si="611"/>
        <v>14</v>
      </c>
      <c r="BQ227" s="41">
        <f t="shared" si="612"/>
        <v>6</v>
      </c>
      <c r="BR227" s="305" t="str">
        <f t="shared" ca="1" si="635"/>
        <v/>
      </c>
      <c r="BS227" s="305" t="str">
        <f t="shared" ca="1" si="613"/>
        <v/>
      </c>
      <c r="BT227" s="307" t="str">
        <f t="shared" ca="1" si="614"/>
        <v/>
      </c>
      <c r="BU227" s="161" t="str">
        <f t="shared" ca="1" si="636"/>
        <v/>
      </c>
      <c r="BV227" s="161" t="str">
        <f t="shared" ca="1" si="637"/>
        <v/>
      </c>
      <c r="BW227" s="308" t="str">
        <f t="shared" ca="1" si="638"/>
        <v/>
      </c>
      <c r="BX227" s="309" t="str">
        <f t="shared" ca="1" si="639"/>
        <v/>
      </c>
      <c r="BY227" s="308" t="str">
        <f t="shared" ca="1" si="615"/>
        <v/>
      </c>
      <c r="BZ227" s="309" t="str">
        <f t="shared" ca="1" si="616"/>
        <v/>
      </c>
      <c r="CA227" s="154" t="str">
        <f t="shared" ca="1" si="640"/>
        <v/>
      </c>
      <c r="CB227" s="154" t="str">
        <f t="shared" ca="1" si="641"/>
        <v/>
      </c>
      <c r="CC227" s="154" t="str">
        <f t="shared" ca="1" si="642"/>
        <v/>
      </c>
      <c r="CD227" s="154" t="str">
        <f t="shared" ca="1" si="643"/>
        <v/>
      </c>
      <c r="CE227" s="310">
        <v>1</v>
      </c>
      <c r="CF227" s="162">
        <f ca="1">IF(BD227,_xll.xCrudeAPO(BU227,BV227,CA227,CB227,S228,S229,BI227,BL227,BP227,BQ227,0,Strike1,AO227,CE227,0,BL227,IF(OptControl=4,0,1),0,1),0)</f>
        <v>0</v>
      </c>
      <c r="CG227" s="163">
        <f ca="1">IF(BD227,_xll.xCrudeAPO(BU227,BV227,CA227,CB227,S228,S229,BI227,BL227,BP227,BQ227,0,Strike1,AO227,CE227,0,BL227,IF(OptControl=4,0,1),1,1)+_xll.xCrudeAPO(BU227,BV227,CA227,CB227,S228,S229,BI227,BL227,BP227,BQ227,0,Strike1,AO227,CE227,0,BL227,IF(OptControl=4,0,1),1,2)+IF(OR(VolSkewFlag=2,ABS(BS227)&lt;0.0001),0,IF(BS227&gt;0,-1,1)*CH227*Strike1/BR227^2*BY227/10%),0)</f>
        <v>0</v>
      </c>
      <c r="CH227" s="163">
        <f ca="1">IF(BD227,(_xll.xCrudeAPO(BU227,BV227,CA227,CB227,S228,S229,BI227,BL227,BP227,BQ227,0,Strike1,AO227,CE227,0,BL227,IF(OptControl=4,0,1),3,1)+_xll.xCrudeAPO(BU227,BV227,CA227,CB227,S228,S229,BI227,BL227,BP227,BQ227,0,Strike1,AO227,CE227,0,BL227,IF(OptControl=4,0,1),3,2))/100,0)</f>
        <v>0</v>
      </c>
      <c r="CI227" s="163">
        <f ca="1">IF(BD227,_xll.xCrudeAPO(BU227,BV227,CA227,CB227,S228,S229,BI227-DaysForThetaCalculation/365.25,BL227-DaysForThetaCalculation/365.25,BP227,BQ227,0,Strike1,AO227,CE227,0,BL227,IF(OptControl=4,0,1),0,1)-_xll.xCrudeAPO(BU227,BV227,CA227,CB227,S228,S229,BI227,BL227,BP227,BQ227,0,Strike1,AO227,CE227,0,BL227,IF(OptControl=4,0,1),0,1),0)</f>
        <v>0</v>
      </c>
      <c r="CJ227" s="311">
        <f ca="1">IF(BD227,_xll.xCrudeAPO(BU227,BV227,CC227,CD227,S228,S229,BI227,BL227,BP227,BQ227,0,Strike2,AO227,CE227,0,BL227,IF(OptControl=3,1,0),0,1),0)</f>
        <v>0</v>
      </c>
      <c r="CK227" s="163">
        <f ca="1">IF(BD227,_xll.xCrudeAPO(BU227,BV227,CC227,CD227,S228,S229,BI227,BL227,BP227,BQ227,0,Strike2,AO227,CE227,0,BL227,IF(OptControl=3,1,0),1,1)+_xll.xCrudeAPO(BU227,BV227,CC227,CD227,S228,S229,BI227,BL227,BP227,BQ227,0,Strike2,AO227,CE227,0,BL227,IF(OptControl=3,1,0),1,2)+IF(OR(VolSkewFlag=2,ABS(BT227)&lt;0.0001),0,IF(BT227&gt;0,-1,1)*CL227*Strike2/BR227^2*BZ227/10%),0)</f>
        <v>0</v>
      </c>
      <c r="CL227" s="163">
        <f ca="1">IF(BD227,(_xll.xCrudeAPO(BU227,BV227,CC227,CD227,S228,S229,BI227,BL227,BP227,BQ227,0,Strike2,AO227,CE227,0,BL227,IF(OptControl=3,1,0),3,1)+_xll.xCrudeAPO(BU227,BV227,CC227,CD227,S228,S229,BI227,BL227,BP227,BQ227,0,Strike2,AO227,CE227,0,BL227,IF(OptControl=3,1,0),3,2))/100,0)</f>
        <v>0</v>
      </c>
      <c r="CM227" s="164">
        <f ca="1">IF(BD227,_xll.xCrudeAPO(BU227,BV227,CC227,CD227,S228,S229,BI227-DaysForThetaCalculation/365.25,BL227-DaysForThetaCalculation/365.25,BP227,BQ227,0,Strike2,AO227,CE227,0,BL227,IF(OptControl=3,1,0),0,1)-_xll.xCrudeAPO(BU227,BV227,CC227,CD227,S228,S229,BI227,BL227,BP227,BQ227,0,Strike2,AO227,CE227,0,BL227,IF(OptControl=3,1,0),0,1),0)</f>
        <v>0</v>
      </c>
      <c r="CN227" s="53"/>
      <c r="CO227" s="796" t="str">
        <f t="shared" ca="1" si="651"/>
        <v/>
      </c>
      <c r="CP227" s="800" t="str">
        <f t="shared" ca="1" si="652"/>
        <v/>
      </c>
      <c r="CQ227" s="797" t="str">
        <f t="shared" ca="1" si="653"/>
        <v/>
      </c>
      <c r="CR227" s="797" t="str">
        <f t="shared" ca="1" si="654"/>
        <v/>
      </c>
      <c r="CS227" s="797" t="str">
        <f t="shared" ca="1" si="655"/>
        <v/>
      </c>
      <c r="CT227" s="797" t="str">
        <f t="shared" ca="1" si="656"/>
        <v/>
      </c>
      <c r="CU227" s="798" t="str">
        <f t="shared" ca="1" si="657"/>
        <v/>
      </c>
      <c r="CV227" s="799" t="str">
        <f t="shared" ca="1" si="658"/>
        <v/>
      </c>
      <c r="CW227" s="799" t="str">
        <f t="shared" ca="1" si="659"/>
        <v/>
      </c>
      <c r="CX227" s="163">
        <f ca="1">IF(BD227,_xll.EURO(CP227,Strike1,AO227,AO227,CV227,CO227,IF(OptControl=4,0,1),0),0)</f>
        <v>0</v>
      </c>
      <c r="CY227" s="163">
        <f ca="1">IF(BD227,_xll.EURO(CP227,Strike1,AO227,AO227,CV227,CO227,IF(OptControl=4,0,1),1)+IF(OR(VolSkewFlag=2,ABS(CQ227)&lt;0.0001),0,IF(CQ227&gt;0,-1,1)*CZ227*100*Strike1/CP227^2*CS227/10%),0)</f>
        <v>0</v>
      </c>
      <c r="CZ227" s="163">
        <f ca="1">IF(BD227,_xll.EURO(CP227,Strike1,AO227,AO227,CV227,CO227,IF(OptControl=4,0,1),3)/100,0)</f>
        <v>0</v>
      </c>
      <c r="DA227" s="163">
        <f ca="1">IF(BD227,_xll.EURO(CP227,Strike1,AO227,AO227,CV227,CO227,IF(OptControl=4,0,1),0)-_xll.EURO(CP227,Strike1,AO227,AO227,CV227,CO227-1,IF(OptControl=4,0,1),0),0)</f>
        <v>0</v>
      </c>
      <c r="DB227" s="163">
        <f ca="1">IF(BD227,_xll.EURO(CP227,Strike2,AO227,AO227,CW227,CO227,IF(OptControl=3,1,0),0),0)</f>
        <v>0</v>
      </c>
      <c r="DC227" s="163">
        <f ca="1">IF(BD227,_xll.EURO(CP227,Strike2,AO227,AO227,CW227,CO227,IF(OptControl=3,1,0),1)+IF(OR(VolSkewFlag=2,ABS(CR227)&lt;0.0001),0,IF(CR227&gt;0,-1,1)*DD227*100*Strike2/CP227^2*CT227/10%),0)</f>
        <v>0</v>
      </c>
      <c r="DD227" s="163">
        <f ca="1">IF(BD227,_xll.EURO(CP227,Strike2,AO227,AO227,CW227,CO227,IF(OptControl=3,1,0),3)/100,0)</f>
        <v>0</v>
      </c>
      <c r="DE227" s="164">
        <f ca="1">IF(BD227,_xll.EURO(CP227,Strike2,AO227,AO227,CW227,CO227,IF(OptControl=3,1,0),0)-_xll.EURO(CP227,Strike2,AO227,AO227,CW227,CO227-1,IF(OptControl=3,1,0),0),0)</f>
        <v>0</v>
      </c>
      <c r="DG227" s="667">
        <f t="shared" ca="1" si="660"/>
        <v>42856</v>
      </c>
      <c r="DH227" s="475">
        <v>24.510000000000094</v>
      </c>
      <c r="DI227" s="665">
        <v>24.57739130434792</v>
      </c>
      <c r="DJ227" s="666">
        <f t="shared" ca="1" si="617"/>
        <v>42856</v>
      </c>
      <c r="DK227" s="475">
        <v>23.344223121197636</v>
      </c>
      <c r="DL227" s="665">
        <v>23.285891304347921</v>
      </c>
      <c r="DM227" s="667">
        <f t="shared" ca="1" si="618"/>
        <v>42856</v>
      </c>
      <c r="DN227" s="668">
        <f t="shared" si="619"/>
        <v>23.394223121197637</v>
      </c>
      <c r="DO227" s="667">
        <f t="shared" ca="1" si="620"/>
        <v>42856</v>
      </c>
      <c r="DP227" s="579">
        <f t="shared" si="621"/>
        <v>23.285891304347921</v>
      </c>
      <c r="DQ227" s="821">
        <v>0</v>
      </c>
      <c r="DR227" s="666">
        <f t="shared" ca="1" si="622"/>
        <v>42856</v>
      </c>
      <c r="DS227" s="669">
        <v>0.10039999999999802</v>
      </c>
      <c r="DT227" s="606">
        <v>9.9591304347824122E-2</v>
      </c>
      <c r="DU227" s="666">
        <f t="shared" ca="1" si="623"/>
        <v>42856</v>
      </c>
      <c r="DV227" s="669">
        <v>0.10039999999999802</v>
      </c>
      <c r="DW227" s="606">
        <v>9.9591304347824122E-2</v>
      </c>
      <c r="DX227" s="667">
        <f t="shared" ca="1" si="624"/>
        <v>42856</v>
      </c>
      <c r="DY227" s="606">
        <v>0.35</v>
      </c>
      <c r="DZ227" s="667">
        <f t="shared" ca="1" si="625"/>
        <v>42856</v>
      </c>
      <c r="EA227" s="606">
        <f t="shared" si="626"/>
        <v>9.9591304347824122E-2</v>
      </c>
      <c r="EB227" s="1"/>
      <c r="EC227" s="118" t="str">
        <f t="shared" ca="1" si="627"/>
        <v/>
      </c>
      <c r="ED227" s="119" t="str">
        <f t="shared" ca="1" si="644"/>
        <v/>
      </c>
      <c r="EE227" s="112" t="str">
        <f t="shared" ca="1" si="645"/>
        <v/>
      </c>
      <c r="EF227" s="120">
        <f ca="1">IF(BD227,_xll.xASN(BR227,Strike1,AO227,ED227,0,BO227,0,BI227,BL227,IF(OptControl=4,0,1),0),0)</f>
        <v>0</v>
      </c>
      <c r="EG227" s="111">
        <f ca="1">IF(BD227,_xll.xASN(BR227,Strike2,AO227,EE227,0,BO227,0,BI227,BL227,IF(OptControl=3,1,0),0),0)</f>
        <v>0</v>
      </c>
      <c r="EL227" s="55"/>
      <c r="EM227" s="1"/>
      <c r="EN227" s="106"/>
      <c r="EO227" s="106"/>
      <c r="EP227" s="1"/>
      <c r="EQ227" s="683" t="s">
        <v>441</v>
      </c>
      <c r="ES227" s="55"/>
      <c r="EU227" s="107"/>
      <c r="FJ227" s="673">
        <v>58</v>
      </c>
      <c r="FK227" s="479" t="str">
        <f ca="1">IF(OR(FK$169&lt;SwaptionFirstMonthPosition+1,$FJ227&lt;SwaptionFirstMonthPosition+1,FK$169&gt;SwaptionFirstMonthPosition+SwaptionNumOfMonths+1,$FJ227&gt;SwaptionFirstMonthPosition+SwaptionNumOfMonths+1),"",IF($FJ227=FK$169,1,IF($FJ227&lt;FK$169,INDEX($FK$170:$ID$241,FK$169,$FJ227),SUMPRODUCT(INDEX($FK$325:$ID$396,FK$169,1+SwaptionShift):INDEX($FK$325:$ID$396,FK$169,SwaptionMonthsToGo+SwaptionShift),INDEX($FK$245:$ID$316,$FJ227-FK$169,73-FK$169+SwaptionShift):INDEX($FK$245:$ID$316,$FJ227-FK$169,72-FK$169+SwaptionMonthsToGo+SwaptionShift))/SQRT(SUM(INDEX($FK382:$ID382,1+SwaptionShift):INDEX($FK382:$ID382,SwaptionMonthsToGo+SwaptionShift))*SUM(INDEX($FK$325:$ID$396,FK$169,1+SwaptionShift):INDEX($FK$325:$ID$396,FK$169,SwaptionMonthsToGo+SwaptionShift))))))</f>
        <v/>
      </c>
      <c r="FL227" s="479" t="str">
        <f ca="1">IF(OR(FL$169&lt;SwaptionFirstMonthPosition+1,$FJ227&lt;SwaptionFirstMonthPosition+1,FL$169&gt;SwaptionFirstMonthPosition+SwaptionNumOfMonths+1,$FJ227&gt;SwaptionFirstMonthPosition+SwaptionNumOfMonths+1),"",IF($FJ227=FL$169,1,IF($FJ227&lt;FL$169,INDEX($FK$170:$ID$241,FL$169,$FJ227),SUMPRODUCT(INDEX($FK$325:$ID$396,FL$169,1+SwaptionShift):INDEX($FK$325:$ID$396,FL$169,SwaptionMonthsToGo+SwaptionShift),INDEX($FK$245:$ID$316,$FJ227-FL$169,73-FL$169+SwaptionShift):INDEX($FK$245:$ID$316,$FJ227-FL$169,72-FL$169+SwaptionMonthsToGo+SwaptionShift))/SQRT(SUM(INDEX($FK382:$ID382,1+SwaptionShift):INDEX($FK382:$ID382,SwaptionMonthsToGo+SwaptionShift))*SUM(INDEX($FK$325:$ID$396,FL$169,1+SwaptionShift):INDEX($FK$325:$ID$396,FL$169,SwaptionMonthsToGo+SwaptionShift))))))</f>
        <v/>
      </c>
      <c r="FM227" s="479" t="str">
        <f ca="1">IF(OR(FM$169&lt;SwaptionFirstMonthPosition+1,$FJ227&lt;SwaptionFirstMonthPosition+1,FM$169&gt;SwaptionFirstMonthPosition+SwaptionNumOfMonths+1,$FJ227&gt;SwaptionFirstMonthPosition+SwaptionNumOfMonths+1),"",IF($FJ227=FM$169,1,IF($FJ227&lt;FM$169,INDEX($FK$170:$ID$241,FM$169,$FJ227),SUMPRODUCT(INDEX($FK$325:$ID$396,FM$169,1+SwaptionShift):INDEX($FK$325:$ID$396,FM$169,SwaptionMonthsToGo+SwaptionShift),INDEX($FK$245:$ID$316,$FJ227-FM$169,73-FM$169+SwaptionShift):INDEX($FK$245:$ID$316,$FJ227-FM$169,72-FM$169+SwaptionMonthsToGo+SwaptionShift))/SQRT(SUM(INDEX($FK382:$ID382,1+SwaptionShift):INDEX($FK382:$ID382,SwaptionMonthsToGo+SwaptionShift))*SUM(INDEX($FK$325:$ID$396,FM$169,1+SwaptionShift):INDEX($FK$325:$ID$396,FM$169,SwaptionMonthsToGo+SwaptionShift))))))</f>
        <v/>
      </c>
      <c r="FN227" s="479" t="str">
        <f ca="1">IF(OR(FN$169&lt;SwaptionFirstMonthPosition+1,$FJ227&lt;SwaptionFirstMonthPosition+1,FN$169&gt;SwaptionFirstMonthPosition+SwaptionNumOfMonths+1,$FJ227&gt;SwaptionFirstMonthPosition+SwaptionNumOfMonths+1),"",IF($FJ227=FN$169,1,IF($FJ227&lt;FN$169,INDEX($FK$170:$ID$241,FN$169,$FJ227),SUMPRODUCT(INDEX($FK$325:$ID$396,FN$169,1+SwaptionShift):INDEX($FK$325:$ID$396,FN$169,SwaptionMonthsToGo+SwaptionShift),INDEX($FK$245:$ID$316,$FJ227-FN$169,73-FN$169+SwaptionShift):INDEX($FK$245:$ID$316,$FJ227-FN$169,72-FN$169+SwaptionMonthsToGo+SwaptionShift))/SQRT(SUM(INDEX($FK382:$ID382,1+SwaptionShift):INDEX($FK382:$ID382,SwaptionMonthsToGo+SwaptionShift))*SUM(INDEX($FK$325:$ID$396,FN$169,1+SwaptionShift):INDEX($FK$325:$ID$396,FN$169,SwaptionMonthsToGo+SwaptionShift))))))</f>
        <v/>
      </c>
      <c r="FO227" s="479" t="str">
        <f ca="1">IF(OR(FO$169&lt;SwaptionFirstMonthPosition+1,$FJ227&lt;SwaptionFirstMonthPosition+1,FO$169&gt;SwaptionFirstMonthPosition+SwaptionNumOfMonths+1,$FJ227&gt;SwaptionFirstMonthPosition+SwaptionNumOfMonths+1),"",IF($FJ227=FO$169,1,IF($FJ227&lt;FO$169,INDEX($FK$170:$ID$241,FO$169,$FJ227),SUMPRODUCT(INDEX($FK$325:$ID$396,FO$169,1+SwaptionShift):INDEX($FK$325:$ID$396,FO$169,SwaptionMonthsToGo+SwaptionShift),INDEX($FK$245:$ID$316,$FJ227-FO$169,73-FO$169+SwaptionShift):INDEX($FK$245:$ID$316,$FJ227-FO$169,72-FO$169+SwaptionMonthsToGo+SwaptionShift))/SQRT(SUM(INDEX($FK382:$ID382,1+SwaptionShift):INDEX($FK382:$ID382,SwaptionMonthsToGo+SwaptionShift))*SUM(INDEX($FK$325:$ID$396,FO$169,1+SwaptionShift):INDEX($FK$325:$ID$396,FO$169,SwaptionMonthsToGo+SwaptionShift))))))</f>
        <v/>
      </c>
      <c r="FP227" s="479" t="str">
        <f ca="1">IF(OR(FP$169&lt;SwaptionFirstMonthPosition+1,$FJ227&lt;SwaptionFirstMonthPosition+1,FP$169&gt;SwaptionFirstMonthPosition+SwaptionNumOfMonths+1,$FJ227&gt;SwaptionFirstMonthPosition+SwaptionNumOfMonths+1),"",IF($FJ227=FP$169,1,IF($FJ227&lt;FP$169,INDEX($FK$170:$ID$241,FP$169,$FJ227),SUMPRODUCT(INDEX($FK$325:$ID$396,FP$169,1+SwaptionShift):INDEX($FK$325:$ID$396,FP$169,SwaptionMonthsToGo+SwaptionShift),INDEX($FK$245:$ID$316,$FJ227-FP$169,73-FP$169+SwaptionShift):INDEX($FK$245:$ID$316,$FJ227-FP$169,72-FP$169+SwaptionMonthsToGo+SwaptionShift))/SQRT(SUM(INDEX($FK382:$ID382,1+SwaptionShift):INDEX($FK382:$ID382,SwaptionMonthsToGo+SwaptionShift))*SUM(INDEX($FK$325:$ID$396,FP$169,1+SwaptionShift):INDEX($FK$325:$ID$396,FP$169,SwaptionMonthsToGo+SwaptionShift))))))</f>
        <v/>
      </c>
      <c r="FQ227" s="479" t="str">
        <f ca="1">IF(OR(FQ$169&lt;SwaptionFirstMonthPosition+1,$FJ227&lt;SwaptionFirstMonthPosition+1,FQ$169&gt;SwaptionFirstMonthPosition+SwaptionNumOfMonths+1,$FJ227&gt;SwaptionFirstMonthPosition+SwaptionNumOfMonths+1),"",IF($FJ227=FQ$169,1,IF($FJ227&lt;FQ$169,INDEX($FK$170:$ID$241,FQ$169,$FJ227),SUMPRODUCT(INDEX($FK$325:$ID$396,FQ$169,1+SwaptionShift):INDEX($FK$325:$ID$396,FQ$169,SwaptionMonthsToGo+SwaptionShift),INDEX($FK$245:$ID$316,$FJ227-FQ$169,73-FQ$169+SwaptionShift):INDEX($FK$245:$ID$316,$FJ227-FQ$169,72-FQ$169+SwaptionMonthsToGo+SwaptionShift))/SQRT(SUM(INDEX($FK382:$ID382,1+SwaptionShift):INDEX($FK382:$ID382,SwaptionMonthsToGo+SwaptionShift))*SUM(INDEX($FK$325:$ID$396,FQ$169,1+SwaptionShift):INDEX($FK$325:$ID$396,FQ$169,SwaptionMonthsToGo+SwaptionShift))))))</f>
        <v/>
      </c>
      <c r="FR227" s="479" t="str">
        <f ca="1">IF(OR(FR$169&lt;SwaptionFirstMonthPosition+1,$FJ227&lt;SwaptionFirstMonthPosition+1,FR$169&gt;SwaptionFirstMonthPosition+SwaptionNumOfMonths+1,$FJ227&gt;SwaptionFirstMonthPosition+SwaptionNumOfMonths+1),"",IF($FJ227=FR$169,1,IF($FJ227&lt;FR$169,INDEX($FK$170:$ID$241,FR$169,$FJ227),SUMPRODUCT(INDEX($FK$325:$ID$396,FR$169,1+SwaptionShift):INDEX($FK$325:$ID$396,FR$169,SwaptionMonthsToGo+SwaptionShift),INDEX($FK$245:$ID$316,$FJ227-FR$169,73-FR$169+SwaptionShift):INDEX($FK$245:$ID$316,$FJ227-FR$169,72-FR$169+SwaptionMonthsToGo+SwaptionShift))/SQRT(SUM(INDEX($FK382:$ID382,1+SwaptionShift):INDEX($FK382:$ID382,SwaptionMonthsToGo+SwaptionShift))*SUM(INDEX($FK$325:$ID$396,FR$169,1+SwaptionShift):INDEX($FK$325:$ID$396,FR$169,SwaptionMonthsToGo+SwaptionShift))))))</f>
        <v/>
      </c>
      <c r="FS227" s="479" t="str">
        <f ca="1">IF(OR(FS$169&lt;SwaptionFirstMonthPosition+1,$FJ227&lt;SwaptionFirstMonthPosition+1,FS$169&gt;SwaptionFirstMonthPosition+SwaptionNumOfMonths+1,$FJ227&gt;SwaptionFirstMonthPosition+SwaptionNumOfMonths+1),"",IF($FJ227=FS$169,1,IF($FJ227&lt;FS$169,INDEX($FK$170:$ID$241,FS$169,$FJ227),SUMPRODUCT(INDEX($FK$325:$ID$396,FS$169,1+SwaptionShift):INDEX($FK$325:$ID$396,FS$169,SwaptionMonthsToGo+SwaptionShift),INDEX($FK$245:$ID$316,$FJ227-FS$169,73-FS$169+SwaptionShift):INDEX($FK$245:$ID$316,$FJ227-FS$169,72-FS$169+SwaptionMonthsToGo+SwaptionShift))/SQRT(SUM(INDEX($FK382:$ID382,1+SwaptionShift):INDEX($FK382:$ID382,SwaptionMonthsToGo+SwaptionShift))*SUM(INDEX($FK$325:$ID$396,FS$169,1+SwaptionShift):INDEX($FK$325:$ID$396,FS$169,SwaptionMonthsToGo+SwaptionShift))))))</f>
        <v/>
      </c>
      <c r="FT227" s="479" t="str">
        <f ca="1">IF(OR(FT$169&lt;SwaptionFirstMonthPosition+1,$FJ227&lt;SwaptionFirstMonthPosition+1,FT$169&gt;SwaptionFirstMonthPosition+SwaptionNumOfMonths+1,$FJ227&gt;SwaptionFirstMonthPosition+SwaptionNumOfMonths+1),"",IF($FJ227=FT$169,1,IF($FJ227&lt;FT$169,INDEX($FK$170:$ID$241,FT$169,$FJ227),SUMPRODUCT(INDEX($FK$325:$ID$396,FT$169,1+SwaptionShift):INDEX($FK$325:$ID$396,FT$169,SwaptionMonthsToGo+SwaptionShift),INDEX($FK$245:$ID$316,$FJ227-FT$169,73-FT$169+SwaptionShift):INDEX($FK$245:$ID$316,$FJ227-FT$169,72-FT$169+SwaptionMonthsToGo+SwaptionShift))/SQRT(SUM(INDEX($FK382:$ID382,1+SwaptionShift):INDEX($FK382:$ID382,SwaptionMonthsToGo+SwaptionShift))*SUM(INDEX($FK$325:$ID$396,FT$169,1+SwaptionShift):INDEX($FK$325:$ID$396,FT$169,SwaptionMonthsToGo+SwaptionShift))))))</f>
        <v/>
      </c>
      <c r="FU227" s="479" t="str">
        <f ca="1">IF(OR(FU$169&lt;SwaptionFirstMonthPosition+1,$FJ227&lt;SwaptionFirstMonthPosition+1,FU$169&gt;SwaptionFirstMonthPosition+SwaptionNumOfMonths+1,$FJ227&gt;SwaptionFirstMonthPosition+SwaptionNumOfMonths+1),"",IF($FJ227=FU$169,1,IF($FJ227&lt;FU$169,INDEX($FK$170:$ID$241,FU$169,$FJ227),SUMPRODUCT(INDEX($FK$325:$ID$396,FU$169,1+SwaptionShift):INDEX($FK$325:$ID$396,FU$169,SwaptionMonthsToGo+SwaptionShift),INDEX($FK$245:$ID$316,$FJ227-FU$169,73-FU$169+SwaptionShift):INDEX($FK$245:$ID$316,$FJ227-FU$169,72-FU$169+SwaptionMonthsToGo+SwaptionShift))/SQRT(SUM(INDEX($FK382:$ID382,1+SwaptionShift):INDEX($FK382:$ID382,SwaptionMonthsToGo+SwaptionShift))*SUM(INDEX($FK$325:$ID$396,FU$169,1+SwaptionShift):INDEX($FK$325:$ID$396,FU$169,SwaptionMonthsToGo+SwaptionShift))))))</f>
        <v/>
      </c>
      <c r="FV227" s="479" t="str">
        <f ca="1">IF(OR(FV$169&lt;SwaptionFirstMonthPosition+1,$FJ227&lt;SwaptionFirstMonthPosition+1,FV$169&gt;SwaptionFirstMonthPosition+SwaptionNumOfMonths+1,$FJ227&gt;SwaptionFirstMonthPosition+SwaptionNumOfMonths+1),"",IF($FJ227=FV$169,1,IF($FJ227&lt;FV$169,INDEX($FK$170:$ID$241,FV$169,$FJ227),SUMPRODUCT(INDEX($FK$325:$ID$396,FV$169,1+SwaptionShift):INDEX($FK$325:$ID$396,FV$169,SwaptionMonthsToGo+SwaptionShift),INDEX($FK$245:$ID$316,$FJ227-FV$169,73-FV$169+SwaptionShift):INDEX($FK$245:$ID$316,$FJ227-FV$169,72-FV$169+SwaptionMonthsToGo+SwaptionShift))/SQRT(SUM(INDEX($FK382:$ID382,1+SwaptionShift):INDEX($FK382:$ID382,SwaptionMonthsToGo+SwaptionShift))*SUM(INDEX($FK$325:$ID$396,FV$169,1+SwaptionShift):INDEX($FK$325:$ID$396,FV$169,SwaptionMonthsToGo+SwaptionShift))))))</f>
        <v/>
      </c>
      <c r="FW227" s="479" t="str">
        <f ca="1">IF(OR(FW$169&lt;SwaptionFirstMonthPosition+1,$FJ227&lt;SwaptionFirstMonthPosition+1,FW$169&gt;SwaptionFirstMonthPosition+SwaptionNumOfMonths+1,$FJ227&gt;SwaptionFirstMonthPosition+SwaptionNumOfMonths+1),"",IF($FJ227=FW$169,1,IF($FJ227&lt;FW$169,INDEX($FK$170:$ID$241,FW$169,$FJ227),SUMPRODUCT(INDEX($FK$325:$ID$396,FW$169,1+SwaptionShift):INDEX($FK$325:$ID$396,FW$169,SwaptionMonthsToGo+SwaptionShift),INDEX($FK$245:$ID$316,$FJ227-FW$169,73-FW$169+SwaptionShift):INDEX($FK$245:$ID$316,$FJ227-FW$169,72-FW$169+SwaptionMonthsToGo+SwaptionShift))/SQRT(SUM(INDEX($FK382:$ID382,1+SwaptionShift):INDEX($FK382:$ID382,SwaptionMonthsToGo+SwaptionShift))*SUM(INDEX($FK$325:$ID$396,FW$169,1+SwaptionShift):INDEX($FK$325:$ID$396,FW$169,SwaptionMonthsToGo+SwaptionShift))))))</f>
        <v/>
      </c>
      <c r="FX227" s="479" t="str">
        <f ca="1">IF(OR(FX$169&lt;SwaptionFirstMonthPosition+1,$FJ227&lt;SwaptionFirstMonthPosition+1,FX$169&gt;SwaptionFirstMonthPosition+SwaptionNumOfMonths+1,$FJ227&gt;SwaptionFirstMonthPosition+SwaptionNumOfMonths+1),"",IF($FJ227=FX$169,1,IF($FJ227&lt;FX$169,INDEX($FK$170:$ID$241,FX$169,$FJ227),SUMPRODUCT(INDEX($FK$325:$ID$396,FX$169,1+SwaptionShift):INDEX($FK$325:$ID$396,FX$169,SwaptionMonthsToGo+SwaptionShift),INDEX($FK$245:$ID$316,$FJ227-FX$169,73-FX$169+SwaptionShift):INDEX($FK$245:$ID$316,$FJ227-FX$169,72-FX$169+SwaptionMonthsToGo+SwaptionShift))/SQRT(SUM(INDEX($FK382:$ID382,1+SwaptionShift):INDEX($FK382:$ID382,SwaptionMonthsToGo+SwaptionShift))*SUM(INDEX($FK$325:$ID$396,FX$169,1+SwaptionShift):INDEX($FK$325:$ID$396,FX$169,SwaptionMonthsToGo+SwaptionShift))))))</f>
        <v/>
      </c>
      <c r="FY227" s="479" t="str">
        <f ca="1">IF(OR(FY$169&lt;SwaptionFirstMonthPosition+1,$FJ227&lt;SwaptionFirstMonthPosition+1,FY$169&gt;SwaptionFirstMonthPosition+SwaptionNumOfMonths+1,$FJ227&gt;SwaptionFirstMonthPosition+SwaptionNumOfMonths+1),"",IF($FJ227=FY$169,1,IF($FJ227&lt;FY$169,INDEX($FK$170:$ID$241,FY$169,$FJ227),SUMPRODUCT(INDEX($FK$325:$ID$396,FY$169,1+SwaptionShift):INDEX($FK$325:$ID$396,FY$169,SwaptionMonthsToGo+SwaptionShift),INDEX($FK$245:$ID$316,$FJ227-FY$169,73-FY$169+SwaptionShift):INDEX($FK$245:$ID$316,$FJ227-FY$169,72-FY$169+SwaptionMonthsToGo+SwaptionShift))/SQRT(SUM(INDEX($FK382:$ID382,1+SwaptionShift):INDEX($FK382:$ID382,SwaptionMonthsToGo+SwaptionShift))*SUM(INDEX($FK$325:$ID$396,FY$169,1+SwaptionShift):INDEX($FK$325:$ID$396,FY$169,SwaptionMonthsToGo+SwaptionShift))))))</f>
        <v/>
      </c>
      <c r="FZ227" s="479" t="str">
        <f ca="1">IF(OR(FZ$169&lt;SwaptionFirstMonthPosition+1,$FJ227&lt;SwaptionFirstMonthPosition+1,FZ$169&gt;SwaptionFirstMonthPosition+SwaptionNumOfMonths+1,$FJ227&gt;SwaptionFirstMonthPosition+SwaptionNumOfMonths+1),"",IF($FJ227=FZ$169,1,IF($FJ227&lt;FZ$169,INDEX($FK$170:$ID$241,FZ$169,$FJ227),SUMPRODUCT(INDEX($FK$325:$ID$396,FZ$169,1+SwaptionShift):INDEX($FK$325:$ID$396,FZ$169,SwaptionMonthsToGo+SwaptionShift),INDEX($FK$245:$ID$316,$FJ227-FZ$169,73-FZ$169+SwaptionShift):INDEX($FK$245:$ID$316,$FJ227-FZ$169,72-FZ$169+SwaptionMonthsToGo+SwaptionShift))/SQRT(SUM(INDEX($FK382:$ID382,1+SwaptionShift):INDEX($FK382:$ID382,SwaptionMonthsToGo+SwaptionShift))*SUM(INDEX($FK$325:$ID$396,FZ$169,1+SwaptionShift):INDEX($FK$325:$ID$396,FZ$169,SwaptionMonthsToGo+SwaptionShift))))))</f>
        <v/>
      </c>
      <c r="GA227" s="479" t="str">
        <f ca="1">IF(OR(GA$169&lt;SwaptionFirstMonthPosition+1,$FJ227&lt;SwaptionFirstMonthPosition+1,GA$169&gt;SwaptionFirstMonthPosition+SwaptionNumOfMonths+1,$FJ227&gt;SwaptionFirstMonthPosition+SwaptionNumOfMonths+1),"",IF($FJ227=GA$169,1,IF($FJ227&lt;GA$169,INDEX($FK$170:$ID$241,GA$169,$FJ227),SUMPRODUCT(INDEX($FK$325:$ID$396,GA$169,1+SwaptionShift):INDEX($FK$325:$ID$396,GA$169,SwaptionMonthsToGo+SwaptionShift),INDEX($FK$245:$ID$316,$FJ227-GA$169,73-GA$169+SwaptionShift):INDEX($FK$245:$ID$316,$FJ227-GA$169,72-GA$169+SwaptionMonthsToGo+SwaptionShift))/SQRT(SUM(INDEX($FK382:$ID382,1+SwaptionShift):INDEX($FK382:$ID382,SwaptionMonthsToGo+SwaptionShift))*SUM(INDEX($FK$325:$ID$396,GA$169,1+SwaptionShift):INDEX($FK$325:$ID$396,GA$169,SwaptionMonthsToGo+SwaptionShift))))))</f>
        <v/>
      </c>
      <c r="GB227" s="479" t="str">
        <f ca="1">IF(OR(GB$169&lt;SwaptionFirstMonthPosition+1,$FJ227&lt;SwaptionFirstMonthPosition+1,GB$169&gt;SwaptionFirstMonthPosition+SwaptionNumOfMonths+1,$FJ227&gt;SwaptionFirstMonthPosition+SwaptionNumOfMonths+1),"",IF($FJ227=GB$169,1,IF($FJ227&lt;GB$169,INDEX($FK$170:$ID$241,GB$169,$FJ227),SUMPRODUCT(INDEX($FK$325:$ID$396,GB$169,1+SwaptionShift):INDEX($FK$325:$ID$396,GB$169,SwaptionMonthsToGo+SwaptionShift),INDEX($FK$245:$ID$316,$FJ227-GB$169,73-GB$169+SwaptionShift):INDEX($FK$245:$ID$316,$FJ227-GB$169,72-GB$169+SwaptionMonthsToGo+SwaptionShift))/SQRT(SUM(INDEX($FK382:$ID382,1+SwaptionShift):INDEX($FK382:$ID382,SwaptionMonthsToGo+SwaptionShift))*SUM(INDEX($FK$325:$ID$396,GB$169,1+SwaptionShift):INDEX($FK$325:$ID$396,GB$169,SwaptionMonthsToGo+SwaptionShift))))))</f>
        <v/>
      </c>
      <c r="GC227" s="479" t="str">
        <f ca="1">IF(OR(GC$169&lt;SwaptionFirstMonthPosition+1,$FJ227&lt;SwaptionFirstMonthPosition+1,GC$169&gt;SwaptionFirstMonthPosition+SwaptionNumOfMonths+1,$FJ227&gt;SwaptionFirstMonthPosition+SwaptionNumOfMonths+1),"",IF($FJ227=GC$169,1,IF($FJ227&lt;GC$169,INDEX($FK$170:$ID$241,GC$169,$FJ227),SUMPRODUCT(INDEX($FK$325:$ID$396,GC$169,1+SwaptionShift):INDEX($FK$325:$ID$396,GC$169,SwaptionMonthsToGo+SwaptionShift),INDEX($FK$245:$ID$316,$FJ227-GC$169,73-GC$169+SwaptionShift):INDEX($FK$245:$ID$316,$FJ227-GC$169,72-GC$169+SwaptionMonthsToGo+SwaptionShift))/SQRT(SUM(INDEX($FK382:$ID382,1+SwaptionShift):INDEX($FK382:$ID382,SwaptionMonthsToGo+SwaptionShift))*SUM(INDEX($FK$325:$ID$396,GC$169,1+SwaptionShift):INDEX($FK$325:$ID$396,GC$169,SwaptionMonthsToGo+SwaptionShift))))))</f>
        <v/>
      </c>
      <c r="GD227" s="479" t="str">
        <f ca="1">IF(OR(GD$169&lt;SwaptionFirstMonthPosition+1,$FJ227&lt;SwaptionFirstMonthPosition+1,GD$169&gt;SwaptionFirstMonthPosition+SwaptionNumOfMonths+1,$FJ227&gt;SwaptionFirstMonthPosition+SwaptionNumOfMonths+1),"",IF($FJ227=GD$169,1,IF($FJ227&lt;GD$169,INDEX($FK$170:$ID$241,GD$169,$FJ227),SUMPRODUCT(INDEX($FK$325:$ID$396,GD$169,1+SwaptionShift):INDEX($FK$325:$ID$396,GD$169,SwaptionMonthsToGo+SwaptionShift),INDEX($FK$245:$ID$316,$FJ227-GD$169,73-GD$169+SwaptionShift):INDEX($FK$245:$ID$316,$FJ227-GD$169,72-GD$169+SwaptionMonthsToGo+SwaptionShift))/SQRT(SUM(INDEX($FK382:$ID382,1+SwaptionShift):INDEX($FK382:$ID382,SwaptionMonthsToGo+SwaptionShift))*SUM(INDEX($FK$325:$ID$396,GD$169,1+SwaptionShift):INDEX($FK$325:$ID$396,GD$169,SwaptionMonthsToGo+SwaptionShift))))))</f>
        <v/>
      </c>
      <c r="GE227" s="479" t="str">
        <f ca="1">IF(OR(GE$169&lt;SwaptionFirstMonthPosition+1,$FJ227&lt;SwaptionFirstMonthPosition+1,GE$169&gt;SwaptionFirstMonthPosition+SwaptionNumOfMonths+1,$FJ227&gt;SwaptionFirstMonthPosition+SwaptionNumOfMonths+1),"",IF($FJ227=GE$169,1,IF($FJ227&lt;GE$169,INDEX($FK$170:$ID$241,GE$169,$FJ227),SUMPRODUCT(INDEX($FK$325:$ID$396,GE$169,1+SwaptionShift):INDEX($FK$325:$ID$396,GE$169,SwaptionMonthsToGo+SwaptionShift),INDEX($FK$245:$ID$316,$FJ227-GE$169,73-GE$169+SwaptionShift):INDEX($FK$245:$ID$316,$FJ227-GE$169,72-GE$169+SwaptionMonthsToGo+SwaptionShift))/SQRT(SUM(INDEX($FK382:$ID382,1+SwaptionShift):INDEX($FK382:$ID382,SwaptionMonthsToGo+SwaptionShift))*SUM(INDEX($FK$325:$ID$396,GE$169,1+SwaptionShift):INDEX($FK$325:$ID$396,GE$169,SwaptionMonthsToGo+SwaptionShift))))))</f>
        <v/>
      </c>
      <c r="GF227" s="479" t="str">
        <f ca="1">IF(OR(GF$169&lt;SwaptionFirstMonthPosition+1,$FJ227&lt;SwaptionFirstMonthPosition+1,GF$169&gt;SwaptionFirstMonthPosition+SwaptionNumOfMonths+1,$FJ227&gt;SwaptionFirstMonthPosition+SwaptionNumOfMonths+1),"",IF($FJ227=GF$169,1,IF($FJ227&lt;GF$169,INDEX($FK$170:$ID$241,GF$169,$FJ227),SUMPRODUCT(INDEX($FK$325:$ID$396,GF$169,1+SwaptionShift):INDEX($FK$325:$ID$396,GF$169,SwaptionMonthsToGo+SwaptionShift),INDEX($FK$245:$ID$316,$FJ227-GF$169,73-GF$169+SwaptionShift):INDEX($FK$245:$ID$316,$FJ227-GF$169,72-GF$169+SwaptionMonthsToGo+SwaptionShift))/SQRT(SUM(INDEX($FK382:$ID382,1+SwaptionShift):INDEX($FK382:$ID382,SwaptionMonthsToGo+SwaptionShift))*SUM(INDEX($FK$325:$ID$396,GF$169,1+SwaptionShift):INDEX($FK$325:$ID$396,GF$169,SwaptionMonthsToGo+SwaptionShift))))))</f>
        <v/>
      </c>
      <c r="GG227" s="479" t="str">
        <f ca="1">IF(OR(GG$169&lt;SwaptionFirstMonthPosition+1,$FJ227&lt;SwaptionFirstMonthPosition+1,GG$169&gt;SwaptionFirstMonthPosition+SwaptionNumOfMonths+1,$FJ227&gt;SwaptionFirstMonthPosition+SwaptionNumOfMonths+1),"",IF($FJ227=GG$169,1,IF($FJ227&lt;GG$169,INDEX($FK$170:$ID$241,GG$169,$FJ227),SUMPRODUCT(INDEX($FK$325:$ID$396,GG$169,1+SwaptionShift):INDEX($FK$325:$ID$396,GG$169,SwaptionMonthsToGo+SwaptionShift),INDEX($FK$245:$ID$316,$FJ227-GG$169,73-GG$169+SwaptionShift):INDEX($FK$245:$ID$316,$FJ227-GG$169,72-GG$169+SwaptionMonthsToGo+SwaptionShift))/SQRT(SUM(INDEX($FK382:$ID382,1+SwaptionShift):INDEX($FK382:$ID382,SwaptionMonthsToGo+SwaptionShift))*SUM(INDEX($FK$325:$ID$396,GG$169,1+SwaptionShift):INDEX($FK$325:$ID$396,GG$169,SwaptionMonthsToGo+SwaptionShift))))))</f>
        <v/>
      </c>
      <c r="GH227" s="479" t="str">
        <f ca="1">IF(OR(GH$169&lt;SwaptionFirstMonthPosition+1,$FJ227&lt;SwaptionFirstMonthPosition+1,GH$169&gt;SwaptionFirstMonthPosition+SwaptionNumOfMonths+1,$FJ227&gt;SwaptionFirstMonthPosition+SwaptionNumOfMonths+1),"",IF($FJ227=GH$169,1,IF($FJ227&lt;GH$169,INDEX($FK$170:$ID$241,GH$169,$FJ227),SUMPRODUCT(INDEX($FK$325:$ID$396,GH$169,1+SwaptionShift):INDEX($FK$325:$ID$396,GH$169,SwaptionMonthsToGo+SwaptionShift),INDEX($FK$245:$ID$316,$FJ227-GH$169,73-GH$169+SwaptionShift):INDEX($FK$245:$ID$316,$FJ227-GH$169,72-GH$169+SwaptionMonthsToGo+SwaptionShift))/SQRT(SUM(INDEX($FK382:$ID382,1+SwaptionShift):INDEX($FK382:$ID382,SwaptionMonthsToGo+SwaptionShift))*SUM(INDEX($FK$325:$ID$396,GH$169,1+SwaptionShift):INDEX($FK$325:$ID$396,GH$169,SwaptionMonthsToGo+SwaptionShift))))))</f>
        <v/>
      </c>
      <c r="GI227" s="479" t="str">
        <f ca="1">IF(OR(GI$169&lt;SwaptionFirstMonthPosition+1,$FJ227&lt;SwaptionFirstMonthPosition+1,GI$169&gt;SwaptionFirstMonthPosition+SwaptionNumOfMonths+1,$FJ227&gt;SwaptionFirstMonthPosition+SwaptionNumOfMonths+1),"",IF($FJ227=GI$169,1,IF($FJ227&lt;GI$169,INDEX($FK$170:$ID$241,GI$169,$FJ227),SUMPRODUCT(INDEX($FK$325:$ID$396,GI$169,1+SwaptionShift):INDEX($FK$325:$ID$396,GI$169,SwaptionMonthsToGo+SwaptionShift),INDEX($FK$245:$ID$316,$FJ227-GI$169,73-GI$169+SwaptionShift):INDEX($FK$245:$ID$316,$FJ227-GI$169,72-GI$169+SwaptionMonthsToGo+SwaptionShift))/SQRT(SUM(INDEX($FK382:$ID382,1+SwaptionShift):INDEX($FK382:$ID382,SwaptionMonthsToGo+SwaptionShift))*SUM(INDEX($FK$325:$ID$396,GI$169,1+SwaptionShift):INDEX($FK$325:$ID$396,GI$169,SwaptionMonthsToGo+SwaptionShift))))))</f>
        <v/>
      </c>
      <c r="GJ227" s="479" t="str">
        <f ca="1">IF(OR(GJ$169&lt;SwaptionFirstMonthPosition+1,$FJ227&lt;SwaptionFirstMonthPosition+1,GJ$169&gt;SwaptionFirstMonthPosition+SwaptionNumOfMonths+1,$FJ227&gt;SwaptionFirstMonthPosition+SwaptionNumOfMonths+1),"",IF($FJ227=GJ$169,1,IF($FJ227&lt;GJ$169,INDEX($FK$170:$ID$241,GJ$169,$FJ227),SUMPRODUCT(INDEX($FK$325:$ID$396,GJ$169,1+SwaptionShift):INDEX($FK$325:$ID$396,GJ$169,SwaptionMonthsToGo+SwaptionShift),INDEX($FK$245:$ID$316,$FJ227-GJ$169,73-GJ$169+SwaptionShift):INDEX($FK$245:$ID$316,$FJ227-GJ$169,72-GJ$169+SwaptionMonthsToGo+SwaptionShift))/SQRT(SUM(INDEX($FK382:$ID382,1+SwaptionShift):INDEX($FK382:$ID382,SwaptionMonthsToGo+SwaptionShift))*SUM(INDEX($FK$325:$ID$396,GJ$169,1+SwaptionShift):INDEX($FK$325:$ID$396,GJ$169,SwaptionMonthsToGo+SwaptionShift))))))</f>
        <v/>
      </c>
      <c r="GK227" s="479" t="str">
        <f ca="1">IF(OR(GK$169&lt;SwaptionFirstMonthPosition+1,$FJ227&lt;SwaptionFirstMonthPosition+1,GK$169&gt;SwaptionFirstMonthPosition+SwaptionNumOfMonths+1,$FJ227&gt;SwaptionFirstMonthPosition+SwaptionNumOfMonths+1),"",IF($FJ227=GK$169,1,IF($FJ227&lt;GK$169,INDEX($FK$170:$ID$241,GK$169,$FJ227),SUMPRODUCT(INDEX($FK$325:$ID$396,GK$169,1+SwaptionShift):INDEX($FK$325:$ID$396,GK$169,SwaptionMonthsToGo+SwaptionShift),INDEX($FK$245:$ID$316,$FJ227-GK$169,73-GK$169+SwaptionShift):INDEX($FK$245:$ID$316,$FJ227-GK$169,72-GK$169+SwaptionMonthsToGo+SwaptionShift))/SQRT(SUM(INDEX($FK382:$ID382,1+SwaptionShift):INDEX($FK382:$ID382,SwaptionMonthsToGo+SwaptionShift))*SUM(INDEX($FK$325:$ID$396,GK$169,1+SwaptionShift):INDEX($FK$325:$ID$396,GK$169,SwaptionMonthsToGo+SwaptionShift))))))</f>
        <v/>
      </c>
      <c r="GL227" s="479" t="str">
        <f ca="1">IF(OR(GL$169&lt;SwaptionFirstMonthPosition+1,$FJ227&lt;SwaptionFirstMonthPosition+1,GL$169&gt;SwaptionFirstMonthPosition+SwaptionNumOfMonths+1,$FJ227&gt;SwaptionFirstMonthPosition+SwaptionNumOfMonths+1),"",IF($FJ227=GL$169,1,IF($FJ227&lt;GL$169,INDEX($FK$170:$ID$241,GL$169,$FJ227),SUMPRODUCT(INDEX($FK$325:$ID$396,GL$169,1+SwaptionShift):INDEX($FK$325:$ID$396,GL$169,SwaptionMonthsToGo+SwaptionShift),INDEX($FK$245:$ID$316,$FJ227-GL$169,73-GL$169+SwaptionShift):INDEX($FK$245:$ID$316,$FJ227-GL$169,72-GL$169+SwaptionMonthsToGo+SwaptionShift))/SQRT(SUM(INDEX($FK382:$ID382,1+SwaptionShift):INDEX($FK382:$ID382,SwaptionMonthsToGo+SwaptionShift))*SUM(INDEX($FK$325:$ID$396,GL$169,1+SwaptionShift):INDEX($FK$325:$ID$396,GL$169,SwaptionMonthsToGo+SwaptionShift))))))</f>
        <v/>
      </c>
      <c r="GM227" s="479" t="str">
        <f ca="1">IF(OR(GM$169&lt;SwaptionFirstMonthPosition+1,$FJ227&lt;SwaptionFirstMonthPosition+1,GM$169&gt;SwaptionFirstMonthPosition+SwaptionNumOfMonths+1,$FJ227&gt;SwaptionFirstMonthPosition+SwaptionNumOfMonths+1),"",IF($FJ227=GM$169,1,IF($FJ227&lt;GM$169,INDEX($FK$170:$ID$241,GM$169,$FJ227),SUMPRODUCT(INDEX($FK$325:$ID$396,GM$169,1+SwaptionShift):INDEX($FK$325:$ID$396,GM$169,SwaptionMonthsToGo+SwaptionShift),INDEX($FK$245:$ID$316,$FJ227-GM$169,73-GM$169+SwaptionShift):INDEX($FK$245:$ID$316,$FJ227-GM$169,72-GM$169+SwaptionMonthsToGo+SwaptionShift))/SQRT(SUM(INDEX($FK382:$ID382,1+SwaptionShift):INDEX($FK382:$ID382,SwaptionMonthsToGo+SwaptionShift))*SUM(INDEX($FK$325:$ID$396,GM$169,1+SwaptionShift):INDEX($FK$325:$ID$396,GM$169,SwaptionMonthsToGo+SwaptionShift))))))</f>
        <v/>
      </c>
      <c r="GN227" s="479" t="str">
        <f ca="1">IF(OR(GN$169&lt;SwaptionFirstMonthPosition+1,$FJ227&lt;SwaptionFirstMonthPosition+1,GN$169&gt;SwaptionFirstMonthPosition+SwaptionNumOfMonths+1,$FJ227&gt;SwaptionFirstMonthPosition+SwaptionNumOfMonths+1),"",IF($FJ227=GN$169,1,IF($FJ227&lt;GN$169,INDEX($FK$170:$ID$241,GN$169,$FJ227),SUMPRODUCT(INDEX($FK$325:$ID$396,GN$169,1+SwaptionShift):INDEX($FK$325:$ID$396,GN$169,SwaptionMonthsToGo+SwaptionShift),INDEX($FK$245:$ID$316,$FJ227-GN$169,73-GN$169+SwaptionShift):INDEX($FK$245:$ID$316,$FJ227-GN$169,72-GN$169+SwaptionMonthsToGo+SwaptionShift))/SQRT(SUM(INDEX($FK382:$ID382,1+SwaptionShift):INDEX($FK382:$ID382,SwaptionMonthsToGo+SwaptionShift))*SUM(INDEX($FK$325:$ID$396,GN$169,1+SwaptionShift):INDEX($FK$325:$ID$396,GN$169,SwaptionMonthsToGo+SwaptionShift))))))</f>
        <v/>
      </c>
      <c r="GO227" s="479" t="str">
        <f ca="1">IF(OR(GO$169&lt;SwaptionFirstMonthPosition+1,$FJ227&lt;SwaptionFirstMonthPosition+1,GO$169&gt;SwaptionFirstMonthPosition+SwaptionNumOfMonths+1,$FJ227&gt;SwaptionFirstMonthPosition+SwaptionNumOfMonths+1),"",IF($FJ227=GO$169,1,IF($FJ227&lt;GO$169,INDEX($FK$170:$ID$241,GO$169,$FJ227),SUMPRODUCT(INDEX($FK$325:$ID$396,GO$169,1+SwaptionShift):INDEX($FK$325:$ID$396,GO$169,SwaptionMonthsToGo+SwaptionShift),INDEX($FK$245:$ID$316,$FJ227-GO$169,73-GO$169+SwaptionShift):INDEX($FK$245:$ID$316,$FJ227-GO$169,72-GO$169+SwaptionMonthsToGo+SwaptionShift))/SQRT(SUM(INDEX($FK382:$ID382,1+SwaptionShift):INDEX($FK382:$ID382,SwaptionMonthsToGo+SwaptionShift))*SUM(INDEX($FK$325:$ID$396,GO$169,1+SwaptionShift):INDEX($FK$325:$ID$396,GO$169,SwaptionMonthsToGo+SwaptionShift))))))</f>
        <v/>
      </c>
      <c r="GP227" s="479" t="str">
        <f ca="1">IF(OR(GP$169&lt;SwaptionFirstMonthPosition+1,$FJ227&lt;SwaptionFirstMonthPosition+1,GP$169&gt;SwaptionFirstMonthPosition+SwaptionNumOfMonths+1,$FJ227&gt;SwaptionFirstMonthPosition+SwaptionNumOfMonths+1),"",IF($FJ227=GP$169,1,IF($FJ227&lt;GP$169,INDEX($FK$170:$ID$241,GP$169,$FJ227),SUMPRODUCT(INDEX($FK$325:$ID$396,GP$169,1+SwaptionShift):INDEX($FK$325:$ID$396,GP$169,SwaptionMonthsToGo+SwaptionShift),INDEX($FK$245:$ID$316,$FJ227-GP$169,73-GP$169+SwaptionShift):INDEX($FK$245:$ID$316,$FJ227-GP$169,72-GP$169+SwaptionMonthsToGo+SwaptionShift))/SQRT(SUM(INDEX($FK382:$ID382,1+SwaptionShift):INDEX($FK382:$ID382,SwaptionMonthsToGo+SwaptionShift))*SUM(INDEX($FK$325:$ID$396,GP$169,1+SwaptionShift):INDEX($FK$325:$ID$396,GP$169,SwaptionMonthsToGo+SwaptionShift))))))</f>
        <v/>
      </c>
      <c r="GQ227" s="479" t="str">
        <f ca="1">IF(OR(GQ$169&lt;SwaptionFirstMonthPosition+1,$FJ227&lt;SwaptionFirstMonthPosition+1,GQ$169&gt;SwaptionFirstMonthPosition+SwaptionNumOfMonths+1,$FJ227&gt;SwaptionFirstMonthPosition+SwaptionNumOfMonths+1),"",IF($FJ227=GQ$169,1,IF($FJ227&lt;GQ$169,INDEX($FK$170:$ID$241,GQ$169,$FJ227),SUMPRODUCT(INDEX($FK$325:$ID$396,GQ$169,1+SwaptionShift):INDEX($FK$325:$ID$396,GQ$169,SwaptionMonthsToGo+SwaptionShift),INDEX($FK$245:$ID$316,$FJ227-GQ$169,73-GQ$169+SwaptionShift):INDEX($FK$245:$ID$316,$FJ227-GQ$169,72-GQ$169+SwaptionMonthsToGo+SwaptionShift))/SQRT(SUM(INDEX($FK382:$ID382,1+SwaptionShift):INDEX($FK382:$ID382,SwaptionMonthsToGo+SwaptionShift))*SUM(INDEX($FK$325:$ID$396,GQ$169,1+SwaptionShift):INDEX($FK$325:$ID$396,GQ$169,SwaptionMonthsToGo+SwaptionShift))))))</f>
        <v/>
      </c>
      <c r="GR227" s="479" t="str">
        <f ca="1">IF(OR(GR$169&lt;SwaptionFirstMonthPosition+1,$FJ227&lt;SwaptionFirstMonthPosition+1,GR$169&gt;SwaptionFirstMonthPosition+SwaptionNumOfMonths+1,$FJ227&gt;SwaptionFirstMonthPosition+SwaptionNumOfMonths+1),"",IF($FJ227=GR$169,1,IF($FJ227&lt;GR$169,INDEX($FK$170:$ID$241,GR$169,$FJ227),SUMPRODUCT(INDEX($FK$325:$ID$396,GR$169,1+SwaptionShift):INDEX($FK$325:$ID$396,GR$169,SwaptionMonthsToGo+SwaptionShift),INDEX($FK$245:$ID$316,$FJ227-GR$169,73-GR$169+SwaptionShift):INDEX($FK$245:$ID$316,$FJ227-GR$169,72-GR$169+SwaptionMonthsToGo+SwaptionShift))/SQRT(SUM(INDEX($FK382:$ID382,1+SwaptionShift):INDEX($FK382:$ID382,SwaptionMonthsToGo+SwaptionShift))*SUM(INDEX($FK$325:$ID$396,GR$169,1+SwaptionShift):INDEX($FK$325:$ID$396,GR$169,SwaptionMonthsToGo+SwaptionShift))))))</f>
        <v/>
      </c>
      <c r="GS227" s="479" t="str">
        <f ca="1">IF(OR(GS$169&lt;SwaptionFirstMonthPosition+1,$FJ227&lt;SwaptionFirstMonthPosition+1,GS$169&gt;SwaptionFirstMonthPosition+SwaptionNumOfMonths+1,$FJ227&gt;SwaptionFirstMonthPosition+SwaptionNumOfMonths+1),"",IF($FJ227=GS$169,1,IF($FJ227&lt;GS$169,INDEX($FK$170:$ID$241,GS$169,$FJ227),SUMPRODUCT(INDEX($FK$325:$ID$396,GS$169,1+SwaptionShift):INDEX($FK$325:$ID$396,GS$169,SwaptionMonthsToGo+SwaptionShift),INDEX($FK$245:$ID$316,$FJ227-GS$169,73-GS$169+SwaptionShift):INDEX($FK$245:$ID$316,$FJ227-GS$169,72-GS$169+SwaptionMonthsToGo+SwaptionShift))/SQRT(SUM(INDEX($FK382:$ID382,1+SwaptionShift):INDEX($FK382:$ID382,SwaptionMonthsToGo+SwaptionShift))*SUM(INDEX($FK$325:$ID$396,GS$169,1+SwaptionShift):INDEX($FK$325:$ID$396,GS$169,SwaptionMonthsToGo+SwaptionShift))))))</f>
        <v/>
      </c>
      <c r="GT227" s="479" t="str">
        <f ca="1">IF(OR(GT$169&lt;SwaptionFirstMonthPosition+1,$FJ227&lt;SwaptionFirstMonthPosition+1,GT$169&gt;SwaptionFirstMonthPosition+SwaptionNumOfMonths+1,$FJ227&gt;SwaptionFirstMonthPosition+SwaptionNumOfMonths+1),"",IF($FJ227=GT$169,1,IF($FJ227&lt;GT$169,INDEX($FK$170:$ID$241,GT$169,$FJ227),SUMPRODUCT(INDEX($FK$325:$ID$396,GT$169,1+SwaptionShift):INDEX($FK$325:$ID$396,GT$169,SwaptionMonthsToGo+SwaptionShift),INDEX($FK$245:$ID$316,$FJ227-GT$169,73-GT$169+SwaptionShift):INDEX($FK$245:$ID$316,$FJ227-GT$169,72-GT$169+SwaptionMonthsToGo+SwaptionShift))/SQRT(SUM(INDEX($FK382:$ID382,1+SwaptionShift):INDEX($FK382:$ID382,SwaptionMonthsToGo+SwaptionShift))*SUM(INDEX($FK$325:$ID$396,GT$169,1+SwaptionShift):INDEX($FK$325:$ID$396,GT$169,SwaptionMonthsToGo+SwaptionShift))))))</f>
        <v/>
      </c>
      <c r="GU227" s="479" t="str">
        <f ca="1">IF(OR(GU$169&lt;SwaptionFirstMonthPosition+1,$FJ227&lt;SwaptionFirstMonthPosition+1,GU$169&gt;SwaptionFirstMonthPosition+SwaptionNumOfMonths+1,$FJ227&gt;SwaptionFirstMonthPosition+SwaptionNumOfMonths+1),"",IF($FJ227=GU$169,1,IF($FJ227&lt;GU$169,INDEX($FK$170:$ID$241,GU$169,$FJ227),SUMPRODUCT(INDEX($FK$325:$ID$396,GU$169,1+SwaptionShift):INDEX($FK$325:$ID$396,GU$169,SwaptionMonthsToGo+SwaptionShift),INDEX($FK$245:$ID$316,$FJ227-GU$169,73-GU$169+SwaptionShift):INDEX($FK$245:$ID$316,$FJ227-GU$169,72-GU$169+SwaptionMonthsToGo+SwaptionShift))/SQRT(SUM(INDEX($FK382:$ID382,1+SwaptionShift):INDEX($FK382:$ID382,SwaptionMonthsToGo+SwaptionShift))*SUM(INDEX($FK$325:$ID$396,GU$169,1+SwaptionShift):INDEX($FK$325:$ID$396,GU$169,SwaptionMonthsToGo+SwaptionShift))))))</f>
        <v/>
      </c>
      <c r="GV227" s="479" t="str">
        <f ca="1">IF(OR(GV$169&lt;SwaptionFirstMonthPosition+1,$FJ227&lt;SwaptionFirstMonthPosition+1,GV$169&gt;SwaptionFirstMonthPosition+SwaptionNumOfMonths+1,$FJ227&gt;SwaptionFirstMonthPosition+SwaptionNumOfMonths+1),"",IF($FJ227=GV$169,1,IF($FJ227&lt;GV$169,INDEX($FK$170:$ID$241,GV$169,$FJ227),SUMPRODUCT(INDEX($FK$325:$ID$396,GV$169,1+SwaptionShift):INDEX($FK$325:$ID$396,GV$169,SwaptionMonthsToGo+SwaptionShift),INDEX($FK$245:$ID$316,$FJ227-GV$169,73-GV$169+SwaptionShift):INDEX($FK$245:$ID$316,$FJ227-GV$169,72-GV$169+SwaptionMonthsToGo+SwaptionShift))/SQRT(SUM(INDEX($FK382:$ID382,1+SwaptionShift):INDEX($FK382:$ID382,SwaptionMonthsToGo+SwaptionShift))*SUM(INDEX($FK$325:$ID$396,GV$169,1+SwaptionShift):INDEX($FK$325:$ID$396,GV$169,SwaptionMonthsToGo+SwaptionShift))))))</f>
        <v/>
      </c>
      <c r="GW227" s="479" t="str">
        <f ca="1">IF(OR(GW$169&lt;SwaptionFirstMonthPosition+1,$FJ227&lt;SwaptionFirstMonthPosition+1,GW$169&gt;SwaptionFirstMonthPosition+SwaptionNumOfMonths+1,$FJ227&gt;SwaptionFirstMonthPosition+SwaptionNumOfMonths+1),"",IF($FJ227=GW$169,1,IF($FJ227&lt;GW$169,INDEX($FK$170:$ID$241,GW$169,$FJ227),SUMPRODUCT(INDEX($FK$325:$ID$396,GW$169,1+SwaptionShift):INDEX($FK$325:$ID$396,GW$169,SwaptionMonthsToGo+SwaptionShift),INDEX($FK$245:$ID$316,$FJ227-GW$169,73-GW$169+SwaptionShift):INDEX($FK$245:$ID$316,$FJ227-GW$169,72-GW$169+SwaptionMonthsToGo+SwaptionShift))/SQRT(SUM(INDEX($FK382:$ID382,1+SwaptionShift):INDEX($FK382:$ID382,SwaptionMonthsToGo+SwaptionShift))*SUM(INDEX($FK$325:$ID$396,GW$169,1+SwaptionShift):INDEX($FK$325:$ID$396,GW$169,SwaptionMonthsToGo+SwaptionShift))))))</f>
        <v/>
      </c>
      <c r="GX227" s="479" t="str">
        <f ca="1">IF(OR(GX$169&lt;SwaptionFirstMonthPosition+1,$FJ227&lt;SwaptionFirstMonthPosition+1,GX$169&gt;SwaptionFirstMonthPosition+SwaptionNumOfMonths+1,$FJ227&gt;SwaptionFirstMonthPosition+SwaptionNumOfMonths+1),"",IF($FJ227=GX$169,1,IF($FJ227&lt;GX$169,INDEX($FK$170:$ID$241,GX$169,$FJ227),SUMPRODUCT(INDEX($FK$325:$ID$396,GX$169,1+SwaptionShift):INDEX($FK$325:$ID$396,GX$169,SwaptionMonthsToGo+SwaptionShift),INDEX($FK$245:$ID$316,$FJ227-GX$169,73-GX$169+SwaptionShift):INDEX($FK$245:$ID$316,$FJ227-GX$169,72-GX$169+SwaptionMonthsToGo+SwaptionShift))/SQRT(SUM(INDEX($FK382:$ID382,1+SwaptionShift):INDEX($FK382:$ID382,SwaptionMonthsToGo+SwaptionShift))*SUM(INDEX($FK$325:$ID$396,GX$169,1+SwaptionShift):INDEX($FK$325:$ID$396,GX$169,SwaptionMonthsToGo+SwaptionShift))))))</f>
        <v/>
      </c>
      <c r="GY227" s="479" t="str">
        <f ca="1">IF(OR(GY$169&lt;SwaptionFirstMonthPosition+1,$FJ227&lt;SwaptionFirstMonthPosition+1,GY$169&gt;SwaptionFirstMonthPosition+SwaptionNumOfMonths+1,$FJ227&gt;SwaptionFirstMonthPosition+SwaptionNumOfMonths+1),"",IF($FJ227=GY$169,1,IF($FJ227&lt;GY$169,INDEX($FK$170:$ID$241,GY$169,$FJ227),SUMPRODUCT(INDEX($FK$325:$ID$396,GY$169,1+SwaptionShift):INDEX($FK$325:$ID$396,GY$169,SwaptionMonthsToGo+SwaptionShift),INDEX($FK$245:$ID$316,$FJ227-GY$169,73-GY$169+SwaptionShift):INDEX($FK$245:$ID$316,$FJ227-GY$169,72-GY$169+SwaptionMonthsToGo+SwaptionShift))/SQRT(SUM(INDEX($FK382:$ID382,1+SwaptionShift):INDEX($FK382:$ID382,SwaptionMonthsToGo+SwaptionShift))*SUM(INDEX($FK$325:$ID$396,GY$169,1+SwaptionShift):INDEX($FK$325:$ID$396,GY$169,SwaptionMonthsToGo+SwaptionShift))))))</f>
        <v/>
      </c>
      <c r="GZ227" s="479" t="str">
        <f ca="1">IF(OR(GZ$169&lt;SwaptionFirstMonthPosition+1,$FJ227&lt;SwaptionFirstMonthPosition+1,GZ$169&gt;SwaptionFirstMonthPosition+SwaptionNumOfMonths+1,$FJ227&gt;SwaptionFirstMonthPosition+SwaptionNumOfMonths+1),"",IF($FJ227=GZ$169,1,IF($FJ227&lt;GZ$169,INDEX($FK$170:$ID$241,GZ$169,$FJ227),SUMPRODUCT(INDEX($FK$325:$ID$396,GZ$169,1+SwaptionShift):INDEX($FK$325:$ID$396,GZ$169,SwaptionMonthsToGo+SwaptionShift),INDEX($FK$245:$ID$316,$FJ227-GZ$169,73-GZ$169+SwaptionShift):INDEX($FK$245:$ID$316,$FJ227-GZ$169,72-GZ$169+SwaptionMonthsToGo+SwaptionShift))/SQRT(SUM(INDEX($FK382:$ID382,1+SwaptionShift):INDEX($FK382:$ID382,SwaptionMonthsToGo+SwaptionShift))*SUM(INDEX($FK$325:$ID$396,GZ$169,1+SwaptionShift):INDEX($FK$325:$ID$396,GZ$169,SwaptionMonthsToGo+SwaptionShift))))))</f>
        <v/>
      </c>
      <c r="HA227" s="479" t="str">
        <f ca="1">IF(OR(HA$169&lt;SwaptionFirstMonthPosition+1,$FJ227&lt;SwaptionFirstMonthPosition+1,HA$169&gt;SwaptionFirstMonthPosition+SwaptionNumOfMonths+1,$FJ227&gt;SwaptionFirstMonthPosition+SwaptionNumOfMonths+1),"",IF($FJ227=HA$169,1,IF($FJ227&lt;HA$169,INDEX($FK$170:$ID$241,HA$169,$FJ227),SUMPRODUCT(INDEX($FK$325:$ID$396,HA$169,1+SwaptionShift):INDEX($FK$325:$ID$396,HA$169,SwaptionMonthsToGo+SwaptionShift),INDEX($FK$245:$ID$316,$FJ227-HA$169,73-HA$169+SwaptionShift):INDEX($FK$245:$ID$316,$FJ227-HA$169,72-HA$169+SwaptionMonthsToGo+SwaptionShift))/SQRT(SUM(INDEX($FK382:$ID382,1+SwaptionShift):INDEX($FK382:$ID382,SwaptionMonthsToGo+SwaptionShift))*SUM(INDEX($FK$325:$ID$396,HA$169,1+SwaptionShift):INDEX($FK$325:$ID$396,HA$169,SwaptionMonthsToGo+SwaptionShift))))))</f>
        <v/>
      </c>
      <c r="HB227" s="479" t="str">
        <f ca="1">IF(OR(HB$169&lt;SwaptionFirstMonthPosition+1,$FJ227&lt;SwaptionFirstMonthPosition+1,HB$169&gt;SwaptionFirstMonthPosition+SwaptionNumOfMonths+1,$FJ227&gt;SwaptionFirstMonthPosition+SwaptionNumOfMonths+1),"",IF($FJ227=HB$169,1,IF($FJ227&lt;HB$169,INDEX($FK$170:$ID$241,HB$169,$FJ227),SUMPRODUCT(INDEX($FK$325:$ID$396,HB$169,1+SwaptionShift):INDEX($FK$325:$ID$396,HB$169,SwaptionMonthsToGo+SwaptionShift),INDEX($FK$245:$ID$316,$FJ227-HB$169,73-HB$169+SwaptionShift):INDEX($FK$245:$ID$316,$FJ227-HB$169,72-HB$169+SwaptionMonthsToGo+SwaptionShift))/SQRT(SUM(INDEX($FK382:$ID382,1+SwaptionShift):INDEX($FK382:$ID382,SwaptionMonthsToGo+SwaptionShift))*SUM(INDEX($FK$325:$ID$396,HB$169,1+SwaptionShift):INDEX($FK$325:$ID$396,HB$169,SwaptionMonthsToGo+SwaptionShift))))))</f>
        <v/>
      </c>
      <c r="HC227" s="479" t="str">
        <f ca="1">IF(OR(HC$169&lt;SwaptionFirstMonthPosition+1,$FJ227&lt;SwaptionFirstMonthPosition+1,HC$169&gt;SwaptionFirstMonthPosition+SwaptionNumOfMonths+1,$FJ227&gt;SwaptionFirstMonthPosition+SwaptionNumOfMonths+1),"",IF($FJ227=HC$169,1,IF($FJ227&lt;HC$169,INDEX($FK$170:$ID$241,HC$169,$FJ227),SUMPRODUCT(INDEX($FK$325:$ID$396,HC$169,1+SwaptionShift):INDEX($FK$325:$ID$396,HC$169,SwaptionMonthsToGo+SwaptionShift),INDEX($FK$245:$ID$316,$FJ227-HC$169,73-HC$169+SwaptionShift):INDEX($FK$245:$ID$316,$FJ227-HC$169,72-HC$169+SwaptionMonthsToGo+SwaptionShift))/SQRT(SUM(INDEX($FK382:$ID382,1+SwaptionShift):INDEX($FK382:$ID382,SwaptionMonthsToGo+SwaptionShift))*SUM(INDEX($FK$325:$ID$396,HC$169,1+SwaptionShift):INDEX($FK$325:$ID$396,HC$169,SwaptionMonthsToGo+SwaptionShift))))))</f>
        <v/>
      </c>
      <c r="HD227" s="479" t="str">
        <f ca="1">IF(OR(HD$169&lt;SwaptionFirstMonthPosition+1,$FJ227&lt;SwaptionFirstMonthPosition+1,HD$169&gt;SwaptionFirstMonthPosition+SwaptionNumOfMonths+1,$FJ227&gt;SwaptionFirstMonthPosition+SwaptionNumOfMonths+1),"",IF($FJ227=HD$169,1,IF($FJ227&lt;HD$169,INDEX($FK$170:$ID$241,HD$169,$FJ227),SUMPRODUCT(INDEX($FK$325:$ID$396,HD$169,1+SwaptionShift):INDEX($FK$325:$ID$396,HD$169,SwaptionMonthsToGo+SwaptionShift),INDEX($FK$245:$ID$316,$FJ227-HD$169,73-HD$169+SwaptionShift):INDEX($FK$245:$ID$316,$FJ227-HD$169,72-HD$169+SwaptionMonthsToGo+SwaptionShift))/SQRT(SUM(INDEX($FK382:$ID382,1+SwaptionShift):INDEX($FK382:$ID382,SwaptionMonthsToGo+SwaptionShift))*SUM(INDEX($FK$325:$ID$396,HD$169,1+SwaptionShift):INDEX($FK$325:$ID$396,HD$169,SwaptionMonthsToGo+SwaptionShift))))))</f>
        <v/>
      </c>
      <c r="HE227" s="479" t="str">
        <f ca="1">IF(OR(HE$169&lt;SwaptionFirstMonthPosition+1,$FJ227&lt;SwaptionFirstMonthPosition+1,HE$169&gt;SwaptionFirstMonthPosition+SwaptionNumOfMonths+1,$FJ227&gt;SwaptionFirstMonthPosition+SwaptionNumOfMonths+1),"",IF($FJ227=HE$169,1,IF($FJ227&lt;HE$169,INDEX($FK$170:$ID$241,HE$169,$FJ227),SUMPRODUCT(INDEX($FK$325:$ID$396,HE$169,1+SwaptionShift):INDEX($FK$325:$ID$396,HE$169,SwaptionMonthsToGo+SwaptionShift),INDEX($FK$245:$ID$316,$FJ227-HE$169,73-HE$169+SwaptionShift):INDEX($FK$245:$ID$316,$FJ227-HE$169,72-HE$169+SwaptionMonthsToGo+SwaptionShift))/SQRT(SUM(INDEX($FK382:$ID382,1+SwaptionShift):INDEX($FK382:$ID382,SwaptionMonthsToGo+SwaptionShift))*SUM(INDEX($FK$325:$ID$396,HE$169,1+SwaptionShift):INDEX($FK$325:$ID$396,HE$169,SwaptionMonthsToGo+SwaptionShift))))))</f>
        <v/>
      </c>
      <c r="HF227" s="479" t="str">
        <f ca="1">IF(OR(HF$169&lt;SwaptionFirstMonthPosition+1,$FJ227&lt;SwaptionFirstMonthPosition+1,HF$169&gt;SwaptionFirstMonthPosition+SwaptionNumOfMonths+1,$FJ227&gt;SwaptionFirstMonthPosition+SwaptionNumOfMonths+1),"",IF($FJ227=HF$169,1,IF($FJ227&lt;HF$169,INDEX($FK$170:$ID$241,HF$169,$FJ227),SUMPRODUCT(INDEX($FK$325:$ID$396,HF$169,1+SwaptionShift):INDEX($FK$325:$ID$396,HF$169,SwaptionMonthsToGo+SwaptionShift),INDEX($FK$245:$ID$316,$FJ227-HF$169,73-HF$169+SwaptionShift):INDEX($FK$245:$ID$316,$FJ227-HF$169,72-HF$169+SwaptionMonthsToGo+SwaptionShift))/SQRT(SUM(INDEX($FK382:$ID382,1+SwaptionShift):INDEX($FK382:$ID382,SwaptionMonthsToGo+SwaptionShift))*SUM(INDEX($FK$325:$ID$396,HF$169,1+SwaptionShift):INDEX($FK$325:$ID$396,HF$169,SwaptionMonthsToGo+SwaptionShift))))))</f>
        <v/>
      </c>
      <c r="HG227" s="479" t="str">
        <f ca="1">IF(OR(HG$169&lt;SwaptionFirstMonthPosition+1,$FJ227&lt;SwaptionFirstMonthPosition+1,HG$169&gt;SwaptionFirstMonthPosition+SwaptionNumOfMonths+1,$FJ227&gt;SwaptionFirstMonthPosition+SwaptionNumOfMonths+1),"",IF($FJ227=HG$169,1,IF($FJ227&lt;HG$169,INDEX($FK$170:$ID$241,HG$169,$FJ227),SUMPRODUCT(INDEX($FK$325:$ID$396,HG$169,1+SwaptionShift):INDEX($FK$325:$ID$396,HG$169,SwaptionMonthsToGo+SwaptionShift),INDEX($FK$245:$ID$316,$FJ227-HG$169,73-HG$169+SwaptionShift):INDEX($FK$245:$ID$316,$FJ227-HG$169,72-HG$169+SwaptionMonthsToGo+SwaptionShift))/SQRT(SUM(INDEX($FK382:$ID382,1+SwaptionShift):INDEX($FK382:$ID382,SwaptionMonthsToGo+SwaptionShift))*SUM(INDEX($FK$325:$ID$396,HG$169,1+SwaptionShift):INDEX($FK$325:$ID$396,HG$169,SwaptionMonthsToGo+SwaptionShift))))))</f>
        <v/>
      </c>
      <c r="HH227" s="479" t="str">
        <f ca="1">IF(OR(HH$169&lt;SwaptionFirstMonthPosition+1,$FJ227&lt;SwaptionFirstMonthPosition+1,HH$169&gt;SwaptionFirstMonthPosition+SwaptionNumOfMonths+1,$FJ227&gt;SwaptionFirstMonthPosition+SwaptionNumOfMonths+1),"",IF($FJ227=HH$169,1,IF($FJ227&lt;HH$169,INDEX($FK$170:$ID$241,HH$169,$FJ227),SUMPRODUCT(INDEX($FK$325:$ID$396,HH$169,1+SwaptionShift):INDEX($FK$325:$ID$396,HH$169,SwaptionMonthsToGo+SwaptionShift),INDEX($FK$245:$ID$316,$FJ227-HH$169,73-HH$169+SwaptionShift):INDEX($FK$245:$ID$316,$FJ227-HH$169,72-HH$169+SwaptionMonthsToGo+SwaptionShift))/SQRT(SUM(INDEX($FK382:$ID382,1+SwaptionShift):INDEX($FK382:$ID382,SwaptionMonthsToGo+SwaptionShift))*SUM(INDEX($FK$325:$ID$396,HH$169,1+SwaptionShift):INDEX($FK$325:$ID$396,HH$169,SwaptionMonthsToGo+SwaptionShift))))))</f>
        <v/>
      </c>
      <c r="HI227" s="479" t="str">
        <f ca="1">IF(OR(HI$169&lt;SwaptionFirstMonthPosition+1,$FJ227&lt;SwaptionFirstMonthPosition+1,HI$169&gt;SwaptionFirstMonthPosition+SwaptionNumOfMonths+1,$FJ227&gt;SwaptionFirstMonthPosition+SwaptionNumOfMonths+1),"",IF($FJ227=HI$169,1,IF($FJ227&lt;HI$169,INDEX($FK$170:$ID$241,HI$169,$FJ227),SUMPRODUCT(INDEX($FK$325:$ID$396,HI$169,1+SwaptionShift):INDEX($FK$325:$ID$396,HI$169,SwaptionMonthsToGo+SwaptionShift),INDEX($FK$245:$ID$316,$FJ227-HI$169,73-HI$169+SwaptionShift):INDEX($FK$245:$ID$316,$FJ227-HI$169,72-HI$169+SwaptionMonthsToGo+SwaptionShift))/SQRT(SUM(INDEX($FK382:$ID382,1+SwaptionShift):INDEX($FK382:$ID382,SwaptionMonthsToGo+SwaptionShift))*SUM(INDEX($FK$325:$ID$396,HI$169,1+SwaptionShift):INDEX($FK$325:$ID$396,HI$169,SwaptionMonthsToGo+SwaptionShift))))))</f>
        <v/>
      </c>
      <c r="HJ227" s="479" t="str">
        <f ca="1">IF(OR(HJ$169&lt;SwaptionFirstMonthPosition+1,$FJ227&lt;SwaptionFirstMonthPosition+1,HJ$169&gt;SwaptionFirstMonthPosition+SwaptionNumOfMonths+1,$FJ227&gt;SwaptionFirstMonthPosition+SwaptionNumOfMonths+1),"",IF($FJ227=HJ$169,1,IF($FJ227&lt;HJ$169,INDEX($FK$170:$ID$241,HJ$169,$FJ227),SUMPRODUCT(INDEX($FK$325:$ID$396,HJ$169,1+SwaptionShift):INDEX($FK$325:$ID$396,HJ$169,SwaptionMonthsToGo+SwaptionShift),INDEX($FK$245:$ID$316,$FJ227-HJ$169,73-HJ$169+SwaptionShift):INDEX($FK$245:$ID$316,$FJ227-HJ$169,72-HJ$169+SwaptionMonthsToGo+SwaptionShift))/SQRT(SUM(INDEX($FK382:$ID382,1+SwaptionShift):INDEX($FK382:$ID382,SwaptionMonthsToGo+SwaptionShift))*SUM(INDEX($FK$325:$ID$396,HJ$169,1+SwaptionShift):INDEX($FK$325:$ID$396,HJ$169,SwaptionMonthsToGo+SwaptionShift))))))</f>
        <v/>
      </c>
      <c r="HK227" s="479" t="str">
        <f ca="1">IF(OR(HK$169&lt;SwaptionFirstMonthPosition+1,$FJ227&lt;SwaptionFirstMonthPosition+1,HK$169&gt;SwaptionFirstMonthPosition+SwaptionNumOfMonths+1,$FJ227&gt;SwaptionFirstMonthPosition+SwaptionNumOfMonths+1),"",IF($FJ227=HK$169,1,IF($FJ227&lt;HK$169,INDEX($FK$170:$ID$241,HK$169,$FJ227),SUMPRODUCT(INDEX($FK$325:$ID$396,HK$169,1+SwaptionShift):INDEX($FK$325:$ID$396,HK$169,SwaptionMonthsToGo+SwaptionShift),INDEX($FK$245:$ID$316,$FJ227-HK$169,73-HK$169+SwaptionShift):INDEX($FK$245:$ID$316,$FJ227-HK$169,72-HK$169+SwaptionMonthsToGo+SwaptionShift))/SQRT(SUM(INDEX($FK382:$ID382,1+SwaptionShift):INDEX($FK382:$ID382,SwaptionMonthsToGo+SwaptionShift))*SUM(INDEX($FK$325:$ID$396,HK$169,1+SwaptionShift):INDEX($FK$325:$ID$396,HK$169,SwaptionMonthsToGo+SwaptionShift))))))</f>
        <v/>
      </c>
      <c r="HL227" s="479" t="str">
        <f ca="1">IF(OR(HL$169&lt;SwaptionFirstMonthPosition+1,$FJ227&lt;SwaptionFirstMonthPosition+1,HL$169&gt;SwaptionFirstMonthPosition+SwaptionNumOfMonths+1,$FJ227&gt;SwaptionFirstMonthPosition+SwaptionNumOfMonths+1),"",IF($FJ227=HL$169,1,IF($FJ227&lt;HL$169,INDEX($FK$170:$ID$241,HL$169,$FJ227),SUMPRODUCT(INDEX($FK$325:$ID$396,HL$169,1+SwaptionShift):INDEX($FK$325:$ID$396,HL$169,SwaptionMonthsToGo+SwaptionShift),INDEX($FK$245:$ID$316,$FJ227-HL$169,73-HL$169+SwaptionShift):INDEX($FK$245:$ID$316,$FJ227-HL$169,72-HL$169+SwaptionMonthsToGo+SwaptionShift))/SQRT(SUM(INDEX($FK382:$ID382,1+SwaptionShift):INDEX($FK382:$ID382,SwaptionMonthsToGo+SwaptionShift))*SUM(INDEX($FK$325:$ID$396,HL$169,1+SwaptionShift):INDEX($FK$325:$ID$396,HL$169,SwaptionMonthsToGo+SwaptionShift))))))</f>
        <v/>
      </c>
      <c r="HM227" s="479" t="str">
        <f ca="1">IF(OR(HM$169&lt;SwaptionFirstMonthPosition+1,$FJ227&lt;SwaptionFirstMonthPosition+1,HM$169&gt;SwaptionFirstMonthPosition+SwaptionNumOfMonths+1,$FJ227&gt;SwaptionFirstMonthPosition+SwaptionNumOfMonths+1),"",IF($FJ227=HM$169,1,IF($FJ227&lt;HM$169,INDEX($FK$170:$ID$241,HM$169,$FJ227),SUMPRODUCT(INDEX($FK$325:$ID$396,HM$169,1+SwaptionShift):INDEX($FK$325:$ID$396,HM$169,SwaptionMonthsToGo+SwaptionShift),INDEX($FK$245:$ID$316,$FJ227-HM$169,73-HM$169+SwaptionShift):INDEX($FK$245:$ID$316,$FJ227-HM$169,72-HM$169+SwaptionMonthsToGo+SwaptionShift))/SQRT(SUM(INDEX($FK382:$ID382,1+SwaptionShift):INDEX($FK382:$ID382,SwaptionMonthsToGo+SwaptionShift))*SUM(INDEX($FK$325:$ID$396,HM$169,1+SwaptionShift):INDEX($FK$325:$ID$396,HM$169,SwaptionMonthsToGo+SwaptionShift))))))</f>
        <v/>
      </c>
      <c r="HN227" s="479" t="str">
        <f ca="1">IF(OR(HN$169&lt;SwaptionFirstMonthPosition+1,$FJ227&lt;SwaptionFirstMonthPosition+1,HN$169&gt;SwaptionFirstMonthPosition+SwaptionNumOfMonths+1,$FJ227&gt;SwaptionFirstMonthPosition+SwaptionNumOfMonths+1),"",IF($FJ227=HN$169,1,IF($FJ227&lt;HN$169,INDEX($FK$170:$ID$241,HN$169,$FJ227),SUMPRODUCT(INDEX($FK$325:$ID$396,HN$169,1+SwaptionShift):INDEX($FK$325:$ID$396,HN$169,SwaptionMonthsToGo+SwaptionShift),INDEX($FK$245:$ID$316,$FJ227-HN$169,73-HN$169+SwaptionShift):INDEX($FK$245:$ID$316,$FJ227-HN$169,72-HN$169+SwaptionMonthsToGo+SwaptionShift))/SQRT(SUM(INDEX($FK382:$ID382,1+SwaptionShift):INDEX($FK382:$ID382,SwaptionMonthsToGo+SwaptionShift))*SUM(INDEX($FK$325:$ID$396,HN$169,1+SwaptionShift):INDEX($FK$325:$ID$396,HN$169,SwaptionMonthsToGo+SwaptionShift))))))</f>
        <v/>
      </c>
      <c r="HO227" s="479" t="str">
        <f ca="1">IF(OR(HO$169&lt;SwaptionFirstMonthPosition+1,$FJ227&lt;SwaptionFirstMonthPosition+1,HO$169&gt;SwaptionFirstMonthPosition+SwaptionNumOfMonths+1,$FJ227&gt;SwaptionFirstMonthPosition+SwaptionNumOfMonths+1),"",IF($FJ227=HO$169,1,IF($FJ227&lt;HO$169,INDEX($FK$170:$ID$241,HO$169,$FJ227),SUMPRODUCT(INDEX($FK$325:$ID$396,HO$169,1+SwaptionShift):INDEX($FK$325:$ID$396,HO$169,SwaptionMonthsToGo+SwaptionShift),INDEX($FK$245:$ID$316,$FJ227-HO$169,73-HO$169+SwaptionShift):INDEX($FK$245:$ID$316,$FJ227-HO$169,72-HO$169+SwaptionMonthsToGo+SwaptionShift))/SQRT(SUM(INDEX($FK382:$ID382,1+SwaptionShift):INDEX($FK382:$ID382,SwaptionMonthsToGo+SwaptionShift))*SUM(INDEX($FK$325:$ID$396,HO$169,1+SwaptionShift):INDEX($FK$325:$ID$396,HO$169,SwaptionMonthsToGo+SwaptionShift))))))</f>
        <v/>
      </c>
      <c r="HP227" s="479" t="str">
        <f ca="1">IF(OR(HP$169&lt;SwaptionFirstMonthPosition+1,$FJ227&lt;SwaptionFirstMonthPosition+1,HP$169&gt;SwaptionFirstMonthPosition+SwaptionNumOfMonths+1,$FJ227&gt;SwaptionFirstMonthPosition+SwaptionNumOfMonths+1),"",IF($FJ227=HP$169,1,IF($FJ227&lt;HP$169,INDEX($FK$170:$ID$241,HP$169,$FJ227),SUMPRODUCT(INDEX($FK$325:$ID$396,HP$169,1+SwaptionShift):INDEX($FK$325:$ID$396,HP$169,SwaptionMonthsToGo+SwaptionShift),INDEX($FK$245:$ID$316,$FJ227-HP$169,73-HP$169+SwaptionShift):INDEX($FK$245:$ID$316,$FJ227-HP$169,72-HP$169+SwaptionMonthsToGo+SwaptionShift))/SQRT(SUM(INDEX($FK382:$ID382,1+SwaptionShift):INDEX($FK382:$ID382,SwaptionMonthsToGo+SwaptionShift))*SUM(INDEX($FK$325:$ID$396,HP$169,1+SwaptionShift):INDEX($FK$325:$ID$396,HP$169,SwaptionMonthsToGo+SwaptionShift))))))</f>
        <v/>
      </c>
      <c r="HQ227" s="479" t="str">
        <f ca="1">IF(OR(HQ$169&lt;SwaptionFirstMonthPosition+1,$FJ227&lt;SwaptionFirstMonthPosition+1,HQ$169&gt;SwaptionFirstMonthPosition+SwaptionNumOfMonths+1,$FJ227&gt;SwaptionFirstMonthPosition+SwaptionNumOfMonths+1),"",IF($FJ227=HQ$169,1,IF($FJ227&lt;HQ$169,INDEX($FK$170:$ID$241,HQ$169,$FJ227),SUMPRODUCT(INDEX($FK$325:$ID$396,HQ$169,1+SwaptionShift):INDEX($FK$325:$ID$396,HQ$169,SwaptionMonthsToGo+SwaptionShift),INDEX($FK$245:$ID$316,$FJ227-HQ$169,73-HQ$169+SwaptionShift):INDEX($FK$245:$ID$316,$FJ227-HQ$169,72-HQ$169+SwaptionMonthsToGo+SwaptionShift))/SQRT(SUM(INDEX($FK382:$ID382,1+SwaptionShift):INDEX($FK382:$ID382,SwaptionMonthsToGo+SwaptionShift))*SUM(INDEX($FK$325:$ID$396,HQ$169,1+SwaptionShift):INDEX($FK$325:$ID$396,HQ$169,SwaptionMonthsToGo+SwaptionShift))))))</f>
        <v/>
      </c>
      <c r="HR227" s="479" t="str">
        <f ca="1">IF(OR(HR$169&lt;SwaptionFirstMonthPosition+1,$FJ227&lt;SwaptionFirstMonthPosition+1,HR$169&gt;SwaptionFirstMonthPosition+SwaptionNumOfMonths+1,$FJ227&gt;SwaptionFirstMonthPosition+SwaptionNumOfMonths+1),"",IF($FJ227=HR$169,1,IF($FJ227&lt;HR$169,INDEX($FK$170:$ID$241,HR$169,$FJ227),SUMPRODUCT(INDEX($FK$325:$ID$396,HR$169,1+SwaptionShift):INDEX($FK$325:$ID$396,HR$169,SwaptionMonthsToGo+SwaptionShift),INDEX($FK$245:$ID$316,$FJ227-HR$169,73-HR$169+SwaptionShift):INDEX($FK$245:$ID$316,$FJ227-HR$169,72-HR$169+SwaptionMonthsToGo+SwaptionShift))/SQRT(SUM(INDEX($FK382:$ID382,1+SwaptionShift):INDEX($FK382:$ID382,SwaptionMonthsToGo+SwaptionShift))*SUM(INDEX($FK$325:$ID$396,HR$169,1+SwaptionShift):INDEX($FK$325:$ID$396,HR$169,SwaptionMonthsToGo+SwaptionShift))))))</f>
        <v/>
      </c>
      <c r="HS227" s="479" t="str">
        <f ca="1">IF(OR(HS$169&lt;SwaptionFirstMonthPosition+1,$FJ227&lt;SwaptionFirstMonthPosition+1,HS$169&gt;SwaptionFirstMonthPosition+SwaptionNumOfMonths+1,$FJ227&gt;SwaptionFirstMonthPosition+SwaptionNumOfMonths+1),"",IF($FJ227=HS$169,1,IF($FJ227&lt;HS$169,INDEX($FK$170:$ID$241,HS$169,$FJ227),SUMPRODUCT(INDEX($FK$325:$ID$396,HS$169,1+SwaptionShift):INDEX($FK$325:$ID$396,HS$169,SwaptionMonthsToGo+SwaptionShift),INDEX($FK$245:$ID$316,$FJ227-HS$169,73-HS$169+SwaptionShift):INDEX($FK$245:$ID$316,$FJ227-HS$169,72-HS$169+SwaptionMonthsToGo+SwaptionShift))/SQRT(SUM(INDEX($FK382:$ID382,1+SwaptionShift):INDEX($FK382:$ID382,SwaptionMonthsToGo+SwaptionShift))*SUM(INDEX($FK$325:$ID$396,HS$169,1+SwaptionShift):INDEX($FK$325:$ID$396,HS$169,SwaptionMonthsToGo+SwaptionShift))))))</f>
        <v/>
      </c>
      <c r="HT227" s="479" t="str">
        <f ca="1">IF(OR(HT$169&lt;SwaptionFirstMonthPosition+1,$FJ227&lt;SwaptionFirstMonthPosition+1,HT$169&gt;SwaptionFirstMonthPosition+SwaptionNumOfMonths+1,$FJ227&gt;SwaptionFirstMonthPosition+SwaptionNumOfMonths+1),"",IF($FJ227=HT$169,1,IF($FJ227&lt;HT$169,INDEX($FK$170:$ID$241,HT$169,$FJ227),SUMPRODUCT(INDEX($FK$325:$ID$396,HT$169,1+SwaptionShift):INDEX($FK$325:$ID$396,HT$169,SwaptionMonthsToGo+SwaptionShift),INDEX($FK$245:$ID$316,$FJ227-HT$169,73-HT$169+SwaptionShift):INDEX($FK$245:$ID$316,$FJ227-HT$169,72-HT$169+SwaptionMonthsToGo+SwaptionShift))/SQRT(SUM(INDEX($FK382:$ID382,1+SwaptionShift):INDEX($FK382:$ID382,SwaptionMonthsToGo+SwaptionShift))*SUM(INDEX($FK$325:$ID$396,HT$169,1+SwaptionShift):INDEX($FK$325:$ID$396,HT$169,SwaptionMonthsToGo+SwaptionShift))))))</f>
        <v/>
      </c>
      <c r="HU227" s="479" t="str">
        <f ca="1">IF(OR(HU$169&lt;SwaptionFirstMonthPosition+1,$FJ227&lt;SwaptionFirstMonthPosition+1,HU$169&gt;SwaptionFirstMonthPosition+SwaptionNumOfMonths+1,$FJ227&gt;SwaptionFirstMonthPosition+SwaptionNumOfMonths+1),"",IF($FJ227=HU$169,1,IF($FJ227&lt;HU$169,INDEX($FK$170:$ID$241,HU$169,$FJ227),SUMPRODUCT(INDEX($FK$325:$ID$396,HU$169,1+SwaptionShift):INDEX($FK$325:$ID$396,HU$169,SwaptionMonthsToGo+SwaptionShift),INDEX($FK$245:$ID$316,$FJ227-HU$169,73-HU$169+SwaptionShift):INDEX($FK$245:$ID$316,$FJ227-HU$169,72-HU$169+SwaptionMonthsToGo+SwaptionShift))/SQRT(SUM(INDEX($FK382:$ID382,1+SwaptionShift):INDEX($FK382:$ID382,SwaptionMonthsToGo+SwaptionShift))*SUM(INDEX($FK$325:$ID$396,HU$169,1+SwaptionShift):INDEX($FK$325:$ID$396,HU$169,SwaptionMonthsToGo+SwaptionShift))))))</f>
        <v/>
      </c>
      <c r="HV227" s="479" t="str">
        <f ca="1">IF(OR(HV$169&lt;SwaptionFirstMonthPosition+1,$FJ227&lt;SwaptionFirstMonthPosition+1,HV$169&gt;SwaptionFirstMonthPosition+SwaptionNumOfMonths+1,$FJ227&gt;SwaptionFirstMonthPosition+SwaptionNumOfMonths+1),"",IF($FJ227=HV$169,1,IF($FJ227&lt;HV$169,INDEX($FK$170:$ID$241,HV$169,$FJ227),SUMPRODUCT(INDEX($FK$325:$ID$396,HV$169,1+SwaptionShift):INDEX($FK$325:$ID$396,HV$169,SwaptionMonthsToGo+SwaptionShift),INDEX($FK$245:$ID$316,$FJ227-HV$169,73-HV$169+SwaptionShift):INDEX($FK$245:$ID$316,$FJ227-HV$169,72-HV$169+SwaptionMonthsToGo+SwaptionShift))/SQRT(SUM(INDEX($FK382:$ID382,1+SwaptionShift):INDEX($FK382:$ID382,SwaptionMonthsToGo+SwaptionShift))*SUM(INDEX($FK$325:$ID$396,HV$169,1+SwaptionShift):INDEX($FK$325:$ID$396,HV$169,SwaptionMonthsToGo+SwaptionShift))))))</f>
        <v/>
      </c>
      <c r="HW227" s="479" t="str">
        <f ca="1">IF(OR(HW$169&lt;SwaptionFirstMonthPosition+1,$FJ227&lt;SwaptionFirstMonthPosition+1,HW$169&gt;SwaptionFirstMonthPosition+SwaptionNumOfMonths+1,$FJ227&gt;SwaptionFirstMonthPosition+SwaptionNumOfMonths+1),"",IF($FJ227=HW$169,1,IF($FJ227&lt;HW$169,INDEX($FK$170:$ID$241,HW$169,$FJ227),SUMPRODUCT(INDEX($FK$325:$ID$396,HW$169,1+SwaptionShift):INDEX($FK$325:$ID$396,HW$169,SwaptionMonthsToGo+SwaptionShift),INDEX($FK$245:$ID$316,$FJ227-HW$169,73-HW$169+SwaptionShift):INDEX($FK$245:$ID$316,$FJ227-HW$169,72-HW$169+SwaptionMonthsToGo+SwaptionShift))/SQRT(SUM(INDEX($FK382:$ID382,1+SwaptionShift):INDEX($FK382:$ID382,SwaptionMonthsToGo+SwaptionShift))*SUM(INDEX($FK$325:$ID$396,HW$169,1+SwaptionShift):INDEX($FK$325:$ID$396,HW$169,SwaptionMonthsToGo+SwaptionShift))))))</f>
        <v/>
      </c>
      <c r="HX227" s="479" t="str">
        <f ca="1">IF(OR(HX$169&lt;SwaptionFirstMonthPosition+1,$FJ227&lt;SwaptionFirstMonthPosition+1,HX$169&gt;SwaptionFirstMonthPosition+SwaptionNumOfMonths+1,$FJ227&gt;SwaptionFirstMonthPosition+SwaptionNumOfMonths+1),"",IF($FJ227=HX$169,1,IF($FJ227&lt;HX$169,INDEX($FK$170:$ID$241,HX$169,$FJ227),SUMPRODUCT(INDEX($FK$325:$ID$396,HX$169,1+SwaptionShift):INDEX($FK$325:$ID$396,HX$169,SwaptionMonthsToGo+SwaptionShift),INDEX($FK$245:$ID$316,$FJ227-HX$169,73-HX$169+SwaptionShift):INDEX($FK$245:$ID$316,$FJ227-HX$169,72-HX$169+SwaptionMonthsToGo+SwaptionShift))/SQRT(SUM(INDEX($FK382:$ID382,1+SwaptionShift):INDEX($FK382:$ID382,SwaptionMonthsToGo+SwaptionShift))*SUM(INDEX($FK$325:$ID$396,HX$169,1+SwaptionShift):INDEX($FK$325:$ID$396,HX$169,SwaptionMonthsToGo+SwaptionShift))))))</f>
        <v/>
      </c>
      <c r="HY227" s="479" t="str">
        <f ca="1">IF(OR(HY$169&lt;SwaptionFirstMonthPosition+1,$FJ227&lt;SwaptionFirstMonthPosition+1,HY$169&gt;SwaptionFirstMonthPosition+SwaptionNumOfMonths+1,$FJ227&gt;SwaptionFirstMonthPosition+SwaptionNumOfMonths+1),"",IF($FJ227=HY$169,1,IF($FJ227&lt;HY$169,INDEX($FK$170:$ID$241,HY$169,$FJ227),SUMPRODUCT(INDEX($FK$325:$ID$396,HY$169,1+SwaptionShift):INDEX($FK$325:$ID$396,HY$169,SwaptionMonthsToGo+SwaptionShift),INDEX($FK$245:$ID$316,$FJ227-HY$169,73-HY$169+SwaptionShift):INDEX($FK$245:$ID$316,$FJ227-HY$169,72-HY$169+SwaptionMonthsToGo+SwaptionShift))/SQRT(SUM(INDEX($FK382:$ID382,1+SwaptionShift):INDEX($FK382:$ID382,SwaptionMonthsToGo+SwaptionShift))*SUM(INDEX($FK$325:$ID$396,HY$169,1+SwaptionShift):INDEX($FK$325:$ID$396,HY$169,SwaptionMonthsToGo+SwaptionShift))))))</f>
        <v/>
      </c>
      <c r="HZ227" s="479" t="str">
        <f ca="1">IF(OR(HZ$169&lt;SwaptionFirstMonthPosition+1,$FJ227&lt;SwaptionFirstMonthPosition+1,HZ$169&gt;SwaptionFirstMonthPosition+SwaptionNumOfMonths+1,$FJ227&gt;SwaptionFirstMonthPosition+SwaptionNumOfMonths+1),"",IF($FJ227=HZ$169,1,IF($FJ227&lt;HZ$169,INDEX($FK$170:$ID$241,HZ$169,$FJ227),SUMPRODUCT(INDEX($FK$325:$ID$396,HZ$169,1+SwaptionShift):INDEX($FK$325:$ID$396,HZ$169,SwaptionMonthsToGo+SwaptionShift),INDEX($FK$245:$ID$316,$FJ227-HZ$169,73-HZ$169+SwaptionShift):INDEX($FK$245:$ID$316,$FJ227-HZ$169,72-HZ$169+SwaptionMonthsToGo+SwaptionShift))/SQRT(SUM(INDEX($FK382:$ID382,1+SwaptionShift):INDEX($FK382:$ID382,SwaptionMonthsToGo+SwaptionShift))*SUM(INDEX($FK$325:$ID$396,HZ$169,1+SwaptionShift):INDEX($FK$325:$ID$396,HZ$169,SwaptionMonthsToGo+SwaptionShift))))))</f>
        <v/>
      </c>
      <c r="IA227" s="479" t="str">
        <f ca="1">IF(OR(IA$169&lt;SwaptionFirstMonthPosition+1,$FJ227&lt;SwaptionFirstMonthPosition+1,IA$169&gt;SwaptionFirstMonthPosition+SwaptionNumOfMonths+1,$FJ227&gt;SwaptionFirstMonthPosition+SwaptionNumOfMonths+1),"",IF($FJ227=IA$169,1,IF($FJ227&lt;IA$169,INDEX($FK$170:$ID$241,IA$169,$FJ227),SUMPRODUCT(INDEX($FK$325:$ID$396,IA$169,1+SwaptionShift):INDEX($FK$325:$ID$396,IA$169,SwaptionMonthsToGo+SwaptionShift),INDEX($FK$245:$ID$316,$FJ227-IA$169,73-IA$169+SwaptionShift):INDEX($FK$245:$ID$316,$FJ227-IA$169,72-IA$169+SwaptionMonthsToGo+SwaptionShift))/SQRT(SUM(INDEX($FK382:$ID382,1+SwaptionShift):INDEX($FK382:$ID382,SwaptionMonthsToGo+SwaptionShift))*SUM(INDEX($FK$325:$ID$396,IA$169,1+SwaptionShift):INDEX($FK$325:$ID$396,IA$169,SwaptionMonthsToGo+SwaptionShift))))))</f>
        <v/>
      </c>
      <c r="IB227" s="479" t="str">
        <f ca="1">IF(OR(IB$169&lt;SwaptionFirstMonthPosition+1,$FJ227&lt;SwaptionFirstMonthPosition+1,IB$169&gt;SwaptionFirstMonthPosition+SwaptionNumOfMonths+1,$FJ227&gt;SwaptionFirstMonthPosition+SwaptionNumOfMonths+1),"",IF($FJ227=IB$169,1,IF($FJ227&lt;IB$169,INDEX($FK$170:$ID$241,IB$169,$FJ227),SUMPRODUCT(INDEX($FK$325:$ID$396,IB$169,1+SwaptionShift):INDEX($FK$325:$ID$396,IB$169,SwaptionMonthsToGo+SwaptionShift),INDEX($FK$245:$ID$316,$FJ227-IB$169,73-IB$169+SwaptionShift):INDEX($FK$245:$ID$316,$FJ227-IB$169,72-IB$169+SwaptionMonthsToGo+SwaptionShift))/SQRT(SUM(INDEX($FK382:$ID382,1+SwaptionShift):INDEX($FK382:$ID382,SwaptionMonthsToGo+SwaptionShift))*SUM(INDEX($FK$325:$ID$396,IB$169,1+SwaptionShift):INDEX($FK$325:$ID$396,IB$169,SwaptionMonthsToGo+SwaptionShift))))))</f>
        <v/>
      </c>
      <c r="IC227" s="479" t="str">
        <f ca="1">IF(OR(IC$169&lt;SwaptionFirstMonthPosition+1,$FJ227&lt;SwaptionFirstMonthPosition+1,IC$169&gt;SwaptionFirstMonthPosition+SwaptionNumOfMonths+1,$FJ227&gt;SwaptionFirstMonthPosition+SwaptionNumOfMonths+1),"",IF($FJ227=IC$169,1,IF($FJ227&lt;IC$169,INDEX($FK$170:$ID$241,IC$169,$FJ227),SUMPRODUCT(INDEX($FK$325:$ID$396,IC$169,1+SwaptionShift):INDEX($FK$325:$ID$396,IC$169,SwaptionMonthsToGo+SwaptionShift),INDEX($FK$245:$ID$316,$FJ227-IC$169,73-IC$169+SwaptionShift):INDEX($FK$245:$ID$316,$FJ227-IC$169,72-IC$169+SwaptionMonthsToGo+SwaptionShift))/SQRT(SUM(INDEX($FK382:$ID382,1+SwaptionShift):INDEX($FK382:$ID382,SwaptionMonthsToGo+SwaptionShift))*SUM(INDEX($FK$325:$ID$396,IC$169,1+SwaptionShift):INDEX($FK$325:$ID$396,IC$169,SwaptionMonthsToGo+SwaptionShift))))))</f>
        <v/>
      </c>
      <c r="ID227" s="678" t="str">
        <f ca="1">IF(OR(ID$169&lt;SwaptionFirstMonthPosition+1,$FJ227&lt;SwaptionFirstMonthPosition+1,ID$169&gt;SwaptionFirstMonthPosition+SwaptionNumOfMonths+1,$FJ227&gt;SwaptionFirstMonthPosition+SwaptionNumOfMonths+1),"",IF($FJ227=ID$169,1,IF($FJ227&lt;ID$169,INDEX($FK$170:$ID$241,ID$169,$FJ227),SUMPRODUCT(INDEX($FK$325:$ID$396,ID$169,1+SwaptionShift):INDEX($FK$325:$ID$396,ID$169,SwaptionMonthsToGo+SwaptionShift),INDEX($FK$245:$ID$316,$FJ227-ID$169,73-ID$169+SwaptionShift):INDEX($FK$245:$ID$316,$FJ227-ID$169,72-ID$169+SwaptionMonthsToGo+SwaptionShift))/SQRT(SUM(INDEX($FK382:$ID382,1+SwaptionShift):INDEX($FK382:$ID382,SwaptionMonthsToGo+SwaptionShift))*SUM(INDEX($FK$325:$ID$396,ID$169,1+SwaptionShift):INDEX($FK$325:$ID$396,ID$169,SwaptionMonthsToGo+SwaptionShift))))))</f>
        <v/>
      </c>
      <c r="IE227" s="250"/>
    </row>
    <row r="228" spans="8:239">
      <c r="H228" s="51">
        <f t="shared" ca="1" si="646"/>
        <v>0</v>
      </c>
      <c r="I228" s="379">
        <f t="shared" si="647"/>
        <v>43101</v>
      </c>
      <c r="J228" s="377"/>
      <c r="K228" s="104" t="s">
        <v>268</v>
      </c>
      <c r="L228" s="392">
        <f t="shared" si="648"/>
        <v>4.9499999999999975</v>
      </c>
      <c r="M228" s="171"/>
      <c r="N228" s="382">
        <v>0</v>
      </c>
      <c r="O228" s="171">
        <f t="shared" si="596"/>
        <v>0</v>
      </c>
      <c r="P228" s="377"/>
      <c r="Q228" s="104" t="s">
        <v>268</v>
      </c>
      <c r="R228" s="377">
        <f t="shared" ca="1" si="597"/>
        <v>3.7494661511515992</v>
      </c>
      <c r="S228" s="832">
        <f t="shared" si="671"/>
        <v>0.3600000000000001</v>
      </c>
      <c r="T228" s="831">
        <f t="shared" si="661"/>
        <v>0.99999999999999922</v>
      </c>
      <c r="U228" s="545">
        <f t="shared" si="662"/>
        <v>0.99999999999999978</v>
      </c>
      <c r="V228" s="389">
        <v>0</v>
      </c>
      <c r="W228" s="434">
        <f t="shared" si="598"/>
        <v>0</v>
      </c>
      <c r="X228" s="415">
        <f t="shared" si="599"/>
        <v>5.0011363636363608</v>
      </c>
      <c r="Y228" s="322">
        <f t="shared" si="600"/>
        <v>-1.1684999999999999</v>
      </c>
      <c r="Z228" s="322">
        <f t="shared" ca="1" si="601"/>
        <v>3.832636363636361</v>
      </c>
      <c r="AA228" s="429">
        <f t="shared" si="628"/>
        <v>1.1684999999999999</v>
      </c>
      <c r="AB228" s="433">
        <f t="shared" ca="1" si="629"/>
        <v>1.1684999999999999</v>
      </c>
      <c r="AC228" s="229">
        <v>43089</v>
      </c>
      <c r="AD228" s="229">
        <v>43085</v>
      </c>
      <c r="AE228" s="229">
        <v>43084</v>
      </c>
      <c r="AF228" s="229">
        <v>43080</v>
      </c>
      <c r="AG228" s="249" t="s">
        <v>499</v>
      </c>
      <c r="AH228" s="247" t="s">
        <v>499</v>
      </c>
      <c r="AI228" s="146">
        <v>22</v>
      </c>
      <c r="AJ228" s="41">
        <v>14</v>
      </c>
      <c r="AK228" s="41">
        <v>8</v>
      </c>
      <c r="AL228" s="293">
        <v>22</v>
      </c>
      <c r="AM228" s="41">
        <v>9</v>
      </c>
      <c r="AN228" s="147">
        <v>13</v>
      </c>
      <c r="AO228" s="374"/>
      <c r="AP228" s="153">
        <f t="shared" ca="1" si="649"/>
        <v>1</v>
      </c>
      <c r="AQ228" s="374"/>
      <c r="AR228" s="153">
        <f t="shared" ca="1" si="663"/>
        <v>1</v>
      </c>
      <c r="AS228" s="272">
        <f t="shared" si="602"/>
        <v>0</v>
      </c>
      <c r="AT228" s="157">
        <f t="shared" si="650"/>
        <v>0</v>
      </c>
      <c r="AU228" s="157">
        <f t="shared" si="630"/>
        <v>0</v>
      </c>
      <c r="AV228" s="271">
        <f t="shared" ca="1" si="670"/>
        <v>9.9999999999999995E-7</v>
      </c>
      <c r="AW228" s="158" t="str">
        <f t="shared" ca="1" si="583"/>
        <v/>
      </c>
      <c r="AX228" s="157">
        <f t="shared" ca="1" si="664"/>
        <v>2.2705213067310899E-5</v>
      </c>
      <c r="AY228" s="157">
        <f t="shared" ca="1" si="665"/>
        <v>4.3901258878636612E-6</v>
      </c>
      <c r="AZ228" s="157">
        <f t="shared" ca="1" si="666"/>
        <v>8.8504547533985818E-8</v>
      </c>
      <c r="BA228" s="157">
        <f t="shared" ca="1" si="667"/>
        <v>1.1063068441748227E-8</v>
      </c>
      <c r="BB228" s="157">
        <f t="shared" ca="1" si="668"/>
        <v>2.0932443845675903E-11</v>
      </c>
      <c r="BC228" s="157">
        <f t="shared" ca="1" si="669"/>
        <v>2.4478296669357906E-13</v>
      </c>
      <c r="BD228" s="151">
        <f t="shared" ca="1" si="603"/>
        <v>0</v>
      </c>
      <c r="BE228" s="152">
        <f t="shared" ca="1" si="604"/>
        <v>0</v>
      </c>
      <c r="BF228" s="40">
        <f t="shared" si="605"/>
        <v>2018</v>
      </c>
      <c r="BG228" s="144">
        <f t="shared" si="606"/>
        <v>1</v>
      </c>
      <c r="BH228" s="145">
        <f t="shared" ca="1" si="607"/>
        <v>6340</v>
      </c>
      <c r="BI228" s="313">
        <f t="shared" ca="1" si="608"/>
        <v>17.401779603011637</v>
      </c>
      <c r="BJ228" s="42">
        <f t="shared" ca="1" si="631"/>
        <v>17.454047663493249</v>
      </c>
      <c r="BK228" s="42">
        <f t="shared" ca="1" si="632"/>
        <v>17.45678551428038</v>
      </c>
      <c r="BL228" s="42">
        <f t="shared" ca="1" si="609"/>
        <v>17.4839151266256</v>
      </c>
      <c r="BM228" s="150" t="e">
        <f t="shared" ca="1" si="633"/>
        <v>#DIV/0!</v>
      </c>
      <c r="BN228" s="42" t="e">
        <f t="shared" ca="1" si="634"/>
        <v>#DIV/0!</v>
      </c>
      <c r="BO228" s="293">
        <f t="shared" si="610"/>
        <v>22</v>
      </c>
      <c r="BP228" s="41">
        <f t="shared" si="611"/>
        <v>14</v>
      </c>
      <c r="BQ228" s="41">
        <f t="shared" si="612"/>
        <v>8</v>
      </c>
      <c r="BR228" s="305" t="str">
        <f t="shared" ca="1" si="635"/>
        <v/>
      </c>
      <c r="BS228" s="305" t="str">
        <f t="shared" ca="1" si="613"/>
        <v/>
      </c>
      <c r="BT228" s="307" t="str">
        <f t="shared" ca="1" si="614"/>
        <v/>
      </c>
      <c r="BU228" s="161" t="str">
        <f t="shared" ca="1" si="636"/>
        <v/>
      </c>
      <c r="BV228" s="161" t="str">
        <f t="shared" ca="1" si="637"/>
        <v/>
      </c>
      <c r="BW228" s="308" t="str">
        <f t="shared" ca="1" si="638"/>
        <v/>
      </c>
      <c r="BX228" s="309" t="str">
        <f t="shared" ca="1" si="639"/>
        <v/>
      </c>
      <c r="BY228" s="308" t="str">
        <f t="shared" ca="1" si="615"/>
        <v/>
      </c>
      <c r="BZ228" s="309" t="str">
        <f t="shared" ca="1" si="616"/>
        <v/>
      </c>
      <c r="CA228" s="154" t="str">
        <f t="shared" ca="1" si="640"/>
        <v/>
      </c>
      <c r="CB228" s="154" t="str">
        <f t="shared" ca="1" si="641"/>
        <v/>
      </c>
      <c r="CC228" s="154" t="str">
        <f t="shared" ca="1" si="642"/>
        <v/>
      </c>
      <c r="CD228" s="154" t="str">
        <f t="shared" ca="1" si="643"/>
        <v/>
      </c>
      <c r="CE228" s="310">
        <v>1</v>
      </c>
      <c r="CF228" s="162">
        <f ca="1">IF(BD228,_xll.xCrudeAPO(BU228,BV228,CA228,CB228,S229,S230,BI228,BL228,BP228,BQ228,0,Strike1,AO228,CE228,0,BL228,IF(OptControl=4,0,1),0,1),0)</f>
        <v>0</v>
      </c>
      <c r="CG228" s="163">
        <f ca="1">IF(BD228,_xll.xCrudeAPO(BU228,BV228,CA228,CB228,S229,S230,BI228,BL228,BP228,BQ228,0,Strike1,AO228,CE228,0,BL228,IF(OptControl=4,0,1),1,1)+_xll.xCrudeAPO(BU228,BV228,CA228,CB228,S229,S230,BI228,BL228,BP228,BQ228,0,Strike1,AO228,CE228,0,BL228,IF(OptControl=4,0,1),1,2)+IF(OR(VolSkewFlag=2,ABS(BS228)&lt;0.0001),0,IF(BS228&gt;0,-1,1)*CH228*Strike1/BR228^2*BY228/10%),0)</f>
        <v>0</v>
      </c>
      <c r="CH228" s="163">
        <f ca="1">IF(BD228,(_xll.xCrudeAPO(BU228,BV228,CA228,CB228,S229,S230,BI228,BL228,BP228,BQ228,0,Strike1,AO228,CE228,0,BL228,IF(OptControl=4,0,1),3,1)+_xll.xCrudeAPO(BU228,BV228,CA228,CB228,S229,S230,BI228,BL228,BP228,BQ228,0,Strike1,AO228,CE228,0,BL228,IF(OptControl=4,0,1),3,2))/100,0)</f>
        <v>0</v>
      </c>
      <c r="CI228" s="163">
        <f ca="1">IF(BD228,_xll.xCrudeAPO(BU228,BV228,CA228,CB228,S229,S230,BI228-DaysForThetaCalculation/365.25,BL228-DaysForThetaCalculation/365.25,BP228,BQ228,0,Strike1,AO228,CE228,0,BL228,IF(OptControl=4,0,1),0,1)-_xll.xCrudeAPO(BU228,BV228,CA228,CB228,S229,S230,BI228,BL228,BP228,BQ228,0,Strike1,AO228,CE228,0,BL228,IF(OptControl=4,0,1),0,1),0)</f>
        <v>0</v>
      </c>
      <c r="CJ228" s="311">
        <f ca="1">IF(BD228,_xll.xCrudeAPO(BU228,BV228,CC228,CD228,S229,S230,BI228,BL228,BP228,BQ228,0,Strike2,AO228,CE228,0,BL228,IF(OptControl=3,1,0),0,1),0)</f>
        <v>0</v>
      </c>
      <c r="CK228" s="163">
        <f ca="1">IF(BD228,_xll.xCrudeAPO(BU228,BV228,CC228,CD228,S229,S230,BI228,BL228,BP228,BQ228,0,Strike2,AO228,CE228,0,BL228,IF(OptControl=3,1,0),1,1)+_xll.xCrudeAPO(BU228,BV228,CC228,CD228,S229,S230,BI228,BL228,BP228,BQ228,0,Strike2,AO228,CE228,0,BL228,IF(OptControl=3,1,0),1,2)+IF(OR(VolSkewFlag=2,ABS(BT228)&lt;0.0001),0,IF(BT228&gt;0,-1,1)*CL228*Strike2/BR228^2*BZ228/10%),0)</f>
        <v>0</v>
      </c>
      <c r="CL228" s="163">
        <f ca="1">IF(BD228,(_xll.xCrudeAPO(BU228,BV228,CC228,CD228,S229,S230,BI228,BL228,BP228,BQ228,0,Strike2,AO228,CE228,0,BL228,IF(OptControl=3,1,0),3,1)+_xll.xCrudeAPO(BU228,BV228,CC228,CD228,S229,S230,BI228,BL228,BP228,BQ228,0,Strike2,AO228,CE228,0,BL228,IF(OptControl=3,1,0),3,2))/100,0)</f>
        <v>0</v>
      </c>
      <c r="CM228" s="164">
        <f ca="1">IF(BD228,_xll.xCrudeAPO(BU228,BV228,CC228,CD228,S229,S230,BI228-DaysForThetaCalculation/365.25,BL228-DaysForThetaCalculation/365.25,BP228,BQ228,0,Strike2,AO228,CE228,0,BL228,IF(OptControl=3,1,0),0,1)-_xll.xCrudeAPO(BU228,BV228,CC228,CD228,S229,S230,BI228,BL228,BP228,BQ228,0,Strike2,AO228,CE228,0,BL228,IF(OptControl=3,1,0),0,1),0)</f>
        <v>0</v>
      </c>
      <c r="CN228" s="53"/>
      <c r="CO228" s="796" t="str">
        <f t="shared" ca="1" si="651"/>
        <v/>
      </c>
      <c r="CP228" s="800" t="str">
        <f t="shared" ca="1" si="652"/>
        <v/>
      </c>
      <c r="CQ228" s="797" t="str">
        <f t="shared" ca="1" si="653"/>
        <v/>
      </c>
      <c r="CR228" s="797" t="str">
        <f t="shared" ca="1" si="654"/>
        <v/>
      </c>
      <c r="CS228" s="797" t="str">
        <f t="shared" ca="1" si="655"/>
        <v/>
      </c>
      <c r="CT228" s="797" t="str">
        <f t="shared" ca="1" si="656"/>
        <v/>
      </c>
      <c r="CU228" s="798" t="str">
        <f t="shared" ca="1" si="657"/>
        <v/>
      </c>
      <c r="CV228" s="799" t="str">
        <f t="shared" ca="1" si="658"/>
        <v/>
      </c>
      <c r="CW228" s="799" t="str">
        <f t="shared" ca="1" si="659"/>
        <v/>
      </c>
      <c r="CX228" s="163">
        <f ca="1">IF(BD228,_xll.EURO(CP228,Strike1,AO228,AO228,CV228,CO228,IF(OptControl=4,0,1),0),0)</f>
        <v>0</v>
      </c>
      <c r="CY228" s="163">
        <f ca="1">IF(BD228,_xll.EURO(CP228,Strike1,AO228,AO228,CV228,CO228,IF(OptControl=4,0,1),1)+IF(OR(VolSkewFlag=2,ABS(CQ228)&lt;0.0001),0,IF(CQ228&gt;0,-1,1)*CZ228*100*Strike1/CP228^2*CS228/10%),0)</f>
        <v>0</v>
      </c>
      <c r="CZ228" s="163">
        <f ca="1">IF(BD228,_xll.EURO(CP228,Strike1,AO228,AO228,CV228,CO228,IF(OptControl=4,0,1),3)/100,0)</f>
        <v>0</v>
      </c>
      <c r="DA228" s="163">
        <f ca="1">IF(BD228,_xll.EURO(CP228,Strike1,AO228,AO228,CV228,CO228,IF(OptControl=4,0,1),0)-_xll.EURO(CP228,Strike1,AO228,AO228,CV228,CO228-1,IF(OptControl=4,0,1),0),0)</f>
        <v>0</v>
      </c>
      <c r="DB228" s="163">
        <f ca="1">IF(BD228,_xll.EURO(CP228,Strike2,AO228,AO228,CW228,CO228,IF(OptControl=3,1,0),0),0)</f>
        <v>0</v>
      </c>
      <c r="DC228" s="163">
        <f ca="1">IF(BD228,_xll.EURO(CP228,Strike2,AO228,AO228,CW228,CO228,IF(OptControl=3,1,0),1)+IF(OR(VolSkewFlag=2,ABS(CR228)&lt;0.0001),0,IF(CR228&gt;0,-1,1)*DD228*100*Strike2/CP228^2*CT228/10%),0)</f>
        <v>0</v>
      </c>
      <c r="DD228" s="163">
        <f ca="1">IF(BD228,_xll.EURO(CP228,Strike2,AO228,AO228,CW228,CO228,IF(OptControl=3,1,0),3)/100,0)</f>
        <v>0</v>
      </c>
      <c r="DE228" s="164">
        <f ca="1">IF(BD228,_xll.EURO(CP228,Strike2,AO228,AO228,CW228,CO228,IF(OptControl=3,1,0),0)-_xll.EURO(CP228,Strike2,AO228,AO228,CW228,CO228-1,IF(OptControl=3,1,0),0),0)</f>
        <v>0</v>
      </c>
      <c r="DG228" s="667">
        <f t="shared" ca="1" si="660"/>
        <v>42887</v>
      </c>
      <c r="DH228" s="475">
        <v>24.560000000000095</v>
      </c>
      <c r="DI228" s="665">
        <v>24.628181818181915</v>
      </c>
      <c r="DJ228" s="666">
        <f t="shared" ca="1" si="617"/>
        <v>42887</v>
      </c>
      <c r="DK228" s="475">
        <v>23.122776878802551</v>
      </c>
      <c r="DL228" s="665">
        <v>23.336681818181916</v>
      </c>
      <c r="DM228" s="667">
        <f t="shared" ca="1" si="618"/>
        <v>42887</v>
      </c>
      <c r="DN228" s="668">
        <f t="shared" si="619"/>
        <v>23.172776878802551</v>
      </c>
      <c r="DO228" s="667">
        <f t="shared" ca="1" si="620"/>
        <v>42887</v>
      </c>
      <c r="DP228" s="579">
        <f t="shared" si="621"/>
        <v>23.336681818181916</v>
      </c>
      <c r="DQ228" s="821">
        <v>0</v>
      </c>
      <c r="DR228" s="666">
        <f t="shared" ca="1" si="622"/>
        <v>42887</v>
      </c>
      <c r="DS228" s="669">
        <v>9.9799999999998029E-2</v>
      </c>
      <c r="DT228" s="606">
        <v>9.89818181818162E-2</v>
      </c>
      <c r="DU228" s="666">
        <f t="shared" ca="1" si="623"/>
        <v>42887</v>
      </c>
      <c r="DV228" s="669">
        <v>9.9799999999998029E-2</v>
      </c>
      <c r="DW228" s="606">
        <v>9.89818181818162E-2</v>
      </c>
      <c r="DX228" s="667">
        <f t="shared" ca="1" si="624"/>
        <v>42887</v>
      </c>
      <c r="DY228" s="606">
        <v>0.35</v>
      </c>
      <c r="DZ228" s="667">
        <f t="shared" ca="1" si="625"/>
        <v>42887</v>
      </c>
      <c r="EA228" s="606">
        <f t="shared" si="626"/>
        <v>9.89818181818162E-2</v>
      </c>
      <c r="EB228" s="1"/>
      <c r="EC228" s="118" t="str">
        <f t="shared" ca="1" si="627"/>
        <v/>
      </c>
      <c r="ED228" s="119" t="str">
        <f t="shared" ca="1" si="644"/>
        <v/>
      </c>
      <c r="EE228" s="112" t="str">
        <f t="shared" ca="1" si="645"/>
        <v/>
      </c>
      <c r="EF228" s="120">
        <f ca="1">IF(BD228,_xll.xASN(BR228,Strike1,AO228,ED228,0,BO228,0,BI228,BL228,IF(OptControl=4,0,1),0),0)</f>
        <v>0</v>
      </c>
      <c r="EG228" s="111">
        <f ca="1">IF(BD228,_xll.xASN(BR228,Strike2,AO228,EE228,0,BO228,0,BI228,BL228,IF(OptControl=3,1,0),0),0)</f>
        <v>0</v>
      </c>
      <c r="EL228" s="55"/>
      <c r="EM228" s="1"/>
      <c r="EN228" s="106"/>
      <c r="EO228" s="106"/>
      <c r="EP228" s="1"/>
      <c r="EQ228" s="683" t="s">
        <v>442</v>
      </c>
      <c r="ES228" s="55"/>
      <c r="EU228" s="107"/>
      <c r="FJ228" s="673">
        <v>59</v>
      </c>
      <c r="FK228" s="479" t="str">
        <f ca="1">IF(OR(FK$169&lt;SwaptionFirstMonthPosition+1,$FJ228&lt;SwaptionFirstMonthPosition+1,FK$169&gt;SwaptionFirstMonthPosition+SwaptionNumOfMonths+1,$FJ228&gt;SwaptionFirstMonthPosition+SwaptionNumOfMonths+1),"",IF($FJ228=FK$169,1,IF($FJ228&lt;FK$169,INDEX($FK$170:$ID$241,FK$169,$FJ228),SUMPRODUCT(INDEX($FK$325:$ID$396,FK$169,1+SwaptionShift):INDEX($FK$325:$ID$396,FK$169,SwaptionMonthsToGo+SwaptionShift),INDEX($FK$245:$ID$316,$FJ228-FK$169,73-FK$169+SwaptionShift):INDEX($FK$245:$ID$316,$FJ228-FK$169,72-FK$169+SwaptionMonthsToGo+SwaptionShift))/SQRT(SUM(INDEX($FK383:$ID383,1+SwaptionShift):INDEX($FK383:$ID383,SwaptionMonthsToGo+SwaptionShift))*SUM(INDEX($FK$325:$ID$396,FK$169,1+SwaptionShift):INDEX($FK$325:$ID$396,FK$169,SwaptionMonthsToGo+SwaptionShift))))))</f>
        <v/>
      </c>
      <c r="FL228" s="479" t="str">
        <f ca="1">IF(OR(FL$169&lt;SwaptionFirstMonthPosition+1,$FJ228&lt;SwaptionFirstMonthPosition+1,FL$169&gt;SwaptionFirstMonthPosition+SwaptionNumOfMonths+1,$FJ228&gt;SwaptionFirstMonthPosition+SwaptionNumOfMonths+1),"",IF($FJ228=FL$169,1,IF($FJ228&lt;FL$169,INDEX($FK$170:$ID$241,FL$169,$FJ228),SUMPRODUCT(INDEX($FK$325:$ID$396,FL$169,1+SwaptionShift):INDEX($FK$325:$ID$396,FL$169,SwaptionMonthsToGo+SwaptionShift),INDEX($FK$245:$ID$316,$FJ228-FL$169,73-FL$169+SwaptionShift):INDEX($FK$245:$ID$316,$FJ228-FL$169,72-FL$169+SwaptionMonthsToGo+SwaptionShift))/SQRT(SUM(INDEX($FK383:$ID383,1+SwaptionShift):INDEX($FK383:$ID383,SwaptionMonthsToGo+SwaptionShift))*SUM(INDEX($FK$325:$ID$396,FL$169,1+SwaptionShift):INDEX($FK$325:$ID$396,FL$169,SwaptionMonthsToGo+SwaptionShift))))))</f>
        <v/>
      </c>
      <c r="FM228" s="479" t="str">
        <f ca="1">IF(OR(FM$169&lt;SwaptionFirstMonthPosition+1,$FJ228&lt;SwaptionFirstMonthPosition+1,FM$169&gt;SwaptionFirstMonthPosition+SwaptionNumOfMonths+1,$FJ228&gt;SwaptionFirstMonthPosition+SwaptionNumOfMonths+1),"",IF($FJ228=FM$169,1,IF($FJ228&lt;FM$169,INDEX($FK$170:$ID$241,FM$169,$FJ228),SUMPRODUCT(INDEX($FK$325:$ID$396,FM$169,1+SwaptionShift):INDEX($FK$325:$ID$396,FM$169,SwaptionMonthsToGo+SwaptionShift),INDEX($FK$245:$ID$316,$FJ228-FM$169,73-FM$169+SwaptionShift):INDEX($FK$245:$ID$316,$FJ228-FM$169,72-FM$169+SwaptionMonthsToGo+SwaptionShift))/SQRT(SUM(INDEX($FK383:$ID383,1+SwaptionShift):INDEX($FK383:$ID383,SwaptionMonthsToGo+SwaptionShift))*SUM(INDEX($FK$325:$ID$396,FM$169,1+SwaptionShift):INDEX($FK$325:$ID$396,FM$169,SwaptionMonthsToGo+SwaptionShift))))))</f>
        <v/>
      </c>
      <c r="FN228" s="479" t="str">
        <f ca="1">IF(OR(FN$169&lt;SwaptionFirstMonthPosition+1,$FJ228&lt;SwaptionFirstMonthPosition+1,FN$169&gt;SwaptionFirstMonthPosition+SwaptionNumOfMonths+1,$FJ228&gt;SwaptionFirstMonthPosition+SwaptionNumOfMonths+1),"",IF($FJ228=FN$169,1,IF($FJ228&lt;FN$169,INDEX($FK$170:$ID$241,FN$169,$FJ228),SUMPRODUCT(INDEX($FK$325:$ID$396,FN$169,1+SwaptionShift):INDEX($FK$325:$ID$396,FN$169,SwaptionMonthsToGo+SwaptionShift),INDEX($FK$245:$ID$316,$FJ228-FN$169,73-FN$169+SwaptionShift):INDEX($FK$245:$ID$316,$FJ228-FN$169,72-FN$169+SwaptionMonthsToGo+SwaptionShift))/SQRT(SUM(INDEX($FK383:$ID383,1+SwaptionShift):INDEX($FK383:$ID383,SwaptionMonthsToGo+SwaptionShift))*SUM(INDEX($FK$325:$ID$396,FN$169,1+SwaptionShift):INDEX($FK$325:$ID$396,FN$169,SwaptionMonthsToGo+SwaptionShift))))))</f>
        <v/>
      </c>
      <c r="FO228" s="479" t="str">
        <f ca="1">IF(OR(FO$169&lt;SwaptionFirstMonthPosition+1,$FJ228&lt;SwaptionFirstMonthPosition+1,FO$169&gt;SwaptionFirstMonthPosition+SwaptionNumOfMonths+1,$FJ228&gt;SwaptionFirstMonthPosition+SwaptionNumOfMonths+1),"",IF($FJ228=FO$169,1,IF($FJ228&lt;FO$169,INDEX($FK$170:$ID$241,FO$169,$FJ228),SUMPRODUCT(INDEX($FK$325:$ID$396,FO$169,1+SwaptionShift):INDEX($FK$325:$ID$396,FO$169,SwaptionMonthsToGo+SwaptionShift),INDEX($FK$245:$ID$316,$FJ228-FO$169,73-FO$169+SwaptionShift):INDEX($FK$245:$ID$316,$FJ228-FO$169,72-FO$169+SwaptionMonthsToGo+SwaptionShift))/SQRT(SUM(INDEX($FK383:$ID383,1+SwaptionShift):INDEX($FK383:$ID383,SwaptionMonthsToGo+SwaptionShift))*SUM(INDEX($FK$325:$ID$396,FO$169,1+SwaptionShift):INDEX($FK$325:$ID$396,FO$169,SwaptionMonthsToGo+SwaptionShift))))))</f>
        <v/>
      </c>
      <c r="FP228" s="479" t="str">
        <f ca="1">IF(OR(FP$169&lt;SwaptionFirstMonthPosition+1,$FJ228&lt;SwaptionFirstMonthPosition+1,FP$169&gt;SwaptionFirstMonthPosition+SwaptionNumOfMonths+1,$FJ228&gt;SwaptionFirstMonthPosition+SwaptionNumOfMonths+1),"",IF($FJ228=FP$169,1,IF($FJ228&lt;FP$169,INDEX($FK$170:$ID$241,FP$169,$FJ228),SUMPRODUCT(INDEX($FK$325:$ID$396,FP$169,1+SwaptionShift):INDEX($FK$325:$ID$396,FP$169,SwaptionMonthsToGo+SwaptionShift),INDEX($FK$245:$ID$316,$FJ228-FP$169,73-FP$169+SwaptionShift):INDEX($FK$245:$ID$316,$FJ228-FP$169,72-FP$169+SwaptionMonthsToGo+SwaptionShift))/SQRT(SUM(INDEX($FK383:$ID383,1+SwaptionShift):INDEX($FK383:$ID383,SwaptionMonthsToGo+SwaptionShift))*SUM(INDEX($FK$325:$ID$396,FP$169,1+SwaptionShift):INDEX($FK$325:$ID$396,FP$169,SwaptionMonthsToGo+SwaptionShift))))))</f>
        <v/>
      </c>
      <c r="FQ228" s="479" t="str">
        <f ca="1">IF(OR(FQ$169&lt;SwaptionFirstMonthPosition+1,$FJ228&lt;SwaptionFirstMonthPosition+1,FQ$169&gt;SwaptionFirstMonthPosition+SwaptionNumOfMonths+1,$FJ228&gt;SwaptionFirstMonthPosition+SwaptionNumOfMonths+1),"",IF($FJ228=FQ$169,1,IF($FJ228&lt;FQ$169,INDEX($FK$170:$ID$241,FQ$169,$FJ228),SUMPRODUCT(INDEX($FK$325:$ID$396,FQ$169,1+SwaptionShift):INDEX($FK$325:$ID$396,FQ$169,SwaptionMonthsToGo+SwaptionShift),INDEX($FK$245:$ID$316,$FJ228-FQ$169,73-FQ$169+SwaptionShift):INDEX($FK$245:$ID$316,$FJ228-FQ$169,72-FQ$169+SwaptionMonthsToGo+SwaptionShift))/SQRT(SUM(INDEX($FK383:$ID383,1+SwaptionShift):INDEX($FK383:$ID383,SwaptionMonthsToGo+SwaptionShift))*SUM(INDEX($FK$325:$ID$396,FQ$169,1+SwaptionShift):INDEX($FK$325:$ID$396,FQ$169,SwaptionMonthsToGo+SwaptionShift))))))</f>
        <v/>
      </c>
      <c r="FR228" s="479" t="str">
        <f ca="1">IF(OR(FR$169&lt;SwaptionFirstMonthPosition+1,$FJ228&lt;SwaptionFirstMonthPosition+1,FR$169&gt;SwaptionFirstMonthPosition+SwaptionNumOfMonths+1,$FJ228&gt;SwaptionFirstMonthPosition+SwaptionNumOfMonths+1),"",IF($FJ228=FR$169,1,IF($FJ228&lt;FR$169,INDEX($FK$170:$ID$241,FR$169,$FJ228),SUMPRODUCT(INDEX($FK$325:$ID$396,FR$169,1+SwaptionShift):INDEX($FK$325:$ID$396,FR$169,SwaptionMonthsToGo+SwaptionShift),INDEX($FK$245:$ID$316,$FJ228-FR$169,73-FR$169+SwaptionShift):INDEX($FK$245:$ID$316,$FJ228-FR$169,72-FR$169+SwaptionMonthsToGo+SwaptionShift))/SQRT(SUM(INDEX($FK383:$ID383,1+SwaptionShift):INDEX($FK383:$ID383,SwaptionMonthsToGo+SwaptionShift))*SUM(INDEX($FK$325:$ID$396,FR$169,1+SwaptionShift):INDEX($FK$325:$ID$396,FR$169,SwaptionMonthsToGo+SwaptionShift))))))</f>
        <v/>
      </c>
      <c r="FS228" s="479" t="str">
        <f ca="1">IF(OR(FS$169&lt;SwaptionFirstMonthPosition+1,$FJ228&lt;SwaptionFirstMonthPosition+1,FS$169&gt;SwaptionFirstMonthPosition+SwaptionNumOfMonths+1,$FJ228&gt;SwaptionFirstMonthPosition+SwaptionNumOfMonths+1),"",IF($FJ228=FS$169,1,IF($FJ228&lt;FS$169,INDEX($FK$170:$ID$241,FS$169,$FJ228),SUMPRODUCT(INDEX($FK$325:$ID$396,FS$169,1+SwaptionShift):INDEX($FK$325:$ID$396,FS$169,SwaptionMonthsToGo+SwaptionShift),INDEX($FK$245:$ID$316,$FJ228-FS$169,73-FS$169+SwaptionShift):INDEX($FK$245:$ID$316,$FJ228-FS$169,72-FS$169+SwaptionMonthsToGo+SwaptionShift))/SQRT(SUM(INDEX($FK383:$ID383,1+SwaptionShift):INDEX($FK383:$ID383,SwaptionMonthsToGo+SwaptionShift))*SUM(INDEX($FK$325:$ID$396,FS$169,1+SwaptionShift):INDEX($FK$325:$ID$396,FS$169,SwaptionMonthsToGo+SwaptionShift))))))</f>
        <v/>
      </c>
      <c r="FT228" s="479" t="str">
        <f ca="1">IF(OR(FT$169&lt;SwaptionFirstMonthPosition+1,$FJ228&lt;SwaptionFirstMonthPosition+1,FT$169&gt;SwaptionFirstMonthPosition+SwaptionNumOfMonths+1,$FJ228&gt;SwaptionFirstMonthPosition+SwaptionNumOfMonths+1),"",IF($FJ228=FT$169,1,IF($FJ228&lt;FT$169,INDEX($FK$170:$ID$241,FT$169,$FJ228),SUMPRODUCT(INDEX($FK$325:$ID$396,FT$169,1+SwaptionShift):INDEX($FK$325:$ID$396,FT$169,SwaptionMonthsToGo+SwaptionShift),INDEX($FK$245:$ID$316,$FJ228-FT$169,73-FT$169+SwaptionShift):INDEX($FK$245:$ID$316,$FJ228-FT$169,72-FT$169+SwaptionMonthsToGo+SwaptionShift))/SQRT(SUM(INDEX($FK383:$ID383,1+SwaptionShift):INDEX($FK383:$ID383,SwaptionMonthsToGo+SwaptionShift))*SUM(INDEX($FK$325:$ID$396,FT$169,1+SwaptionShift):INDEX($FK$325:$ID$396,FT$169,SwaptionMonthsToGo+SwaptionShift))))))</f>
        <v/>
      </c>
      <c r="FU228" s="479" t="str">
        <f ca="1">IF(OR(FU$169&lt;SwaptionFirstMonthPosition+1,$FJ228&lt;SwaptionFirstMonthPosition+1,FU$169&gt;SwaptionFirstMonthPosition+SwaptionNumOfMonths+1,$FJ228&gt;SwaptionFirstMonthPosition+SwaptionNumOfMonths+1),"",IF($FJ228=FU$169,1,IF($FJ228&lt;FU$169,INDEX($FK$170:$ID$241,FU$169,$FJ228),SUMPRODUCT(INDEX($FK$325:$ID$396,FU$169,1+SwaptionShift):INDEX($FK$325:$ID$396,FU$169,SwaptionMonthsToGo+SwaptionShift),INDEX($FK$245:$ID$316,$FJ228-FU$169,73-FU$169+SwaptionShift):INDEX($FK$245:$ID$316,$FJ228-FU$169,72-FU$169+SwaptionMonthsToGo+SwaptionShift))/SQRT(SUM(INDEX($FK383:$ID383,1+SwaptionShift):INDEX($FK383:$ID383,SwaptionMonthsToGo+SwaptionShift))*SUM(INDEX($FK$325:$ID$396,FU$169,1+SwaptionShift):INDEX($FK$325:$ID$396,FU$169,SwaptionMonthsToGo+SwaptionShift))))))</f>
        <v/>
      </c>
      <c r="FV228" s="479" t="str">
        <f ca="1">IF(OR(FV$169&lt;SwaptionFirstMonthPosition+1,$FJ228&lt;SwaptionFirstMonthPosition+1,FV$169&gt;SwaptionFirstMonthPosition+SwaptionNumOfMonths+1,$FJ228&gt;SwaptionFirstMonthPosition+SwaptionNumOfMonths+1),"",IF($FJ228=FV$169,1,IF($FJ228&lt;FV$169,INDEX($FK$170:$ID$241,FV$169,$FJ228),SUMPRODUCT(INDEX($FK$325:$ID$396,FV$169,1+SwaptionShift):INDEX($FK$325:$ID$396,FV$169,SwaptionMonthsToGo+SwaptionShift),INDEX($FK$245:$ID$316,$FJ228-FV$169,73-FV$169+SwaptionShift):INDEX($FK$245:$ID$316,$FJ228-FV$169,72-FV$169+SwaptionMonthsToGo+SwaptionShift))/SQRT(SUM(INDEX($FK383:$ID383,1+SwaptionShift):INDEX($FK383:$ID383,SwaptionMonthsToGo+SwaptionShift))*SUM(INDEX($FK$325:$ID$396,FV$169,1+SwaptionShift):INDEX($FK$325:$ID$396,FV$169,SwaptionMonthsToGo+SwaptionShift))))))</f>
        <v/>
      </c>
      <c r="FW228" s="479" t="str">
        <f ca="1">IF(OR(FW$169&lt;SwaptionFirstMonthPosition+1,$FJ228&lt;SwaptionFirstMonthPosition+1,FW$169&gt;SwaptionFirstMonthPosition+SwaptionNumOfMonths+1,$FJ228&gt;SwaptionFirstMonthPosition+SwaptionNumOfMonths+1),"",IF($FJ228=FW$169,1,IF($FJ228&lt;FW$169,INDEX($FK$170:$ID$241,FW$169,$FJ228),SUMPRODUCT(INDEX($FK$325:$ID$396,FW$169,1+SwaptionShift):INDEX($FK$325:$ID$396,FW$169,SwaptionMonthsToGo+SwaptionShift),INDEX($FK$245:$ID$316,$FJ228-FW$169,73-FW$169+SwaptionShift):INDEX($FK$245:$ID$316,$FJ228-FW$169,72-FW$169+SwaptionMonthsToGo+SwaptionShift))/SQRT(SUM(INDEX($FK383:$ID383,1+SwaptionShift):INDEX($FK383:$ID383,SwaptionMonthsToGo+SwaptionShift))*SUM(INDEX($FK$325:$ID$396,FW$169,1+SwaptionShift):INDEX($FK$325:$ID$396,FW$169,SwaptionMonthsToGo+SwaptionShift))))))</f>
        <v/>
      </c>
      <c r="FX228" s="479" t="str">
        <f ca="1">IF(OR(FX$169&lt;SwaptionFirstMonthPosition+1,$FJ228&lt;SwaptionFirstMonthPosition+1,FX$169&gt;SwaptionFirstMonthPosition+SwaptionNumOfMonths+1,$FJ228&gt;SwaptionFirstMonthPosition+SwaptionNumOfMonths+1),"",IF($FJ228=FX$169,1,IF($FJ228&lt;FX$169,INDEX($FK$170:$ID$241,FX$169,$FJ228),SUMPRODUCT(INDEX($FK$325:$ID$396,FX$169,1+SwaptionShift):INDEX($FK$325:$ID$396,FX$169,SwaptionMonthsToGo+SwaptionShift),INDEX($FK$245:$ID$316,$FJ228-FX$169,73-FX$169+SwaptionShift):INDEX($FK$245:$ID$316,$FJ228-FX$169,72-FX$169+SwaptionMonthsToGo+SwaptionShift))/SQRT(SUM(INDEX($FK383:$ID383,1+SwaptionShift):INDEX($FK383:$ID383,SwaptionMonthsToGo+SwaptionShift))*SUM(INDEX($FK$325:$ID$396,FX$169,1+SwaptionShift):INDEX($FK$325:$ID$396,FX$169,SwaptionMonthsToGo+SwaptionShift))))))</f>
        <v/>
      </c>
      <c r="FY228" s="479" t="str">
        <f ca="1">IF(OR(FY$169&lt;SwaptionFirstMonthPosition+1,$FJ228&lt;SwaptionFirstMonthPosition+1,FY$169&gt;SwaptionFirstMonthPosition+SwaptionNumOfMonths+1,$FJ228&gt;SwaptionFirstMonthPosition+SwaptionNumOfMonths+1),"",IF($FJ228=FY$169,1,IF($FJ228&lt;FY$169,INDEX($FK$170:$ID$241,FY$169,$FJ228),SUMPRODUCT(INDEX($FK$325:$ID$396,FY$169,1+SwaptionShift):INDEX($FK$325:$ID$396,FY$169,SwaptionMonthsToGo+SwaptionShift),INDEX($FK$245:$ID$316,$FJ228-FY$169,73-FY$169+SwaptionShift):INDEX($FK$245:$ID$316,$FJ228-FY$169,72-FY$169+SwaptionMonthsToGo+SwaptionShift))/SQRT(SUM(INDEX($FK383:$ID383,1+SwaptionShift):INDEX($FK383:$ID383,SwaptionMonthsToGo+SwaptionShift))*SUM(INDEX($FK$325:$ID$396,FY$169,1+SwaptionShift):INDEX($FK$325:$ID$396,FY$169,SwaptionMonthsToGo+SwaptionShift))))))</f>
        <v/>
      </c>
      <c r="FZ228" s="479" t="str">
        <f ca="1">IF(OR(FZ$169&lt;SwaptionFirstMonthPosition+1,$FJ228&lt;SwaptionFirstMonthPosition+1,FZ$169&gt;SwaptionFirstMonthPosition+SwaptionNumOfMonths+1,$FJ228&gt;SwaptionFirstMonthPosition+SwaptionNumOfMonths+1),"",IF($FJ228=FZ$169,1,IF($FJ228&lt;FZ$169,INDEX($FK$170:$ID$241,FZ$169,$FJ228),SUMPRODUCT(INDEX($FK$325:$ID$396,FZ$169,1+SwaptionShift):INDEX($FK$325:$ID$396,FZ$169,SwaptionMonthsToGo+SwaptionShift),INDEX($FK$245:$ID$316,$FJ228-FZ$169,73-FZ$169+SwaptionShift):INDEX($FK$245:$ID$316,$FJ228-FZ$169,72-FZ$169+SwaptionMonthsToGo+SwaptionShift))/SQRT(SUM(INDEX($FK383:$ID383,1+SwaptionShift):INDEX($FK383:$ID383,SwaptionMonthsToGo+SwaptionShift))*SUM(INDEX($FK$325:$ID$396,FZ$169,1+SwaptionShift):INDEX($FK$325:$ID$396,FZ$169,SwaptionMonthsToGo+SwaptionShift))))))</f>
        <v/>
      </c>
      <c r="GA228" s="479" t="str">
        <f ca="1">IF(OR(GA$169&lt;SwaptionFirstMonthPosition+1,$FJ228&lt;SwaptionFirstMonthPosition+1,GA$169&gt;SwaptionFirstMonthPosition+SwaptionNumOfMonths+1,$FJ228&gt;SwaptionFirstMonthPosition+SwaptionNumOfMonths+1),"",IF($FJ228=GA$169,1,IF($FJ228&lt;GA$169,INDEX($FK$170:$ID$241,GA$169,$FJ228),SUMPRODUCT(INDEX($FK$325:$ID$396,GA$169,1+SwaptionShift):INDEX($FK$325:$ID$396,GA$169,SwaptionMonthsToGo+SwaptionShift),INDEX($FK$245:$ID$316,$FJ228-GA$169,73-GA$169+SwaptionShift):INDEX($FK$245:$ID$316,$FJ228-GA$169,72-GA$169+SwaptionMonthsToGo+SwaptionShift))/SQRT(SUM(INDEX($FK383:$ID383,1+SwaptionShift):INDEX($FK383:$ID383,SwaptionMonthsToGo+SwaptionShift))*SUM(INDEX($FK$325:$ID$396,GA$169,1+SwaptionShift):INDEX($FK$325:$ID$396,GA$169,SwaptionMonthsToGo+SwaptionShift))))))</f>
        <v/>
      </c>
      <c r="GB228" s="479" t="str">
        <f ca="1">IF(OR(GB$169&lt;SwaptionFirstMonthPosition+1,$FJ228&lt;SwaptionFirstMonthPosition+1,GB$169&gt;SwaptionFirstMonthPosition+SwaptionNumOfMonths+1,$FJ228&gt;SwaptionFirstMonthPosition+SwaptionNumOfMonths+1),"",IF($FJ228=GB$169,1,IF($FJ228&lt;GB$169,INDEX($FK$170:$ID$241,GB$169,$FJ228),SUMPRODUCT(INDEX($FK$325:$ID$396,GB$169,1+SwaptionShift):INDEX($FK$325:$ID$396,GB$169,SwaptionMonthsToGo+SwaptionShift),INDEX($FK$245:$ID$316,$FJ228-GB$169,73-GB$169+SwaptionShift):INDEX($FK$245:$ID$316,$FJ228-GB$169,72-GB$169+SwaptionMonthsToGo+SwaptionShift))/SQRT(SUM(INDEX($FK383:$ID383,1+SwaptionShift):INDEX($FK383:$ID383,SwaptionMonthsToGo+SwaptionShift))*SUM(INDEX($FK$325:$ID$396,GB$169,1+SwaptionShift):INDEX($FK$325:$ID$396,GB$169,SwaptionMonthsToGo+SwaptionShift))))))</f>
        <v/>
      </c>
      <c r="GC228" s="479" t="str">
        <f ca="1">IF(OR(GC$169&lt;SwaptionFirstMonthPosition+1,$FJ228&lt;SwaptionFirstMonthPosition+1,GC$169&gt;SwaptionFirstMonthPosition+SwaptionNumOfMonths+1,$FJ228&gt;SwaptionFirstMonthPosition+SwaptionNumOfMonths+1),"",IF($FJ228=GC$169,1,IF($FJ228&lt;GC$169,INDEX($FK$170:$ID$241,GC$169,$FJ228),SUMPRODUCT(INDEX($FK$325:$ID$396,GC$169,1+SwaptionShift):INDEX($FK$325:$ID$396,GC$169,SwaptionMonthsToGo+SwaptionShift),INDEX($FK$245:$ID$316,$FJ228-GC$169,73-GC$169+SwaptionShift):INDEX($FK$245:$ID$316,$FJ228-GC$169,72-GC$169+SwaptionMonthsToGo+SwaptionShift))/SQRT(SUM(INDEX($FK383:$ID383,1+SwaptionShift):INDEX($FK383:$ID383,SwaptionMonthsToGo+SwaptionShift))*SUM(INDEX($FK$325:$ID$396,GC$169,1+SwaptionShift):INDEX($FK$325:$ID$396,GC$169,SwaptionMonthsToGo+SwaptionShift))))))</f>
        <v/>
      </c>
      <c r="GD228" s="479" t="str">
        <f ca="1">IF(OR(GD$169&lt;SwaptionFirstMonthPosition+1,$FJ228&lt;SwaptionFirstMonthPosition+1,GD$169&gt;SwaptionFirstMonthPosition+SwaptionNumOfMonths+1,$FJ228&gt;SwaptionFirstMonthPosition+SwaptionNumOfMonths+1),"",IF($FJ228=GD$169,1,IF($FJ228&lt;GD$169,INDEX($FK$170:$ID$241,GD$169,$FJ228),SUMPRODUCT(INDEX($FK$325:$ID$396,GD$169,1+SwaptionShift):INDEX($FK$325:$ID$396,GD$169,SwaptionMonthsToGo+SwaptionShift),INDEX($FK$245:$ID$316,$FJ228-GD$169,73-GD$169+SwaptionShift):INDEX($FK$245:$ID$316,$FJ228-GD$169,72-GD$169+SwaptionMonthsToGo+SwaptionShift))/SQRT(SUM(INDEX($FK383:$ID383,1+SwaptionShift):INDEX($FK383:$ID383,SwaptionMonthsToGo+SwaptionShift))*SUM(INDEX($FK$325:$ID$396,GD$169,1+SwaptionShift):INDEX($FK$325:$ID$396,GD$169,SwaptionMonthsToGo+SwaptionShift))))))</f>
        <v/>
      </c>
      <c r="GE228" s="479" t="str">
        <f ca="1">IF(OR(GE$169&lt;SwaptionFirstMonthPosition+1,$FJ228&lt;SwaptionFirstMonthPosition+1,GE$169&gt;SwaptionFirstMonthPosition+SwaptionNumOfMonths+1,$FJ228&gt;SwaptionFirstMonthPosition+SwaptionNumOfMonths+1),"",IF($FJ228=GE$169,1,IF($FJ228&lt;GE$169,INDEX($FK$170:$ID$241,GE$169,$FJ228),SUMPRODUCT(INDEX($FK$325:$ID$396,GE$169,1+SwaptionShift):INDEX($FK$325:$ID$396,GE$169,SwaptionMonthsToGo+SwaptionShift),INDEX($FK$245:$ID$316,$FJ228-GE$169,73-GE$169+SwaptionShift):INDEX($FK$245:$ID$316,$FJ228-GE$169,72-GE$169+SwaptionMonthsToGo+SwaptionShift))/SQRT(SUM(INDEX($FK383:$ID383,1+SwaptionShift):INDEX($FK383:$ID383,SwaptionMonthsToGo+SwaptionShift))*SUM(INDEX($FK$325:$ID$396,GE$169,1+SwaptionShift):INDEX($FK$325:$ID$396,GE$169,SwaptionMonthsToGo+SwaptionShift))))))</f>
        <v/>
      </c>
      <c r="GF228" s="479" t="str">
        <f ca="1">IF(OR(GF$169&lt;SwaptionFirstMonthPosition+1,$FJ228&lt;SwaptionFirstMonthPosition+1,GF$169&gt;SwaptionFirstMonthPosition+SwaptionNumOfMonths+1,$FJ228&gt;SwaptionFirstMonthPosition+SwaptionNumOfMonths+1),"",IF($FJ228=GF$169,1,IF($FJ228&lt;GF$169,INDEX($FK$170:$ID$241,GF$169,$FJ228),SUMPRODUCT(INDEX($FK$325:$ID$396,GF$169,1+SwaptionShift):INDEX($FK$325:$ID$396,GF$169,SwaptionMonthsToGo+SwaptionShift),INDEX($FK$245:$ID$316,$FJ228-GF$169,73-GF$169+SwaptionShift):INDEX($FK$245:$ID$316,$FJ228-GF$169,72-GF$169+SwaptionMonthsToGo+SwaptionShift))/SQRT(SUM(INDEX($FK383:$ID383,1+SwaptionShift):INDEX($FK383:$ID383,SwaptionMonthsToGo+SwaptionShift))*SUM(INDEX($FK$325:$ID$396,GF$169,1+SwaptionShift):INDEX($FK$325:$ID$396,GF$169,SwaptionMonthsToGo+SwaptionShift))))))</f>
        <v/>
      </c>
      <c r="GG228" s="479" t="str">
        <f ca="1">IF(OR(GG$169&lt;SwaptionFirstMonthPosition+1,$FJ228&lt;SwaptionFirstMonthPosition+1,GG$169&gt;SwaptionFirstMonthPosition+SwaptionNumOfMonths+1,$FJ228&gt;SwaptionFirstMonthPosition+SwaptionNumOfMonths+1),"",IF($FJ228=GG$169,1,IF($FJ228&lt;GG$169,INDEX($FK$170:$ID$241,GG$169,$FJ228),SUMPRODUCT(INDEX($FK$325:$ID$396,GG$169,1+SwaptionShift):INDEX($FK$325:$ID$396,GG$169,SwaptionMonthsToGo+SwaptionShift),INDEX($FK$245:$ID$316,$FJ228-GG$169,73-GG$169+SwaptionShift):INDEX($FK$245:$ID$316,$FJ228-GG$169,72-GG$169+SwaptionMonthsToGo+SwaptionShift))/SQRT(SUM(INDEX($FK383:$ID383,1+SwaptionShift):INDEX($FK383:$ID383,SwaptionMonthsToGo+SwaptionShift))*SUM(INDEX($FK$325:$ID$396,GG$169,1+SwaptionShift):INDEX($FK$325:$ID$396,GG$169,SwaptionMonthsToGo+SwaptionShift))))))</f>
        <v/>
      </c>
      <c r="GH228" s="479" t="str">
        <f ca="1">IF(OR(GH$169&lt;SwaptionFirstMonthPosition+1,$FJ228&lt;SwaptionFirstMonthPosition+1,GH$169&gt;SwaptionFirstMonthPosition+SwaptionNumOfMonths+1,$FJ228&gt;SwaptionFirstMonthPosition+SwaptionNumOfMonths+1),"",IF($FJ228=GH$169,1,IF($FJ228&lt;GH$169,INDEX($FK$170:$ID$241,GH$169,$FJ228),SUMPRODUCT(INDEX($FK$325:$ID$396,GH$169,1+SwaptionShift):INDEX($FK$325:$ID$396,GH$169,SwaptionMonthsToGo+SwaptionShift),INDEX($FK$245:$ID$316,$FJ228-GH$169,73-GH$169+SwaptionShift):INDEX($FK$245:$ID$316,$FJ228-GH$169,72-GH$169+SwaptionMonthsToGo+SwaptionShift))/SQRT(SUM(INDEX($FK383:$ID383,1+SwaptionShift):INDEX($FK383:$ID383,SwaptionMonthsToGo+SwaptionShift))*SUM(INDEX($FK$325:$ID$396,GH$169,1+SwaptionShift):INDEX($FK$325:$ID$396,GH$169,SwaptionMonthsToGo+SwaptionShift))))))</f>
        <v/>
      </c>
      <c r="GI228" s="479" t="str">
        <f ca="1">IF(OR(GI$169&lt;SwaptionFirstMonthPosition+1,$FJ228&lt;SwaptionFirstMonthPosition+1,GI$169&gt;SwaptionFirstMonthPosition+SwaptionNumOfMonths+1,$FJ228&gt;SwaptionFirstMonthPosition+SwaptionNumOfMonths+1),"",IF($FJ228=GI$169,1,IF($FJ228&lt;GI$169,INDEX($FK$170:$ID$241,GI$169,$FJ228),SUMPRODUCT(INDEX($FK$325:$ID$396,GI$169,1+SwaptionShift):INDEX($FK$325:$ID$396,GI$169,SwaptionMonthsToGo+SwaptionShift),INDEX($FK$245:$ID$316,$FJ228-GI$169,73-GI$169+SwaptionShift):INDEX($FK$245:$ID$316,$FJ228-GI$169,72-GI$169+SwaptionMonthsToGo+SwaptionShift))/SQRT(SUM(INDEX($FK383:$ID383,1+SwaptionShift):INDEX($FK383:$ID383,SwaptionMonthsToGo+SwaptionShift))*SUM(INDEX($FK$325:$ID$396,GI$169,1+SwaptionShift):INDEX($FK$325:$ID$396,GI$169,SwaptionMonthsToGo+SwaptionShift))))))</f>
        <v/>
      </c>
      <c r="GJ228" s="479" t="str">
        <f ca="1">IF(OR(GJ$169&lt;SwaptionFirstMonthPosition+1,$FJ228&lt;SwaptionFirstMonthPosition+1,GJ$169&gt;SwaptionFirstMonthPosition+SwaptionNumOfMonths+1,$FJ228&gt;SwaptionFirstMonthPosition+SwaptionNumOfMonths+1),"",IF($FJ228=GJ$169,1,IF($FJ228&lt;GJ$169,INDEX($FK$170:$ID$241,GJ$169,$FJ228),SUMPRODUCT(INDEX($FK$325:$ID$396,GJ$169,1+SwaptionShift):INDEX($FK$325:$ID$396,GJ$169,SwaptionMonthsToGo+SwaptionShift),INDEX($FK$245:$ID$316,$FJ228-GJ$169,73-GJ$169+SwaptionShift):INDEX($FK$245:$ID$316,$FJ228-GJ$169,72-GJ$169+SwaptionMonthsToGo+SwaptionShift))/SQRT(SUM(INDEX($FK383:$ID383,1+SwaptionShift):INDEX($FK383:$ID383,SwaptionMonthsToGo+SwaptionShift))*SUM(INDEX($FK$325:$ID$396,GJ$169,1+SwaptionShift):INDEX($FK$325:$ID$396,GJ$169,SwaptionMonthsToGo+SwaptionShift))))))</f>
        <v/>
      </c>
      <c r="GK228" s="479" t="str">
        <f ca="1">IF(OR(GK$169&lt;SwaptionFirstMonthPosition+1,$FJ228&lt;SwaptionFirstMonthPosition+1,GK$169&gt;SwaptionFirstMonthPosition+SwaptionNumOfMonths+1,$FJ228&gt;SwaptionFirstMonthPosition+SwaptionNumOfMonths+1),"",IF($FJ228=GK$169,1,IF($FJ228&lt;GK$169,INDEX($FK$170:$ID$241,GK$169,$FJ228),SUMPRODUCT(INDEX($FK$325:$ID$396,GK$169,1+SwaptionShift):INDEX($FK$325:$ID$396,GK$169,SwaptionMonthsToGo+SwaptionShift),INDEX($FK$245:$ID$316,$FJ228-GK$169,73-GK$169+SwaptionShift):INDEX($FK$245:$ID$316,$FJ228-GK$169,72-GK$169+SwaptionMonthsToGo+SwaptionShift))/SQRT(SUM(INDEX($FK383:$ID383,1+SwaptionShift):INDEX($FK383:$ID383,SwaptionMonthsToGo+SwaptionShift))*SUM(INDEX($FK$325:$ID$396,GK$169,1+SwaptionShift):INDEX($FK$325:$ID$396,GK$169,SwaptionMonthsToGo+SwaptionShift))))))</f>
        <v/>
      </c>
      <c r="GL228" s="479" t="str">
        <f ca="1">IF(OR(GL$169&lt;SwaptionFirstMonthPosition+1,$FJ228&lt;SwaptionFirstMonthPosition+1,GL$169&gt;SwaptionFirstMonthPosition+SwaptionNumOfMonths+1,$FJ228&gt;SwaptionFirstMonthPosition+SwaptionNumOfMonths+1),"",IF($FJ228=GL$169,1,IF($FJ228&lt;GL$169,INDEX($FK$170:$ID$241,GL$169,$FJ228),SUMPRODUCT(INDEX($FK$325:$ID$396,GL$169,1+SwaptionShift):INDEX($FK$325:$ID$396,GL$169,SwaptionMonthsToGo+SwaptionShift),INDEX($FK$245:$ID$316,$FJ228-GL$169,73-GL$169+SwaptionShift):INDEX($FK$245:$ID$316,$FJ228-GL$169,72-GL$169+SwaptionMonthsToGo+SwaptionShift))/SQRT(SUM(INDEX($FK383:$ID383,1+SwaptionShift):INDEX($FK383:$ID383,SwaptionMonthsToGo+SwaptionShift))*SUM(INDEX($FK$325:$ID$396,GL$169,1+SwaptionShift):INDEX($FK$325:$ID$396,GL$169,SwaptionMonthsToGo+SwaptionShift))))))</f>
        <v/>
      </c>
      <c r="GM228" s="479" t="str">
        <f ca="1">IF(OR(GM$169&lt;SwaptionFirstMonthPosition+1,$FJ228&lt;SwaptionFirstMonthPosition+1,GM$169&gt;SwaptionFirstMonthPosition+SwaptionNumOfMonths+1,$FJ228&gt;SwaptionFirstMonthPosition+SwaptionNumOfMonths+1),"",IF($FJ228=GM$169,1,IF($FJ228&lt;GM$169,INDEX($FK$170:$ID$241,GM$169,$FJ228),SUMPRODUCT(INDEX($FK$325:$ID$396,GM$169,1+SwaptionShift):INDEX($FK$325:$ID$396,GM$169,SwaptionMonthsToGo+SwaptionShift),INDEX($FK$245:$ID$316,$FJ228-GM$169,73-GM$169+SwaptionShift):INDEX($FK$245:$ID$316,$FJ228-GM$169,72-GM$169+SwaptionMonthsToGo+SwaptionShift))/SQRT(SUM(INDEX($FK383:$ID383,1+SwaptionShift):INDEX($FK383:$ID383,SwaptionMonthsToGo+SwaptionShift))*SUM(INDEX($FK$325:$ID$396,GM$169,1+SwaptionShift):INDEX($FK$325:$ID$396,GM$169,SwaptionMonthsToGo+SwaptionShift))))))</f>
        <v/>
      </c>
      <c r="GN228" s="479" t="str">
        <f ca="1">IF(OR(GN$169&lt;SwaptionFirstMonthPosition+1,$FJ228&lt;SwaptionFirstMonthPosition+1,GN$169&gt;SwaptionFirstMonthPosition+SwaptionNumOfMonths+1,$FJ228&gt;SwaptionFirstMonthPosition+SwaptionNumOfMonths+1),"",IF($FJ228=GN$169,1,IF($FJ228&lt;GN$169,INDEX($FK$170:$ID$241,GN$169,$FJ228),SUMPRODUCT(INDEX($FK$325:$ID$396,GN$169,1+SwaptionShift):INDEX($FK$325:$ID$396,GN$169,SwaptionMonthsToGo+SwaptionShift),INDEX($FK$245:$ID$316,$FJ228-GN$169,73-GN$169+SwaptionShift):INDEX($FK$245:$ID$316,$FJ228-GN$169,72-GN$169+SwaptionMonthsToGo+SwaptionShift))/SQRT(SUM(INDEX($FK383:$ID383,1+SwaptionShift):INDEX($FK383:$ID383,SwaptionMonthsToGo+SwaptionShift))*SUM(INDEX($FK$325:$ID$396,GN$169,1+SwaptionShift):INDEX($FK$325:$ID$396,GN$169,SwaptionMonthsToGo+SwaptionShift))))))</f>
        <v/>
      </c>
      <c r="GO228" s="479" t="str">
        <f ca="1">IF(OR(GO$169&lt;SwaptionFirstMonthPosition+1,$FJ228&lt;SwaptionFirstMonthPosition+1,GO$169&gt;SwaptionFirstMonthPosition+SwaptionNumOfMonths+1,$FJ228&gt;SwaptionFirstMonthPosition+SwaptionNumOfMonths+1),"",IF($FJ228=GO$169,1,IF($FJ228&lt;GO$169,INDEX($FK$170:$ID$241,GO$169,$FJ228),SUMPRODUCT(INDEX($FK$325:$ID$396,GO$169,1+SwaptionShift):INDEX($FK$325:$ID$396,GO$169,SwaptionMonthsToGo+SwaptionShift),INDEX($FK$245:$ID$316,$FJ228-GO$169,73-GO$169+SwaptionShift):INDEX($FK$245:$ID$316,$FJ228-GO$169,72-GO$169+SwaptionMonthsToGo+SwaptionShift))/SQRT(SUM(INDEX($FK383:$ID383,1+SwaptionShift):INDEX($FK383:$ID383,SwaptionMonthsToGo+SwaptionShift))*SUM(INDEX($FK$325:$ID$396,GO$169,1+SwaptionShift):INDEX($FK$325:$ID$396,GO$169,SwaptionMonthsToGo+SwaptionShift))))))</f>
        <v/>
      </c>
      <c r="GP228" s="479" t="str">
        <f ca="1">IF(OR(GP$169&lt;SwaptionFirstMonthPosition+1,$FJ228&lt;SwaptionFirstMonthPosition+1,GP$169&gt;SwaptionFirstMonthPosition+SwaptionNumOfMonths+1,$FJ228&gt;SwaptionFirstMonthPosition+SwaptionNumOfMonths+1),"",IF($FJ228=GP$169,1,IF($FJ228&lt;GP$169,INDEX($FK$170:$ID$241,GP$169,$FJ228),SUMPRODUCT(INDEX($FK$325:$ID$396,GP$169,1+SwaptionShift):INDEX($FK$325:$ID$396,GP$169,SwaptionMonthsToGo+SwaptionShift),INDEX($FK$245:$ID$316,$FJ228-GP$169,73-GP$169+SwaptionShift):INDEX($FK$245:$ID$316,$FJ228-GP$169,72-GP$169+SwaptionMonthsToGo+SwaptionShift))/SQRT(SUM(INDEX($FK383:$ID383,1+SwaptionShift):INDEX($FK383:$ID383,SwaptionMonthsToGo+SwaptionShift))*SUM(INDEX($FK$325:$ID$396,GP$169,1+SwaptionShift):INDEX($FK$325:$ID$396,GP$169,SwaptionMonthsToGo+SwaptionShift))))))</f>
        <v/>
      </c>
      <c r="GQ228" s="479" t="str">
        <f ca="1">IF(OR(GQ$169&lt;SwaptionFirstMonthPosition+1,$FJ228&lt;SwaptionFirstMonthPosition+1,GQ$169&gt;SwaptionFirstMonthPosition+SwaptionNumOfMonths+1,$FJ228&gt;SwaptionFirstMonthPosition+SwaptionNumOfMonths+1),"",IF($FJ228=GQ$169,1,IF($FJ228&lt;GQ$169,INDEX($FK$170:$ID$241,GQ$169,$FJ228),SUMPRODUCT(INDEX($FK$325:$ID$396,GQ$169,1+SwaptionShift):INDEX($FK$325:$ID$396,GQ$169,SwaptionMonthsToGo+SwaptionShift),INDEX($FK$245:$ID$316,$FJ228-GQ$169,73-GQ$169+SwaptionShift):INDEX($FK$245:$ID$316,$FJ228-GQ$169,72-GQ$169+SwaptionMonthsToGo+SwaptionShift))/SQRT(SUM(INDEX($FK383:$ID383,1+SwaptionShift):INDEX($FK383:$ID383,SwaptionMonthsToGo+SwaptionShift))*SUM(INDEX($FK$325:$ID$396,GQ$169,1+SwaptionShift):INDEX($FK$325:$ID$396,GQ$169,SwaptionMonthsToGo+SwaptionShift))))))</f>
        <v/>
      </c>
      <c r="GR228" s="479" t="str">
        <f ca="1">IF(OR(GR$169&lt;SwaptionFirstMonthPosition+1,$FJ228&lt;SwaptionFirstMonthPosition+1,GR$169&gt;SwaptionFirstMonthPosition+SwaptionNumOfMonths+1,$FJ228&gt;SwaptionFirstMonthPosition+SwaptionNumOfMonths+1),"",IF($FJ228=GR$169,1,IF($FJ228&lt;GR$169,INDEX($FK$170:$ID$241,GR$169,$FJ228),SUMPRODUCT(INDEX($FK$325:$ID$396,GR$169,1+SwaptionShift):INDEX($FK$325:$ID$396,GR$169,SwaptionMonthsToGo+SwaptionShift),INDEX($FK$245:$ID$316,$FJ228-GR$169,73-GR$169+SwaptionShift):INDEX($FK$245:$ID$316,$FJ228-GR$169,72-GR$169+SwaptionMonthsToGo+SwaptionShift))/SQRT(SUM(INDEX($FK383:$ID383,1+SwaptionShift):INDEX($FK383:$ID383,SwaptionMonthsToGo+SwaptionShift))*SUM(INDEX($FK$325:$ID$396,GR$169,1+SwaptionShift):INDEX($FK$325:$ID$396,GR$169,SwaptionMonthsToGo+SwaptionShift))))))</f>
        <v/>
      </c>
      <c r="GS228" s="479" t="str">
        <f ca="1">IF(OR(GS$169&lt;SwaptionFirstMonthPosition+1,$FJ228&lt;SwaptionFirstMonthPosition+1,GS$169&gt;SwaptionFirstMonthPosition+SwaptionNumOfMonths+1,$FJ228&gt;SwaptionFirstMonthPosition+SwaptionNumOfMonths+1),"",IF($FJ228=GS$169,1,IF($FJ228&lt;GS$169,INDEX($FK$170:$ID$241,GS$169,$FJ228),SUMPRODUCT(INDEX($FK$325:$ID$396,GS$169,1+SwaptionShift):INDEX($FK$325:$ID$396,GS$169,SwaptionMonthsToGo+SwaptionShift),INDEX($FK$245:$ID$316,$FJ228-GS$169,73-GS$169+SwaptionShift):INDEX($FK$245:$ID$316,$FJ228-GS$169,72-GS$169+SwaptionMonthsToGo+SwaptionShift))/SQRT(SUM(INDEX($FK383:$ID383,1+SwaptionShift):INDEX($FK383:$ID383,SwaptionMonthsToGo+SwaptionShift))*SUM(INDEX($FK$325:$ID$396,GS$169,1+SwaptionShift):INDEX($FK$325:$ID$396,GS$169,SwaptionMonthsToGo+SwaptionShift))))))</f>
        <v/>
      </c>
      <c r="GT228" s="479" t="str">
        <f ca="1">IF(OR(GT$169&lt;SwaptionFirstMonthPosition+1,$FJ228&lt;SwaptionFirstMonthPosition+1,GT$169&gt;SwaptionFirstMonthPosition+SwaptionNumOfMonths+1,$FJ228&gt;SwaptionFirstMonthPosition+SwaptionNumOfMonths+1),"",IF($FJ228=GT$169,1,IF($FJ228&lt;GT$169,INDEX($FK$170:$ID$241,GT$169,$FJ228),SUMPRODUCT(INDEX($FK$325:$ID$396,GT$169,1+SwaptionShift):INDEX($FK$325:$ID$396,GT$169,SwaptionMonthsToGo+SwaptionShift),INDEX($FK$245:$ID$316,$FJ228-GT$169,73-GT$169+SwaptionShift):INDEX($FK$245:$ID$316,$FJ228-GT$169,72-GT$169+SwaptionMonthsToGo+SwaptionShift))/SQRT(SUM(INDEX($FK383:$ID383,1+SwaptionShift):INDEX($FK383:$ID383,SwaptionMonthsToGo+SwaptionShift))*SUM(INDEX($FK$325:$ID$396,GT$169,1+SwaptionShift):INDEX($FK$325:$ID$396,GT$169,SwaptionMonthsToGo+SwaptionShift))))))</f>
        <v/>
      </c>
      <c r="GU228" s="479" t="str">
        <f ca="1">IF(OR(GU$169&lt;SwaptionFirstMonthPosition+1,$FJ228&lt;SwaptionFirstMonthPosition+1,GU$169&gt;SwaptionFirstMonthPosition+SwaptionNumOfMonths+1,$FJ228&gt;SwaptionFirstMonthPosition+SwaptionNumOfMonths+1),"",IF($FJ228=GU$169,1,IF($FJ228&lt;GU$169,INDEX($FK$170:$ID$241,GU$169,$FJ228),SUMPRODUCT(INDEX($FK$325:$ID$396,GU$169,1+SwaptionShift):INDEX($FK$325:$ID$396,GU$169,SwaptionMonthsToGo+SwaptionShift),INDEX($FK$245:$ID$316,$FJ228-GU$169,73-GU$169+SwaptionShift):INDEX($FK$245:$ID$316,$FJ228-GU$169,72-GU$169+SwaptionMonthsToGo+SwaptionShift))/SQRT(SUM(INDEX($FK383:$ID383,1+SwaptionShift):INDEX($FK383:$ID383,SwaptionMonthsToGo+SwaptionShift))*SUM(INDEX($FK$325:$ID$396,GU$169,1+SwaptionShift):INDEX($FK$325:$ID$396,GU$169,SwaptionMonthsToGo+SwaptionShift))))))</f>
        <v/>
      </c>
      <c r="GV228" s="479" t="str">
        <f ca="1">IF(OR(GV$169&lt;SwaptionFirstMonthPosition+1,$FJ228&lt;SwaptionFirstMonthPosition+1,GV$169&gt;SwaptionFirstMonthPosition+SwaptionNumOfMonths+1,$FJ228&gt;SwaptionFirstMonthPosition+SwaptionNumOfMonths+1),"",IF($FJ228=GV$169,1,IF($FJ228&lt;GV$169,INDEX($FK$170:$ID$241,GV$169,$FJ228),SUMPRODUCT(INDEX($FK$325:$ID$396,GV$169,1+SwaptionShift):INDEX($FK$325:$ID$396,GV$169,SwaptionMonthsToGo+SwaptionShift),INDEX($FK$245:$ID$316,$FJ228-GV$169,73-GV$169+SwaptionShift):INDEX($FK$245:$ID$316,$FJ228-GV$169,72-GV$169+SwaptionMonthsToGo+SwaptionShift))/SQRT(SUM(INDEX($FK383:$ID383,1+SwaptionShift):INDEX($FK383:$ID383,SwaptionMonthsToGo+SwaptionShift))*SUM(INDEX($FK$325:$ID$396,GV$169,1+SwaptionShift):INDEX($FK$325:$ID$396,GV$169,SwaptionMonthsToGo+SwaptionShift))))))</f>
        <v/>
      </c>
      <c r="GW228" s="479" t="str">
        <f ca="1">IF(OR(GW$169&lt;SwaptionFirstMonthPosition+1,$FJ228&lt;SwaptionFirstMonthPosition+1,GW$169&gt;SwaptionFirstMonthPosition+SwaptionNumOfMonths+1,$FJ228&gt;SwaptionFirstMonthPosition+SwaptionNumOfMonths+1),"",IF($FJ228=GW$169,1,IF($FJ228&lt;GW$169,INDEX($FK$170:$ID$241,GW$169,$FJ228),SUMPRODUCT(INDEX($FK$325:$ID$396,GW$169,1+SwaptionShift):INDEX($FK$325:$ID$396,GW$169,SwaptionMonthsToGo+SwaptionShift),INDEX($FK$245:$ID$316,$FJ228-GW$169,73-GW$169+SwaptionShift):INDEX($FK$245:$ID$316,$FJ228-GW$169,72-GW$169+SwaptionMonthsToGo+SwaptionShift))/SQRT(SUM(INDEX($FK383:$ID383,1+SwaptionShift):INDEX($FK383:$ID383,SwaptionMonthsToGo+SwaptionShift))*SUM(INDEX($FK$325:$ID$396,GW$169,1+SwaptionShift):INDEX($FK$325:$ID$396,GW$169,SwaptionMonthsToGo+SwaptionShift))))))</f>
        <v/>
      </c>
      <c r="GX228" s="479" t="str">
        <f ca="1">IF(OR(GX$169&lt;SwaptionFirstMonthPosition+1,$FJ228&lt;SwaptionFirstMonthPosition+1,GX$169&gt;SwaptionFirstMonthPosition+SwaptionNumOfMonths+1,$FJ228&gt;SwaptionFirstMonthPosition+SwaptionNumOfMonths+1),"",IF($FJ228=GX$169,1,IF($FJ228&lt;GX$169,INDEX($FK$170:$ID$241,GX$169,$FJ228),SUMPRODUCT(INDEX($FK$325:$ID$396,GX$169,1+SwaptionShift):INDEX($FK$325:$ID$396,GX$169,SwaptionMonthsToGo+SwaptionShift),INDEX($FK$245:$ID$316,$FJ228-GX$169,73-GX$169+SwaptionShift):INDEX($FK$245:$ID$316,$FJ228-GX$169,72-GX$169+SwaptionMonthsToGo+SwaptionShift))/SQRT(SUM(INDEX($FK383:$ID383,1+SwaptionShift):INDEX($FK383:$ID383,SwaptionMonthsToGo+SwaptionShift))*SUM(INDEX($FK$325:$ID$396,GX$169,1+SwaptionShift):INDEX($FK$325:$ID$396,GX$169,SwaptionMonthsToGo+SwaptionShift))))))</f>
        <v/>
      </c>
      <c r="GY228" s="479" t="str">
        <f ca="1">IF(OR(GY$169&lt;SwaptionFirstMonthPosition+1,$FJ228&lt;SwaptionFirstMonthPosition+1,GY$169&gt;SwaptionFirstMonthPosition+SwaptionNumOfMonths+1,$FJ228&gt;SwaptionFirstMonthPosition+SwaptionNumOfMonths+1),"",IF($FJ228=GY$169,1,IF($FJ228&lt;GY$169,INDEX($FK$170:$ID$241,GY$169,$FJ228),SUMPRODUCT(INDEX($FK$325:$ID$396,GY$169,1+SwaptionShift):INDEX($FK$325:$ID$396,GY$169,SwaptionMonthsToGo+SwaptionShift),INDEX($FK$245:$ID$316,$FJ228-GY$169,73-GY$169+SwaptionShift):INDEX($FK$245:$ID$316,$FJ228-GY$169,72-GY$169+SwaptionMonthsToGo+SwaptionShift))/SQRT(SUM(INDEX($FK383:$ID383,1+SwaptionShift):INDEX($FK383:$ID383,SwaptionMonthsToGo+SwaptionShift))*SUM(INDEX($FK$325:$ID$396,GY$169,1+SwaptionShift):INDEX($FK$325:$ID$396,GY$169,SwaptionMonthsToGo+SwaptionShift))))))</f>
        <v/>
      </c>
      <c r="GZ228" s="479" t="str">
        <f ca="1">IF(OR(GZ$169&lt;SwaptionFirstMonthPosition+1,$FJ228&lt;SwaptionFirstMonthPosition+1,GZ$169&gt;SwaptionFirstMonthPosition+SwaptionNumOfMonths+1,$FJ228&gt;SwaptionFirstMonthPosition+SwaptionNumOfMonths+1),"",IF($FJ228=GZ$169,1,IF($FJ228&lt;GZ$169,INDEX($FK$170:$ID$241,GZ$169,$FJ228),SUMPRODUCT(INDEX($FK$325:$ID$396,GZ$169,1+SwaptionShift):INDEX($FK$325:$ID$396,GZ$169,SwaptionMonthsToGo+SwaptionShift),INDEX($FK$245:$ID$316,$FJ228-GZ$169,73-GZ$169+SwaptionShift):INDEX($FK$245:$ID$316,$FJ228-GZ$169,72-GZ$169+SwaptionMonthsToGo+SwaptionShift))/SQRT(SUM(INDEX($FK383:$ID383,1+SwaptionShift):INDEX($FK383:$ID383,SwaptionMonthsToGo+SwaptionShift))*SUM(INDEX($FK$325:$ID$396,GZ$169,1+SwaptionShift):INDEX($FK$325:$ID$396,GZ$169,SwaptionMonthsToGo+SwaptionShift))))))</f>
        <v/>
      </c>
      <c r="HA228" s="479" t="str">
        <f ca="1">IF(OR(HA$169&lt;SwaptionFirstMonthPosition+1,$FJ228&lt;SwaptionFirstMonthPosition+1,HA$169&gt;SwaptionFirstMonthPosition+SwaptionNumOfMonths+1,$FJ228&gt;SwaptionFirstMonthPosition+SwaptionNumOfMonths+1),"",IF($FJ228=HA$169,1,IF($FJ228&lt;HA$169,INDEX($FK$170:$ID$241,HA$169,$FJ228),SUMPRODUCT(INDEX($FK$325:$ID$396,HA$169,1+SwaptionShift):INDEX($FK$325:$ID$396,HA$169,SwaptionMonthsToGo+SwaptionShift),INDEX($FK$245:$ID$316,$FJ228-HA$169,73-HA$169+SwaptionShift):INDEX($FK$245:$ID$316,$FJ228-HA$169,72-HA$169+SwaptionMonthsToGo+SwaptionShift))/SQRT(SUM(INDEX($FK383:$ID383,1+SwaptionShift):INDEX($FK383:$ID383,SwaptionMonthsToGo+SwaptionShift))*SUM(INDEX($FK$325:$ID$396,HA$169,1+SwaptionShift):INDEX($FK$325:$ID$396,HA$169,SwaptionMonthsToGo+SwaptionShift))))))</f>
        <v/>
      </c>
      <c r="HB228" s="479" t="str">
        <f ca="1">IF(OR(HB$169&lt;SwaptionFirstMonthPosition+1,$FJ228&lt;SwaptionFirstMonthPosition+1,HB$169&gt;SwaptionFirstMonthPosition+SwaptionNumOfMonths+1,$FJ228&gt;SwaptionFirstMonthPosition+SwaptionNumOfMonths+1),"",IF($FJ228=HB$169,1,IF($FJ228&lt;HB$169,INDEX($FK$170:$ID$241,HB$169,$FJ228),SUMPRODUCT(INDEX($FK$325:$ID$396,HB$169,1+SwaptionShift):INDEX($FK$325:$ID$396,HB$169,SwaptionMonthsToGo+SwaptionShift),INDEX($FK$245:$ID$316,$FJ228-HB$169,73-HB$169+SwaptionShift):INDEX($FK$245:$ID$316,$FJ228-HB$169,72-HB$169+SwaptionMonthsToGo+SwaptionShift))/SQRT(SUM(INDEX($FK383:$ID383,1+SwaptionShift):INDEX($FK383:$ID383,SwaptionMonthsToGo+SwaptionShift))*SUM(INDEX($FK$325:$ID$396,HB$169,1+SwaptionShift):INDEX($FK$325:$ID$396,HB$169,SwaptionMonthsToGo+SwaptionShift))))))</f>
        <v/>
      </c>
      <c r="HC228" s="479" t="str">
        <f ca="1">IF(OR(HC$169&lt;SwaptionFirstMonthPosition+1,$FJ228&lt;SwaptionFirstMonthPosition+1,HC$169&gt;SwaptionFirstMonthPosition+SwaptionNumOfMonths+1,$FJ228&gt;SwaptionFirstMonthPosition+SwaptionNumOfMonths+1),"",IF($FJ228=HC$169,1,IF($FJ228&lt;HC$169,INDEX($FK$170:$ID$241,HC$169,$FJ228),SUMPRODUCT(INDEX($FK$325:$ID$396,HC$169,1+SwaptionShift):INDEX($FK$325:$ID$396,HC$169,SwaptionMonthsToGo+SwaptionShift),INDEX($FK$245:$ID$316,$FJ228-HC$169,73-HC$169+SwaptionShift):INDEX($FK$245:$ID$316,$FJ228-HC$169,72-HC$169+SwaptionMonthsToGo+SwaptionShift))/SQRT(SUM(INDEX($FK383:$ID383,1+SwaptionShift):INDEX($FK383:$ID383,SwaptionMonthsToGo+SwaptionShift))*SUM(INDEX($FK$325:$ID$396,HC$169,1+SwaptionShift):INDEX($FK$325:$ID$396,HC$169,SwaptionMonthsToGo+SwaptionShift))))))</f>
        <v/>
      </c>
      <c r="HD228" s="479" t="str">
        <f ca="1">IF(OR(HD$169&lt;SwaptionFirstMonthPosition+1,$FJ228&lt;SwaptionFirstMonthPosition+1,HD$169&gt;SwaptionFirstMonthPosition+SwaptionNumOfMonths+1,$FJ228&gt;SwaptionFirstMonthPosition+SwaptionNumOfMonths+1),"",IF($FJ228=HD$169,1,IF($FJ228&lt;HD$169,INDEX($FK$170:$ID$241,HD$169,$FJ228),SUMPRODUCT(INDEX($FK$325:$ID$396,HD$169,1+SwaptionShift):INDEX($FK$325:$ID$396,HD$169,SwaptionMonthsToGo+SwaptionShift),INDEX($FK$245:$ID$316,$FJ228-HD$169,73-HD$169+SwaptionShift):INDEX($FK$245:$ID$316,$FJ228-HD$169,72-HD$169+SwaptionMonthsToGo+SwaptionShift))/SQRT(SUM(INDEX($FK383:$ID383,1+SwaptionShift):INDEX($FK383:$ID383,SwaptionMonthsToGo+SwaptionShift))*SUM(INDEX($FK$325:$ID$396,HD$169,1+SwaptionShift):INDEX($FK$325:$ID$396,HD$169,SwaptionMonthsToGo+SwaptionShift))))))</f>
        <v/>
      </c>
      <c r="HE228" s="479" t="str">
        <f ca="1">IF(OR(HE$169&lt;SwaptionFirstMonthPosition+1,$FJ228&lt;SwaptionFirstMonthPosition+1,HE$169&gt;SwaptionFirstMonthPosition+SwaptionNumOfMonths+1,$FJ228&gt;SwaptionFirstMonthPosition+SwaptionNumOfMonths+1),"",IF($FJ228=HE$169,1,IF($FJ228&lt;HE$169,INDEX($FK$170:$ID$241,HE$169,$FJ228),SUMPRODUCT(INDEX($FK$325:$ID$396,HE$169,1+SwaptionShift):INDEX($FK$325:$ID$396,HE$169,SwaptionMonthsToGo+SwaptionShift),INDEX($FK$245:$ID$316,$FJ228-HE$169,73-HE$169+SwaptionShift):INDEX($FK$245:$ID$316,$FJ228-HE$169,72-HE$169+SwaptionMonthsToGo+SwaptionShift))/SQRT(SUM(INDEX($FK383:$ID383,1+SwaptionShift):INDEX($FK383:$ID383,SwaptionMonthsToGo+SwaptionShift))*SUM(INDEX($FK$325:$ID$396,HE$169,1+SwaptionShift):INDEX($FK$325:$ID$396,HE$169,SwaptionMonthsToGo+SwaptionShift))))))</f>
        <v/>
      </c>
      <c r="HF228" s="479" t="str">
        <f ca="1">IF(OR(HF$169&lt;SwaptionFirstMonthPosition+1,$FJ228&lt;SwaptionFirstMonthPosition+1,HF$169&gt;SwaptionFirstMonthPosition+SwaptionNumOfMonths+1,$FJ228&gt;SwaptionFirstMonthPosition+SwaptionNumOfMonths+1),"",IF($FJ228=HF$169,1,IF($FJ228&lt;HF$169,INDEX($FK$170:$ID$241,HF$169,$FJ228),SUMPRODUCT(INDEX($FK$325:$ID$396,HF$169,1+SwaptionShift):INDEX($FK$325:$ID$396,HF$169,SwaptionMonthsToGo+SwaptionShift),INDEX($FK$245:$ID$316,$FJ228-HF$169,73-HF$169+SwaptionShift):INDEX($FK$245:$ID$316,$FJ228-HF$169,72-HF$169+SwaptionMonthsToGo+SwaptionShift))/SQRT(SUM(INDEX($FK383:$ID383,1+SwaptionShift):INDEX($FK383:$ID383,SwaptionMonthsToGo+SwaptionShift))*SUM(INDEX($FK$325:$ID$396,HF$169,1+SwaptionShift):INDEX($FK$325:$ID$396,HF$169,SwaptionMonthsToGo+SwaptionShift))))))</f>
        <v/>
      </c>
      <c r="HG228" s="479" t="str">
        <f ca="1">IF(OR(HG$169&lt;SwaptionFirstMonthPosition+1,$FJ228&lt;SwaptionFirstMonthPosition+1,HG$169&gt;SwaptionFirstMonthPosition+SwaptionNumOfMonths+1,$FJ228&gt;SwaptionFirstMonthPosition+SwaptionNumOfMonths+1),"",IF($FJ228=HG$169,1,IF($FJ228&lt;HG$169,INDEX($FK$170:$ID$241,HG$169,$FJ228),SUMPRODUCT(INDEX($FK$325:$ID$396,HG$169,1+SwaptionShift):INDEX($FK$325:$ID$396,HG$169,SwaptionMonthsToGo+SwaptionShift),INDEX($FK$245:$ID$316,$FJ228-HG$169,73-HG$169+SwaptionShift):INDEX($FK$245:$ID$316,$FJ228-HG$169,72-HG$169+SwaptionMonthsToGo+SwaptionShift))/SQRT(SUM(INDEX($FK383:$ID383,1+SwaptionShift):INDEX($FK383:$ID383,SwaptionMonthsToGo+SwaptionShift))*SUM(INDEX($FK$325:$ID$396,HG$169,1+SwaptionShift):INDEX($FK$325:$ID$396,HG$169,SwaptionMonthsToGo+SwaptionShift))))))</f>
        <v/>
      </c>
      <c r="HH228" s="479" t="str">
        <f ca="1">IF(OR(HH$169&lt;SwaptionFirstMonthPosition+1,$FJ228&lt;SwaptionFirstMonthPosition+1,HH$169&gt;SwaptionFirstMonthPosition+SwaptionNumOfMonths+1,$FJ228&gt;SwaptionFirstMonthPosition+SwaptionNumOfMonths+1),"",IF($FJ228=HH$169,1,IF($FJ228&lt;HH$169,INDEX($FK$170:$ID$241,HH$169,$FJ228),SUMPRODUCT(INDEX($FK$325:$ID$396,HH$169,1+SwaptionShift):INDEX($FK$325:$ID$396,HH$169,SwaptionMonthsToGo+SwaptionShift),INDEX($FK$245:$ID$316,$FJ228-HH$169,73-HH$169+SwaptionShift):INDEX($FK$245:$ID$316,$FJ228-HH$169,72-HH$169+SwaptionMonthsToGo+SwaptionShift))/SQRT(SUM(INDEX($FK383:$ID383,1+SwaptionShift):INDEX($FK383:$ID383,SwaptionMonthsToGo+SwaptionShift))*SUM(INDEX($FK$325:$ID$396,HH$169,1+SwaptionShift):INDEX($FK$325:$ID$396,HH$169,SwaptionMonthsToGo+SwaptionShift))))))</f>
        <v/>
      </c>
      <c r="HI228" s="479" t="str">
        <f ca="1">IF(OR(HI$169&lt;SwaptionFirstMonthPosition+1,$FJ228&lt;SwaptionFirstMonthPosition+1,HI$169&gt;SwaptionFirstMonthPosition+SwaptionNumOfMonths+1,$FJ228&gt;SwaptionFirstMonthPosition+SwaptionNumOfMonths+1),"",IF($FJ228=HI$169,1,IF($FJ228&lt;HI$169,INDEX($FK$170:$ID$241,HI$169,$FJ228),SUMPRODUCT(INDEX($FK$325:$ID$396,HI$169,1+SwaptionShift):INDEX($FK$325:$ID$396,HI$169,SwaptionMonthsToGo+SwaptionShift),INDEX($FK$245:$ID$316,$FJ228-HI$169,73-HI$169+SwaptionShift):INDEX($FK$245:$ID$316,$FJ228-HI$169,72-HI$169+SwaptionMonthsToGo+SwaptionShift))/SQRT(SUM(INDEX($FK383:$ID383,1+SwaptionShift):INDEX($FK383:$ID383,SwaptionMonthsToGo+SwaptionShift))*SUM(INDEX($FK$325:$ID$396,HI$169,1+SwaptionShift):INDEX($FK$325:$ID$396,HI$169,SwaptionMonthsToGo+SwaptionShift))))))</f>
        <v/>
      </c>
      <c r="HJ228" s="479" t="str">
        <f ca="1">IF(OR(HJ$169&lt;SwaptionFirstMonthPosition+1,$FJ228&lt;SwaptionFirstMonthPosition+1,HJ$169&gt;SwaptionFirstMonthPosition+SwaptionNumOfMonths+1,$FJ228&gt;SwaptionFirstMonthPosition+SwaptionNumOfMonths+1),"",IF($FJ228=HJ$169,1,IF($FJ228&lt;HJ$169,INDEX($FK$170:$ID$241,HJ$169,$FJ228),SUMPRODUCT(INDEX($FK$325:$ID$396,HJ$169,1+SwaptionShift):INDEX($FK$325:$ID$396,HJ$169,SwaptionMonthsToGo+SwaptionShift),INDEX($FK$245:$ID$316,$FJ228-HJ$169,73-HJ$169+SwaptionShift):INDEX($FK$245:$ID$316,$FJ228-HJ$169,72-HJ$169+SwaptionMonthsToGo+SwaptionShift))/SQRT(SUM(INDEX($FK383:$ID383,1+SwaptionShift):INDEX($FK383:$ID383,SwaptionMonthsToGo+SwaptionShift))*SUM(INDEX($FK$325:$ID$396,HJ$169,1+SwaptionShift):INDEX($FK$325:$ID$396,HJ$169,SwaptionMonthsToGo+SwaptionShift))))))</f>
        <v/>
      </c>
      <c r="HK228" s="479" t="str">
        <f ca="1">IF(OR(HK$169&lt;SwaptionFirstMonthPosition+1,$FJ228&lt;SwaptionFirstMonthPosition+1,HK$169&gt;SwaptionFirstMonthPosition+SwaptionNumOfMonths+1,$FJ228&gt;SwaptionFirstMonthPosition+SwaptionNumOfMonths+1),"",IF($FJ228=HK$169,1,IF($FJ228&lt;HK$169,INDEX($FK$170:$ID$241,HK$169,$FJ228),SUMPRODUCT(INDEX($FK$325:$ID$396,HK$169,1+SwaptionShift):INDEX($FK$325:$ID$396,HK$169,SwaptionMonthsToGo+SwaptionShift),INDEX($FK$245:$ID$316,$FJ228-HK$169,73-HK$169+SwaptionShift):INDEX($FK$245:$ID$316,$FJ228-HK$169,72-HK$169+SwaptionMonthsToGo+SwaptionShift))/SQRT(SUM(INDEX($FK383:$ID383,1+SwaptionShift):INDEX($FK383:$ID383,SwaptionMonthsToGo+SwaptionShift))*SUM(INDEX($FK$325:$ID$396,HK$169,1+SwaptionShift):INDEX($FK$325:$ID$396,HK$169,SwaptionMonthsToGo+SwaptionShift))))))</f>
        <v/>
      </c>
      <c r="HL228" s="479" t="str">
        <f ca="1">IF(OR(HL$169&lt;SwaptionFirstMonthPosition+1,$FJ228&lt;SwaptionFirstMonthPosition+1,HL$169&gt;SwaptionFirstMonthPosition+SwaptionNumOfMonths+1,$FJ228&gt;SwaptionFirstMonthPosition+SwaptionNumOfMonths+1),"",IF($FJ228=HL$169,1,IF($FJ228&lt;HL$169,INDEX($FK$170:$ID$241,HL$169,$FJ228),SUMPRODUCT(INDEX($FK$325:$ID$396,HL$169,1+SwaptionShift):INDEX($FK$325:$ID$396,HL$169,SwaptionMonthsToGo+SwaptionShift),INDEX($FK$245:$ID$316,$FJ228-HL$169,73-HL$169+SwaptionShift):INDEX($FK$245:$ID$316,$FJ228-HL$169,72-HL$169+SwaptionMonthsToGo+SwaptionShift))/SQRT(SUM(INDEX($FK383:$ID383,1+SwaptionShift):INDEX($FK383:$ID383,SwaptionMonthsToGo+SwaptionShift))*SUM(INDEX($FK$325:$ID$396,HL$169,1+SwaptionShift):INDEX($FK$325:$ID$396,HL$169,SwaptionMonthsToGo+SwaptionShift))))))</f>
        <v/>
      </c>
      <c r="HM228" s="479" t="str">
        <f ca="1">IF(OR(HM$169&lt;SwaptionFirstMonthPosition+1,$FJ228&lt;SwaptionFirstMonthPosition+1,HM$169&gt;SwaptionFirstMonthPosition+SwaptionNumOfMonths+1,$FJ228&gt;SwaptionFirstMonthPosition+SwaptionNumOfMonths+1),"",IF($FJ228=HM$169,1,IF($FJ228&lt;HM$169,INDEX($FK$170:$ID$241,HM$169,$FJ228),SUMPRODUCT(INDEX($FK$325:$ID$396,HM$169,1+SwaptionShift):INDEX($FK$325:$ID$396,HM$169,SwaptionMonthsToGo+SwaptionShift),INDEX($FK$245:$ID$316,$FJ228-HM$169,73-HM$169+SwaptionShift):INDEX($FK$245:$ID$316,$FJ228-HM$169,72-HM$169+SwaptionMonthsToGo+SwaptionShift))/SQRT(SUM(INDEX($FK383:$ID383,1+SwaptionShift):INDEX($FK383:$ID383,SwaptionMonthsToGo+SwaptionShift))*SUM(INDEX($FK$325:$ID$396,HM$169,1+SwaptionShift):INDEX($FK$325:$ID$396,HM$169,SwaptionMonthsToGo+SwaptionShift))))))</f>
        <v/>
      </c>
      <c r="HN228" s="479" t="str">
        <f ca="1">IF(OR(HN$169&lt;SwaptionFirstMonthPosition+1,$FJ228&lt;SwaptionFirstMonthPosition+1,HN$169&gt;SwaptionFirstMonthPosition+SwaptionNumOfMonths+1,$FJ228&gt;SwaptionFirstMonthPosition+SwaptionNumOfMonths+1),"",IF($FJ228=HN$169,1,IF($FJ228&lt;HN$169,INDEX($FK$170:$ID$241,HN$169,$FJ228),SUMPRODUCT(INDEX($FK$325:$ID$396,HN$169,1+SwaptionShift):INDEX($FK$325:$ID$396,HN$169,SwaptionMonthsToGo+SwaptionShift),INDEX($FK$245:$ID$316,$FJ228-HN$169,73-HN$169+SwaptionShift):INDEX($FK$245:$ID$316,$FJ228-HN$169,72-HN$169+SwaptionMonthsToGo+SwaptionShift))/SQRT(SUM(INDEX($FK383:$ID383,1+SwaptionShift):INDEX($FK383:$ID383,SwaptionMonthsToGo+SwaptionShift))*SUM(INDEX($FK$325:$ID$396,HN$169,1+SwaptionShift):INDEX($FK$325:$ID$396,HN$169,SwaptionMonthsToGo+SwaptionShift))))))</f>
        <v/>
      </c>
      <c r="HO228" s="479" t="str">
        <f ca="1">IF(OR(HO$169&lt;SwaptionFirstMonthPosition+1,$FJ228&lt;SwaptionFirstMonthPosition+1,HO$169&gt;SwaptionFirstMonthPosition+SwaptionNumOfMonths+1,$FJ228&gt;SwaptionFirstMonthPosition+SwaptionNumOfMonths+1),"",IF($FJ228=HO$169,1,IF($FJ228&lt;HO$169,INDEX($FK$170:$ID$241,HO$169,$FJ228),SUMPRODUCT(INDEX($FK$325:$ID$396,HO$169,1+SwaptionShift):INDEX($FK$325:$ID$396,HO$169,SwaptionMonthsToGo+SwaptionShift),INDEX($FK$245:$ID$316,$FJ228-HO$169,73-HO$169+SwaptionShift):INDEX($FK$245:$ID$316,$FJ228-HO$169,72-HO$169+SwaptionMonthsToGo+SwaptionShift))/SQRT(SUM(INDEX($FK383:$ID383,1+SwaptionShift):INDEX($FK383:$ID383,SwaptionMonthsToGo+SwaptionShift))*SUM(INDEX($FK$325:$ID$396,HO$169,1+SwaptionShift):INDEX($FK$325:$ID$396,HO$169,SwaptionMonthsToGo+SwaptionShift))))))</f>
        <v/>
      </c>
      <c r="HP228" s="479" t="str">
        <f ca="1">IF(OR(HP$169&lt;SwaptionFirstMonthPosition+1,$FJ228&lt;SwaptionFirstMonthPosition+1,HP$169&gt;SwaptionFirstMonthPosition+SwaptionNumOfMonths+1,$FJ228&gt;SwaptionFirstMonthPosition+SwaptionNumOfMonths+1),"",IF($FJ228=HP$169,1,IF($FJ228&lt;HP$169,INDEX($FK$170:$ID$241,HP$169,$FJ228),SUMPRODUCT(INDEX($FK$325:$ID$396,HP$169,1+SwaptionShift):INDEX($FK$325:$ID$396,HP$169,SwaptionMonthsToGo+SwaptionShift),INDEX($FK$245:$ID$316,$FJ228-HP$169,73-HP$169+SwaptionShift):INDEX($FK$245:$ID$316,$FJ228-HP$169,72-HP$169+SwaptionMonthsToGo+SwaptionShift))/SQRT(SUM(INDEX($FK383:$ID383,1+SwaptionShift):INDEX($FK383:$ID383,SwaptionMonthsToGo+SwaptionShift))*SUM(INDEX($FK$325:$ID$396,HP$169,1+SwaptionShift):INDEX($FK$325:$ID$396,HP$169,SwaptionMonthsToGo+SwaptionShift))))))</f>
        <v/>
      </c>
      <c r="HQ228" s="479" t="str">
        <f ca="1">IF(OR(HQ$169&lt;SwaptionFirstMonthPosition+1,$FJ228&lt;SwaptionFirstMonthPosition+1,HQ$169&gt;SwaptionFirstMonthPosition+SwaptionNumOfMonths+1,$FJ228&gt;SwaptionFirstMonthPosition+SwaptionNumOfMonths+1),"",IF($FJ228=HQ$169,1,IF($FJ228&lt;HQ$169,INDEX($FK$170:$ID$241,HQ$169,$FJ228),SUMPRODUCT(INDEX($FK$325:$ID$396,HQ$169,1+SwaptionShift):INDEX($FK$325:$ID$396,HQ$169,SwaptionMonthsToGo+SwaptionShift),INDEX($FK$245:$ID$316,$FJ228-HQ$169,73-HQ$169+SwaptionShift):INDEX($FK$245:$ID$316,$FJ228-HQ$169,72-HQ$169+SwaptionMonthsToGo+SwaptionShift))/SQRT(SUM(INDEX($FK383:$ID383,1+SwaptionShift):INDEX($FK383:$ID383,SwaptionMonthsToGo+SwaptionShift))*SUM(INDEX($FK$325:$ID$396,HQ$169,1+SwaptionShift):INDEX($FK$325:$ID$396,HQ$169,SwaptionMonthsToGo+SwaptionShift))))))</f>
        <v/>
      </c>
      <c r="HR228" s="479" t="str">
        <f ca="1">IF(OR(HR$169&lt;SwaptionFirstMonthPosition+1,$FJ228&lt;SwaptionFirstMonthPosition+1,HR$169&gt;SwaptionFirstMonthPosition+SwaptionNumOfMonths+1,$FJ228&gt;SwaptionFirstMonthPosition+SwaptionNumOfMonths+1),"",IF($FJ228=HR$169,1,IF($FJ228&lt;HR$169,INDEX($FK$170:$ID$241,HR$169,$FJ228),SUMPRODUCT(INDEX($FK$325:$ID$396,HR$169,1+SwaptionShift):INDEX($FK$325:$ID$396,HR$169,SwaptionMonthsToGo+SwaptionShift),INDEX($FK$245:$ID$316,$FJ228-HR$169,73-HR$169+SwaptionShift):INDEX($FK$245:$ID$316,$FJ228-HR$169,72-HR$169+SwaptionMonthsToGo+SwaptionShift))/SQRT(SUM(INDEX($FK383:$ID383,1+SwaptionShift):INDEX($FK383:$ID383,SwaptionMonthsToGo+SwaptionShift))*SUM(INDEX($FK$325:$ID$396,HR$169,1+SwaptionShift):INDEX($FK$325:$ID$396,HR$169,SwaptionMonthsToGo+SwaptionShift))))))</f>
        <v/>
      </c>
      <c r="HS228" s="479" t="str">
        <f ca="1">IF(OR(HS$169&lt;SwaptionFirstMonthPosition+1,$FJ228&lt;SwaptionFirstMonthPosition+1,HS$169&gt;SwaptionFirstMonthPosition+SwaptionNumOfMonths+1,$FJ228&gt;SwaptionFirstMonthPosition+SwaptionNumOfMonths+1),"",IF($FJ228=HS$169,1,IF($FJ228&lt;HS$169,INDEX($FK$170:$ID$241,HS$169,$FJ228),SUMPRODUCT(INDEX($FK$325:$ID$396,HS$169,1+SwaptionShift):INDEX($FK$325:$ID$396,HS$169,SwaptionMonthsToGo+SwaptionShift),INDEX($FK$245:$ID$316,$FJ228-HS$169,73-HS$169+SwaptionShift):INDEX($FK$245:$ID$316,$FJ228-HS$169,72-HS$169+SwaptionMonthsToGo+SwaptionShift))/SQRT(SUM(INDEX($FK383:$ID383,1+SwaptionShift):INDEX($FK383:$ID383,SwaptionMonthsToGo+SwaptionShift))*SUM(INDEX($FK$325:$ID$396,HS$169,1+SwaptionShift):INDEX($FK$325:$ID$396,HS$169,SwaptionMonthsToGo+SwaptionShift))))))</f>
        <v/>
      </c>
      <c r="HT228" s="479" t="str">
        <f ca="1">IF(OR(HT$169&lt;SwaptionFirstMonthPosition+1,$FJ228&lt;SwaptionFirstMonthPosition+1,HT$169&gt;SwaptionFirstMonthPosition+SwaptionNumOfMonths+1,$FJ228&gt;SwaptionFirstMonthPosition+SwaptionNumOfMonths+1),"",IF($FJ228=HT$169,1,IF($FJ228&lt;HT$169,INDEX($FK$170:$ID$241,HT$169,$FJ228),SUMPRODUCT(INDEX($FK$325:$ID$396,HT$169,1+SwaptionShift):INDEX($FK$325:$ID$396,HT$169,SwaptionMonthsToGo+SwaptionShift),INDEX($FK$245:$ID$316,$FJ228-HT$169,73-HT$169+SwaptionShift):INDEX($FK$245:$ID$316,$FJ228-HT$169,72-HT$169+SwaptionMonthsToGo+SwaptionShift))/SQRT(SUM(INDEX($FK383:$ID383,1+SwaptionShift):INDEX($FK383:$ID383,SwaptionMonthsToGo+SwaptionShift))*SUM(INDEX($FK$325:$ID$396,HT$169,1+SwaptionShift):INDEX($FK$325:$ID$396,HT$169,SwaptionMonthsToGo+SwaptionShift))))))</f>
        <v/>
      </c>
      <c r="HU228" s="479" t="str">
        <f ca="1">IF(OR(HU$169&lt;SwaptionFirstMonthPosition+1,$FJ228&lt;SwaptionFirstMonthPosition+1,HU$169&gt;SwaptionFirstMonthPosition+SwaptionNumOfMonths+1,$FJ228&gt;SwaptionFirstMonthPosition+SwaptionNumOfMonths+1),"",IF($FJ228=HU$169,1,IF($FJ228&lt;HU$169,INDEX($FK$170:$ID$241,HU$169,$FJ228),SUMPRODUCT(INDEX($FK$325:$ID$396,HU$169,1+SwaptionShift):INDEX($FK$325:$ID$396,HU$169,SwaptionMonthsToGo+SwaptionShift),INDEX($FK$245:$ID$316,$FJ228-HU$169,73-HU$169+SwaptionShift):INDEX($FK$245:$ID$316,$FJ228-HU$169,72-HU$169+SwaptionMonthsToGo+SwaptionShift))/SQRT(SUM(INDEX($FK383:$ID383,1+SwaptionShift):INDEX($FK383:$ID383,SwaptionMonthsToGo+SwaptionShift))*SUM(INDEX($FK$325:$ID$396,HU$169,1+SwaptionShift):INDEX($FK$325:$ID$396,HU$169,SwaptionMonthsToGo+SwaptionShift))))))</f>
        <v/>
      </c>
      <c r="HV228" s="479" t="str">
        <f ca="1">IF(OR(HV$169&lt;SwaptionFirstMonthPosition+1,$FJ228&lt;SwaptionFirstMonthPosition+1,HV$169&gt;SwaptionFirstMonthPosition+SwaptionNumOfMonths+1,$FJ228&gt;SwaptionFirstMonthPosition+SwaptionNumOfMonths+1),"",IF($FJ228=HV$169,1,IF($FJ228&lt;HV$169,INDEX($FK$170:$ID$241,HV$169,$FJ228),SUMPRODUCT(INDEX($FK$325:$ID$396,HV$169,1+SwaptionShift):INDEX($FK$325:$ID$396,HV$169,SwaptionMonthsToGo+SwaptionShift),INDEX($FK$245:$ID$316,$FJ228-HV$169,73-HV$169+SwaptionShift):INDEX($FK$245:$ID$316,$FJ228-HV$169,72-HV$169+SwaptionMonthsToGo+SwaptionShift))/SQRT(SUM(INDEX($FK383:$ID383,1+SwaptionShift):INDEX($FK383:$ID383,SwaptionMonthsToGo+SwaptionShift))*SUM(INDEX($FK$325:$ID$396,HV$169,1+SwaptionShift):INDEX($FK$325:$ID$396,HV$169,SwaptionMonthsToGo+SwaptionShift))))))</f>
        <v/>
      </c>
      <c r="HW228" s="479" t="str">
        <f ca="1">IF(OR(HW$169&lt;SwaptionFirstMonthPosition+1,$FJ228&lt;SwaptionFirstMonthPosition+1,HW$169&gt;SwaptionFirstMonthPosition+SwaptionNumOfMonths+1,$FJ228&gt;SwaptionFirstMonthPosition+SwaptionNumOfMonths+1),"",IF($FJ228=HW$169,1,IF($FJ228&lt;HW$169,INDEX($FK$170:$ID$241,HW$169,$FJ228),SUMPRODUCT(INDEX($FK$325:$ID$396,HW$169,1+SwaptionShift):INDEX($FK$325:$ID$396,HW$169,SwaptionMonthsToGo+SwaptionShift),INDEX($FK$245:$ID$316,$FJ228-HW$169,73-HW$169+SwaptionShift):INDEX($FK$245:$ID$316,$FJ228-HW$169,72-HW$169+SwaptionMonthsToGo+SwaptionShift))/SQRT(SUM(INDEX($FK383:$ID383,1+SwaptionShift):INDEX($FK383:$ID383,SwaptionMonthsToGo+SwaptionShift))*SUM(INDEX($FK$325:$ID$396,HW$169,1+SwaptionShift):INDEX($FK$325:$ID$396,HW$169,SwaptionMonthsToGo+SwaptionShift))))))</f>
        <v/>
      </c>
      <c r="HX228" s="479" t="str">
        <f ca="1">IF(OR(HX$169&lt;SwaptionFirstMonthPosition+1,$FJ228&lt;SwaptionFirstMonthPosition+1,HX$169&gt;SwaptionFirstMonthPosition+SwaptionNumOfMonths+1,$FJ228&gt;SwaptionFirstMonthPosition+SwaptionNumOfMonths+1),"",IF($FJ228=HX$169,1,IF($FJ228&lt;HX$169,INDEX($FK$170:$ID$241,HX$169,$FJ228),SUMPRODUCT(INDEX($FK$325:$ID$396,HX$169,1+SwaptionShift):INDEX($FK$325:$ID$396,HX$169,SwaptionMonthsToGo+SwaptionShift),INDEX($FK$245:$ID$316,$FJ228-HX$169,73-HX$169+SwaptionShift):INDEX($FK$245:$ID$316,$FJ228-HX$169,72-HX$169+SwaptionMonthsToGo+SwaptionShift))/SQRT(SUM(INDEX($FK383:$ID383,1+SwaptionShift):INDEX($FK383:$ID383,SwaptionMonthsToGo+SwaptionShift))*SUM(INDEX($FK$325:$ID$396,HX$169,1+SwaptionShift):INDEX($FK$325:$ID$396,HX$169,SwaptionMonthsToGo+SwaptionShift))))))</f>
        <v/>
      </c>
      <c r="HY228" s="479" t="str">
        <f ca="1">IF(OR(HY$169&lt;SwaptionFirstMonthPosition+1,$FJ228&lt;SwaptionFirstMonthPosition+1,HY$169&gt;SwaptionFirstMonthPosition+SwaptionNumOfMonths+1,$FJ228&gt;SwaptionFirstMonthPosition+SwaptionNumOfMonths+1),"",IF($FJ228=HY$169,1,IF($FJ228&lt;HY$169,INDEX($FK$170:$ID$241,HY$169,$FJ228),SUMPRODUCT(INDEX($FK$325:$ID$396,HY$169,1+SwaptionShift):INDEX($FK$325:$ID$396,HY$169,SwaptionMonthsToGo+SwaptionShift),INDEX($FK$245:$ID$316,$FJ228-HY$169,73-HY$169+SwaptionShift):INDEX($FK$245:$ID$316,$FJ228-HY$169,72-HY$169+SwaptionMonthsToGo+SwaptionShift))/SQRT(SUM(INDEX($FK383:$ID383,1+SwaptionShift):INDEX($FK383:$ID383,SwaptionMonthsToGo+SwaptionShift))*SUM(INDEX($FK$325:$ID$396,HY$169,1+SwaptionShift):INDEX($FK$325:$ID$396,HY$169,SwaptionMonthsToGo+SwaptionShift))))))</f>
        <v/>
      </c>
      <c r="HZ228" s="479" t="str">
        <f ca="1">IF(OR(HZ$169&lt;SwaptionFirstMonthPosition+1,$FJ228&lt;SwaptionFirstMonthPosition+1,HZ$169&gt;SwaptionFirstMonthPosition+SwaptionNumOfMonths+1,$FJ228&gt;SwaptionFirstMonthPosition+SwaptionNumOfMonths+1),"",IF($FJ228=HZ$169,1,IF($FJ228&lt;HZ$169,INDEX($FK$170:$ID$241,HZ$169,$FJ228),SUMPRODUCT(INDEX($FK$325:$ID$396,HZ$169,1+SwaptionShift):INDEX($FK$325:$ID$396,HZ$169,SwaptionMonthsToGo+SwaptionShift),INDEX($FK$245:$ID$316,$FJ228-HZ$169,73-HZ$169+SwaptionShift):INDEX($FK$245:$ID$316,$FJ228-HZ$169,72-HZ$169+SwaptionMonthsToGo+SwaptionShift))/SQRT(SUM(INDEX($FK383:$ID383,1+SwaptionShift):INDEX($FK383:$ID383,SwaptionMonthsToGo+SwaptionShift))*SUM(INDEX($FK$325:$ID$396,HZ$169,1+SwaptionShift):INDEX($FK$325:$ID$396,HZ$169,SwaptionMonthsToGo+SwaptionShift))))))</f>
        <v/>
      </c>
      <c r="IA228" s="479" t="str">
        <f ca="1">IF(OR(IA$169&lt;SwaptionFirstMonthPosition+1,$FJ228&lt;SwaptionFirstMonthPosition+1,IA$169&gt;SwaptionFirstMonthPosition+SwaptionNumOfMonths+1,$FJ228&gt;SwaptionFirstMonthPosition+SwaptionNumOfMonths+1),"",IF($FJ228=IA$169,1,IF($FJ228&lt;IA$169,INDEX($FK$170:$ID$241,IA$169,$FJ228),SUMPRODUCT(INDEX($FK$325:$ID$396,IA$169,1+SwaptionShift):INDEX($FK$325:$ID$396,IA$169,SwaptionMonthsToGo+SwaptionShift),INDEX($FK$245:$ID$316,$FJ228-IA$169,73-IA$169+SwaptionShift):INDEX($FK$245:$ID$316,$FJ228-IA$169,72-IA$169+SwaptionMonthsToGo+SwaptionShift))/SQRT(SUM(INDEX($FK383:$ID383,1+SwaptionShift):INDEX($FK383:$ID383,SwaptionMonthsToGo+SwaptionShift))*SUM(INDEX($FK$325:$ID$396,IA$169,1+SwaptionShift):INDEX($FK$325:$ID$396,IA$169,SwaptionMonthsToGo+SwaptionShift))))))</f>
        <v/>
      </c>
      <c r="IB228" s="479" t="str">
        <f ca="1">IF(OR(IB$169&lt;SwaptionFirstMonthPosition+1,$FJ228&lt;SwaptionFirstMonthPosition+1,IB$169&gt;SwaptionFirstMonthPosition+SwaptionNumOfMonths+1,$FJ228&gt;SwaptionFirstMonthPosition+SwaptionNumOfMonths+1),"",IF($FJ228=IB$169,1,IF($FJ228&lt;IB$169,INDEX($FK$170:$ID$241,IB$169,$FJ228),SUMPRODUCT(INDEX($FK$325:$ID$396,IB$169,1+SwaptionShift):INDEX($FK$325:$ID$396,IB$169,SwaptionMonthsToGo+SwaptionShift),INDEX($FK$245:$ID$316,$FJ228-IB$169,73-IB$169+SwaptionShift):INDEX($FK$245:$ID$316,$FJ228-IB$169,72-IB$169+SwaptionMonthsToGo+SwaptionShift))/SQRT(SUM(INDEX($FK383:$ID383,1+SwaptionShift):INDEX($FK383:$ID383,SwaptionMonthsToGo+SwaptionShift))*SUM(INDEX($FK$325:$ID$396,IB$169,1+SwaptionShift):INDEX($FK$325:$ID$396,IB$169,SwaptionMonthsToGo+SwaptionShift))))))</f>
        <v/>
      </c>
      <c r="IC228" s="479" t="str">
        <f ca="1">IF(OR(IC$169&lt;SwaptionFirstMonthPosition+1,$FJ228&lt;SwaptionFirstMonthPosition+1,IC$169&gt;SwaptionFirstMonthPosition+SwaptionNumOfMonths+1,$FJ228&gt;SwaptionFirstMonthPosition+SwaptionNumOfMonths+1),"",IF($FJ228=IC$169,1,IF($FJ228&lt;IC$169,INDEX($FK$170:$ID$241,IC$169,$FJ228),SUMPRODUCT(INDEX($FK$325:$ID$396,IC$169,1+SwaptionShift):INDEX($FK$325:$ID$396,IC$169,SwaptionMonthsToGo+SwaptionShift),INDEX($FK$245:$ID$316,$FJ228-IC$169,73-IC$169+SwaptionShift):INDEX($FK$245:$ID$316,$FJ228-IC$169,72-IC$169+SwaptionMonthsToGo+SwaptionShift))/SQRT(SUM(INDEX($FK383:$ID383,1+SwaptionShift):INDEX($FK383:$ID383,SwaptionMonthsToGo+SwaptionShift))*SUM(INDEX($FK$325:$ID$396,IC$169,1+SwaptionShift):INDEX($FK$325:$ID$396,IC$169,SwaptionMonthsToGo+SwaptionShift))))))</f>
        <v/>
      </c>
      <c r="ID228" s="678" t="str">
        <f ca="1">IF(OR(ID$169&lt;SwaptionFirstMonthPosition+1,$FJ228&lt;SwaptionFirstMonthPosition+1,ID$169&gt;SwaptionFirstMonthPosition+SwaptionNumOfMonths+1,$FJ228&gt;SwaptionFirstMonthPosition+SwaptionNumOfMonths+1),"",IF($FJ228=ID$169,1,IF($FJ228&lt;ID$169,INDEX($FK$170:$ID$241,ID$169,$FJ228),SUMPRODUCT(INDEX($FK$325:$ID$396,ID$169,1+SwaptionShift):INDEX($FK$325:$ID$396,ID$169,SwaptionMonthsToGo+SwaptionShift),INDEX($FK$245:$ID$316,$FJ228-ID$169,73-ID$169+SwaptionShift):INDEX($FK$245:$ID$316,$FJ228-ID$169,72-ID$169+SwaptionMonthsToGo+SwaptionShift))/SQRT(SUM(INDEX($FK383:$ID383,1+SwaptionShift):INDEX($FK383:$ID383,SwaptionMonthsToGo+SwaptionShift))*SUM(INDEX($FK$325:$ID$396,ID$169,1+SwaptionShift):INDEX($FK$325:$ID$396,ID$169,SwaptionMonthsToGo+SwaptionShift))))))</f>
        <v/>
      </c>
      <c r="IE228" s="250"/>
    </row>
    <row r="229" spans="8:239">
      <c r="H229" s="51">
        <f t="shared" ca="1" si="646"/>
        <v>0</v>
      </c>
      <c r="I229" s="379">
        <f t="shared" si="647"/>
        <v>43132</v>
      </c>
      <c r="J229" s="377"/>
      <c r="K229" s="104" t="s">
        <v>268</v>
      </c>
      <c r="L229" s="392">
        <f t="shared" si="648"/>
        <v>4.9874999999999972</v>
      </c>
      <c r="M229" s="171"/>
      <c r="N229" s="382">
        <v>0</v>
      </c>
      <c r="O229" s="171">
        <f t="shared" si="596"/>
        <v>0</v>
      </c>
      <c r="P229" s="377"/>
      <c r="Q229" s="104" t="s">
        <v>268</v>
      </c>
      <c r="R229" s="377">
        <f t="shared" ca="1" si="597"/>
        <v>3.7868338488483966</v>
      </c>
      <c r="S229" s="832">
        <f t="shared" si="671"/>
        <v>0.3600000000000001</v>
      </c>
      <c r="T229" s="831">
        <f t="shared" si="661"/>
        <v>0.99999999999999933</v>
      </c>
      <c r="U229" s="545">
        <f t="shared" si="662"/>
        <v>0.99999999999999978</v>
      </c>
      <c r="V229" s="389">
        <v>0</v>
      </c>
      <c r="W229" s="434">
        <f t="shared" si="598"/>
        <v>0</v>
      </c>
      <c r="X229" s="415">
        <f t="shared" si="599"/>
        <v>5.0362499999999972</v>
      </c>
      <c r="Y229" s="322">
        <f t="shared" si="600"/>
        <v>-1.1684999999999999</v>
      </c>
      <c r="Z229" s="322">
        <f t="shared" ca="1" si="601"/>
        <v>3.8677499999999974</v>
      </c>
      <c r="AA229" s="429">
        <f t="shared" si="628"/>
        <v>1.1684999999999999</v>
      </c>
      <c r="AB229" s="433">
        <f t="shared" ca="1" si="629"/>
        <v>1.1684999999999999</v>
      </c>
      <c r="AC229" s="229">
        <v>43120</v>
      </c>
      <c r="AD229" s="229">
        <v>43116</v>
      </c>
      <c r="AE229" s="229">
        <v>43115</v>
      </c>
      <c r="AF229" s="229">
        <v>43111</v>
      </c>
      <c r="AG229" s="249" t="s">
        <v>499</v>
      </c>
      <c r="AH229" s="247" t="s">
        <v>499</v>
      </c>
      <c r="AI229" s="146">
        <v>20</v>
      </c>
      <c r="AJ229" s="41">
        <v>14</v>
      </c>
      <c r="AK229" s="41">
        <v>6</v>
      </c>
      <c r="AL229" s="293">
        <v>20</v>
      </c>
      <c r="AM229" s="41">
        <v>10</v>
      </c>
      <c r="AN229" s="147">
        <v>10</v>
      </c>
      <c r="AO229" s="374"/>
      <c r="AP229" s="153">
        <f t="shared" ca="1" si="649"/>
        <v>1</v>
      </c>
      <c r="AQ229" s="374"/>
      <c r="AR229" s="153">
        <f t="shared" ca="1" si="663"/>
        <v>1</v>
      </c>
      <c r="AS229" s="272">
        <f t="shared" si="602"/>
        <v>0</v>
      </c>
      <c r="AT229" s="157">
        <f t="shared" si="650"/>
        <v>0</v>
      </c>
      <c r="AU229" s="157">
        <f t="shared" si="630"/>
        <v>0</v>
      </c>
      <c r="AV229" s="271">
        <f t="shared" ca="1" si="670"/>
        <v>9.9999999999999995E-7</v>
      </c>
      <c r="AW229" s="158" t="str">
        <f t="shared" ca="1" si="583"/>
        <v/>
      </c>
      <c r="AX229" s="157">
        <f t="shared" ca="1" si="664"/>
        <v>2.1950848386832898E-5</v>
      </c>
      <c r="AY229" s="157">
        <f t="shared" ca="1" si="665"/>
        <v>4.2160510427436554E-6</v>
      </c>
      <c r="AZ229" s="157">
        <f t="shared" ca="1" si="666"/>
        <v>8.3537168972845149E-8</v>
      </c>
      <c r="BA229" s="157">
        <f t="shared" ca="1" si="667"/>
        <v>1.0442146121605644E-8</v>
      </c>
      <c r="BB229" s="157">
        <f t="shared" ca="1" si="668"/>
        <v>1.9101163862374727E-11</v>
      </c>
      <c r="BC229" s="157">
        <f t="shared" ca="1" si="669"/>
        <v>2.1807683124989893E-13</v>
      </c>
      <c r="BD229" s="151">
        <f t="shared" ca="1" si="603"/>
        <v>0</v>
      </c>
      <c r="BE229" s="152">
        <f t="shared" ca="1" si="604"/>
        <v>0</v>
      </c>
      <c r="BF229" s="40">
        <f t="shared" si="605"/>
        <v>2018</v>
      </c>
      <c r="BG229" s="144">
        <f t="shared" si="606"/>
        <v>2</v>
      </c>
      <c r="BH229" s="145">
        <f t="shared" ca="1" si="607"/>
        <v>6371</v>
      </c>
      <c r="BI229" s="313">
        <f t="shared" ca="1" si="608"/>
        <v>17.486652977412732</v>
      </c>
      <c r="BJ229" s="42">
        <f t="shared" ca="1" si="631"/>
        <v>17.538398357289527</v>
      </c>
      <c r="BK229" s="42">
        <f t="shared" ca="1" si="632"/>
        <v>17.541136208076658</v>
      </c>
      <c r="BL229" s="42">
        <f t="shared" ca="1" si="609"/>
        <v>17.560574948665298</v>
      </c>
      <c r="BM229" s="150" t="e">
        <f t="shared" ca="1" si="633"/>
        <v>#DIV/0!</v>
      </c>
      <c r="BN229" s="42" t="e">
        <f t="shared" ca="1" si="634"/>
        <v>#DIV/0!</v>
      </c>
      <c r="BO229" s="293">
        <f t="shared" si="610"/>
        <v>20</v>
      </c>
      <c r="BP229" s="41">
        <f t="shared" si="611"/>
        <v>14</v>
      </c>
      <c r="BQ229" s="41">
        <f t="shared" si="612"/>
        <v>6</v>
      </c>
      <c r="BR229" s="305" t="str">
        <f t="shared" ca="1" si="635"/>
        <v/>
      </c>
      <c r="BS229" s="305" t="str">
        <f t="shared" ca="1" si="613"/>
        <v/>
      </c>
      <c r="BT229" s="307" t="str">
        <f t="shared" ca="1" si="614"/>
        <v/>
      </c>
      <c r="BU229" s="161" t="str">
        <f t="shared" ca="1" si="636"/>
        <v/>
      </c>
      <c r="BV229" s="161" t="str">
        <f t="shared" ca="1" si="637"/>
        <v/>
      </c>
      <c r="BW229" s="308" t="str">
        <f t="shared" ca="1" si="638"/>
        <v/>
      </c>
      <c r="BX229" s="309" t="str">
        <f t="shared" ca="1" si="639"/>
        <v/>
      </c>
      <c r="BY229" s="308" t="str">
        <f t="shared" ca="1" si="615"/>
        <v/>
      </c>
      <c r="BZ229" s="309" t="str">
        <f t="shared" ca="1" si="616"/>
        <v/>
      </c>
      <c r="CA229" s="154" t="str">
        <f t="shared" ca="1" si="640"/>
        <v/>
      </c>
      <c r="CB229" s="154" t="str">
        <f t="shared" ca="1" si="641"/>
        <v/>
      </c>
      <c r="CC229" s="154" t="str">
        <f t="shared" ca="1" si="642"/>
        <v/>
      </c>
      <c r="CD229" s="154" t="str">
        <f t="shared" ca="1" si="643"/>
        <v/>
      </c>
      <c r="CE229" s="310">
        <v>1</v>
      </c>
      <c r="CF229" s="162">
        <f ca="1">IF(BD229,_xll.xCrudeAPO(BU229,BV229,CA229,CB229,S230,S231,BI229,BL229,BP229,BQ229,0,Strike1,AO229,CE229,0,BL229,IF(OptControl=4,0,1),0,1),0)</f>
        <v>0</v>
      </c>
      <c r="CG229" s="163">
        <f ca="1">IF(BD229,_xll.xCrudeAPO(BU229,BV229,CA229,CB229,S230,S231,BI229,BL229,BP229,BQ229,0,Strike1,AO229,CE229,0,BL229,IF(OptControl=4,0,1),1,1)+_xll.xCrudeAPO(BU229,BV229,CA229,CB229,S230,S231,BI229,BL229,BP229,BQ229,0,Strike1,AO229,CE229,0,BL229,IF(OptControl=4,0,1),1,2)+IF(OR(VolSkewFlag=2,ABS(BS229)&lt;0.0001),0,IF(BS229&gt;0,-1,1)*CH229*Strike1/BR229^2*BY229/10%),0)</f>
        <v>0</v>
      </c>
      <c r="CH229" s="163">
        <f ca="1">IF(BD229,(_xll.xCrudeAPO(BU229,BV229,CA229,CB229,S230,S231,BI229,BL229,BP229,BQ229,0,Strike1,AO229,CE229,0,BL229,IF(OptControl=4,0,1),3,1)+_xll.xCrudeAPO(BU229,BV229,CA229,CB229,S230,S231,BI229,BL229,BP229,BQ229,0,Strike1,AO229,CE229,0,BL229,IF(OptControl=4,0,1),3,2))/100,0)</f>
        <v>0</v>
      </c>
      <c r="CI229" s="163">
        <f ca="1">IF(BD229,_xll.xCrudeAPO(BU229,BV229,CA229,CB229,S230,S231,BI229-DaysForThetaCalculation/365.25,BL229-DaysForThetaCalculation/365.25,BP229,BQ229,0,Strike1,AO229,CE229,0,BL229,IF(OptControl=4,0,1),0,1)-_xll.xCrudeAPO(BU229,BV229,CA229,CB229,S230,S231,BI229,BL229,BP229,BQ229,0,Strike1,AO229,CE229,0,BL229,IF(OptControl=4,0,1),0,1),0)</f>
        <v>0</v>
      </c>
      <c r="CJ229" s="311">
        <f ca="1">IF(BD229,_xll.xCrudeAPO(BU229,BV229,CC229,CD229,S230,S231,BI229,BL229,BP229,BQ229,0,Strike2,AO229,CE229,0,BL229,IF(OptControl=3,1,0),0,1),0)</f>
        <v>0</v>
      </c>
      <c r="CK229" s="163">
        <f ca="1">IF(BD229,_xll.xCrudeAPO(BU229,BV229,CC229,CD229,S230,S231,BI229,BL229,BP229,BQ229,0,Strike2,AO229,CE229,0,BL229,IF(OptControl=3,1,0),1,1)+_xll.xCrudeAPO(BU229,BV229,CC229,CD229,S230,S231,BI229,BL229,BP229,BQ229,0,Strike2,AO229,CE229,0,BL229,IF(OptControl=3,1,0),1,2)+IF(OR(VolSkewFlag=2,ABS(BT229)&lt;0.0001),0,IF(BT229&gt;0,-1,1)*CL229*Strike2/BR229^2*BZ229/10%),0)</f>
        <v>0</v>
      </c>
      <c r="CL229" s="163">
        <f ca="1">IF(BD229,(_xll.xCrudeAPO(BU229,BV229,CC229,CD229,S230,S231,BI229,BL229,BP229,BQ229,0,Strike2,AO229,CE229,0,BL229,IF(OptControl=3,1,0),3,1)+_xll.xCrudeAPO(BU229,BV229,CC229,CD229,S230,S231,BI229,BL229,BP229,BQ229,0,Strike2,AO229,CE229,0,BL229,IF(OptControl=3,1,0),3,2))/100,0)</f>
        <v>0</v>
      </c>
      <c r="CM229" s="164">
        <f ca="1">IF(BD229,_xll.xCrudeAPO(BU229,BV229,CC229,CD229,S230,S231,BI229-DaysForThetaCalculation/365.25,BL229-DaysForThetaCalculation/365.25,BP229,BQ229,0,Strike2,AO229,CE229,0,BL229,IF(OptControl=3,1,0),0,1)-_xll.xCrudeAPO(BU229,BV229,CC229,CD229,S230,S231,BI229,BL229,BP229,BQ229,0,Strike2,AO229,CE229,0,BL229,IF(OptControl=3,1,0),0,1),0)</f>
        <v>0</v>
      </c>
      <c r="CN229" s="53"/>
      <c r="CO229" s="796" t="str">
        <f t="shared" ca="1" si="651"/>
        <v/>
      </c>
      <c r="CP229" s="800" t="str">
        <f t="shared" ca="1" si="652"/>
        <v/>
      </c>
      <c r="CQ229" s="797" t="str">
        <f t="shared" ca="1" si="653"/>
        <v/>
      </c>
      <c r="CR229" s="797" t="str">
        <f t="shared" ca="1" si="654"/>
        <v/>
      </c>
      <c r="CS229" s="797" t="str">
        <f t="shared" ca="1" si="655"/>
        <v/>
      </c>
      <c r="CT229" s="797" t="str">
        <f t="shared" ca="1" si="656"/>
        <v/>
      </c>
      <c r="CU229" s="798" t="str">
        <f t="shared" ca="1" si="657"/>
        <v/>
      </c>
      <c r="CV229" s="799" t="str">
        <f t="shared" ca="1" si="658"/>
        <v/>
      </c>
      <c r="CW229" s="799" t="str">
        <f t="shared" ca="1" si="659"/>
        <v/>
      </c>
      <c r="CX229" s="163">
        <f ca="1">IF(BD229,_xll.EURO(CP229,Strike1,AO229,AO229,CV229,CO229,IF(OptControl=4,0,1),0),0)</f>
        <v>0</v>
      </c>
      <c r="CY229" s="163">
        <f ca="1">IF(BD229,_xll.EURO(CP229,Strike1,AO229,AO229,CV229,CO229,IF(OptControl=4,0,1),1)+IF(OR(VolSkewFlag=2,ABS(CQ229)&lt;0.0001),0,IF(CQ229&gt;0,-1,1)*CZ229*100*Strike1/CP229^2*CS229/10%),0)</f>
        <v>0</v>
      </c>
      <c r="CZ229" s="163">
        <f ca="1">IF(BD229,_xll.EURO(CP229,Strike1,AO229,AO229,CV229,CO229,IF(OptControl=4,0,1),3)/100,0)</f>
        <v>0</v>
      </c>
      <c r="DA229" s="163">
        <f ca="1">IF(BD229,_xll.EURO(CP229,Strike1,AO229,AO229,CV229,CO229,IF(OptControl=4,0,1),0)-_xll.EURO(CP229,Strike1,AO229,AO229,CV229,CO229-1,IF(OptControl=4,0,1),0),0)</f>
        <v>0</v>
      </c>
      <c r="DB229" s="163">
        <f ca="1">IF(BD229,_xll.EURO(CP229,Strike2,AO229,AO229,CW229,CO229,IF(OptControl=3,1,0),0),0)</f>
        <v>0</v>
      </c>
      <c r="DC229" s="163">
        <f ca="1">IF(BD229,_xll.EURO(CP229,Strike2,AO229,AO229,CW229,CO229,IF(OptControl=3,1,0),1)+IF(OR(VolSkewFlag=2,ABS(CR229)&lt;0.0001),0,IF(CR229&gt;0,-1,1)*DD229*100*Strike2/CP229^2*CT229/10%),0)</f>
        <v>0</v>
      </c>
      <c r="DD229" s="163">
        <f ca="1">IF(BD229,_xll.EURO(CP229,Strike2,AO229,AO229,CW229,CO229,IF(OptControl=3,1,0),3)/100,0)</f>
        <v>0</v>
      </c>
      <c r="DE229" s="164">
        <f ca="1">IF(BD229,_xll.EURO(CP229,Strike2,AO229,AO229,CW229,CO229,IF(OptControl=3,1,0),0)-_xll.EURO(CP229,Strike2,AO229,AO229,CW229,CO229-1,IF(OptControl=3,1,0),0),0)</f>
        <v>0</v>
      </c>
      <c r="DG229" s="667">
        <f t="shared" ca="1" si="660"/>
        <v>42917</v>
      </c>
      <c r="DH229" s="475">
        <v>24.610000000000095</v>
      </c>
      <c r="DI229" s="665">
        <v>24.677500000000094</v>
      </c>
      <c r="DJ229" s="666">
        <f t="shared" ca="1" si="617"/>
        <v>42917</v>
      </c>
      <c r="DK229" s="475">
        <v>23.41136393938282</v>
      </c>
      <c r="DL229" s="665">
        <v>23.410600000000095</v>
      </c>
      <c r="DM229" s="667">
        <f t="shared" ca="1" si="618"/>
        <v>42917</v>
      </c>
      <c r="DN229" s="668">
        <f t="shared" si="619"/>
        <v>23.461363939382821</v>
      </c>
      <c r="DO229" s="667">
        <f t="shared" ca="1" si="620"/>
        <v>42917</v>
      </c>
      <c r="DP229" s="579">
        <f t="shared" si="621"/>
        <v>23.410600000000095</v>
      </c>
      <c r="DQ229" s="821">
        <v>0</v>
      </c>
      <c r="DR229" s="666">
        <f t="shared" ca="1" si="622"/>
        <v>42917</v>
      </c>
      <c r="DS229" s="669">
        <v>9.9199999999998026E-2</v>
      </c>
      <c r="DT229" s="606">
        <v>9.8389999999998021E-2</v>
      </c>
      <c r="DU229" s="666">
        <f t="shared" ca="1" si="623"/>
        <v>42917</v>
      </c>
      <c r="DV229" s="669">
        <v>9.9199999999998026E-2</v>
      </c>
      <c r="DW229" s="606">
        <v>9.8389999999998021E-2</v>
      </c>
      <c r="DX229" s="667">
        <f t="shared" ca="1" si="624"/>
        <v>42917</v>
      </c>
      <c r="DY229" s="606">
        <v>0.35</v>
      </c>
      <c r="DZ229" s="667">
        <f t="shared" ca="1" si="625"/>
        <v>42917</v>
      </c>
      <c r="EA229" s="606">
        <f t="shared" si="626"/>
        <v>9.8389999999998021E-2</v>
      </c>
      <c r="EB229" s="1"/>
      <c r="EC229" s="118" t="str">
        <f t="shared" ca="1" si="627"/>
        <v/>
      </c>
      <c r="ED229" s="119" t="str">
        <f t="shared" ca="1" si="644"/>
        <v/>
      </c>
      <c r="EE229" s="112" t="str">
        <f t="shared" ca="1" si="645"/>
        <v/>
      </c>
      <c r="EF229" s="120">
        <f ca="1">IF(BD229,_xll.xASN(BR229,Strike1,AO229,ED229,0,BO229,0,BI229,BL229,IF(OptControl=4,0,1),0),0)</f>
        <v>0</v>
      </c>
      <c r="EG229" s="111">
        <f ca="1">IF(BD229,_xll.xASN(BR229,Strike2,AO229,EE229,0,BO229,0,BI229,BL229,IF(OptControl=3,1,0),0),0)</f>
        <v>0</v>
      </c>
      <c r="EL229" s="55"/>
      <c r="EM229" s="1"/>
      <c r="EN229" s="106"/>
      <c r="EO229" s="106"/>
      <c r="EP229" s="1"/>
      <c r="EQ229" s="683" t="s">
        <v>443</v>
      </c>
      <c r="ES229" s="55"/>
      <c r="EU229" s="107"/>
      <c r="FJ229" s="673">
        <v>60</v>
      </c>
      <c r="FK229" s="479" t="str">
        <f ca="1">IF(OR(FK$169&lt;SwaptionFirstMonthPosition+1,$FJ229&lt;SwaptionFirstMonthPosition+1,FK$169&gt;SwaptionFirstMonthPosition+SwaptionNumOfMonths+1,$FJ229&gt;SwaptionFirstMonthPosition+SwaptionNumOfMonths+1),"",IF($FJ229=FK$169,1,IF($FJ229&lt;FK$169,INDEX($FK$170:$ID$241,FK$169,$FJ229),SUMPRODUCT(INDEX($FK$325:$ID$396,FK$169,1+SwaptionShift):INDEX($FK$325:$ID$396,FK$169,SwaptionMonthsToGo+SwaptionShift),INDEX($FK$245:$ID$316,$FJ229-FK$169,73-FK$169+SwaptionShift):INDEX($FK$245:$ID$316,$FJ229-FK$169,72-FK$169+SwaptionMonthsToGo+SwaptionShift))/SQRT(SUM(INDEX($FK384:$ID384,1+SwaptionShift):INDEX($FK384:$ID384,SwaptionMonthsToGo+SwaptionShift))*SUM(INDEX($FK$325:$ID$396,FK$169,1+SwaptionShift):INDEX($FK$325:$ID$396,FK$169,SwaptionMonthsToGo+SwaptionShift))))))</f>
        <v/>
      </c>
      <c r="FL229" s="479" t="str">
        <f ca="1">IF(OR(FL$169&lt;SwaptionFirstMonthPosition+1,$FJ229&lt;SwaptionFirstMonthPosition+1,FL$169&gt;SwaptionFirstMonthPosition+SwaptionNumOfMonths+1,$FJ229&gt;SwaptionFirstMonthPosition+SwaptionNumOfMonths+1),"",IF($FJ229=FL$169,1,IF($FJ229&lt;FL$169,INDEX($FK$170:$ID$241,FL$169,$FJ229),SUMPRODUCT(INDEX($FK$325:$ID$396,FL$169,1+SwaptionShift):INDEX($FK$325:$ID$396,FL$169,SwaptionMonthsToGo+SwaptionShift),INDEX($FK$245:$ID$316,$FJ229-FL$169,73-FL$169+SwaptionShift):INDEX($FK$245:$ID$316,$FJ229-FL$169,72-FL$169+SwaptionMonthsToGo+SwaptionShift))/SQRT(SUM(INDEX($FK384:$ID384,1+SwaptionShift):INDEX($FK384:$ID384,SwaptionMonthsToGo+SwaptionShift))*SUM(INDEX($FK$325:$ID$396,FL$169,1+SwaptionShift):INDEX($FK$325:$ID$396,FL$169,SwaptionMonthsToGo+SwaptionShift))))))</f>
        <v/>
      </c>
      <c r="FM229" s="479" t="str">
        <f ca="1">IF(OR(FM$169&lt;SwaptionFirstMonthPosition+1,$FJ229&lt;SwaptionFirstMonthPosition+1,FM$169&gt;SwaptionFirstMonthPosition+SwaptionNumOfMonths+1,$FJ229&gt;SwaptionFirstMonthPosition+SwaptionNumOfMonths+1),"",IF($FJ229=FM$169,1,IF($FJ229&lt;FM$169,INDEX($FK$170:$ID$241,FM$169,$FJ229),SUMPRODUCT(INDEX($FK$325:$ID$396,FM$169,1+SwaptionShift):INDEX($FK$325:$ID$396,FM$169,SwaptionMonthsToGo+SwaptionShift),INDEX($FK$245:$ID$316,$FJ229-FM$169,73-FM$169+SwaptionShift):INDEX($FK$245:$ID$316,$FJ229-FM$169,72-FM$169+SwaptionMonthsToGo+SwaptionShift))/SQRT(SUM(INDEX($FK384:$ID384,1+SwaptionShift):INDEX($FK384:$ID384,SwaptionMonthsToGo+SwaptionShift))*SUM(INDEX($FK$325:$ID$396,FM$169,1+SwaptionShift):INDEX($FK$325:$ID$396,FM$169,SwaptionMonthsToGo+SwaptionShift))))))</f>
        <v/>
      </c>
      <c r="FN229" s="479" t="str">
        <f ca="1">IF(OR(FN$169&lt;SwaptionFirstMonthPosition+1,$FJ229&lt;SwaptionFirstMonthPosition+1,FN$169&gt;SwaptionFirstMonthPosition+SwaptionNumOfMonths+1,$FJ229&gt;SwaptionFirstMonthPosition+SwaptionNumOfMonths+1),"",IF($FJ229=FN$169,1,IF($FJ229&lt;FN$169,INDEX($FK$170:$ID$241,FN$169,$FJ229),SUMPRODUCT(INDEX($FK$325:$ID$396,FN$169,1+SwaptionShift):INDEX($FK$325:$ID$396,FN$169,SwaptionMonthsToGo+SwaptionShift),INDEX($FK$245:$ID$316,$FJ229-FN$169,73-FN$169+SwaptionShift):INDEX($FK$245:$ID$316,$FJ229-FN$169,72-FN$169+SwaptionMonthsToGo+SwaptionShift))/SQRT(SUM(INDEX($FK384:$ID384,1+SwaptionShift):INDEX($FK384:$ID384,SwaptionMonthsToGo+SwaptionShift))*SUM(INDEX($FK$325:$ID$396,FN$169,1+SwaptionShift):INDEX($FK$325:$ID$396,FN$169,SwaptionMonthsToGo+SwaptionShift))))))</f>
        <v/>
      </c>
      <c r="FO229" s="479" t="str">
        <f ca="1">IF(OR(FO$169&lt;SwaptionFirstMonthPosition+1,$FJ229&lt;SwaptionFirstMonthPosition+1,FO$169&gt;SwaptionFirstMonthPosition+SwaptionNumOfMonths+1,$FJ229&gt;SwaptionFirstMonthPosition+SwaptionNumOfMonths+1),"",IF($FJ229=FO$169,1,IF($FJ229&lt;FO$169,INDEX($FK$170:$ID$241,FO$169,$FJ229),SUMPRODUCT(INDEX($FK$325:$ID$396,FO$169,1+SwaptionShift):INDEX($FK$325:$ID$396,FO$169,SwaptionMonthsToGo+SwaptionShift),INDEX($FK$245:$ID$316,$FJ229-FO$169,73-FO$169+SwaptionShift):INDEX($FK$245:$ID$316,$FJ229-FO$169,72-FO$169+SwaptionMonthsToGo+SwaptionShift))/SQRT(SUM(INDEX($FK384:$ID384,1+SwaptionShift):INDEX($FK384:$ID384,SwaptionMonthsToGo+SwaptionShift))*SUM(INDEX($FK$325:$ID$396,FO$169,1+SwaptionShift):INDEX($FK$325:$ID$396,FO$169,SwaptionMonthsToGo+SwaptionShift))))))</f>
        <v/>
      </c>
      <c r="FP229" s="479" t="str">
        <f ca="1">IF(OR(FP$169&lt;SwaptionFirstMonthPosition+1,$FJ229&lt;SwaptionFirstMonthPosition+1,FP$169&gt;SwaptionFirstMonthPosition+SwaptionNumOfMonths+1,$FJ229&gt;SwaptionFirstMonthPosition+SwaptionNumOfMonths+1),"",IF($FJ229=FP$169,1,IF($FJ229&lt;FP$169,INDEX($FK$170:$ID$241,FP$169,$FJ229),SUMPRODUCT(INDEX($FK$325:$ID$396,FP$169,1+SwaptionShift):INDEX($FK$325:$ID$396,FP$169,SwaptionMonthsToGo+SwaptionShift),INDEX($FK$245:$ID$316,$FJ229-FP$169,73-FP$169+SwaptionShift):INDEX($FK$245:$ID$316,$FJ229-FP$169,72-FP$169+SwaptionMonthsToGo+SwaptionShift))/SQRT(SUM(INDEX($FK384:$ID384,1+SwaptionShift):INDEX($FK384:$ID384,SwaptionMonthsToGo+SwaptionShift))*SUM(INDEX($FK$325:$ID$396,FP$169,1+SwaptionShift):INDEX($FK$325:$ID$396,FP$169,SwaptionMonthsToGo+SwaptionShift))))))</f>
        <v/>
      </c>
      <c r="FQ229" s="479" t="str">
        <f ca="1">IF(OR(FQ$169&lt;SwaptionFirstMonthPosition+1,$FJ229&lt;SwaptionFirstMonthPosition+1,FQ$169&gt;SwaptionFirstMonthPosition+SwaptionNumOfMonths+1,$FJ229&gt;SwaptionFirstMonthPosition+SwaptionNumOfMonths+1),"",IF($FJ229=FQ$169,1,IF($FJ229&lt;FQ$169,INDEX($FK$170:$ID$241,FQ$169,$FJ229),SUMPRODUCT(INDEX($FK$325:$ID$396,FQ$169,1+SwaptionShift):INDEX($FK$325:$ID$396,FQ$169,SwaptionMonthsToGo+SwaptionShift),INDEX($FK$245:$ID$316,$FJ229-FQ$169,73-FQ$169+SwaptionShift):INDEX($FK$245:$ID$316,$FJ229-FQ$169,72-FQ$169+SwaptionMonthsToGo+SwaptionShift))/SQRT(SUM(INDEX($FK384:$ID384,1+SwaptionShift):INDEX($FK384:$ID384,SwaptionMonthsToGo+SwaptionShift))*SUM(INDEX($FK$325:$ID$396,FQ$169,1+SwaptionShift):INDEX($FK$325:$ID$396,FQ$169,SwaptionMonthsToGo+SwaptionShift))))))</f>
        <v/>
      </c>
      <c r="FR229" s="479" t="str">
        <f ca="1">IF(OR(FR$169&lt;SwaptionFirstMonthPosition+1,$FJ229&lt;SwaptionFirstMonthPosition+1,FR$169&gt;SwaptionFirstMonthPosition+SwaptionNumOfMonths+1,$FJ229&gt;SwaptionFirstMonthPosition+SwaptionNumOfMonths+1),"",IF($FJ229=FR$169,1,IF($FJ229&lt;FR$169,INDEX($FK$170:$ID$241,FR$169,$FJ229),SUMPRODUCT(INDEX($FK$325:$ID$396,FR$169,1+SwaptionShift):INDEX($FK$325:$ID$396,FR$169,SwaptionMonthsToGo+SwaptionShift),INDEX($FK$245:$ID$316,$FJ229-FR$169,73-FR$169+SwaptionShift):INDEX($FK$245:$ID$316,$FJ229-FR$169,72-FR$169+SwaptionMonthsToGo+SwaptionShift))/SQRT(SUM(INDEX($FK384:$ID384,1+SwaptionShift):INDEX($FK384:$ID384,SwaptionMonthsToGo+SwaptionShift))*SUM(INDEX($FK$325:$ID$396,FR$169,1+SwaptionShift):INDEX($FK$325:$ID$396,FR$169,SwaptionMonthsToGo+SwaptionShift))))))</f>
        <v/>
      </c>
      <c r="FS229" s="479" t="str">
        <f ca="1">IF(OR(FS$169&lt;SwaptionFirstMonthPosition+1,$FJ229&lt;SwaptionFirstMonthPosition+1,FS$169&gt;SwaptionFirstMonthPosition+SwaptionNumOfMonths+1,$FJ229&gt;SwaptionFirstMonthPosition+SwaptionNumOfMonths+1),"",IF($FJ229=FS$169,1,IF($FJ229&lt;FS$169,INDEX($FK$170:$ID$241,FS$169,$FJ229),SUMPRODUCT(INDEX($FK$325:$ID$396,FS$169,1+SwaptionShift):INDEX($FK$325:$ID$396,FS$169,SwaptionMonthsToGo+SwaptionShift),INDEX($FK$245:$ID$316,$FJ229-FS$169,73-FS$169+SwaptionShift):INDEX($FK$245:$ID$316,$FJ229-FS$169,72-FS$169+SwaptionMonthsToGo+SwaptionShift))/SQRT(SUM(INDEX($FK384:$ID384,1+SwaptionShift):INDEX($FK384:$ID384,SwaptionMonthsToGo+SwaptionShift))*SUM(INDEX($FK$325:$ID$396,FS$169,1+SwaptionShift):INDEX($FK$325:$ID$396,FS$169,SwaptionMonthsToGo+SwaptionShift))))))</f>
        <v/>
      </c>
      <c r="FT229" s="479" t="str">
        <f ca="1">IF(OR(FT$169&lt;SwaptionFirstMonthPosition+1,$FJ229&lt;SwaptionFirstMonthPosition+1,FT$169&gt;SwaptionFirstMonthPosition+SwaptionNumOfMonths+1,$FJ229&gt;SwaptionFirstMonthPosition+SwaptionNumOfMonths+1),"",IF($FJ229=FT$169,1,IF($FJ229&lt;FT$169,INDEX($FK$170:$ID$241,FT$169,$FJ229),SUMPRODUCT(INDEX($FK$325:$ID$396,FT$169,1+SwaptionShift):INDEX($FK$325:$ID$396,FT$169,SwaptionMonthsToGo+SwaptionShift),INDEX($FK$245:$ID$316,$FJ229-FT$169,73-FT$169+SwaptionShift):INDEX($FK$245:$ID$316,$FJ229-FT$169,72-FT$169+SwaptionMonthsToGo+SwaptionShift))/SQRT(SUM(INDEX($FK384:$ID384,1+SwaptionShift):INDEX($FK384:$ID384,SwaptionMonthsToGo+SwaptionShift))*SUM(INDEX($FK$325:$ID$396,FT$169,1+SwaptionShift):INDEX($FK$325:$ID$396,FT$169,SwaptionMonthsToGo+SwaptionShift))))))</f>
        <v/>
      </c>
      <c r="FU229" s="479" t="str">
        <f ca="1">IF(OR(FU$169&lt;SwaptionFirstMonthPosition+1,$FJ229&lt;SwaptionFirstMonthPosition+1,FU$169&gt;SwaptionFirstMonthPosition+SwaptionNumOfMonths+1,$FJ229&gt;SwaptionFirstMonthPosition+SwaptionNumOfMonths+1),"",IF($FJ229=FU$169,1,IF($FJ229&lt;FU$169,INDEX($FK$170:$ID$241,FU$169,$FJ229),SUMPRODUCT(INDEX($FK$325:$ID$396,FU$169,1+SwaptionShift):INDEX($FK$325:$ID$396,FU$169,SwaptionMonthsToGo+SwaptionShift),INDEX($FK$245:$ID$316,$FJ229-FU$169,73-FU$169+SwaptionShift):INDEX($FK$245:$ID$316,$FJ229-FU$169,72-FU$169+SwaptionMonthsToGo+SwaptionShift))/SQRT(SUM(INDEX($FK384:$ID384,1+SwaptionShift):INDEX($FK384:$ID384,SwaptionMonthsToGo+SwaptionShift))*SUM(INDEX($FK$325:$ID$396,FU$169,1+SwaptionShift):INDEX($FK$325:$ID$396,FU$169,SwaptionMonthsToGo+SwaptionShift))))))</f>
        <v/>
      </c>
      <c r="FV229" s="479" t="str">
        <f ca="1">IF(OR(FV$169&lt;SwaptionFirstMonthPosition+1,$FJ229&lt;SwaptionFirstMonthPosition+1,FV$169&gt;SwaptionFirstMonthPosition+SwaptionNumOfMonths+1,$FJ229&gt;SwaptionFirstMonthPosition+SwaptionNumOfMonths+1),"",IF($FJ229=FV$169,1,IF($FJ229&lt;FV$169,INDEX($FK$170:$ID$241,FV$169,$FJ229),SUMPRODUCT(INDEX($FK$325:$ID$396,FV$169,1+SwaptionShift):INDEX($FK$325:$ID$396,FV$169,SwaptionMonthsToGo+SwaptionShift),INDEX($FK$245:$ID$316,$FJ229-FV$169,73-FV$169+SwaptionShift):INDEX($FK$245:$ID$316,$FJ229-FV$169,72-FV$169+SwaptionMonthsToGo+SwaptionShift))/SQRT(SUM(INDEX($FK384:$ID384,1+SwaptionShift):INDEX($FK384:$ID384,SwaptionMonthsToGo+SwaptionShift))*SUM(INDEX($FK$325:$ID$396,FV$169,1+SwaptionShift):INDEX($FK$325:$ID$396,FV$169,SwaptionMonthsToGo+SwaptionShift))))))</f>
        <v/>
      </c>
      <c r="FW229" s="479" t="str">
        <f ca="1">IF(OR(FW$169&lt;SwaptionFirstMonthPosition+1,$FJ229&lt;SwaptionFirstMonthPosition+1,FW$169&gt;SwaptionFirstMonthPosition+SwaptionNumOfMonths+1,$FJ229&gt;SwaptionFirstMonthPosition+SwaptionNumOfMonths+1),"",IF($FJ229=FW$169,1,IF($FJ229&lt;FW$169,INDEX($FK$170:$ID$241,FW$169,$FJ229),SUMPRODUCT(INDEX($FK$325:$ID$396,FW$169,1+SwaptionShift):INDEX($FK$325:$ID$396,FW$169,SwaptionMonthsToGo+SwaptionShift),INDEX($FK$245:$ID$316,$FJ229-FW$169,73-FW$169+SwaptionShift):INDEX($FK$245:$ID$316,$FJ229-FW$169,72-FW$169+SwaptionMonthsToGo+SwaptionShift))/SQRT(SUM(INDEX($FK384:$ID384,1+SwaptionShift):INDEX($FK384:$ID384,SwaptionMonthsToGo+SwaptionShift))*SUM(INDEX($FK$325:$ID$396,FW$169,1+SwaptionShift):INDEX($FK$325:$ID$396,FW$169,SwaptionMonthsToGo+SwaptionShift))))))</f>
        <v/>
      </c>
      <c r="FX229" s="479" t="str">
        <f ca="1">IF(OR(FX$169&lt;SwaptionFirstMonthPosition+1,$FJ229&lt;SwaptionFirstMonthPosition+1,FX$169&gt;SwaptionFirstMonthPosition+SwaptionNumOfMonths+1,$FJ229&gt;SwaptionFirstMonthPosition+SwaptionNumOfMonths+1),"",IF($FJ229=FX$169,1,IF($FJ229&lt;FX$169,INDEX($FK$170:$ID$241,FX$169,$FJ229),SUMPRODUCT(INDEX($FK$325:$ID$396,FX$169,1+SwaptionShift):INDEX($FK$325:$ID$396,FX$169,SwaptionMonthsToGo+SwaptionShift),INDEX($FK$245:$ID$316,$FJ229-FX$169,73-FX$169+SwaptionShift):INDEX($FK$245:$ID$316,$FJ229-FX$169,72-FX$169+SwaptionMonthsToGo+SwaptionShift))/SQRT(SUM(INDEX($FK384:$ID384,1+SwaptionShift):INDEX($FK384:$ID384,SwaptionMonthsToGo+SwaptionShift))*SUM(INDEX($FK$325:$ID$396,FX$169,1+SwaptionShift):INDEX($FK$325:$ID$396,FX$169,SwaptionMonthsToGo+SwaptionShift))))))</f>
        <v/>
      </c>
      <c r="FY229" s="479" t="str">
        <f ca="1">IF(OR(FY$169&lt;SwaptionFirstMonthPosition+1,$FJ229&lt;SwaptionFirstMonthPosition+1,FY$169&gt;SwaptionFirstMonthPosition+SwaptionNumOfMonths+1,$FJ229&gt;SwaptionFirstMonthPosition+SwaptionNumOfMonths+1),"",IF($FJ229=FY$169,1,IF($FJ229&lt;FY$169,INDEX($FK$170:$ID$241,FY$169,$FJ229),SUMPRODUCT(INDEX($FK$325:$ID$396,FY$169,1+SwaptionShift):INDEX($FK$325:$ID$396,FY$169,SwaptionMonthsToGo+SwaptionShift),INDEX($FK$245:$ID$316,$FJ229-FY$169,73-FY$169+SwaptionShift):INDEX($FK$245:$ID$316,$FJ229-FY$169,72-FY$169+SwaptionMonthsToGo+SwaptionShift))/SQRT(SUM(INDEX($FK384:$ID384,1+SwaptionShift):INDEX($FK384:$ID384,SwaptionMonthsToGo+SwaptionShift))*SUM(INDEX($FK$325:$ID$396,FY$169,1+SwaptionShift):INDEX($FK$325:$ID$396,FY$169,SwaptionMonthsToGo+SwaptionShift))))))</f>
        <v/>
      </c>
      <c r="FZ229" s="479" t="str">
        <f ca="1">IF(OR(FZ$169&lt;SwaptionFirstMonthPosition+1,$FJ229&lt;SwaptionFirstMonthPosition+1,FZ$169&gt;SwaptionFirstMonthPosition+SwaptionNumOfMonths+1,$FJ229&gt;SwaptionFirstMonthPosition+SwaptionNumOfMonths+1),"",IF($FJ229=FZ$169,1,IF($FJ229&lt;FZ$169,INDEX($FK$170:$ID$241,FZ$169,$FJ229),SUMPRODUCT(INDEX($FK$325:$ID$396,FZ$169,1+SwaptionShift):INDEX($FK$325:$ID$396,FZ$169,SwaptionMonthsToGo+SwaptionShift),INDEX($FK$245:$ID$316,$FJ229-FZ$169,73-FZ$169+SwaptionShift):INDEX($FK$245:$ID$316,$FJ229-FZ$169,72-FZ$169+SwaptionMonthsToGo+SwaptionShift))/SQRT(SUM(INDEX($FK384:$ID384,1+SwaptionShift):INDEX($FK384:$ID384,SwaptionMonthsToGo+SwaptionShift))*SUM(INDEX($FK$325:$ID$396,FZ$169,1+SwaptionShift):INDEX($FK$325:$ID$396,FZ$169,SwaptionMonthsToGo+SwaptionShift))))))</f>
        <v/>
      </c>
      <c r="GA229" s="479" t="str">
        <f ca="1">IF(OR(GA$169&lt;SwaptionFirstMonthPosition+1,$FJ229&lt;SwaptionFirstMonthPosition+1,GA$169&gt;SwaptionFirstMonthPosition+SwaptionNumOfMonths+1,$FJ229&gt;SwaptionFirstMonthPosition+SwaptionNumOfMonths+1),"",IF($FJ229=GA$169,1,IF($FJ229&lt;GA$169,INDEX($FK$170:$ID$241,GA$169,$FJ229),SUMPRODUCT(INDEX($FK$325:$ID$396,GA$169,1+SwaptionShift):INDEX($FK$325:$ID$396,GA$169,SwaptionMonthsToGo+SwaptionShift),INDEX($FK$245:$ID$316,$FJ229-GA$169,73-GA$169+SwaptionShift):INDEX($FK$245:$ID$316,$FJ229-GA$169,72-GA$169+SwaptionMonthsToGo+SwaptionShift))/SQRT(SUM(INDEX($FK384:$ID384,1+SwaptionShift):INDEX($FK384:$ID384,SwaptionMonthsToGo+SwaptionShift))*SUM(INDEX($FK$325:$ID$396,GA$169,1+SwaptionShift):INDEX($FK$325:$ID$396,GA$169,SwaptionMonthsToGo+SwaptionShift))))))</f>
        <v/>
      </c>
      <c r="GB229" s="479" t="str">
        <f ca="1">IF(OR(GB$169&lt;SwaptionFirstMonthPosition+1,$FJ229&lt;SwaptionFirstMonthPosition+1,GB$169&gt;SwaptionFirstMonthPosition+SwaptionNumOfMonths+1,$FJ229&gt;SwaptionFirstMonthPosition+SwaptionNumOfMonths+1),"",IF($FJ229=GB$169,1,IF($FJ229&lt;GB$169,INDEX($FK$170:$ID$241,GB$169,$FJ229),SUMPRODUCT(INDEX($FK$325:$ID$396,GB$169,1+SwaptionShift):INDEX($FK$325:$ID$396,GB$169,SwaptionMonthsToGo+SwaptionShift),INDEX($FK$245:$ID$316,$FJ229-GB$169,73-GB$169+SwaptionShift):INDEX($FK$245:$ID$316,$FJ229-GB$169,72-GB$169+SwaptionMonthsToGo+SwaptionShift))/SQRT(SUM(INDEX($FK384:$ID384,1+SwaptionShift):INDEX($FK384:$ID384,SwaptionMonthsToGo+SwaptionShift))*SUM(INDEX($FK$325:$ID$396,GB$169,1+SwaptionShift):INDEX($FK$325:$ID$396,GB$169,SwaptionMonthsToGo+SwaptionShift))))))</f>
        <v/>
      </c>
      <c r="GC229" s="479" t="str">
        <f ca="1">IF(OR(GC$169&lt;SwaptionFirstMonthPosition+1,$FJ229&lt;SwaptionFirstMonthPosition+1,GC$169&gt;SwaptionFirstMonthPosition+SwaptionNumOfMonths+1,$FJ229&gt;SwaptionFirstMonthPosition+SwaptionNumOfMonths+1),"",IF($FJ229=GC$169,1,IF($FJ229&lt;GC$169,INDEX($FK$170:$ID$241,GC$169,$FJ229),SUMPRODUCT(INDEX($FK$325:$ID$396,GC$169,1+SwaptionShift):INDEX($FK$325:$ID$396,GC$169,SwaptionMonthsToGo+SwaptionShift),INDEX($FK$245:$ID$316,$FJ229-GC$169,73-GC$169+SwaptionShift):INDEX($FK$245:$ID$316,$FJ229-GC$169,72-GC$169+SwaptionMonthsToGo+SwaptionShift))/SQRT(SUM(INDEX($FK384:$ID384,1+SwaptionShift):INDEX($FK384:$ID384,SwaptionMonthsToGo+SwaptionShift))*SUM(INDEX($FK$325:$ID$396,GC$169,1+SwaptionShift):INDEX($FK$325:$ID$396,GC$169,SwaptionMonthsToGo+SwaptionShift))))))</f>
        <v/>
      </c>
      <c r="GD229" s="479" t="str">
        <f ca="1">IF(OR(GD$169&lt;SwaptionFirstMonthPosition+1,$FJ229&lt;SwaptionFirstMonthPosition+1,GD$169&gt;SwaptionFirstMonthPosition+SwaptionNumOfMonths+1,$FJ229&gt;SwaptionFirstMonthPosition+SwaptionNumOfMonths+1),"",IF($FJ229=GD$169,1,IF($FJ229&lt;GD$169,INDEX($FK$170:$ID$241,GD$169,$FJ229),SUMPRODUCT(INDEX($FK$325:$ID$396,GD$169,1+SwaptionShift):INDEX($FK$325:$ID$396,GD$169,SwaptionMonthsToGo+SwaptionShift),INDEX($FK$245:$ID$316,$FJ229-GD$169,73-GD$169+SwaptionShift):INDEX($FK$245:$ID$316,$FJ229-GD$169,72-GD$169+SwaptionMonthsToGo+SwaptionShift))/SQRT(SUM(INDEX($FK384:$ID384,1+SwaptionShift):INDEX($FK384:$ID384,SwaptionMonthsToGo+SwaptionShift))*SUM(INDEX($FK$325:$ID$396,GD$169,1+SwaptionShift):INDEX($FK$325:$ID$396,GD$169,SwaptionMonthsToGo+SwaptionShift))))))</f>
        <v/>
      </c>
      <c r="GE229" s="479" t="str">
        <f ca="1">IF(OR(GE$169&lt;SwaptionFirstMonthPosition+1,$FJ229&lt;SwaptionFirstMonthPosition+1,GE$169&gt;SwaptionFirstMonthPosition+SwaptionNumOfMonths+1,$FJ229&gt;SwaptionFirstMonthPosition+SwaptionNumOfMonths+1),"",IF($FJ229=GE$169,1,IF($FJ229&lt;GE$169,INDEX($FK$170:$ID$241,GE$169,$FJ229),SUMPRODUCT(INDEX($FK$325:$ID$396,GE$169,1+SwaptionShift):INDEX($FK$325:$ID$396,GE$169,SwaptionMonthsToGo+SwaptionShift),INDEX($FK$245:$ID$316,$FJ229-GE$169,73-GE$169+SwaptionShift):INDEX($FK$245:$ID$316,$FJ229-GE$169,72-GE$169+SwaptionMonthsToGo+SwaptionShift))/SQRT(SUM(INDEX($FK384:$ID384,1+SwaptionShift):INDEX($FK384:$ID384,SwaptionMonthsToGo+SwaptionShift))*SUM(INDEX($FK$325:$ID$396,GE$169,1+SwaptionShift):INDEX($FK$325:$ID$396,GE$169,SwaptionMonthsToGo+SwaptionShift))))))</f>
        <v/>
      </c>
      <c r="GF229" s="479" t="str">
        <f ca="1">IF(OR(GF$169&lt;SwaptionFirstMonthPosition+1,$FJ229&lt;SwaptionFirstMonthPosition+1,GF$169&gt;SwaptionFirstMonthPosition+SwaptionNumOfMonths+1,$FJ229&gt;SwaptionFirstMonthPosition+SwaptionNumOfMonths+1),"",IF($FJ229=GF$169,1,IF($FJ229&lt;GF$169,INDEX($FK$170:$ID$241,GF$169,$FJ229),SUMPRODUCT(INDEX($FK$325:$ID$396,GF$169,1+SwaptionShift):INDEX($FK$325:$ID$396,GF$169,SwaptionMonthsToGo+SwaptionShift),INDEX($FK$245:$ID$316,$FJ229-GF$169,73-GF$169+SwaptionShift):INDEX($FK$245:$ID$316,$FJ229-GF$169,72-GF$169+SwaptionMonthsToGo+SwaptionShift))/SQRT(SUM(INDEX($FK384:$ID384,1+SwaptionShift):INDEX($FK384:$ID384,SwaptionMonthsToGo+SwaptionShift))*SUM(INDEX($FK$325:$ID$396,GF$169,1+SwaptionShift):INDEX($FK$325:$ID$396,GF$169,SwaptionMonthsToGo+SwaptionShift))))))</f>
        <v/>
      </c>
      <c r="GG229" s="479" t="str">
        <f ca="1">IF(OR(GG$169&lt;SwaptionFirstMonthPosition+1,$FJ229&lt;SwaptionFirstMonthPosition+1,GG$169&gt;SwaptionFirstMonthPosition+SwaptionNumOfMonths+1,$FJ229&gt;SwaptionFirstMonthPosition+SwaptionNumOfMonths+1),"",IF($FJ229=GG$169,1,IF($FJ229&lt;GG$169,INDEX($FK$170:$ID$241,GG$169,$FJ229),SUMPRODUCT(INDEX($FK$325:$ID$396,GG$169,1+SwaptionShift):INDEX($FK$325:$ID$396,GG$169,SwaptionMonthsToGo+SwaptionShift),INDEX($FK$245:$ID$316,$FJ229-GG$169,73-GG$169+SwaptionShift):INDEX($FK$245:$ID$316,$FJ229-GG$169,72-GG$169+SwaptionMonthsToGo+SwaptionShift))/SQRT(SUM(INDEX($FK384:$ID384,1+SwaptionShift):INDEX($FK384:$ID384,SwaptionMonthsToGo+SwaptionShift))*SUM(INDEX($FK$325:$ID$396,GG$169,1+SwaptionShift):INDEX($FK$325:$ID$396,GG$169,SwaptionMonthsToGo+SwaptionShift))))))</f>
        <v/>
      </c>
      <c r="GH229" s="479" t="str">
        <f ca="1">IF(OR(GH$169&lt;SwaptionFirstMonthPosition+1,$FJ229&lt;SwaptionFirstMonthPosition+1,GH$169&gt;SwaptionFirstMonthPosition+SwaptionNumOfMonths+1,$FJ229&gt;SwaptionFirstMonthPosition+SwaptionNumOfMonths+1),"",IF($FJ229=GH$169,1,IF($FJ229&lt;GH$169,INDEX($FK$170:$ID$241,GH$169,$FJ229),SUMPRODUCT(INDEX($FK$325:$ID$396,GH$169,1+SwaptionShift):INDEX($FK$325:$ID$396,GH$169,SwaptionMonthsToGo+SwaptionShift),INDEX($FK$245:$ID$316,$FJ229-GH$169,73-GH$169+SwaptionShift):INDEX($FK$245:$ID$316,$FJ229-GH$169,72-GH$169+SwaptionMonthsToGo+SwaptionShift))/SQRT(SUM(INDEX($FK384:$ID384,1+SwaptionShift):INDEX($FK384:$ID384,SwaptionMonthsToGo+SwaptionShift))*SUM(INDEX($FK$325:$ID$396,GH$169,1+SwaptionShift):INDEX($FK$325:$ID$396,GH$169,SwaptionMonthsToGo+SwaptionShift))))))</f>
        <v/>
      </c>
      <c r="GI229" s="479" t="str">
        <f ca="1">IF(OR(GI$169&lt;SwaptionFirstMonthPosition+1,$FJ229&lt;SwaptionFirstMonthPosition+1,GI$169&gt;SwaptionFirstMonthPosition+SwaptionNumOfMonths+1,$FJ229&gt;SwaptionFirstMonthPosition+SwaptionNumOfMonths+1),"",IF($FJ229=GI$169,1,IF($FJ229&lt;GI$169,INDEX($FK$170:$ID$241,GI$169,$FJ229),SUMPRODUCT(INDEX($FK$325:$ID$396,GI$169,1+SwaptionShift):INDEX($FK$325:$ID$396,GI$169,SwaptionMonthsToGo+SwaptionShift),INDEX($FK$245:$ID$316,$FJ229-GI$169,73-GI$169+SwaptionShift):INDEX($FK$245:$ID$316,$FJ229-GI$169,72-GI$169+SwaptionMonthsToGo+SwaptionShift))/SQRT(SUM(INDEX($FK384:$ID384,1+SwaptionShift):INDEX($FK384:$ID384,SwaptionMonthsToGo+SwaptionShift))*SUM(INDEX($FK$325:$ID$396,GI$169,1+SwaptionShift):INDEX($FK$325:$ID$396,GI$169,SwaptionMonthsToGo+SwaptionShift))))))</f>
        <v/>
      </c>
      <c r="GJ229" s="479" t="str">
        <f ca="1">IF(OR(GJ$169&lt;SwaptionFirstMonthPosition+1,$FJ229&lt;SwaptionFirstMonthPosition+1,GJ$169&gt;SwaptionFirstMonthPosition+SwaptionNumOfMonths+1,$FJ229&gt;SwaptionFirstMonthPosition+SwaptionNumOfMonths+1),"",IF($FJ229=GJ$169,1,IF($FJ229&lt;GJ$169,INDEX($FK$170:$ID$241,GJ$169,$FJ229),SUMPRODUCT(INDEX($FK$325:$ID$396,GJ$169,1+SwaptionShift):INDEX($FK$325:$ID$396,GJ$169,SwaptionMonthsToGo+SwaptionShift),INDEX($FK$245:$ID$316,$FJ229-GJ$169,73-GJ$169+SwaptionShift):INDEX($FK$245:$ID$316,$FJ229-GJ$169,72-GJ$169+SwaptionMonthsToGo+SwaptionShift))/SQRT(SUM(INDEX($FK384:$ID384,1+SwaptionShift):INDEX($FK384:$ID384,SwaptionMonthsToGo+SwaptionShift))*SUM(INDEX($FK$325:$ID$396,GJ$169,1+SwaptionShift):INDEX($FK$325:$ID$396,GJ$169,SwaptionMonthsToGo+SwaptionShift))))))</f>
        <v/>
      </c>
      <c r="GK229" s="479" t="str">
        <f ca="1">IF(OR(GK$169&lt;SwaptionFirstMonthPosition+1,$FJ229&lt;SwaptionFirstMonthPosition+1,GK$169&gt;SwaptionFirstMonthPosition+SwaptionNumOfMonths+1,$FJ229&gt;SwaptionFirstMonthPosition+SwaptionNumOfMonths+1),"",IF($FJ229=GK$169,1,IF($FJ229&lt;GK$169,INDEX($FK$170:$ID$241,GK$169,$FJ229),SUMPRODUCT(INDEX($FK$325:$ID$396,GK$169,1+SwaptionShift):INDEX($FK$325:$ID$396,GK$169,SwaptionMonthsToGo+SwaptionShift),INDEX($FK$245:$ID$316,$FJ229-GK$169,73-GK$169+SwaptionShift):INDEX($FK$245:$ID$316,$FJ229-GK$169,72-GK$169+SwaptionMonthsToGo+SwaptionShift))/SQRT(SUM(INDEX($FK384:$ID384,1+SwaptionShift):INDEX($FK384:$ID384,SwaptionMonthsToGo+SwaptionShift))*SUM(INDEX($FK$325:$ID$396,GK$169,1+SwaptionShift):INDEX($FK$325:$ID$396,GK$169,SwaptionMonthsToGo+SwaptionShift))))))</f>
        <v/>
      </c>
      <c r="GL229" s="479" t="str">
        <f ca="1">IF(OR(GL$169&lt;SwaptionFirstMonthPosition+1,$FJ229&lt;SwaptionFirstMonthPosition+1,GL$169&gt;SwaptionFirstMonthPosition+SwaptionNumOfMonths+1,$FJ229&gt;SwaptionFirstMonthPosition+SwaptionNumOfMonths+1),"",IF($FJ229=GL$169,1,IF($FJ229&lt;GL$169,INDEX($FK$170:$ID$241,GL$169,$FJ229),SUMPRODUCT(INDEX($FK$325:$ID$396,GL$169,1+SwaptionShift):INDEX($FK$325:$ID$396,GL$169,SwaptionMonthsToGo+SwaptionShift),INDEX($FK$245:$ID$316,$FJ229-GL$169,73-GL$169+SwaptionShift):INDEX($FK$245:$ID$316,$FJ229-GL$169,72-GL$169+SwaptionMonthsToGo+SwaptionShift))/SQRT(SUM(INDEX($FK384:$ID384,1+SwaptionShift):INDEX($FK384:$ID384,SwaptionMonthsToGo+SwaptionShift))*SUM(INDEX($FK$325:$ID$396,GL$169,1+SwaptionShift):INDEX($FK$325:$ID$396,GL$169,SwaptionMonthsToGo+SwaptionShift))))))</f>
        <v/>
      </c>
      <c r="GM229" s="479" t="str">
        <f ca="1">IF(OR(GM$169&lt;SwaptionFirstMonthPosition+1,$FJ229&lt;SwaptionFirstMonthPosition+1,GM$169&gt;SwaptionFirstMonthPosition+SwaptionNumOfMonths+1,$FJ229&gt;SwaptionFirstMonthPosition+SwaptionNumOfMonths+1),"",IF($FJ229=GM$169,1,IF($FJ229&lt;GM$169,INDEX($FK$170:$ID$241,GM$169,$FJ229),SUMPRODUCT(INDEX($FK$325:$ID$396,GM$169,1+SwaptionShift):INDEX($FK$325:$ID$396,GM$169,SwaptionMonthsToGo+SwaptionShift),INDEX($FK$245:$ID$316,$FJ229-GM$169,73-GM$169+SwaptionShift):INDEX($FK$245:$ID$316,$FJ229-GM$169,72-GM$169+SwaptionMonthsToGo+SwaptionShift))/SQRT(SUM(INDEX($FK384:$ID384,1+SwaptionShift):INDEX($FK384:$ID384,SwaptionMonthsToGo+SwaptionShift))*SUM(INDEX($FK$325:$ID$396,GM$169,1+SwaptionShift):INDEX($FK$325:$ID$396,GM$169,SwaptionMonthsToGo+SwaptionShift))))))</f>
        <v/>
      </c>
      <c r="GN229" s="479" t="str">
        <f ca="1">IF(OR(GN$169&lt;SwaptionFirstMonthPosition+1,$FJ229&lt;SwaptionFirstMonthPosition+1,GN$169&gt;SwaptionFirstMonthPosition+SwaptionNumOfMonths+1,$FJ229&gt;SwaptionFirstMonthPosition+SwaptionNumOfMonths+1),"",IF($FJ229=GN$169,1,IF($FJ229&lt;GN$169,INDEX($FK$170:$ID$241,GN$169,$FJ229),SUMPRODUCT(INDEX($FK$325:$ID$396,GN$169,1+SwaptionShift):INDEX($FK$325:$ID$396,GN$169,SwaptionMonthsToGo+SwaptionShift),INDEX($FK$245:$ID$316,$FJ229-GN$169,73-GN$169+SwaptionShift):INDEX($FK$245:$ID$316,$FJ229-GN$169,72-GN$169+SwaptionMonthsToGo+SwaptionShift))/SQRT(SUM(INDEX($FK384:$ID384,1+SwaptionShift):INDEX($FK384:$ID384,SwaptionMonthsToGo+SwaptionShift))*SUM(INDEX($FK$325:$ID$396,GN$169,1+SwaptionShift):INDEX($FK$325:$ID$396,GN$169,SwaptionMonthsToGo+SwaptionShift))))))</f>
        <v/>
      </c>
      <c r="GO229" s="479" t="str">
        <f ca="1">IF(OR(GO$169&lt;SwaptionFirstMonthPosition+1,$FJ229&lt;SwaptionFirstMonthPosition+1,GO$169&gt;SwaptionFirstMonthPosition+SwaptionNumOfMonths+1,$FJ229&gt;SwaptionFirstMonthPosition+SwaptionNumOfMonths+1),"",IF($FJ229=GO$169,1,IF($FJ229&lt;GO$169,INDEX($FK$170:$ID$241,GO$169,$FJ229),SUMPRODUCT(INDEX($FK$325:$ID$396,GO$169,1+SwaptionShift):INDEX($FK$325:$ID$396,GO$169,SwaptionMonthsToGo+SwaptionShift),INDEX($FK$245:$ID$316,$FJ229-GO$169,73-GO$169+SwaptionShift):INDEX($FK$245:$ID$316,$FJ229-GO$169,72-GO$169+SwaptionMonthsToGo+SwaptionShift))/SQRT(SUM(INDEX($FK384:$ID384,1+SwaptionShift):INDEX($FK384:$ID384,SwaptionMonthsToGo+SwaptionShift))*SUM(INDEX($FK$325:$ID$396,GO$169,1+SwaptionShift):INDEX($FK$325:$ID$396,GO$169,SwaptionMonthsToGo+SwaptionShift))))))</f>
        <v/>
      </c>
      <c r="GP229" s="479" t="str">
        <f ca="1">IF(OR(GP$169&lt;SwaptionFirstMonthPosition+1,$FJ229&lt;SwaptionFirstMonthPosition+1,GP$169&gt;SwaptionFirstMonthPosition+SwaptionNumOfMonths+1,$FJ229&gt;SwaptionFirstMonthPosition+SwaptionNumOfMonths+1),"",IF($FJ229=GP$169,1,IF($FJ229&lt;GP$169,INDEX($FK$170:$ID$241,GP$169,$FJ229),SUMPRODUCT(INDEX($FK$325:$ID$396,GP$169,1+SwaptionShift):INDEX($FK$325:$ID$396,GP$169,SwaptionMonthsToGo+SwaptionShift),INDEX($FK$245:$ID$316,$FJ229-GP$169,73-GP$169+SwaptionShift):INDEX($FK$245:$ID$316,$FJ229-GP$169,72-GP$169+SwaptionMonthsToGo+SwaptionShift))/SQRT(SUM(INDEX($FK384:$ID384,1+SwaptionShift):INDEX($FK384:$ID384,SwaptionMonthsToGo+SwaptionShift))*SUM(INDEX($FK$325:$ID$396,GP$169,1+SwaptionShift):INDEX($FK$325:$ID$396,GP$169,SwaptionMonthsToGo+SwaptionShift))))))</f>
        <v/>
      </c>
      <c r="GQ229" s="479" t="str">
        <f ca="1">IF(OR(GQ$169&lt;SwaptionFirstMonthPosition+1,$FJ229&lt;SwaptionFirstMonthPosition+1,GQ$169&gt;SwaptionFirstMonthPosition+SwaptionNumOfMonths+1,$FJ229&gt;SwaptionFirstMonthPosition+SwaptionNumOfMonths+1),"",IF($FJ229=GQ$169,1,IF($FJ229&lt;GQ$169,INDEX($FK$170:$ID$241,GQ$169,$FJ229),SUMPRODUCT(INDEX($FK$325:$ID$396,GQ$169,1+SwaptionShift):INDEX($FK$325:$ID$396,GQ$169,SwaptionMonthsToGo+SwaptionShift),INDEX($FK$245:$ID$316,$FJ229-GQ$169,73-GQ$169+SwaptionShift):INDEX($FK$245:$ID$316,$FJ229-GQ$169,72-GQ$169+SwaptionMonthsToGo+SwaptionShift))/SQRT(SUM(INDEX($FK384:$ID384,1+SwaptionShift):INDEX($FK384:$ID384,SwaptionMonthsToGo+SwaptionShift))*SUM(INDEX($FK$325:$ID$396,GQ$169,1+SwaptionShift):INDEX($FK$325:$ID$396,GQ$169,SwaptionMonthsToGo+SwaptionShift))))))</f>
        <v/>
      </c>
      <c r="GR229" s="479" t="str">
        <f ca="1">IF(OR(GR$169&lt;SwaptionFirstMonthPosition+1,$FJ229&lt;SwaptionFirstMonthPosition+1,GR$169&gt;SwaptionFirstMonthPosition+SwaptionNumOfMonths+1,$FJ229&gt;SwaptionFirstMonthPosition+SwaptionNumOfMonths+1),"",IF($FJ229=GR$169,1,IF($FJ229&lt;GR$169,INDEX($FK$170:$ID$241,GR$169,$FJ229),SUMPRODUCT(INDEX($FK$325:$ID$396,GR$169,1+SwaptionShift):INDEX($FK$325:$ID$396,GR$169,SwaptionMonthsToGo+SwaptionShift),INDEX($FK$245:$ID$316,$FJ229-GR$169,73-GR$169+SwaptionShift):INDEX($FK$245:$ID$316,$FJ229-GR$169,72-GR$169+SwaptionMonthsToGo+SwaptionShift))/SQRT(SUM(INDEX($FK384:$ID384,1+SwaptionShift):INDEX($FK384:$ID384,SwaptionMonthsToGo+SwaptionShift))*SUM(INDEX($FK$325:$ID$396,GR$169,1+SwaptionShift):INDEX($FK$325:$ID$396,GR$169,SwaptionMonthsToGo+SwaptionShift))))))</f>
        <v/>
      </c>
      <c r="GS229" s="479" t="str">
        <f ca="1">IF(OR(GS$169&lt;SwaptionFirstMonthPosition+1,$FJ229&lt;SwaptionFirstMonthPosition+1,GS$169&gt;SwaptionFirstMonthPosition+SwaptionNumOfMonths+1,$FJ229&gt;SwaptionFirstMonthPosition+SwaptionNumOfMonths+1),"",IF($FJ229=GS$169,1,IF($FJ229&lt;GS$169,INDEX($FK$170:$ID$241,GS$169,$FJ229),SUMPRODUCT(INDEX($FK$325:$ID$396,GS$169,1+SwaptionShift):INDEX($FK$325:$ID$396,GS$169,SwaptionMonthsToGo+SwaptionShift),INDEX($FK$245:$ID$316,$FJ229-GS$169,73-GS$169+SwaptionShift):INDEX($FK$245:$ID$316,$FJ229-GS$169,72-GS$169+SwaptionMonthsToGo+SwaptionShift))/SQRT(SUM(INDEX($FK384:$ID384,1+SwaptionShift):INDEX($FK384:$ID384,SwaptionMonthsToGo+SwaptionShift))*SUM(INDEX($FK$325:$ID$396,GS$169,1+SwaptionShift):INDEX($FK$325:$ID$396,GS$169,SwaptionMonthsToGo+SwaptionShift))))))</f>
        <v/>
      </c>
      <c r="GT229" s="479" t="str">
        <f ca="1">IF(OR(GT$169&lt;SwaptionFirstMonthPosition+1,$FJ229&lt;SwaptionFirstMonthPosition+1,GT$169&gt;SwaptionFirstMonthPosition+SwaptionNumOfMonths+1,$FJ229&gt;SwaptionFirstMonthPosition+SwaptionNumOfMonths+1),"",IF($FJ229=GT$169,1,IF($FJ229&lt;GT$169,INDEX($FK$170:$ID$241,GT$169,$FJ229),SUMPRODUCT(INDEX($FK$325:$ID$396,GT$169,1+SwaptionShift):INDEX($FK$325:$ID$396,GT$169,SwaptionMonthsToGo+SwaptionShift),INDEX($FK$245:$ID$316,$FJ229-GT$169,73-GT$169+SwaptionShift):INDEX($FK$245:$ID$316,$FJ229-GT$169,72-GT$169+SwaptionMonthsToGo+SwaptionShift))/SQRT(SUM(INDEX($FK384:$ID384,1+SwaptionShift):INDEX($FK384:$ID384,SwaptionMonthsToGo+SwaptionShift))*SUM(INDEX($FK$325:$ID$396,GT$169,1+SwaptionShift):INDEX($FK$325:$ID$396,GT$169,SwaptionMonthsToGo+SwaptionShift))))))</f>
        <v/>
      </c>
      <c r="GU229" s="479" t="str">
        <f ca="1">IF(OR(GU$169&lt;SwaptionFirstMonthPosition+1,$FJ229&lt;SwaptionFirstMonthPosition+1,GU$169&gt;SwaptionFirstMonthPosition+SwaptionNumOfMonths+1,$FJ229&gt;SwaptionFirstMonthPosition+SwaptionNumOfMonths+1),"",IF($FJ229=GU$169,1,IF($FJ229&lt;GU$169,INDEX($FK$170:$ID$241,GU$169,$FJ229),SUMPRODUCT(INDEX($FK$325:$ID$396,GU$169,1+SwaptionShift):INDEX($FK$325:$ID$396,GU$169,SwaptionMonthsToGo+SwaptionShift),INDEX($FK$245:$ID$316,$FJ229-GU$169,73-GU$169+SwaptionShift):INDEX($FK$245:$ID$316,$FJ229-GU$169,72-GU$169+SwaptionMonthsToGo+SwaptionShift))/SQRT(SUM(INDEX($FK384:$ID384,1+SwaptionShift):INDEX($FK384:$ID384,SwaptionMonthsToGo+SwaptionShift))*SUM(INDEX($FK$325:$ID$396,GU$169,1+SwaptionShift):INDEX($FK$325:$ID$396,GU$169,SwaptionMonthsToGo+SwaptionShift))))))</f>
        <v/>
      </c>
      <c r="GV229" s="479" t="str">
        <f ca="1">IF(OR(GV$169&lt;SwaptionFirstMonthPosition+1,$FJ229&lt;SwaptionFirstMonthPosition+1,GV$169&gt;SwaptionFirstMonthPosition+SwaptionNumOfMonths+1,$FJ229&gt;SwaptionFirstMonthPosition+SwaptionNumOfMonths+1),"",IF($FJ229=GV$169,1,IF($FJ229&lt;GV$169,INDEX($FK$170:$ID$241,GV$169,$FJ229),SUMPRODUCT(INDEX($FK$325:$ID$396,GV$169,1+SwaptionShift):INDEX($FK$325:$ID$396,GV$169,SwaptionMonthsToGo+SwaptionShift),INDEX($FK$245:$ID$316,$FJ229-GV$169,73-GV$169+SwaptionShift):INDEX($FK$245:$ID$316,$FJ229-GV$169,72-GV$169+SwaptionMonthsToGo+SwaptionShift))/SQRT(SUM(INDEX($FK384:$ID384,1+SwaptionShift):INDEX($FK384:$ID384,SwaptionMonthsToGo+SwaptionShift))*SUM(INDEX($FK$325:$ID$396,GV$169,1+SwaptionShift):INDEX($FK$325:$ID$396,GV$169,SwaptionMonthsToGo+SwaptionShift))))))</f>
        <v/>
      </c>
      <c r="GW229" s="479" t="str">
        <f ca="1">IF(OR(GW$169&lt;SwaptionFirstMonthPosition+1,$FJ229&lt;SwaptionFirstMonthPosition+1,GW$169&gt;SwaptionFirstMonthPosition+SwaptionNumOfMonths+1,$FJ229&gt;SwaptionFirstMonthPosition+SwaptionNumOfMonths+1),"",IF($FJ229=GW$169,1,IF($FJ229&lt;GW$169,INDEX($FK$170:$ID$241,GW$169,$FJ229),SUMPRODUCT(INDEX($FK$325:$ID$396,GW$169,1+SwaptionShift):INDEX($FK$325:$ID$396,GW$169,SwaptionMonthsToGo+SwaptionShift),INDEX($FK$245:$ID$316,$FJ229-GW$169,73-GW$169+SwaptionShift):INDEX($FK$245:$ID$316,$FJ229-GW$169,72-GW$169+SwaptionMonthsToGo+SwaptionShift))/SQRT(SUM(INDEX($FK384:$ID384,1+SwaptionShift):INDEX($FK384:$ID384,SwaptionMonthsToGo+SwaptionShift))*SUM(INDEX($FK$325:$ID$396,GW$169,1+SwaptionShift):INDEX($FK$325:$ID$396,GW$169,SwaptionMonthsToGo+SwaptionShift))))))</f>
        <v/>
      </c>
      <c r="GX229" s="479" t="str">
        <f ca="1">IF(OR(GX$169&lt;SwaptionFirstMonthPosition+1,$FJ229&lt;SwaptionFirstMonthPosition+1,GX$169&gt;SwaptionFirstMonthPosition+SwaptionNumOfMonths+1,$FJ229&gt;SwaptionFirstMonthPosition+SwaptionNumOfMonths+1),"",IF($FJ229=GX$169,1,IF($FJ229&lt;GX$169,INDEX($FK$170:$ID$241,GX$169,$FJ229),SUMPRODUCT(INDEX($FK$325:$ID$396,GX$169,1+SwaptionShift):INDEX($FK$325:$ID$396,GX$169,SwaptionMonthsToGo+SwaptionShift),INDEX($FK$245:$ID$316,$FJ229-GX$169,73-GX$169+SwaptionShift):INDEX($FK$245:$ID$316,$FJ229-GX$169,72-GX$169+SwaptionMonthsToGo+SwaptionShift))/SQRT(SUM(INDEX($FK384:$ID384,1+SwaptionShift):INDEX($FK384:$ID384,SwaptionMonthsToGo+SwaptionShift))*SUM(INDEX($FK$325:$ID$396,GX$169,1+SwaptionShift):INDEX($FK$325:$ID$396,GX$169,SwaptionMonthsToGo+SwaptionShift))))))</f>
        <v/>
      </c>
      <c r="GY229" s="479" t="str">
        <f ca="1">IF(OR(GY$169&lt;SwaptionFirstMonthPosition+1,$FJ229&lt;SwaptionFirstMonthPosition+1,GY$169&gt;SwaptionFirstMonthPosition+SwaptionNumOfMonths+1,$FJ229&gt;SwaptionFirstMonthPosition+SwaptionNumOfMonths+1),"",IF($FJ229=GY$169,1,IF($FJ229&lt;GY$169,INDEX($FK$170:$ID$241,GY$169,$FJ229),SUMPRODUCT(INDEX($FK$325:$ID$396,GY$169,1+SwaptionShift):INDEX($FK$325:$ID$396,GY$169,SwaptionMonthsToGo+SwaptionShift),INDEX($FK$245:$ID$316,$FJ229-GY$169,73-GY$169+SwaptionShift):INDEX($FK$245:$ID$316,$FJ229-GY$169,72-GY$169+SwaptionMonthsToGo+SwaptionShift))/SQRT(SUM(INDEX($FK384:$ID384,1+SwaptionShift):INDEX($FK384:$ID384,SwaptionMonthsToGo+SwaptionShift))*SUM(INDEX($FK$325:$ID$396,GY$169,1+SwaptionShift):INDEX($FK$325:$ID$396,GY$169,SwaptionMonthsToGo+SwaptionShift))))))</f>
        <v/>
      </c>
      <c r="GZ229" s="479" t="str">
        <f ca="1">IF(OR(GZ$169&lt;SwaptionFirstMonthPosition+1,$FJ229&lt;SwaptionFirstMonthPosition+1,GZ$169&gt;SwaptionFirstMonthPosition+SwaptionNumOfMonths+1,$FJ229&gt;SwaptionFirstMonthPosition+SwaptionNumOfMonths+1),"",IF($FJ229=GZ$169,1,IF($FJ229&lt;GZ$169,INDEX($FK$170:$ID$241,GZ$169,$FJ229),SUMPRODUCT(INDEX($FK$325:$ID$396,GZ$169,1+SwaptionShift):INDEX($FK$325:$ID$396,GZ$169,SwaptionMonthsToGo+SwaptionShift),INDEX($FK$245:$ID$316,$FJ229-GZ$169,73-GZ$169+SwaptionShift):INDEX($FK$245:$ID$316,$FJ229-GZ$169,72-GZ$169+SwaptionMonthsToGo+SwaptionShift))/SQRT(SUM(INDEX($FK384:$ID384,1+SwaptionShift):INDEX($FK384:$ID384,SwaptionMonthsToGo+SwaptionShift))*SUM(INDEX($FK$325:$ID$396,GZ$169,1+SwaptionShift):INDEX($FK$325:$ID$396,GZ$169,SwaptionMonthsToGo+SwaptionShift))))))</f>
        <v/>
      </c>
      <c r="HA229" s="479" t="str">
        <f ca="1">IF(OR(HA$169&lt;SwaptionFirstMonthPosition+1,$FJ229&lt;SwaptionFirstMonthPosition+1,HA$169&gt;SwaptionFirstMonthPosition+SwaptionNumOfMonths+1,$FJ229&gt;SwaptionFirstMonthPosition+SwaptionNumOfMonths+1),"",IF($FJ229=HA$169,1,IF($FJ229&lt;HA$169,INDEX($FK$170:$ID$241,HA$169,$FJ229),SUMPRODUCT(INDEX($FK$325:$ID$396,HA$169,1+SwaptionShift):INDEX($FK$325:$ID$396,HA$169,SwaptionMonthsToGo+SwaptionShift),INDEX($FK$245:$ID$316,$FJ229-HA$169,73-HA$169+SwaptionShift):INDEX($FK$245:$ID$316,$FJ229-HA$169,72-HA$169+SwaptionMonthsToGo+SwaptionShift))/SQRT(SUM(INDEX($FK384:$ID384,1+SwaptionShift):INDEX($FK384:$ID384,SwaptionMonthsToGo+SwaptionShift))*SUM(INDEX($FK$325:$ID$396,HA$169,1+SwaptionShift):INDEX($FK$325:$ID$396,HA$169,SwaptionMonthsToGo+SwaptionShift))))))</f>
        <v/>
      </c>
      <c r="HB229" s="479" t="str">
        <f ca="1">IF(OR(HB$169&lt;SwaptionFirstMonthPosition+1,$FJ229&lt;SwaptionFirstMonthPosition+1,HB$169&gt;SwaptionFirstMonthPosition+SwaptionNumOfMonths+1,$FJ229&gt;SwaptionFirstMonthPosition+SwaptionNumOfMonths+1),"",IF($FJ229=HB$169,1,IF($FJ229&lt;HB$169,INDEX($FK$170:$ID$241,HB$169,$FJ229),SUMPRODUCT(INDEX($FK$325:$ID$396,HB$169,1+SwaptionShift):INDEX($FK$325:$ID$396,HB$169,SwaptionMonthsToGo+SwaptionShift),INDEX($FK$245:$ID$316,$FJ229-HB$169,73-HB$169+SwaptionShift):INDEX($FK$245:$ID$316,$FJ229-HB$169,72-HB$169+SwaptionMonthsToGo+SwaptionShift))/SQRT(SUM(INDEX($FK384:$ID384,1+SwaptionShift):INDEX($FK384:$ID384,SwaptionMonthsToGo+SwaptionShift))*SUM(INDEX($FK$325:$ID$396,HB$169,1+SwaptionShift):INDEX($FK$325:$ID$396,HB$169,SwaptionMonthsToGo+SwaptionShift))))))</f>
        <v/>
      </c>
      <c r="HC229" s="479" t="str">
        <f ca="1">IF(OR(HC$169&lt;SwaptionFirstMonthPosition+1,$FJ229&lt;SwaptionFirstMonthPosition+1,HC$169&gt;SwaptionFirstMonthPosition+SwaptionNumOfMonths+1,$FJ229&gt;SwaptionFirstMonthPosition+SwaptionNumOfMonths+1),"",IF($FJ229=HC$169,1,IF($FJ229&lt;HC$169,INDEX($FK$170:$ID$241,HC$169,$FJ229),SUMPRODUCT(INDEX($FK$325:$ID$396,HC$169,1+SwaptionShift):INDEX($FK$325:$ID$396,HC$169,SwaptionMonthsToGo+SwaptionShift),INDEX($FK$245:$ID$316,$FJ229-HC$169,73-HC$169+SwaptionShift):INDEX($FK$245:$ID$316,$FJ229-HC$169,72-HC$169+SwaptionMonthsToGo+SwaptionShift))/SQRT(SUM(INDEX($FK384:$ID384,1+SwaptionShift):INDEX($FK384:$ID384,SwaptionMonthsToGo+SwaptionShift))*SUM(INDEX($FK$325:$ID$396,HC$169,1+SwaptionShift):INDEX($FK$325:$ID$396,HC$169,SwaptionMonthsToGo+SwaptionShift))))))</f>
        <v/>
      </c>
      <c r="HD229" s="479" t="str">
        <f ca="1">IF(OR(HD$169&lt;SwaptionFirstMonthPosition+1,$FJ229&lt;SwaptionFirstMonthPosition+1,HD$169&gt;SwaptionFirstMonthPosition+SwaptionNumOfMonths+1,$FJ229&gt;SwaptionFirstMonthPosition+SwaptionNumOfMonths+1),"",IF($FJ229=HD$169,1,IF($FJ229&lt;HD$169,INDEX($FK$170:$ID$241,HD$169,$FJ229),SUMPRODUCT(INDEX($FK$325:$ID$396,HD$169,1+SwaptionShift):INDEX($FK$325:$ID$396,HD$169,SwaptionMonthsToGo+SwaptionShift),INDEX($FK$245:$ID$316,$FJ229-HD$169,73-HD$169+SwaptionShift):INDEX($FK$245:$ID$316,$FJ229-HD$169,72-HD$169+SwaptionMonthsToGo+SwaptionShift))/SQRT(SUM(INDEX($FK384:$ID384,1+SwaptionShift):INDEX($FK384:$ID384,SwaptionMonthsToGo+SwaptionShift))*SUM(INDEX($FK$325:$ID$396,HD$169,1+SwaptionShift):INDEX($FK$325:$ID$396,HD$169,SwaptionMonthsToGo+SwaptionShift))))))</f>
        <v/>
      </c>
      <c r="HE229" s="479" t="str">
        <f ca="1">IF(OR(HE$169&lt;SwaptionFirstMonthPosition+1,$FJ229&lt;SwaptionFirstMonthPosition+1,HE$169&gt;SwaptionFirstMonthPosition+SwaptionNumOfMonths+1,$FJ229&gt;SwaptionFirstMonthPosition+SwaptionNumOfMonths+1),"",IF($FJ229=HE$169,1,IF($FJ229&lt;HE$169,INDEX($FK$170:$ID$241,HE$169,$FJ229),SUMPRODUCT(INDEX($FK$325:$ID$396,HE$169,1+SwaptionShift):INDEX($FK$325:$ID$396,HE$169,SwaptionMonthsToGo+SwaptionShift),INDEX($FK$245:$ID$316,$FJ229-HE$169,73-HE$169+SwaptionShift):INDEX($FK$245:$ID$316,$FJ229-HE$169,72-HE$169+SwaptionMonthsToGo+SwaptionShift))/SQRT(SUM(INDEX($FK384:$ID384,1+SwaptionShift):INDEX($FK384:$ID384,SwaptionMonthsToGo+SwaptionShift))*SUM(INDEX($FK$325:$ID$396,HE$169,1+SwaptionShift):INDEX($FK$325:$ID$396,HE$169,SwaptionMonthsToGo+SwaptionShift))))))</f>
        <v/>
      </c>
      <c r="HF229" s="479" t="str">
        <f ca="1">IF(OR(HF$169&lt;SwaptionFirstMonthPosition+1,$FJ229&lt;SwaptionFirstMonthPosition+1,HF$169&gt;SwaptionFirstMonthPosition+SwaptionNumOfMonths+1,$FJ229&gt;SwaptionFirstMonthPosition+SwaptionNumOfMonths+1),"",IF($FJ229=HF$169,1,IF($FJ229&lt;HF$169,INDEX($FK$170:$ID$241,HF$169,$FJ229),SUMPRODUCT(INDEX($FK$325:$ID$396,HF$169,1+SwaptionShift):INDEX($FK$325:$ID$396,HF$169,SwaptionMonthsToGo+SwaptionShift),INDEX($FK$245:$ID$316,$FJ229-HF$169,73-HF$169+SwaptionShift):INDEX($FK$245:$ID$316,$FJ229-HF$169,72-HF$169+SwaptionMonthsToGo+SwaptionShift))/SQRT(SUM(INDEX($FK384:$ID384,1+SwaptionShift):INDEX($FK384:$ID384,SwaptionMonthsToGo+SwaptionShift))*SUM(INDEX($FK$325:$ID$396,HF$169,1+SwaptionShift):INDEX($FK$325:$ID$396,HF$169,SwaptionMonthsToGo+SwaptionShift))))))</f>
        <v/>
      </c>
      <c r="HG229" s="479" t="str">
        <f ca="1">IF(OR(HG$169&lt;SwaptionFirstMonthPosition+1,$FJ229&lt;SwaptionFirstMonthPosition+1,HG$169&gt;SwaptionFirstMonthPosition+SwaptionNumOfMonths+1,$FJ229&gt;SwaptionFirstMonthPosition+SwaptionNumOfMonths+1),"",IF($FJ229=HG$169,1,IF($FJ229&lt;HG$169,INDEX($FK$170:$ID$241,HG$169,$FJ229),SUMPRODUCT(INDEX($FK$325:$ID$396,HG$169,1+SwaptionShift):INDEX($FK$325:$ID$396,HG$169,SwaptionMonthsToGo+SwaptionShift),INDEX($FK$245:$ID$316,$FJ229-HG$169,73-HG$169+SwaptionShift):INDEX($FK$245:$ID$316,$FJ229-HG$169,72-HG$169+SwaptionMonthsToGo+SwaptionShift))/SQRT(SUM(INDEX($FK384:$ID384,1+SwaptionShift):INDEX($FK384:$ID384,SwaptionMonthsToGo+SwaptionShift))*SUM(INDEX($FK$325:$ID$396,HG$169,1+SwaptionShift):INDEX($FK$325:$ID$396,HG$169,SwaptionMonthsToGo+SwaptionShift))))))</f>
        <v/>
      </c>
      <c r="HH229" s="479" t="str">
        <f ca="1">IF(OR(HH$169&lt;SwaptionFirstMonthPosition+1,$FJ229&lt;SwaptionFirstMonthPosition+1,HH$169&gt;SwaptionFirstMonthPosition+SwaptionNumOfMonths+1,$FJ229&gt;SwaptionFirstMonthPosition+SwaptionNumOfMonths+1),"",IF($FJ229=HH$169,1,IF($FJ229&lt;HH$169,INDEX($FK$170:$ID$241,HH$169,$FJ229),SUMPRODUCT(INDEX($FK$325:$ID$396,HH$169,1+SwaptionShift):INDEX($FK$325:$ID$396,HH$169,SwaptionMonthsToGo+SwaptionShift),INDEX($FK$245:$ID$316,$FJ229-HH$169,73-HH$169+SwaptionShift):INDEX($FK$245:$ID$316,$FJ229-HH$169,72-HH$169+SwaptionMonthsToGo+SwaptionShift))/SQRT(SUM(INDEX($FK384:$ID384,1+SwaptionShift):INDEX($FK384:$ID384,SwaptionMonthsToGo+SwaptionShift))*SUM(INDEX($FK$325:$ID$396,HH$169,1+SwaptionShift):INDEX($FK$325:$ID$396,HH$169,SwaptionMonthsToGo+SwaptionShift))))))</f>
        <v/>
      </c>
      <c r="HI229" s="479" t="str">
        <f ca="1">IF(OR(HI$169&lt;SwaptionFirstMonthPosition+1,$FJ229&lt;SwaptionFirstMonthPosition+1,HI$169&gt;SwaptionFirstMonthPosition+SwaptionNumOfMonths+1,$FJ229&gt;SwaptionFirstMonthPosition+SwaptionNumOfMonths+1),"",IF($FJ229=HI$169,1,IF($FJ229&lt;HI$169,INDEX($FK$170:$ID$241,HI$169,$FJ229),SUMPRODUCT(INDEX($FK$325:$ID$396,HI$169,1+SwaptionShift):INDEX($FK$325:$ID$396,HI$169,SwaptionMonthsToGo+SwaptionShift),INDEX($FK$245:$ID$316,$FJ229-HI$169,73-HI$169+SwaptionShift):INDEX($FK$245:$ID$316,$FJ229-HI$169,72-HI$169+SwaptionMonthsToGo+SwaptionShift))/SQRT(SUM(INDEX($FK384:$ID384,1+SwaptionShift):INDEX($FK384:$ID384,SwaptionMonthsToGo+SwaptionShift))*SUM(INDEX($FK$325:$ID$396,HI$169,1+SwaptionShift):INDEX($FK$325:$ID$396,HI$169,SwaptionMonthsToGo+SwaptionShift))))))</f>
        <v/>
      </c>
      <c r="HJ229" s="479" t="str">
        <f ca="1">IF(OR(HJ$169&lt;SwaptionFirstMonthPosition+1,$FJ229&lt;SwaptionFirstMonthPosition+1,HJ$169&gt;SwaptionFirstMonthPosition+SwaptionNumOfMonths+1,$FJ229&gt;SwaptionFirstMonthPosition+SwaptionNumOfMonths+1),"",IF($FJ229=HJ$169,1,IF($FJ229&lt;HJ$169,INDEX($FK$170:$ID$241,HJ$169,$FJ229),SUMPRODUCT(INDEX($FK$325:$ID$396,HJ$169,1+SwaptionShift):INDEX($FK$325:$ID$396,HJ$169,SwaptionMonthsToGo+SwaptionShift),INDEX($FK$245:$ID$316,$FJ229-HJ$169,73-HJ$169+SwaptionShift):INDEX($FK$245:$ID$316,$FJ229-HJ$169,72-HJ$169+SwaptionMonthsToGo+SwaptionShift))/SQRT(SUM(INDEX($FK384:$ID384,1+SwaptionShift):INDEX($FK384:$ID384,SwaptionMonthsToGo+SwaptionShift))*SUM(INDEX($FK$325:$ID$396,HJ$169,1+SwaptionShift):INDEX($FK$325:$ID$396,HJ$169,SwaptionMonthsToGo+SwaptionShift))))))</f>
        <v/>
      </c>
      <c r="HK229" s="479" t="str">
        <f ca="1">IF(OR(HK$169&lt;SwaptionFirstMonthPosition+1,$FJ229&lt;SwaptionFirstMonthPosition+1,HK$169&gt;SwaptionFirstMonthPosition+SwaptionNumOfMonths+1,$FJ229&gt;SwaptionFirstMonthPosition+SwaptionNumOfMonths+1),"",IF($FJ229=HK$169,1,IF($FJ229&lt;HK$169,INDEX($FK$170:$ID$241,HK$169,$FJ229),SUMPRODUCT(INDEX($FK$325:$ID$396,HK$169,1+SwaptionShift):INDEX($FK$325:$ID$396,HK$169,SwaptionMonthsToGo+SwaptionShift),INDEX($FK$245:$ID$316,$FJ229-HK$169,73-HK$169+SwaptionShift):INDEX($FK$245:$ID$316,$FJ229-HK$169,72-HK$169+SwaptionMonthsToGo+SwaptionShift))/SQRT(SUM(INDEX($FK384:$ID384,1+SwaptionShift):INDEX($FK384:$ID384,SwaptionMonthsToGo+SwaptionShift))*SUM(INDEX($FK$325:$ID$396,HK$169,1+SwaptionShift):INDEX($FK$325:$ID$396,HK$169,SwaptionMonthsToGo+SwaptionShift))))))</f>
        <v/>
      </c>
      <c r="HL229" s="479" t="str">
        <f ca="1">IF(OR(HL$169&lt;SwaptionFirstMonthPosition+1,$FJ229&lt;SwaptionFirstMonthPosition+1,HL$169&gt;SwaptionFirstMonthPosition+SwaptionNumOfMonths+1,$FJ229&gt;SwaptionFirstMonthPosition+SwaptionNumOfMonths+1),"",IF($FJ229=HL$169,1,IF($FJ229&lt;HL$169,INDEX($FK$170:$ID$241,HL$169,$FJ229),SUMPRODUCT(INDEX($FK$325:$ID$396,HL$169,1+SwaptionShift):INDEX($FK$325:$ID$396,HL$169,SwaptionMonthsToGo+SwaptionShift),INDEX($FK$245:$ID$316,$FJ229-HL$169,73-HL$169+SwaptionShift):INDEX($FK$245:$ID$316,$FJ229-HL$169,72-HL$169+SwaptionMonthsToGo+SwaptionShift))/SQRT(SUM(INDEX($FK384:$ID384,1+SwaptionShift):INDEX($FK384:$ID384,SwaptionMonthsToGo+SwaptionShift))*SUM(INDEX($FK$325:$ID$396,HL$169,1+SwaptionShift):INDEX($FK$325:$ID$396,HL$169,SwaptionMonthsToGo+SwaptionShift))))))</f>
        <v/>
      </c>
      <c r="HM229" s="479" t="str">
        <f ca="1">IF(OR(HM$169&lt;SwaptionFirstMonthPosition+1,$FJ229&lt;SwaptionFirstMonthPosition+1,HM$169&gt;SwaptionFirstMonthPosition+SwaptionNumOfMonths+1,$FJ229&gt;SwaptionFirstMonthPosition+SwaptionNumOfMonths+1),"",IF($FJ229=HM$169,1,IF($FJ229&lt;HM$169,INDEX($FK$170:$ID$241,HM$169,$FJ229),SUMPRODUCT(INDEX($FK$325:$ID$396,HM$169,1+SwaptionShift):INDEX($FK$325:$ID$396,HM$169,SwaptionMonthsToGo+SwaptionShift),INDEX($FK$245:$ID$316,$FJ229-HM$169,73-HM$169+SwaptionShift):INDEX($FK$245:$ID$316,$FJ229-HM$169,72-HM$169+SwaptionMonthsToGo+SwaptionShift))/SQRT(SUM(INDEX($FK384:$ID384,1+SwaptionShift):INDEX($FK384:$ID384,SwaptionMonthsToGo+SwaptionShift))*SUM(INDEX($FK$325:$ID$396,HM$169,1+SwaptionShift):INDEX($FK$325:$ID$396,HM$169,SwaptionMonthsToGo+SwaptionShift))))))</f>
        <v/>
      </c>
      <c r="HN229" s="479" t="str">
        <f ca="1">IF(OR(HN$169&lt;SwaptionFirstMonthPosition+1,$FJ229&lt;SwaptionFirstMonthPosition+1,HN$169&gt;SwaptionFirstMonthPosition+SwaptionNumOfMonths+1,$FJ229&gt;SwaptionFirstMonthPosition+SwaptionNumOfMonths+1),"",IF($FJ229=HN$169,1,IF($FJ229&lt;HN$169,INDEX($FK$170:$ID$241,HN$169,$FJ229),SUMPRODUCT(INDEX($FK$325:$ID$396,HN$169,1+SwaptionShift):INDEX($FK$325:$ID$396,HN$169,SwaptionMonthsToGo+SwaptionShift),INDEX($FK$245:$ID$316,$FJ229-HN$169,73-HN$169+SwaptionShift):INDEX($FK$245:$ID$316,$FJ229-HN$169,72-HN$169+SwaptionMonthsToGo+SwaptionShift))/SQRT(SUM(INDEX($FK384:$ID384,1+SwaptionShift):INDEX($FK384:$ID384,SwaptionMonthsToGo+SwaptionShift))*SUM(INDEX($FK$325:$ID$396,HN$169,1+SwaptionShift):INDEX($FK$325:$ID$396,HN$169,SwaptionMonthsToGo+SwaptionShift))))))</f>
        <v/>
      </c>
      <c r="HO229" s="479" t="str">
        <f ca="1">IF(OR(HO$169&lt;SwaptionFirstMonthPosition+1,$FJ229&lt;SwaptionFirstMonthPosition+1,HO$169&gt;SwaptionFirstMonthPosition+SwaptionNumOfMonths+1,$FJ229&gt;SwaptionFirstMonthPosition+SwaptionNumOfMonths+1),"",IF($FJ229=HO$169,1,IF($FJ229&lt;HO$169,INDEX($FK$170:$ID$241,HO$169,$FJ229),SUMPRODUCT(INDEX($FK$325:$ID$396,HO$169,1+SwaptionShift):INDEX($FK$325:$ID$396,HO$169,SwaptionMonthsToGo+SwaptionShift),INDEX($FK$245:$ID$316,$FJ229-HO$169,73-HO$169+SwaptionShift):INDEX($FK$245:$ID$316,$FJ229-HO$169,72-HO$169+SwaptionMonthsToGo+SwaptionShift))/SQRT(SUM(INDEX($FK384:$ID384,1+SwaptionShift):INDEX($FK384:$ID384,SwaptionMonthsToGo+SwaptionShift))*SUM(INDEX($FK$325:$ID$396,HO$169,1+SwaptionShift):INDEX($FK$325:$ID$396,HO$169,SwaptionMonthsToGo+SwaptionShift))))))</f>
        <v/>
      </c>
      <c r="HP229" s="479" t="str">
        <f ca="1">IF(OR(HP$169&lt;SwaptionFirstMonthPosition+1,$FJ229&lt;SwaptionFirstMonthPosition+1,HP$169&gt;SwaptionFirstMonthPosition+SwaptionNumOfMonths+1,$FJ229&gt;SwaptionFirstMonthPosition+SwaptionNumOfMonths+1),"",IF($FJ229=HP$169,1,IF($FJ229&lt;HP$169,INDEX($FK$170:$ID$241,HP$169,$FJ229),SUMPRODUCT(INDEX($FK$325:$ID$396,HP$169,1+SwaptionShift):INDEX($FK$325:$ID$396,HP$169,SwaptionMonthsToGo+SwaptionShift),INDEX($FK$245:$ID$316,$FJ229-HP$169,73-HP$169+SwaptionShift):INDEX($FK$245:$ID$316,$FJ229-HP$169,72-HP$169+SwaptionMonthsToGo+SwaptionShift))/SQRT(SUM(INDEX($FK384:$ID384,1+SwaptionShift):INDEX($FK384:$ID384,SwaptionMonthsToGo+SwaptionShift))*SUM(INDEX($FK$325:$ID$396,HP$169,1+SwaptionShift):INDEX($FK$325:$ID$396,HP$169,SwaptionMonthsToGo+SwaptionShift))))))</f>
        <v/>
      </c>
      <c r="HQ229" s="479" t="str">
        <f ca="1">IF(OR(HQ$169&lt;SwaptionFirstMonthPosition+1,$FJ229&lt;SwaptionFirstMonthPosition+1,HQ$169&gt;SwaptionFirstMonthPosition+SwaptionNumOfMonths+1,$FJ229&gt;SwaptionFirstMonthPosition+SwaptionNumOfMonths+1),"",IF($FJ229=HQ$169,1,IF($FJ229&lt;HQ$169,INDEX($FK$170:$ID$241,HQ$169,$FJ229),SUMPRODUCT(INDEX($FK$325:$ID$396,HQ$169,1+SwaptionShift):INDEX($FK$325:$ID$396,HQ$169,SwaptionMonthsToGo+SwaptionShift),INDEX($FK$245:$ID$316,$FJ229-HQ$169,73-HQ$169+SwaptionShift):INDEX($FK$245:$ID$316,$FJ229-HQ$169,72-HQ$169+SwaptionMonthsToGo+SwaptionShift))/SQRT(SUM(INDEX($FK384:$ID384,1+SwaptionShift):INDEX($FK384:$ID384,SwaptionMonthsToGo+SwaptionShift))*SUM(INDEX($FK$325:$ID$396,HQ$169,1+SwaptionShift):INDEX($FK$325:$ID$396,HQ$169,SwaptionMonthsToGo+SwaptionShift))))))</f>
        <v/>
      </c>
      <c r="HR229" s="479" t="str">
        <f ca="1">IF(OR(HR$169&lt;SwaptionFirstMonthPosition+1,$FJ229&lt;SwaptionFirstMonthPosition+1,HR$169&gt;SwaptionFirstMonthPosition+SwaptionNumOfMonths+1,$FJ229&gt;SwaptionFirstMonthPosition+SwaptionNumOfMonths+1),"",IF($FJ229=HR$169,1,IF($FJ229&lt;HR$169,INDEX($FK$170:$ID$241,HR$169,$FJ229),SUMPRODUCT(INDEX($FK$325:$ID$396,HR$169,1+SwaptionShift):INDEX($FK$325:$ID$396,HR$169,SwaptionMonthsToGo+SwaptionShift),INDEX($FK$245:$ID$316,$FJ229-HR$169,73-HR$169+SwaptionShift):INDEX($FK$245:$ID$316,$FJ229-HR$169,72-HR$169+SwaptionMonthsToGo+SwaptionShift))/SQRT(SUM(INDEX($FK384:$ID384,1+SwaptionShift):INDEX($FK384:$ID384,SwaptionMonthsToGo+SwaptionShift))*SUM(INDEX($FK$325:$ID$396,HR$169,1+SwaptionShift):INDEX($FK$325:$ID$396,HR$169,SwaptionMonthsToGo+SwaptionShift))))))</f>
        <v/>
      </c>
      <c r="HS229" s="479" t="str">
        <f ca="1">IF(OR(HS$169&lt;SwaptionFirstMonthPosition+1,$FJ229&lt;SwaptionFirstMonthPosition+1,HS$169&gt;SwaptionFirstMonthPosition+SwaptionNumOfMonths+1,$FJ229&gt;SwaptionFirstMonthPosition+SwaptionNumOfMonths+1),"",IF($FJ229=HS$169,1,IF($FJ229&lt;HS$169,INDEX($FK$170:$ID$241,HS$169,$FJ229),SUMPRODUCT(INDEX($FK$325:$ID$396,HS$169,1+SwaptionShift):INDEX($FK$325:$ID$396,HS$169,SwaptionMonthsToGo+SwaptionShift),INDEX($FK$245:$ID$316,$FJ229-HS$169,73-HS$169+SwaptionShift):INDEX($FK$245:$ID$316,$FJ229-HS$169,72-HS$169+SwaptionMonthsToGo+SwaptionShift))/SQRT(SUM(INDEX($FK384:$ID384,1+SwaptionShift):INDEX($FK384:$ID384,SwaptionMonthsToGo+SwaptionShift))*SUM(INDEX($FK$325:$ID$396,HS$169,1+SwaptionShift):INDEX($FK$325:$ID$396,HS$169,SwaptionMonthsToGo+SwaptionShift))))))</f>
        <v/>
      </c>
      <c r="HT229" s="479" t="str">
        <f ca="1">IF(OR(HT$169&lt;SwaptionFirstMonthPosition+1,$FJ229&lt;SwaptionFirstMonthPosition+1,HT$169&gt;SwaptionFirstMonthPosition+SwaptionNumOfMonths+1,$FJ229&gt;SwaptionFirstMonthPosition+SwaptionNumOfMonths+1),"",IF($FJ229=HT$169,1,IF($FJ229&lt;HT$169,INDEX($FK$170:$ID$241,HT$169,$FJ229),SUMPRODUCT(INDEX($FK$325:$ID$396,HT$169,1+SwaptionShift):INDEX($FK$325:$ID$396,HT$169,SwaptionMonthsToGo+SwaptionShift),INDEX($FK$245:$ID$316,$FJ229-HT$169,73-HT$169+SwaptionShift):INDEX($FK$245:$ID$316,$FJ229-HT$169,72-HT$169+SwaptionMonthsToGo+SwaptionShift))/SQRT(SUM(INDEX($FK384:$ID384,1+SwaptionShift):INDEX($FK384:$ID384,SwaptionMonthsToGo+SwaptionShift))*SUM(INDEX($FK$325:$ID$396,HT$169,1+SwaptionShift):INDEX($FK$325:$ID$396,HT$169,SwaptionMonthsToGo+SwaptionShift))))))</f>
        <v/>
      </c>
      <c r="HU229" s="479" t="str">
        <f ca="1">IF(OR(HU$169&lt;SwaptionFirstMonthPosition+1,$FJ229&lt;SwaptionFirstMonthPosition+1,HU$169&gt;SwaptionFirstMonthPosition+SwaptionNumOfMonths+1,$FJ229&gt;SwaptionFirstMonthPosition+SwaptionNumOfMonths+1),"",IF($FJ229=HU$169,1,IF($FJ229&lt;HU$169,INDEX($FK$170:$ID$241,HU$169,$FJ229),SUMPRODUCT(INDEX($FK$325:$ID$396,HU$169,1+SwaptionShift):INDEX($FK$325:$ID$396,HU$169,SwaptionMonthsToGo+SwaptionShift),INDEX($FK$245:$ID$316,$FJ229-HU$169,73-HU$169+SwaptionShift):INDEX($FK$245:$ID$316,$FJ229-HU$169,72-HU$169+SwaptionMonthsToGo+SwaptionShift))/SQRT(SUM(INDEX($FK384:$ID384,1+SwaptionShift):INDEX($FK384:$ID384,SwaptionMonthsToGo+SwaptionShift))*SUM(INDEX($FK$325:$ID$396,HU$169,1+SwaptionShift):INDEX($FK$325:$ID$396,HU$169,SwaptionMonthsToGo+SwaptionShift))))))</f>
        <v/>
      </c>
      <c r="HV229" s="479" t="str">
        <f ca="1">IF(OR(HV$169&lt;SwaptionFirstMonthPosition+1,$FJ229&lt;SwaptionFirstMonthPosition+1,HV$169&gt;SwaptionFirstMonthPosition+SwaptionNumOfMonths+1,$FJ229&gt;SwaptionFirstMonthPosition+SwaptionNumOfMonths+1),"",IF($FJ229=HV$169,1,IF($FJ229&lt;HV$169,INDEX($FK$170:$ID$241,HV$169,$FJ229),SUMPRODUCT(INDEX($FK$325:$ID$396,HV$169,1+SwaptionShift):INDEX($FK$325:$ID$396,HV$169,SwaptionMonthsToGo+SwaptionShift),INDEX($FK$245:$ID$316,$FJ229-HV$169,73-HV$169+SwaptionShift):INDEX($FK$245:$ID$316,$FJ229-HV$169,72-HV$169+SwaptionMonthsToGo+SwaptionShift))/SQRT(SUM(INDEX($FK384:$ID384,1+SwaptionShift):INDEX($FK384:$ID384,SwaptionMonthsToGo+SwaptionShift))*SUM(INDEX($FK$325:$ID$396,HV$169,1+SwaptionShift):INDEX($FK$325:$ID$396,HV$169,SwaptionMonthsToGo+SwaptionShift))))))</f>
        <v/>
      </c>
      <c r="HW229" s="479" t="str">
        <f ca="1">IF(OR(HW$169&lt;SwaptionFirstMonthPosition+1,$FJ229&lt;SwaptionFirstMonthPosition+1,HW$169&gt;SwaptionFirstMonthPosition+SwaptionNumOfMonths+1,$FJ229&gt;SwaptionFirstMonthPosition+SwaptionNumOfMonths+1),"",IF($FJ229=HW$169,1,IF($FJ229&lt;HW$169,INDEX($FK$170:$ID$241,HW$169,$FJ229),SUMPRODUCT(INDEX($FK$325:$ID$396,HW$169,1+SwaptionShift):INDEX($FK$325:$ID$396,HW$169,SwaptionMonthsToGo+SwaptionShift),INDEX($FK$245:$ID$316,$FJ229-HW$169,73-HW$169+SwaptionShift):INDEX($FK$245:$ID$316,$FJ229-HW$169,72-HW$169+SwaptionMonthsToGo+SwaptionShift))/SQRT(SUM(INDEX($FK384:$ID384,1+SwaptionShift):INDEX($FK384:$ID384,SwaptionMonthsToGo+SwaptionShift))*SUM(INDEX($FK$325:$ID$396,HW$169,1+SwaptionShift):INDEX($FK$325:$ID$396,HW$169,SwaptionMonthsToGo+SwaptionShift))))))</f>
        <v/>
      </c>
      <c r="HX229" s="479" t="str">
        <f ca="1">IF(OR(HX$169&lt;SwaptionFirstMonthPosition+1,$FJ229&lt;SwaptionFirstMonthPosition+1,HX$169&gt;SwaptionFirstMonthPosition+SwaptionNumOfMonths+1,$FJ229&gt;SwaptionFirstMonthPosition+SwaptionNumOfMonths+1),"",IF($FJ229=HX$169,1,IF($FJ229&lt;HX$169,INDEX($FK$170:$ID$241,HX$169,$FJ229),SUMPRODUCT(INDEX($FK$325:$ID$396,HX$169,1+SwaptionShift):INDEX($FK$325:$ID$396,HX$169,SwaptionMonthsToGo+SwaptionShift),INDEX($FK$245:$ID$316,$FJ229-HX$169,73-HX$169+SwaptionShift):INDEX($FK$245:$ID$316,$FJ229-HX$169,72-HX$169+SwaptionMonthsToGo+SwaptionShift))/SQRT(SUM(INDEX($FK384:$ID384,1+SwaptionShift):INDEX($FK384:$ID384,SwaptionMonthsToGo+SwaptionShift))*SUM(INDEX($FK$325:$ID$396,HX$169,1+SwaptionShift):INDEX($FK$325:$ID$396,HX$169,SwaptionMonthsToGo+SwaptionShift))))))</f>
        <v/>
      </c>
      <c r="HY229" s="479" t="str">
        <f ca="1">IF(OR(HY$169&lt;SwaptionFirstMonthPosition+1,$FJ229&lt;SwaptionFirstMonthPosition+1,HY$169&gt;SwaptionFirstMonthPosition+SwaptionNumOfMonths+1,$FJ229&gt;SwaptionFirstMonthPosition+SwaptionNumOfMonths+1),"",IF($FJ229=HY$169,1,IF($FJ229&lt;HY$169,INDEX($FK$170:$ID$241,HY$169,$FJ229),SUMPRODUCT(INDEX($FK$325:$ID$396,HY$169,1+SwaptionShift):INDEX($FK$325:$ID$396,HY$169,SwaptionMonthsToGo+SwaptionShift),INDEX($FK$245:$ID$316,$FJ229-HY$169,73-HY$169+SwaptionShift):INDEX($FK$245:$ID$316,$FJ229-HY$169,72-HY$169+SwaptionMonthsToGo+SwaptionShift))/SQRT(SUM(INDEX($FK384:$ID384,1+SwaptionShift):INDEX($FK384:$ID384,SwaptionMonthsToGo+SwaptionShift))*SUM(INDEX($FK$325:$ID$396,HY$169,1+SwaptionShift):INDEX($FK$325:$ID$396,HY$169,SwaptionMonthsToGo+SwaptionShift))))))</f>
        <v/>
      </c>
      <c r="HZ229" s="479" t="str">
        <f ca="1">IF(OR(HZ$169&lt;SwaptionFirstMonthPosition+1,$FJ229&lt;SwaptionFirstMonthPosition+1,HZ$169&gt;SwaptionFirstMonthPosition+SwaptionNumOfMonths+1,$FJ229&gt;SwaptionFirstMonthPosition+SwaptionNumOfMonths+1),"",IF($FJ229=HZ$169,1,IF($FJ229&lt;HZ$169,INDEX($FK$170:$ID$241,HZ$169,$FJ229),SUMPRODUCT(INDEX($FK$325:$ID$396,HZ$169,1+SwaptionShift):INDEX($FK$325:$ID$396,HZ$169,SwaptionMonthsToGo+SwaptionShift),INDEX($FK$245:$ID$316,$FJ229-HZ$169,73-HZ$169+SwaptionShift):INDEX($FK$245:$ID$316,$FJ229-HZ$169,72-HZ$169+SwaptionMonthsToGo+SwaptionShift))/SQRT(SUM(INDEX($FK384:$ID384,1+SwaptionShift):INDEX($FK384:$ID384,SwaptionMonthsToGo+SwaptionShift))*SUM(INDEX($FK$325:$ID$396,HZ$169,1+SwaptionShift):INDEX($FK$325:$ID$396,HZ$169,SwaptionMonthsToGo+SwaptionShift))))))</f>
        <v/>
      </c>
      <c r="IA229" s="479" t="str">
        <f ca="1">IF(OR(IA$169&lt;SwaptionFirstMonthPosition+1,$FJ229&lt;SwaptionFirstMonthPosition+1,IA$169&gt;SwaptionFirstMonthPosition+SwaptionNumOfMonths+1,$FJ229&gt;SwaptionFirstMonthPosition+SwaptionNumOfMonths+1),"",IF($FJ229=IA$169,1,IF($FJ229&lt;IA$169,INDEX($FK$170:$ID$241,IA$169,$FJ229),SUMPRODUCT(INDEX($FK$325:$ID$396,IA$169,1+SwaptionShift):INDEX($FK$325:$ID$396,IA$169,SwaptionMonthsToGo+SwaptionShift),INDEX($FK$245:$ID$316,$FJ229-IA$169,73-IA$169+SwaptionShift):INDEX($FK$245:$ID$316,$FJ229-IA$169,72-IA$169+SwaptionMonthsToGo+SwaptionShift))/SQRT(SUM(INDEX($FK384:$ID384,1+SwaptionShift):INDEX($FK384:$ID384,SwaptionMonthsToGo+SwaptionShift))*SUM(INDEX($FK$325:$ID$396,IA$169,1+SwaptionShift):INDEX($FK$325:$ID$396,IA$169,SwaptionMonthsToGo+SwaptionShift))))))</f>
        <v/>
      </c>
      <c r="IB229" s="479" t="str">
        <f ca="1">IF(OR(IB$169&lt;SwaptionFirstMonthPosition+1,$FJ229&lt;SwaptionFirstMonthPosition+1,IB$169&gt;SwaptionFirstMonthPosition+SwaptionNumOfMonths+1,$FJ229&gt;SwaptionFirstMonthPosition+SwaptionNumOfMonths+1),"",IF($FJ229=IB$169,1,IF($FJ229&lt;IB$169,INDEX($FK$170:$ID$241,IB$169,$FJ229),SUMPRODUCT(INDEX($FK$325:$ID$396,IB$169,1+SwaptionShift):INDEX($FK$325:$ID$396,IB$169,SwaptionMonthsToGo+SwaptionShift),INDEX($FK$245:$ID$316,$FJ229-IB$169,73-IB$169+SwaptionShift):INDEX($FK$245:$ID$316,$FJ229-IB$169,72-IB$169+SwaptionMonthsToGo+SwaptionShift))/SQRT(SUM(INDEX($FK384:$ID384,1+SwaptionShift):INDEX($FK384:$ID384,SwaptionMonthsToGo+SwaptionShift))*SUM(INDEX($FK$325:$ID$396,IB$169,1+SwaptionShift):INDEX($FK$325:$ID$396,IB$169,SwaptionMonthsToGo+SwaptionShift))))))</f>
        <v/>
      </c>
      <c r="IC229" s="479" t="str">
        <f ca="1">IF(OR(IC$169&lt;SwaptionFirstMonthPosition+1,$FJ229&lt;SwaptionFirstMonthPosition+1,IC$169&gt;SwaptionFirstMonthPosition+SwaptionNumOfMonths+1,$FJ229&gt;SwaptionFirstMonthPosition+SwaptionNumOfMonths+1),"",IF($FJ229=IC$169,1,IF($FJ229&lt;IC$169,INDEX($FK$170:$ID$241,IC$169,$FJ229),SUMPRODUCT(INDEX($FK$325:$ID$396,IC$169,1+SwaptionShift):INDEX($FK$325:$ID$396,IC$169,SwaptionMonthsToGo+SwaptionShift),INDEX($FK$245:$ID$316,$FJ229-IC$169,73-IC$169+SwaptionShift):INDEX($FK$245:$ID$316,$FJ229-IC$169,72-IC$169+SwaptionMonthsToGo+SwaptionShift))/SQRT(SUM(INDEX($FK384:$ID384,1+SwaptionShift):INDEX($FK384:$ID384,SwaptionMonthsToGo+SwaptionShift))*SUM(INDEX($FK$325:$ID$396,IC$169,1+SwaptionShift):INDEX($FK$325:$ID$396,IC$169,SwaptionMonthsToGo+SwaptionShift))))))</f>
        <v/>
      </c>
      <c r="ID229" s="678" t="str">
        <f ca="1">IF(OR(ID$169&lt;SwaptionFirstMonthPosition+1,$FJ229&lt;SwaptionFirstMonthPosition+1,ID$169&gt;SwaptionFirstMonthPosition+SwaptionNumOfMonths+1,$FJ229&gt;SwaptionFirstMonthPosition+SwaptionNumOfMonths+1),"",IF($FJ229=ID$169,1,IF($FJ229&lt;ID$169,INDEX($FK$170:$ID$241,ID$169,$FJ229),SUMPRODUCT(INDEX($FK$325:$ID$396,ID$169,1+SwaptionShift):INDEX($FK$325:$ID$396,ID$169,SwaptionMonthsToGo+SwaptionShift),INDEX($FK$245:$ID$316,$FJ229-ID$169,73-ID$169+SwaptionShift):INDEX($FK$245:$ID$316,$FJ229-ID$169,72-ID$169+SwaptionMonthsToGo+SwaptionShift))/SQRT(SUM(INDEX($FK384:$ID384,1+SwaptionShift):INDEX($FK384:$ID384,SwaptionMonthsToGo+SwaptionShift))*SUM(INDEX($FK$325:$ID$396,ID$169,1+SwaptionShift):INDEX($FK$325:$ID$396,ID$169,SwaptionMonthsToGo+SwaptionShift))))))</f>
        <v/>
      </c>
      <c r="IE229" s="250"/>
    </row>
    <row r="230" spans="8:239">
      <c r="H230" s="51">
        <f t="shared" ca="1" si="646"/>
        <v>0</v>
      </c>
      <c r="I230" s="379">
        <f t="shared" si="647"/>
        <v>43160</v>
      </c>
      <c r="J230" s="377"/>
      <c r="K230" s="104" t="s">
        <v>268</v>
      </c>
      <c r="L230" s="392">
        <f t="shared" si="648"/>
        <v>5.0249999999999968</v>
      </c>
      <c r="M230" s="171"/>
      <c r="N230" s="382">
        <v>0</v>
      </c>
      <c r="O230" s="171">
        <f t="shared" si="596"/>
        <v>0</v>
      </c>
      <c r="P230" s="377"/>
      <c r="Q230" s="104" t="s">
        <v>268</v>
      </c>
      <c r="R230" s="377">
        <f t="shared" ca="1" si="597"/>
        <v>3.8643457969511057</v>
      </c>
      <c r="S230" s="832">
        <f t="shared" si="671"/>
        <v>0.3600000000000001</v>
      </c>
      <c r="T230" s="831">
        <f t="shared" si="661"/>
        <v>0.99999999999999933</v>
      </c>
      <c r="U230" s="545">
        <f t="shared" si="662"/>
        <v>0.99999999999999978</v>
      </c>
      <c r="V230" s="389">
        <v>0</v>
      </c>
      <c r="W230" s="434">
        <f t="shared" si="598"/>
        <v>0</v>
      </c>
      <c r="X230" s="415">
        <f t="shared" si="599"/>
        <v>5.0761363636363592</v>
      </c>
      <c r="Y230" s="322">
        <f t="shared" si="600"/>
        <v>-1.1684999999999999</v>
      </c>
      <c r="Z230" s="322">
        <f t="shared" ca="1" si="601"/>
        <v>3.9076363636363594</v>
      </c>
      <c r="AA230" s="429">
        <f t="shared" si="628"/>
        <v>1.1684999999999999</v>
      </c>
      <c r="AB230" s="433">
        <f t="shared" ca="1" si="629"/>
        <v>1.1684999999999999</v>
      </c>
      <c r="AC230" s="229">
        <v>43151</v>
      </c>
      <c r="AD230" s="229">
        <v>43147</v>
      </c>
      <c r="AE230" s="229">
        <v>43146</v>
      </c>
      <c r="AF230" s="229">
        <v>43142</v>
      </c>
      <c r="AG230" s="249" t="s">
        <v>499</v>
      </c>
      <c r="AH230" s="247" t="s">
        <v>499</v>
      </c>
      <c r="AI230" s="146">
        <v>22</v>
      </c>
      <c r="AJ230" s="41">
        <v>14</v>
      </c>
      <c r="AK230" s="41">
        <v>8</v>
      </c>
      <c r="AL230" s="293">
        <v>22</v>
      </c>
      <c r="AM230" s="41">
        <v>10</v>
      </c>
      <c r="AN230" s="147">
        <v>12</v>
      </c>
      <c r="AO230" s="374"/>
      <c r="AP230" s="153">
        <f t="shared" ca="1" si="649"/>
        <v>1</v>
      </c>
      <c r="AQ230" s="374"/>
      <c r="AR230" s="153">
        <f t="shared" ca="1" si="663"/>
        <v>1</v>
      </c>
      <c r="AS230" s="272">
        <f t="shared" si="602"/>
        <v>0</v>
      </c>
      <c r="AT230" s="157">
        <f t="shared" si="650"/>
        <v>0</v>
      </c>
      <c r="AU230" s="157">
        <f t="shared" si="630"/>
        <v>0</v>
      </c>
      <c r="AV230" s="271">
        <f t="shared" ca="1" si="670"/>
        <v>9.9999999999999995E-7</v>
      </c>
      <c r="AW230" s="158" t="str">
        <f t="shared" ca="1" si="583"/>
        <v/>
      </c>
      <c r="AX230" s="157">
        <f t="shared" ca="1" si="664"/>
        <v>2.1221546940488202E-5</v>
      </c>
      <c r="AY230" s="157">
        <f t="shared" ca="1" si="665"/>
        <v>4.0488785171647185E-6</v>
      </c>
      <c r="AZ230" s="157">
        <f t="shared" ca="1" si="666"/>
        <v>7.8848587947618723E-8</v>
      </c>
      <c r="BA230" s="157">
        <f t="shared" ca="1" si="667"/>
        <v>9.8560734934523403E-9</v>
      </c>
      <c r="BB230" s="157">
        <f t="shared" ca="1" si="668"/>
        <v>1.7430093857514854E-11</v>
      </c>
      <c r="BC230" s="157">
        <f t="shared" ca="1" si="669"/>
        <v>1.9428436941664202E-13</v>
      </c>
      <c r="BD230" s="151">
        <f t="shared" ca="1" si="603"/>
        <v>0</v>
      </c>
      <c r="BE230" s="152">
        <f t="shared" ca="1" si="604"/>
        <v>0</v>
      </c>
      <c r="BF230" s="40">
        <f t="shared" si="605"/>
        <v>2018</v>
      </c>
      <c r="BG230" s="144">
        <f t="shared" si="606"/>
        <v>3</v>
      </c>
      <c r="BH230" s="145">
        <f t="shared" ca="1" si="607"/>
        <v>6402</v>
      </c>
      <c r="BI230" s="313">
        <f t="shared" ca="1" si="608"/>
        <v>17.563312799452429</v>
      </c>
      <c r="BJ230" s="42">
        <f t="shared" ca="1" si="631"/>
        <v>17.615580859934042</v>
      </c>
      <c r="BK230" s="42">
        <f t="shared" ca="1" si="632"/>
        <v>17.618318710721173</v>
      </c>
      <c r="BL230" s="42">
        <f t="shared" ca="1" si="609"/>
        <v>17.645448323066393</v>
      </c>
      <c r="BM230" s="150" t="e">
        <f t="shared" ca="1" si="633"/>
        <v>#DIV/0!</v>
      </c>
      <c r="BN230" s="42" t="e">
        <f t="shared" ca="1" si="634"/>
        <v>#DIV/0!</v>
      </c>
      <c r="BO230" s="293">
        <f t="shared" si="610"/>
        <v>22</v>
      </c>
      <c r="BP230" s="41">
        <f t="shared" si="611"/>
        <v>14</v>
      </c>
      <c r="BQ230" s="41">
        <f t="shared" si="612"/>
        <v>8</v>
      </c>
      <c r="BR230" s="305" t="str">
        <f t="shared" ca="1" si="635"/>
        <v/>
      </c>
      <c r="BS230" s="305" t="str">
        <f t="shared" ca="1" si="613"/>
        <v/>
      </c>
      <c r="BT230" s="307" t="str">
        <f t="shared" ca="1" si="614"/>
        <v/>
      </c>
      <c r="BU230" s="161" t="str">
        <f t="shared" ca="1" si="636"/>
        <v/>
      </c>
      <c r="BV230" s="161" t="str">
        <f t="shared" ca="1" si="637"/>
        <v/>
      </c>
      <c r="BW230" s="308" t="str">
        <f t="shared" ca="1" si="638"/>
        <v/>
      </c>
      <c r="BX230" s="309" t="str">
        <f t="shared" ca="1" si="639"/>
        <v/>
      </c>
      <c r="BY230" s="308" t="str">
        <f t="shared" ca="1" si="615"/>
        <v/>
      </c>
      <c r="BZ230" s="309" t="str">
        <f t="shared" ca="1" si="616"/>
        <v/>
      </c>
      <c r="CA230" s="154" t="str">
        <f t="shared" ca="1" si="640"/>
        <v/>
      </c>
      <c r="CB230" s="154" t="str">
        <f t="shared" ca="1" si="641"/>
        <v/>
      </c>
      <c r="CC230" s="154" t="str">
        <f t="shared" ca="1" si="642"/>
        <v/>
      </c>
      <c r="CD230" s="154" t="str">
        <f t="shared" ca="1" si="643"/>
        <v/>
      </c>
      <c r="CE230" s="310">
        <v>1</v>
      </c>
      <c r="CF230" s="162">
        <f ca="1">IF(BD230,_xll.xCrudeAPO(BU230,BV230,CA230,CB230,S231,S232,BI230,BL230,BP230,BQ230,0,Strike1,AO230,CE230,0,BL230,IF(OptControl=4,0,1),0,1),0)</f>
        <v>0</v>
      </c>
      <c r="CG230" s="163">
        <f ca="1">IF(BD230,_xll.xCrudeAPO(BU230,BV230,CA230,CB230,S231,S232,BI230,BL230,BP230,BQ230,0,Strike1,AO230,CE230,0,BL230,IF(OptControl=4,0,1),1,1)+_xll.xCrudeAPO(BU230,BV230,CA230,CB230,S231,S232,BI230,BL230,BP230,BQ230,0,Strike1,AO230,CE230,0,BL230,IF(OptControl=4,0,1),1,2)+IF(OR(VolSkewFlag=2,ABS(BS230)&lt;0.0001),0,IF(BS230&gt;0,-1,1)*CH230*Strike1/BR230^2*BY230/10%),0)</f>
        <v>0</v>
      </c>
      <c r="CH230" s="163">
        <f ca="1">IF(BD230,(_xll.xCrudeAPO(BU230,BV230,CA230,CB230,S231,S232,BI230,BL230,BP230,BQ230,0,Strike1,AO230,CE230,0,BL230,IF(OptControl=4,0,1),3,1)+_xll.xCrudeAPO(BU230,BV230,CA230,CB230,S231,S232,BI230,BL230,BP230,BQ230,0,Strike1,AO230,CE230,0,BL230,IF(OptControl=4,0,1),3,2))/100,0)</f>
        <v>0</v>
      </c>
      <c r="CI230" s="163">
        <f ca="1">IF(BD230,_xll.xCrudeAPO(BU230,BV230,CA230,CB230,S231,S232,BI230-DaysForThetaCalculation/365.25,BL230-DaysForThetaCalculation/365.25,BP230,BQ230,0,Strike1,AO230,CE230,0,BL230,IF(OptControl=4,0,1),0,1)-_xll.xCrudeAPO(BU230,BV230,CA230,CB230,S231,S232,BI230,BL230,BP230,BQ230,0,Strike1,AO230,CE230,0,BL230,IF(OptControl=4,0,1),0,1),0)</f>
        <v>0</v>
      </c>
      <c r="CJ230" s="311">
        <f ca="1">IF(BD230,_xll.xCrudeAPO(BU230,BV230,CC230,CD230,S231,S232,BI230,BL230,BP230,BQ230,0,Strike2,AO230,CE230,0,BL230,IF(OptControl=3,1,0),0,1),0)</f>
        <v>0</v>
      </c>
      <c r="CK230" s="163">
        <f ca="1">IF(BD230,_xll.xCrudeAPO(BU230,BV230,CC230,CD230,S231,S232,BI230,BL230,BP230,BQ230,0,Strike2,AO230,CE230,0,BL230,IF(OptControl=3,1,0),1,1)+_xll.xCrudeAPO(BU230,BV230,CC230,CD230,S231,S232,BI230,BL230,BP230,BQ230,0,Strike2,AO230,CE230,0,BL230,IF(OptControl=3,1,0),1,2)+IF(OR(VolSkewFlag=2,ABS(BT230)&lt;0.0001),0,IF(BT230&gt;0,-1,1)*CL230*Strike2/BR230^2*BZ230/10%),0)</f>
        <v>0</v>
      </c>
      <c r="CL230" s="163">
        <f ca="1">IF(BD230,(_xll.xCrudeAPO(BU230,BV230,CC230,CD230,S231,S232,BI230,BL230,BP230,BQ230,0,Strike2,AO230,CE230,0,BL230,IF(OptControl=3,1,0),3,1)+_xll.xCrudeAPO(BU230,BV230,CC230,CD230,S231,S232,BI230,BL230,BP230,BQ230,0,Strike2,AO230,CE230,0,BL230,IF(OptControl=3,1,0),3,2))/100,0)</f>
        <v>0</v>
      </c>
      <c r="CM230" s="164">
        <f ca="1">IF(BD230,_xll.xCrudeAPO(BU230,BV230,CC230,CD230,S231,S232,BI230-DaysForThetaCalculation/365.25,BL230-DaysForThetaCalculation/365.25,BP230,BQ230,0,Strike2,AO230,CE230,0,BL230,IF(OptControl=3,1,0),0,1)-_xll.xCrudeAPO(BU230,BV230,CC230,CD230,S231,S232,BI230,BL230,BP230,BQ230,0,Strike2,AO230,CE230,0,BL230,IF(OptControl=3,1,0),0,1),0)</f>
        <v>0</v>
      </c>
      <c r="CN230" s="53"/>
      <c r="CO230" s="796" t="str">
        <f t="shared" ca="1" si="651"/>
        <v/>
      </c>
      <c r="CP230" s="800" t="str">
        <f t="shared" ca="1" si="652"/>
        <v/>
      </c>
      <c r="CQ230" s="797" t="str">
        <f t="shared" ca="1" si="653"/>
        <v/>
      </c>
      <c r="CR230" s="797" t="str">
        <f t="shared" ca="1" si="654"/>
        <v/>
      </c>
      <c r="CS230" s="797" t="str">
        <f t="shared" ca="1" si="655"/>
        <v/>
      </c>
      <c r="CT230" s="797" t="str">
        <f t="shared" ca="1" si="656"/>
        <v/>
      </c>
      <c r="CU230" s="798" t="str">
        <f t="shared" ca="1" si="657"/>
        <v/>
      </c>
      <c r="CV230" s="799" t="str">
        <f t="shared" ca="1" si="658"/>
        <v/>
      </c>
      <c r="CW230" s="799" t="str">
        <f t="shared" ca="1" si="659"/>
        <v/>
      </c>
      <c r="CX230" s="163">
        <f ca="1">IF(BD230,_xll.EURO(CP230,Strike1,AO230,AO230,CV230,CO230,IF(OptControl=4,0,1),0),0)</f>
        <v>0</v>
      </c>
      <c r="CY230" s="163">
        <f ca="1">IF(BD230,_xll.EURO(CP230,Strike1,AO230,AO230,CV230,CO230,IF(OptControl=4,0,1),1)+IF(OR(VolSkewFlag=2,ABS(CQ230)&lt;0.0001),0,IF(CQ230&gt;0,-1,1)*CZ230*100*Strike1/CP230^2*CS230/10%),0)</f>
        <v>0</v>
      </c>
      <c r="CZ230" s="163">
        <f ca="1">IF(BD230,_xll.EURO(CP230,Strike1,AO230,AO230,CV230,CO230,IF(OptControl=4,0,1),3)/100,0)</f>
        <v>0</v>
      </c>
      <c r="DA230" s="163">
        <f ca="1">IF(BD230,_xll.EURO(CP230,Strike1,AO230,AO230,CV230,CO230,IF(OptControl=4,0,1),0)-_xll.EURO(CP230,Strike1,AO230,AO230,CV230,CO230-1,IF(OptControl=4,0,1),0),0)</f>
        <v>0</v>
      </c>
      <c r="DB230" s="163">
        <f ca="1">IF(BD230,_xll.EURO(CP230,Strike2,AO230,AO230,CW230,CO230,IF(OptControl=3,1,0),0),0)</f>
        <v>0</v>
      </c>
      <c r="DC230" s="163">
        <f ca="1">IF(BD230,_xll.EURO(CP230,Strike2,AO230,AO230,CW230,CO230,IF(OptControl=3,1,0),1)+IF(OR(VolSkewFlag=2,ABS(CR230)&lt;0.0001),0,IF(CR230&gt;0,-1,1)*DD230*100*Strike2/CP230^2*CT230/10%),0)</f>
        <v>0</v>
      </c>
      <c r="DD230" s="163">
        <f ca="1">IF(BD230,_xll.EURO(CP230,Strike2,AO230,AO230,CW230,CO230,IF(OptControl=3,1,0),3)/100,0)</f>
        <v>0</v>
      </c>
      <c r="DE230" s="164">
        <f ca="1">IF(BD230,_xll.EURO(CP230,Strike2,AO230,AO230,CW230,CO230,IF(OptControl=3,1,0),0)-_xll.EURO(CP230,Strike2,AO230,AO230,CW230,CO230-1,IF(OptControl=3,1,0),0),0)</f>
        <v>0</v>
      </c>
      <c r="DG230" s="667">
        <f t="shared" ca="1" si="660"/>
        <v>42948</v>
      </c>
      <c r="DH230" s="475">
        <v>24.660000000000096</v>
      </c>
      <c r="DI230" s="665">
        <v>24.729565217391404</v>
      </c>
      <c r="DJ230" s="666">
        <f t="shared" ca="1" si="617"/>
        <v>42948</v>
      </c>
      <c r="DK230" s="475">
        <v>23.274446717181167</v>
      </c>
      <c r="DL230" s="665">
        <v>23.462665217391404</v>
      </c>
      <c r="DM230" s="667">
        <f t="shared" ca="1" si="618"/>
        <v>42948</v>
      </c>
      <c r="DN230" s="668">
        <f t="shared" si="619"/>
        <v>23.324446717181168</v>
      </c>
      <c r="DO230" s="667">
        <f t="shared" ca="1" si="620"/>
        <v>42948</v>
      </c>
      <c r="DP230" s="579">
        <f t="shared" si="621"/>
        <v>23.462665217391404</v>
      </c>
      <c r="DQ230" s="821">
        <v>0</v>
      </c>
      <c r="DR230" s="666">
        <f t="shared" ca="1" si="622"/>
        <v>42948</v>
      </c>
      <c r="DS230" s="669">
        <v>9.8599999999998023E-2</v>
      </c>
      <c r="DT230" s="606">
        <v>9.7765217391302367E-2</v>
      </c>
      <c r="DU230" s="666">
        <f t="shared" ca="1" si="623"/>
        <v>42948</v>
      </c>
      <c r="DV230" s="669">
        <v>9.8599999999998023E-2</v>
      </c>
      <c r="DW230" s="606">
        <v>9.7765217391302367E-2</v>
      </c>
      <c r="DX230" s="667">
        <f t="shared" ca="1" si="624"/>
        <v>42948</v>
      </c>
      <c r="DY230" s="606">
        <v>0.35</v>
      </c>
      <c r="DZ230" s="667">
        <f t="shared" ca="1" si="625"/>
        <v>42948</v>
      </c>
      <c r="EA230" s="606">
        <f t="shared" si="626"/>
        <v>9.7765217391302367E-2</v>
      </c>
      <c r="EB230" s="1"/>
      <c r="EC230" s="118" t="str">
        <f t="shared" ca="1" si="627"/>
        <v/>
      </c>
      <c r="ED230" s="119" t="str">
        <f t="shared" ca="1" si="644"/>
        <v/>
      </c>
      <c r="EE230" s="112" t="str">
        <f t="shared" ca="1" si="645"/>
        <v/>
      </c>
      <c r="EF230" s="120">
        <f ca="1">IF(BD230,_xll.xASN(BR230,Strike1,AO230,ED230,0,BO230,0,BI230,BL230,IF(OptControl=4,0,1),0),0)</f>
        <v>0</v>
      </c>
      <c r="EG230" s="111">
        <f ca="1">IF(BD230,_xll.xASN(BR230,Strike2,AO230,EE230,0,BO230,0,BI230,BL230,IF(OptControl=3,1,0),0),0)</f>
        <v>0</v>
      </c>
      <c r="EL230" s="55"/>
      <c r="EM230" s="1"/>
      <c r="EN230" s="106"/>
      <c r="EO230" s="106"/>
      <c r="EP230" s="1"/>
      <c r="EQ230" s="683" t="s">
        <v>444</v>
      </c>
      <c r="ES230" s="55"/>
      <c r="EU230" s="107"/>
      <c r="FJ230" s="673">
        <v>61</v>
      </c>
      <c r="FK230" s="479" t="str">
        <f ca="1">IF(OR(FK$169&lt;SwaptionFirstMonthPosition+1,$FJ230&lt;SwaptionFirstMonthPosition+1,FK$169&gt;SwaptionFirstMonthPosition+SwaptionNumOfMonths+1,$FJ230&gt;SwaptionFirstMonthPosition+SwaptionNumOfMonths+1),"",IF($FJ230=FK$169,1,IF($FJ230&lt;FK$169,INDEX($FK$170:$ID$241,FK$169,$FJ230),SUMPRODUCT(INDEX($FK$325:$ID$396,FK$169,1+SwaptionShift):INDEX($FK$325:$ID$396,FK$169,SwaptionMonthsToGo+SwaptionShift),INDEX($FK$245:$ID$316,$FJ230-FK$169,73-FK$169+SwaptionShift):INDEX($FK$245:$ID$316,$FJ230-FK$169,72-FK$169+SwaptionMonthsToGo+SwaptionShift))/SQRT(SUM(INDEX($FK385:$ID385,1+SwaptionShift):INDEX($FK385:$ID385,SwaptionMonthsToGo+SwaptionShift))*SUM(INDEX($FK$325:$ID$396,FK$169,1+SwaptionShift):INDEX($FK$325:$ID$396,FK$169,SwaptionMonthsToGo+SwaptionShift))))))</f>
        <v/>
      </c>
      <c r="FL230" s="479" t="str">
        <f ca="1">IF(OR(FL$169&lt;SwaptionFirstMonthPosition+1,$FJ230&lt;SwaptionFirstMonthPosition+1,FL$169&gt;SwaptionFirstMonthPosition+SwaptionNumOfMonths+1,$FJ230&gt;SwaptionFirstMonthPosition+SwaptionNumOfMonths+1),"",IF($FJ230=FL$169,1,IF($FJ230&lt;FL$169,INDEX($FK$170:$ID$241,FL$169,$FJ230),SUMPRODUCT(INDEX($FK$325:$ID$396,FL$169,1+SwaptionShift):INDEX($FK$325:$ID$396,FL$169,SwaptionMonthsToGo+SwaptionShift),INDEX($FK$245:$ID$316,$FJ230-FL$169,73-FL$169+SwaptionShift):INDEX($FK$245:$ID$316,$FJ230-FL$169,72-FL$169+SwaptionMonthsToGo+SwaptionShift))/SQRT(SUM(INDEX($FK385:$ID385,1+SwaptionShift):INDEX($FK385:$ID385,SwaptionMonthsToGo+SwaptionShift))*SUM(INDEX($FK$325:$ID$396,FL$169,1+SwaptionShift):INDEX($FK$325:$ID$396,FL$169,SwaptionMonthsToGo+SwaptionShift))))))</f>
        <v/>
      </c>
      <c r="FM230" s="479" t="str">
        <f ca="1">IF(OR(FM$169&lt;SwaptionFirstMonthPosition+1,$FJ230&lt;SwaptionFirstMonthPosition+1,FM$169&gt;SwaptionFirstMonthPosition+SwaptionNumOfMonths+1,$FJ230&gt;SwaptionFirstMonthPosition+SwaptionNumOfMonths+1),"",IF($FJ230=FM$169,1,IF($FJ230&lt;FM$169,INDEX($FK$170:$ID$241,FM$169,$FJ230),SUMPRODUCT(INDEX($FK$325:$ID$396,FM$169,1+SwaptionShift):INDEX($FK$325:$ID$396,FM$169,SwaptionMonthsToGo+SwaptionShift),INDEX($FK$245:$ID$316,$FJ230-FM$169,73-FM$169+SwaptionShift):INDEX($FK$245:$ID$316,$FJ230-FM$169,72-FM$169+SwaptionMonthsToGo+SwaptionShift))/SQRT(SUM(INDEX($FK385:$ID385,1+SwaptionShift):INDEX($FK385:$ID385,SwaptionMonthsToGo+SwaptionShift))*SUM(INDEX($FK$325:$ID$396,FM$169,1+SwaptionShift):INDEX($FK$325:$ID$396,FM$169,SwaptionMonthsToGo+SwaptionShift))))))</f>
        <v/>
      </c>
      <c r="FN230" s="479" t="str">
        <f ca="1">IF(OR(FN$169&lt;SwaptionFirstMonthPosition+1,$FJ230&lt;SwaptionFirstMonthPosition+1,FN$169&gt;SwaptionFirstMonthPosition+SwaptionNumOfMonths+1,$FJ230&gt;SwaptionFirstMonthPosition+SwaptionNumOfMonths+1),"",IF($FJ230=FN$169,1,IF($FJ230&lt;FN$169,INDEX($FK$170:$ID$241,FN$169,$FJ230),SUMPRODUCT(INDEX($FK$325:$ID$396,FN$169,1+SwaptionShift):INDEX($FK$325:$ID$396,FN$169,SwaptionMonthsToGo+SwaptionShift),INDEX($FK$245:$ID$316,$FJ230-FN$169,73-FN$169+SwaptionShift):INDEX($FK$245:$ID$316,$FJ230-FN$169,72-FN$169+SwaptionMonthsToGo+SwaptionShift))/SQRT(SUM(INDEX($FK385:$ID385,1+SwaptionShift):INDEX($FK385:$ID385,SwaptionMonthsToGo+SwaptionShift))*SUM(INDEX($FK$325:$ID$396,FN$169,1+SwaptionShift):INDEX($FK$325:$ID$396,FN$169,SwaptionMonthsToGo+SwaptionShift))))))</f>
        <v/>
      </c>
      <c r="FO230" s="479" t="str">
        <f ca="1">IF(OR(FO$169&lt;SwaptionFirstMonthPosition+1,$FJ230&lt;SwaptionFirstMonthPosition+1,FO$169&gt;SwaptionFirstMonthPosition+SwaptionNumOfMonths+1,$FJ230&gt;SwaptionFirstMonthPosition+SwaptionNumOfMonths+1),"",IF($FJ230=FO$169,1,IF($FJ230&lt;FO$169,INDEX($FK$170:$ID$241,FO$169,$FJ230),SUMPRODUCT(INDEX($FK$325:$ID$396,FO$169,1+SwaptionShift):INDEX($FK$325:$ID$396,FO$169,SwaptionMonthsToGo+SwaptionShift),INDEX($FK$245:$ID$316,$FJ230-FO$169,73-FO$169+SwaptionShift):INDEX($FK$245:$ID$316,$FJ230-FO$169,72-FO$169+SwaptionMonthsToGo+SwaptionShift))/SQRT(SUM(INDEX($FK385:$ID385,1+SwaptionShift):INDEX($FK385:$ID385,SwaptionMonthsToGo+SwaptionShift))*SUM(INDEX($FK$325:$ID$396,FO$169,1+SwaptionShift):INDEX($FK$325:$ID$396,FO$169,SwaptionMonthsToGo+SwaptionShift))))))</f>
        <v/>
      </c>
      <c r="FP230" s="479" t="str">
        <f ca="1">IF(OR(FP$169&lt;SwaptionFirstMonthPosition+1,$FJ230&lt;SwaptionFirstMonthPosition+1,FP$169&gt;SwaptionFirstMonthPosition+SwaptionNumOfMonths+1,$FJ230&gt;SwaptionFirstMonthPosition+SwaptionNumOfMonths+1),"",IF($FJ230=FP$169,1,IF($FJ230&lt;FP$169,INDEX($FK$170:$ID$241,FP$169,$FJ230),SUMPRODUCT(INDEX($FK$325:$ID$396,FP$169,1+SwaptionShift):INDEX($FK$325:$ID$396,FP$169,SwaptionMonthsToGo+SwaptionShift),INDEX($FK$245:$ID$316,$FJ230-FP$169,73-FP$169+SwaptionShift):INDEX($FK$245:$ID$316,$FJ230-FP$169,72-FP$169+SwaptionMonthsToGo+SwaptionShift))/SQRT(SUM(INDEX($FK385:$ID385,1+SwaptionShift):INDEX($FK385:$ID385,SwaptionMonthsToGo+SwaptionShift))*SUM(INDEX($FK$325:$ID$396,FP$169,1+SwaptionShift):INDEX($FK$325:$ID$396,FP$169,SwaptionMonthsToGo+SwaptionShift))))))</f>
        <v/>
      </c>
      <c r="FQ230" s="479" t="str">
        <f ca="1">IF(OR(FQ$169&lt;SwaptionFirstMonthPosition+1,$FJ230&lt;SwaptionFirstMonthPosition+1,FQ$169&gt;SwaptionFirstMonthPosition+SwaptionNumOfMonths+1,$FJ230&gt;SwaptionFirstMonthPosition+SwaptionNumOfMonths+1),"",IF($FJ230=FQ$169,1,IF($FJ230&lt;FQ$169,INDEX($FK$170:$ID$241,FQ$169,$FJ230),SUMPRODUCT(INDEX($FK$325:$ID$396,FQ$169,1+SwaptionShift):INDEX($FK$325:$ID$396,FQ$169,SwaptionMonthsToGo+SwaptionShift),INDEX($FK$245:$ID$316,$FJ230-FQ$169,73-FQ$169+SwaptionShift):INDEX($FK$245:$ID$316,$FJ230-FQ$169,72-FQ$169+SwaptionMonthsToGo+SwaptionShift))/SQRT(SUM(INDEX($FK385:$ID385,1+SwaptionShift):INDEX($FK385:$ID385,SwaptionMonthsToGo+SwaptionShift))*SUM(INDEX($FK$325:$ID$396,FQ$169,1+SwaptionShift):INDEX($FK$325:$ID$396,FQ$169,SwaptionMonthsToGo+SwaptionShift))))))</f>
        <v/>
      </c>
      <c r="FR230" s="479" t="str">
        <f ca="1">IF(OR(FR$169&lt;SwaptionFirstMonthPosition+1,$FJ230&lt;SwaptionFirstMonthPosition+1,FR$169&gt;SwaptionFirstMonthPosition+SwaptionNumOfMonths+1,$FJ230&gt;SwaptionFirstMonthPosition+SwaptionNumOfMonths+1),"",IF($FJ230=FR$169,1,IF($FJ230&lt;FR$169,INDEX($FK$170:$ID$241,FR$169,$FJ230),SUMPRODUCT(INDEX($FK$325:$ID$396,FR$169,1+SwaptionShift):INDEX($FK$325:$ID$396,FR$169,SwaptionMonthsToGo+SwaptionShift),INDEX($FK$245:$ID$316,$FJ230-FR$169,73-FR$169+SwaptionShift):INDEX($FK$245:$ID$316,$FJ230-FR$169,72-FR$169+SwaptionMonthsToGo+SwaptionShift))/SQRT(SUM(INDEX($FK385:$ID385,1+SwaptionShift):INDEX($FK385:$ID385,SwaptionMonthsToGo+SwaptionShift))*SUM(INDEX($FK$325:$ID$396,FR$169,1+SwaptionShift):INDEX($FK$325:$ID$396,FR$169,SwaptionMonthsToGo+SwaptionShift))))))</f>
        <v/>
      </c>
      <c r="FS230" s="479" t="str">
        <f ca="1">IF(OR(FS$169&lt;SwaptionFirstMonthPosition+1,$FJ230&lt;SwaptionFirstMonthPosition+1,FS$169&gt;SwaptionFirstMonthPosition+SwaptionNumOfMonths+1,$FJ230&gt;SwaptionFirstMonthPosition+SwaptionNumOfMonths+1),"",IF($FJ230=FS$169,1,IF($FJ230&lt;FS$169,INDEX($FK$170:$ID$241,FS$169,$FJ230),SUMPRODUCT(INDEX($FK$325:$ID$396,FS$169,1+SwaptionShift):INDEX($FK$325:$ID$396,FS$169,SwaptionMonthsToGo+SwaptionShift),INDEX($FK$245:$ID$316,$FJ230-FS$169,73-FS$169+SwaptionShift):INDEX($FK$245:$ID$316,$FJ230-FS$169,72-FS$169+SwaptionMonthsToGo+SwaptionShift))/SQRT(SUM(INDEX($FK385:$ID385,1+SwaptionShift):INDEX($FK385:$ID385,SwaptionMonthsToGo+SwaptionShift))*SUM(INDEX($FK$325:$ID$396,FS$169,1+SwaptionShift):INDEX($FK$325:$ID$396,FS$169,SwaptionMonthsToGo+SwaptionShift))))))</f>
        <v/>
      </c>
      <c r="FT230" s="479" t="str">
        <f ca="1">IF(OR(FT$169&lt;SwaptionFirstMonthPosition+1,$FJ230&lt;SwaptionFirstMonthPosition+1,FT$169&gt;SwaptionFirstMonthPosition+SwaptionNumOfMonths+1,$FJ230&gt;SwaptionFirstMonthPosition+SwaptionNumOfMonths+1),"",IF($FJ230=FT$169,1,IF($FJ230&lt;FT$169,INDEX($FK$170:$ID$241,FT$169,$FJ230),SUMPRODUCT(INDEX($FK$325:$ID$396,FT$169,1+SwaptionShift):INDEX($FK$325:$ID$396,FT$169,SwaptionMonthsToGo+SwaptionShift),INDEX($FK$245:$ID$316,$FJ230-FT$169,73-FT$169+SwaptionShift):INDEX($FK$245:$ID$316,$FJ230-FT$169,72-FT$169+SwaptionMonthsToGo+SwaptionShift))/SQRT(SUM(INDEX($FK385:$ID385,1+SwaptionShift):INDEX($FK385:$ID385,SwaptionMonthsToGo+SwaptionShift))*SUM(INDEX($FK$325:$ID$396,FT$169,1+SwaptionShift):INDEX($FK$325:$ID$396,FT$169,SwaptionMonthsToGo+SwaptionShift))))))</f>
        <v/>
      </c>
      <c r="FU230" s="479" t="str">
        <f ca="1">IF(OR(FU$169&lt;SwaptionFirstMonthPosition+1,$FJ230&lt;SwaptionFirstMonthPosition+1,FU$169&gt;SwaptionFirstMonthPosition+SwaptionNumOfMonths+1,$FJ230&gt;SwaptionFirstMonthPosition+SwaptionNumOfMonths+1),"",IF($FJ230=FU$169,1,IF($FJ230&lt;FU$169,INDEX($FK$170:$ID$241,FU$169,$FJ230),SUMPRODUCT(INDEX($FK$325:$ID$396,FU$169,1+SwaptionShift):INDEX($FK$325:$ID$396,FU$169,SwaptionMonthsToGo+SwaptionShift),INDEX($FK$245:$ID$316,$FJ230-FU$169,73-FU$169+SwaptionShift):INDEX($FK$245:$ID$316,$FJ230-FU$169,72-FU$169+SwaptionMonthsToGo+SwaptionShift))/SQRT(SUM(INDEX($FK385:$ID385,1+SwaptionShift):INDEX($FK385:$ID385,SwaptionMonthsToGo+SwaptionShift))*SUM(INDEX($FK$325:$ID$396,FU$169,1+SwaptionShift):INDEX($FK$325:$ID$396,FU$169,SwaptionMonthsToGo+SwaptionShift))))))</f>
        <v/>
      </c>
      <c r="FV230" s="479" t="str">
        <f ca="1">IF(OR(FV$169&lt;SwaptionFirstMonthPosition+1,$FJ230&lt;SwaptionFirstMonthPosition+1,FV$169&gt;SwaptionFirstMonthPosition+SwaptionNumOfMonths+1,$FJ230&gt;SwaptionFirstMonthPosition+SwaptionNumOfMonths+1),"",IF($FJ230=FV$169,1,IF($FJ230&lt;FV$169,INDEX($FK$170:$ID$241,FV$169,$FJ230),SUMPRODUCT(INDEX($FK$325:$ID$396,FV$169,1+SwaptionShift):INDEX($FK$325:$ID$396,FV$169,SwaptionMonthsToGo+SwaptionShift),INDEX($FK$245:$ID$316,$FJ230-FV$169,73-FV$169+SwaptionShift):INDEX($FK$245:$ID$316,$FJ230-FV$169,72-FV$169+SwaptionMonthsToGo+SwaptionShift))/SQRT(SUM(INDEX($FK385:$ID385,1+SwaptionShift):INDEX($FK385:$ID385,SwaptionMonthsToGo+SwaptionShift))*SUM(INDEX($FK$325:$ID$396,FV$169,1+SwaptionShift):INDEX($FK$325:$ID$396,FV$169,SwaptionMonthsToGo+SwaptionShift))))))</f>
        <v/>
      </c>
      <c r="FW230" s="479" t="str">
        <f ca="1">IF(OR(FW$169&lt;SwaptionFirstMonthPosition+1,$FJ230&lt;SwaptionFirstMonthPosition+1,FW$169&gt;SwaptionFirstMonthPosition+SwaptionNumOfMonths+1,$FJ230&gt;SwaptionFirstMonthPosition+SwaptionNumOfMonths+1),"",IF($FJ230=FW$169,1,IF($FJ230&lt;FW$169,INDEX($FK$170:$ID$241,FW$169,$FJ230),SUMPRODUCT(INDEX($FK$325:$ID$396,FW$169,1+SwaptionShift):INDEX($FK$325:$ID$396,FW$169,SwaptionMonthsToGo+SwaptionShift),INDEX($FK$245:$ID$316,$FJ230-FW$169,73-FW$169+SwaptionShift):INDEX($FK$245:$ID$316,$FJ230-FW$169,72-FW$169+SwaptionMonthsToGo+SwaptionShift))/SQRT(SUM(INDEX($FK385:$ID385,1+SwaptionShift):INDEX($FK385:$ID385,SwaptionMonthsToGo+SwaptionShift))*SUM(INDEX($FK$325:$ID$396,FW$169,1+SwaptionShift):INDEX($FK$325:$ID$396,FW$169,SwaptionMonthsToGo+SwaptionShift))))))</f>
        <v/>
      </c>
      <c r="FX230" s="479" t="str">
        <f ca="1">IF(OR(FX$169&lt;SwaptionFirstMonthPosition+1,$FJ230&lt;SwaptionFirstMonthPosition+1,FX$169&gt;SwaptionFirstMonthPosition+SwaptionNumOfMonths+1,$FJ230&gt;SwaptionFirstMonthPosition+SwaptionNumOfMonths+1),"",IF($FJ230=FX$169,1,IF($FJ230&lt;FX$169,INDEX($FK$170:$ID$241,FX$169,$FJ230),SUMPRODUCT(INDEX($FK$325:$ID$396,FX$169,1+SwaptionShift):INDEX($FK$325:$ID$396,FX$169,SwaptionMonthsToGo+SwaptionShift),INDEX($FK$245:$ID$316,$FJ230-FX$169,73-FX$169+SwaptionShift):INDEX($FK$245:$ID$316,$FJ230-FX$169,72-FX$169+SwaptionMonthsToGo+SwaptionShift))/SQRT(SUM(INDEX($FK385:$ID385,1+SwaptionShift):INDEX($FK385:$ID385,SwaptionMonthsToGo+SwaptionShift))*SUM(INDEX($FK$325:$ID$396,FX$169,1+SwaptionShift):INDEX($FK$325:$ID$396,FX$169,SwaptionMonthsToGo+SwaptionShift))))))</f>
        <v/>
      </c>
      <c r="FY230" s="479" t="str">
        <f ca="1">IF(OR(FY$169&lt;SwaptionFirstMonthPosition+1,$FJ230&lt;SwaptionFirstMonthPosition+1,FY$169&gt;SwaptionFirstMonthPosition+SwaptionNumOfMonths+1,$FJ230&gt;SwaptionFirstMonthPosition+SwaptionNumOfMonths+1),"",IF($FJ230=FY$169,1,IF($FJ230&lt;FY$169,INDEX($FK$170:$ID$241,FY$169,$FJ230),SUMPRODUCT(INDEX($FK$325:$ID$396,FY$169,1+SwaptionShift):INDEX($FK$325:$ID$396,FY$169,SwaptionMonthsToGo+SwaptionShift),INDEX($FK$245:$ID$316,$FJ230-FY$169,73-FY$169+SwaptionShift):INDEX($FK$245:$ID$316,$FJ230-FY$169,72-FY$169+SwaptionMonthsToGo+SwaptionShift))/SQRT(SUM(INDEX($FK385:$ID385,1+SwaptionShift):INDEX($FK385:$ID385,SwaptionMonthsToGo+SwaptionShift))*SUM(INDEX($FK$325:$ID$396,FY$169,1+SwaptionShift):INDEX($FK$325:$ID$396,FY$169,SwaptionMonthsToGo+SwaptionShift))))))</f>
        <v/>
      </c>
      <c r="FZ230" s="479" t="str">
        <f ca="1">IF(OR(FZ$169&lt;SwaptionFirstMonthPosition+1,$FJ230&lt;SwaptionFirstMonthPosition+1,FZ$169&gt;SwaptionFirstMonthPosition+SwaptionNumOfMonths+1,$FJ230&gt;SwaptionFirstMonthPosition+SwaptionNumOfMonths+1),"",IF($FJ230=FZ$169,1,IF($FJ230&lt;FZ$169,INDEX($FK$170:$ID$241,FZ$169,$FJ230),SUMPRODUCT(INDEX($FK$325:$ID$396,FZ$169,1+SwaptionShift):INDEX($FK$325:$ID$396,FZ$169,SwaptionMonthsToGo+SwaptionShift),INDEX($FK$245:$ID$316,$FJ230-FZ$169,73-FZ$169+SwaptionShift):INDEX($FK$245:$ID$316,$FJ230-FZ$169,72-FZ$169+SwaptionMonthsToGo+SwaptionShift))/SQRT(SUM(INDEX($FK385:$ID385,1+SwaptionShift):INDEX($FK385:$ID385,SwaptionMonthsToGo+SwaptionShift))*SUM(INDEX($FK$325:$ID$396,FZ$169,1+SwaptionShift):INDEX($FK$325:$ID$396,FZ$169,SwaptionMonthsToGo+SwaptionShift))))))</f>
        <v/>
      </c>
      <c r="GA230" s="479" t="str">
        <f ca="1">IF(OR(GA$169&lt;SwaptionFirstMonthPosition+1,$FJ230&lt;SwaptionFirstMonthPosition+1,GA$169&gt;SwaptionFirstMonthPosition+SwaptionNumOfMonths+1,$FJ230&gt;SwaptionFirstMonthPosition+SwaptionNumOfMonths+1),"",IF($FJ230=GA$169,1,IF($FJ230&lt;GA$169,INDEX($FK$170:$ID$241,GA$169,$FJ230),SUMPRODUCT(INDEX($FK$325:$ID$396,GA$169,1+SwaptionShift):INDEX($FK$325:$ID$396,GA$169,SwaptionMonthsToGo+SwaptionShift),INDEX($FK$245:$ID$316,$FJ230-GA$169,73-GA$169+SwaptionShift):INDEX($FK$245:$ID$316,$FJ230-GA$169,72-GA$169+SwaptionMonthsToGo+SwaptionShift))/SQRT(SUM(INDEX($FK385:$ID385,1+SwaptionShift):INDEX($FK385:$ID385,SwaptionMonthsToGo+SwaptionShift))*SUM(INDEX($FK$325:$ID$396,GA$169,1+SwaptionShift):INDEX($FK$325:$ID$396,GA$169,SwaptionMonthsToGo+SwaptionShift))))))</f>
        <v/>
      </c>
      <c r="GB230" s="479" t="str">
        <f ca="1">IF(OR(GB$169&lt;SwaptionFirstMonthPosition+1,$FJ230&lt;SwaptionFirstMonthPosition+1,GB$169&gt;SwaptionFirstMonthPosition+SwaptionNumOfMonths+1,$FJ230&gt;SwaptionFirstMonthPosition+SwaptionNumOfMonths+1),"",IF($FJ230=GB$169,1,IF($FJ230&lt;GB$169,INDEX($FK$170:$ID$241,GB$169,$FJ230),SUMPRODUCT(INDEX($FK$325:$ID$396,GB$169,1+SwaptionShift):INDEX($FK$325:$ID$396,GB$169,SwaptionMonthsToGo+SwaptionShift),INDEX($FK$245:$ID$316,$FJ230-GB$169,73-GB$169+SwaptionShift):INDEX($FK$245:$ID$316,$FJ230-GB$169,72-GB$169+SwaptionMonthsToGo+SwaptionShift))/SQRT(SUM(INDEX($FK385:$ID385,1+SwaptionShift):INDEX($FK385:$ID385,SwaptionMonthsToGo+SwaptionShift))*SUM(INDEX($FK$325:$ID$396,GB$169,1+SwaptionShift):INDEX($FK$325:$ID$396,GB$169,SwaptionMonthsToGo+SwaptionShift))))))</f>
        <v/>
      </c>
      <c r="GC230" s="479" t="str">
        <f ca="1">IF(OR(GC$169&lt;SwaptionFirstMonthPosition+1,$FJ230&lt;SwaptionFirstMonthPosition+1,GC$169&gt;SwaptionFirstMonthPosition+SwaptionNumOfMonths+1,$FJ230&gt;SwaptionFirstMonthPosition+SwaptionNumOfMonths+1),"",IF($FJ230=GC$169,1,IF($FJ230&lt;GC$169,INDEX($FK$170:$ID$241,GC$169,$FJ230),SUMPRODUCT(INDEX($FK$325:$ID$396,GC$169,1+SwaptionShift):INDEX($FK$325:$ID$396,GC$169,SwaptionMonthsToGo+SwaptionShift),INDEX($FK$245:$ID$316,$FJ230-GC$169,73-GC$169+SwaptionShift):INDEX($FK$245:$ID$316,$FJ230-GC$169,72-GC$169+SwaptionMonthsToGo+SwaptionShift))/SQRT(SUM(INDEX($FK385:$ID385,1+SwaptionShift):INDEX($FK385:$ID385,SwaptionMonthsToGo+SwaptionShift))*SUM(INDEX($FK$325:$ID$396,GC$169,1+SwaptionShift):INDEX($FK$325:$ID$396,GC$169,SwaptionMonthsToGo+SwaptionShift))))))</f>
        <v/>
      </c>
      <c r="GD230" s="479" t="str">
        <f ca="1">IF(OR(GD$169&lt;SwaptionFirstMonthPosition+1,$FJ230&lt;SwaptionFirstMonthPosition+1,GD$169&gt;SwaptionFirstMonthPosition+SwaptionNumOfMonths+1,$FJ230&gt;SwaptionFirstMonthPosition+SwaptionNumOfMonths+1),"",IF($FJ230=GD$169,1,IF($FJ230&lt;GD$169,INDEX($FK$170:$ID$241,GD$169,$FJ230),SUMPRODUCT(INDEX($FK$325:$ID$396,GD$169,1+SwaptionShift):INDEX($FK$325:$ID$396,GD$169,SwaptionMonthsToGo+SwaptionShift),INDEX($FK$245:$ID$316,$FJ230-GD$169,73-GD$169+SwaptionShift):INDEX($FK$245:$ID$316,$FJ230-GD$169,72-GD$169+SwaptionMonthsToGo+SwaptionShift))/SQRT(SUM(INDEX($FK385:$ID385,1+SwaptionShift):INDEX($FK385:$ID385,SwaptionMonthsToGo+SwaptionShift))*SUM(INDEX($FK$325:$ID$396,GD$169,1+SwaptionShift):INDEX($FK$325:$ID$396,GD$169,SwaptionMonthsToGo+SwaptionShift))))))</f>
        <v/>
      </c>
      <c r="GE230" s="479" t="str">
        <f ca="1">IF(OR(GE$169&lt;SwaptionFirstMonthPosition+1,$FJ230&lt;SwaptionFirstMonthPosition+1,GE$169&gt;SwaptionFirstMonthPosition+SwaptionNumOfMonths+1,$FJ230&gt;SwaptionFirstMonthPosition+SwaptionNumOfMonths+1),"",IF($FJ230=GE$169,1,IF($FJ230&lt;GE$169,INDEX($FK$170:$ID$241,GE$169,$FJ230),SUMPRODUCT(INDEX($FK$325:$ID$396,GE$169,1+SwaptionShift):INDEX($FK$325:$ID$396,GE$169,SwaptionMonthsToGo+SwaptionShift),INDEX($FK$245:$ID$316,$FJ230-GE$169,73-GE$169+SwaptionShift):INDEX($FK$245:$ID$316,$FJ230-GE$169,72-GE$169+SwaptionMonthsToGo+SwaptionShift))/SQRT(SUM(INDEX($FK385:$ID385,1+SwaptionShift):INDEX($FK385:$ID385,SwaptionMonthsToGo+SwaptionShift))*SUM(INDEX($FK$325:$ID$396,GE$169,1+SwaptionShift):INDEX($FK$325:$ID$396,GE$169,SwaptionMonthsToGo+SwaptionShift))))))</f>
        <v/>
      </c>
      <c r="GF230" s="479" t="str">
        <f ca="1">IF(OR(GF$169&lt;SwaptionFirstMonthPosition+1,$FJ230&lt;SwaptionFirstMonthPosition+1,GF$169&gt;SwaptionFirstMonthPosition+SwaptionNumOfMonths+1,$FJ230&gt;SwaptionFirstMonthPosition+SwaptionNumOfMonths+1),"",IF($FJ230=GF$169,1,IF($FJ230&lt;GF$169,INDEX($FK$170:$ID$241,GF$169,$FJ230),SUMPRODUCT(INDEX($FK$325:$ID$396,GF$169,1+SwaptionShift):INDEX($FK$325:$ID$396,GF$169,SwaptionMonthsToGo+SwaptionShift),INDEX($FK$245:$ID$316,$FJ230-GF$169,73-GF$169+SwaptionShift):INDEX($FK$245:$ID$316,$FJ230-GF$169,72-GF$169+SwaptionMonthsToGo+SwaptionShift))/SQRT(SUM(INDEX($FK385:$ID385,1+SwaptionShift):INDEX($FK385:$ID385,SwaptionMonthsToGo+SwaptionShift))*SUM(INDEX($FK$325:$ID$396,GF$169,1+SwaptionShift):INDEX($FK$325:$ID$396,GF$169,SwaptionMonthsToGo+SwaptionShift))))))</f>
        <v/>
      </c>
      <c r="GG230" s="479" t="str">
        <f ca="1">IF(OR(GG$169&lt;SwaptionFirstMonthPosition+1,$FJ230&lt;SwaptionFirstMonthPosition+1,GG$169&gt;SwaptionFirstMonthPosition+SwaptionNumOfMonths+1,$FJ230&gt;SwaptionFirstMonthPosition+SwaptionNumOfMonths+1),"",IF($FJ230=GG$169,1,IF($FJ230&lt;GG$169,INDEX($FK$170:$ID$241,GG$169,$FJ230),SUMPRODUCT(INDEX($FK$325:$ID$396,GG$169,1+SwaptionShift):INDEX($FK$325:$ID$396,GG$169,SwaptionMonthsToGo+SwaptionShift),INDEX($FK$245:$ID$316,$FJ230-GG$169,73-GG$169+SwaptionShift):INDEX($FK$245:$ID$316,$FJ230-GG$169,72-GG$169+SwaptionMonthsToGo+SwaptionShift))/SQRT(SUM(INDEX($FK385:$ID385,1+SwaptionShift):INDEX($FK385:$ID385,SwaptionMonthsToGo+SwaptionShift))*SUM(INDEX($FK$325:$ID$396,GG$169,1+SwaptionShift):INDEX($FK$325:$ID$396,GG$169,SwaptionMonthsToGo+SwaptionShift))))))</f>
        <v/>
      </c>
      <c r="GH230" s="479" t="str">
        <f ca="1">IF(OR(GH$169&lt;SwaptionFirstMonthPosition+1,$FJ230&lt;SwaptionFirstMonthPosition+1,GH$169&gt;SwaptionFirstMonthPosition+SwaptionNumOfMonths+1,$FJ230&gt;SwaptionFirstMonthPosition+SwaptionNumOfMonths+1),"",IF($FJ230=GH$169,1,IF($FJ230&lt;GH$169,INDEX($FK$170:$ID$241,GH$169,$FJ230),SUMPRODUCT(INDEX($FK$325:$ID$396,GH$169,1+SwaptionShift):INDEX($FK$325:$ID$396,GH$169,SwaptionMonthsToGo+SwaptionShift),INDEX($FK$245:$ID$316,$FJ230-GH$169,73-GH$169+SwaptionShift):INDEX($FK$245:$ID$316,$FJ230-GH$169,72-GH$169+SwaptionMonthsToGo+SwaptionShift))/SQRT(SUM(INDEX($FK385:$ID385,1+SwaptionShift):INDEX($FK385:$ID385,SwaptionMonthsToGo+SwaptionShift))*SUM(INDEX($FK$325:$ID$396,GH$169,1+SwaptionShift):INDEX($FK$325:$ID$396,GH$169,SwaptionMonthsToGo+SwaptionShift))))))</f>
        <v/>
      </c>
      <c r="GI230" s="479" t="str">
        <f ca="1">IF(OR(GI$169&lt;SwaptionFirstMonthPosition+1,$FJ230&lt;SwaptionFirstMonthPosition+1,GI$169&gt;SwaptionFirstMonthPosition+SwaptionNumOfMonths+1,$FJ230&gt;SwaptionFirstMonthPosition+SwaptionNumOfMonths+1),"",IF($FJ230=GI$169,1,IF($FJ230&lt;GI$169,INDEX($FK$170:$ID$241,GI$169,$FJ230),SUMPRODUCT(INDEX($FK$325:$ID$396,GI$169,1+SwaptionShift):INDEX($FK$325:$ID$396,GI$169,SwaptionMonthsToGo+SwaptionShift),INDEX($FK$245:$ID$316,$FJ230-GI$169,73-GI$169+SwaptionShift):INDEX($FK$245:$ID$316,$FJ230-GI$169,72-GI$169+SwaptionMonthsToGo+SwaptionShift))/SQRT(SUM(INDEX($FK385:$ID385,1+SwaptionShift):INDEX($FK385:$ID385,SwaptionMonthsToGo+SwaptionShift))*SUM(INDEX($FK$325:$ID$396,GI$169,1+SwaptionShift):INDEX($FK$325:$ID$396,GI$169,SwaptionMonthsToGo+SwaptionShift))))))</f>
        <v/>
      </c>
      <c r="GJ230" s="479" t="str">
        <f ca="1">IF(OR(GJ$169&lt;SwaptionFirstMonthPosition+1,$FJ230&lt;SwaptionFirstMonthPosition+1,GJ$169&gt;SwaptionFirstMonthPosition+SwaptionNumOfMonths+1,$FJ230&gt;SwaptionFirstMonthPosition+SwaptionNumOfMonths+1),"",IF($FJ230=GJ$169,1,IF($FJ230&lt;GJ$169,INDEX($FK$170:$ID$241,GJ$169,$FJ230),SUMPRODUCT(INDEX($FK$325:$ID$396,GJ$169,1+SwaptionShift):INDEX($FK$325:$ID$396,GJ$169,SwaptionMonthsToGo+SwaptionShift),INDEX($FK$245:$ID$316,$FJ230-GJ$169,73-GJ$169+SwaptionShift):INDEX($FK$245:$ID$316,$FJ230-GJ$169,72-GJ$169+SwaptionMonthsToGo+SwaptionShift))/SQRT(SUM(INDEX($FK385:$ID385,1+SwaptionShift):INDEX($FK385:$ID385,SwaptionMonthsToGo+SwaptionShift))*SUM(INDEX($FK$325:$ID$396,GJ$169,1+SwaptionShift):INDEX($FK$325:$ID$396,GJ$169,SwaptionMonthsToGo+SwaptionShift))))))</f>
        <v/>
      </c>
      <c r="GK230" s="479" t="str">
        <f ca="1">IF(OR(GK$169&lt;SwaptionFirstMonthPosition+1,$FJ230&lt;SwaptionFirstMonthPosition+1,GK$169&gt;SwaptionFirstMonthPosition+SwaptionNumOfMonths+1,$FJ230&gt;SwaptionFirstMonthPosition+SwaptionNumOfMonths+1),"",IF($FJ230=GK$169,1,IF($FJ230&lt;GK$169,INDEX($FK$170:$ID$241,GK$169,$FJ230),SUMPRODUCT(INDEX($FK$325:$ID$396,GK$169,1+SwaptionShift):INDEX($FK$325:$ID$396,GK$169,SwaptionMonthsToGo+SwaptionShift),INDEX($FK$245:$ID$316,$FJ230-GK$169,73-GK$169+SwaptionShift):INDEX($FK$245:$ID$316,$FJ230-GK$169,72-GK$169+SwaptionMonthsToGo+SwaptionShift))/SQRT(SUM(INDEX($FK385:$ID385,1+SwaptionShift):INDEX($FK385:$ID385,SwaptionMonthsToGo+SwaptionShift))*SUM(INDEX($FK$325:$ID$396,GK$169,1+SwaptionShift):INDEX($FK$325:$ID$396,GK$169,SwaptionMonthsToGo+SwaptionShift))))))</f>
        <v/>
      </c>
      <c r="GL230" s="479" t="str">
        <f ca="1">IF(OR(GL$169&lt;SwaptionFirstMonthPosition+1,$FJ230&lt;SwaptionFirstMonthPosition+1,GL$169&gt;SwaptionFirstMonthPosition+SwaptionNumOfMonths+1,$FJ230&gt;SwaptionFirstMonthPosition+SwaptionNumOfMonths+1),"",IF($FJ230=GL$169,1,IF($FJ230&lt;GL$169,INDEX($FK$170:$ID$241,GL$169,$FJ230),SUMPRODUCT(INDEX($FK$325:$ID$396,GL$169,1+SwaptionShift):INDEX($FK$325:$ID$396,GL$169,SwaptionMonthsToGo+SwaptionShift),INDEX($FK$245:$ID$316,$FJ230-GL$169,73-GL$169+SwaptionShift):INDEX($FK$245:$ID$316,$FJ230-GL$169,72-GL$169+SwaptionMonthsToGo+SwaptionShift))/SQRT(SUM(INDEX($FK385:$ID385,1+SwaptionShift):INDEX($FK385:$ID385,SwaptionMonthsToGo+SwaptionShift))*SUM(INDEX($FK$325:$ID$396,GL$169,1+SwaptionShift):INDEX($FK$325:$ID$396,GL$169,SwaptionMonthsToGo+SwaptionShift))))))</f>
        <v/>
      </c>
      <c r="GM230" s="479" t="str">
        <f ca="1">IF(OR(GM$169&lt;SwaptionFirstMonthPosition+1,$FJ230&lt;SwaptionFirstMonthPosition+1,GM$169&gt;SwaptionFirstMonthPosition+SwaptionNumOfMonths+1,$FJ230&gt;SwaptionFirstMonthPosition+SwaptionNumOfMonths+1),"",IF($FJ230=GM$169,1,IF($FJ230&lt;GM$169,INDEX($FK$170:$ID$241,GM$169,$FJ230),SUMPRODUCT(INDEX($FK$325:$ID$396,GM$169,1+SwaptionShift):INDEX($FK$325:$ID$396,GM$169,SwaptionMonthsToGo+SwaptionShift),INDEX($FK$245:$ID$316,$FJ230-GM$169,73-GM$169+SwaptionShift):INDEX($FK$245:$ID$316,$FJ230-GM$169,72-GM$169+SwaptionMonthsToGo+SwaptionShift))/SQRT(SUM(INDEX($FK385:$ID385,1+SwaptionShift):INDEX($FK385:$ID385,SwaptionMonthsToGo+SwaptionShift))*SUM(INDEX($FK$325:$ID$396,GM$169,1+SwaptionShift):INDEX($FK$325:$ID$396,GM$169,SwaptionMonthsToGo+SwaptionShift))))))</f>
        <v/>
      </c>
      <c r="GN230" s="479" t="str">
        <f ca="1">IF(OR(GN$169&lt;SwaptionFirstMonthPosition+1,$FJ230&lt;SwaptionFirstMonthPosition+1,GN$169&gt;SwaptionFirstMonthPosition+SwaptionNumOfMonths+1,$FJ230&gt;SwaptionFirstMonthPosition+SwaptionNumOfMonths+1),"",IF($FJ230=GN$169,1,IF($FJ230&lt;GN$169,INDEX($FK$170:$ID$241,GN$169,$FJ230),SUMPRODUCT(INDEX($FK$325:$ID$396,GN$169,1+SwaptionShift):INDEX($FK$325:$ID$396,GN$169,SwaptionMonthsToGo+SwaptionShift),INDEX($FK$245:$ID$316,$FJ230-GN$169,73-GN$169+SwaptionShift):INDEX($FK$245:$ID$316,$FJ230-GN$169,72-GN$169+SwaptionMonthsToGo+SwaptionShift))/SQRT(SUM(INDEX($FK385:$ID385,1+SwaptionShift):INDEX($FK385:$ID385,SwaptionMonthsToGo+SwaptionShift))*SUM(INDEX($FK$325:$ID$396,GN$169,1+SwaptionShift):INDEX($FK$325:$ID$396,GN$169,SwaptionMonthsToGo+SwaptionShift))))))</f>
        <v/>
      </c>
      <c r="GO230" s="479" t="str">
        <f ca="1">IF(OR(GO$169&lt;SwaptionFirstMonthPosition+1,$FJ230&lt;SwaptionFirstMonthPosition+1,GO$169&gt;SwaptionFirstMonthPosition+SwaptionNumOfMonths+1,$FJ230&gt;SwaptionFirstMonthPosition+SwaptionNumOfMonths+1),"",IF($FJ230=GO$169,1,IF($FJ230&lt;GO$169,INDEX($FK$170:$ID$241,GO$169,$FJ230),SUMPRODUCT(INDEX($FK$325:$ID$396,GO$169,1+SwaptionShift):INDEX($FK$325:$ID$396,GO$169,SwaptionMonthsToGo+SwaptionShift),INDEX($FK$245:$ID$316,$FJ230-GO$169,73-GO$169+SwaptionShift):INDEX($FK$245:$ID$316,$FJ230-GO$169,72-GO$169+SwaptionMonthsToGo+SwaptionShift))/SQRT(SUM(INDEX($FK385:$ID385,1+SwaptionShift):INDEX($FK385:$ID385,SwaptionMonthsToGo+SwaptionShift))*SUM(INDEX($FK$325:$ID$396,GO$169,1+SwaptionShift):INDEX($FK$325:$ID$396,GO$169,SwaptionMonthsToGo+SwaptionShift))))))</f>
        <v/>
      </c>
      <c r="GP230" s="479" t="str">
        <f ca="1">IF(OR(GP$169&lt;SwaptionFirstMonthPosition+1,$FJ230&lt;SwaptionFirstMonthPosition+1,GP$169&gt;SwaptionFirstMonthPosition+SwaptionNumOfMonths+1,$FJ230&gt;SwaptionFirstMonthPosition+SwaptionNumOfMonths+1),"",IF($FJ230=GP$169,1,IF($FJ230&lt;GP$169,INDEX($FK$170:$ID$241,GP$169,$FJ230),SUMPRODUCT(INDEX($FK$325:$ID$396,GP$169,1+SwaptionShift):INDEX($FK$325:$ID$396,GP$169,SwaptionMonthsToGo+SwaptionShift),INDEX($FK$245:$ID$316,$FJ230-GP$169,73-GP$169+SwaptionShift):INDEX($FK$245:$ID$316,$FJ230-GP$169,72-GP$169+SwaptionMonthsToGo+SwaptionShift))/SQRT(SUM(INDEX($FK385:$ID385,1+SwaptionShift):INDEX($FK385:$ID385,SwaptionMonthsToGo+SwaptionShift))*SUM(INDEX($FK$325:$ID$396,GP$169,1+SwaptionShift):INDEX($FK$325:$ID$396,GP$169,SwaptionMonthsToGo+SwaptionShift))))))</f>
        <v/>
      </c>
      <c r="GQ230" s="479" t="str">
        <f ca="1">IF(OR(GQ$169&lt;SwaptionFirstMonthPosition+1,$FJ230&lt;SwaptionFirstMonthPosition+1,GQ$169&gt;SwaptionFirstMonthPosition+SwaptionNumOfMonths+1,$FJ230&gt;SwaptionFirstMonthPosition+SwaptionNumOfMonths+1),"",IF($FJ230=GQ$169,1,IF($FJ230&lt;GQ$169,INDEX($FK$170:$ID$241,GQ$169,$FJ230),SUMPRODUCT(INDEX($FK$325:$ID$396,GQ$169,1+SwaptionShift):INDEX($FK$325:$ID$396,GQ$169,SwaptionMonthsToGo+SwaptionShift),INDEX($FK$245:$ID$316,$FJ230-GQ$169,73-GQ$169+SwaptionShift):INDEX($FK$245:$ID$316,$FJ230-GQ$169,72-GQ$169+SwaptionMonthsToGo+SwaptionShift))/SQRT(SUM(INDEX($FK385:$ID385,1+SwaptionShift):INDEX($FK385:$ID385,SwaptionMonthsToGo+SwaptionShift))*SUM(INDEX($FK$325:$ID$396,GQ$169,1+SwaptionShift):INDEX($FK$325:$ID$396,GQ$169,SwaptionMonthsToGo+SwaptionShift))))))</f>
        <v/>
      </c>
      <c r="GR230" s="479" t="str">
        <f ca="1">IF(OR(GR$169&lt;SwaptionFirstMonthPosition+1,$FJ230&lt;SwaptionFirstMonthPosition+1,GR$169&gt;SwaptionFirstMonthPosition+SwaptionNumOfMonths+1,$FJ230&gt;SwaptionFirstMonthPosition+SwaptionNumOfMonths+1),"",IF($FJ230=GR$169,1,IF($FJ230&lt;GR$169,INDEX($FK$170:$ID$241,GR$169,$FJ230),SUMPRODUCT(INDEX($FK$325:$ID$396,GR$169,1+SwaptionShift):INDEX($FK$325:$ID$396,GR$169,SwaptionMonthsToGo+SwaptionShift),INDEX($FK$245:$ID$316,$FJ230-GR$169,73-GR$169+SwaptionShift):INDEX($FK$245:$ID$316,$FJ230-GR$169,72-GR$169+SwaptionMonthsToGo+SwaptionShift))/SQRT(SUM(INDEX($FK385:$ID385,1+SwaptionShift):INDEX($FK385:$ID385,SwaptionMonthsToGo+SwaptionShift))*SUM(INDEX($FK$325:$ID$396,GR$169,1+SwaptionShift):INDEX($FK$325:$ID$396,GR$169,SwaptionMonthsToGo+SwaptionShift))))))</f>
        <v/>
      </c>
      <c r="GS230" s="479" t="str">
        <f ca="1">IF(OR(GS$169&lt;SwaptionFirstMonthPosition+1,$FJ230&lt;SwaptionFirstMonthPosition+1,GS$169&gt;SwaptionFirstMonthPosition+SwaptionNumOfMonths+1,$FJ230&gt;SwaptionFirstMonthPosition+SwaptionNumOfMonths+1),"",IF($FJ230=GS$169,1,IF($FJ230&lt;GS$169,INDEX($FK$170:$ID$241,GS$169,$FJ230),SUMPRODUCT(INDEX($FK$325:$ID$396,GS$169,1+SwaptionShift):INDEX($FK$325:$ID$396,GS$169,SwaptionMonthsToGo+SwaptionShift),INDEX($FK$245:$ID$316,$FJ230-GS$169,73-GS$169+SwaptionShift):INDEX($FK$245:$ID$316,$FJ230-GS$169,72-GS$169+SwaptionMonthsToGo+SwaptionShift))/SQRT(SUM(INDEX($FK385:$ID385,1+SwaptionShift):INDEX($FK385:$ID385,SwaptionMonthsToGo+SwaptionShift))*SUM(INDEX($FK$325:$ID$396,GS$169,1+SwaptionShift):INDEX($FK$325:$ID$396,GS$169,SwaptionMonthsToGo+SwaptionShift))))))</f>
        <v/>
      </c>
      <c r="GT230" s="479" t="str">
        <f ca="1">IF(OR(GT$169&lt;SwaptionFirstMonthPosition+1,$FJ230&lt;SwaptionFirstMonthPosition+1,GT$169&gt;SwaptionFirstMonthPosition+SwaptionNumOfMonths+1,$FJ230&gt;SwaptionFirstMonthPosition+SwaptionNumOfMonths+1),"",IF($FJ230=GT$169,1,IF($FJ230&lt;GT$169,INDEX($FK$170:$ID$241,GT$169,$FJ230),SUMPRODUCT(INDEX($FK$325:$ID$396,GT$169,1+SwaptionShift):INDEX($FK$325:$ID$396,GT$169,SwaptionMonthsToGo+SwaptionShift),INDEX($FK$245:$ID$316,$FJ230-GT$169,73-GT$169+SwaptionShift):INDEX($FK$245:$ID$316,$FJ230-GT$169,72-GT$169+SwaptionMonthsToGo+SwaptionShift))/SQRT(SUM(INDEX($FK385:$ID385,1+SwaptionShift):INDEX($FK385:$ID385,SwaptionMonthsToGo+SwaptionShift))*SUM(INDEX($FK$325:$ID$396,GT$169,1+SwaptionShift):INDEX($FK$325:$ID$396,GT$169,SwaptionMonthsToGo+SwaptionShift))))))</f>
        <v/>
      </c>
      <c r="GU230" s="479" t="str">
        <f ca="1">IF(OR(GU$169&lt;SwaptionFirstMonthPosition+1,$FJ230&lt;SwaptionFirstMonthPosition+1,GU$169&gt;SwaptionFirstMonthPosition+SwaptionNumOfMonths+1,$FJ230&gt;SwaptionFirstMonthPosition+SwaptionNumOfMonths+1),"",IF($FJ230=GU$169,1,IF($FJ230&lt;GU$169,INDEX($FK$170:$ID$241,GU$169,$FJ230),SUMPRODUCT(INDEX($FK$325:$ID$396,GU$169,1+SwaptionShift):INDEX($FK$325:$ID$396,GU$169,SwaptionMonthsToGo+SwaptionShift),INDEX($FK$245:$ID$316,$FJ230-GU$169,73-GU$169+SwaptionShift):INDEX($FK$245:$ID$316,$FJ230-GU$169,72-GU$169+SwaptionMonthsToGo+SwaptionShift))/SQRT(SUM(INDEX($FK385:$ID385,1+SwaptionShift):INDEX($FK385:$ID385,SwaptionMonthsToGo+SwaptionShift))*SUM(INDEX($FK$325:$ID$396,GU$169,1+SwaptionShift):INDEX($FK$325:$ID$396,GU$169,SwaptionMonthsToGo+SwaptionShift))))))</f>
        <v/>
      </c>
      <c r="GV230" s="479" t="str">
        <f ca="1">IF(OR(GV$169&lt;SwaptionFirstMonthPosition+1,$FJ230&lt;SwaptionFirstMonthPosition+1,GV$169&gt;SwaptionFirstMonthPosition+SwaptionNumOfMonths+1,$FJ230&gt;SwaptionFirstMonthPosition+SwaptionNumOfMonths+1),"",IF($FJ230=GV$169,1,IF($FJ230&lt;GV$169,INDEX($FK$170:$ID$241,GV$169,$FJ230),SUMPRODUCT(INDEX($FK$325:$ID$396,GV$169,1+SwaptionShift):INDEX($FK$325:$ID$396,GV$169,SwaptionMonthsToGo+SwaptionShift),INDEX($FK$245:$ID$316,$FJ230-GV$169,73-GV$169+SwaptionShift):INDEX($FK$245:$ID$316,$FJ230-GV$169,72-GV$169+SwaptionMonthsToGo+SwaptionShift))/SQRT(SUM(INDEX($FK385:$ID385,1+SwaptionShift):INDEX($FK385:$ID385,SwaptionMonthsToGo+SwaptionShift))*SUM(INDEX($FK$325:$ID$396,GV$169,1+SwaptionShift):INDEX($FK$325:$ID$396,GV$169,SwaptionMonthsToGo+SwaptionShift))))))</f>
        <v/>
      </c>
      <c r="GW230" s="479" t="str">
        <f ca="1">IF(OR(GW$169&lt;SwaptionFirstMonthPosition+1,$FJ230&lt;SwaptionFirstMonthPosition+1,GW$169&gt;SwaptionFirstMonthPosition+SwaptionNumOfMonths+1,$FJ230&gt;SwaptionFirstMonthPosition+SwaptionNumOfMonths+1),"",IF($FJ230=GW$169,1,IF($FJ230&lt;GW$169,INDEX($FK$170:$ID$241,GW$169,$FJ230),SUMPRODUCT(INDEX($FK$325:$ID$396,GW$169,1+SwaptionShift):INDEX($FK$325:$ID$396,GW$169,SwaptionMonthsToGo+SwaptionShift),INDEX($FK$245:$ID$316,$FJ230-GW$169,73-GW$169+SwaptionShift):INDEX($FK$245:$ID$316,$FJ230-GW$169,72-GW$169+SwaptionMonthsToGo+SwaptionShift))/SQRT(SUM(INDEX($FK385:$ID385,1+SwaptionShift):INDEX($FK385:$ID385,SwaptionMonthsToGo+SwaptionShift))*SUM(INDEX($FK$325:$ID$396,GW$169,1+SwaptionShift):INDEX($FK$325:$ID$396,GW$169,SwaptionMonthsToGo+SwaptionShift))))))</f>
        <v/>
      </c>
      <c r="GX230" s="479" t="str">
        <f ca="1">IF(OR(GX$169&lt;SwaptionFirstMonthPosition+1,$FJ230&lt;SwaptionFirstMonthPosition+1,GX$169&gt;SwaptionFirstMonthPosition+SwaptionNumOfMonths+1,$FJ230&gt;SwaptionFirstMonthPosition+SwaptionNumOfMonths+1),"",IF($FJ230=GX$169,1,IF($FJ230&lt;GX$169,INDEX($FK$170:$ID$241,GX$169,$FJ230),SUMPRODUCT(INDEX($FK$325:$ID$396,GX$169,1+SwaptionShift):INDEX($FK$325:$ID$396,GX$169,SwaptionMonthsToGo+SwaptionShift),INDEX($FK$245:$ID$316,$FJ230-GX$169,73-GX$169+SwaptionShift):INDEX($FK$245:$ID$316,$FJ230-GX$169,72-GX$169+SwaptionMonthsToGo+SwaptionShift))/SQRT(SUM(INDEX($FK385:$ID385,1+SwaptionShift):INDEX($FK385:$ID385,SwaptionMonthsToGo+SwaptionShift))*SUM(INDEX($FK$325:$ID$396,GX$169,1+SwaptionShift):INDEX($FK$325:$ID$396,GX$169,SwaptionMonthsToGo+SwaptionShift))))))</f>
        <v/>
      </c>
      <c r="GY230" s="479" t="str">
        <f ca="1">IF(OR(GY$169&lt;SwaptionFirstMonthPosition+1,$FJ230&lt;SwaptionFirstMonthPosition+1,GY$169&gt;SwaptionFirstMonthPosition+SwaptionNumOfMonths+1,$FJ230&gt;SwaptionFirstMonthPosition+SwaptionNumOfMonths+1),"",IF($FJ230=GY$169,1,IF($FJ230&lt;GY$169,INDEX($FK$170:$ID$241,GY$169,$FJ230),SUMPRODUCT(INDEX($FK$325:$ID$396,GY$169,1+SwaptionShift):INDEX($FK$325:$ID$396,GY$169,SwaptionMonthsToGo+SwaptionShift),INDEX($FK$245:$ID$316,$FJ230-GY$169,73-GY$169+SwaptionShift):INDEX($FK$245:$ID$316,$FJ230-GY$169,72-GY$169+SwaptionMonthsToGo+SwaptionShift))/SQRT(SUM(INDEX($FK385:$ID385,1+SwaptionShift):INDEX($FK385:$ID385,SwaptionMonthsToGo+SwaptionShift))*SUM(INDEX($FK$325:$ID$396,GY$169,1+SwaptionShift):INDEX($FK$325:$ID$396,GY$169,SwaptionMonthsToGo+SwaptionShift))))))</f>
        <v/>
      </c>
      <c r="GZ230" s="479" t="str">
        <f ca="1">IF(OR(GZ$169&lt;SwaptionFirstMonthPosition+1,$FJ230&lt;SwaptionFirstMonthPosition+1,GZ$169&gt;SwaptionFirstMonthPosition+SwaptionNumOfMonths+1,$FJ230&gt;SwaptionFirstMonthPosition+SwaptionNumOfMonths+1),"",IF($FJ230=GZ$169,1,IF($FJ230&lt;GZ$169,INDEX($FK$170:$ID$241,GZ$169,$FJ230),SUMPRODUCT(INDEX($FK$325:$ID$396,GZ$169,1+SwaptionShift):INDEX($FK$325:$ID$396,GZ$169,SwaptionMonthsToGo+SwaptionShift),INDEX($FK$245:$ID$316,$FJ230-GZ$169,73-GZ$169+SwaptionShift):INDEX($FK$245:$ID$316,$FJ230-GZ$169,72-GZ$169+SwaptionMonthsToGo+SwaptionShift))/SQRT(SUM(INDEX($FK385:$ID385,1+SwaptionShift):INDEX($FK385:$ID385,SwaptionMonthsToGo+SwaptionShift))*SUM(INDEX($FK$325:$ID$396,GZ$169,1+SwaptionShift):INDEX($FK$325:$ID$396,GZ$169,SwaptionMonthsToGo+SwaptionShift))))))</f>
        <v/>
      </c>
      <c r="HA230" s="479" t="str">
        <f ca="1">IF(OR(HA$169&lt;SwaptionFirstMonthPosition+1,$FJ230&lt;SwaptionFirstMonthPosition+1,HA$169&gt;SwaptionFirstMonthPosition+SwaptionNumOfMonths+1,$FJ230&gt;SwaptionFirstMonthPosition+SwaptionNumOfMonths+1),"",IF($FJ230=HA$169,1,IF($FJ230&lt;HA$169,INDEX($FK$170:$ID$241,HA$169,$FJ230),SUMPRODUCT(INDEX($FK$325:$ID$396,HA$169,1+SwaptionShift):INDEX($FK$325:$ID$396,HA$169,SwaptionMonthsToGo+SwaptionShift),INDEX($FK$245:$ID$316,$FJ230-HA$169,73-HA$169+SwaptionShift):INDEX($FK$245:$ID$316,$FJ230-HA$169,72-HA$169+SwaptionMonthsToGo+SwaptionShift))/SQRT(SUM(INDEX($FK385:$ID385,1+SwaptionShift):INDEX($FK385:$ID385,SwaptionMonthsToGo+SwaptionShift))*SUM(INDEX($FK$325:$ID$396,HA$169,1+SwaptionShift):INDEX($FK$325:$ID$396,HA$169,SwaptionMonthsToGo+SwaptionShift))))))</f>
        <v/>
      </c>
      <c r="HB230" s="479" t="str">
        <f ca="1">IF(OR(HB$169&lt;SwaptionFirstMonthPosition+1,$FJ230&lt;SwaptionFirstMonthPosition+1,HB$169&gt;SwaptionFirstMonthPosition+SwaptionNumOfMonths+1,$FJ230&gt;SwaptionFirstMonthPosition+SwaptionNumOfMonths+1),"",IF($FJ230=HB$169,1,IF($FJ230&lt;HB$169,INDEX($FK$170:$ID$241,HB$169,$FJ230),SUMPRODUCT(INDEX($FK$325:$ID$396,HB$169,1+SwaptionShift):INDEX($FK$325:$ID$396,HB$169,SwaptionMonthsToGo+SwaptionShift),INDEX($FK$245:$ID$316,$FJ230-HB$169,73-HB$169+SwaptionShift):INDEX($FK$245:$ID$316,$FJ230-HB$169,72-HB$169+SwaptionMonthsToGo+SwaptionShift))/SQRT(SUM(INDEX($FK385:$ID385,1+SwaptionShift):INDEX($FK385:$ID385,SwaptionMonthsToGo+SwaptionShift))*SUM(INDEX($FK$325:$ID$396,HB$169,1+SwaptionShift):INDEX($FK$325:$ID$396,HB$169,SwaptionMonthsToGo+SwaptionShift))))))</f>
        <v/>
      </c>
      <c r="HC230" s="479" t="str">
        <f ca="1">IF(OR(HC$169&lt;SwaptionFirstMonthPosition+1,$FJ230&lt;SwaptionFirstMonthPosition+1,HC$169&gt;SwaptionFirstMonthPosition+SwaptionNumOfMonths+1,$FJ230&gt;SwaptionFirstMonthPosition+SwaptionNumOfMonths+1),"",IF($FJ230=HC$169,1,IF($FJ230&lt;HC$169,INDEX($FK$170:$ID$241,HC$169,$FJ230),SUMPRODUCT(INDEX($FK$325:$ID$396,HC$169,1+SwaptionShift):INDEX($FK$325:$ID$396,HC$169,SwaptionMonthsToGo+SwaptionShift),INDEX($FK$245:$ID$316,$FJ230-HC$169,73-HC$169+SwaptionShift):INDEX($FK$245:$ID$316,$FJ230-HC$169,72-HC$169+SwaptionMonthsToGo+SwaptionShift))/SQRT(SUM(INDEX($FK385:$ID385,1+SwaptionShift):INDEX($FK385:$ID385,SwaptionMonthsToGo+SwaptionShift))*SUM(INDEX($FK$325:$ID$396,HC$169,1+SwaptionShift):INDEX($FK$325:$ID$396,HC$169,SwaptionMonthsToGo+SwaptionShift))))))</f>
        <v/>
      </c>
      <c r="HD230" s="479" t="str">
        <f ca="1">IF(OR(HD$169&lt;SwaptionFirstMonthPosition+1,$FJ230&lt;SwaptionFirstMonthPosition+1,HD$169&gt;SwaptionFirstMonthPosition+SwaptionNumOfMonths+1,$FJ230&gt;SwaptionFirstMonthPosition+SwaptionNumOfMonths+1),"",IF($FJ230=HD$169,1,IF($FJ230&lt;HD$169,INDEX($FK$170:$ID$241,HD$169,$FJ230),SUMPRODUCT(INDEX($FK$325:$ID$396,HD$169,1+SwaptionShift):INDEX($FK$325:$ID$396,HD$169,SwaptionMonthsToGo+SwaptionShift),INDEX($FK$245:$ID$316,$FJ230-HD$169,73-HD$169+SwaptionShift):INDEX($FK$245:$ID$316,$FJ230-HD$169,72-HD$169+SwaptionMonthsToGo+SwaptionShift))/SQRT(SUM(INDEX($FK385:$ID385,1+SwaptionShift):INDEX($FK385:$ID385,SwaptionMonthsToGo+SwaptionShift))*SUM(INDEX($FK$325:$ID$396,HD$169,1+SwaptionShift):INDEX($FK$325:$ID$396,HD$169,SwaptionMonthsToGo+SwaptionShift))))))</f>
        <v/>
      </c>
      <c r="HE230" s="479" t="str">
        <f ca="1">IF(OR(HE$169&lt;SwaptionFirstMonthPosition+1,$FJ230&lt;SwaptionFirstMonthPosition+1,HE$169&gt;SwaptionFirstMonthPosition+SwaptionNumOfMonths+1,$FJ230&gt;SwaptionFirstMonthPosition+SwaptionNumOfMonths+1),"",IF($FJ230=HE$169,1,IF($FJ230&lt;HE$169,INDEX($FK$170:$ID$241,HE$169,$FJ230),SUMPRODUCT(INDEX($FK$325:$ID$396,HE$169,1+SwaptionShift):INDEX($FK$325:$ID$396,HE$169,SwaptionMonthsToGo+SwaptionShift),INDEX($FK$245:$ID$316,$FJ230-HE$169,73-HE$169+SwaptionShift):INDEX($FK$245:$ID$316,$FJ230-HE$169,72-HE$169+SwaptionMonthsToGo+SwaptionShift))/SQRT(SUM(INDEX($FK385:$ID385,1+SwaptionShift):INDEX($FK385:$ID385,SwaptionMonthsToGo+SwaptionShift))*SUM(INDEX($FK$325:$ID$396,HE$169,1+SwaptionShift):INDEX($FK$325:$ID$396,HE$169,SwaptionMonthsToGo+SwaptionShift))))))</f>
        <v/>
      </c>
      <c r="HF230" s="479" t="str">
        <f ca="1">IF(OR(HF$169&lt;SwaptionFirstMonthPosition+1,$FJ230&lt;SwaptionFirstMonthPosition+1,HF$169&gt;SwaptionFirstMonthPosition+SwaptionNumOfMonths+1,$FJ230&gt;SwaptionFirstMonthPosition+SwaptionNumOfMonths+1),"",IF($FJ230=HF$169,1,IF($FJ230&lt;HF$169,INDEX($FK$170:$ID$241,HF$169,$FJ230),SUMPRODUCT(INDEX($FK$325:$ID$396,HF$169,1+SwaptionShift):INDEX($FK$325:$ID$396,HF$169,SwaptionMonthsToGo+SwaptionShift),INDEX($FK$245:$ID$316,$FJ230-HF$169,73-HF$169+SwaptionShift):INDEX($FK$245:$ID$316,$FJ230-HF$169,72-HF$169+SwaptionMonthsToGo+SwaptionShift))/SQRT(SUM(INDEX($FK385:$ID385,1+SwaptionShift):INDEX($FK385:$ID385,SwaptionMonthsToGo+SwaptionShift))*SUM(INDEX($FK$325:$ID$396,HF$169,1+SwaptionShift):INDEX($FK$325:$ID$396,HF$169,SwaptionMonthsToGo+SwaptionShift))))))</f>
        <v/>
      </c>
      <c r="HG230" s="479" t="str">
        <f ca="1">IF(OR(HG$169&lt;SwaptionFirstMonthPosition+1,$FJ230&lt;SwaptionFirstMonthPosition+1,HG$169&gt;SwaptionFirstMonthPosition+SwaptionNumOfMonths+1,$FJ230&gt;SwaptionFirstMonthPosition+SwaptionNumOfMonths+1),"",IF($FJ230=HG$169,1,IF($FJ230&lt;HG$169,INDEX($FK$170:$ID$241,HG$169,$FJ230),SUMPRODUCT(INDEX($FK$325:$ID$396,HG$169,1+SwaptionShift):INDEX($FK$325:$ID$396,HG$169,SwaptionMonthsToGo+SwaptionShift),INDEX($FK$245:$ID$316,$FJ230-HG$169,73-HG$169+SwaptionShift):INDEX($FK$245:$ID$316,$FJ230-HG$169,72-HG$169+SwaptionMonthsToGo+SwaptionShift))/SQRT(SUM(INDEX($FK385:$ID385,1+SwaptionShift):INDEX($FK385:$ID385,SwaptionMonthsToGo+SwaptionShift))*SUM(INDEX($FK$325:$ID$396,HG$169,1+SwaptionShift):INDEX($FK$325:$ID$396,HG$169,SwaptionMonthsToGo+SwaptionShift))))))</f>
        <v/>
      </c>
      <c r="HH230" s="479" t="str">
        <f ca="1">IF(OR(HH$169&lt;SwaptionFirstMonthPosition+1,$FJ230&lt;SwaptionFirstMonthPosition+1,HH$169&gt;SwaptionFirstMonthPosition+SwaptionNumOfMonths+1,$FJ230&gt;SwaptionFirstMonthPosition+SwaptionNumOfMonths+1),"",IF($FJ230=HH$169,1,IF($FJ230&lt;HH$169,INDEX($FK$170:$ID$241,HH$169,$FJ230),SUMPRODUCT(INDEX($FK$325:$ID$396,HH$169,1+SwaptionShift):INDEX($FK$325:$ID$396,HH$169,SwaptionMonthsToGo+SwaptionShift),INDEX($FK$245:$ID$316,$FJ230-HH$169,73-HH$169+SwaptionShift):INDEX($FK$245:$ID$316,$FJ230-HH$169,72-HH$169+SwaptionMonthsToGo+SwaptionShift))/SQRT(SUM(INDEX($FK385:$ID385,1+SwaptionShift):INDEX($FK385:$ID385,SwaptionMonthsToGo+SwaptionShift))*SUM(INDEX($FK$325:$ID$396,HH$169,1+SwaptionShift):INDEX($FK$325:$ID$396,HH$169,SwaptionMonthsToGo+SwaptionShift))))))</f>
        <v/>
      </c>
      <c r="HI230" s="479" t="str">
        <f ca="1">IF(OR(HI$169&lt;SwaptionFirstMonthPosition+1,$FJ230&lt;SwaptionFirstMonthPosition+1,HI$169&gt;SwaptionFirstMonthPosition+SwaptionNumOfMonths+1,$FJ230&gt;SwaptionFirstMonthPosition+SwaptionNumOfMonths+1),"",IF($FJ230=HI$169,1,IF($FJ230&lt;HI$169,INDEX($FK$170:$ID$241,HI$169,$FJ230),SUMPRODUCT(INDEX($FK$325:$ID$396,HI$169,1+SwaptionShift):INDEX($FK$325:$ID$396,HI$169,SwaptionMonthsToGo+SwaptionShift),INDEX($FK$245:$ID$316,$FJ230-HI$169,73-HI$169+SwaptionShift):INDEX($FK$245:$ID$316,$FJ230-HI$169,72-HI$169+SwaptionMonthsToGo+SwaptionShift))/SQRT(SUM(INDEX($FK385:$ID385,1+SwaptionShift):INDEX($FK385:$ID385,SwaptionMonthsToGo+SwaptionShift))*SUM(INDEX($FK$325:$ID$396,HI$169,1+SwaptionShift):INDEX($FK$325:$ID$396,HI$169,SwaptionMonthsToGo+SwaptionShift))))))</f>
        <v/>
      </c>
      <c r="HJ230" s="479" t="str">
        <f ca="1">IF(OR(HJ$169&lt;SwaptionFirstMonthPosition+1,$FJ230&lt;SwaptionFirstMonthPosition+1,HJ$169&gt;SwaptionFirstMonthPosition+SwaptionNumOfMonths+1,$FJ230&gt;SwaptionFirstMonthPosition+SwaptionNumOfMonths+1),"",IF($FJ230=HJ$169,1,IF($FJ230&lt;HJ$169,INDEX($FK$170:$ID$241,HJ$169,$FJ230),SUMPRODUCT(INDEX($FK$325:$ID$396,HJ$169,1+SwaptionShift):INDEX($FK$325:$ID$396,HJ$169,SwaptionMonthsToGo+SwaptionShift),INDEX($FK$245:$ID$316,$FJ230-HJ$169,73-HJ$169+SwaptionShift):INDEX($FK$245:$ID$316,$FJ230-HJ$169,72-HJ$169+SwaptionMonthsToGo+SwaptionShift))/SQRT(SUM(INDEX($FK385:$ID385,1+SwaptionShift):INDEX($FK385:$ID385,SwaptionMonthsToGo+SwaptionShift))*SUM(INDEX($FK$325:$ID$396,HJ$169,1+SwaptionShift):INDEX($FK$325:$ID$396,HJ$169,SwaptionMonthsToGo+SwaptionShift))))))</f>
        <v/>
      </c>
      <c r="HK230" s="479" t="str">
        <f ca="1">IF(OR(HK$169&lt;SwaptionFirstMonthPosition+1,$FJ230&lt;SwaptionFirstMonthPosition+1,HK$169&gt;SwaptionFirstMonthPosition+SwaptionNumOfMonths+1,$FJ230&gt;SwaptionFirstMonthPosition+SwaptionNumOfMonths+1),"",IF($FJ230=HK$169,1,IF($FJ230&lt;HK$169,INDEX($FK$170:$ID$241,HK$169,$FJ230),SUMPRODUCT(INDEX($FK$325:$ID$396,HK$169,1+SwaptionShift):INDEX($FK$325:$ID$396,HK$169,SwaptionMonthsToGo+SwaptionShift),INDEX($FK$245:$ID$316,$FJ230-HK$169,73-HK$169+SwaptionShift):INDEX($FK$245:$ID$316,$FJ230-HK$169,72-HK$169+SwaptionMonthsToGo+SwaptionShift))/SQRT(SUM(INDEX($FK385:$ID385,1+SwaptionShift):INDEX($FK385:$ID385,SwaptionMonthsToGo+SwaptionShift))*SUM(INDEX($FK$325:$ID$396,HK$169,1+SwaptionShift):INDEX($FK$325:$ID$396,HK$169,SwaptionMonthsToGo+SwaptionShift))))))</f>
        <v/>
      </c>
      <c r="HL230" s="479" t="str">
        <f ca="1">IF(OR(HL$169&lt;SwaptionFirstMonthPosition+1,$FJ230&lt;SwaptionFirstMonthPosition+1,HL$169&gt;SwaptionFirstMonthPosition+SwaptionNumOfMonths+1,$FJ230&gt;SwaptionFirstMonthPosition+SwaptionNumOfMonths+1),"",IF($FJ230=HL$169,1,IF($FJ230&lt;HL$169,INDEX($FK$170:$ID$241,HL$169,$FJ230),SUMPRODUCT(INDEX($FK$325:$ID$396,HL$169,1+SwaptionShift):INDEX($FK$325:$ID$396,HL$169,SwaptionMonthsToGo+SwaptionShift),INDEX($FK$245:$ID$316,$FJ230-HL$169,73-HL$169+SwaptionShift):INDEX($FK$245:$ID$316,$FJ230-HL$169,72-HL$169+SwaptionMonthsToGo+SwaptionShift))/SQRT(SUM(INDEX($FK385:$ID385,1+SwaptionShift):INDEX($FK385:$ID385,SwaptionMonthsToGo+SwaptionShift))*SUM(INDEX($FK$325:$ID$396,HL$169,1+SwaptionShift):INDEX($FK$325:$ID$396,HL$169,SwaptionMonthsToGo+SwaptionShift))))))</f>
        <v/>
      </c>
      <c r="HM230" s="479" t="str">
        <f ca="1">IF(OR(HM$169&lt;SwaptionFirstMonthPosition+1,$FJ230&lt;SwaptionFirstMonthPosition+1,HM$169&gt;SwaptionFirstMonthPosition+SwaptionNumOfMonths+1,$FJ230&gt;SwaptionFirstMonthPosition+SwaptionNumOfMonths+1),"",IF($FJ230=HM$169,1,IF($FJ230&lt;HM$169,INDEX($FK$170:$ID$241,HM$169,$FJ230),SUMPRODUCT(INDEX($FK$325:$ID$396,HM$169,1+SwaptionShift):INDEX($FK$325:$ID$396,HM$169,SwaptionMonthsToGo+SwaptionShift),INDEX($FK$245:$ID$316,$FJ230-HM$169,73-HM$169+SwaptionShift):INDEX($FK$245:$ID$316,$FJ230-HM$169,72-HM$169+SwaptionMonthsToGo+SwaptionShift))/SQRT(SUM(INDEX($FK385:$ID385,1+SwaptionShift):INDEX($FK385:$ID385,SwaptionMonthsToGo+SwaptionShift))*SUM(INDEX($FK$325:$ID$396,HM$169,1+SwaptionShift):INDEX($FK$325:$ID$396,HM$169,SwaptionMonthsToGo+SwaptionShift))))))</f>
        <v/>
      </c>
      <c r="HN230" s="479" t="str">
        <f ca="1">IF(OR(HN$169&lt;SwaptionFirstMonthPosition+1,$FJ230&lt;SwaptionFirstMonthPosition+1,HN$169&gt;SwaptionFirstMonthPosition+SwaptionNumOfMonths+1,$FJ230&gt;SwaptionFirstMonthPosition+SwaptionNumOfMonths+1),"",IF($FJ230=HN$169,1,IF($FJ230&lt;HN$169,INDEX($FK$170:$ID$241,HN$169,$FJ230),SUMPRODUCT(INDEX($FK$325:$ID$396,HN$169,1+SwaptionShift):INDEX($FK$325:$ID$396,HN$169,SwaptionMonthsToGo+SwaptionShift),INDEX($FK$245:$ID$316,$FJ230-HN$169,73-HN$169+SwaptionShift):INDEX($FK$245:$ID$316,$FJ230-HN$169,72-HN$169+SwaptionMonthsToGo+SwaptionShift))/SQRT(SUM(INDEX($FK385:$ID385,1+SwaptionShift):INDEX($FK385:$ID385,SwaptionMonthsToGo+SwaptionShift))*SUM(INDEX($FK$325:$ID$396,HN$169,1+SwaptionShift):INDEX($FK$325:$ID$396,HN$169,SwaptionMonthsToGo+SwaptionShift))))))</f>
        <v/>
      </c>
      <c r="HO230" s="479" t="str">
        <f ca="1">IF(OR(HO$169&lt;SwaptionFirstMonthPosition+1,$FJ230&lt;SwaptionFirstMonthPosition+1,HO$169&gt;SwaptionFirstMonthPosition+SwaptionNumOfMonths+1,$FJ230&gt;SwaptionFirstMonthPosition+SwaptionNumOfMonths+1),"",IF($FJ230=HO$169,1,IF($FJ230&lt;HO$169,INDEX($FK$170:$ID$241,HO$169,$FJ230),SUMPRODUCT(INDEX($FK$325:$ID$396,HO$169,1+SwaptionShift):INDEX($FK$325:$ID$396,HO$169,SwaptionMonthsToGo+SwaptionShift),INDEX($FK$245:$ID$316,$FJ230-HO$169,73-HO$169+SwaptionShift):INDEX($FK$245:$ID$316,$FJ230-HO$169,72-HO$169+SwaptionMonthsToGo+SwaptionShift))/SQRT(SUM(INDEX($FK385:$ID385,1+SwaptionShift):INDEX($FK385:$ID385,SwaptionMonthsToGo+SwaptionShift))*SUM(INDEX($FK$325:$ID$396,HO$169,1+SwaptionShift):INDEX($FK$325:$ID$396,HO$169,SwaptionMonthsToGo+SwaptionShift))))))</f>
        <v/>
      </c>
      <c r="HP230" s="479" t="str">
        <f ca="1">IF(OR(HP$169&lt;SwaptionFirstMonthPosition+1,$FJ230&lt;SwaptionFirstMonthPosition+1,HP$169&gt;SwaptionFirstMonthPosition+SwaptionNumOfMonths+1,$FJ230&gt;SwaptionFirstMonthPosition+SwaptionNumOfMonths+1),"",IF($FJ230=HP$169,1,IF($FJ230&lt;HP$169,INDEX($FK$170:$ID$241,HP$169,$FJ230),SUMPRODUCT(INDEX($FK$325:$ID$396,HP$169,1+SwaptionShift):INDEX($FK$325:$ID$396,HP$169,SwaptionMonthsToGo+SwaptionShift),INDEX($FK$245:$ID$316,$FJ230-HP$169,73-HP$169+SwaptionShift):INDEX($FK$245:$ID$316,$FJ230-HP$169,72-HP$169+SwaptionMonthsToGo+SwaptionShift))/SQRT(SUM(INDEX($FK385:$ID385,1+SwaptionShift):INDEX($FK385:$ID385,SwaptionMonthsToGo+SwaptionShift))*SUM(INDEX($FK$325:$ID$396,HP$169,1+SwaptionShift):INDEX($FK$325:$ID$396,HP$169,SwaptionMonthsToGo+SwaptionShift))))))</f>
        <v/>
      </c>
      <c r="HQ230" s="479" t="str">
        <f ca="1">IF(OR(HQ$169&lt;SwaptionFirstMonthPosition+1,$FJ230&lt;SwaptionFirstMonthPosition+1,HQ$169&gt;SwaptionFirstMonthPosition+SwaptionNumOfMonths+1,$FJ230&gt;SwaptionFirstMonthPosition+SwaptionNumOfMonths+1),"",IF($FJ230=HQ$169,1,IF($FJ230&lt;HQ$169,INDEX($FK$170:$ID$241,HQ$169,$FJ230),SUMPRODUCT(INDEX($FK$325:$ID$396,HQ$169,1+SwaptionShift):INDEX($FK$325:$ID$396,HQ$169,SwaptionMonthsToGo+SwaptionShift),INDEX($FK$245:$ID$316,$FJ230-HQ$169,73-HQ$169+SwaptionShift):INDEX($FK$245:$ID$316,$FJ230-HQ$169,72-HQ$169+SwaptionMonthsToGo+SwaptionShift))/SQRT(SUM(INDEX($FK385:$ID385,1+SwaptionShift):INDEX($FK385:$ID385,SwaptionMonthsToGo+SwaptionShift))*SUM(INDEX($FK$325:$ID$396,HQ$169,1+SwaptionShift):INDEX($FK$325:$ID$396,HQ$169,SwaptionMonthsToGo+SwaptionShift))))))</f>
        <v/>
      </c>
      <c r="HR230" s="479" t="str">
        <f ca="1">IF(OR(HR$169&lt;SwaptionFirstMonthPosition+1,$FJ230&lt;SwaptionFirstMonthPosition+1,HR$169&gt;SwaptionFirstMonthPosition+SwaptionNumOfMonths+1,$FJ230&gt;SwaptionFirstMonthPosition+SwaptionNumOfMonths+1),"",IF($FJ230=HR$169,1,IF($FJ230&lt;HR$169,INDEX($FK$170:$ID$241,HR$169,$FJ230),SUMPRODUCT(INDEX($FK$325:$ID$396,HR$169,1+SwaptionShift):INDEX($FK$325:$ID$396,HR$169,SwaptionMonthsToGo+SwaptionShift),INDEX($FK$245:$ID$316,$FJ230-HR$169,73-HR$169+SwaptionShift):INDEX($FK$245:$ID$316,$FJ230-HR$169,72-HR$169+SwaptionMonthsToGo+SwaptionShift))/SQRT(SUM(INDEX($FK385:$ID385,1+SwaptionShift):INDEX($FK385:$ID385,SwaptionMonthsToGo+SwaptionShift))*SUM(INDEX($FK$325:$ID$396,HR$169,1+SwaptionShift):INDEX($FK$325:$ID$396,HR$169,SwaptionMonthsToGo+SwaptionShift))))))</f>
        <v/>
      </c>
      <c r="HS230" s="479" t="str">
        <f ca="1">IF(OR(HS$169&lt;SwaptionFirstMonthPosition+1,$FJ230&lt;SwaptionFirstMonthPosition+1,HS$169&gt;SwaptionFirstMonthPosition+SwaptionNumOfMonths+1,$FJ230&gt;SwaptionFirstMonthPosition+SwaptionNumOfMonths+1),"",IF($FJ230=HS$169,1,IF($FJ230&lt;HS$169,INDEX($FK$170:$ID$241,HS$169,$FJ230),SUMPRODUCT(INDEX($FK$325:$ID$396,HS$169,1+SwaptionShift):INDEX($FK$325:$ID$396,HS$169,SwaptionMonthsToGo+SwaptionShift),INDEX($FK$245:$ID$316,$FJ230-HS$169,73-HS$169+SwaptionShift):INDEX($FK$245:$ID$316,$FJ230-HS$169,72-HS$169+SwaptionMonthsToGo+SwaptionShift))/SQRT(SUM(INDEX($FK385:$ID385,1+SwaptionShift):INDEX($FK385:$ID385,SwaptionMonthsToGo+SwaptionShift))*SUM(INDEX($FK$325:$ID$396,HS$169,1+SwaptionShift):INDEX($FK$325:$ID$396,HS$169,SwaptionMonthsToGo+SwaptionShift))))))</f>
        <v/>
      </c>
      <c r="HT230" s="479" t="str">
        <f ca="1">IF(OR(HT$169&lt;SwaptionFirstMonthPosition+1,$FJ230&lt;SwaptionFirstMonthPosition+1,HT$169&gt;SwaptionFirstMonthPosition+SwaptionNumOfMonths+1,$FJ230&gt;SwaptionFirstMonthPosition+SwaptionNumOfMonths+1),"",IF($FJ230=HT$169,1,IF($FJ230&lt;HT$169,INDEX($FK$170:$ID$241,HT$169,$FJ230),SUMPRODUCT(INDEX($FK$325:$ID$396,HT$169,1+SwaptionShift):INDEX($FK$325:$ID$396,HT$169,SwaptionMonthsToGo+SwaptionShift),INDEX($FK$245:$ID$316,$FJ230-HT$169,73-HT$169+SwaptionShift):INDEX($FK$245:$ID$316,$FJ230-HT$169,72-HT$169+SwaptionMonthsToGo+SwaptionShift))/SQRT(SUM(INDEX($FK385:$ID385,1+SwaptionShift):INDEX($FK385:$ID385,SwaptionMonthsToGo+SwaptionShift))*SUM(INDEX($FK$325:$ID$396,HT$169,1+SwaptionShift):INDEX($FK$325:$ID$396,HT$169,SwaptionMonthsToGo+SwaptionShift))))))</f>
        <v/>
      </c>
      <c r="HU230" s="479" t="str">
        <f ca="1">IF(OR(HU$169&lt;SwaptionFirstMonthPosition+1,$FJ230&lt;SwaptionFirstMonthPosition+1,HU$169&gt;SwaptionFirstMonthPosition+SwaptionNumOfMonths+1,$FJ230&gt;SwaptionFirstMonthPosition+SwaptionNumOfMonths+1),"",IF($FJ230=HU$169,1,IF($FJ230&lt;HU$169,INDEX($FK$170:$ID$241,HU$169,$FJ230),SUMPRODUCT(INDEX($FK$325:$ID$396,HU$169,1+SwaptionShift):INDEX($FK$325:$ID$396,HU$169,SwaptionMonthsToGo+SwaptionShift),INDEX($FK$245:$ID$316,$FJ230-HU$169,73-HU$169+SwaptionShift):INDEX($FK$245:$ID$316,$FJ230-HU$169,72-HU$169+SwaptionMonthsToGo+SwaptionShift))/SQRT(SUM(INDEX($FK385:$ID385,1+SwaptionShift):INDEX($FK385:$ID385,SwaptionMonthsToGo+SwaptionShift))*SUM(INDEX($FK$325:$ID$396,HU$169,1+SwaptionShift):INDEX($FK$325:$ID$396,HU$169,SwaptionMonthsToGo+SwaptionShift))))))</f>
        <v/>
      </c>
      <c r="HV230" s="479" t="str">
        <f ca="1">IF(OR(HV$169&lt;SwaptionFirstMonthPosition+1,$FJ230&lt;SwaptionFirstMonthPosition+1,HV$169&gt;SwaptionFirstMonthPosition+SwaptionNumOfMonths+1,$FJ230&gt;SwaptionFirstMonthPosition+SwaptionNumOfMonths+1),"",IF($FJ230=HV$169,1,IF($FJ230&lt;HV$169,INDEX($FK$170:$ID$241,HV$169,$FJ230),SUMPRODUCT(INDEX($FK$325:$ID$396,HV$169,1+SwaptionShift):INDEX($FK$325:$ID$396,HV$169,SwaptionMonthsToGo+SwaptionShift),INDEX($FK$245:$ID$316,$FJ230-HV$169,73-HV$169+SwaptionShift):INDEX($FK$245:$ID$316,$FJ230-HV$169,72-HV$169+SwaptionMonthsToGo+SwaptionShift))/SQRT(SUM(INDEX($FK385:$ID385,1+SwaptionShift):INDEX($FK385:$ID385,SwaptionMonthsToGo+SwaptionShift))*SUM(INDEX($FK$325:$ID$396,HV$169,1+SwaptionShift):INDEX($FK$325:$ID$396,HV$169,SwaptionMonthsToGo+SwaptionShift))))))</f>
        <v/>
      </c>
      <c r="HW230" s="479" t="str">
        <f ca="1">IF(OR(HW$169&lt;SwaptionFirstMonthPosition+1,$FJ230&lt;SwaptionFirstMonthPosition+1,HW$169&gt;SwaptionFirstMonthPosition+SwaptionNumOfMonths+1,$FJ230&gt;SwaptionFirstMonthPosition+SwaptionNumOfMonths+1),"",IF($FJ230=HW$169,1,IF($FJ230&lt;HW$169,INDEX($FK$170:$ID$241,HW$169,$FJ230),SUMPRODUCT(INDEX($FK$325:$ID$396,HW$169,1+SwaptionShift):INDEX($FK$325:$ID$396,HW$169,SwaptionMonthsToGo+SwaptionShift),INDEX($FK$245:$ID$316,$FJ230-HW$169,73-HW$169+SwaptionShift):INDEX($FK$245:$ID$316,$FJ230-HW$169,72-HW$169+SwaptionMonthsToGo+SwaptionShift))/SQRT(SUM(INDEX($FK385:$ID385,1+SwaptionShift):INDEX($FK385:$ID385,SwaptionMonthsToGo+SwaptionShift))*SUM(INDEX($FK$325:$ID$396,HW$169,1+SwaptionShift):INDEX($FK$325:$ID$396,HW$169,SwaptionMonthsToGo+SwaptionShift))))))</f>
        <v/>
      </c>
      <c r="HX230" s="479" t="str">
        <f ca="1">IF(OR(HX$169&lt;SwaptionFirstMonthPosition+1,$FJ230&lt;SwaptionFirstMonthPosition+1,HX$169&gt;SwaptionFirstMonthPosition+SwaptionNumOfMonths+1,$FJ230&gt;SwaptionFirstMonthPosition+SwaptionNumOfMonths+1),"",IF($FJ230=HX$169,1,IF($FJ230&lt;HX$169,INDEX($FK$170:$ID$241,HX$169,$FJ230),SUMPRODUCT(INDEX($FK$325:$ID$396,HX$169,1+SwaptionShift):INDEX($FK$325:$ID$396,HX$169,SwaptionMonthsToGo+SwaptionShift),INDEX($FK$245:$ID$316,$FJ230-HX$169,73-HX$169+SwaptionShift):INDEX($FK$245:$ID$316,$FJ230-HX$169,72-HX$169+SwaptionMonthsToGo+SwaptionShift))/SQRT(SUM(INDEX($FK385:$ID385,1+SwaptionShift):INDEX($FK385:$ID385,SwaptionMonthsToGo+SwaptionShift))*SUM(INDEX($FK$325:$ID$396,HX$169,1+SwaptionShift):INDEX($FK$325:$ID$396,HX$169,SwaptionMonthsToGo+SwaptionShift))))))</f>
        <v/>
      </c>
      <c r="HY230" s="479" t="str">
        <f ca="1">IF(OR(HY$169&lt;SwaptionFirstMonthPosition+1,$FJ230&lt;SwaptionFirstMonthPosition+1,HY$169&gt;SwaptionFirstMonthPosition+SwaptionNumOfMonths+1,$FJ230&gt;SwaptionFirstMonthPosition+SwaptionNumOfMonths+1),"",IF($FJ230=HY$169,1,IF($FJ230&lt;HY$169,INDEX($FK$170:$ID$241,HY$169,$FJ230),SUMPRODUCT(INDEX($FK$325:$ID$396,HY$169,1+SwaptionShift):INDEX($FK$325:$ID$396,HY$169,SwaptionMonthsToGo+SwaptionShift),INDEX($FK$245:$ID$316,$FJ230-HY$169,73-HY$169+SwaptionShift):INDEX($FK$245:$ID$316,$FJ230-HY$169,72-HY$169+SwaptionMonthsToGo+SwaptionShift))/SQRT(SUM(INDEX($FK385:$ID385,1+SwaptionShift):INDEX($FK385:$ID385,SwaptionMonthsToGo+SwaptionShift))*SUM(INDEX($FK$325:$ID$396,HY$169,1+SwaptionShift):INDEX($FK$325:$ID$396,HY$169,SwaptionMonthsToGo+SwaptionShift))))))</f>
        <v/>
      </c>
      <c r="HZ230" s="479" t="str">
        <f ca="1">IF(OR(HZ$169&lt;SwaptionFirstMonthPosition+1,$FJ230&lt;SwaptionFirstMonthPosition+1,HZ$169&gt;SwaptionFirstMonthPosition+SwaptionNumOfMonths+1,$FJ230&gt;SwaptionFirstMonthPosition+SwaptionNumOfMonths+1),"",IF($FJ230=HZ$169,1,IF($FJ230&lt;HZ$169,INDEX($FK$170:$ID$241,HZ$169,$FJ230),SUMPRODUCT(INDEX($FK$325:$ID$396,HZ$169,1+SwaptionShift):INDEX($FK$325:$ID$396,HZ$169,SwaptionMonthsToGo+SwaptionShift),INDEX($FK$245:$ID$316,$FJ230-HZ$169,73-HZ$169+SwaptionShift):INDEX($FK$245:$ID$316,$FJ230-HZ$169,72-HZ$169+SwaptionMonthsToGo+SwaptionShift))/SQRT(SUM(INDEX($FK385:$ID385,1+SwaptionShift):INDEX($FK385:$ID385,SwaptionMonthsToGo+SwaptionShift))*SUM(INDEX($FK$325:$ID$396,HZ$169,1+SwaptionShift):INDEX($FK$325:$ID$396,HZ$169,SwaptionMonthsToGo+SwaptionShift))))))</f>
        <v/>
      </c>
      <c r="IA230" s="479" t="str">
        <f ca="1">IF(OR(IA$169&lt;SwaptionFirstMonthPosition+1,$FJ230&lt;SwaptionFirstMonthPosition+1,IA$169&gt;SwaptionFirstMonthPosition+SwaptionNumOfMonths+1,$FJ230&gt;SwaptionFirstMonthPosition+SwaptionNumOfMonths+1),"",IF($FJ230=IA$169,1,IF($FJ230&lt;IA$169,INDEX($FK$170:$ID$241,IA$169,$FJ230),SUMPRODUCT(INDEX($FK$325:$ID$396,IA$169,1+SwaptionShift):INDEX($FK$325:$ID$396,IA$169,SwaptionMonthsToGo+SwaptionShift),INDEX($FK$245:$ID$316,$FJ230-IA$169,73-IA$169+SwaptionShift):INDEX($FK$245:$ID$316,$FJ230-IA$169,72-IA$169+SwaptionMonthsToGo+SwaptionShift))/SQRT(SUM(INDEX($FK385:$ID385,1+SwaptionShift):INDEX($FK385:$ID385,SwaptionMonthsToGo+SwaptionShift))*SUM(INDEX($FK$325:$ID$396,IA$169,1+SwaptionShift):INDEX($FK$325:$ID$396,IA$169,SwaptionMonthsToGo+SwaptionShift))))))</f>
        <v/>
      </c>
      <c r="IB230" s="479" t="str">
        <f ca="1">IF(OR(IB$169&lt;SwaptionFirstMonthPosition+1,$FJ230&lt;SwaptionFirstMonthPosition+1,IB$169&gt;SwaptionFirstMonthPosition+SwaptionNumOfMonths+1,$FJ230&gt;SwaptionFirstMonthPosition+SwaptionNumOfMonths+1),"",IF($FJ230=IB$169,1,IF($FJ230&lt;IB$169,INDEX($FK$170:$ID$241,IB$169,$FJ230),SUMPRODUCT(INDEX($FK$325:$ID$396,IB$169,1+SwaptionShift):INDEX($FK$325:$ID$396,IB$169,SwaptionMonthsToGo+SwaptionShift),INDEX($FK$245:$ID$316,$FJ230-IB$169,73-IB$169+SwaptionShift):INDEX($FK$245:$ID$316,$FJ230-IB$169,72-IB$169+SwaptionMonthsToGo+SwaptionShift))/SQRT(SUM(INDEX($FK385:$ID385,1+SwaptionShift):INDEX($FK385:$ID385,SwaptionMonthsToGo+SwaptionShift))*SUM(INDEX($FK$325:$ID$396,IB$169,1+SwaptionShift):INDEX($FK$325:$ID$396,IB$169,SwaptionMonthsToGo+SwaptionShift))))))</f>
        <v/>
      </c>
      <c r="IC230" s="479" t="str">
        <f ca="1">IF(OR(IC$169&lt;SwaptionFirstMonthPosition+1,$FJ230&lt;SwaptionFirstMonthPosition+1,IC$169&gt;SwaptionFirstMonthPosition+SwaptionNumOfMonths+1,$FJ230&gt;SwaptionFirstMonthPosition+SwaptionNumOfMonths+1),"",IF($FJ230=IC$169,1,IF($FJ230&lt;IC$169,INDEX($FK$170:$ID$241,IC$169,$FJ230),SUMPRODUCT(INDEX($FK$325:$ID$396,IC$169,1+SwaptionShift):INDEX($FK$325:$ID$396,IC$169,SwaptionMonthsToGo+SwaptionShift),INDEX($FK$245:$ID$316,$FJ230-IC$169,73-IC$169+SwaptionShift):INDEX($FK$245:$ID$316,$FJ230-IC$169,72-IC$169+SwaptionMonthsToGo+SwaptionShift))/SQRT(SUM(INDEX($FK385:$ID385,1+SwaptionShift):INDEX($FK385:$ID385,SwaptionMonthsToGo+SwaptionShift))*SUM(INDEX($FK$325:$ID$396,IC$169,1+SwaptionShift):INDEX($FK$325:$ID$396,IC$169,SwaptionMonthsToGo+SwaptionShift))))))</f>
        <v/>
      </c>
      <c r="ID230" s="678" t="str">
        <f ca="1">IF(OR(ID$169&lt;SwaptionFirstMonthPosition+1,$FJ230&lt;SwaptionFirstMonthPosition+1,ID$169&gt;SwaptionFirstMonthPosition+SwaptionNumOfMonths+1,$FJ230&gt;SwaptionFirstMonthPosition+SwaptionNumOfMonths+1),"",IF($FJ230=ID$169,1,IF($FJ230&lt;ID$169,INDEX($FK$170:$ID$241,ID$169,$FJ230),SUMPRODUCT(INDEX($FK$325:$ID$396,ID$169,1+SwaptionShift):INDEX($FK$325:$ID$396,ID$169,SwaptionMonthsToGo+SwaptionShift),INDEX($FK$245:$ID$316,$FJ230-ID$169,73-ID$169+SwaptionShift):INDEX($FK$245:$ID$316,$FJ230-ID$169,72-ID$169+SwaptionMonthsToGo+SwaptionShift))/SQRT(SUM(INDEX($FK385:$ID385,1+SwaptionShift):INDEX($FK385:$ID385,SwaptionMonthsToGo+SwaptionShift))*SUM(INDEX($FK$325:$ID$396,ID$169,1+SwaptionShift):INDEX($FK$325:$ID$396,ID$169,SwaptionMonthsToGo+SwaptionShift))))))</f>
        <v/>
      </c>
      <c r="IE230" s="250"/>
    </row>
    <row r="231" spans="8:239">
      <c r="H231" s="51">
        <f t="shared" ca="1" si="646"/>
        <v>0</v>
      </c>
      <c r="I231" s="379">
        <f t="shared" si="647"/>
        <v>43191</v>
      </c>
      <c r="J231" s="377"/>
      <c r="K231" s="104" t="s">
        <v>268</v>
      </c>
      <c r="L231" s="392">
        <f t="shared" si="648"/>
        <v>5.0624999999999964</v>
      </c>
      <c r="M231" s="171"/>
      <c r="N231" s="382">
        <v>0</v>
      </c>
      <c r="O231" s="171">
        <f t="shared" si="596"/>
        <v>0</v>
      </c>
      <c r="P231" s="377"/>
      <c r="Q231" s="104" t="s">
        <v>268</v>
      </c>
      <c r="R231" s="377">
        <f t="shared" ca="1" si="597"/>
        <v>3.8711542030488895</v>
      </c>
      <c r="S231" s="832">
        <f t="shared" si="671"/>
        <v>0.3600000000000001</v>
      </c>
      <c r="T231" s="831">
        <f t="shared" si="661"/>
        <v>0.99999999999999933</v>
      </c>
      <c r="U231" s="545">
        <f t="shared" si="662"/>
        <v>0.99999999999999978</v>
      </c>
      <c r="V231" s="389">
        <v>0</v>
      </c>
      <c r="W231" s="434">
        <f t="shared" si="598"/>
        <v>0</v>
      </c>
      <c r="X231" s="415">
        <f t="shared" si="599"/>
        <v>5.1107142857142822</v>
      </c>
      <c r="Y231" s="322">
        <f t="shared" si="600"/>
        <v>-1.2915000000000001</v>
      </c>
      <c r="Z231" s="322">
        <f t="shared" ca="1" si="601"/>
        <v>3.8192142857142821</v>
      </c>
      <c r="AA231" s="429">
        <f t="shared" si="628"/>
        <v>1.2915000000000001</v>
      </c>
      <c r="AB231" s="433">
        <f t="shared" ca="1" si="629"/>
        <v>1.2915000000000001</v>
      </c>
      <c r="AC231" s="229">
        <v>43179</v>
      </c>
      <c r="AD231" s="229">
        <v>43175</v>
      </c>
      <c r="AE231" s="229">
        <v>43174</v>
      </c>
      <c r="AF231" s="229">
        <v>43170</v>
      </c>
      <c r="AG231" s="249" t="s">
        <v>499</v>
      </c>
      <c r="AH231" s="247" t="s">
        <v>499</v>
      </c>
      <c r="AI231" s="146">
        <v>21</v>
      </c>
      <c r="AJ231" s="41">
        <v>15</v>
      </c>
      <c r="AK231" s="41">
        <v>6</v>
      </c>
      <c r="AL231" s="293">
        <v>21</v>
      </c>
      <c r="AM231" s="41">
        <v>10</v>
      </c>
      <c r="AN231" s="147">
        <v>11</v>
      </c>
      <c r="AO231" s="374"/>
      <c r="AP231" s="153">
        <f t="shared" ca="1" si="649"/>
        <v>1</v>
      </c>
      <c r="AQ231" s="374"/>
      <c r="AR231" s="153">
        <f t="shared" ca="1" si="663"/>
        <v>1</v>
      </c>
      <c r="AS231" s="272">
        <f t="shared" si="602"/>
        <v>0</v>
      </c>
      <c r="AT231" s="157">
        <f t="shared" si="650"/>
        <v>0</v>
      </c>
      <c r="AU231" s="157">
        <f t="shared" si="630"/>
        <v>0</v>
      </c>
      <c r="AV231" s="271">
        <f t="shared" ca="1" si="670"/>
        <v>9.9999999999999995E-7</v>
      </c>
      <c r="AW231" s="158" t="str">
        <f t="shared" ca="1" si="583"/>
        <v/>
      </c>
      <c r="AX231" s="157">
        <f t="shared" ca="1" si="664"/>
        <v>2.051647602001054E-5</v>
      </c>
      <c r="AY231" s="157">
        <f t="shared" ca="1" si="665"/>
        <v>3.8883346241675761E-6</v>
      </c>
      <c r="AZ231" s="157">
        <f t="shared" ca="1" si="666"/>
        <v>7.442315675498069E-8</v>
      </c>
      <c r="BA231" s="157">
        <f t="shared" ca="1" si="667"/>
        <v>9.3028945943725862E-9</v>
      </c>
      <c r="BB231" s="157">
        <f t="shared" ca="1" si="668"/>
        <v>1.5905217821842533E-11</v>
      </c>
      <c r="BC231" s="157">
        <f t="shared" ca="1" si="669"/>
        <v>1.7308769566799049E-13</v>
      </c>
      <c r="BD231" s="151">
        <f t="shared" ca="1" si="603"/>
        <v>0</v>
      </c>
      <c r="BE231" s="152">
        <f t="shared" ca="1" si="604"/>
        <v>0</v>
      </c>
      <c r="BF231" s="40">
        <f t="shared" si="605"/>
        <v>2018</v>
      </c>
      <c r="BG231" s="144">
        <f t="shared" si="606"/>
        <v>4</v>
      </c>
      <c r="BH231" s="145">
        <f t="shared" ca="1" si="607"/>
        <v>6430</v>
      </c>
      <c r="BI231" s="313">
        <f t="shared" ca="1" si="608"/>
        <v>17.648186173853524</v>
      </c>
      <c r="BJ231" s="42">
        <f t="shared" ca="1" si="631"/>
        <v>17.704898797301261</v>
      </c>
      <c r="BK231" s="42">
        <f t="shared" ca="1" si="632"/>
        <v>17.707636648088393</v>
      </c>
      <c r="BL231" s="42">
        <f t="shared" ca="1" si="609"/>
        <v>17.727583846680357</v>
      </c>
      <c r="BM231" s="150" t="e">
        <f t="shared" ca="1" si="633"/>
        <v>#DIV/0!</v>
      </c>
      <c r="BN231" s="42" t="e">
        <f t="shared" ca="1" si="634"/>
        <v>#DIV/0!</v>
      </c>
      <c r="BO231" s="293">
        <f t="shared" si="610"/>
        <v>21</v>
      </c>
      <c r="BP231" s="41">
        <f t="shared" si="611"/>
        <v>15</v>
      </c>
      <c r="BQ231" s="41">
        <f t="shared" si="612"/>
        <v>6</v>
      </c>
      <c r="BR231" s="305" t="str">
        <f t="shared" ca="1" si="635"/>
        <v/>
      </c>
      <c r="BS231" s="305" t="str">
        <f t="shared" ca="1" si="613"/>
        <v/>
      </c>
      <c r="BT231" s="307" t="str">
        <f t="shared" ca="1" si="614"/>
        <v/>
      </c>
      <c r="BU231" s="161" t="str">
        <f t="shared" ca="1" si="636"/>
        <v/>
      </c>
      <c r="BV231" s="161" t="str">
        <f t="shared" ca="1" si="637"/>
        <v/>
      </c>
      <c r="BW231" s="308" t="str">
        <f t="shared" ca="1" si="638"/>
        <v/>
      </c>
      <c r="BX231" s="309" t="str">
        <f t="shared" ca="1" si="639"/>
        <v/>
      </c>
      <c r="BY231" s="308" t="str">
        <f t="shared" ca="1" si="615"/>
        <v/>
      </c>
      <c r="BZ231" s="309" t="str">
        <f t="shared" ca="1" si="616"/>
        <v/>
      </c>
      <c r="CA231" s="154" t="str">
        <f t="shared" ca="1" si="640"/>
        <v/>
      </c>
      <c r="CB231" s="154" t="str">
        <f t="shared" ca="1" si="641"/>
        <v/>
      </c>
      <c r="CC231" s="154" t="str">
        <f t="shared" ca="1" si="642"/>
        <v/>
      </c>
      <c r="CD231" s="154" t="str">
        <f t="shared" ca="1" si="643"/>
        <v/>
      </c>
      <c r="CE231" s="310">
        <v>1</v>
      </c>
      <c r="CF231" s="162">
        <f ca="1">IF(BD231,_xll.xCrudeAPO(BU231,BV231,CA231,CB231,S232,S233,BI231,BL231,BP231,BQ231,0,Strike1,AO231,CE231,0,BL231,IF(OptControl=4,0,1),0,1),0)</f>
        <v>0</v>
      </c>
      <c r="CG231" s="163">
        <f ca="1">IF(BD231,_xll.xCrudeAPO(BU231,BV231,CA231,CB231,S232,S233,BI231,BL231,BP231,BQ231,0,Strike1,AO231,CE231,0,BL231,IF(OptControl=4,0,1),1,1)+_xll.xCrudeAPO(BU231,BV231,CA231,CB231,S232,S233,BI231,BL231,BP231,BQ231,0,Strike1,AO231,CE231,0,BL231,IF(OptControl=4,0,1),1,2)+IF(OR(VolSkewFlag=2,ABS(BS231)&lt;0.0001),0,IF(BS231&gt;0,-1,1)*CH231*Strike1/BR231^2*BY231/10%),0)</f>
        <v>0</v>
      </c>
      <c r="CH231" s="163">
        <f ca="1">IF(BD231,(_xll.xCrudeAPO(BU231,BV231,CA231,CB231,S232,S233,BI231,BL231,BP231,BQ231,0,Strike1,AO231,CE231,0,BL231,IF(OptControl=4,0,1),3,1)+_xll.xCrudeAPO(BU231,BV231,CA231,CB231,S232,S233,BI231,BL231,BP231,BQ231,0,Strike1,AO231,CE231,0,BL231,IF(OptControl=4,0,1),3,2))/100,0)</f>
        <v>0</v>
      </c>
      <c r="CI231" s="163">
        <f ca="1">IF(BD231,_xll.xCrudeAPO(BU231,BV231,CA231,CB231,S232,S233,BI231-DaysForThetaCalculation/365.25,BL231-DaysForThetaCalculation/365.25,BP231,BQ231,0,Strike1,AO231,CE231,0,BL231,IF(OptControl=4,0,1),0,1)-_xll.xCrudeAPO(BU231,BV231,CA231,CB231,S232,S233,BI231,BL231,BP231,BQ231,0,Strike1,AO231,CE231,0,BL231,IF(OptControl=4,0,1),0,1),0)</f>
        <v>0</v>
      </c>
      <c r="CJ231" s="311">
        <f ca="1">IF(BD231,_xll.xCrudeAPO(BU231,BV231,CC231,CD231,S232,S233,BI231,BL231,BP231,BQ231,0,Strike2,AO231,CE231,0,BL231,IF(OptControl=3,1,0),0,1),0)</f>
        <v>0</v>
      </c>
      <c r="CK231" s="163">
        <f ca="1">IF(BD231,_xll.xCrudeAPO(BU231,BV231,CC231,CD231,S232,S233,BI231,BL231,BP231,BQ231,0,Strike2,AO231,CE231,0,BL231,IF(OptControl=3,1,0),1,1)+_xll.xCrudeAPO(BU231,BV231,CC231,CD231,S232,S233,BI231,BL231,BP231,BQ231,0,Strike2,AO231,CE231,0,BL231,IF(OptControl=3,1,0),1,2)+IF(OR(VolSkewFlag=2,ABS(BT231)&lt;0.0001),0,IF(BT231&gt;0,-1,1)*CL231*Strike2/BR231^2*BZ231/10%),0)</f>
        <v>0</v>
      </c>
      <c r="CL231" s="163">
        <f ca="1">IF(BD231,(_xll.xCrudeAPO(BU231,BV231,CC231,CD231,S232,S233,BI231,BL231,BP231,BQ231,0,Strike2,AO231,CE231,0,BL231,IF(OptControl=3,1,0),3,1)+_xll.xCrudeAPO(BU231,BV231,CC231,CD231,S232,S233,BI231,BL231,BP231,BQ231,0,Strike2,AO231,CE231,0,BL231,IF(OptControl=3,1,0),3,2))/100,0)</f>
        <v>0</v>
      </c>
      <c r="CM231" s="164">
        <f ca="1">IF(BD231,_xll.xCrudeAPO(BU231,BV231,CC231,CD231,S232,S233,BI231-DaysForThetaCalculation/365.25,BL231-DaysForThetaCalculation/365.25,BP231,BQ231,0,Strike2,AO231,CE231,0,BL231,IF(OptControl=3,1,0),0,1)-_xll.xCrudeAPO(BU231,BV231,CC231,CD231,S232,S233,BI231,BL231,BP231,BQ231,0,Strike2,AO231,CE231,0,BL231,IF(OptControl=3,1,0),0,1),0)</f>
        <v>0</v>
      </c>
      <c r="CN231" s="53"/>
      <c r="CO231" s="796" t="str">
        <f t="shared" ca="1" si="651"/>
        <v/>
      </c>
      <c r="CP231" s="800" t="str">
        <f t="shared" ca="1" si="652"/>
        <v/>
      </c>
      <c r="CQ231" s="797" t="str">
        <f t="shared" ca="1" si="653"/>
        <v/>
      </c>
      <c r="CR231" s="797" t="str">
        <f t="shared" ca="1" si="654"/>
        <v/>
      </c>
      <c r="CS231" s="797" t="str">
        <f t="shared" ca="1" si="655"/>
        <v/>
      </c>
      <c r="CT231" s="797" t="str">
        <f t="shared" ca="1" si="656"/>
        <v/>
      </c>
      <c r="CU231" s="798" t="str">
        <f t="shared" ca="1" si="657"/>
        <v/>
      </c>
      <c r="CV231" s="799" t="str">
        <f t="shared" ca="1" si="658"/>
        <v/>
      </c>
      <c r="CW231" s="799" t="str">
        <f t="shared" ca="1" si="659"/>
        <v/>
      </c>
      <c r="CX231" s="163">
        <f ca="1">IF(BD231,_xll.EURO(CP231,Strike1,AO231,AO231,CV231,CO231,IF(OptControl=4,0,1),0),0)</f>
        <v>0</v>
      </c>
      <c r="CY231" s="163">
        <f ca="1">IF(BD231,_xll.EURO(CP231,Strike1,AO231,AO231,CV231,CO231,IF(OptControl=4,0,1),1)+IF(OR(VolSkewFlag=2,ABS(CQ231)&lt;0.0001),0,IF(CQ231&gt;0,-1,1)*CZ231*100*Strike1/CP231^2*CS231/10%),0)</f>
        <v>0</v>
      </c>
      <c r="CZ231" s="163">
        <f ca="1">IF(BD231,_xll.EURO(CP231,Strike1,AO231,AO231,CV231,CO231,IF(OptControl=4,0,1),3)/100,0)</f>
        <v>0</v>
      </c>
      <c r="DA231" s="163">
        <f ca="1">IF(BD231,_xll.EURO(CP231,Strike1,AO231,AO231,CV231,CO231,IF(OptControl=4,0,1),0)-_xll.EURO(CP231,Strike1,AO231,AO231,CV231,CO231-1,IF(OptControl=4,0,1),0),0)</f>
        <v>0</v>
      </c>
      <c r="DB231" s="163">
        <f ca="1">IF(BD231,_xll.EURO(CP231,Strike2,AO231,AO231,CW231,CO231,IF(OptControl=3,1,0),0),0)</f>
        <v>0</v>
      </c>
      <c r="DC231" s="163">
        <f ca="1">IF(BD231,_xll.EURO(CP231,Strike2,AO231,AO231,CW231,CO231,IF(OptControl=3,1,0),1)+IF(OR(VolSkewFlag=2,ABS(CR231)&lt;0.0001),0,IF(CR231&gt;0,-1,1)*DD231*100*Strike2/CP231^2*CT231/10%),0)</f>
        <v>0</v>
      </c>
      <c r="DD231" s="163">
        <f ca="1">IF(BD231,_xll.EURO(CP231,Strike2,AO231,AO231,CW231,CO231,IF(OptControl=3,1,0),3)/100,0)</f>
        <v>0</v>
      </c>
      <c r="DE231" s="164">
        <f ca="1">IF(BD231,_xll.EURO(CP231,Strike2,AO231,AO231,CW231,CO231,IF(OptControl=3,1,0),0)-_xll.EURO(CP231,Strike2,AO231,AO231,CW231,CO231-1,IF(OptControl=3,1,0),0),0)</f>
        <v>0</v>
      </c>
      <c r="DG231" s="667">
        <f t="shared" ca="1" si="660"/>
        <v>42979</v>
      </c>
      <c r="DH231" s="475">
        <v>24.710000000000097</v>
      </c>
      <c r="DI231" s="665">
        <v>24.776666666666763</v>
      </c>
      <c r="DJ231" s="666">
        <f t="shared" ca="1" si="617"/>
        <v>42979</v>
      </c>
      <c r="DK231" s="475">
        <v>23.534375711653663</v>
      </c>
      <c r="DL231" s="665">
        <v>23.509766666666764</v>
      </c>
      <c r="DM231" s="667">
        <f t="shared" ca="1" si="618"/>
        <v>42979</v>
      </c>
      <c r="DN231" s="668">
        <f t="shared" si="619"/>
        <v>23.584375711653664</v>
      </c>
      <c r="DO231" s="667">
        <f t="shared" ca="1" si="620"/>
        <v>42979</v>
      </c>
      <c r="DP231" s="579">
        <f t="shared" si="621"/>
        <v>23.509766666666764</v>
      </c>
      <c r="DQ231" s="821">
        <v>0</v>
      </c>
      <c r="DR231" s="666">
        <f t="shared" ca="1" si="622"/>
        <v>42979</v>
      </c>
      <c r="DS231" s="669">
        <v>9.7999999999998019E-2</v>
      </c>
      <c r="DT231" s="606">
        <v>9.7199999999998024E-2</v>
      </c>
      <c r="DU231" s="666">
        <f t="shared" ca="1" si="623"/>
        <v>42979</v>
      </c>
      <c r="DV231" s="669">
        <v>9.7999999999998019E-2</v>
      </c>
      <c r="DW231" s="606">
        <v>9.7199999999998024E-2</v>
      </c>
      <c r="DX231" s="667">
        <f t="shared" ca="1" si="624"/>
        <v>42979</v>
      </c>
      <c r="DY231" s="606">
        <v>0.35</v>
      </c>
      <c r="DZ231" s="667">
        <f t="shared" ca="1" si="625"/>
        <v>42979</v>
      </c>
      <c r="EA231" s="606">
        <f t="shared" si="626"/>
        <v>9.7199999999998024E-2</v>
      </c>
      <c r="EB231" s="1"/>
      <c r="EC231" s="118" t="str">
        <f t="shared" ca="1" si="627"/>
        <v/>
      </c>
      <c r="ED231" s="119" t="str">
        <f t="shared" ca="1" si="644"/>
        <v/>
      </c>
      <c r="EE231" s="112" t="str">
        <f t="shared" ca="1" si="645"/>
        <v/>
      </c>
      <c r="EF231" s="120">
        <f ca="1">IF(BD231,_xll.xASN(BR231,Strike1,AO231,ED231,0,BO231,0,BI231,BL231,IF(OptControl=4,0,1),0),0)</f>
        <v>0</v>
      </c>
      <c r="EG231" s="111">
        <f ca="1">IF(BD231,_xll.xASN(BR231,Strike2,AO231,EE231,0,BO231,0,BI231,BL231,IF(OptControl=3,1,0),0),0)</f>
        <v>0</v>
      </c>
      <c r="EL231" s="55"/>
      <c r="EM231" s="1"/>
      <c r="EN231" s="106"/>
      <c r="EO231" s="106"/>
      <c r="EP231" s="1"/>
      <c r="EQ231" s="683" t="s">
        <v>445</v>
      </c>
      <c r="ES231" s="55"/>
      <c r="EU231" s="107"/>
      <c r="FJ231" s="673">
        <v>62</v>
      </c>
      <c r="FK231" s="479" t="str">
        <f ca="1">IF(OR(FK$169&lt;SwaptionFirstMonthPosition+1,$FJ231&lt;SwaptionFirstMonthPosition+1,FK$169&gt;SwaptionFirstMonthPosition+SwaptionNumOfMonths+1,$FJ231&gt;SwaptionFirstMonthPosition+SwaptionNumOfMonths+1),"",IF($FJ231=FK$169,1,IF($FJ231&lt;FK$169,INDEX($FK$170:$ID$241,FK$169,$FJ231),SUMPRODUCT(INDEX($FK$325:$ID$396,FK$169,1+SwaptionShift):INDEX($FK$325:$ID$396,FK$169,SwaptionMonthsToGo+SwaptionShift),INDEX($FK$245:$ID$316,$FJ231-FK$169,73-FK$169+SwaptionShift):INDEX($FK$245:$ID$316,$FJ231-FK$169,72-FK$169+SwaptionMonthsToGo+SwaptionShift))/SQRT(SUM(INDEX($FK386:$ID386,1+SwaptionShift):INDEX($FK386:$ID386,SwaptionMonthsToGo+SwaptionShift))*SUM(INDEX($FK$325:$ID$396,FK$169,1+SwaptionShift):INDEX($FK$325:$ID$396,FK$169,SwaptionMonthsToGo+SwaptionShift))))))</f>
        <v/>
      </c>
      <c r="FL231" s="479" t="str">
        <f ca="1">IF(OR(FL$169&lt;SwaptionFirstMonthPosition+1,$FJ231&lt;SwaptionFirstMonthPosition+1,FL$169&gt;SwaptionFirstMonthPosition+SwaptionNumOfMonths+1,$FJ231&gt;SwaptionFirstMonthPosition+SwaptionNumOfMonths+1),"",IF($FJ231=FL$169,1,IF($FJ231&lt;FL$169,INDEX($FK$170:$ID$241,FL$169,$FJ231),SUMPRODUCT(INDEX($FK$325:$ID$396,FL$169,1+SwaptionShift):INDEX($FK$325:$ID$396,FL$169,SwaptionMonthsToGo+SwaptionShift),INDEX($FK$245:$ID$316,$FJ231-FL$169,73-FL$169+SwaptionShift):INDEX($FK$245:$ID$316,$FJ231-FL$169,72-FL$169+SwaptionMonthsToGo+SwaptionShift))/SQRT(SUM(INDEX($FK386:$ID386,1+SwaptionShift):INDEX($FK386:$ID386,SwaptionMonthsToGo+SwaptionShift))*SUM(INDEX($FK$325:$ID$396,FL$169,1+SwaptionShift):INDEX($FK$325:$ID$396,FL$169,SwaptionMonthsToGo+SwaptionShift))))))</f>
        <v/>
      </c>
      <c r="FM231" s="479" t="str">
        <f ca="1">IF(OR(FM$169&lt;SwaptionFirstMonthPosition+1,$FJ231&lt;SwaptionFirstMonthPosition+1,FM$169&gt;SwaptionFirstMonthPosition+SwaptionNumOfMonths+1,$FJ231&gt;SwaptionFirstMonthPosition+SwaptionNumOfMonths+1),"",IF($FJ231=FM$169,1,IF($FJ231&lt;FM$169,INDEX($FK$170:$ID$241,FM$169,$FJ231),SUMPRODUCT(INDEX($FK$325:$ID$396,FM$169,1+SwaptionShift):INDEX($FK$325:$ID$396,FM$169,SwaptionMonthsToGo+SwaptionShift),INDEX($FK$245:$ID$316,$FJ231-FM$169,73-FM$169+SwaptionShift):INDEX($FK$245:$ID$316,$FJ231-FM$169,72-FM$169+SwaptionMonthsToGo+SwaptionShift))/SQRT(SUM(INDEX($FK386:$ID386,1+SwaptionShift):INDEX($FK386:$ID386,SwaptionMonthsToGo+SwaptionShift))*SUM(INDEX($FK$325:$ID$396,FM$169,1+SwaptionShift):INDEX($FK$325:$ID$396,FM$169,SwaptionMonthsToGo+SwaptionShift))))))</f>
        <v/>
      </c>
      <c r="FN231" s="479" t="str">
        <f ca="1">IF(OR(FN$169&lt;SwaptionFirstMonthPosition+1,$FJ231&lt;SwaptionFirstMonthPosition+1,FN$169&gt;SwaptionFirstMonthPosition+SwaptionNumOfMonths+1,$FJ231&gt;SwaptionFirstMonthPosition+SwaptionNumOfMonths+1),"",IF($FJ231=FN$169,1,IF($FJ231&lt;FN$169,INDEX($FK$170:$ID$241,FN$169,$FJ231),SUMPRODUCT(INDEX($FK$325:$ID$396,FN$169,1+SwaptionShift):INDEX($FK$325:$ID$396,FN$169,SwaptionMonthsToGo+SwaptionShift),INDEX($FK$245:$ID$316,$FJ231-FN$169,73-FN$169+SwaptionShift):INDEX($FK$245:$ID$316,$FJ231-FN$169,72-FN$169+SwaptionMonthsToGo+SwaptionShift))/SQRT(SUM(INDEX($FK386:$ID386,1+SwaptionShift):INDEX($FK386:$ID386,SwaptionMonthsToGo+SwaptionShift))*SUM(INDEX($FK$325:$ID$396,FN$169,1+SwaptionShift):INDEX($FK$325:$ID$396,FN$169,SwaptionMonthsToGo+SwaptionShift))))))</f>
        <v/>
      </c>
      <c r="FO231" s="479" t="str">
        <f ca="1">IF(OR(FO$169&lt;SwaptionFirstMonthPosition+1,$FJ231&lt;SwaptionFirstMonthPosition+1,FO$169&gt;SwaptionFirstMonthPosition+SwaptionNumOfMonths+1,$FJ231&gt;SwaptionFirstMonthPosition+SwaptionNumOfMonths+1),"",IF($FJ231=FO$169,1,IF($FJ231&lt;FO$169,INDEX($FK$170:$ID$241,FO$169,$FJ231),SUMPRODUCT(INDEX($FK$325:$ID$396,FO$169,1+SwaptionShift):INDEX($FK$325:$ID$396,FO$169,SwaptionMonthsToGo+SwaptionShift),INDEX($FK$245:$ID$316,$FJ231-FO$169,73-FO$169+SwaptionShift):INDEX($FK$245:$ID$316,$FJ231-FO$169,72-FO$169+SwaptionMonthsToGo+SwaptionShift))/SQRT(SUM(INDEX($FK386:$ID386,1+SwaptionShift):INDEX($FK386:$ID386,SwaptionMonthsToGo+SwaptionShift))*SUM(INDEX($FK$325:$ID$396,FO$169,1+SwaptionShift):INDEX($FK$325:$ID$396,FO$169,SwaptionMonthsToGo+SwaptionShift))))))</f>
        <v/>
      </c>
      <c r="FP231" s="479" t="str">
        <f ca="1">IF(OR(FP$169&lt;SwaptionFirstMonthPosition+1,$FJ231&lt;SwaptionFirstMonthPosition+1,FP$169&gt;SwaptionFirstMonthPosition+SwaptionNumOfMonths+1,$FJ231&gt;SwaptionFirstMonthPosition+SwaptionNumOfMonths+1),"",IF($FJ231=FP$169,1,IF($FJ231&lt;FP$169,INDEX($FK$170:$ID$241,FP$169,$FJ231),SUMPRODUCT(INDEX($FK$325:$ID$396,FP$169,1+SwaptionShift):INDEX($FK$325:$ID$396,FP$169,SwaptionMonthsToGo+SwaptionShift),INDEX($FK$245:$ID$316,$FJ231-FP$169,73-FP$169+SwaptionShift):INDEX($FK$245:$ID$316,$FJ231-FP$169,72-FP$169+SwaptionMonthsToGo+SwaptionShift))/SQRT(SUM(INDEX($FK386:$ID386,1+SwaptionShift):INDEX($FK386:$ID386,SwaptionMonthsToGo+SwaptionShift))*SUM(INDEX($FK$325:$ID$396,FP$169,1+SwaptionShift):INDEX($FK$325:$ID$396,FP$169,SwaptionMonthsToGo+SwaptionShift))))))</f>
        <v/>
      </c>
      <c r="FQ231" s="479" t="str">
        <f ca="1">IF(OR(FQ$169&lt;SwaptionFirstMonthPosition+1,$FJ231&lt;SwaptionFirstMonthPosition+1,FQ$169&gt;SwaptionFirstMonthPosition+SwaptionNumOfMonths+1,$FJ231&gt;SwaptionFirstMonthPosition+SwaptionNumOfMonths+1),"",IF($FJ231=FQ$169,1,IF($FJ231&lt;FQ$169,INDEX($FK$170:$ID$241,FQ$169,$FJ231),SUMPRODUCT(INDEX($FK$325:$ID$396,FQ$169,1+SwaptionShift):INDEX($FK$325:$ID$396,FQ$169,SwaptionMonthsToGo+SwaptionShift),INDEX($FK$245:$ID$316,$FJ231-FQ$169,73-FQ$169+SwaptionShift):INDEX($FK$245:$ID$316,$FJ231-FQ$169,72-FQ$169+SwaptionMonthsToGo+SwaptionShift))/SQRT(SUM(INDEX($FK386:$ID386,1+SwaptionShift):INDEX($FK386:$ID386,SwaptionMonthsToGo+SwaptionShift))*SUM(INDEX($FK$325:$ID$396,FQ$169,1+SwaptionShift):INDEX($FK$325:$ID$396,FQ$169,SwaptionMonthsToGo+SwaptionShift))))))</f>
        <v/>
      </c>
      <c r="FR231" s="479" t="str">
        <f ca="1">IF(OR(FR$169&lt;SwaptionFirstMonthPosition+1,$FJ231&lt;SwaptionFirstMonthPosition+1,FR$169&gt;SwaptionFirstMonthPosition+SwaptionNumOfMonths+1,$FJ231&gt;SwaptionFirstMonthPosition+SwaptionNumOfMonths+1),"",IF($FJ231=FR$169,1,IF($FJ231&lt;FR$169,INDEX($FK$170:$ID$241,FR$169,$FJ231),SUMPRODUCT(INDEX($FK$325:$ID$396,FR$169,1+SwaptionShift):INDEX($FK$325:$ID$396,FR$169,SwaptionMonthsToGo+SwaptionShift),INDEX($FK$245:$ID$316,$FJ231-FR$169,73-FR$169+SwaptionShift):INDEX($FK$245:$ID$316,$FJ231-FR$169,72-FR$169+SwaptionMonthsToGo+SwaptionShift))/SQRT(SUM(INDEX($FK386:$ID386,1+SwaptionShift):INDEX($FK386:$ID386,SwaptionMonthsToGo+SwaptionShift))*SUM(INDEX($FK$325:$ID$396,FR$169,1+SwaptionShift):INDEX($FK$325:$ID$396,FR$169,SwaptionMonthsToGo+SwaptionShift))))))</f>
        <v/>
      </c>
      <c r="FS231" s="479" t="str">
        <f ca="1">IF(OR(FS$169&lt;SwaptionFirstMonthPosition+1,$FJ231&lt;SwaptionFirstMonthPosition+1,FS$169&gt;SwaptionFirstMonthPosition+SwaptionNumOfMonths+1,$FJ231&gt;SwaptionFirstMonthPosition+SwaptionNumOfMonths+1),"",IF($FJ231=FS$169,1,IF($FJ231&lt;FS$169,INDEX($FK$170:$ID$241,FS$169,$FJ231),SUMPRODUCT(INDEX($FK$325:$ID$396,FS$169,1+SwaptionShift):INDEX($FK$325:$ID$396,FS$169,SwaptionMonthsToGo+SwaptionShift),INDEX($FK$245:$ID$316,$FJ231-FS$169,73-FS$169+SwaptionShift):INDEX($FK$245:$ID$316,$FJ231-FS$169,72-FS$169+SwaptionMonthsToGo+SwaptionShift))/SQRT(SUM(INDEX($FK386:$ID386,1+SwaptionShift):INDEX($FK386:$ID386,SwaptionMonthsToGo+SwaptionShift))*SUM(INDEX($FK$325:$ID$396,FS$169,1+SwaptionShift):INDEX($FK$325:$ID$396,FS$169,SwaptionMonthsToGo+SwaptionShift))))))</f>
        <v/>
      </c>
      <c r="FT231" s="479" t="str">
        <f ca="1">IF(OR(FT$169&lt;SwaptionFirstMonthPosition+1,$FJ231&lt;SwaptionFirstMonthPosition+1,FT$169&gt;SwaptionFirstMonthPosition+SwaptionNumOfMonths+1,$FJ231&gt;SwaptionFirstMonthPosition+SwaptionNumOfMonths+1),"",IF($FJ231=FT$169,1,IF($FJ231&lt;FT$169,INDEX($FK$170:$ID$241,FT$169,$FJ231),SUMPRODUCT(INDEX($FK$325:$ID$396,FT$169,1+SwaptionShift):INDEX($FK$325:$ID$396,FT$169,SwaptionMonthsToGo+SwaptionShift),INDEX($FK$245:$ID$316,$FJ231-FT$169,73-FT$169+SwaptionShift):INDEX($FK$245:$ID$316,$FJ231-FT$169,72-FT$169+SwaptionMonthsToGo+SwaptionShift))/SQRT(SUM(INDEX($FK386:$ID386,1+SwaptionShift):INDEX($FK386:$ID386,SwaptionMonthsToGo+SwaptionShift))*SUM(INDEX($FK$325:$ID$396,FT$169,1+SwaptionShift):INDEX($FK$325:$ID$396,FT$169,SwaptionMonthsToGo+SwaptionShift))))))</f>
        <v/>
      </c>
      <c r="FU231" s="479" t="str">
        <f ca="1">IF(OR(FU$169&lt;SwaptionFirstMonthPosition+1,$FJ231&lt;SwaptionFirstMonthPosition+1,FU$169&gt;SwaptionFirstMonthPosition+SwaptionNumOfMonths+1,$FJ231&gt;SwaptionFirstMonthPosition+SwaptionNumOfMonths+1),"",IF($FJ231=FU$169,1,IF($FJ231&lt;FU$169,INDEX($FK$170:$ID$241,FU$169,$FJ231),SUMPRODUCT(INDEX($FK$325:$ID$396,FU$169,1+SwaptionShift):INDEX($FK$325:$ID$396,FU$169,SwaptionMonthsToGo+SwaptionShift),INDEX($FK$245:$ID$316,$FJ231-FU$169,73-FU$169+SwaptionShift):INDEX($FK$245:$ID$316,$FJ231-FU$169,72-FU$169+SwaptionMonthsToGo+SwaptionShift))/SQRT(SUM(INDEX($FK386:$ID386,1+SwaptionShift):INDEX($FK386:$ID386,SwaptionMonthsToGo+SwaptionShift))*SUM(INDEX($FK$325:$ID$396,FU$169,1+SwaptionShift):INDEX($FK$325:$ID$396,FU$169,SwaptionMonthsToGo+SwaptionShift))))))</f>
        <v/>
      </c>
      <c r="FV231" s="479" t="str">
        <f ca="1">IF(OR(FV$169&lt;SwaptionFirstMonthPosition+1,$FJ231&lt;SwaptionFirstMonthPosition+1,FV$169&gt;SwaptionFirstMonthPosition+SwaptionNumOfMonths+1,$FJ231&gt;SwaptionFirstMonthPosition+SwaptionNumOfMonths+1),"",IF($FJ231=FV$169,1,IF($FJ231&lt;FV$169,INDEX($FK$170:$ID$241,FV$169,$FJ231),SUMPRODUCT(INDEX($FK$325:$ID$396,FV$169,1+SwaptionShift):INDEX($FK$325:$ID$396,FV$169,SwaptionMonthsToGo+SwaptionShift),INDEX($FK$245:$ID$316,$FJ231-FV$169,73-FV$169+SwaptionShift):INDEX($FK$245:$ID$316,$FJ231-FV$169,72-FV$169+SwaptionMonthsToGo+SwaptionShift))/SQRT(SUM(INDEX($FK386:$ID386,1+SwaptionShift):INDEX($FK386:$ID386,SwaptionMonthsToGo+SwaptionShift))*SUM(INDEX($FK$325:$ID$396,FV$169,1+SwaptionShift):INDEX($FK$325:$ID$396,FV$169,SwaptionMonthsToGo+SwaptionShift))))))</f>
        <v/>
      </c>
      <c r="FW231" s="479" t="str">
        <f ca="1">IF(OR(FW$169&lt;SwaptionFirstMonthPosition+1,$FJ231&lt;SwaptionFirstMonthPosition+1,FW$169&gt;SwaptionFirstMonthPosition+SwaptionNumOfMonths+1,$FJ231&gt;SwaptionFirstMonthPosition+SwaptionNumOfMonths+1),"",IF($FJ231=FW$169,1,IF($FJ231&lt;FW$169,INDEX($FK$170:$ID$241,FW$169,$FJ231),SUMPRODUCT(INDEX($FK$325:$ID$396,FW$169,1+SwaptionShift):INDEX($FK$325:$ID$396,FW$169,SwaptionMonthsToGo+SwaptionShift),INDEX($FK$245:$ID$316,$FJ231-FW$169,73-FW$169+SwaptionShift):INDEX($FK$245:$ID$316,$FJ231-FW$169,72-FW$169+SwaptionMonthsToGo+SwaptionShift))/SQRT(SUM(INDEX($FK386:$ID386,1+SwaptionShift):INDEX($FK386:$ID386,SwaptionMonthsToGo+SwaptionShift))*SUM(INDEX($FK$325:$ID$396,FW$169,1+SwaptionShift):INDEX($FK$325:$ID$396,FW$169,SwaptionMonthsToGo+SwaptionShift))))))</f>
        <v/>
      </c>
      <c r="FX231" s="479" t="str">
        <f ca="1">IF(OR(FX$169&lt;SwaptionFirstMonthPosition+1,$FJ231&lt;SwaptionFirstMonthPosition+1,FX$169&gt;SwaptionFirstMonthPosition+SwaptionNumOfMonths+1,$FJ231&gt;SwaptionFirstMonthPosition+SwaptionNumOfMonths+1),"",IF($FJ231=FX$169,1,IF($FJ231&lt;FX$169,INDEX($FK$170:$ID$241,FX$169,$FJ231),SUMPRODUCT(INDEX($FK$325:$ID$396,FX$169,1+SwaptionShift):INDEX($FK$325:$ID$396,FX$169,SwaptionMonthsToGo+SwaptionShift),INDEX($FK$245:$ID$316,$FJ231-FX$169,73-FX$169+SwaptionShift):INDEX($FK$245:$ID$316,$FJ231-FX$169,72-FX$169+SwaptionMonthsToGo+SwaptionShift))/SQRT(SUM(INDEX($FK386:$ID386,1+SwaptionShift):INDEX($FK386:$ID386,SwaptionMonthsToGo+SwaptionShift))*SUM(INDEX($FK$325:$ID$396,FX$169,1+SwaptionShift):INDEX($FK$325:$ID$396,FX$169,SwaptionMonthsToGo+SwaptionShift))))))</f>
        <v/>
      </c>
      <c r="FY231" s="479" t="str">
        <f ca="1">IF(OR(FY$169&lt;SwaptionFirstMonthPosition+1,$FJ231&lt;SwaptionFirstMonthPosition+1,FY$169&gt;SwaptionFirstMonthPosition+SwaptionNumOfMonths+1,$FJ231&gt;SwaptionFirstMonthPosition+SwaptionNumOfMonths+1),"",IF($FJ231=FY$169,1,IF($FJ231&lt;FY$169,INDEX($FK$170:$ID$241,FY$169,$FJ231),SUMPRODUCT(INDEX($FK$325:$ID$396,FY$169,1+SwaptionShift):INDEX($FK$325:$ID$396,FY$169,SwaptionMonthsToGo+SwaptionShift),INDEX($FK$245:$ID$316,$FJ231-FY$169,73-FY$169+SwaptionShift):INDEX($FK$245:$ID$316,$FJ231-FY$169,72-FY$169+SwaptionMonthsToGo+SwaptionShift))/SQRT(SUM(INDEX($FK386:$ID386,1+SwaptionShift):INDEX($FK386:$ID386,SwaptionMonthsToGo+SwaptionShift))*SUM(INDEX($FK$325:$ID$396,FY$169,1+SwaptionShift):INDEX($FK$325:$ID$396,FY$169,SwaptionMonthsToGo+SwaptionShift))))))</f>
        <v/>
      </c>
      <c r="FZ231" s="479" t="str">
        <f ca="1">IF(OR(FZ$169&lt;SwaptionFirstMonthPosition+1,$FJ231&lt;SwaptionFirstMonthPosition+1,FZ$169&gt;SwaptionFirstMonthPosition+SwaptionNumOfMonths+1,$FJ231&gt;SwaptionFirstMonthPosition+SwaptionNumOfMonths+1),"",IF($FJ231=FZ$169,1,IF($FJ231&lt;FZ$169,INDEX($FK$170:$ID$241,FZ$169,$FJ231),SUMPRODUCT(INDEX($FK$325:$ID$396,FZ$169,1+SwaptionShift):INDEX($FK$325:$ID$396,FZ$169,SwaptionMonthsToGo+SwaptionShift),INDEX($FK$245:$ID$316,$FJ231-FZ$169,73-FZ$169+SwaptionShift):INDEX($FK$245:$ID$316,$FJ231-FZ$169,72-FZ$169+SwaptionMonthsToGo+SwaptionShift))/SQRT(SUM(INDEX($FK386:$ID386,1+SwaptionShift):INDEX($FK386:$ID386,SwaptionMonthsToGo+SwaptionShift))*SUM(INDEX($FK$325:$ID$396,FZ$169,1+SwaptionShift):INDEX($FK$325:$ID$396,FZ$169,SwaptionMonthsToGo+SwaptionShift))))))</f>
        <v/>
      </c>
      <c r="GA231" s="479" t="str">
        <f ca="1">IF(OR(GA$169&lt;SwaptionFirstMonthPosition+1,$FJ231&lt;SwaptionFirstMonthPosition+1,GA$169&gt;SwaptionFirstMonthPosition+SwaptionNumOfMonths+1,$FJ231&gt;SwaptionFirstMonthPosition+SwaptionNumOfMonths+1),"",IF($FJ231=GA$169,1,IF($FJ231&lt;GA$169,INDEX($FK$170:$ID$241,GA$169,$FJ231),SUMPRODUCT(INDEX($FK$325:$ID$396,GA$169,1+SwaptionShift):INDEX($FK$325:$ID$396,GA$169,SwaptionMonthsToGo+SwaptionShift),INDEX($FK$245:$ID$316,$FJ231-GA$169,73-GA$169+SwaptionShift):INDEX($FK$245:$ID$316,$FJ231-GA$169,72-GA$169+SwaptionMonthsToGo+SwaptionShift))/SQRT(SUM(INDEX($FK386:$ID386,1+SwaptionShift):INDEX($FK386:$ID386,SwaptionMonthsToGo+SwaptionShift))*SUM(INDEX($FK$325:$ID$396,GA$169,1+SwaptionShift):INDEX($FK$325:$ID$396,GA$169,SwaptionMonthsToGo+SwaptionShift))))))</f>
        <v/>
      </c>
      <c r="GB231" s="479" t="str">
        <f ca="1">IF(OR(GB$169&lt;SwaptionFirstMonthPosition+1,$FJ231&lt;SwaptionFirstMonthPosition+1,GB$169&gt;SwaptionFirstMonthPosition+SwaptionNumOfMonths+1,$FJ231&gt;SwaptionFirstMonthPosition+SwaptionNumOfMonths+1),"",IF($FJ231=GB$169,1,IF($FJ231&lt;GB$169,INDEX($FK$170:$ID$241,GB$169,$FJ231),SUMPRODUCT(INDEX($FK$325:$ID$396,GB$169,1+SwaptionShift):INDEX($FK$325:$ID$396,GB$169,SwaptionMonthsToGo+SwaptionShift),INDEX($FK$245:$ID$316,$FJ231-GB$169,73-GB$169+SwaptionShift):INDEX($FK$245:$ID$316,$FJ231-GB$169,72-GB$169+SwaptionMonthsToGo+SwaptionShift))/SQRT(SUM(INDEX($FK386:$ID386,1+SwaptionShift):INDEX($FK386:$ID386,SwaptionMonthsToGo+SwaptionShift))*SUM(INDEX($FK$325:$ID$396,GB$169,1+SwaptionShift):INDEX($FK$325:$ID$396,GB$169,SwaptionMonthsToGo+SwaptionShift))))))</f>
        <v/>
      </c>
      <c r="GC231" s="479" t="str">
        <f ca="1">IF(OR(GC$169&lt;SwaptionFirstMonthPosition+1,$FJ231&lt;SwaptionFirstMonthPosition+1,GC$169&gt;SwaptionFirstMonthPosition+SwaptionNumOfMonths+1,$FJ231&gt;SwaptionFirstMonthPosition+SwaptionNumOfMonths+1),"",IF($FJ231=GC$169,1,IF($FJ231&lt;GC$169,INDEX($FK$170:$ID$241,GC$169,$FJ231),SUMPRODUCT(INDEX($FK$325:$ID$396,GC$169,1+SwaptionShift):INDEX($FK$325:$ID$396,GC$169,SwaptionMonthsToGo+SwaptionShift),INDEX($FK$245:$ID$316,$FJ231-GC$169,73-GC$169+SwaptionShift):INDEX($FK$245:$ID$316,$FJ231-GC$169,72-GC$169+SwaptionMonthsToGo+SwaptionShift))/SQRT(SUM(INDEX($FK386:$ID386,1+SwaptionShift):INDEX($FK386:$ID386,SwaptionMonthsToGo+SwaptionShift))*SUM(INDEX($FK$325:$ID$396,GC$169,1+SwaptionShift):INDEX($FK$325:$ID$396,GC$169,SwaptionMonthsToGo+SwaptionShift))))))</f>
        <v/>
      </c>
      <c r="GD231" s="479" t="str">
        <f ca="1">IF(OR(GD$169&lt;SwaptionFirstMonthPosition+1,$FJ231&lt;SwaptionFirstMonthPosition+1,GD$169&gt;SwaptionFirstMonthPosition+SwaptionNumOfMonths+1,$FJ231&gt;SwaptionFirstMonthPosition+SwaptionNumOfMonths+1),"",IF($FJ231=GD$169,1,IF($FJ231&lt;GD$169,INDEX($FK$170:$ID$241,GD$169,$FJ231),SUMPRODUCT(INDEX($FK$325:$ID$396,GD$169,1+SwaptionShift):INDEX($FK$325:$ID$396,GD$169,SwaptionMonthsToGo+SwaptionShift),INDEX($FK$245:$ID$316,$FJ231-GD$169,73-GD$169+SwaptionShift):INDEX($FK$245:$ID$316,$FJ231-GD$169,72-GD$169+SwaptionMonthsToGo+SwaptionShift))/SQRT(SUM(INDEX($FK386:$ID386,1+SwaptionShift):INDEX($FK386:$ID386,SwaptionMonthsToGo+SwaptionShift))*SUM(INDEX($FK$325:$ID$396,GD$169,1+SwaptionShift):INDEX($FK$325:$ID$396,GD$169,SwaptionMonthsToGo+SwaptionShift))))))</f>
        <v/>
      </c>
      <c r="GE231" s="479" t="str">
        <f ca="1">IF(OR(GE$169&lt;SwaptionFirstMonthPosition+1,$FJ231&lt;SwaptionFirstMonthPosition+1,GE$169&gt;SwaptionFirstMonthPosition+SwaptionNumOfMonths+1,$FJ231&gt;SwaptionFirstMonthPosition+SwaptionNumOfMonths+1),"",IF($FJ231=GE$169,1,IF($FJ231&lt;GE$169,INDEX($FK$170:$ID$241,GE$169,$FJ231),SUMPRODUCT(INDEX($FK$325:$ID$396,GE$169,1+SwaptionShift):INDEX($FK$325:$ID$396,GE$169,SwaptionMonthsToGo+SwaptionShift),INDEX($FK$245:$ID$316,$FJ231-GE$169,73-GE$169+SwaptionShift):INDEX($FK$245:$ID$316,$FJ231-GE$169,72-GE$169+SwaptionMonthsToGo+SwaptionShift))/SQRT(SUM(INDEX($FK386:$ID386,1+SwaptionShift):INDEX($FK386:$ID386,SwaptionMonthsToGo+SwaptionShift))*SUM(INDEX($FK$325:$ID$396,GE$169,1+SwaptionShift):INDEX($FK$325:$ID$396,GE$169,SwaptionMonthsToGo+SwaptionShift))))))</f>
        <v/>
      </c>
      <c r="GF231" s="479" t="str">
        <f ca="1">IF(OR(GF$169&lt;SwaptionFirstMonthPosition+1,$FJ231&lt;SwaptionFirstMonthPosition+1,GF$169&gt;SwaptionFirstMonthPosition+SwaptionNumOfMonths+1,$FJ231&gt;SwaptionFirstMonthPosition+SwaptionNumOfMonths+1),"",IF($FJ231=GF$169,1,IF($FJ231&lt;GF$169,INDEX($FK$170:$ID$241,GF$169,$FJ231),SUMPRODUCT(INDEX($FK$325:$ID$396,GF$169,1+SwaptionShift):INDEX($FK$325:$ID$396,GF$169,SwaptionMonthsToGo+SwaptionShift),INDEX($FK$245:$ID$316,$FJ231-GF$169,73-GF$169+SwaptionShift):INDEX($FK$245:$ID$316,$FJ231-GF$169,72-GF$169+SwaptionMonthsToGo+SwaptionShift))/SQRT(SUM(INDEX($FK386:$ID386,1+SwaptionShift):INDEX($FK386:$ID386,SwaptionMonthsToGo+SwaptionShift))*SUM(INDEX($FK$325:$ID$396,GF$169,1+SwaptionShift):INDEX($FK$325:$ID$396,GF$169,SwaptionMonthsToGo+SwaptionShift))))))</f>
        <v/>
      </c>
      <c r="GG231" s="479" t="str">
        <f ca="1">IF(OR(GG$169&lt;SwaptionFirstMonthPosition+1,$FJ231&lt;SwaptionFirstMonthPosition+1,GG$169&gt;SwaptionFirstMonthPosition+SwaptionNumOfMonths+1,$FJ231&gt;SwaptionFirstMonthPosition+SwaptionNumOfMonths+1),"",IF($FJ231=GG$169,1,IF($FJ231&lt;GG$169,INDEX($FK$170:$ID$241,GG$169,$FJ231),SUMPRODUCT(INDEX($FK$325:$ID$396,GG$169,1+SwaptionShift):INDEX($FK$325:$ID$396,GG$169,SwaptionMonthsToGo+SwaptionShift),INDEX($FK$245:$ID$316,$FJ231-GG$169,73-GG$169+SwaptionShift):INDEX($FK$245:$ID$316,$FJ231-GG$169,72-GG$169+SwaptionMonthsToGo+SwaptionShift))/SQRT(SUM(INDEX($FK386:$ID386,1+SwaptionShift):INDEX($FK386:$ID386,SwaptionMonthsToGo+SwaptionShift))*SUM(INDEX($FK$325:$ID$396,GG$169,1+SwaptionShift):INDEX($FK$325:$ID$396,GG$169,SwaptionMonthsToGo+SwaptionShift))))))</f>
        <v/>
      </c>
      <c r="GH231" s="479" t="str">
        <f ca="1">IF(OR(GH$169&lt;SwaptionFirstMonthPosition+1,$FJ231&lt;SwaptionFirstMonthPosition+1,GH$169&gt;SwaptionFirstMonthPosition+SwaptionNumOfMonths+1,$FJ231&gt;SwaptionFirstMonthPosition+SwaptionNumOfMonths+1),"",IF($FJ231=GH$169,1,IF($FJ231&lt;GH$169,INDEX($FK$170:$ID$241,GH$169,$FJ231),SUMPRODUCT(INDEX($FK$325:$ID$396,GH$169,1+SwaptionShift):INDEX($FK$325:$ID$396,GH$169,SwaptionMonthsToGo+SwaptionShift),INDEX($FK$245:$ID$316,$FJ231-GH$169,73-GH$169+SwaptionShift):INDEX($FK$245:$ID$316,$FJ231-GH$169,72-GH$169+SwaptionMonthsToGo+SwaptionShift))/SQRT(SUM(INDEX($FK386:$ID386,1+SwaptionShift):INDEX($FK386:$ID386,SwaptionMonthsToGo+SwaptionShift))*SUM(INDEX($FK$325:$ID$396,GH$169,1+SwaptionShift):INDEX($FK$325:$ID$396,GH$169,SwaptionMonthsToGo+SwaptionShift))))))</f>
        <v/>
      </c>
      <c r="GI231" s="479" t="str">
        <f ca="1">IF(OR(GI$169&lt;SwaptionFirstMonthPosition+1,$FJ231&lt;SwaptionFirstMonthPosition+1,GI$169&gt;SwaptionFirstMonthPosition+SwaptionNumOfMonths+1,$FJ231&gt;SwaptionFirstMonthPosition+SwaptionNumOfMonths+1),"",IF($FJ231=GI$169,1,IF($FJ231&lt;GI$169,INDEX($FK$170:$ID$241,GI$169,$FJ231),SUMPRODUCT(INDEX($FK$325:$ID$396,GI$169,1+SwaptionShift):INDEX($FK$325:$ID$396,GI$169,SwaptionMonthsToGo+SwaptionShift),INDEX($FK$245:$ID$316,$FJ231-GI$169,73-GI$169+SwaptionShift):INDEX($FK$245:$ID$316,$FJ231-GI$169,72-GI$169+SwaptionMonthsToGo+SwaptionShift))/SQRT(SUM(INDEX($FK386:$ID386,1+SwaptionShift):INDEX($FK386:$ID386,SwaptionMonthsToGo+SwaptionShift))*SUM(INDEX($FK$325:$ID$396,GI$169,1+SwaptionShift):INDEX($FK$325:$ID$396,GI$169,SwaptionMonthsToGo+SwaptionShift))))))</f>
        <v/>
      </c>
      <c r="GJ231" s="479" t="str">
        <f ca="1">IF(OR(GJ$169&lt;SwaptionFirstMonthPosition+1,$FJ231&lt;SwaptionFirstMonthPosition+1,GJ$169&gt;SwaptionFirstMonthPosition+SwaptionNumOfMonths+1,$FJ231&gt;SwaptionFirstMonthPosition+SwaptionNumOfMonths+1),"",IF($FJ231=GJ$169,1,IF($FJ231&lt;GJ$169,INDEX($FK$170:$ID$241,GJ$169,$FJ231),SUMPRODUCT(INDEX($FK$325:$ID$396,GJ$169,1+SwaptionShift):INDEX($FK$325:$ID$396,GJ$169,SwaptionMonthsToGo+SwaptionShift),INDEX($FK$245:$ID$316,$FJ231-GJ$169,73-GJ$169+SwaptionShift):INDEX($FK$245:$ID$316,$FJ231-GJ$169,72-GJ$169+SwaptionMonthsToGo+SwaptionShift))/SQRT(SUM(INDEX($FK386:$ID386,1+SwaptionShift):INDEX($FK386:$ID386,SwaptionMonthsToGo+SwaptionShift))*SUM(INDEX($FK$325:$ID$396,GJ$169,1+SwaptionShift):INDEX($FK$325:$ID$396,GJ$169,SwaptionMonthsToGo+SwaptionShift))))))</f>
        <v/>
      </c>
      <c r="GK231" s="479" t="str">
        <f ca="1">IF(OR(GK$169&lt;SwaptionFirstMonthPosition+1,$FJ231&lt;SwaptionFirstMonthPosition+1,GK$169&gt;SwaptionFirstMonthPosition+SwaptionNumOfMonths+1,$FJ231&gt;SwaptionFirstMonthPosition+SwaptionNumOfMonths+1),"",IF($FJ231=GK$169,1,IF($FJ231&lt;GK$169,INDEX($FK$170:$ID$241,GK$169,$FJ231),SUMPRODUCT(INDEX($FK$325:$ID$396,GK$169,1+SwaptionShift):INDEX($FK$325:$ID$396,GK$169,SwaptionMonthsToGo+SwaptionShift),INDEX($FK$245:$ID$316,$FJ231-GK$169,73-GK$169+SwaptionShift):INDEX($FK$245:$ID$316,$FJ231-GK$169,72-GK$169+SwaptionMonthsToGo+SwaptionShift))/SQRT(SUM(INDEX($FK386:$ID386,1+SwaptionShift):INDEX($FK386:$ID386,SwaptionMonthsToGo+SwaptionShift))*SUM(INDEX($FK$325:$ID$396,GK$169,1+SwaptionShift):INDEX($FK$325:$ID$396,GK$169,SwaptionMonthsToGo+SwaptionShift))))))</f>
        <v/>
      </c>
      <c r="GL231" s="479" t="str">
        <f ca="1">IF(OR(GL$169&lt;SwaptionFirstMonthPosition+1,$FJ231&lt;SwaptionFirstMonthPosition+1,GL$169&gt;SwaptionFirstMonthPosition+SwaptionNumOfMonths+1,$FJ231&gt;SwaptionFirstMonthPosition+SwaptionNumOfMonths+1),"",IF($FJ231=GL$169,1,IF($FJ231&lt;GL$169,INDEX($FK$170:$ID$241,GL$169,$FJ231),SUMPRODUCT(INDEX($FK$325:$ID$396,GL$169,1+SwaptionShift):INDEX($FK$325:$ID$396,GL$169,SwaptionMonthsToGo+SwaptionShift),INDEX($FK$245:$ID$316,$FJ231-GL$169,73-GL$169+SwaptionShift):INDEX($FK$245:$ID$316,$FJ231-GL$169,72-GL$169+SwaptionMonthsToGo+SwaptionShift))/SQRT(SUM(INDEX($FK386:$ID386,1+SwaptionShift):INDEX($FK386:$ID386,SwaptionMonthsToGo+SwaptionShift))*SUM(INDEX($FK$325:$ID$396,GL$169,1+SwaptionShift):INDEX($FK$325:$ID$396,GL$169,SwaptionMonthsToGo+SwaptionShift))))))</f>
        <v/>
      </c>
      <c r="GM231" s="479" t="str">
        <f ca="1">IF(OR(GM$169&lt;SwaptionFirstMonthPosition+1,$FJ231&lt;SwaptionFirstMonthPosition+1,GM$169&gt;SwaptionFirstMonthPosition+SwaptionNumOfMonths+1,$FJ231&gt;SwaptionFirstMonthPosition+SwaptionNumOfMonths+1),"",IF($FJ231=GM$169,1,IF($FJ231&lt;GM$169,INDEX($FK$170:$ID$241,GM$169,$FJ231),SUMPRODUCT(INDEX($FK$325:$ID$396,GM$169,1+SwaptionShift):INDEX($FK$325:$ID$396,GM$169,SwaptionMonthsToGo+SwaptionShift),INDEX($FK$245:$ID$316,$FJ231-GM$169,73-GM$169+SwaptionShift):INDEX($FK$245:$ID$316,$FJ231-GM$169,72-GM$169+SwaptionMonthsToGo+SwaptionShift))/SQRT(SUM(INDEX($FK386:$ID386,1+SwaptionShift):INDEX($FK386:$ID386,SwaptionMonthsToGo+SwaptionShift))*SUM(INDEX($FK$325:$ID$396,GM$169,1+SwaptionShift):INDEX($FK$325:$ID$396,GM$169,SwaptionMonthsToGo+SwaptionShift))))))</f>
        <v/>
      </c>
      <c r="GN231" s="479" t="str">
        <f ca="1">IF(OR(GN$169&lt;SwaptionFirstMonthPosition+1,$FJ231&lt;SwaptionFirstMonthPosition+1,GN$169&gt;SwaptionFirstMonthPosition+SwaptionNumOfMonths+1,$FJ231&gt;SwaptionFirstMonthPosition+SwaptionNumOfMonths+1),"",IF($FJ231=GN$169,1,IF($FJ231&lt;GN$169,INDEX($FK$170:$ID$241,GN$169,$FJ231),SUMPRODUCT(INDEX($FK$325:$ID$396,GN$169,1+SwaptionShift):INDEX($FK$325:$ID$396,GN$169,SwaptionMonthsToGo+SwaptionShift),INDEX($FK$245:$ID$316,$FJ231-GN$169,73-GN$169+SwaptionShift):INDEX($FK$245:$ID$316,$FJ231-GN$169,72-GN$169+SwaptionMonthsToGo+SwaptionShift))/SQRT(SUM(INDEX($FK386:$ID386,1+SwaptionShift):INDEX($FK386:$ID386,SwaptionMonthsToGo+SwaptionShift))*SUM(INDEX($FK$325:$ID$396,GN$169,1+SwaptionShift):INDEX($FK$325:$ID$396,GN$169,SwaptionMonthsToGo+SwaptionShift))))))</f>
        <v/>
      </c>
      <c r="GO231" s="479" t="str">
        <f ca="1">IF(OR(GO$169&lt;SwaptionFirstMonthPosition+1,$FJ231&lt;SwaptionFirstMonthPosition+1,GO$169&gt;SwaptionFirstMonthPosition+SwaptionNumOfMonths+1,$FJ231&gt;SwaptionFirstMonthPosition+SwaptionNumOfMonths+1),"",IF($FJ231=GO$169,1,IF($FJ231&lt;GO$169,INDEX($FK$170:$ID$241,GO$169,$FJ231),SUMPRODUCT(INDEX($FK$325:$ID$396,GO$169,1+SwaptionShift):INDEX($FK$325:$ID$396,GO$169,SwaptionMonthsToGo+SwaptionShift),INDEX($FK$245:$ID$316,$FJ231-GO$169,73-GO$169+SwaptionShift):INDEX($FK$245:$ID$316,$FJ231-GO$169,72-GO$169+SwaptionMonthsToGo+SwaptionShift))/SQRT(SUM(INDEX($FK386:$ID386,1+SwaptionShift):INDEX($FK386:$ID386,SwaptionMonthsToGo+SwaptionShift))*SUM(INDEX($FK$325:$ID$396,GO$169,1+SwaptionShift):INDEX($FK$325:$ID$396,GO$169,SwaptionMonthsToGo+SwaptionShift))))))</f>
        <v/>
      </c>
      <c r="GP231" s="479" t="str">
        <f ca="1">IF(OR(GP$169&lt;SwaptionFirstMonthPosition+1,$FJ231&lt;SwaptionFirstMonthPosition+1,GP$169&gt;SwaptionFirstMonthPosition+SwaptionNumOfMonths+1,$FJ231&gt;SwaptionFirstMonthPosition+SwaptionNumOfMonths+1),"",IF($FJ231=GP$169,1,IF($FJ231&lt;GP$169,INDEX($FK$170:$ID$241,GP$169,$FJ231),SUMPRODUCT(INDEX($FK$325:$ID$396,GP$169,1+SwaptionShift):INDEX($FK$325:$ID$396,GP$169,SwaptionMonthsToGo+SwaptionShift),INDEX($FK$245:$ID$316,$FJ231-GP$169,73-GP$169+SwaptionShift):INDEX($FK$245:$ID$316,$FJ231-GP$169,72-GP$169+SwaptionMonthsToGo+SwaptionShift))/SQRT(SUM(INDEX($FK386:$ID386,1+SwaptionShift):INDEX($FK386:$ID386,SwaptionMonthsToGo+SwaptionShift))*SUM(INDEX($FK$325:$ID$396,GP$169,1+SwaptionShift):INDEX($FK$325:$ID$396,GP$169,SwaptionMonthsToGo+SwaptionShift))))))</f>
        <v/>
      </c>
      <c r="GQ231" s="479" t="str">
        <f ca="1">IF(OR(GQ$169&lt;SwaptionFirstMonthPosition+1,$FJ231&lt;SwaptionFirstMonthPosition+1,GQ$169&gt;SwaptionFirstMonthPosition+SwaptionNumOfMonths+1,$FJ231&gt;SwaptionFirstMonthPosition+SwaptionNumOfMonths+1),"",IF($FJ231=GQ$169,1,IF($FJ231&lt;GQ$169,INDEX($FK$170:$ID$241,GQ$169,$FJ231),SUMPRODUCT(INDEX($FK$325:$ID$396,GQ$169,1+SwaptionShift):INDEX($FK$325:$ID$396,GQ$169,SwaptionMonthsToGo+SwaptionShift),INDEX($FK$245:$ID$316,$FJ231-GQ$169,73-GQ$169+SwaptionShift):INDEX($FK$245:$ID$316,$FJ231-GQ$169,72-GQ$169+SwaptionMonthsToGo+SwaptionShift))/SQRT(SUM(INDEX($FK386:$ID386,1+SwaptionShift):INDEX($FK386:$ID386,SwaptionMonthsToGo+SwaptionShift))*SUM(INDEX($FK$325:$ID$396,GQ$169,1+SwaptionShift):INDEX($FK$325:$ID$396,GQ$169,SwaptionMonthsToGo+SwaptionShift))))))</f>
        <v/>
      </c>
      <c r="GR231" s="479" t="str">
        <f ca="1">IF(OR(GR$169&lt;SwaptionFirstMonthPosition+1,$FJ231&lt;SwaptionFirstMonthPosition+1,GR$169&gt;SwaptionFirstMonthPosition+SwaptionNumOfMonths+1,$FJ231&gt;SwaptionFirstMonthPosition+SwaptionNumOfMonths+1),"",IF($FJ231=GR$169,1,IF($FJ231&lt;GR$169,INDEX($FK$170:$ID$241,GR$169,$FJ231),SUMPRODUCT(INDEX($FK$325:$ID$396,GR$169,1+SwaptionShift):INDEX($FK$325:$ID$396,GR$169,SwaptionMonthsToGo+SwaptionShift),INDEX($FK$245:$ID$316,$FJ231-GR$169,73-GR$169+SwaptionShift):INDEX($FK$245:$ID$316,$FJ231-GR$169,72-GR$169+SwaptionMonthsToGo+SwaptionShift))/SQRT(SUM(INDEX($FK386:$ID386,1+SwaptionShift):INDEX($FK386:$ID386,SwaptionMonthsToGo+SwaptionShift))*SUM(INDEX($FK$325:$ID$396,GR$169,1+SwaptionShift):INDEX($FK$325:$ID$396,GR$169,SwaptionMonthsToGo+SwaptionShift))))))</f>
        <v/>
      </c>
      <c r="GS231" s="479" t="str">
        <f ca="1">IF(OR(GS$169&lt;SwaptionFirstMonthPosition+1,$FJ231&lt;SwaptionFirstMonthPosition+1,GS$169&gt;SwaptionFirstMonthPosition+SwaptionNumOfMonths+1,$FJ231&gt;SwaptionFirstMonthPosition+SwaptionNumOfMonths+1),"",IF($FJ231=GS$169,1,IF($FJ231&lt;GS$169,INDEX($FK$170:$ID$241,GS$169,$FJ231),SUMPRODUCT(INDEX($FK$325:$ID$396,GS$169,1+SwaptionShift):INDEX($FK$325:$ID$396,GS$169,SwaptionMonthsToGo+SwaptionShift),INDEX($FK$245:$ID$316,$FJ231-GS$169,73-GS$169+SwaptionShift):INDEX($FK$245:$ID$316,$FJ231-GS$169,72-GS$169+SwaptionMonthsToGo+SwaptionShift))/SQRT(SUM(INDEX($FK386:$ID386,1+SwaptionShift):INDEX($FK386:$ID386,SwaptionMonthsToGo+SwaptionShift))*SUM(INDEX($FK$325:$ID$396,GS$169,1+SwaptionShift):INDEX($FK$325:$ID$396,GS$169,SwaptionMonthsToGo+SwaptionShift))))))</f>
        <v/>
      </c>
      <c r="GT231" s="479" t="str">
        <f ca="1">IF(OR(GT$169&lt;SwaptionFirstMonthPosition+1,$FJ231&lt;SwaptionFirstMonthPosition+1,GT$169&gt;SwaptionFirstMonthPosition+SwaptionNumOfMonths+1,$FJ231&gt;SwaptionFirstMonthPosition+SwaptionNumOfMonths+1),"",IF($FJ231=GT$169,1,IF($FJ231&lt;GT$169,INDEX($FK$170:$ID$241,GT$169,$FJ231),SUMPRODUCT(INDEX($FK$325:$ID$396,GT$169,1+SwaptionShift):INDEX($FK$325:$ID$396,GT$169,SwaptionMonthsToGo+SwaptionShift),INDEX($FK$245:$ID$316,$FJ231-GT$169,73-GT$169+SwaptionShift):INDEX($FK$245:$ID$316,$FJ231-GT$169,72-GT$169+SwaptionMonthsToGo+SwaptionShift))/SQRT(SUM(INDEX($FK386:$ID386,1+SwaptionShift):INDEX($FK386:$ID386,SwaptionMonthsToGo+SwaptionShift))*SUM(INDEX($FK$325:$ID$396,GT$169,1+SwaptionShift):INDEX($FK$325:$ID$396,GT$169,SwaptionMonthsToGo+SwaptionShift))))))</f>
        <v/>
      </c>
      <c r="GU231" s="479" t="str">
        <f ca="1">IF(OR(GU$169&lt;SwaptionFirstMonthPosition+1,$FJ231&lt;SwaptionFirstMonthPosition+1,GU$169&gt;SwaptionFirstMonthPosition+SwaptionNumOfMonths+1,$FJ231&gt;SwaptionFirstMonthPosition+SwaptionNumOfMonths+1),"",IF($FJ231=GU$169,1,IF($FJ231&lt;GU$169,INDEX($FK$170:$ID$241,GU$169,$FJ231),SUMPRODUCT(INDEX($FK$325:$ID$396,GU$169,1+SwaptionShift):INDEX($FK$325:$ID$396,GU$169,SwaptionMonthsToGo+SwaptionShift),INDEX($FK$245:$ID$316,$FJ231-GU$169,73-GU$169+SwaptionShift):INDEX($FK$245:$ID$316,$FJ231-GU$169,72-GU$169+SwaptionMonthsToGo+SwaptionShift))/SQRT(SUM(INDEX($FK386:$ID386,1+SwaptionShift):INDEX($FK386:$ID386,SwaptionMonthsToGo+SwaptionShift))*SUM(INDEX($FK$325:$ID$396,GU$169,1+SwaptionShift):INDEX($FK$325:$ID$396,GU$169,SwaptionMonthsToGo+SwaptionShift))))))</f>
        <v/>
      </c>
      <c r="GV231" s="479" t="str">
        <f ca="1">IF(OR(GV$169&lt;SwaptionFirstMonthPosition+1,$FJ231&lt;SwaptionFirstMonthPosition+1,GV$169&gt;SwaptionFirstMonthPosition+SwaptionNumOfMonths+1,$FJ231&gt;SwaptionFirstMonthPosition+SwaptionNumOfMonths+1),"",IF($FJ231=GV$169,1,IF($FJ231&lt;GV$169,INDEX($FK$170:$ID$241,GV$169,$FJ231),SUMPRODUCT(INDEX($FK$325:$ID$396,GV$169,1+SwaptionShift):INDEX($FK$325:$ID$396,GV$169,SwaptionMonthsToGo+SwaptionShift),INDEX($FK$245:$ID$316,$FJ231-GV$169,73-GV$169+SwaptionShift):INDEX($FK$245:$ID$316,$FJ231-GV$169,72-GV$169+SwaptionMonthsToGo+SwaptionShift))/SQRT(SUM(INDEX($FK386:$ID386,1+SwaptionShift):INDEX($FK386:$ID386,SwaptionMonthsToGo+SwaptionShift))*SUM(INDEX($FK$325:$ID$396,GV$169,1+SwaptionShift):INDEX($FK$325:$ID$396,GV$169,SwaptionMonthsToGo+SwaptionShift))))))</f>
        <v/>
      </c>
      <c r="GW231" s="479" t="str">
        <f ca="1">IF(OR(GW$169&lt;SwaptionFirstMonthPosition+1,$FJ231&lt;SwaptionFirstMonthPosition+1,GW$169&gt;SwaptionFirstMonthPosition+SwaptionNumOfMonths+1,$FJ231&gt;SwaptionFirstMonthPosition+SwaptionNumOfMonths+1),"",IF($FJ231=GW$169,1,IF($FJ231&lt;GW$169,INDEX($FK$170:$ID$241,GW$169,$FJ231),SUMPRODUCT(INDEX($FK$325:$ID$396,GW$169,1+SwaptionShift):INDEX($FK$325:$ID$396,GW$169,SwaptionMonthsToGo+SwaptionShift),INDEX($FK$245:$ID$316,$FJ231-GW$169,73-GW$169+SwaptionShift):INDEX($FK$245:$ID$316,$FJ231-GW$169,72-GW$169+SwaptionMonthsToGo+SwaptionShift))/SQRT(SUM(INDEX($FK386:$ID386,1+SwaptionShift):INDEX($FK386:$ID386,SwaptionMonthsToGo+SwaptionShift))*SUM(INDEX($FK$325:$ID$396,GW$169,1+SwaptionShift):INDEX($FK$325:$ID$396,GW$169,SwaptionMonthsToGo+SwaptionShift))))))</f>
        <v/>
      </c>
      <c r="GX231" s="479" t="str">
        <f ca="1">IF(OR(GX$169&lt;SwaptionFirstMonthPosition+1,$FJ231&lt;SwaptionFirstMonthPosition+1,GX$169&gt;SwaptionFirstMonthPosition+SwaptionNumOfMonths+1,$FJ231&gt;SwaptionFirstMonthPosition+SwaptionNumOfMonths+1),"",IF($FJ231=GX$169,1,IF($FJ231&lt;GX$169,INDEX($FK$170:$ID$241,GX$169,$FJ231),SUMPRODUCT(INDEX($FK$325:$ID$396,GX$169,1+SwaptionShift):INDEX($FK$325:$ID$396,GX$169,SwaptionMonthsToGo+SwaptionShift),INDEX($FK$245:$ID$316,$FJ231-GX$169,73-GX$169+SwaptionShift):INDEX($FK$245:$ID$316,$FJ231-GX$169,72-GX$169+SwaptionMonthsToGo+SwaptionShift))/SQRT(SUM(INDEX($FK386:$ID386,1+SwaptionShift):INDEX($FK386:$ID386,SwaptionMonthsToGo+SwaptionShift))*SUM(INDEX($FK$325:$ID$396,GX$169,1+SwaptionShift):INDEX($FK$325:$ID$396,GX$169,SwaptionMonthsToGo+SwaptionShift))))))</f>
        <v/>
      </c>
      <c r="GY231" s="479" t="str">
        <f ca="1">IF(OR(GY$169&lt;SwaptionFirstMonthPosition+1,$FJ231&lt;SwaptionFirstMonthPosition+1,GY$169&gt;SwaptionFirstMonthPosition+SwaptionNumOfMonths+1,$FJ231&gt;SwaptionFirstMonthPosition+SwaptionNumOfMonths+1),"",IF($FJ231=GY$169,1,IF($FJ231&lt;GY$169,INDEX($FK$170:$ID$241,GY$169,$FJ231),SUMPRODUCT(INDEX($FK$325:$ID$396,GY$169,1+SwaptionShift):INDEX($FK$325:$ID$396,GY$169,SwaptionMonthsToGo+SwaptionShift),INDEX($FK$245:$ID$316,$FJ231-GY$169,73-GY$169+SwaptionShift):INDEX($FK$245:$ID$316,$FJ231-GY$169,72-GY$169+SwaptionMonthsToGo+SwaptionShift))/SQRT(SUM(INDEX($FK386:$ID386,1+SwaptionShift):INDEX($FK386:$ID386,SwaptionMonthsToGo+SwaptionShift))*SUM(INDEX($FK$325:$ID$396,GY$169,1+SwaptionShift):INDEX($FK$325:$ID$396,GY$169,SwaptionMonthsToGo+SwaptionShift))))))</f>
        <v/>
      </c>
      <c r="GZ231" s="479" t="str">
        <f ca="1">IF(OR(GZ$169&lt;SwaptionFirstMonthPosition+1,$FJ231&lt;SwaptionFirstMonthPosition+1,GZ$169&gt;SwaptionFirstMonthPosition+SwaptionNumOfMonths+1,$FJ231&gt;SwaptionFirstMonthPosition+SwaptionNumOfMonths+1),"",IF($FJ231=GZ$169,1,IF($FJ231&lt;GZ$169,INDEX($FK$170:$ID$241,GZ$169,$FJ231),SUMPRODUCT(INDEX($FK$325:$ID$396,GZ$169,1+SwaptionShift):INDEX($FK$325:$ID$396,GZ$169,SwaptionMonthsToGo+SwaptionShift),INDEX($FK$245:$ID$316,$FJ231-GZ$169,73-GZ$169+SwaptionShift):INDEX($FK$245:$ID$316,$FJ231-GZ$169,72-GZ$169+SwaptionMonthsToGo+SwaptionShift))/SQRT(SUM(INDEX($FK386:$ID386,1+SwaptionShift):INDEX($FK386:$ID386,SwaptionMonthsToGo+SwaptionShift))*SUM(INDEX($FK$325:$ID$396,GZ$169,1+SwaptionShift):INDEX($FK$325:$ID$396,GZ$169,SwaptionMonthsToGo+SwaptionShift))))))</f>
        <v/>
      </c>
      <c r="HA231" s="479" t="str">
        <f ca="1">IF(OR(HA$169&lt;SwaptionFirstMonthPosition+1,$FJ231&lt;SwaptionFirstMonthPosition+1,HA$169&gt;SwaptionFirstMonthPosition+SwaptionNumOfMonths+1,$FJ231&gt;SwaptionFirstMonthPosition+SwaptionNumOfMonths+1),"",IF($FJ231=HA$169,1,IF($FJ231&lt;HA$169,INDEX($FK$170:$ID$241,HA$169,$FJ231),SUMPRODUCT(INDEX($FK$325:$ID$396,HA$169,1+SwaptionShift):INDEX($FK$325:$ID$396,HA$169,SwaptionMonthsToGo+SwaptionShift),INDEX($FK$245:$ID$316,$FJ231-HA$169,73-HA$169+SwaptionShift):INDEX($FK$245:$ID$316,$FJ231-HA$169,72-HA$169+SwaptionMonthsToGo+SwaptionShift))/SQRT(SUM(INDEX($FK386:$ID386,1+SwaptionShift):INDEX($FK386:$ID386,SwaptionMonthsToGo+SwaptionShift))*SUM(INDEX($FK$325:$ID$396,HA$169,1+SwaptionShift):INDEX($FK$325:$ID$396,HA$169,SwaptionMonthsToGo+SwaptionShift))))))</f>
        <v/>
      </c>
      <c r="HB231" s="479" t="str">
        <f ca="1">IF(OR(HB$169&lt;SwaptionFirstMonthPosition+1,$FJ231&lt;SwaptionFirstMonthPosition+1,HB$169&gt;SwaptionFirstMonthPosition+SwaptionNumOfMonths+1,$FJ231&gt;SwaptionFirstMonthPosition+SwaptionNumOfMonths+1),"",IF($FJ231=HB$169,1,IF($FJ231&lt;HB$169,INDEX($FK$170:$ID$241,HB$169,$FJ231),SUMPRODUCT(INDEX($FK$325:$ID$396,HB$169,1+SwaptionShift):INDEX($FK$325:$ID$396,HB$169,SwaptionMonthsToGo+SwaptionShift),INDEX($FK$245:$ID$316,$FJ231-HB$169,73-HB$169+SwaptionShift):INDEX($FK$245:$ID$316,$FJ231-HB$169,72-HB$169+SwaptionMonthsToGo+SwaptionShift))/SQRT(SUM(INDEX($FK386:$ID386,1+SwaptionShift):INDEX($FK386:$ID386,SwaptionMonthsToGo+SwaptionShift))*SUM(INDEX($FK$325:$ID$396,HB$169,1+SwaptionShift):INDEX($FK$325:$ID$396,HB$169,SwaptionMonthsToGo+SwaptionShift))))))</f>
        <v/>
      </c>
      <c r="HC231" s="479" t="str">
        <f ca="1">IF(OR(HC$169&lt;SwaptionFirstMonthPosition+1,$FJ231&lt;SwaptionFirstMonthPosition+1,HC$169&gt;SwaptionFirstMonthPosition+SwaptionNumOfMonths+1,$FJ231&gt;SwaptionFirstMonthPosition+SwaptionNumOfMonths+1),"",IF($FJ231=HC$169,1,IF($FJ231&lt;HC$169,INDEX($FK$170:$ID$241,HC$169,$FJ231),SUMPRODUCT(INDEX($FK$325:$ID$396,HC$169,1+SwaptionShift):INDEX($FK$325:$ID$396,HC$169,SwaptionMonthsToGo+SwaptionShift),INDEX($FK$245:$ID$316,$FJ231-HC$169,73-HC$169+SwaptionShift):INDEX($FK$245:$ID$316,$FJ231-HC$169,72-HC$169+SwaptionMonthsToGo+SwaptionShift))/SQRT(SUM(INDEX($FK386:$ID386,1+SwaptionShift):INDEX($FK386:$ID386,SwaptionMonthsToGo+SwaptionShift))*SUM(INDEX($FK$325:$ID$396,HC$169,1+SwaptionShift):INDEX($FK$325:$ID$396,HC$169,SwaptionMonthsToGo+SwaptionShift))))))</f>
        <v/>
      </c>
      <c r="HD231" s="479" t="str">
        <f ca="1">IF(OR(HD$169&lt;SwaptionFirstMonthPosition+1,$FJ231&lt;SwaptionFirstMonthPosition+1,HD$169&gt;SwaptionFirstMonthPosition+SwaptionNumOfMonths+1,$FJ231&gt;SwaptionFirstMonthPosition+SwaptionNumOfMonths+1),"",IF($FJ231=HD$169,1,IF($FJ231&lt;HD$169,INDEX($FK$170:$ID$241,HD$169,$FJ231),SUMPRODUCT(INDEX($FK$325:$ID$396,HD$169,1+SwaptionShift):INDEX($FK$325:$ID$396,HD$169,SwaptionMonthsToGo+SwaptionShift),INDEX($FK$245:$ID$316,$FJ231-HD$169,73-HD$169+SwaptionShift):INDEX($FK$245:$ID$316,$FJ231-HD$169,72-HD$169+SwaptionMonthsToGo+SwaptionShift))/SQRT(SUM(INDEX($FK386:$ID386,1+SwaptionShift):INDEX($FK386:$ID386,SwaptionMonthsToGo+SwaptionShift))*SUM(INDEX($FK$325:$ID$396,HD$169,1+SwaptionShift):INDEX($FK$325:$ID$396,HD$169,SwaptionMonthsToGo+SwaptionShift))))))</f>
        <v/>
      </c>
      <c r="HE231" s="479" t="str">
        <f ca="1">IF(OR(HE$169&lt;SwaptionFirstMonthPosition+1,$FJ231&lt;SwaptionFirstMonthPosition+1,HE$169&gt;SwaptionFirstMonthPosition+SwaptionNumOfMonths+1,$FJ231&gt;SwaptionFirstMonthPosition+SwaptionNumOfMonths+1),"",IF($FJ231=HE$169,1,IF($FJ231&lt;HE$169,INDEX($FK$170:$ID$241,HE$169,$FJ231),SUMPRODUCT(INDEX($FK$325:$ID$396,HE$169,1+SwaptionShift):INDEX($FK$325:$ID$396,HE$169,SwaptionMonthsToGo+SwaptionShift),INDEX($FK$245:$ID$316,$FJ231-HE$169,73-HE$169+SwaptionShift):INDEX($FK$245:$ID$316,$FJ231-HE$169,72-HE$169+SwaptionMonthsToGo+SwaptionShift))/SQRT(SUM(INDEX($FK386:$ID386,1+SwaptionShift):INDEX($FK386:$ID386,SwaptionMonthsToGo+SwaptionShift))*SUM(INDEX($FK$325:$ID$396,HE$169,1+SwaptionShift):INDEX($FK$325:$ID$396,HE$169,SwaptionMonthsToGo+SwaptionShift))))))</f>
        <v/>
      </c>
      <c r="HF231" s="479" t="str">
        <f ca="1">IF(OR(HF$169&lt;SwaptionFirstMonthPosition+1,$FJ231&lt;SwaptionFirstMonthPosition+1,HF$169&gt;SwaptionFirstMonthPosition+SwaptionNumOfMonths+1,$FJ231&gt;SwaptionFirstMonthPosition+SwaptionNumOfMonths+1),"",IF($FJ231=HF$169,1,IF($FJ231&lt;HF$169,INDEX($FK$170:$ID$241,HF$169,$FJ231),SUMPRODUCT(INDEX($FK$325:$ID$396,HF$169,1+SwaptionShift):INDEX($FK$325:$ID$396,HF$169,SwaptionMonthsToGo+SwaptionShift),INDEX($FK$245:$ID$316,$FJ231-HF$169,73-HF$169+SwaptionShift):INDEX($FK$245:$ID$316,$FJ231-HF$169,72-HF$169+SwaptionMonthsToGo+SwaptionShift))/SQRT(SUM(INDEX($FK386:$ID386,1+SwaptionShift):INDEX($FK386:$ID386,SwaptionMonthsToGo+SwaptionShift))*SUM(INDEX($FK$325:$ID$396,HF$169,1+SwaptionShift):INDEX($FK$325:$ID$396,HF$169,SwaptionMonthsToGo+SwaptionShift))))))</f>
        <v/>
      </c>
      <c r="HG231" s="479" t="str">
        <f ca="1">IF(OR(HG$169&lt;SwaptionFirstMonthPosition+1,$FJ231&lt;SwaptionFirstMonthPosition+1,HG$169&gt;SwaptionFirstMonthPosition+SwaptionNumOfMonths+1,$FJ231&gt;SwaptionFirstMonthPosition+SwaptionNumOfMonths+1),"",IF($FJ231=HG$169,1,IF($FJ231&lt;HG$169,INDEX($FK$170:$ID$241,HG$169,$FJ231),SUMPRODUCT(INDEX($FK$325:$ID$396,HG$169,1+SwaptionShift):INDEX($FK$325:$ID$396,HG$169,SwaptionMonthsToGo+SwaptionShift),INDEX($FK$245:$ID$316,$FJ231-HG$169,73-HG$169+SwaptionShift):INDEX($FK$245:$ID$316,$FJ231-HG$169,72-HG$169+SwaptionMonthsToGo+SwaptionShift))/SQRT(SUM(INDEX($FK386:$ID386,1+SwaptionShift):INDEX($FK386:$ID386,SwaptionMonthsToGo+SwaptionShift))*SUM(INDEX($FK$325:$ID$396,HG$169,1+SwaptionShift):INDEX($FK$325:$ID$396,HG$169,SwaptionMonthsToGo+SwaptionShift))))))</f>
        <v/>
      </c>
      <c r="HH231" s="479" t="str">
        <f ca="1">IF(OR(HH$169&lt;SwaptionFirstMonthPosition+1,$FJ231&lt;SwaptionFirstMonthPosition+1,HH$169&gt;SwaptionFirstMonthPosition+SwaptionNumOfMonths+1,$FJ231&gt;SwaptionFirstMonthPosition+SwaptionNumOfMonths+1),"",IF($FJ231=HH$169,1,IF($FJ231&lt;HH$169,INDEX($FK$170:$ID$241,HH$169,$FJ231),SUMPRODUCT(INDEX($FK$325:$ID$396,HH$169,1+SwaptionShift):INDEX($FK$325:$ID$396,HH$169,SwaptionMonthsToGo+SwaptionShift),INDEX($FK$245:$ID$316,$FJ231-HH$169,73-HH$169+SwaptionShift):INDEX($FK$245:$ID$316,$FJ231-HH$169,72-HH$169+SwaptionMonthsToGo+SwaptionShift))/SQRT(SUM(INDEX($FK386:$ID386,1+SwaptionShift):INDEX($FK386:$ID386,SwaptionMonthsToGo+SwaptionShift))*SUM(INDEX($FK$325:$ID$396,HH$169,1+SwaptionShift):INDEX($FK$325:$ID$396,HH$169,SwaptionMonthsToGo+SwaptionShift))))))</f>
        <v/>
      </c>
      <c r="HI231" s="479" t="str">
        <f ca="1">IF(OR(HI$169&lt;SwaptionFirstMonthPosition+1,$FJ231&lt;SwaptionFirstMonthPosition+1,HI$169&gt;SwaptionFirstMonthPosition+SwaptionNumOfMonths+1,$FJ231&gt;SwaptionFirstMonthPosition+SwaptionNumOfMonths+1),"",IF($FJ231=HI$169,1,IF($FJ231&lt;HI$169,INDEX($FK$170:$ID$241,HI$169,$FJ231),SUMPRODUCT(INDEX($FK$325:$ID$396,HI$169,1+SwaptionShift):INDEX($FK$325:$ID$396,HI$169,SwaptionMonthsToGo+SwaptionShift),INDEX($FK$245:$ID$316,$FJ231-HI$169,73-HI$169+SwaptionShift):INDEX($FK$245:$ID$316,$FJ231-HI$169,72-HI$169+SwaptionMonthsToGo+SwaptionShift))/SQRT(SUM(INDEX($FK386:$ID386,1+SwaptionShift):INDEX($FK386:$ID386,SwaptionMonthsToGo+SwaptionShift))*SUM(INDEX($FK$325:$ID$396,HI$169,1+SwaptionShift):INDEX($FK$325:$ID$396,HI$169,SwaptionMonthsToGo+SwaptionShift))))))</f>
        <v/>
      </c>
      <c r="HJ231" s="479" t="str">
        <f ca="1">IF(OR(HJ$169&lt;SwaptionFirstMonthPosition+1,$FJ231&lt;SwaptionFirstMonthPosition+1,HJ$169&gt;SwaptionFirstMonthPosition+SwaptionNumOfMonths+1,$FJ231&gt;SwaptionFirstMonthPosition+SwaptionNumOfMonths+1),"",IF($FJ231=HJ$169,1,IF($FJ231&lt;HJ$169,INDEX($FK$170:$ID$241,HJ$169,$FJ231),SUMPRODUCT(INDEX($FK$325:$ID$396,HJ$169,1+SwaptionShift):INDEX($FK$325:$ID$396,HJ$169,SwaptionMonthsToGo+SwaptionShift),INDEX($FK$245:$ID$316,$FJ231-HJ$169,73-HJ$169+SwaptionShift):INDEX($FK$245:$ID$316,$FJ231-HJ$169,72-HJ$169+SwaptionMonthsToGo+SwaptionShift))/SQRT(SUM(INDEX($FK386:$ID386,1+SwaptionShift):INDEX($FK386:$ID386,SwaptionMonthsToGo+SwaptionShift))*SUM(INDEX($FK$325:$ID$396,HJ$169,1+SwaptionShift):INDEX($FK$325:$ID$396,HJ$169,SwaptionMonthsToGo+SwaptionShift))))))</f>
        <v/>
      </c>
      <c r="HK231" s="479" t="str">
        <f ca="1">IF(OR(HK$169&lt;SwaptionFirstMonthPosition+1,$FJ231&lt;SwaptionFirstMonthPosition+1,HK$169&gt;SwaptionFirstMonthPosition+SwaptionNumOfMonths+1,$FJ231&gt;SwaptionFirstMonthPosition+SwaptionNumOfMonths+1),"",IF($FJ231=HK$169,1,IF($FJ231&lt;HK$169,INDEX($FK$170:$ID$241,HK$169,$FJ231),SUMPRODUCT(INDEX($FK$325:$ID$396,HK$169,1+SwaptionShift):INDEX($FK$325:$ID$396,HK$169,SwaptionMonthsToGo+SwaptionShift),INDEX($FK$245:$ID$316,$FJ231-HK$169,73-HK$169+SwaptionShift):INDEX($FK$245:$ID$316,$FJ231-HK$169,72-HK$169+SwaptionMonthsToGo+SwaptionShift))/SQRT(SUM(INDEX($FK386:$ID386,1+SwaptionShift):INDEX($FK386:$ID386,SwaptionMonthsToGo+SwaptionShift))*SUM(INDEX($FK$325:$ID$396,HK$169,1+SwaptionShift):INDEX($FK$325:$ID$396,HK$169,SwaptionMonthsToGo+SwaptionShift))))))</f>
        <v/>
      </c>
      <c r="HL231" s="479" t="str">
        <f ca="1">IF(OR(HL$169&lt;SwaptionFirstMonthPosition+1,$FJ231&lt;SwaptionFirstMonthPosition+1,HL$169&gt;SwaptionFirstMonthPosition+SwaptionNumOfMonths+1,$FJ231&gt;SwaptionFirstMonthPosition+SwaptionNumOfMonths+1),"",IF($FJ231=HL$169,1,IF($FJ231&lt;HL$169,INDEX($FK$170:$ID$241,HL$169,$FJ231),SUMPRODUCT(INDEX($FK$325:$ID$396,HL$169,1+SwaptionShift):INDEX($FK$325:$ID$396,HL$169,SwaptionMonthsToGo+SwaptionShift),INDEX($FK$245:$ID$316,$FJ231-HL$169,73-HL$169+SwaptionShift):INDEX($FK$245:$ID$316,$FJ231-HL$169,72-HL$169+SwaptionMonthsToGo+SwaptionShift))/SQRT(SUM(INDEX($FK386:$ID386,1+SwaptionShift):INDEX($FK386:$ID386,SwaptionMonthsToGo+SwaptionShift))*SUM(INDEX($FK$325:$ID$396,HL$169,1+SwaptionShift):INDEX($FK$325:$ID$396,HL$169,SwaptionMonthsToGo+SwaptionShift))))))</f>
        <v/>
      </c>
      <c r="HM231" s="479" t="str">
        <f ca="1">IF(OR(HM$169&lt;SwaptionFirstMonthPosition+1,$FJ231&lt;SwaptionFirstMonthPosition+1,HM$169&gt;SwaptionFirstMonthPosition+SwaptionNumOfMonths+1,$FJ231&gt;SwaptionFirstMonthPosition+SwaptionNumOfMonths+1),"",IF($FJ231=HM$169,1,IF($FJ231&lt;HM$169,INDEX($FK$170:$ID$241,HM$169,$FJ231),SUMPRODUCT(INDEX($FK$325:$ID$396,HM$169,1+SwaptionShift):INDEX($FK$325:$ID$396,HM$169,SwaptionMonthsToGo+SwaptionShift),INDEX($FK$245:$ID$316,$FJ231-HM$169,73-HM$169+SwaptionShift):INDEX($FK$245:$ID$316,$FJ231-HM$169,72-HM$169+SwaptionMonthsToGo+SwaptionShift))/SQRT(SUM(INDEX($FK386:$ID386,1+SwaptionShift):INDEX($FK386:$ID386,SwaptionMonthsToGo+SwaptionShift))*SUM(INDEX($FK$325:$ID$396,HM$169,1+SwaptionShift):INDEX($FK$325:$ID$396,HM$169,SwaptionMonthsToGo+SwaptionShift))))))</f>
        <v/>
      </c>
      <c r="HN231" s="479" t="str">
        <f ca="1">IF(OR(HN$169&lt;SwaptionFirstMonthPosition+1,$FJ231&lt;SwaptionFirstMonthPosition+1,HN$169&gt;SwaptionFirstMonthPosition+SwaptionNumOfMonths+1,$FJ231&gt;SwaptionFirstMonthPosition+SwaptionNumOfMonths+1),"",IF($FJ231=HN$169,1,IF($FJ231&lt;HN$169,INDEX($FK$170:$ID$241,HN$169,$FJ231),SUMPRODUCT(INDEX($FK$325:$ID$396,HN$169,1+SwaptionShift):INDEX($FK$325:$ID$396,HN$169,SwaptionMonthsToGo+SwaptionShift),INDEX($FK$245:$ID$316,$FJ231-HN$169,73-HN$169+SwaptionShift):INDEX($FK$245:$ID$316,$FJ231-HN$169,72-HN$169+SwaptionMonthsToGo+SwaptionShift))/SQRT(SUM(INDEX($FK386:$ID386,1+SwaptionShift):INDEX($FK386:$ID386,SwaptionMonthsToGo+SwaptionShift))*SUM(INDEX($FK$325:$ID$396,HN$169,1+SwaptionShift):INDEX($FK$325:$ID$396,HN$169,SwaptionMonthsToGo+SwaptionShift))))))</f>
        <v/>
      </c>
      <c r="HO231" s="479" t="str">
        <f ca="1">IF(OR(HO$169&lt;SwaptionFirstMonthPosition+1,$FJ231&lt;SwaptionFirstMonthPosition+1,HO$169&gt;SwaptionFirstMonthPosition+SwaptionNumOfMonths+1,$FJ231&gt;SwaptionFirstMonthPosition+SwaptionNumOfMonths+1),"",IF($FJ231=HO$169,1,IF($FJ231&lt;HO$169,INDEX($FK$170:$ID$241,HO$169,$FJ231),SUMPRODUCT(INDEX($FK$325:$ID$396,HO$169,1+SwaptionShift):INDEX($FK$325:$ID$396,HO$169,SwaptionMonthsToGo+SwaptionShift),INDEX($FK$245:$ID$316,$FJ231-HO$169,73-HO$169+SwaptionShift):INDEX($FK$245:$ID$316,$FJ231-HO$169,72-HO$169+SwaptionMonthsToGo+SwaptionShift))/SQRT(SUM(INDEX($FK386:$ID386,1+SwaptionShift):INDEX($FK386:$ID386,SwaptionMonthsToGo+SwaptionShift))*SUM(INDEX($FK$325:$ID$396,HO$169,1+SwaptionShift):INDEX($FK$325:$ID$396,HO$169,SwaptionMonthsToGo+SwaptionShift))))))</f>
        <v/>
      </c>
      <c r="HP231" s="479" t="str">
        <f ca="1">IF(OR(HP$169&lt;SwaptionFirstMonthPosition+1,$FJ231&lt;SwaptionFirstMonthPosition+1,HP$169&gt;SwaptionFirstMonthPosition+SwaptionNumOfMonths+1,$FJ231&gt;SwaptionFirstMonthPosition+SwaptionNumOfMonths+1),"",IF($FJ231=HP$169,1,IF($FJ231&lt;HP$169,INDEX($FK$170:$ID$241,HP$169,$FJ231),SUMPRODUCT(INDEX($FK$325:$ID$396,HP$169,1+SwaptionShift):INDEX($FK$325:$ID$396,HP$169,SwaptionMonthsToGo+SwaptionShift),INDEX($FK$245:$ID$316,$FJ231-HP$169,73-HP$169+SwaptionShift):INDEX($FK$245:$ID$316,$FJ231-HP$169,72-HP$169+SwaptionMonthsToGo+SwaptionShift))/SQRT(SUM(INDEX($FK386:$ID386,1+SwaptionShift):INDEX($FK386:$ID386,SwaptionMonthsToGo+SwaptionShift))*SUM(INDEX($FK$325:$ID$396,HP$169,1+SwaptionShift):INDEX($FK$325:$ID$396,HP$169,SwaptionMonthsToGo+SwaptionShift))))))</f>
        <v/>
      </c>
      <c r="HQ231" s="479" t="str">
        <f ca="1">IF(OR(HQ$169&lt;SwaptionFirstMonthPosition+1,$FJ231&lt;SwaptionFirstMonthPosition+1,HQ$169&gt;SwaptionFirstMonthPosition+SwaptionNumOfMonths+1,$FJ231&gt;SwaptionFirstMonthPosition+SwaptionNumOfMonths+1),"",IF($FJ231=HQ$169,1,IF($FJ231&lt;HQ$169,INDEX($FK$170:$ID$241,HQ$169,$FJ231),SUMPRODUCT(INDEX($FK$325:$ID$396,HQ$169,1+SwaptionShift):INDEX($FK$325:$ID$396,HQ$169,SwaptionMonthsToGo+SwaptionShift),INDEX($FK$245:$ID$316,$FJ231-HQ$169,73-HQ$169+SwaptionShift):INDEX($FK$245:$ID$316,$FJ231-HQ$169,72-HQ$169+SwaptionMonthsToGo+SwaptionShift))/SQRT(SUM(INDEX($FK386:$ID386,1+SwaptionShift):INDEX($FK386:$ID386,SwaptionMonthsToGo+SwaptionShift))*SUM(INDEX($FK$325:$ID$396,HQ$169,1+SwaptionShift):INDEX($FK$325:$ID$396,HQ$169,SwaptionMonthsToGo+SwaptionShift))))))</f>
        <v/>
      </c>
      <c r="HR231" s="479" t="str">
        <f ca="1">IF(OR(HR$169&lt;SwaptionFirstMonthPosition+1,$FJ231&lt;SwaptionFirstMonthPosition+1,HR$169&gt;SwaptionFirstMonthPosition+SwaptionNumOfMonths+1,$FJ231&gt;SwaptionFirstMonthPosition+SwaptionNumOfMonths+1),"",IF($FJ231=HR$169,1,IF($FJ231&lt;HR$169,INDEX($FK$170:$ID$241,HR$169,$FJ231),SUMPRODUCT(INDEX($FK$325:$ID$396,HR$169,1+SwaptionShift):INDEX($FK$325:$ID$396,HR$169,SwaptionMonthsToGo+SwaptionShift),INDEX($FK$245:$ID$316,$FJ231-HR$169,73-HR$169+SwaptionShift):INDEX($FK$245:$ID$316,$FJ231-HR$169,72-HR$169+SwaptionMonthsToGo+SwaptionShift))/SQRT(SUM(INDEX($FK386:$ID386,1+SwaptionShift):INDEX($FK386:$ID386,SwaptionMonthsToGo+SwaptionShift))*SUM(INDEX($FK$325:$ID$396,HR$169,1+SwaptionShift):INDEX($FK$325:$ID$396,HR$169,SwaptionMonthsToGo+SwaptionShift))))))</f>
        <v/>
      </c>
      <c r="HS231" s="479" t="str">
        <f ca="1">IF(OR(HS$169&lt;SwaptionFirstMonthPosition+1,$FJ231&lt;SwaptionFirstMonthPosition+1,HS$169&gt;SwaptionFirstMonthPosition+SwaptionNumOfMonths+1,$FJ231&gt;SwaptionFirstMonthPosition+SwaptionNumOfMonths+1),"",IF($FJ231=HS$169,1,IF($FJ231&lt;HS$169,INDEX($FK$170:$ID$241,HS$169,$FJ231),SUMPRODUCT(INDEX($FK$325:$ID$396,HS$169,1+SwaptionShift):INDEX($FK$325:$ID$396,HS$169,SwaptionMonthsToGo+SwaptionShift),INDEX($FK$245:$ID$316,$FJ231-HS$169,73-HS$169+SwaptionShift):INDEX($FK$245:$ID$316,$FJ231-HS$169,72-HS$169+SwaptionMonthsToGo+SwaptionShift))/SQRT(SUM(INDEX($FK386:$ID386,1+SwaptionShift):INDEX($FK386:$ID386,SwaptionMonthsToGo+SwaptionShift))*SUM(INDEX($FK$325:$ID$396,HS$169,1+SwaptionShift):INDEX($FK$325:$ID$396,HS$169,SwaptionMonthsToGo+SwaptionShift))))))</f>
        <v/>
      </c>
      <c r="HT231" s="479" t="str">
        <f ca="1">IF(OR(HT$169&lt;SwaptionFirstMonthPosition+1,$FJ231&lt;SwaptionFirstMonthPosition+1,HT$169&gt;SwaptionFirstMonthPosition+SwaptionNumOfMonths+1,$FJ231&gt;SwaptionFirstMonthPosition+SwaptionNumOfMonths+1),"",IF($FJ231=HT$169,1,IF($FJ231&lt;HT$169,INDEX($FK$170:$ID$241,HT$169,$FJ231),SUMPRODUCT(INDEX($FK$325:$ID$396,HT$169,1+SwaptionShift):INDEX($FK$325:$ID$396,HT$169,SwaptionMonthsToGo+SwaptionShift),INDEX($FK$245:$ID$316,$FJ231-HT$169,73-HT$169+SwaptionShift):INDEX($FK$245:$ID$316,$FJ231-HT$169,72-HT$169+SwaptionMonthsToGo+SwaptionShift))/SQRT(SUM(INDEX($FK386:$ID386,1+SwaptionShift):INDEX($FK386:$ID386,SwaptionMonthsToGo+SwaptionShift))*SUM(INDEX($FK$325:$ID$396,HT$169,1+SwaptionShift):INDEX($FK$325:$ID$396,HT$169,SwaptionMonthsToGo+SwaptionShift))))))</f>
        <v/>
      </c>
      <c r="HU231" s="479" t="str">
        <f ca="1">IF(OR(HU$169&lt;SwaptionFirstMonthPosition+1,$FJ231&lt;SwaptionFirstMonthPosition+1,HU$169&gt;SwaptionFirstMonthPosition+SwaptionNumOfMonths+1,$FJ231&gt;SwaptionFirstMonthPosition+SwaptionNumOfMonths+1),"",IF($FJ231=HU$169,1,IF($FJ231&lt;HU$169,INDEX($FK$170:$ID$241,HU$169,$FJ231),SUMPRODUCT(INDEX($FK$325:$ID$396,HU$169,1+SwaptionShift):INDEX($FK$325:$ID$396,HU$169,SwaptionMonthsToGo+SwaptionShift),INDEX($FK$245:$ID$316,$FJ231-HU$169,73-HU$169+SwaptionShift):INDEX($FK$245:$ID$316,$FJ231-HU$169,72-HU$169+SwaptionMonthsToGo+SwaptionShift))/SQRT(SUM(INDEX($FK386:$ID386,1+SwaptionShift):INDEX($FK386:$ID386,SwaptionMonthsToGo+SwaptionShift))*SUM(INDEX($FK$325:$ID$396,HU$169,1+SwaptionShift):INDEX($FK$325:$ID$396,HU$169,SwaptionMonthsToGo+SwaptionShift))))))</f>
        <v/>
      </c>
      <c r="HV231" s="479" t="str">
        <f ca="1">IF(OR(HV$169&lt;SwaptionFirstMonthPosition+1,$FJ231&lt;SwaptionFirstMonthPosition+1,HV$169&gt;SwaptionFirstMonthPosition+SwaptionNumOfMonths+1,$FJ231&gt;SwaptionFirstMonthPosition+SwaptionNumOfMonths+1),"",IF($FJ231=HV$169,1,IF($FJ231&lt;HV$169,INDEX($FK$170:$ID$241,HV$169,$FJ231),SUMPRODUCT(INDEX($FK$325:$ID$396,HV$169,1+SwaptionShift):INDEX($FK$325:$ID$396,HV$169,SwaptionMonthsToGo+SwaptionShift),INDEX($FK$245:$ID$316,$FJ231-HV$169,73-HV$169+SwaptionShift):INDEX($FK$245:$ID$316,$FJ231-HV$169,72-HV$169+SwaptionMonthsToGo+SwaptionShift))/SQRT(SUM(INDEX($FK386:$ID386,1+SwaptionShift):INDEX($FK386:$ID386,SwaptionMonthsToGo+SwaptionShift))*SUM(INDEX($FK$325:$ID$396,HV$169,1+SwaptionShift):INDEX($FK$325:$ID$396,HV$169,SwaptionMonthsToGo+SwaptionShift))))))</f>
        <v/>
      </c>
      <c r="HW231" s="479" t="str">
        <f ca="1">IF(OR(HW$169&lt;SwaptionFirstMonthPosition+1,$FJ231&lt;SwaptionFirstMonthPosition+1,HW$169&gt;SwaptionFirstMonthPosition+SwaptionNumOfMonths+1,$FJ231&gt;SwaptionFirstMonthPosition+SwaptionNumOfMonths+1),"",IF($FJ231=HW$169,1,IF($FJ231&lt;HW$169,INDEX($FK$170:$ID$241,HW$169,$FJ231),SUMPRODUCT(INDEX($FK$325:$ID$396,HW$169,1+SwaptionShift):INDEX($FK$325:$ID$396,HW$169,SwaptionMonthsToGo+SwaptionShift),INDEX($FK$245:$ID$316,$FJ231-HW$169,73-HW$169+SwaptionShift):INDEX($FK$245:$ID$316,$FJ231-HW$169,72-HW$169+SwaptionMonthsToGo+SwaptionShift))/SQRT(SUM(INDEX($FK386:$ID386,1+SwaptionShift):INDEX($FK386:$ID386,SwaptionMonthsToGo+SwaptionShift))*SUM(INDEX($FK$325:$ID$396,HW$169,1+SwaptionShift):INDEX($FK$325:$ID$396,HW$169,SwaptionMonthsToGo+SwaptionShift))))))</f>
        <v/>
      </c>
      <c r="HX231" s="479" t="str">
        <f ca="1">IF(OR(HX$169&lt;SwaptionFirstMonthPosition+1,$FJ231&lt;SwaptionFirstMonthPosition+1,HX$169&gt;SwaptionFirstMonthPosition+SwaptionNumOfMonths+1,$FJ231&gt;SwaptionFirstMonthPosition+SwaptionNumOfMonths+1),"",IF($FJ231=HX$169,1,IF($FJ231&lt;HX$169,INDEX($FK$170:$ID$241,HX$169,$FJ231),SUMPRODUCT(INDEX($FK$325:$ID$396,HX$169,1+SwaptionShift):INDEX($FK$325:$ID$396,HX$169,SwaptionMonthsToGo+SwaptionShift),INDEX($FK$245:$ID$316,$FJ231-HX$169,73-HX$169+SwaptionShift):INDEX($FK$245:$ID$316,$FJ231-HX$169,72-HX$169+SwaptionMonthsToGo+SwaptionShift))/SQRT(SUM(INDEX($FK386:$ID386,1+SwaptionShift):INDEX($FK386:$ID386,SwaptionMonthsToGo+SwaptionShift))*SUM(INDEX($FK$325:$ID$396,HX$169,1+SwaptionShift):INDEX($FK$325:$ID$396,HX$169,SwaptionMonthsToGo+SwaptionShift))))))</f>
        <v/>
      </c>
      <c r="HY231" s="479" t="str">
        <f ca="1">IF(OR(HY$169&lt;SwaptionFirstMonthPosition+1,$FJ231&lt;SwaptionFirstMonthPosition+1,HY$169&gt;SwaptionFirstMonthPosition+SwaptionNumOfMonths+1,$FJ231&gt;SwaptionFirstMonthPosition+SwaptionNumOfMonths+1),"",IF($FJ231=HY$169,1,IF($FJ231&lt;HY$169,INDEX($FK$170:$ID$241,HY$169,$FJ231),SUMPRODUCT(INDEX($FK$325:$ID$396,HY$169,1+SwaptionShift):INDEX($FK$325:$ID$396,HY$169,SwaptionMonthsToGo+SwaptionShift),INDEX($FK$245:$ID$316,$FJ231-HY$169,73-HY$169+SwaptionShift):INDEX($FK$245:$ID$316,$FJ231-HY$169,72-HY$169+SwaptionMonthsToGo+SwaptionShift))/SQRT(SUM(INDEX($FK386:$ID386,1+SwaptionShift):INDEX($FK386:$ID386,SwaptionMonthsToGo+SwaptionShift))*SUM(INDEX($FK$325:$ID$396,HY$169,1+SwaptionShift):INDEX($FK$325:$ID$396,HY$169,SwaptionMonthsToGo+SwaptionShift))))))</f>
        <v/>
      </c>
      <c r="HZ231" s="479" t="str">
        <f ca="1">IF(OR(HZ$169&lt;SwaptionFirstMonthPosition+1,$FJ231&lt;SwaptionFirstMonthPosition+1,HZ$169&gt;SwaptionFirstMonthPosition+SwaptionNumOfMonths+1,$FJ231&gt;SwaptionFirstMonthPosition+SwaptionNumOfMonths+1),"",IF($FJ231=HZ$169,1,IF($FJ231&lt;HZ$169,INDEX($FK$170:$ID$241,HZ$169,$FJ231),SUMPRODUCT(INDEX($FK$325:$ID$396,HZ$169,1+SwaptionShift):INDEX($FK$325:$ID$396,HZ$169,SwaptionMonthsToGo+SwaptionShift),INDEX($FK$245:$ID$316,$FJ231-HZ$169,73-HZ$169+SwaptionShift):INDEX($FK$245:$ID$316,$FJ231-HZ$169,72-HZ$169+SwaptionMonthsToGo+SwaptionShift))/SQRT(SUM(INDEX($FK386:$ID386,1+SwaptionShift):INDEX($FK386:$ID386,SwaptionMonthsToGo+SwaptionShift))*SUM(INDEX($FK$325:$ID$396,HZ$169,1+SwaptionShift):INDEX($FK$325:$ID$396,HZ$169,SwaptionMonthsToGo+SwaptionShift))))))</f>
        <v/>
      </c>
      <c r="IA231" s="479" t="str">
        <f ca="1">IF(OR(IA$169&lt;SwaptionFirstMonthPosition+1,$FJ231&lt;SwaptionFirstMonthPosition+1,IA$169&gt;SwaptionFirstMonthPosition+SwaptionNumOfMonths+1,$FJ231&gt;SwaptionFirstMonthPosition+SwaptionNumOfMonths+1),"",IF($FJ231=IA$169,1,IF($FJ231&lt;IA$169,INDEX($FK$170:$ID$241,IA$169,$FJ231),SUMPRODUCT(INDEX($FK$325:$ID$396,IA$169,1+SwaptionShift):INDEX($FK$325:$ID$396,IA$169,SwaptionMonthsToGo+SwaptionShift),INDEX($FK$245:$ID$316,$FJ231-IA$169,73-IA$169+SwaptionShift):INDEX($FK$245:$ID$316,$FJ231-IA$169,72-IA$169+SwaptionMonthsToGo+SwaptionShift))/SQRT(SUM(INDEX($FK386:$ID386,1+SwaptionShift):INDEX($FK386:$ID386,SwaptionMonthsToGo+SwaptionShift))*SUM(INDEX($FK$325:$ID$396,IA$169,1+SwaptionShift):INDEX($FK$325:$ID$396,IA$169,SwaptionMonthsToGo+SwaptionShift))))))</f>
        <v/>
      </c>
      <c r="IB231" s="479" t="str">
        <f ca="1">IF(OR(IB$169&lt;SwaptionFirstMonthPosition+1,$FJ231&lt;SwaptionFirstMonthPosition+1,IB$169&gt;SwaptionFirstMonthPosition+SwaptionNumOfMonths+1,$FJ231&gt;SwaptionFirstMonthPosition+SwaptionNumOfMonths+1),"",IF($FJ231=IB$169,1,IF($FJ231&lt;IB$169,INDEX($FK$170:$ID$241,IB$169,$FJ231),SUMPRODUCT(INDEX($FK$325:$ID$396,IB$169,1+SwaptionShift):INDEX($FK$325:$ID$396,IB$169,SwaptionMonthsToGo+SwaptionShift),INDEX($FK$245:$ID$316,$FJ231-IB$169,73-IB$169+SwaptionShift):INDEX($FK$245:$ID$316,$FJ231-IB$169,72-IB$169+SwaptionMonthsToGo+SwaptionShift))/SQRT(SUM(INDEX($FK386:$ID386,1+SwaptionShift):INDEX($FK386:$ID386,SwaptionMonthsToGo+SwaptionShift))*SUM(INDEX($FK$325:$ID$396,IB$169,1+SwaptionShift):INDEX($FK$325:$ID$396,IB$169,SwaptionMonthsToGo+SwaptionShift))))))</f>
        <v/>
      </c>
      <c r="IC231" s="479" t="str">
        <f ca="1">IF(OR(IC$169&lt;SwaptionFirstMonthPosition+1,$FJ231&lt;SwaptionFirstMonthPosition+1,IC$169&gt;SwaptionFirstMonthPosition+SwaptionNumOfMonths+1,$FJ231&gt;SwaptionFirstMonthPosition+SwaptionNumOfMonths+1),"",IF($FJ231=IC$169,1,IF($FJ231&lt;IC$169,INDEX($FK$170:$ID$241,IC$169,$FJ231),SUMPRODUCT(INDEX($FK$325:$ID$396,IC$169,1+SwaptionShift):INDEX($FK$325:$ID$396,IC$169,SwaptionMonthsToGo+SwaptionShift),INDEX($FK$245:$ID$316,$FJ231-IC$169,73-IC$169+SwaptionShift):INDEX($FK$245:$ID$316,$FJ231-IC$169,72-IC$169+SwaptionMonthsToGo+SwaptionShift))/SQRT(SUM(INDEX($FK386:$ID386,1+SwaptionShift):INDEX($FK386:$ID386,SwaptionMonthsToGo+SwaptionShift))*SUM(INDEX($FK$325:$ID$396,IC$169,1+SwaptionShift):INDEX($FK$325:$ID$396,IC$169,SwaptionMonthsToGo+SwaptionShift))))))</f>
        <v/>
      </c>
      <c r="ID231" s="678" t="str">
        <f ca="1">IF(OR(ID$169&lt;SwaptionFirstMonthPosition+1,$FJ231&lt;SwaptionFirstMonthPosition+1,ID$169&gt;SwaptionFirstMonthPosition+SwaptionNumOfMonths+1,$FJ231&gt;SwaptionFirstMonthPosition+SwaptionNumOfMonths+1),"",IF($FJ231=ID$169,1,IF($FJ231&lt;ID$169,INDEX($FK$170:$ID$241,ID$169,$FJ231),SUMPRODUCT(INDEX($FK$325:$ID$396,ID$169,1+SwaptionShift):INDEX($FK$325:$ID$396,ID$169,SwaptionMonthsToGo+SwaptionShift),INDEX($FK$245:$ID$316,$FJ231-ID$169,73-ID$169+SwaptionShift):INDEX($FK$245:$ID$316,$FJ231-ID$169,72-ID$169+SwaptionMonthsToGo+SwaptionShift))/SQRT(SUM(INDEX($FK386:$ID386,1+SwaptionShift):INDEX($FK386:$ID386,SwaptionMonthsToGo+SwaptionShift))*SUM(INDEX($FK$325:$ID$396,ID$169,1+SwaptionShift):INDEX($FK$325:$ID$396,ID$169,SwaptionMonthsToGo+SwaptionShift))))))</f>
        <v/>
      </c>
      <c r="IE231" s="250"/>
    </row>
    <row r="232" spans="8:239">
      <c r="H232" s="51">
        <f t="shared" ca="1" si="646"/>
        <v>0</v>
      </c>
      <c r="I232" s="379">
        <f t="shared" si="647"/>
        <v>43221</v>
      </c>
      <c r="J232" s="377"/>
      <c r="K232" s="104" t="s">
        <v>268</v>
      </c>
      <c r="L232" s="392">
        <f t="shared" si="648"/>
        <v>5.0999999999999961</v>
      </c>
      <c r="M232" s="171"/>
      <c r="N232" s="382">
        <v>0</v>
      </c>
      <c r="O232" s="171">
        <f t="shared" si="596"/>
        <v>0</v>
      </c>
      <c r="P232" s="377"/>
      <c r="Q232" s="104" t="s">
        <v>268</v>
      </c>
      <c r="R232" s="377">
        <f t="shared" ca="1" si="597"/>
        <v>3.9380381641259175</v>
      </c>
      <c r="S232" s="832">
        <f t="shared" si="671"/>
        <v>0.3600000000000001</v>
      </c>
      <c r="T232" s="831">
        <f t="shared" si="661"/>
        <v>0.99999999999999933</v>
      </c>
      <c r="U232" s="545">
        <f t="shared" si="662"/>
        <v>0.99999999999999978</v>
      </c>
      <c r="V232" s="389">
        <v>0</v>
      </c>
      <c r="W232" s="434">
        <f t="shared" si="598"/>
        <v>0</v>
      </c>
      <c r="X232" s="415">
        <f t="shared" si="599"/>
        <v>5.1521739130434741</v>
      </c>
      <c r="Y232" s="322">
        <f t="shared" si="600"/>
        <v>-1.2915000000000001</v>
      </c>
      <c r="Z232" s="322">
        <f t="shared" ca="1" si="601"/>
        <v>3.860673913043474</v>
      </c>
      <c r="AA232" s="429">
        <f t="shared" si="628"/>
        <v>1.2915000000000001</v>
      </c>
      <c r="AB232" s="433">
        <f t="shared" ca="1" si="629"/>
        <v>1.2915000000000001</v>
      </c>
      <c r="AC232" s="229">
        <v>43210</v>
      </c>
      <c r="AD232" s="229">
        <v>43206</v>
      </c>
      <c r="AE232" s="229">
        <v>43205</v>
      </c>
      <c r="AF232" s="229">
        <v>43201</v>
      </c>
      <c r="AG232" s="249" t="s">
        <v>499</v>
      </c>
      <c r="AH232" s="247" t="s">
        <v>499</v>
      </c>
      <c r="AI232" s="146">
        <v>23</v>
      </c>
      <c r="AJ232" s="41">
        <v>14</v>
      </c>
      <c r="AK232" s="41">
        <v>9</v>
      </c>
      <c r="AL232" s="293">
        <v>23</v>
      </c>
      <c r="AM232" s="41">
        <v>10</v>
      </c>
      <c r="AN232" s="147">
        <v>13</v>
      </c>
      <c r="AO232" s="374"/>
      <c r="AP232" s="153">
        <f t="shared" ca="1" si="649"/>
        <v>1</v>
      </c>
      <c r="AQ232" s="374"/>
      <c r="AR232" s="153">
        <f t="shared" ca="1" si="663"/>
        <v>1</v>
      </c>
      <c r="AS232" s="272">
        <f t="shared" si="602"/>
        <v>0</v>
      </c>
      <c r="AT232" s="157">
        <f t="shared" si="650"/>
        <v>0</v>
      </c>
      <c r="AU232" s="157">
        <f t="shared" si="630"/>
        <v>0</v>
      </c>
      <c r="AV232" s="271">
        <f t="shared" ca="1" si="670"/>
        <v>9.9999999999999995E-7</v>
      </c>
      <c r="AW232" s="158" t="str">
        <f t="shared" ca="1" si="583"/>
        <v/>
      </c>
      <c r="AX232" s="157">
        <f t="shared" ca="1" si="664"/>
        <v>1.9834830583278116E-5</v>
      </c>
      <c r="AY232" s="157">
        <f t="shared" ca="1" si="665"/>
        <v>3.7341565288769862E-6</v>
      </c>
      <c r="AZ232" s="157">
        <f t="shared" ca="1" si="666"/>
        <v>7.0246105929709335E-8</v>
      </c>
      <c r="BA232" s="157">
        <f t="shared" ca="1" si="667"/>
        <v>8.7807632412136668E-9</v>
      </c>
      <c r="BB232" s="157">
        <f t="shared" ca="1" si="668"/>
        <v>1.4513745940110853E-11</v>
      </c>
      <c r="BC232" s="157">
        <f t="shared" ca="1" si="669"/>
        <v>1.5420360619647787E-13</v>
      </c>
      <c r="BD232" s="151">
        <f t="shared" ca="1" si="603"/>
        <v>0</v>
      </c>
      <c r="BE232" s="152">
        <f t="shared" ca="1" si="604"/>
        <v>0</v>
      </c>
      <c r="BF232" s="40">
        <f t="shared" si="605"/>
        <v>2018</v>
      </c>
      <c r="BG232" s="144">
        <f t="shared" si="606"/>
        <v>5</v>
      </c>
      <c r="BH232" s="145">
        <f t="shared" ca="1" si="607"/>
        <v>6461</v>
      </c>
      <c r="BI232" s="313">
        <f t="shared" ca="1" si="608"/>
        <v>17.730321697467488</v>
      </c>
      <c r="BJ232" s="42">
        <f t="shared" ca="1" si="631"/>
        <v>17.780317233580337</v>
      </c>
      <c r="BK232" s="42">
        <f t="shared" ca="1" si="632"/>
        <v>17.783055084367469</v>
      </c>
      <c r="BL232" s="42">
        <f t="shared" ca="1" si="609"/>
        <v>17.812457221081452</v>
      </c>
      <c r="BM232" s="150" t="e">
        <f t="shared" ca="1" si="633"/>
        <v>#DIV/0!</v>
      </c>
      <c r="BN232" s="42" t="e">
        <f t="shared" ca="1" si="634"/>
        <v>#DIV/0!</v>
      </c>
      <c r="BO232" s="293">
        <f t="shared" si="610"/>
        <v>23</v>
      </c>
      <c r="BP232" s="41">
        <f t="shared" si="611"/>
        <v>14</v>
      </c>
      <c r="BQ232" s="41">
        <f t="shared" si="612"/>
        <v>9</v>
      </c>
      <c r="BR232" s="305" t="str">
        <f t="shared" ca="1" si="635"/>
        <v/>
      </c>
      <c r="BS232" s="305" t="str">
        <f t="shared" ca="1" si="613"/>
        <v/>
      </c>
      <c r="BT232" s="307" t="str">
        <f t="shared" ca="1" si="614"/>
        <v/>
      </c>
      <c r="BU232" s="161" t="str">
        <f t="shared" ca="1" si="636"/>
        <v/>
      </c>
      <c r="BV232" s="161" t="str">
        <f t="shared" ca="1" si="637"/>
        <v/>
      </c>
      <c r="BW232" s="308" t="str">
        <f t="shared" ca="1" si="638"/>
        <v/>
      </c>
      <c r="BX232" s="309" t="str">
        <f t="shared" ca="1" si="639"/>
        <v/>
      </c>
      <c r="BY232" s="308" t="str">
        <f t="shared" ca="1" si="615"/>
        <v/>
      </c>
      <c r="BZ232" s="309" t="str">
        <f t="shared" ca="1" si="616"/>
        <v/>
      </c>
      <c r="CA232" s="154" t="str">
        <f t="shared" ca="1" si="640"/>
        <v/>
      </c>
      <c r="CB232" s="154" t="str">
        <f t="shared" ca="1" si="641"/>
        <v/>
      </c>
      <c r="CC232" s="154" t="str">
        <f t="shared" ca="1" si="642"/>
        <v/>
      </c>
      <c r="CD232" s="154" t="str">
        <f t="shared" ca="1" si="643"/>
        <v/>
      </c>
      <c r="CE232" s="310">
        <v>1</v>
      </c>
      <c r="CF232" s="162">
        <f ca="1">IF(BD232,_xll.xCrudeAPO(BU232,BV232,CA232,CB232,S233,S234,BI232,BL232,BP232,BQ232,0,Strike1,AO232,CE232,0,BL232,IF(OptControl=4,0,1),0,1),0)</f>
        <v>0</v>
      </c>
      <c r="CG232" s="163">
        <f ca="1">IF(BD232,_xll.xCrudeAPO(BU232,BV232,CA232,CB232,S233,S234,BI232,BL232,BP232,BQ232,0,Strike1,AO232,CE232,0,BL232,IF(OptControl=4,0,1),1,1)+_xll.xCrudeAPO(BU232,BV232,CA232,CB232,S233,S234,BI232,BL232,BP232,BQ232,0,Strike1,AO232,CE232,0,BL232,IF(OptControl=4,0,1),1,2)+IF(OR(VolSkewFlag=2,ABS(BS232)&lt;0.0001),0,IF(BS232&gt;0,-1,1)*CH232*Strike1/BR232^2*BY232/10%),0)</f>
        <v>0</v>
      </c>
      <c r="CH232" s="163">
        <f ca="1">IF(BD232,(_xll.xCrudeAPO(BU232,BV232,CA232,CB232,S233,S234,BI232,BL232,BP232,BQ232,0,Strike1,AO232,CE232,0,BL232,IF(OptControl=4,0,1),3,1)+_xll.xCrudeAPO(BU232,BV232,CA232,CB232,S233,S234,BI232,BL232,BP232,BQ232,0,Strike1,AO232,CE232,0,BL232,IF(OptControl=4,0,1),3,2))/100,0)</f>
        <v>0</v>
      </c>
      <c r="CI232" s="163">
        <f ca="1">IF(BD232,_xll.xCrudeAPO(BU232,BV232,CA232,CB232,S233,S234,BI232-DaysForThetaCalculation/365.25,BL232-DaysForThetaCalculation/365.25,BP232,BQ232,0,Strike1,AO232,CE232,0,BL232,IF(OptControl=4,0,1),0,1)-_xll.xCrudeAPO(BU232,BV232,CA232,CB232,S233,S234,BI232,BL232,BP232,BQ232,0,Strike1,AO232,CE232,0,BL232,IF(OptControl=4,0,1),0,1),0)</f>
        <v>0</v>
      </c>
      <c r="CJ232" s="311">
        <f ca="1">IF(BD232,_xll.xCrudeAPO(BU232,BV232,CC232,CD232,S233,S234,BI232,BL232,BP232,BQ232,0,Strike2,AO232,CE232,0,BL232,IF(OptControl=3,1,0),0,1),0)</f>
        <v>0</v>
      </c>
      <c r="CK232" s="163">
        <f ca="1">IF(BD232,_xll.xCrudeAPO(BU232,BV232,CC232,CD232,S233,S234,BI232,BL232,BP232,BQ232,0,Strike2,AO232,CE232,0,BL232,IF(OptControl=3,1,0),1,1)+_xll.xCrudeAPO(BU232,BV232,CC232,CD232,S233,S234,BI232,BL232,BP232,BQ232,0,Strike2,AO232,CE232,0,BL232,IF(OptControl=3,1,0),1,2)+IF(OR(VolSkewFlag=2,ABS(BT232)&lt;0.0001),0,IF(BT232&gt;0,-1,1)*CL232*Strike2/BR232^2*BZ232/10%),0)</f>
        <v>0</v>
      </c>
      <c r="CL232" s="163">
        <f ca="1">IF(BD232,(_xll.xCrudeAPO(BU232,BV232,CC232,CD232,S233,S234,BI232,BL232,BP232,BQ232,0,Strike2,AO232,CE232,0,BL232,IF(OptControl=3,1,0),3,1)+_xll.xCrudeAPO(BU232,BV232,CC232,CD232,S233,S234,BI232,BL232,BP232,BQ232,0,Strike2,AO232,CE232,0,BL232,IF(OptControl=3,1,0),3,2))/100,0)</f>
        <v>0</v>
      </c>
      <c r="CM232" s="164">
        <f ca="1">IF(BD232,_xll.xCrudeAPO(BU232,BV232,CC232,CD232,S233,S234,BI232-DaysForThetaCalculation/365.25,BL232-DaysForThetaCalculation/365.25,BP232,BQ232,0,Strike2,AO232,CE232,0,BL232,IF(OptControl=3,1,0),0,1)-_xll.xCrudeAPO(BU232,BV232,CC232,CD232,S233,S234,BI232,BL232,BP232,BQ232,0,Strike2,AO232,CE232,0,BL232,IF(OptControl=3,1,0),0,1),0)</f>
        <v>0</v>
      </c>
      <c r="CN232" s="53"/>
      <c r="CO232" s="796" t="str">
        <f t="shared" ca="1" si="651"/>
        <v/>
      </c>
      <c r="CP232" s="800" t="str">
        <f t="shared" ca="1" si="652"/>
        <v/>
      </c>
      <c r="CQ232" s="797" t="str">
        <f t="shared" ca="1" si="653"/>
        <v/>
      </c>
      <c r="CR232" s="797" t="str">
        <f t="shared" ca="1" si="654"/>
        <v/>
      </c>
      <c r="CS232" s="797" t="str">
        <f t="shared" ca="1" si="655"/>
        <v/>
      </c>
      <c r="CT232" s="797" t="str">
        <f t="shared" ca="1" si="656"/>
        <v/>
      </c>
      <c r="CU232" s="798" t="str">
        <f t="shared" ca="1" si="657"/>
        <v/>
      </c>
      <c r="CV232" s="799" t="str">
        <f t="shared" ca="1" si="658"/>
        <v/>
      </c>
      <c r="CW232" s="799" t="str">
        <f t="shared" ca="1" si="659"/>
        <v/>
      </c>
      <c r="CX232" s="163">
        <f ca="1">IF(BD232,_xll.EURO(CP232,Strike1,AO232,AO232,CV232,CO232,IF(OptControl=4,0,1),0),0)</f>
        <v>0</v>
      </c>
      <c r="CY232" s="163">
        <f ca="1">IF(BD232,_xll.EURO(CP232,Strike1,AO232,AO232,CV232,CO232,IF(OptControl=4,0,1),1)+IF(OR(VolSkewFlag=2,ABS(CQ232)&lt;0.0001),0,IF(CQ232&gt;0,-1,1)*CZ232*100*Strike1/CP232^2*CS232/10%),0)</f>
        <v>0</v>
      </c>
      <c r="CZ232" s="163">
        <f ca="1">IF(BD232,_xll.EURO(CP232,Strike1,AO232,AO232,CV232,CO232,IF(OptControl=4,0,1),3)/100,0)</f>
        <v>0</v>
      </c>
      <c r="DA232" s="163">
        <f ca="1">IF(BD232,_xll.EURO(CP232,Strike1,AO232,AO232,CV232,CO232,IF(OptControl=4,0,1),0)-_xll.EURO(CP232,Strike1,AO232,AO232,CV232,CO232-1,IF(OptControl=4,0,1),0),0)</f>
        <v>0</v>
      </c>
      <c r="DB232" s="163">
        <f ca="1">IF(BD232,_xll.EURO(CP232,Strike2,AO232,AO232,CW232,CO232,IF(OptControl=3,1,0),0),0)</f>
        <v>0</v>
      </c>
      <c r="DC232" s="163">
        <f ca="1">IF(BD232,_xll.EURO(CP232,Strike2,AO232,AO232,CW232,CO232,IF(OptControl=3,1,0),1)+IF(OR(VolSkewFlag=2,ABS(CR232)&lt;0.0001),0,IF(CR232&gt;0,-1,1)*DD232*100*Strike2/CP232^2*CT232/10%),0)</f>
        <v>0</v>
      </c>
      <c r="DD232" s="163">
        <f ca="1">IF(BD232,_xll.EURO(CP232,Strike2,AO232,AO232,CW232,CO232,IF(OptControl=3,1,0),3)/100,0)</f>
        <v>0</v>
      </c>
      <c r="DE232" s="164">
        <f ca="1">IF(BD232,_xll.EURO(CP232,Strike2,AO232,AO232,CW232,CO232,IF(OptControl=3,1,0),0)-_xll.EURO(CP232,Strike2,AO232,AO232,CW232,CO232-1,IF(OptControl=3,1,0),0),0)</f>
        <v>0</v>
      </c>
      <c r="DG232" s="667">
        <f t="shared" ca="1" si="660"/>
        <v>43009</v>
      </c>
      <c r="DH232" s="475">
        <v>24.760000000000097</v>
      </c>
      <c r="DI232" s="665">
        <v>24.825909090909189</v>
      </c>
      <c r="DJ232" s="666">
        <f t="shared" ca="1" si="617"/>
        <v>43009</v>
      </c>
      <c r="DK232" s="475">
        <v>23.407503298728127</v>
      </c>
      <c r="DL232" s="665">
        <v>23.632809090909188</v>
      </c>
      <c r="DM232" s="667">
        <f t="shared" ca="1" si="618"/>
        <v>43009</v>
      </c>
      <c r="DN232" s="668">
        <f t="shared" si="619"/>
        <v>23.457503298728128</v>
      </c>
      <c r="DO232" s="667">
        <f t="shared" ca="1" si="620"/>
        <v>43009</v>
      </c>
      <c r="DP232" s="579">
        <f t="shared" si="621"/>
        <v>23.632809090909188</v>
      </c>
      <c r="DQ232" s="821">
        <v>0</v>
      </c>
      <c r="DR232" s="666">
        <f t="shared" ca="1" si="622"/>
        <v>43009</v>
      </c>
      <c r="DS232" s="669">
        <v>9.739999999999803E-2</v>
      </c>
      <c r="DT232" s="606">
        <v>9.6609090909088924E-2</v>
      </c>
      <c r="DU232" s="666">
        <f t="shared" ca="1" si="623"/>
        <v>43009</v>
      </c>
      <c r="DV232" s="669">
        <v>9.739999999999803E-2</v>
      </c>
      <c r="DW232" s="606">
        <v>9.6609090909088924E-2</v>
      </c>
      <c r="DX232" s="667">
        <f t="shared" ca="1" si="624"/>
        <v>43009</v>
      </c>
      <c r="DY232" s="606">
        <v>0.35</v>
      </c>
      <c r="DZ232" s="667">
        <f t="shared" ca="1" si="625"/>
        <v>43009</v>
      </c>
      <c r="EA232" s="606">
        <f t="shared" si="626"/>
        <v>9.6609090909088924E-2</v>
      </c>
      <c r="EB232" s="1"/>
      <c r="EC232" s="118" t="str">
        <f t="shared" ca="1" si="627"/>
        <v/>
      </c>
      <c r="ED232" s="119" t="str">
        <f t="shared" ca="1" si="644"/>
        <v/>
      </c>
      <c r="EE232" s="112" t="str">
        <f t="shared" ca="1" si="645"/>
        <v/>
      </c>
      <c r="EF232" s="120">
        <f ca="1">IF(BD232,_xll.xASN(BR232,Strike1,AO232,ED232,0,BO232,0,BI232,BL232,IF(OptControl=4,0,1),0),0)</f>
        <v>0</v>
      </c>
      <c r="EG232" s="111">
        <f ca="1">IF(BD232,_xll.xASN(BR232,Strike2,AO232,EE232,0,BO232,0,BI232,BL232,IF(OptControl=3,1,0),0),0)</f>
        <v>0</v>
      </c>
      <c r="EL232" s="55"/>
      <c r="EM232" s="1"/>
      <c r="EN232" s="106"/>
      <c r="EO232" s="106"/>
      <c r="EP232" s="1"/>
      <c r="EQ232" s="683" t="s">
        <v>446</v>
      </c>
      <c r="ES232" s="55"/>
      <c r="EU232" s="107"/>
      <c r="FJ232" s="673">
        <v>63</v>
      </c>
      <c r="FK232" s="479" t="str">
        <f ca="1">IF(OR(FK$169&lt;SwaptionFirstMonthPosition+1,$FJ232&lt;SwaptionFirstMonthPosition+1,FK$169&gt;SwaptionFirstMonthPosition+SwaptionNumOfMonths+1,$FJ232&gt;SwaptionFirstMonthPosition+SwaptionNumOfMonths+1),"",IF($FJ232=FK$169,1,IF($FJ232&lt;FK$169,INDEX($FK$170:$ID$241,FK$169,$FJ232),SUMPRODUCT(INDEX($FK$325:$ID$396,FK$169,1+SwaptionShift):INDEX($FK$325:$ID$396,FK$169,SwaptionMonthsToGo+SwaptionShift),INDEX($FK$245:$ID$316,$FJ232-FK$169,73-FK$169+SwaptionShift):INDEX($FK$245:$ID$316,$FJ232-FK$169,72-FK$169+SwaptionMonthsToGo+SwaptionShift))/SQRT(SUM(INDEX($FK387:$ID387,1+SwaptionShift):INDEX($FK387:$ID387,SwaptionMonthsToGo+SwaptionShift))*SUM(INDEX($FK$325:$ID$396,FK$169,1+SwaptionShift):INDEX($FK$325:$ID$396,FK$169,SwaptionMonthsToGo+SwaptionShift))))))</f>
        <v/>
      </c>
      <c r="FL232" s="479" t="str">
        <f ca="1">IF(OR(FL$169&lt;SwaptionFirstMonthPosition+1,$FJ232&lt;SwaptionFirstMonthPosition+1,FL$169&gt;SwaptionFirstMonthPosition+SwaptionNumOfMonths+1,$FJ232&gt;SwaptionFirstMonthPosition+SwaptionNumOfMonths+1),"",IF($FJ232=FL$169,1,IF($FJ232&lt;FL$169,INDEX($FK$170:$ID$241,FL$169,$FJ232),SUMPRODUCT(INDEX($FK$325:$ID$396,FL$169,1+SwaptionShift):INDEX($FK$325:$ID$396,FL$169,SwaptionMonthsToGo+SwaptionShift),INDEX($FK$245:$ID$316,$FJ232-FL$169,73-FL$169+SwaptionShift):INDEX($FK$245:$ID$316,$FJ232-FL$169,72-FL$169+SwaptionMonthsToGo+SwaptionShift))/SQRT(SUM(INDEX($FK387:$ID387,1+SwaptionShift):INDEX($FK387:$ID387,SwaptionMonthsToGo+SwaptionShift))*SUM(INDEX($FK$325:$ID$396,FL$169,1+SwaptionShift):INDEX($FK$325:$ID$396,FL$169,SwaptionMonthsToGo+SwaptionShift))))))</f>
        <v/>
      </c>
      <c r="FM232" s="479" t="str">
        <f ca="1">IF(OR(FM$169&lt;SwaptionFirstMonthPosition+1,$FJ232&lt;SwaptionFirstMonthPosition+1,FM$169&gt;SwaptionFirstMonthPosition+SwaptionNumOfMonths+1,$FJ232&gt;SwaptionFirstMonthPosition+SwaptionNumOfMonths+1),"",IF($FJ232=FM$169,1,IF($FJ232&lt;FM$169,INDEX($FK$170:$ID$241,FM$169,$FJ232),SUMPRODUCT(INDEX($FK$325:$ID$396,FM$169,1+SwaptionShift):INDEX($FK$325:$ID$396,FM$169,SwaptionMonthsToGo+SwaptionShift),INDEX($FK$245:$ID$316,$FJ232-FM$169,73-FM$169+SwaptionShift):INDEX($FK$245:$ID$316,$FJ232-FM$169,72-FM$169+SwaptionMonthsToGo+SwaptionShift))/SQRT(SUM(INDEX($FK387:$ID387,1+SwaptionShift):INDEX($FK387:$ID387,SwaptionMonthsToGo+SwaptionShift))*SUM(INDEX($FK$325:$ID$396,FM$169,1+SwaptionShift):INDEX($FK$325:$ID$396,FM$169,SwaptionMonthsToGo+SwaptionShift))))))</f>
        <v/>
      </c>
      <c r="FN232" s="479" t="str">
        <f ca="1">IF(OR(FN$169&lt;SwaptionFirstMonthPosition+1,$FJ232&lt;SwaptionFirstMonthPosition+1,FN$169&gt;SwaptionFirstMonthPosition+SwaptionNumOfMonths+1,$FJ232&gt;SwaptionFirstMonthPosition+SwaptionNumOfMonths+1),"",IF($FJ232=FN$169,1,IF($FJ232&lt;FN$169,INDEX($FK$170:$ID$241,FN$169,$FJ232),SUMPRODUCT(INDEX($FK$325:$ID$396,FN$169,1+SwaptionShift):INDEX($FK$325:$ID$396,FN$169,SwaptionMonthsToGo+SwaptionShift),INDEX($FK$245:$ID$316,$FJ232-FN$169,73-FN$169+SwaptionShift):INDEX($FK$245:$ID$316,$FJ232-FN$169,72-FN$169+SwaptionMonthsToGo+SwaptionShift))/SQRT(SUM(INDEX($FK387:$ID387,1+SwaptionShift):INDEX($FK387:$ID387,SwaptionMonthsToGo+SwaptionShift))*SUM(INDEX($FK$325:$ID$396,FN$169,1+SwaptionShift):INDEX($FK$325:$ID$396,FN$169,SwaptionMonthsToGo+SwaptionShift))))))</f>
        <v/>
      </c>
      <c r="FO232" s="479" t="str">
        <f ca="1">IF(OR(FO$169&lt;SwaptionFirstMonthPosition+1,$FJ232&lt;SwaptionFirstMonthPosition+1,FO$169&gt;SwaptionFirstMonthPosition+SwaptionNumOfMonths+1,$FJ232&gt;SwaptionFirstMonthPosition+SwaptionNumOfMonths+1),"",IF($FJ232=FO$169,1,IF($FJ232&lt;FO$169,INDEX($FK$170:$ID$241,FO$169,$FJ232),SUMPRODUCT(INDEX($FK$325:$ID$396,FO$169,1+SwaptionShift):INDEX($FK$325:$ID$396,FO$169,SwaptionMonthsToGo+SwaptionShift),INDEX($FK$245:$ID$316,$FJ232-FO$169,73-FO$169+SwaptionShift):INDEX($FK$245:$ID$316,$FJ232-FO$169,72-FO$169+SwaptionMonthsToGo+SwaptionShift))/SQRT(SUM(INDEX($FK387:$ID387,1+SwaptionShift):INDEX($FK387:$ID387,SwaptionMonthsToGo+SwaptionShift))*SUM(INDEX($FK$325:$ID$396,FO$169,1+SwaptionShift):INDEX($FK$325:$ID$396,FO$169,SwaptionMonthsToGo+SwaptionShift))))))</f>
        <v/>
      </c>
      <c r="FP232" s="479" t="str">
        <f ca="1">IF(OR(FP$169&lt;SwaptionFirstMonthPosition+1,$FJ232&lt;SwaptionFirstMonthPosition+1,FP$169&gt;SwaptionFirstMonthPosition+SwaptionNumOfMonths+1,$FJ232&gt;SwaptionFirstMonthPosition+SwaptionNumOfMonths+1),"",IF($FJ232=FP$169,1,IF($FJ232&lt;FP$169,INDEX($FK$170:$ID$241,FP$169,$FJ232),SUMPRODUCT(INDEX($FK$325:$ID$396,FP$169,1+SwaptionShift):INDEX($FK$325:$ID$396,FP$169,SwaptionMonthsToGo+SwaptionShift),INDEX($FK$245:$ID$316,$FJ232-FP$169,73-FP$169+SwaptionShift):INDEX($FK$245:$ID$316,$FJ232-FP$169,72-FP$169+SwaptionMonthsToGo+SwaptionShift))/SQRT(SUM(INDEX($FK387:$ID387,1+SwaptionShift):INDEX($FK387:$ID387,SwaptionMonthsToGo+SwaptionShift))*SUM(INDEX($FK$325:$ID$396,FP$169,1+SwaptionShift):INDEX($FK$325:$ID$396,FP$169,SwaptionMonthsToGo+SwaptionShift))))))</f>
        <v/>
      </c>
      <c r="FQ232" s="479" t="str">
        <f ca="1">IF(OR(FQ$169&lt;SwaptionFirstMonthPosition+1,$FJ232&lt;SwaptionFirstMonthPosition+1,FQ$169&gt;SwaptionFirstMonthPosition+SwaptionNumOfMonths+1,$FJ232&gt;SwaptionFirstMonthPosition+SwaptionNumOfMonths+1),"",IF($FJ232=FQ$169,1,IF($FJ232&lt;FQ$169,INDEX($FK$170:$ID$241,FQ$169,$FJ232),SUMPRODUCT(INDEX($FK$325:$ID$396,FQ$169,1+SwaptionShift):INDEX($FK$325:$ID$396,FQ$169,SwaptionMonthsToGo+SwaptionShift),INDEX($FK$245:$ID$316,$FJ232-FQ$169,73-FQ$169+SwaptionShift):INDEX($FK$245:$ID$316,$FJ232-FQ$169,72-FQ$169+SwaptionMonthsToGo+SwaptionShift))/SQRT(SUM(INDEX($FK387:$ID387,1+SwaptionShift):INDEX($FK387:$ID387,SwaptionMonthsToGo+SwaptionShift))*SUM(INDEX($FK$325:$ID$396,FQ$169,1+SwaptionShift):INDEX($FK$325:$ID$396,FQ$169,SwaptionMonthsToGo+SwaptionShift))))))</f>
        <v/>
      </c>
      <c r="FR232" s="479" t="str">
        <f ca="1">IF(OR(FR$169&lt;SwaptionFirstMonthPosition+1,$FJ232&lt;SwaptionFirstMonthPosition+1,FR$169&gt;SwaptionFirstMonthPosition+SwaptionNumOfMonths+1,$FJ232&gt;SwaptionFirstMonthPosition+SwaptionNumOfMonths+1),"",IF($FJ232=FR$169,1,IF($FJ232&lt;FR$169,INDEX($FK$170:$ID$241,FR$169,$FJ232),SUMPRODUCT(INDEX($FK$325:$ID$396,FR$169,1+SwaptionShift):INDEX($FK$325:$ID$396,FR$169,SwaptionMonthsToGo+SwaptionShift),INDEX($FK$245:$ID$316,$FJ232-FR$169,73-FR$169+SwaptionShift):INDEX($FK$245:$ID$316,$FJ232-FR$169,72-FR$169+SwaptionMonthsToGo+SwaptionShift))/SQRT(SUM(INDEX($FK387:$ID387,1+SwaptionShift):INDEX($FK387:$ID387,SwaptionMonthsToGo+SwaptionShift))*SUM(INDEX($FK$325:$ID$396,FR$169,1+SwaptionShift):INDEX($FK$325:$ID$396,FR$169,SwaptionMonthsToGo+SwaptionShift))))))</f>
        <v/>
      </c>
      <c r="FS232" s="479" t="str">
        <f ca="1">IF(OR(FS$169&lt;SwaptionFirstMonthPosition+1,$FJ232&lt;SwaptionFirstMonthPosition+1,FS$169&gt;SwaptionFirstMonthPosition+SwaptionNumOfMonths+1,$FJ232&gt;SwaptionFirstMonthPosition+SwaptionNumOfMonths+1),"",IF($FJ232=FS$169,1,IF($FJ232&lt;FS$169,INDEX($FK$170:$ID$241,FS$169,$FJ232),SUMPRODUCT(INDEX($FK$325:$ID$396,FS$169,1+SwaptionShift):INDEX($FK$325:$ID$396,FS$169,SwaptionMonthsToGo+SwaptionShift),INDEX($FK$245:$ID$316,$FJ232-FS$169,73-FS$169+SwaptionShift):INDEX($FK$245:$ID$316,$FJ232-FS$169,72-FS$169+SwaptionMonthsToGo+SwaptionShift))/SQRT(SUM(INDEX($FK387:$ID387,1+SwaptionShift):INDEX($FK387:$ID387,SwaptionMonthsToGo+SwaptionShift))*SUM(INDEX($FK$325:$ID$396,FS$169,1+SwaptionShift):INDEX($FK$325:$ID$396,FS$169,SwaptionMonthsToGo+SwaptionShift))))))</f>
        <v/>
      </c>
      <c r="FT232" s="479" t="str">
        <f ca="1">IF(OR(FT$169&lt;SwaptionFirstMonthPosition+1,$FJ232&lt;SwaptionFirstMonthPosition+1,FT$169&gt;SwaptionFirstMonthPosition+SwaptionNumOfMonths+1,$FJ232&gt;SwaptionFirstMonthPosition+SwaptionNumOfMonths+1),"",IF($FJ232=FT$169,1,IF($FJ232&lt;FT$169,INDEX($FK$170:$ID$241,FT$169,$FJ232),SUMPRODUCT(INDEX($FK$325:$ID$396,FT$169,1+SwaptionShift):INDEX($FK$325:$ID$396,FT$169,SwaptionMonthsToGo+SwaptionShift),INDEX($FK$245:$ID$316,$FJ232-FT$169,73-FT$169+SwaptionShift):INDEX($FK$245:$ID$316,$FJ232-FT$169,72-FT$169+SwaptionMonthsToGo+SwaptionShift))/SQRT(SUM(INDEX($FK387:$ID387,1+SwaptionShift):INDEX($FK387:$ID387,SwaptionMonthsToGo+SwaptionShift))*SUM(INDEX($FK$325:$ID$396,FT$169,1+SwaptionShift):INDEX($FK$325:$ID$396,FT$169,SwaptionMonthsToGo+SwaptionShift))))))</f>
        <v/>
      </c>
      <c r="FU232" s="479" t="str">
        <f ca="1">IF(OR(FU$169&lt;SwaptionFirstMonthPosition+1,$FJ232&lt;SwaptionFirstMonthPosition+1,FU$169&gt;SwaptionFirstMonthPosition+SwaptionNumOfMonths+1,$FJ232&gt;SwaptionFirstMonthPosition+SwaptionNumOfMonths+1),"",IF($FJ232=FU$169,1,IF($FJ232&lt;FU$169,INDEX($FK$170:$ID$241,FU$169,$FJ232),SUMPRODUCT(INDEX($FK$325:$ID$396,FU$169,1+SwaptionShift):INDEX($FK$325:$ID$396,FU$169,SwaptionMonthsToGo+SwaptionShift),INDEX($FK$245:$ID$316,$FJ232-FU$169,73-FU$169+SwaptionShift):INDEX($FK$245:$ID$316,$FJ232-FU$169,72-FU$169+SwaptionMonthsToGo+SwaptionShift))/SQRT(SUM(INDEX($FK387:$ID387,1+SwaptionShift):INDEX($FK387:$ID387,SwaptionMonthsToGo+SwaptionShift))*SUM(INDEX($FK$325:$ID$396,FU$169,1+SwaptionShift):INDEX($FK$325:$ID$396,FU$169,SwaptionMonthsToGo+SwaptionShift))))))</f>
        <v/>
      </c>
      <c r="FV232" s="479" t="str">
        <f ca="1">IF(OR(FV$169&lt;SwaptionFirstMonthPosition+1,$FJ232&lt;SwaptionFirstMonthPosition+1,FV$169&gt;SwaptionFirstMonthPosition+SwaptionNumOfMonths+1,$FJ232&gt;SwaptionFirstMonthPosition+SwaptionNumOfMonths+1),"",IF($FJ232=FV$169,1,IF($FJ232&lt;FV$169,INDEX($FK$170:$ID$241,FV$169,$FJ232),SUMPRODUCT(INDEX($FK$325:$ID$396,FV$169,1+SwaptionShift):INDEX($FK$325:$ID$396,FV$169,SwaptionMonthsToGo+SwaptionShift),INDEX($FK$245:$ID$316,$FJ232-FV$169,73-FV$169+SwaptionShift):INDEX($FK$245:$ID$316,$FJ232-FV$169,72-FV$169+SwaptionMonthsToGo+SwaptionShift))/SQRT(SUM(INDEX($FK387:$ID387,1+SwaptionShift):INDEX($FK387:$ID387,SwaptionMonthsToGo+SwaptionShift))*SUM(INDEX($FK$325:$ID$396,FV$169,1+SwaptionShift):INDEX($FK$325:$ID$396,FV$169,SwaptionMonthsToGo+SwaptionShift))))))</f>
        <v/>
      </c>
      <c r="FW232" s="479" t="str">
        <f ca="1">IF(OR(FW$169&lt;SwaptionFirstMonthPosition+1,$FJ232&lt;SwaptionFirstMonthPosition+1,FW$169&gt;SwaptionFirstMonthPosition+SwaptionNumOfMonths+1,$FJ232&gt;SwaptionFirstMonthPosition+SwaptionNumOfMonths+1),"",IF($FJ232=FW$169,1,IF($FJ232&lt;FW$169,INDEX($FK$170:$ID$241,FW$169,$FJ232),SUMPRODUCT(INDEX($FK$325:$ID$396,FW$169,1+SwaptionShift):INDEX($FK$325:$ID$396,FW$169,SwaptionMonthsToGo+SwaptionShift),INDEX($FK$245:$ID$316,$FJ232-FW$169,73-FW$169+SwaptionShift):INDEX($FK$245:$ID$316,$FJ232-FW$169,72-FW$169+SwaptionMonthsToGo+SwaptionShift))/SQRT(SUM(INDEX($FK387:$ID387,1+SwaptionShift):INDEX($FK387:$ID387,SwaptionMonthsToGo+SwaptionShift))*SUM(INDEX($FK$325:$ID$396,FW$169,1+SwaptionShift):INDEX($FK$325:$ID$396,FW$169,SwaptionMonthsToGo+SwaptionShift))))))</f>
        <v/>
      </c>
      <c r="FX232" s="479" t="str">
        <f ca="1">IF(OR(FX$169&lt;SwaptionFirstMonthPosition+1,$FJ232&lt;SwaptionFirstMonthPosition+1,FX$169&gt;SwaptionFirstMonthPosition+SwaptionNumOfMonths+1,$FJ232&gt;SwaptionFirstMonthPosition+SwaptionNumOfMonths+1),"",IF($FJ232=FX$169,1,IF($FJ232&lt;FX$169,INDEX($FK$170:$ID$241,FX$169,$FJ232),SUMPRODUCT(INDEX($FK$325:$ID$396,FX$169,1+SwaptionShift):INDEX($FK$325:$ID$396,FX$169,SwaptionMonthsToGo+SwaptionShift),INDEX($FK$245:$ID$316,$FJ232-FX$169,73-FX$169+SwaptionShift):INDEX($FK$245:$ID$316,$FJ232-FX$169,72-FX$169+SwaptionMonthsToGo+SwaptionShift))/SQRT(SUM(INDEX($FK387:$ID387,1+SwaptionShift):INDEX($FK387:$ID387,SwaptionMonthsToGo+SwaptionShift))*SUM(INDEX($FK$325:$ID$396,FX$169,1+SwaptionShift):INDEX($FK$325:$ID$396,FX$169,SwaptionMonthsToGo+SwaptionShift))))))</f>
        <v/>
      </c>
      <c r="FY232" s="479" t="str">
        <f ca="1">IF(OR(FY$169&lt;SwaptionFirstMonthPosition+1,$FJ232&lt;SwaptionFirstMonthPosition+1,FY$169&gt;SwaptionFirstMonthPosition+SwaptionNumOfMonths+1,$FJ232&gt;SwaptionFirstMonthPosition+SwaptionNumOfMonths+1),"",IF($FJ232=FY$169,1,IF($FJ232&lt;FY$169,INDEX($FK$170:$ID$241,FY$169,$FJ232),SUMPRODUCT(INDEX($FK$325:$ID$396,FY$169,1+SwaptionShift):INDEX($FK$325:$ID$396,FY$169,SwaptionMonthsToGo+SwaptionShift),INDEX($FK$245:$ID$316,$FJ232-FY$169,73-FY$169+SwaptionShift):INDEX($FK$245:$ID$316,$FJ232-FY$169,72-FY$169+SwaptionMonthsToGo+SwaptionShift))/SQRT(SUM(INDEX($FK387:$ID387,1+SwaptionShift):INDEX($FK387:$ID387,SwaptionMonthsToGo+SwaptionShift))*SUM(INDEX($FK$325:$ID$396,FY$169,1+SwaptionShift):INDEX($FK$325:$ID$396,FY$169,SwaptionMonthsToGo+SwaptionShift))))))</f>
        <v/>
      </c>
      <c r="FZ232" s="479" t="str">
        <f ca="1">IF(OR(FZ$169&lt;SwaptionFirstMonthPosition+1,$FJ232&lt;SwaptionFirstMonthPosition+1,FZ$169&gt;SwaptionFirstMonthPosition+SwaptionNumOfMonths+1,$FJ232&gt;SwaptionFirstMonthPosition+SwaptionNumOfMonths+1),"",IF($FJ232=FZ$169,1,IF($FJ232&lt;FZ$169,INDEX($FK$170:$ID$241,FZ$169,$FJ232),SUMPRODUCT(INDEX($FK$325:$ID$396,FZ$169,1+SwaptionShift):INDEX($FK$325:$ID$396,FZ$169,SwaptionMonthsToGo+SwaptionShift),INDEX($FK$245:$ID$316,$FJ232-FZ$169,73-FZ$169+SwaptionShift):INDEX($FK$245:$ID$316,$FJ232-FZ$169,72-FZ$169+SwaptionMonthsToGo+SwaptionShift))/SQRT(SUM(INDEX($FK387:$ID387,1+SwaptionShift):INDEX($FK387:$ID387,SwaptionMonthsToGo+SwaptionShift))*SUM(INDEX($FK$325:$ID$396,FZ$169,1+SwaptionShift):INDEX($FK$325:$ID$396,FZ$169,SwaptionMonthsToGo+SwaptionShift))))))</f>
        <v/>
      </c>
      <c r="GA232" s="479" t="str">
        <f ca="1">IF(OR(GA$169&lt;SwaptionFirstMonthPosition+1,$FJ232&lt;SwaptionFirstMonthPosition+1,GA$169&gt;SwaptionFirstMonthPosition+SwaptionNumOfMonths+1,$FJ232&gt;SwaptionFirstMonthPosition+SwaptionNumOfMonths+1),"",IF($FJ232=GA$169,1,IF($FJ232&lt;GA$169,INDEX($FK$170:$ID$241,GA$169,$FJ232),SUMPRODUCT(INDEX($FK$325:$ID$396,GA$169,1+SwaptionShift):INDEX($FK$325:$ID$396,GA$169,SwaptionMonthsToGo+SwaptionShift),INDEX($FK$245:$ID$316,$FJ232-GA$169,73-GA$169+SwaptionShift):INDEX($FK$245:$ID$316,$FJ232-GA$169,72-GA$169+SwaptionMonthsToGo+SwaptionShift))/SQRT(SUM(INDEX($FK387:$ID387,1+SwaptionShift):INDEX($FK387:$ID387,SwaptionMonthsToGo+SwaptionShift))*SUM(INDEX($FK$325:$ID$396,GA$169,1+SwaptionShift):INDEX($FK$325:$ID$396,GA$169,SwaptionMonthsToGo+SwaptionShift))))))</f>
        <v/>
      </c>
      <c r="GB232" s="479" t="str">
        <f ca="1">IF(OR(GB$169&lt;SwaptionFirstMonthPosition+1,$FJ232&lt;SwaptionFirstMonthPosition+1,GB$169&gt;SwaptionFirstMonthPosition+SwaptionNumOfMonths+1,$FJ232&gt;SwaptionFirstMonthPosition+SwaptionNumOfMonths+1),"",IF($FJ232=GB$169,1,IF($FJ232&lt;GB$169,INDEX($FK$170:$ID$241,GB$169,$FJ232),SUMPRODUCT(INDEX($FK$325:$ID$396,GB$169,1+SwaptionShift):INDEX($FK$325:$ID$396,GB$169,SwaptionMonthsToGo+SwaptionShift),INDEX($FK$245:$ID$316,$FJ232-GB$169,73-GB$169+SwaptionShift):INDEX($FK$245:$ID$316,$FJ232-GB$169,72-GB$169+SwaptionMonthsToGo+SwaptionShift))/SQRT(SUM(INDEX($FK387:$ID387,1+SwaptionShift):INDEX($FK387:$ID387,SwaptionMonthsToGo+SwaptionShift))*SUM(INDEX($FK$325:$ID$396,GB$169,1+SwaptionShift):INDEX($FK$325:$ID$396,GB$169,SwaptionMonthsToGo+SwaptionShift))))))</f>
        <v/>
      </c>
      <c r="GC232" s="479" t="str">
        <f ca="1">IF(OR(GC$169&lt;SwaptionFirstMonthPosition+1,$FJ232&lt;SwaptionFirstMonthPosition+1,GC$169&gt;SwaptionFirstMonthPosition+SwaptionNumOfMonths+1,$FJ232&gt;SwaptionFirstMonthPosition+SwaptionNumOfMonths+1),"",IF($FJ232=GC$169,1,IF($FJ232&lt;GC$169,INDEX($FK$170:$ID$241,GC$169,$FJ232),SUMPRODUCT(INDEX($FK$325:$ID$396,GC$169,1+SwaptionShift):INDEX($FK$325:$ID$396,GC$169,SwaptionMonthsToGo+SwaptionShift),INDEX($FK$245:$ID$316,$FJ232-GC$169,73-GC$169+SwaptionShift):INDEX($FK$245:$ID$316,$FJ232-GC$169,72-GC$169+SwaptionMonthsToGo+SwaptionShift))/SQRT(SUM(INDEX($FK387:$ID387,1+SwaptionShift):INDEX($FK387:$ID387,SwaptionMonthsToGo+SwaptionShift))*SUM(INDEX($FK$325:$ID$396,GC$169,1+SwaptionShift):INDEX($FK$325:$ID$396,GC$169,SwaptionMonthsToGo+SwaptionShift))))))</f>
        <v/>
      </c>
      <c r="GD232" s="479" t="str">
        <f ca="1">IF(OR(GD$169&lt;SwaptionFirstMonthPosition+1,$FJ232&lt;SwaptionFirstMonthPosition+1,GD$169&gt;SwaptionFirstMonthPosition+SwaptionNumOfMonths+1,$FJ232&gt;SwaptionFirstMonthPosition+SwaptionNumOfMonths+1),"",IF($FJ232=GD$169,1,IF($FJ232&lt;GD$169,INDEX($FK$170:$ID$241,GD$169,$FJ232),SUMPRODUCT(INDEX($FK$325:$ID$396,GD$169,1+SwaptionShift):INDEX($FK$325:$ID$396,GD$169,SwaptionMonthsToGo+SwaptionShift),INDEX($FK$245:$ID$316,$FJ232-GD$169,73-GD$169+SwaptionShift):INDEX($FK$245:$ID$316,$FJ232-GD$169,72-GD$169+SwaptionMonthsToGo+SwaptionShift))/SQRT(SUM(INDEX($FK387:$ID387,1+SwaptionShift):INDEX($FK387:$ID387,SwaptionMonthsToGo+SwaptionShift))*SUM(INDEX($FK$325:$ID$396,GD$169,1+SwaptionShift):INDEX($FK$325:$ID$396,GD$169,SwaptionMonthsToGo+SwaptionShift))))))</f>
        <v/>
      </c>
      <c r="GE232" s="479" t="str">
        <f ca="1">IF(OR(GE$169&lt;SwaptionFirstMonthPosition+1,$FJ232&lt;SwaptionFirstMonthPosition+1,GE$169&gt;SwaptionFirstMonthPosition+SwaptionNumOfMonths+1,$FJ232&gt;SwaptionFirstMonthPosition+SwaptionNumOfMonths+1),"",IF($FJ232=GE$169,1,IF($FJ232&lt;GE$169,INDEX($FK$170:$ID$241,GE$169,$FJ232),SUMPRODUCT(INDEX($FK$325:$ID$396,GE$169,1+SwaptionShift):INDEX($FK$325:$ID$396,GE$169,SwaptionMonthsToGo+SwaptionShift),INDEX($FK$245:$ID$316,$FJ232-GE$169,73-GE$169+SwaptionShift):INDEX($FK$245:$ID$316,$FJ232-GE$169,72-GE$169+SwaptionMonthsToGo+SwaptionShift))/SQRT(SUM(INDEX($FK387:$ID387,1+SwaptionShift):INDEX($FK387:$ID387,SwaptionMonthsToGo+SwaptionShift))*SUM(INDEX($FK$325:$ID$396,GE$169,1+SwaptionShift):INDEX($FK$325:$ID$396,GE$169,SwaptionMonthsToGo+SwaptionShift))))))</f>
        <v/>
      </c>
      <c r="GF232" s="479" t="str">
        <f ca="1">IF(OR(GF$169&lt;SwaptionFirstMonthPosition+1,$FJ232&lt;SwaptionFirstMonthPosition+1,GF$169&gt;SwaptionFirstMonthPosition+SwaptionNumOfMonths+1,$FJ232&gt;SwaptionFirstMonthPosition+SwaptionNumOfMonths+1),"",IF($FJ232=GF$169,1,IF($FJ232&lt;GF$169,INDEX($FK$170:$ID$241,GF$169,$FJ232),SUMPRODUCT(INDEX($FK$325:$ID$396,GF$169,1+SwaptionShift):INDEX($FK$325:$ID$396,GF$169,SwaptionMonthsToGo+SwaptionShift),INDEX($FK$245:$ID$316,$FJ232-GF$169,73-GF$169+SwaptionShift):INDEX($FK$245:$ID$316,$FJ232-GF$169,72-GF$169+SwaptionMonthsToGo+SwaptionShift))/SQRT(SUM(INDEX($FK387:$ID387,1+SwaptionShift):INDEX($FK387:$ID387,SwaptionMonthsToGo+SwaptionShift))*SUM(INDEX($FK$325:$ID$396,GF$169,1+SwaptionShift):INDEX($FK$325:$ID$396,GF$169,SwaptionMonthsToGo+SwaptionShift))))))</f>
        <v/>
      </c>
      <c r="GG232" s="479" t="str">
        <f ca="1">IF(OR(GG$169&lt;SwaptionFirstMonthPosition+1,$FJ232&lt;SwaptionFirstMonthPosition+1,GG$169&gt;SwaptionFirstMonthPosition+SwaptionNumOfMonths+1,$FJ232&gt;SwaptionFirstMonthPosition+SwaptionNumOfMonths+1),"",IF($FJ232=GG$169,1,IF($FJ232&lt;GG$169,INDEX($FK$170:$ID$241,GG$169,$FJ232),SUMPRODUCT(INDEX($FK$325:$ID$396,GG$169,1+SwaptionShift):INDEX($FK$325:$ID$396,GG$169,SwaptionMonthsToGo+SwaptionShift),INDEX($FK$245:$ID$316,$FJ232-GG$169,73-GG$169+SwaptionShift):INDEX($FK$245:$ID$316,$FJ232-GG$169,72-GG$169+SwaptionMonthsToGo+SwaptionShift))/SQRT(SUM(INDEX($FK387:$ID387,1+SwaptionShift):INDEX($FK387:$ID387,SwaptionMonthsToGo+SwaptionShift))*SUM(INDEX($FK$325:$ID$396,GG$169,1+SwaptionShift):INDEX($FK$325:$ID$396,GG$169,SwaptionMonthsToGo+SwaptionShift))))))</f>
        <v/>
      </c>
      <c r="GH232" s="479" t="str">
        <f ca="1">IF(OR(GH$169&lt;SwaptionFirstMonthPosition+1,$FJ232&lt;SwaptionFirstMonthPosition+1,GH$169&gt;SwaptionFirstMonthPosition+SwaptionNumOfMonths+1,$FJ232&gt;SwaptionFirstMonthPosition+SwaptionNumOfMonths+1),"",IF($FJ232=GH$169,1,IF($FJ232&lt;GH$169,INDEX($FK$170:$ID$241,GH$169,$FJ232),SUMPRODUCT(INDEX($FK$325:$ID$396,GH$169,1+SwaptionShift):INDEX($FK$325:$ID$396,GH$169,SwaptionMonthsToGo+SwaptionShift),INDEX($FK$245:$ID$316,$FJ232-GH$169,73-GH$169+SwaptionShift):INDEX($FK$245:$ID$316,$FJ232-GH$169,72-GH$169+SwaptionMonthsToGo+SwaptionShift))/SQRT(SUM(INDEX($FK387:$ID387,1+SwaptionShift):INDEX($FK387:$ID387,SwaptionMonthsToGo+SwaptionShift))*SUM(INDEX($FK$325:$ID$396,GH$169,1+SwaptionShift):INDEX($FK$325:$ID$396,GH$169,SwaptionMonthsToGo+SwaptionShift))))))</f>
        <v/>
      </c>
      <c r="GI232" s="479" t="str">
        <f ca="1">IF(OR(GI$169&lt;SwaptionFirstMonthPosition+1,$FJ232&lt;SwaptionFirstMonthPosition+1,GI$169&gt;SwaptionFirstMonthPosition+SwaptionNumOfMonths+1,$FJ232&gt;SwaptionFirstMonthPosition+SwaptionNumOfMonths+1),"",IF($FJ232=GI$169,1,IF($FJ232&lt;GI$169,INDEX($FK$170:$ID$241,GI$169,$FJ232),SUMPRODUCT(INDEX($FK$325:$ID$396,GI$169,1+SwaptionShift):INDEX($FK$325:$ID$396,GI$169,SwaptionMonthsToGo+SwaptionShift),INDEX($FK$245:$ID$316,$FJ232-GI$169,73-GI$169+SwaptionShift):INDEX($FK$245:$ID$316,$FJ232-GI$169,72-GI$169+SwaptionMonthsToGo+SwaptionShift))/SQRT(SUM(INDEX($FK387:$ID387,1+SwaptionShift):INDEX($FK387:$ID387,SwaptionMonthsToGo+SwaptionShift))*SUM(INDEX($FK$325:$ID$396,GI$169,1+SwaptionShift):INDEX($FK$325:$ID$396,GI$169,SwaptionMonthsToGo+SwaptionShift))))))</f>
        <v/>
      </c>
      <c r="GJ232" s="479" t="str">
        <f ca="1">IF(OR(GJ$169&lt;SwaptionFirstMonthPosition+1,$FJ232&lt;SwaptionFirstMonthPosition+1,GJ$169&gt;SwaptionFirstMonthPosition+SwaptionNumOfMonths+1,$FJ232&gt;SwaptionFirstMonthPosition+SwaptionNumOfMonths+1),"",IF($FJ232=GJ$169,1,IF($FJ232&lt;GJ$169,INDEX($FK$170:$ID$241,GJ$169,$FJ232),SUMPRODUCT(INDEX($FK$325:$ID$396,GJ$169,1+SwaptionShift):INDEX($FK$325:$ID$396,GJ$169,SwaptionMonthsToGo+SwaptionShift),INDEX($FK$245:$ID$316,$FJ232-GJ$169,73-GJ$169+SwaptionShift):INDEX($FK$245:$ID$316,$FJ232-GJ$169,72-GJ$169+SwaptionMonthsToGo+SwaptionShift))/SQRT(SUM(INDEX($FK387:$ID387,1+SwaptionShift):INDEX($FK387:$ID387,SwaptionMonthsToGo+SwaptionShift))*SUM(INDEX($FK$325:$ID$396,GJ$169,1+SwaptionShift):INDEX($FK$325:$ID$396,GJ$169,SwaptionMonthsToGo+SwaptionShift))))))</f>
        <v/>
      </c>
      <c r="GK232" s="479" t="str">
        <f ca="1">IF(OR(GK$169&lt;SwaptionFirstMonthPosition+1,$FJ232&lt;SwaptionFirstMonthPosition+1,GK$169&gt;SwaptionFirstMonthPosition+SwaptionNumOfMonths+1,$FJ232&gt;SwaptionFirstMonthPosition+SwaptionNumOfMonths+1),"",IF($FJ232=GK$169,1,IF($FJ232&lt;GK$169,INDEX($FK$170:$ID$241,GK$169,$FJ232),SUMPRODUCT(INDEX($FK$325:$ID$396,GK$169,1+SwaptionShift):INDEX($FK$325:$ID$396,GK$169,SwaptionMonthsToGo+SwaptionShift),INDEX($FK$245:$ID$316,$FJ232-GK$169,73-GK$169+SwaptionShift):INDEX($FK$245:$ID$316,$FJ232-GK$169,72-GK$169+SwaptionMonthsToGo+SwaptionShift))/SQRT(SUM(INDEX($FK387:$ID387,1+SwaptionShift):INDEX($FK387:$ID387,SwaptionMonthsToGo+SwaptionShift))*SUM(INDEX($FK$325:$ID$396,GK$169,1+SwaptionShift):INDEX($FK$325:$ID$396,GK$169,SwaptionMonthsToGo+SwaptionShift))))))</f>
        <v/>
      </c>
      <c r="GL232" s="479" t="str">
        <f ca="1">IF(OR(GL$169&lt;SwaptionFirstMonthPosition+1,$FJ232&lt;SwaptionFirstMonthPosition+1,GL$169&gt;SwaptionFirstMonthPosition+SwaptionNumOfMonths+1,$FJ232&gt;SwaptionFirstMonthPosition+SwaptionNumOfMonths+1),"",IF($FJ232=GL$169,1,IF($FJ232&lt;GL$169,INDEX($FK$170:$ID$241,GL$169,$FJ232),SUMPRODUCT(INDEX($FK$325:$ID$396,GL$169,1+SwaptionShift):INDEX($FK$325:$ID$396,GL$169,SwaptionMonthsToGo+SwaptionShift),INDEX($FK$245:$ID$316,$FJ232-GL$169,73-GL$169+SwaptionShift):INDEX($FK$245:$ID$316,$FJ232-GL$169,72-GL$169+SwaptionMonthsToGo+SwaptionShift))/SQRT(SUM(INDEX($FK387:$ID387,1+SwaptionShift):INDEX($FK387:$ID387,SwaptionMonthsToGo+SwaptionShift))*SUM(INDEX($FK$325:$ID$396,GL$169,1+SwaptionShift):INDEX($FK$325:$ID$396,GL$169,SwaptionMonthsToGo+SwaptionShift))))))</f>
        <v/>
      </c>
      <c r="GM232" s="479" t="str">
        <f ca="1">IF(OR(GM$169&lt;SwaptionFirstMonthPosition+1,$FJ232&lt;SwaptionFirstMonthPosition+1,GM$169&gt;SwaptionFirstMonthPosition+SwaptionNumOfMonths+1,$FJ232&gt;SwaptionFirstMonthPosition+SwaptionNumOfMonths+1),"",IF($FJ232=GM$169,1,IF($FJ232&lt;GM$169,INDEX($FK$170:$ID$241,GM$169,$FJ232),SUMPRODUCT(INDEX($FK$325:$ID$396,GM$169,1+SwaptionShift):INDEX($FK$325:$ID$396,GM$169,SwaptionMonthsToGo+SwaptionShift),INDEX($FK$245:$ID$316,$FJ232-GM$169,73-GM$169+SwaptionShift):INDEX($FK$245:$ID$316,$FJ232-GM$169,72-GM$169+SwaptionMonthsToGo+SwaptionShift))/SQRT(SUM(INDEX($FK387:$ID387,1+SwaptionShift):INDEX($FK387:$ID387,SwaptionMonthsToGo+SwaptionShift))*SUM(INDEX($FK$325:$ID$396,GM$169,1+SwaptionShift):INDEX($FK$325:$ID$396,GM$169,SwaptionMonthsToGo+SwaptionShift))))))</f>
        <v/>
      </c>
      <c r="GN232" s="479" t="str">
        <f ca="1">IF(OR(GN$169&lt;SwaptionFirstMonthPosition+1,$FJ232&lt;SwaptionFirstMonthPosition+1,GN$169&gt;SwaptionFirstMonthPosition+SwaptionNumOfMonths+1,$FJ232&gt;SwaptionFirstMonthPosition+SwaptionNumOfMonths+1),"",IF($FJ232=GN$169,1,IF($FJ232&lt;GN$169,INDEX($FK$170:$ID$241,GN$169,$FJ232),SUMPRODUCT(INDEX($FK$325:$ID$396,GN$169,1+SwaptionShift):INDEX($FK$325:$ID$396,GN$169,SwaptionMonthsToGo+SwaptionShift),INDEX($FK$245:$ID$316,$FJ232-GN$169,73-GN$169+SwaptionShift):INDEX($FK$245:$ID$316,$FJ232-GN$169,72-GN$169+SwaptionMonthsToGo+SwaptionShift))/SQRT(SUM(INDEX($FK387:$ID387,1+SwaptionShift):INDEX($FK387:$ID387,SwaptionMonthsToGo+SwaptionShift))*SUM(INDEX($FK$325:$ID$396,GN$169,1+SwaptionShift):INDEX($FK$325:$ID$396,GN$169,SwaptionMonthsToGo+SwaptionShift))))))</f>
        <v/>
      </c>
      <c r="GO232" s="479" t="str">
        <f ca="1">IF(OR(GO$169&lt;SwaptionFirstMonthPosition+1,$FJ232&lt;SwaptionFirstMonthPosition+1,GO$169&gt;SwaptionFirstMonthPosition+SwaptionNumOfMonths+1,$FJ232&gt;SwaptionFirstMonthPosition+SwaptionNumOfMonths+1),"",IF($FJ232=GO$169,1,IF($FJ232&lt;GO$169,INDEX($FK$170:$ID$241,GO$169,$FJ232),SUMPRODUCT(INDEX($FK$325:$ID$396,GO$169,1+SwaptionShift):INDEX($FK$325:$ID$396,GO$169,SwaptionMonthsToGo+SwaptionShift),INDEX($FK$245:$ID$316,$FJ232-GO$169,73-GO$169+SwaptionShift):INDEX($FK$245:$ID$316,$FJ232-GO$169,72-GO$169+SwaptionMonthsToGo+SwaptionShift))/SQRT(SUM(INDEX($FK387:$ID387,1+SwaptionShift):INDEX($FK387:$ID387,SwaptionMonthsToGo+SwaptionShift))*SUM(INDEX($FK$325:$ID$396,GO$169,1+SwaptionShift):INDEX($FK$325:$ID$396,GO$169,SwaptionMonthsToGo+SwaptionShift))))))</f>
        <v/>
      </c>
      <c r="GP232" s="479" t="str">
        <f ca="1">IF(OR(GP$169&lt;SwaptionFirstMonthPosition+1,$FJ232&lt;SwaptionFirstMonthPosition+1,GP$169&gt;SwaptionFirstMonthPosition+SwaptionNumOfMonths+1,$FJ232&gt;SwaptionFirstMonthPosition+SwaptionNumOfMonths+1),"",IF($FJ232=GP$169,1,IF($FJ232&lt;GP$169,INDEX($FK$170:$ID$241,GP$169,$FJ232),SUMPRODUCT(INDEX($FK$325:$ID$396,GP$169,1+SwaptionShift):INDEX($FK$325:$ID$396,GP$169,SwaptionMonthsToGo+SwaptionShift),INDEX($FK$245:$ID$316,$FJ232-GP$169,73-GP$169+SwaptionShift):INDEX($FK$245:$ID$316,$FJ232-GP$169,72-GP$169+SwaptionMonthsToGo+SwaptionShift))/SQRT(SUM(INDEX($FK387:$ID387,1+SwaptionShift):INDEX($FK387:$ID387,SwaptionMonthsToGo+SwaptionShift))*SUM(INDEX($FK$325:$ID$396,GP$169,1+SwaptionShift):INDEX($FK$325:$ID$396,GP$169,SwaptionMonthsToGo+SwaptionShift))))))</f>
        <v/>
      </c>
      <c r="GQ232" s="479" t="str">
        <f ca="1">IF(OR(GQ$169&lt;SwaptionFirstMonthPosition+1,$FJ232&lt;SwaptionFirstMonthPosition+1,GQ$169&gt;SwaptionFirstMonthPosition+SwaptionNumOfMonths+1,$FJ232&gt;SwaptionFirstMonthPosition+SwaptionNumOfMonths+1),"",IF($FJ232=GQ$169,1,IF($FJ232&lt;GQ$169,INDEX($FK$170:$ID$241,GQ$169,$FJ232),SUMPRODUCT(INDEX($FK$325:$ID$396,GQ$169,1+SwaptionShift):INDEX($FK$325:$ID$396,GQ$169,SwaptionMonthsToGo+SwaptionShift),INDEX($FK$245:$ID$316,$FJ232-GQ$169,73-GQ$169+SwaptionShift):INDEX($FK$245:$ID$316,$FJ232-GQ$169,72-GQ$169+SwaptionMonthsToGo+SwaptionShift))/SQRT(SUM(INDEX($FK387:$ID387,1+SwaptionShift):INDEX($FK387:$ID387,SwaptionMonthsToGo+SwaptionShift))*SUM(INDEX($FK$325:$ID$396,GQ$169,1+SwaptionShift):INDEX($FK$325:$ID$396,GQ$169,SwaptionMonthsToGo+SwaptionShift))))))</f>
        <v/>
      </c>
      <c r="GR232" s="479" t="str">
        <f ca="1">IF(OR(GR$169&lt;SwaptionFirstMonthPosition+1,$FJ232&lt;SwaptionFirstMonthPosition+1,GR$169&gt;SwaptionFirstMonthPosition+SwaptionNumOfMonths+1,$FJ232&gt;SwaptionFirstMonthPosition+SwaptionNumOfMonths+1),"",IF($FJ232=GR$169,1,IF($FJ232&lt;GR$169,INDEX($FK$170:$ID$241,GR$169,$FJ232),SUMPRODUCT(INDEX($FK$325:$ID$396,GR$169,1+SwaptionShift):INDEX($FK$325:$ID$396,GR$169,SwaptionMonthsToGo+SwaptionShift),INDEX($FK$245:$ID$316,$FJ232-GR$169,73-GR$169+SwaptionShift):INDEX($FK$245:$ID$316,$FJ232-GR$169,72-GR$169+SwaptionMonthsToGo+SwaptionShift))/SQRT(SUM(INDEX($FK387:$ID387,1+SwaptionShift):INDEX($FK387:$ID387,SwaptionMonthsToGo+SwaptionShift))*SUM(INDEX($FK$325:$ID$396,GR$169,1+SwaptionShift):INDEX($FK$325:$ID$396,GR$169,SwaptionMonthsToGo+SwaptionShift))))))</f>
        <v/>
      </c>
      <c r="GS232" s="479" t="str">
        <f ca="1">IF(OR(GS$169&lt;SwaptionFirstMonthPosition+1,$FJ232&lt;SwaptionFirstMonthPosition+1,GS$169&gt;SwaptionFirstMonthPosition+SwaptionNumOfMonths+1,$FJ232&gt;SwaptionFirstMonthPosition+SwaptionNumOfMonths+1),"",IF($FJ232=GS$169,1,IF($FJ232&lt;GS$169,INDEX($FK$170:$ID$241,GS$169,$FJ232),SUMPRODUCT(INDEX($FK$325:$ID$396,GS$169,1+SwaptionShift):INDEX($FK$325:$ID$396,GS$169,SwaptionMonthsToGo+SwaptionShift),INDEX($FK$245:$ID$316,$FJ232-GS$169,73-GS$169+SwaptionShift):INDEX($FK$245:$ID$316,$FJ232-GS$169,72-GS$169+SwaptionMonthsToGo+SwaptionShift))/SQRT(SUM(INDEX($FK387:$ID387,1+SwaptionShift):INDEX($FK387:$ID387,SwaptionMonthsToGo+SwaptionShift))*SUM(INDEX($FK$325:$ID$396,GS$169,1+SwaptionShift):INDEX($FK$325:$ID$396,GS$169,SwaptionMonthsToGo+SwaptionShift))))))</f>
        <v/>
      </c>
      <c r="GT232" s="479" t="str">
        <f ca="1">IF(OR(GT$169&lt;SwaptionFirstMonthPosition+1,$FJ232&lt;SwaptionFirstMonthPosition+1,GT$169&gt;SwaptionFirstMonthPosition+SwaptionNumOfMonths+1,$FJ232&gt;SwaptionFirstMonthPosition+SwaptionNumOfMonths+1),"",IF($FJ232=GT$169,1,IF($FJ232&lt;GT$169,INDEX($FK$170:$ID$241,GT$169,$FJ232),SUMPRODUCT(INDEX($FK$325:$ID$396,GT$169,1+SwaptionShift):INDEX($FK$325:$ID$396,GT$169,SwaptionMonthsToGo+SwaptionShift),INDEX($FK$245:$ID$316,$FJ232-GT$169,73-GT$169+SwaptionShift):INDEX($FK$245:$ID$316,$FJ232-GT$169,72-GT$169+SwaptionMonthsToGo+SwaptionShift))/SQRT(SUM(INDEX($FK387:$ID387,1+SwaptionShift):INDEX($FK387:$ID387,SwaptionMonthsToGo+SwaptionShift))*SUM(INDEX($FK$325:$ID$396,GT$169,1+SwaptionShift):INDEX($FK$325:$ID$396,GT$169,SwaptionMonthsToGo+SwaptionShift))))))</f>
        <v/>
      </c>
      <c r="GU232" s="479" t="str">
        <f ca="1">IF(OR(GU$169&lt;SwaptionFirstMonthPosition+1,$FJ232&lt;SwaptionFirstMonthPosition+1,GU$169&gt;SwaptionFirstMonthPosition+SwaptionNumOfMonths+1,$FJ232&gt;SwaptionFirstMonthPosition+SwaptionNumOfMonths+1),"",IF($FJ232=GU$169,1,IF($FJ232&lt;GU$169,INDEX($FK$170:$ID$241,GU$169,$FJ232),SUMPRODUCT(INDEX($FK$325:$ID$396,GU$169,1+SwaptionShift):INDEX($FK$325:$ID$396,GU$169,SwaptionMonthsToGo+SwaptionShift),INDEX($FK$245:$ID$316,$FJ232-GU$169,73-GU$169+SwaptionShift):INDEX($FK$245:$ID$316,$FJ232-GU$169,72-GU$169+SwaptionMonthsToGo+SwaptionShift))/SQRT(SUM(INDEX($FK387:$ID387,1+SwaptionShift):INDEX($FK387:$ID387,SwaptionMonthsToGo+SwaptionShift))*SUM(INDEX($FK$325:$ID$396,GU$169,1+SwaptionShift):INDEX($FK$325:$ID$396,GU$169,SwaptionMonthsToGo+SwaptionShift))))))</f>
        <v/>
      </c>
      <c r="GV232" s="479" t="str">
        <f ca="1">IF(OR(GV$169&lt;SwaptionFirstMonthPosition+1,$FJ232&lt;SwaptionFirstMonthPosition+1,GV$169&gt;SwaptionFirstMonthPosition+SwaptionNumOfMonths+1,$FJ232&gt;SwaptionFirstMonthPosition+SwaptionNumOfMonths+1),"",IF($FJ232=GV$169,1,IF($FJ232&lt;GV$169,INDEX($FK$170:$ID$241,GV$169,$FJ232),SUMPRODUCT(INDEX($FK$325:$ID$396,GV$169,1+SwaptionShift):INDEX($FK$325:$ID$396,GV$169,SwaptionMonthsToGo+SwaptionShift),INDEX($FK$245:$ID$316,$FJ232-GV$169,73-GV$169+SwaptionShift):INDEX($FK$245:$ID$316,$FJ232-GV$169,72-GV$169+SwaptionMonthsToGo+SwaptionShift))/SQRT(SUM(INDEX($FK387:$ID387,1+SwaptionShift):INDEX($FK387:$ID387,SwaptionMonthsToGo+SwaptionShift))*SUM(INDEX($FK$325:$ID$396,GV$169,1+SwaptionShift):INDEX($FK$325:$ID$396,GV$169,SwaptionMonthsToGo+SwaptionShift))))))</f>
        <v/>
      </c>
      <c r="GW232" s="479" t="str">
        <f ca="1">IF(OR(GW$169&lt;SwaptionFirstMonthPosition+1,$FJ232&lt;SwaptionFirstMonthPosition+1,GW$169&gt;SwaptionFirstMonthPosition+SwaptionNumOfMonths+1,$FJ232&gt;SwaptionFirstMonthPosition+SwaptionNumOfMonths+1),"",IF($FJ232=GW$169,1,IF($FJ232&lt;GW$169,INDEX($FK$170:$ID$241,GW$169,$FJ232),SUMPRODUCT(INDEX($FK$325:$ID$396,GW$169,1+SwaptionShift):INDEX($FK$325:$ID$396,GW$169,SwaptionMonthsToGo+SwaptionShift),INDEX($FK$245:$ID$316,$FJ232-GW$169,73-GW$169+SwaptionShift):INDEX($FK$245:$ID$316,$FJ232-GW$169,72-GW$169+SwaptionMonthsToGo+SwaptionShift))/SQRT(SUM(INDEX($FK387:$ID387,1+SwaptionShift):INDEX($FK387:$ID387,SwaptionMonthsToGo+SwaptionShift))*SUM(INDEX($FK$325:$ID$396,GW$169,1+SwaptionShift):INDEX($FK$325:$ID$396,GW$169,SwaptionMonthsToGo+SwaptionShift))))))</f>
        <v/>
      </c>
      <c r="GX232" s="479" t="str">
        <f ca="1">IF(OR(GX$169&lt;SwaptionFirstMonthPosition+1,$FJ232&lt;SwaptionFirstMonthPosition+1,GX$169&gt;SwaptionFirstMonthPosition+SwaptionNumOfMonths+1,$FJ232&gt;SwaptionFirstMonthPosition+SwaptionNumOfMonths+1),"",IF($FJ232=GX$169,1,IF($FJ232&lt;GX$169,INDEX($FK$170:$ID$241,GX$169,$FJ232),SUMPRODUCT(INDEX($FK$325:$ID$396,GX$169,1+SwaptionShift):INDEX($FK$325:$ID$396,GX$169,SwaptionMonthsToGo+SwaptionShift),INDEX($FK$245:$ID$316,$FJ232-GX$169,73-GX$169+SwaptionShift):INDEX($FK$245:$ID$316,$FJ232-GX$169,72-GX$169+SwaptionMonthsToGo+SwaptionShift))/SQRT(SUM(INDEX($FK387:$ID387,1+SwaptionShift):INDEX($FK387:$ID387,SwaptionMonthsToGo+SwaptionShift))*SUM(INDEX($FK$325:$ID$396,GX$169,1+SwaptionShift):INDEX($FK$325:$ID$396,GX$169,SwaptionMonthsToGo+SwaptionShift))))))</f>
        <v/>
      </c>
      <c r="GY232" s="479" t="str">
        <f ca="1">IF(OR(GY$169&lt;SwaptionFirstMonthPosition+1,$FJ232&lt;SwaptionFirstMonthPosition+1,GY$169&gt;SwaptionFirstMonthPosition+SwaptionNumOfMonths+1,$FJ232&gt;SwaptionFirstMonthPosition+SwaptionNumOfMonths+1),"",IF($FJ232=GY$169,1,IF($FJ232&lt;GY$169,INDEX($FK$170:$ID$241,GY$169,$FJ232),SUMPRODUCT(INDEX($FK$325:$ID$396,GY$169,1+SwaptionShift):INDEX($FK$325:$ID$396,GY$169,SwaptionMonthsToGo+SwaptionShift),INDEX($FK$245:$ID$316,$FJ232-GY$169,73-GY$169+SwaptionShift):INDEX($FK$245:$ID$316,$FJ232-GY$169,72-GY$169+SwaptionMonthsToGo+SwaptionShift))/SQRT(SUM(INDEX($FK387:$ID387,1+SwaptionShift):INDEX($FK387:$ID387,SwaptionMonthsToGo+SwaptionShift))*SUM(INDEX($FK$325:$ID$396,GY$169,1+SwaptionShift):INDEX($FK$325:$ID$396,GY$169,SwaptionMonthsToGo+SwaptionShift))))))</f>
        <v/>
      </c>
      <c r="GZ232" s="479" t="str">
        <f ca="1">IF(OR(GZ$169&lt;SwaptionFirstMonthPosition+1,$FJ232&lt;SwaptionFirstMonthPosition+1,GZ$169&gt;SwaptionFirstMonthPosition+SwaptionNumOfMonths+1,$FJ232&gt;SwaptionFirstMonthPosition+SwaptionNumOfMonths+1),"",IF($FJ232=GZ$169,1,IF($FJ232&lt;GZ$169,INDEX($FK$170:$ID$241,GZ$169,$FJ232),SUMPRODUCT(INDEX($FK$325:$ID$396,GZ$169,1+SwaptionShift):INDEX($FK$325:$ID$396,GZ$169,SwaptionMonthsToGo+SwaptionShift),INDEX($FK$245:$ID$316,$FJ232-GZ$169,73-GZ$169+SwaptionShift):INDEX($FK$245:$ID$316,$FJ232-GZ$169,72-GZ$169+SwaptionMonthsToGo+SwaptionShift))/SQRT(SUM(INDEX($FK387:$ID387,1+SwaptionShift):INDEX($FK387:$ID387,SwaptionMonthsToGo+SwaptionShift))*SUM(INDEX($FK$325:$ID$396,GZ$169,1+SwaptionShift):INDEX($FK$325:$ID$396,GZ$169,SwaptionMonthsToGo+SwaptionShift))))))</f>
        <v/>
      </c>
      <c r="HA232" s="479" t="str">
        <f ca="1">IF(OR(HA$169&lt;SwaptionFirstMonthPosition+1,$FJ232&lt;SwaptionFirstMonthPosition+1,HA$169&gt;SwaptionFirstMonthPosition+SwaptionNumOfMonths+1,$FJ232&gt;SwaptionFirstMonthPosition+SwaptionNumOfMonths+1),"",IF($FJ232=HA$169,1,IF($FJ232&lt;HA$169,INDEX($FK$170:$ID$241,HA$169,$FJ232),SUMPRODUCT(INDEX($FK$325:$ID$396,HA$169,1+SwaptionShift):INDEX($FK$325:$ID$396,HA$169,SwaptionMonthsToGo+SwaptionShift),INDEX($FK$245:$ID$316,$FJ232-HA$169,73-HA$169+SwaptionShift):INDEX($FK$245:$ID$316,$FJ232-HA$169,72-HA$169+SwaptionMonthsToGo+SwaptionShift))/SQRT(SUM(INDEX($FK387:$ID387,1+SwaptionShift):INDEX($FK387:$ID387,SwaptionMonthsToGo+SwaptionShift))*SUM(INDEX($FK$325:$ID$396,HA$169,1+SwaptionShift):INDEX($FK$325:$ID$396,HA$169,SwaptionMonthsToGo+SwaptionShift))))))</f>
        <v/>
      </c>
      <c r="HB232" s="479" t="str">
        <f ca="1">IF(OR(HB$169&lt;SwaptionFirstMonthPosition+1,$FJ232&lt;SwaptionFirstMonthPosition+1,HB$169&gt;SwaptionFirstMonthPosition+SwaptionNumOfMonths+1,$FJ232&gt;SwaptionFirstMonthPosition+SwaptionNumOfMonths+1),"",IF($FJ232=HB$169,1,IF($FJ232&lt;HB$169,INDEX($FK$170:$ID$241,HB$169,$FJ232),SUMPRODUCT(INDEX($FK$325:$ID$396,HB$169,1+SwaptionShift):INDEX($FK$325:$ID$396,HB$169,SwaptionMonthsToGo+SwaptionShift),INDEX($FK$245:$ID$316,$FJ232-HB$169,73-HB$169+SwaptionShift):INDEX($FK$245:$ID$316,$FJ232-HB$169,72-HB$169+SwaptionMonthsToGo+SwaptionShift))/SQRT(SUM(INDEX($FK387:$ID387,1+SwaptionShift):INDEX($FK387:$ID387,SwaptionMonthsToGo+SwaptionShift))*SUM(INDEX($FK$325:$ID$396,HB$169,1+SwaptionShift):INDEX($FK$325:$ID$396,HB$169,SwaptionMonthsToGo+SwaptionShift))))))</f>
        <v/>
      </c>
      <c r="HC232" s="479" t="str">
        <f ca="1">IF(OR(HC$169&lt;SwaptionFirstMonthPosition+1,$FJ232&lt;SwaptionFirstMonthPosition+1,HC$169&gt;SwaptionFirstMonthPosition+SwaptionNumOfMonths+1,$FJ232&gt;SwaptionFirstMonthPosition+SwaptionNumOfMonths+1),"",IF($FJ232=HC$169,1,IF($FJ232&lt;HC$169,INDEX($FK$170:$ID$241,HC$169,$FJ232),SUMPRODUCT(INDEX($FK$325:$ID$396,HC$169,1+SwaptionShift):INDEX($FK$325:$ID$396,HC$169,SwaptionMonthsToGo+SwaptionShift),INDEX($FK$245:$ID$316,$FJ232-HC$169,73-HC$169+SwaptionShift):INDEX($FK$245:$ID$316,$FJ232-HC$169,72-HC$169+SwaptionMonthsToGo+SwaptionShift))/SQRT(SUM(INDEX($FK387:$ID387,1+SwaptionShift):INDEX($FK387:$ID387,SwaptionMonthsToGo+SwaptionShift))*SUM(INDEX($FK$325:$ID$396,HC$169,1+SwaptionShift):INDEX($FK$325:$ID$396,HC$169,SwaptionMonthsToGo+SwaptionShift))))))</f>
        <v/>
      </c>
      <c r="HD232" s="479" t="str">
        <f ca="1">IF(OR(HD$169&lt;SwaptionFirstMonthPosition+1,$FJ232&lt;SwaptionFirstMonthPosition+1,HD$169&gt;SwaptionFirstMonthPosition+SwaptionNumOfMonths+1,$FJ232&gt;SwaptionFirstMonthPosition+SwaptionNumOfMonths+1),"",IF($FJ232=HD$169,1,IF($FJ232&lt;HD$169,INDEX($FK$170:$ID$241,HD$169,$FJ232),SUMPRODUCT(INDEX($FK$325:$ID$396,HD$169,1+SwaptionShift):INDEX($FK$325:$ID$396,HD$169,SwaptionMonthsToGo+SwaptionShift),INDEX($FK$245:$ID$316,$FJ232-HD$169,73-HD$169+SwaptionShift):INDEX($FK$245:$ID$316,$FJ232-HD$169,72-HD$169+SwaptionMonthsToGo+SwaptionShift))/SQRT(SUM(INDEX($FK387:$ID387,1+SwaptionShift):INDEX($FK387:$ID387,SwaptionMonthsToGo+SwaptionShift))*SUM(INDEX($FK$325:$ID$396,HD$169,1+SwaptionShift):INDEX($FK$325:$ID$396,HD$169,SwaptionMonthsToGo+SwaptionShift))))))</f>
        <v/>
      </c>
      <c r="HE232" s="479" t="str">
        <f ca="1">IF(OR(HE$169&lt;SwaptionFirstMonthPosition+1,$FJ232&lt;SwaptionFirstMonthPosition+1,HE$169&gt;SwaptionFirstMonthPosition+SwaptionNumOfMonths+1,$FJ232&gt;SwaptionFirstMonthPosition+SwaptionNumOfMonths+1),"",IF($FJ232=HE$169,1,IF($FJ232&lt;HE$169,INDEX($FK$170:$ID$241,HE$169,$FJ232),SUMPRODUCT(INDEX($FK$325:$ID$396,HE$169,1+SwaptionShift):INDEX($FK$325:$ID$396,HE$169,SwaptionMonthsToGo+SwaptionShift),INDEX($FK$245:$ID$316,$FJ232-HE$169,73-HE$169+SwaptionShift):INDEX($FK$245:$ID$316,$FJ232-HE$169,72-HE$169+SwaptionMonthsToGo+SwaptionShift))/SQRT(SUM(INDEX($FK387:$ID387,1+SwaptionShift):INDEX($FK387:$ID387,SwaptionMonthsToGo+SwaptionShift))*SUM(INDEX($FK$325:$ID$396,HE$169,1+SwaptionShift):INDEX($FK$325:$ID$396,HE$169,SwaptionMonthsToGo+SwaptionShift))))))</f>
        <v/>
      </c>
      <c r="HF232" s="479" t="str">
        <f ca="1">IF(OR(HF$169&lt;SwaptionFirstMonthPosition+1,$FJ232&lt;SwaptionFirstMonthPosition+1,HF$169&gt;SwaptionFirstMonthPosition+SwaptionNumOfMonths+1,$FJ232&gt;SwaptionFirstMonthPosition+SwaptionNumOfMonths+1),"",IF($FJ232=HF$169,1,IF($FJ232&lt;HF$169,INDEX($FK$170:$ID$241,HF$169,$FJ232),SUMPRODUCT(INDEX($FK$325:$ID$396,HF$169,1+SwaptionShift):INDEX($FK$325:$ID$396,HF$169,SwaptionMonthsToGo+SwaptionShift),INDEX($FK$245:$ID$316,$FJ232-HF$169,73-HF$169+SwaptionShift):INDEX($FK$245:$ID$316,$FJ232-HF$169,72-HF$169+SwaptionMonthsToGo+SwaptionShift))/SQRT(SUM(INDEX($FK387:$ID387,1+SwaptionShift):INDEX($FK387:$ID387,SwaptionMonthsToGo+SwaptionShift))*SUM(INDEX($FK$325:$ID$396,HF$169,1+SwaptionShift):INDEX($FK$325:$ID$396,HF$169,SwaptionMonthsToGo+SwaptionShift))))))</f>
        <v/>
      </c>
      <c r="HG232" s="479" t="str">
        <f ca="1">IF(OR(HG$169&lt;SwaptionFirstMonthPosition+1,$FJ232&lt;SwaptionFirstMonthPosition+1,HG$169&gt;SwaptionFirstMonthPosition+SwaptionNumOfMonths+1,$FJ232&gt;SwaptionFirstMonthPosition+SwaptionNumOfMonths+1),"",IF($FJ232=HG$169,1,IF($FJ232&lt;HG$169,INDEX($FK$170:$ID$241,HG$169,$FJ232),SUMPRODUCT(INDEX($FK$325:$ID$396,HG$169,1+SwaptionShift):INDEX($FK$325:$ID$396,HG$169,SwaptionMonthsToGo+SwaptionShift),INDEX($FK$245:$ID$316,$FJ232-HG$169,73-HG$169+SwaptionShift):INDEX($FK$245:$ID$316,$FJ232-HG$169,72-HG$169+SwaptionMonthsToGo+SwaptionShift))/SQRT(SUM(INDEX($FK387:$ID387,1+SwaptionShift):INDEX($FK387:$ID387,SwaptionMonthsToGo+SwaptionShift))*SUM(INDEX($FK$325:$ID$396,HG$169,1+SwaptionShift):INDEX($FK$325:$ID$396,HG$169,SwaptionMonthsToGo+SwaptionShift))))))</f>
        <v/>
      </c>
      <c r="HH232" s="479" t="str">
        <f ca="1">IF(OR(HH$169&lt;SwaptionFirstMonthPosition+1,$FJ232&lt;SwaptionFirstMonthPosition+1,HH$169&gt;SwaptionFirstMonthPosition+SwaptionNumOfMonths+1,$FJ232&gt;SwaptionFirstMonthPosition+SwaptionNumOfMonths+1),"",IF($FJ232=HH$169,1,IF($FJ232&lt;HH$169,INDEX($FK$170:$ID$241,HH$169,$FJ232),SUMPRODUCT(INDEX($FK$325:$ID$396,HH$169,1+SwaptionShift):INDEX($FK$325:$ID$396,HH$169,SwaptionMonthsToGo+SwaptionShift),INDEX($FK$245:$ID$316,$FJ232-HH$169,73-HH$169+SwaptionShift):INDEX($FK$245:$ID$316,$FJ232-HH$169,72-HH$169+SwaptionMonthsToGo+SwaptionShift))/SQRT(SUM(INDEX($FK387:$ID387,1+SwaptionShift):INDEX($FK387:$ID387,SwaptionMonthsToGo+SwaptionShift))*SUM(INDEX($FK$325:$ID$396,HH$169,1+SwaptionShift):INDEX($FK$325:$ID$396,HH$169,SwaptionMonthsToGo+SwaptionShift))))))</f>
        <v/>
      </c>
      <c r="HI232" s="479" t="str">
        <f ca="1">IF(OR(HI$169&lt;SwaptionFirstMonthPosition+1,$FJ232&lt;SwaptionFirstMonthPosition+1,HI$169&gt;SwaptionFirstMonthPosition+SwaptionNumOfMonths+1,$FJ232&gt;SwaptionFirstMonthPosition+SwaptionNumOfMonths+1),"",IF($FJ232=HI$169,1,IF($FJ232&lt;HI$169,INDEX($FK$170:$ID$241,HI$169,$FJ232),SUMPRODUCT(INDEX($FK$325:$ID$396,HI$169,1+SwaptionShift):INDEX($FK$325:$ID$396,HI$169,SwaptionMonthsToGo+SwaptionShift),INDEX($FK$245:$ID$316,$FJ232-HI$169,73-HI$169+SwaptionShift):INDEX($FK$245:$ID$316,$FJ232-HI$169,72-HI$169+SwaptionMonthsToGo+SwaptionShift))/SQRT(SUM(INDEX($FK387:$ID387,1+SwaptionShift):INDEX($FK387:$ID387,SwaptionMonthsToGo+SwaptionShift))*SUM(INDEX($FK$325:$ID$396,HI$169,1+SwaptionShift):INDEX($FK$325:$ID$396,HI$169,SwaptionMonthsToGo+SwaptionShift))))))</f>
        <v/>
      </c>
      <c r="HJ232" s="479" t="str">
        <f ca="1">IF(OR(HJ$169&lt;SwaptionFirstMonthPosition+1,$FJ232&lt;SwaptionFirstMonthPosition+1,HJ$169&gt;SwaptionFirstMonthPosition+SwaptionNumOfMonths+1,$FJ232&gt;SwaptionFirstMonthPosition+SwaptionNumOfMonths+1),"",IF($FJ232=HJ$169,1,IF($FJ232&lt;HJ$169,INDEX($FK$170:$ID$241,HJ$169,$FJ232),SUMPRODUCT(INDEX($FK$325:$ID$396,HJ$169,1+SwaptionShift):INDEX($FK$325:$ID$396,HJ$169,SwaptionMonthsToGo+SwaptionShift),INDEX($FK$245:$ID$316,$FJ232-HJ$169,73-HJ$169+SwaptionShift):INDEX($FK$245:$ID$316,$FJ232-HJ$169,72-HJ$169+SwaptionMonthsToGo+SwaptionShift))/SQRT(SUM(INDEX($FK387:$ID387,1+SwaptionShift):INDEX($FK387:$ID387,SwaptionMonthsToGo+SwaptionShift))*SUM(INDEX($FK$325:$ID$396,HJ$169,1+SwaptionShift):INDEX($FK$325:$ID$396,HJ$169,SwaptionMonthsToGo+SwaptionShift))))))</f>
        <v/>
      </c>
      <c r="HK232" s="479" t="str">
        <f ca="1">IF(OR(HK$169&lt;SwaptionFirstMonthPosition+1,$FJ232&lt;SwaptionFirstMonthPosition+1,HK$169&gt;SwaptionFirstMonthPosition+SwaptionNumOfMonths+1,$FJ232&gt;SwaptionFirstMonthPosition+SwaptionNumOfMonths+1),"",IF($FJ232=HK$169,1,IF($FJ232&lt;HK$169,INDEX($FK$170:$ID$241,HK$169,$FJ232),SUMPRODUCT(INDEX($FK$325:$ID$396,HK$169,1+SwaptionShift):INDEX($FK$325:$ID$396,HK$169,SwaptionMonthsToGo+SwaptionShift),INDEX($FK$245:$ID$316,$FJ232-HK$169,73-HK$169+SwaptionShift):INDEX($FK$245:$ID$316,$FJ232-HK$169,72-HK$169+SwaptionMonthsToGo+SwaptionShift))/SQRT(SUM(INDEX($FK387:$ID387,1+SwaptionShift):INDEX($FK387:$ID387,SwaptionMonthsToGo+SwaptionShift))*SUM(INDEX($FK$325:$ID$396,HK$169,1+SwaptionShift):INDEX($FK$325:$ID$396,HK$169,SwaptionMonthsToGo+SwaptionShift))))))</f>
        <v/>
      </c>
      <c r="HL232" s="479" t="str">
        <f ca="1">IF(OR(HL$169&lt;SwaptionFirstMonthPosition+1,$FJ232&lt;SwaptionFirstMonthPosition+1,HL$169&gt;SwaptionFirstMonthPosition+SwaptionNumOfMonths+1,$FJ232&gt;SwaptionFirstMonthPosition+SwaptionNumOfMonths+1),"",IF($FJ232=HL$169,1,IF($FJ232&lt;HL$169,INDEX($FK$170:$ID$241,HL$169,$FJ232),SUMPRODUCT(INDEX($FK$325:$ID$396,HL$169,1+SwaptionShift):INDEX($FK$325:$ID$396,HL$169,SwaptionMonthsToGo+SwaptionShift),INDEX($FK$245:$ID$316,$FJ232-HL$169,73-HL$169+SwaptionShift):INDEX($FK$245:$ID$316,$FJ232-HL$169,72-HL$169+SwaptionMonthsToGo+SwaptionShift))/SQRT(SUM(INDEX($FK387:$ID387,1+SwaptionShift):INDEX($FK387:$ID387,SwaptionMonthsToGo+SwaptionShift))*SUM(INDEX($FK$325:$ID$396,HL$169,1+SwaptionShift):INDEX($FK$325:$ID$396,HL$169,SwaptionMonthsToGo+SwaptionShift))))))</f>
        <v/>
      </c>
      <c r="HM232" s="479" t="str">
        <f ca="1">IF(OR(HM$169&lt;SwaptionFirstMonthPosition+1,$FJ232&lt;SwaptionFirstMonthPosition+1,HM$169&gt;SwaptionFirstMonthPosition+SwaptionNumOfMonths+1,$FJ232&gt;SwaptionFirstMonthPosition+SwaptionNumOfMonths+1),"",IF($FJ232=HM$169,1,IF($FJ232&lt;HM$169,INDEX($FK$170:$ID$241,HM$169,$FJ232),SUMPRODUCT(INDEX($FK$325:$ID$396,HM$169,1+SwaptionShift):INDEX($FK$325:$ID$396,HM$169,SwaptionMonthsToGo+SwaptionShift),INDEX($FK$245:$ID$316,$FJ232-HM$169,73-HM$169+SwaptionShift):INDEX($FK$245:$ID$316,$FJ232-HM$169,72-HM$169+SwaptionMonthsToGo+SwaptionShift))/SQRT(SUM(INDEX($FK387:$ID387,1+SwaptionShift):INDEX($FK387:$ID387,SwaptionMonthsToGo+SwaptionShift))*SUM(INDEX($FK$325:$ID$396,HM$169,1+SwaptionShift):INDEX($FK$325:$ID$396,HM$169,SwaptionMonthsToGo+SwaptionShift))))))</f>
        <v/>
      </c>
      <c r="HN232" s="479" t="str">
        <f ca="1">IF(OR(HN$169&lt;SwaptionFirstMonthPosition+1,$FJ232&lt;SwaptionFirstMonthPosition+1,HN$169&gt;SwaptionFirstMonthPosition+SwaptionNumOfMonths+1,$FJ232&gt;SwaptionFirstMonthPosition+SwaptionNumOfMonths+1),"",IF($FJ232=HN$169,1,IF($FJ232&lt;HN$169,INDEX($FK$170:$ID$241,HN$169,$FJ232),SUMPRODUCT(INDEX($FK$325:$ID$396,HN$169,1+SwaptionShift):INDEX($FK$325:$ID$396,HN$169,SwaptionMonthsToGo+SwaptionShift),INDEX($FK$245:$ID$316,$FJ232-HN$169,73-HN$169+SwaptionShift):INDEX($FK$245:$ID$316,$FJ232-HN$169,72-HN$169+SwaptionMonthsToGo+SwaptionShift))/SQRT(SUM(INDEX($FK387:$ID387,1+SwaptionShift):INDEX($FK387:$ID387,SwaptionMonthsToGo+SwaptionShift))*SUM(INDEX($FK$325:$ID$396,HN$169,1+SwaptionShift):INDEX($FK$325:$ID$396,HN$169,SwaptionMonthsToGo+SwaptionShift))))))</f>
        <v/>
      </c>
      <c r="HO232" s="479" t="str">
        <f ca="1">IF(OR(HO$169&lt;SwaptionFirstMonthPosition+1,$FJ232&lt;SwaptionFirstMonthPosition+1,HO$169&gt;SwaptionFirstMonthPosition+SwaptionNumOfMonths+1,$FJ232&gt;SwaptionFirstMonthPosition+SwaptionNumOfMonths+1),"",IF($FJ232=HO$169,1,IF($FJ232&lt;HO$169,INDEX($FK$170:$ID$241,HO$169,$FJ232),SUMPRODUCT(INDEX($FK$325:$ID$396,HO$169,1+SwaptionShift):INDEX($FK$325:$ID$396,HO$169,SwaptionMonthsToGo+SwaptionShift),INDEX($FK$245:$ID$316,$FJ232-HO$169,73-HO$169+SwaptionShift):INDEX($FK$245:$ID$316,$FJ232-HO$169,72-HO$169+SwaptionMonthsToGo+SwaptionShift))/SQRT(SUM(INDEX($FK387:$ID387,1+SwaptionShift):INDEX($FK387:$ID387,SwaptionMonthsToGo+SwaptionShift))*SUM(INDEX($FK$325:$ID$396,HO$169,1+SwaptionShift):INDEX($FK$325:$ID$396,HO$169,SwaptionMonthsToGo+SwaptionShift))))))</f>
        <v/>
      </c>
      <c r="HP232" s="479" t="str">
        <f ca="1">IF(OR(HP$169&lt;SwaptionFirstMonthPosition+1,$FJ232&lt;SwaptionFirstMonthPosition+1,HP$169&gt;SwaptionFirstMonthPosition+SwaptionNumOfMonths+1,$FJ232&gt;SwaptionFirstMonthPosition+SwaptionNumOfMonths+1),"",IF($FJ232=HP$169,1,IF($FJ232&lt;HP$169,INDEX($FK$170:$ID$241,HP$169,$FJ232),SUMPRODUCT(INDEX($FK$325:$ID$396,HP$169,1+SwaptionShift):INDEX($FK$325:$ID$396,HP$169,SwaptionMonthsToGo+SwaptionShift),INDEX($FK$245:$ID$316,$FJ232-HP$169,73-HP$169+SwaptionShift):INDEX($FK$245:$ID$316,$FJ232-HP$169,72-HP$169+SwaptionMonthsToGo+SwaptionShift))/SQRT(SUM(INDEX($FK387:$ID387,1+SwaptionShift):INDEX($FK387:$ID387,SwaptionMonthsToGo+SwaptionShift))*SUM(INDEX($FK$325:$ID$396,HP$169,1+SwaptionShift):INDEX($FK$325:$ID$396,HP$169,SwaptionMonthsToGo+SwaptionShift))))))</f>
        <v/>
      </c>
      <c r="HQ232" s="479" t="str">
        <f ca="1">IF(OR(HQ$169&lt;SwaptionFirstMonthPosition+1,$FJ232&lt;SwaptionFirstMonthPosition+1,HQ$169&gt;SwaptionFirstMonthPosition+SwaptionNumOfMonths+1,$FJ232&gt;SwaptionFirstMonthPosition+SwaptionNumOfMonths+1),"",IF($FJ232=HQ$169,1,IF($FJ232&lt;HQ$169,INDEX($FK$170:$ID$241,HQ$169,$FJ232),SUMPRODUCT(INDEX($FK$325:$ID$396,HQ$169,1+SwaptionShift):INDEX($FK$325:$ID$396,HQ$169,SwaptionMonthsToGo+SwaptionShift),INDEX($FK$245:$ID$316,$FJ232-HQ$169,73-HQ$169+SwaptionShift):INDEX($FK$245:$ID$316,$FJ232-HQ$169,72-HQ$169+SwaptionMonthsToGo+SwaptionShift))/SQRT(SUM(INDEX($FK387:$ID387,1+SwaptionShift):INDEX($FK387:$ID387,SwaptionMonthsToGo+SwaptionShift))*SUM(INDEX($FK$325:$ID$396,HQ$169,1+SwaptionShift):INDEX($FK$325:$ID$396,HQ$169,SwaptionMonthsToGo+SwaptionShift))))))</f>
        <v/>
      </c>
      <c r="HR232" s="479" t="str">
        <f ca="1">IF(OR(HR$169&lt;SwaptionFirstMonthPosition+1,$FJ232&lt;SwaptionFirstMonthPosition+1,HR$169&gt;SwaptionFirstMonthPosition+SwaptionNumOfMonths+1,$FJ232&gt;SwaptionFirstMonthPosition+SwaptionNumOfMonths+1),"",IF($FJ232=HR$169,1,IF($FJ232&lt;HR$169,INDEX($FK$170:$ID$241,HR$169,$FJ232),SUMPRODUCT(INDEX($FK$325:$ID$396,HR$169,1+SwaptionShift):INDEX($FK$325:$ID$396,HR$169,SwaptionMonthsToGo+SwaptionShift),INDEX($FK$245:$ID$316,$FJ232-HR$169,73-HR$169+SwaptionShift):INDEX($FK$245:$ID$316,$FJ232-HR$169,72-HR$169+SwaptionMonthsToGo+SwaptionShift))/SQRT(SUM(INDEX($FK387:$ID387,1+SwaptionShift):INDEX($FK387:$ID387,SwaptionMonthsToGo+SwaptionShift))*SUM(INDEX($FK$325:$ID$396,HR$169,1+SwaptionShift):INDEX($FK$325:$ID$396,HR$169,SwaptionMonthsToGo+SwaptionShift))))))</f>
        <v/>
      </c>
      <c r="HS232" s="479" t="str">
        <f ca="1">IF(OR(HS$169&lt;SwaptionFirstMonthPosition+1,$FJ232&lt;SwaptionFirstMonthPosition+1,HS$169&gt;SwaptionFirstMonthPosition+SwaptionNumOfMonths+1,$FJ232&gt;SwaptionFirstMonthPosition+SwaptionNumOfMonths+1),"",IF($FJ232=HS$169,1,IF($FJ232&lt;HS$169,INDEX($FK$170:$ID$241,HS$169,$FJ232),SUMPRODUCT(INDEX($FK$325:$ID$396,HS$169,1+SwaptionShift):INDEX($FK$325:$ID$396,HS$169,SwaptionMonthsToGo+SwaptionShift),INDEX($FK$245:$ID$316,$FJ232-HS$169,73-HS$169+SwaptionShift):INDEX($FK$245:$ID$316,$FJ232-HS$169,72-HS$169+SwaptionMonthsToGo+SwaptionShift))/SQRT(SUM(INDEX($FK387:$ID387,1+SwaptionShift):INDEX($FK387:$ID387,SwaptionMonthsToGo+SwaptionShift))*SUM(INDEX($FK$325:$ID$396,HS$169,1+SwaptionShift):INDEX($FK$325:$ID$396,HS$169,SwaptionMonthsToGo+SwaptionShift))))))</f>
        <v/>
      </c>
      <c r="HT232" s="479" t="str">
        <f ca="1">IF(OR(HT$169&lt;SwaptionFirstMonthPosition+1,$FJ232&lt;SwaptionFirstMonthPosition+1,HT$169&gt;SwaptionFirstMonthPosition+SwaptionNumOfMonths+1,$FJ232&gt;SwaptionFirstMonthPosition+SwaptionNumOfMonths+1),"",IF($FJ232=HT$169,1,IF($FJ232&lt;HT$169,INDEX($FK$170:$ID$241,HT$169,$FJ232),SUMPRODUCT(INDEX($FK$325:$ID$396,HT$169,1+SwaptionShift):INDEX($FK$325:$ID$396,HT$169,SwaptionMonthsToGo+SwaptionShift),INDEX($FK$245:$ID$316,$FJ232-HT$169,73-HT$169+SwaptionShift):INDEX($FK$245:$ID$316,$FJ232-HT$169,72-HT$169+SwaptionMonthsToGo+SwaptionShift))/SQRT(SUM(INDEX($FK387:$ID387,1+SwaptionShift):INDEX($FK387:$ID387,SwaptionMonthsToGo+SwaptionShift))*SUM(INDEX($FK$325:$ID$396,HT$169,1+SwaptionShift):INDEX($FK$325:$ID$396,HT$169,SwaptionMonthsToGo+SwaptionShift))))))</f>
        <v/>
      </c>
      <c r="HU232" s="479" t="str">
        <f ca="1">IF(OR(HU$169&lt;SwaptionFirstMonthPosition+1,$FJ232&lt;SwaptionFirstMonthPosition+1,HU$169&gt;SwaptionFirstMonthPosition+SwaptionNumOfMonths+1,$FJ232&gt;SwaptionFirstMonthPosition+SwaptionNumOfMonths+1),"",IF($FJ232=HU$169,1,IF($FJ232&lt;HU$169,INDEX($FK$170:$ID$241,HU$169,$FJ232),SUMPRODUCT(INDEX($FK$325:$ID$396,HU$169,1+SwaptionShift):INDEX($FK$325:$ID$396,HU$169,SwaptionMonthsToGo+SwaptionShift),INDEX($FK$245:$ID$316,$FJ232-HU$169,73-HU$169+SwaptionShift):INDEX($FK$245:$ID$316,$FJ232-HU$169,72-HU$169+SwaptionMonthsToGo+SwaptionShift))/SQRT(SUM(INDEX($FK387:$ID387,1+SwaptionShift):INDEX($FK387:$ID387,SwaptionMonthsToGo+SwaptionShift))*SUM(INDEX($FK$325:$ID$396,HU$169,1+SwaptionShift):INDEX($FK$325:$ID$396,HU$169,SwaptionMonthsToGo+SwaptionShift))))))</f>
        <v/>
      </c>
      <c r="HV232" s="479" t="str">
        <f ca="1">IF(OR(HV$169&lt;SwaptionFirstMonthPosition+1,$FJ232&lt;SwaptionFirstMonthPosition+1,HV$169&gt;SwaptionFirstMonthPosition+SwaptionNumOfMonths+1,$FJ232&gt;SwaptionFirstMonthPosition+SwaptionNumOfMonths+1),"",IF($FJ232=HV$169,1,IF($FJ232&lt;HV$169,INDEX($FK$170:$ID$241,HV$169,$FJ232),SUMPRODUCT(INDEX($FK$325:$ID$396,HV$169,1+SwaptionShift):INDEX($FK$325:$ID$396,HV$169,SwaptionMonthsToGo+SwaptionShift),INDEX($FK$245:$ID$316,$FJ232-HV$169,73-HV$169+SwaptionShift):INDEX($FK$245:$ID$316,$FJ232-HV$169,72-HV$169+SwaptionMonthsToGo+SwaptionShift))/SQRT(SUM(INDEX($FK387:$ID387,1+SwaptionShift):INDEX($FK387:$ID387,SwaptionMonthsToGo+SwaptionShift))*SUM(INDEX($FK$325:$ID$396,HV$169,1+SwaptionShift):INDEX($FK$325:$ID$396,HV$169,SwaptionMonthsToGo+SwaptionShift))))))</f>
        <v/>
      </c>
      <c r="HW232" s="479" t="str">
        <f ca="1">IF(OR(HW$169&lt;SwaptionFirstMonthPosition+1,$FJ232&lt;SwaptionFirstMonthPosition+1,HW$169&gt;SwaptionFirstMonthPosition+SwaptionNumOfMonths+1,$FJ232&gt;SwaptionFirstMonthPosition+SwaptionNumOfMonths+1),"",IF($FJ232=HW$169,1,IF($FJ232&lt;HW$169,INDEX($FK$170:$ID$241,HW$169,$FJ232),SUMPRODUCT(INDEX($FK$325:$ID$396,HW$169,1+SwaptionShift):INDEX($FK$325:$ID$396,HW$169,SwaptionMonthsToGo+SwaptionShift),INDEX($FK$245:$ID$316,$FJ232-HW$169,73-HW$169+SwaptionShift):INDEX($FK$245:$ID$316,$FJ232-HW$169,72-HW$169+SwaptionMonthsToGo+SwaptionShift))/SQRT(SUM(INDEX($FK387:$ID387,1+SwaptionShift):INDEX($FK387:$ID387,SwaptionMonthsToGo+SwaptionShift))*SUM(INDEX($FK$325:$ID$396,HW$169,1+SwaptionShift):INDEX($FK$325:$ID$396,HW$169,SwaptionMonthsToGo+SwaptionShift))))))</f>
        <v/>
      </c>
      <c r="HX232" s="479" t="str">
        <f ca="1">IF(OR(HX$169&lt;SwaptionFirstMonthPosition+1,$FJ232&lt;SwaptionFirstMonthPosition+1,HX$169&gt;SwaptionFirstMonthPosition+SwaptionNumOfMonths+1,$FJ232&gt;SwaptionFirstMonthPosition+SwaptionNumOfMonths+1),"",IF($FJ232=HX$169,1,IF($FJ232&lt;HX$169,INDEX($FK$170:$ID$241,HX$169,$FJ232),SUMPRODUCT(INDEX($FK$325:$ID$396,HX$169,1+SwaptionShift):INDEX($FK$325:$ID$396,HX$169,SwaptionMonthsToGo+SwaptionShift),INDEX($FK$245:$ID$316,$FJ232-HX$169,73-HX$169+SwaptionShift):INDEX($FK$245:$ID$316,$FJ232-HX$169,72-HX$169+SwaptionMonthsToGo+SwaptionShift))/SQRT(SUM(INDEX($FK387:$ID387,1+SwaptionShift):INDEX($FK387:$ID387,SwaptionMonthsToGo+SwaptionShift))*SUM(INDEX($FK$325:$ID$396,HX$169,1+SwaptionShift):INDEX($FK$325:$ID$396,HX$169,SwaptionMonthsToGo+SwaptionShift))))))</f>
        <v/>
      </c>
      <c r="HY232" s="479" t="str">
        <f ca="1">IF(OR(HY$169&lt;SwaptionFirstMonthPosition+1,$FJ232&lt;SwaptionFirstMonthPosition+1,HY$169&gt;SwaptionFirstMonthPosition+SwaptionNumOfMonths+1,$FJ232&gt;SwaptionFirstMonthPosition+SwaptionNumOfMonths+1),"",IF($FJ232=HY$169,1,IF($FJ232&lt;HY$169,INDEX($FK$170:$ID$241,HY$169,$FJ232),SUMPRODUCT(INDEX($FK$325:$ID$396,HY$169,1+SwaptionShift):INDEX($FK$325:$ID$396,HY$169,SwaptionMonthsToGo+SwaptionShift),INDEX($FK$245:$ID$316,$FJ232-HY$169,73-HY$169+SwaptionShift):INDEX($FK$245:$ID$316,$FJ232-HY$169,72-HY$169+SwaptionMonthsToGo+SwaptionShift))/SQRT(SUM(INDEX($FK387:$ID387,1+SwaptionShift):INDEX($FK387:$ID387,SwaptionMonthsToGo+SwaptionShift))*SUM(INDEX($FK$325:$ID$396,HY$169,1+SwaptionShift):INDEX($FK$325:$ID$396,HY$169,SwaptionMonthsToGo+SwaptionShift))))))</f>
        <v/>
      </c>
      <c r="HZ232" s="479" t="str">
        <f ca="1">IF(OR(HZ$169&lt;SwaptionFirstMonthPosition+1,$FJ232&lt;SwaptionFirstMonthPosition+1,HZ$169&gt;SwaptionFirstMonthPosition+SwaptionNumOfMonths+1,$FJ232&gt;SwaptionFirstMonthPosition+SwaptionNumOfMonths+1),"",IF($FJ232=HZ$169,1,IF($FJ232&lt;HZ$169,INDEX($FK$170:$ID$241,HZ$169,$FJ232),SUMPRODUCT(INDEX($FK$325:$ID$396,HZ$169,1+SwaptionShift):INDEX($FK$325:$ID$396,HZ$169,SwaptionMonthsToGo+SwaptionShift),INDEX($FK$245:$ID$316,$FJ232-HZ$169,73-HZ$169+SwaptionShift):INDEX($FK$245:$ID$316,$FJ232-HZ$169,72-HZ$169+SwaptionMonthsToGo+SwaptionShift))/SQRT(SUM(INDEX($FK387:$ID387,1+SwaptionShift):INDEX($FK387:$ID387,SwaptionMonthsToGo+SwaptionShift))*SUM(INDEX($FK$325:$ID$396,HZ$169,1+SwaptionShift):INDEX($FK$325:$ID$396,HZ$169,SwaptionMonthsToGo+SwaptionShift))))))</f>
        <v/>
      </c>
      <c r="IA232" s="479" t="str">
        <f ca="1">IF(OR(IA$169&lt;SwaptionFirstMonthPosition+1,$FJ232&lt;SwaptionFirstMonthPosition+1,IA$169&gt;SwaptionFirstMonthPosition+SwaptionNumOfMonths+1,$FJ232&gt;SwaptionFirstMonthPosition+SwaptionNumOfMonths+1),"",IF($FJ232=IA$169,1,IF($FJ232&lt;IA$169,INDEX($FK$170:$ID$241,IA$169,$FJ232),SUMPRODUCT(INDEX($FK$325:$ID$396,IA$169,1+SwaptionShift):INDEX($FK$325:$ID$396,IA$169,SwaptionMonthsToGo+SwaptionShift),INDEX($FK$245:$ID$316,$FJ232-IA$169,73-IA$169+SwaptionShift):INDEX($FK$245:$ID$316,$FJ232-IA$169,72-IA$169+SwaptionMonthsToGo+SwaptionShift))/SQRT(SUM(INDEX($FK387:$ID387,1+SwaptionShift):INDEX($FK387:$ID387,SwaptionMonthsToGo+SwaptionShift))*SUM(INDEX($FK$325:$ID$396,IA$169,1+SwaptionShift):INDEX($FK$325:$ID$396,IA$169,SwaptionMonthsToGo+SwaptionShift))))))</f>
        <v/>
      </c>
      <c r="IB232" s="479" t="str">
        <f ca="1">IF(OR(IB$169&lt;SwaptionFirstMonthPosition+1,$FJ232&lt;SwaptionFirstMonthPosition+1,IB$169&gt;SwaptionFirstMonthPosition+SwaptionNumOfMonths+1,$FJ232&gt;SwaptionFirstMonthPosition+SwaptionNumOfMonths+1),"",IF($FJ232=IB$169,1,IF($FJ232&lt;IB$169,INDEX($FK$170:$ID$241,IB$169,$FJ232),SUMPRODUCT(INDEX($FK$325:$ID$396,IB$169,1+SwaptionShift):INDEX($FK$325:$ID$396,IB$169,SwaptionMonthsToGo+SwaptionShift),INDEX($FK$245:$ID$316,$FJ232-IB$169,73-IB$169+SwaptionShift):INDEX($FK$245:$ID$316,$FJ232-IB$169,72-IB$169+SwaptionMonthsToGo+SwaptionShift))/SQRT(SUM(INDEX($FK387:$ID387,1+SwaptionShift):INDEX($FK387:$ID387,SwaptionMonthsToGo+SwaptionShift))*SUM(INDEX($FK$325:$ID$396,IB$169,1+SwaptionShift):INDEX($FK$325:$ID$396,IB$169,SwaptionMonthsToGo+SwaptionShift))))))</f>
        <v/>
      </c>
      <c r="IC232" s="479" t="str">
        <f ca="1">IF(OR(IC$169&lt;SwaptionFirstMonthPosition+1,$FJ232&lt;SwaptionFirstMonthPosition+1,IC$169&gt;SwaptionFirstMonthPosition+SwaptionNumOfMonths+1,$FJ232&gt;SwaptionFirstMonthPosition+SwaptionNumOfMonths+1),"",IF($FJ232=IC$169,1,IF($FJ232&lt;IC$169,INDEX($FK$170:$ID$241,IC$169,$FJ232),SUMPRODUCT(INDEX($FK$325:$ID$396,IC$169,1+SwaptionShift):INDEX($FK$325:$ID$396,IC$169,SwaptionMonthsToGo+SwaptionShift),INDEX($FK$245:$ID$316,$FJ232-IC$169,73-IC$169+SwaptionShift):INDEX($FK$245:$ID$316,$FJ232-IC$169,72-IC$169+SwaptionMonthsToGo+SwaptionShift))/SQRT(SUM(INDEX($FK387:$ID387,1+SwaptionShift):INDEX($FK387:$ID387,SwaptionMonthsToGo+SwaptionShift))*SUM(INDEX($FK$325:$ID$396,IC$169,1+SwaptionShift):INDEX($FK$325:$ID$396,IC$169,SwaptionMonthsToGo+SwaptionShift))))))</f>
        <v/>
      </c>
      <c r="ID232" s="678" t="str">
        <f ca="1">IF(OR(ID$169&lt;SwaptionFirstMonthPosition+1,$FJ232&lt;SwaptionFirstMonthPosition+1,ID$169&gt;SwaptionFirstMonthPosition+SwaptionNumOfMonths+1,$FJ232&gt;SwaptionFirstMonthPosition+SwaptionNumOfMonths+1),"",IF($FJ232=ID$169,1,IF($FJ232&lt;ID$169,INDEX($FK$170:$ID$241,ID$169,$FJ232),SUMPRODUCT(INDEX($FK$325:$ID$396,ID$169,1+SwaptionShift):INDEX($FK$325:$ID$396,ID$169,SwaptionMonthsToGo+SwaptionShift),INDEX($FK$245:$ID$316,$FJ232-ID$169,73-ID$169+SwaptionShift):INDEX($FK$245:$ID$316,$FJ232-ID$169,72-ID$169+SwaptionMonthsToGo+SwaptionShift))/SQRT(SUM(INDEX($FK387:$ID387,1+SwaptionShift):INDEX($FK387:$ID387,SwaptionMonthsToGo+SwaptionShift))*SUM(INDEX($FK$325:$ID$396,ID$169,1+SwaptionShift):INDEX($FK$325:$ID$396,ID$169,SwaptionMonthsToGo+SwaptionShift))))))</f>
        <v/>
      </c>
      <c r="IE232" s="250"/>
    </row>
    <row r="233" spans="8:239">
      <c r="H233" s="51">
        <f t="shared" ca="1" si="646"/>
        <v>0</v>
      </c>
      <c r="I233" s="379">
        <f t="shared" si="647"/>
        <v>43252</v>
      </c>
      <c r="J233" s="377"/>
      <c r="K233" s="104" t="s">
        <v>268</v>
      </c>
      <c r="L233" s="392">
        <f t="shared" si="648"/>
        <v>5.1374999999999957</v>
      </c>
      <c r="M233" s="171"/>
      <c r="N233" s="382">
        <v>0</v>
      </c>
      <c r="O233" s="171">
        <f t="shared" si="596"/>
        <v>0</v>
      </c>
      <c r="P233" s="377"/>
      <c r="Q233" s="104" t="s">
        <v>268</v>
      </c>
      <c r="R233" s="377">
        <f t="shared" ca="1" si="597"/>
        <v>3.7111925780673403</v>
      </c>
      <c r="S233" s="832">
        <f t="shared" si="671"/>
        <v>0.3600000000000001</v>
      </c>
      <c r="T233" s="831">
        <f t="shared" si="661"/>
        <v>0.99999999999999933</v>
      </c>
      <c r="U233" s="545">
        <f t="shared" si="662"/>
        <v>0.99999999999999978</v>
      </c>
      <c r="V233" s="389">
        <v>0</v>
      </c>
      <c r="W233" s="434">
        <f t="shared" si="598"/>
        <v>0</v>
      </c>
      <c r="X233" s="415">
        <f t="shared" si="599"/>
        <v>5.1874999999999956</v>
      </c>
      <c r="Y233" s="322">
        <f t="shared" si="600"/>
        <v>-1.2915000000000001</v>
      </c>
      <c r="Z233" s="322">
        <f t="shared" ca="1" si="601"/>
        <v>3.8959999999999955</v>
      </c>
      <c r="AA233" s="429">
        <f t="shared" si="628"/>
        <v>1.2915000000000001</v>
      </c>
      <c r="AB233" s="433">
        <f t="shared" ca="1" si="629"/>
        <v>1.2915000000000001</v>
      </c>
      <c r="AC233" s="229">
        <v>43240</v>
      </c>
      <c r="AD233" s="229">
        <v>43236</v>
      </c>
      <c r="AE233" s="229">
        <v>43235</v>
      </c>
      <c r="AF233" s="229">
        <v>43231</v>
      </c>
      <c r="AG233" s="249" t="s">
        <v>499</v>
      </c>
      <c r="AH233" s="247" t="s">
        <v>499</v>
      </c>
      <c r="AI233" s="146">
        <v>21</v>
      </c>
      <c r="AJ233" s="41">
        <v>14</v>
      </c>
      <c r="AK233" s="41">
        <v>7</v>
      </c>
      <c r="AL233" s="293">
        <v>21</v>
      </c>
      <c r="AM233" s="41">
        <v>10</v>
      </c>
      <c r="AN233" s="147">
        <v>11</v>
      </c>
      <c r="AO233" s="374"/>
      <c r="AP233" s="153">
        <f t="shared" ca="1" si="649"/>
        <v>1</v>
      </c>
      <c r="AQ233" s="374"/>
      <c r="AR233" s="153">
        <f t="shared" ca="1" si="663"/>
        <v>1</v>
      </c>
      <c r="AS233" s="272">
        <f t="shared" si="602"/>
        <v>0</v>
      </c>
      <c r="AT233" s="157">
        <f t="shared" si="650"/>
        <v>0</v>
      </c>
      <c r="AU233" s="157">
        <f t="shared" si="630"/>
        <v>0</v>
      </c>
      <c r="AV233" s="271">
        <f t="shared" ca="1" si="670"/>
        <v>9.9999999999999995E-7</v>
      </c>
      <c r="AW233" s="158" t="str">
        <f t="shared" ca="1" si="583"/>
        <v/>
      </c>
      <c r="AX233" s="157">
        <f t="shared" ca="1" si="664"/>
        <v>1.9175832335125493E-5</v>
      </c>
      <c r="AY233" s="157">
        <f t="shared" ca="1" si="665"/>
        <v>3.5860918182009014E-6</v>
      </c>
      <c r="AZ233" s="157">
        <f t="shared" ca="1" si="666"/>
        <v>6.6303494952969836E-8</v>
      </c>
      <c r="BA233" s="157">
        <f t="shared" ca="1" si="667"/>
        <v>8.2879368691212295E-9</v>
      </c>
      <c r="BB233" s="157">
        <f t="shared" ca="1" si="668"/>
        <v>1.3244007317196349E-11</v>
      </c>
      <c r="BC233" s="157">
        <f t="shared" ca="1" si="669"/>
        <v>1.373797950930598E-13</v>
      </c>
      <c r="BD233" s="151">
        <f t="shared" ca="1" si="603"/>
        <v>0</v>
      </c>
      <c r="BE233" s="152">
        <f t="shared" ca="1" si="604"/>
        <v>0</v>
      </c>
      <c r="BF233" s="40">
        <f t="shared" si="605"/>
        <v>2018</v>
      </c>
      <c r="BG233" s="144">
        <f t="shared" si="606"/>
        <v>6</v>
      </c>
      <c r="BH233" s="145">
        <f t="shared" ca="1" si="607"/>
        <v>6491</v>
      </c>
      <c r="BI233" s="313">
        <f t="shared" ca="1" si="608"/>
        <v>17.815195071868583</v>
      </c>
      <c r="BJ233" s="42">
        <f t="shared" ca="1" si="631"/>
        <v>17.868126853753139</v>
      </c>
      <c r="BK233" s="42">
        <f t="shared" ca="1" si="632"/>
        <v>17.870864704540271</v>
      </c>
      <c r="BL233" s="42">
        <f t="shared" ca="1" si="609"/>
        <v>17.894592744695416</v>
      </c>
      <c r="BM233" s="150" t="e">
        <f t="shared" ca="1" si="633"/>
        <v>#DIV/0!</v>
      </c>
      <c r="BN233" s="42" t="e">
        <f t="shared" ca="1" si="634"/>
        <v>#DIV/0!</v>
      </c>
      <c r="BO233" s="293">
        <f t="shared" si="610"/>
        <v>21</v>
      </c>
      <c r="BP233" s="41">
        <f t="shared" si="611"/>
        <v>14</v>
      </c>
      <c r="BQ233" s="41">
        <f t="shared" si="612"/>
        <v>7</v>
      </c>
      <c r="BR233" s="305" t="str">
        <f t="shared" ca="1" si="635"/>
        <v/>
      </c>
      <c r="BS233" s="305" t="str">
        <f t="shared" ca="1" si="613"/>
        <v/>
      </c>
      <c r="BT233" s="307" t="str">
        <f t="shared" ca="1" si="614"/>
        <v/>
      </c>
      <c r="BU233" s="161" t="str">
        <f t="shared" ca="1" si="636"/>
        <v/>
      </c>
      <c r="BV233" s="161" t="str">
        <f t="shared" ca="1" si="637"/>
        <v/>
      </c>
      <c r="BW233" s="308" t="str">
        <f t="shared" ca="1" si="638"/>
        <v/>
      </c>
      <c r="BX233" s="309" t="str">
        <f t="shared" ca="1" si="639"/>
        <v/>
      </c>
      <c r="BY233" s="308" t="str">
        <f t="shared" ca="1" si="615"/>
        <v/>
      </c>
      <c r="BZ233" s="309" t="str">
        <f t="shared" ca="1" si="616"/>
        <v/>
      </c>
      <c r="CA233" s="154" t="str">
        <f t="shared" ca="1" si="640"/>
        <v/>
      </c>
      <c r="CB233" s="154" t="str">
        <f t="shared" ca="1" si="641"/>
        <v/>
      </c>
      <c r="CC233" s="154" t="str">
        <f t="shared" ca="1" si="642"/>
        <v/>
      </c>
      <c r="CD233" s="154" t="str">
        <f t="shared" ca="1" si="643"/>
        <v/>
      </c>
      <c r="CE233" s="310">
        <v>1</v>
      </c>
      <c r="CF233" s="162">
        <f ca="1">IF(BD233,_xll.xCrudeAPO(BU233,BV233,CA233,CB233,S234,S235,BI233,BL233,BP233,BQ233,0,Strike1,AO233,CE233,0,BL233,IF(OptControl=4,0,1),0,1),0)</f>
        <v>0</v>
      </c>
      <c r="CG233" s="163">
        <f ca="1">IF(BD233,_xll.xCrudeAPO(BU233,BV233,CA233,CB233,S234,S235,BI233,BL233,BP233,BQ233,0,Strike1,AO233,CE233,0,BL233,IF(OptControl=4,0,1),1,1)+_xll.xCrudeAPO(BU233,BV233,CA233,CB233,S234,S235,BI233,BL233,BP233,BQ233,0,Strike1,AO233,CE233,0,BL233,IF(OptControl=4,0,1),1,2)+IF(OR(VolSkewFlag=2,ABS(BS233)&lt;0.0001),0,IF(BS233&gt;0,-1,1)*CH233*Strike1/BR233^2*BY233/10%),0)</f>
        <v>0</v>
      </c>
      <c r="CH233" s="163">
        <f ca="1">IF(BD233,(_xll.xCrudeAPO(BU233,BV233,CA233,CB233,S234,S235,BI233,BL233,BP233,BQ233,0,Strike1,AO233,CE233,0,BL233,IF(OptControl=4,0,1),3,1)+_xll.xCrudeAPO(BU233,BV233,CA233,CB233,S234,S235,BI233,BL233,BP233,BQ233,0,Strike1,AO233,CE233,0,BL233,IF(OptControl=4,0,1),3,2))/100,0)</f>
        <v>0</v>
      </c>
      <c r="CI233" s="163">
        <f ca="1">IF(BD233,_xll.xCrudeAPO(BU233,BV233,CA233,CB233,S234,S235,BI233-DaysForThetaCalculation/365.25,BL233-DaysForThetaCalculation/365.25,BP233,BQ233,0,Strike1,AO233,CE233,0,BL233,IF(OptControl=4,0,1),0,1)-_xll.xCrudeAPO(BU233,BV233,CA233,CB233,S234,S235,BI233,BL233,BP233,BQ233,0,Strike1,AO233,CE233,0,BL233,IF(OptControl=4,0,1),0,1),0)</f>
        <v>0</v>
      </c>
      <c r="CJ233" s="311">
        <f ca="1">IF(BD233,_xll.xCrudeAPO(BU233,BV233,CC233,CD233,S234,S235,BI233,BL233,BP233,BQ233,0,Strike2,AO233,CE233,0,BL233,IF(OptControl=3,1,0),0,1),0)</f>
        <v>0</v>
      </c>
      <c r="CK233" s="163">
        <f ca="1">IF(BD233,_xll.xCrudeAPO(BU233,BV233,CC233,CD233,S234,S235,BI233,BL233,BP233,BQ233,0,Strike2,AO233,CE233,0,BL233,IF(OptControl=3,1,0),1,1)+_xll.xCrudeAPO(BU233,BV233,CC233,CD233,S234,S235,BI233,BL233,BP233,BQ233,0,Strike2,AO233,CE233,0,BL233,IF(OptControl=3,1,0),1,2)+IF(OR(VolSkewFlag=2,ABS(BT233)&lt;0.0001),0,IF(BT233&gt;0,-1,1)*CL233*Strike2/BR233^2*BZ233/10%),0)</f>
        <v>0</v>
      </c>
      <c r="CL233" s="163">
        <f ca="1">IF(BD233,(_xll.xCrudeAPO(BU233,BV233,CC233,CD233,S234,S235,BI233,BL233,BP233,BQ233,0,Strike2,AO233,CE233,0,BL233,IF(OptControl=3,1,0),3,1)+_xll.xCrudeAPO(BU233,BV233,CC233,CD233,S234,S235,BI233,BL233,BP233,BQ233,0,Strike2,AO233,CE233,0,BL233,IF(OptControl=3,1,0),3,2))/100,0)</f>
        <v>0</v>
      </c>
      <c r="CM233" s="164">
        <f ca="1">IF(BD233,_xll.xCrudeAPO(BU233,BV233,CC233,CD233,S234,S235,BI233-DaysForThetaCalculation/365.25,BL233-DaysForThetaCalculation/365.25,BP233,BQ233,0,Strike2,AO233,CE233,0,BL233,IF(OptControl=3,1,0),0,1)-_xll.xCrudeAPO(BU233,BV233,CC233,CD233,S234,S235,BI233,BL233,BP233,BQ233,0,Strike2,AO233,CE233,0,BL233,IF(OptControl=3,1,0),0,1),0)</f>
        <v>0</v>
      </c>
      <c r="CN233" s="53"/>
      <c r="CO233" s="796" t="str">
        <f t="shared" ca="1" si="651"/>
        <v/>
      </c>
      <c r="CP233" s="800" t="str">
        <f t="shared" ca="1" si="652"/>
        <v/>
      </c>
      <c r="CQ233" s="797" t="str">
        <f t="shared" ca="1" si="653"/>
        <v/>
      </c>
      <c r="CR233" s="797" t="str">
        <f t="shared" ca="1" si="654"/>
        <v/>
      </c>
      <c r="CS233" s="797" t="str">
        <f t="shared" ca="1" si="655"/>
        <v/>
      </c>
      <c r="CT233" s="797" t="str">
        <f t="shared" ca="1" si="656"/>
        <v/>
      </c>
      <c r="CU233" s="798" t="str">
        <f t="shared" ca="1" si="657"/>
        <v/>
      </c>
      <c r="CV233" s="799" t="str">
        <f t="shared" ca="1" si="658"/>
        <v/>
      </c>
      <c r="CW233" s="799" t="str">
        <f t="shared" ca="1" si="659"/>
        <v/>
      </c>
      <c r="CX233" s="163">
        <f ca="1">IF(BD233,_xll.EURO(CP233,Strike1,AO233,AO233,CV233,CO233,IF(OptControl=4,0,1),0),0)</f>
        <v>0</v>
      </c>
      <c r="CY233" s="163">
        <f ca="1">IF(BD233,_xll.EURO(CP233,Strike1,AO233,AO233,CV233,CO233,IF(OptControl=4,0,1),1)+IF(OR(VolSkewFlag=2,ABS(CQ233)&lt;0.0001),0,IF(CQ233&gt;0,-1,1)*CZ233*100*Strike1/CP233^2*CS233/10%),0)</f>
        <v>0</v>
      </c>
      <c r="CZ233" s="163">
        <f ca="1">IF(BD233,_xll.EURO(CP233,Strike1,AO233,AO233,CV233,CO233,IF(OptControl=4,0,1),3)/100,0)</f>
        <v>0</v>
      </c>
      <c r="DA233" s="163">
        <f ca="1">IF(BD233,_xll.EURO(CP233,Strike1,AO233,AO233,CV233,CO233,IF(OptControl=4,0,1),0)-_xll.EURO(CP233,Strike1,AO233,AO233,CV233,CO233-1,IF(OptControl=4,0,1),0),0)</f>
        <v>0</v>
      </c>
      <c r="DB233" s="163">
        <f ca="1">IF(BD233,_xll.EURO(CP233,Strike2,AO233,AO233,CW233,CO233,IF(OptControl=3,1,0),0),0)</f>
        <v>0</v>
      </c>
      <c r="DC233" s="163">
        <f ca="1">IF(BD233,_xll.EURO(CP233,Strike2,AO233,AO233,CW233,CO233,IF(OptControl=3,1,0),1)+IF(OR(VolSkewFlag=2,ABS(CR233)&lt;0.0001),0,IF(CR233&gt;0,-1,1)*DD233*100*Strike2/CP233^2*CT233/10%),0)</f>
        <v>0</v>
      </c>
      <c r="DD233" s="163">
        <f ca="1">IF(BD233,_xll.EURO(CP233,Strike2,AO233,AO233,CW233,CO233,IF(OptControl=3,1,0),3)/100,0)</f>
        <v>0</v>
      </c>
      <c r="DE233" s="164">
        <f ca="1">IF(BD233,_xll.EURO(CP233,Strike2,AO233,AO233,CW233,CO233,IF(OptControl=3,1,0),0)-_xll.EURO(CP233,Strike2,AO233,AO233,CW233,CO233-1,IF(OptControl=3,1,0),0),0)</f>
        <v>0</v>
      </c>
      <c r="DG233" s="667">
        <f t="shared" ca="1" si="660"/>
        <v>43040</v>
      </c>
      <c r="DH233" s="475">
        <v>24.810000000000098</v>
      </c>
      <c r="DI233" s="665">
        <v>24.878181818181918</v>
      </c>
      <c r="DJ233" s="666">
        <f t="shared" ca="1" si="617"/>
        <v>43040</v>
      </c>
      <c r="DK233" s="475">
        <v>23.602733364792801</v>
      </c>
      <c r="DL233" s="665">
        <v>23.685081818181917</v>
      </c>
      <c r="DM233" s="667">
        <f t="shared" ca="1" si="618"/>
        <v>43040</v>
      </c>
      <c r="DN233" s="668">
        <f t="shared" si="619"/>
        <v>23.652733364792802</v>
      </c>
      <c r="DO233" s="667">
        <f t="shared" ca="1" si="620"/>
        <v>43040</v>
      </c>
      <c r="DP233" s="579">
        <f t="shared" si="621"/>
        <v>23.685081818181917</v>
      </c>
      <c r="DQ233" s="821">
        <v>0</v>
      </c>
      <c r="DR233" s="666">
        <f t="shared" ca="1" si="622"/>
        <v>43040</v>
      </c>
      <c r="DS233" s="669">
        <v>9.6799999999998027E-2</v>
      </c>
      <c r="DT233" s="606">
        <v>9.5981818181816211E-2</v>
      </c>
      <c r="DU233" s="666">
        <f t="shared" ca="1" si="623"/>
        <v>43040</v>
      </c>
      <c r="DV233" s="669">
        <v>9.6799999999998027E-2</v>
      </c>
      <c r="DW233" s="606">
        <v>9.5981818181816211E-2</v>
      </c>
      <c r="DX233" s="667">
        <f t="shared" ca="1" si="624"/>
        <v>43040</v>
      </c>
      <c r="DY233" s="606">
        <v>0.35</v>
      </c>
      <c r="DZ233" s="667">
        <f t="shared" ca="1" si="625"/>
        <v>43040</v>
      </c>
      <c r="EA233" s="606">
        <f t="shared" si="626"/>
        <v>9.5981818181816211E-2</v>
      </c>
      <c r="EB233" s="1"/>
      <c r="EC233" s="118" t="str">
        <f t="shared" ca="1" si="627"/>
        <v/>
      </c>
      <c r="ED233" s="119" t="str">
        <f t="shared" ca="1" si="644"/>
        <v/>
      </c>
      <c r="EE233" s="112" t="str">
        <f t="shared" ca="1" si="645"/>
        <v/>
      </c>
      <c r="EF233" s="120">
        <f ca="1">IF(BD233,_xll.xASN(BR233,Strike1,AO233,ED233,0,BO233,0,BI233,BL233,IF(OptControl=4,0,1),0),0)</f>
        <v>0</v>
      </c>
      <c r="EG233" s="111">
        <f ca="1">IF(BD233,_xll.xASN(BR233,Strike2,AO233,EE233,0,BO233,0,BI233,BL233,IF(OptControl=3,1,0),0),0)</f>
        <v>0</v>
      </c>
      <c r="EL233" s="55"/>
      <c r="EM233" s="1"/>
      <c r="EN233" s="106"/>
      <c r="EO233" s="106"/>
      <c r="EP233" s="1"/>
      <c r="EQ233" s="683" t="s">
        <v>447</v>
      </c>
      <c r="ES233" s="55"/>
      <c r="EU233" s="107"/>
      <c r="FJ233" s="673">
        <v>64</v>
      </c>
      <c r="FK233" s="479" t="str">
        <f ca="1">IF(OR(FK$169&lt;SwaptionFirstMonthPosition+1,$FJ233&lt;SwaptionFirstMonthPosition+1,FK$169&gt;SwaptionFirstMonthPosition+SwaptionNumOfMonths+1,$FJ233&gt;SwaptionFirstMonthPosition+SwaptionNumOfMonths+1),"",IF($FJ233=FK$169,1,IF($FJ233&lt;FK$169,INDEX($FK$170:$ID$241,FK$169,$FJ233),SUMPRODUCT(INDEX($FK$325:$ID$396,FK$169,1+SwaptionShift):INDEX($FK$325:$ID$396,FK$169,SwaptionMonthsToGo+SwaptionShift),INDEX($FK$245:$ID$316,$FJ233-FK$169,73-FK$169+SwaptionShift):INDEX($FK$245:$ID$316,$FJ233-FK$169,72-FK$169+SwaptionMonthsToGo+SwaptionShift))/SQRT(SUM(INDEX($FK388:$ID388,1+SwaptionShift):INDEX($FK388:$ID388,SwaptionMonthsToGo+SwaptionShift))*SUM(INDEX($FK$325:$ID$396,FK$169,1+SwaptionShift):INDEX($FK$325:$ID$396,FK$169,SwaptionMonthsToGo+SwaptionShift))))))</f>
        <v/>
      </c>
      <c r="FL233" s="479" t="str">
        <f ca="1">IF(OR(FL$169&lt;SwaptionFirstMonthPosition+1,$FJ233&lt;SwaptionFirstMonthPosition+1,FL$169&gt;SwaptionFirstMonthPosition+SwaptionNumOfMonths+1,$FJ233&gt;SwaptionFirstMonthPosition+SwaptionNumOfMonths+1),"",IF($FJ233=FL$169,1,IF($FJ233&lt;FL$169,INDEX($FK$170:$ID$241,FL$169,$FJ233),SUMPRODUCT(INDEX($FK$325:$ID$396,FL$169,1+SwaptionShift):INDEX($FK$325:$ID$396,FL$169,SwaptionMonthsToGo+SwaptionShift),INDEX($FK$245:$ID$316,$FJ233-FL$169,73-FL$169+SwaptionShift):INDEX($FK$245:$ID$316,$FJ233-FL$169,72-FL$169+SwaptionMonthsToGo+SwaptionShift))/SQRT(SUM(INDEX($FK388:$ID388,1+SwaptionShift):INDEX($FK388:$ID388,SwaptionMonthsToGo+SwaptionShift))*SUM(INDEX($FK$325:$ID$396,FL$169,1+SwaptionShift):INDEX($FK$325:$ID$396,FL$169,SwaptionMonthsToGo+SwaptionShift))))))</f>
        <v/>
      </c>
      <c r="FM233" s="479" t="str">
        <f ca="1">IF(OR(FM$169&lt;SwaptionFirstMonthPosition+1,$FJ233&lt;SwaptionFirstMonthPosition+1,FM$169&gt;SwaptionFirstMonthPosition+SwaptionNumOfMonths+1,$FJ233&gt;SwaptionFirstMonthPosition+SwaptionNumOfMonths+1),"",IF($FJ233=FM$169,1,IF($FJ233&lt;FM$169,INDEX($FK$170:$ID$241,FM$169,$FJ233),SUMPRODUCT(INDEX($FK$325:$ID$396,FM$169,1+SwaptionShift):INDEX($FK$325:$ID$396,FM$169,SwaptionMonthsToGo+SwaptionShift),INDEX($FK$245:$ID$316,$FJ233-FM$169,73-FM$169+SwaptionShift):INDEX($FK$245:$ID$316,$FJ233-FM$169,72-FM$169+SwaptionMonthsToGo+SwaptionShift))/SQRT(SUM(INDEX($FK388:$ID388,1+SwaptionShift):INDEX($FK388:$ID388,SwaptionMonthsToGo+SwaptionShift))*SUM(INDEX($FK$325:$ID$396,FM$169,1+SwaptionShift):INDEX($FK$325:$ID$396,FM$169,SwaptionMonthsToGo+SwaptionShift))))))</f>
        <v/>
      </c>
      <c r="FN233" s="479" t="str">
        <f ca="1">IF(OR(FN$169&lt;SwaptionFirstMonthPosition+1,$FJ233&lt;SwaptionFirstMonthPosition+1,FN$169&gt;SwaptionFirstMonthPosition+SwaptionNumOfMonths+1,$FJ233&gt;SwaptionFirstMonthPosition+SwaptionNumOfMonths+1),"",IF($FJ233=FN$169,1,IF($FJ233&lt;FN$169,INDEX($FK$170:$ID$241,FN$169,$FJ233),SUMPRODUCT(INDEX($FK$325:$ID$396,FN$169,1+SwaptionShift):INDEX($FK$325:$ID$396,FN$169,SwaptionMonthsToGo+SwaptionShift),INDEX($FK$245:$ID$316,$FJ233-FN$169,73-FN$169+SwaptionShift):INDEX($FK$245:$ID$316,$FJ233-FN$169,72-FN$169+SwaptionMonthsToGo+SwaptionShift))/SQRT(SUM(INDEX($FK388:$ID388,1+SwaptionShift):INDEX($FK388:$ID388,SwaptionMonthsToGo+SwaptionShift))*SUM(INDEX($FK$325:$ID$396,FN$169,1+SwaptionShift):INDEX($FK$325:$ID$396,FN$169,SwaptionMonthsToGo+SwaptionShift))))))</f>
        <v/>
      </c>
      <c r="FO233" s="479" t="str">
        <f ca="1">IF(OR(FO$169&lt;SwaptionFirstMonthPosition+1,$FJ233&lt;SwaptionFirstMonthPosition+1,FO$169&gt;SwaptionFirstMonthPosition+SwaptionNumOfMonths+1,$FJ233&gt;SwaptionFirstMonthPosition+SwaptionNumOfMonths+1),"",IF($FJ233=FO$169,1,IF($FJ233&lt;FO$169,INDEX($FK$170:$ID$241,FO$169,$FJ233),SUMPRODUCT(INDEX($FK$325:$ID$396,FO$169,1+SwaptionShift):INDEX($FK$325:$ID$396,FO$169,SwaptionMonthsToGo+SwaptionShift),INDEX($FK$245:$ID$316,$FJ233-FO$169,73-FO$169+SwaptionShift):INDEX($FK$245:$ID$316,$FJ233-FO$169,72-FO$169+SwaptionMonthsToGo+SwaptionShift))/SQRT(SUM(INDEX($FK388:$ID388,1+SwaptionShift):INDEX($FK388:$ID388,SwaptionMonthsToGo+SwaptionShift))*SUM(INDEX($FK$325:$ID$396,FO$169,1+SwaptionShift):INDEX($FK$325:$ID$396,FO$169,SwaptionMonthsToGo+SwaptionShift))))))</f>
        <v/>
      </c>
      <c r="FP233" s="479" t="str">
        <f ca="1">IF(OR(FP$169&lt;SwaptionFirstMonthPosition+1,$FJ233&lt;SwaptionFirstMonthPosition+1,FP$169&gt;SwaptionFirstMonthPosition+SwaptionNumOfMonths+1,$FJ233&gt;SwaptionFirstMonthPosition+SwaptionNumOfMonths+1),"",IF($FJ233=FP$169,1,IF($FJ233&lt;FP$169,INDEX($FK$170:$ID$241,FP$169,$FJ233),SUMPRODUCT(INDEX($FK$325:$ID$396,FP$169,1+SwaptionShift):INDEX($FK$325:$ID$396,FP$169,SwaptionMonthsToGo+SwaptionShift),INDEX($FK$245:$ID$316,$FJ233-FP$169,73-FP$169+SwaptionShift):INDEX($FK$245:$ID$316,$FJ233-FP$169,72-FP$169+SwaptionMonthsToGo+SwaptionShift))/SQRT(SUM(INDEX($FK388:$ID388,1+SwaptionShift):INDEX($FK388:$ID388,SwaptionMonthsToGo+SwaptionShift))*SUM(INDEX($FK$325:$ID$396,FP$169,1+SwaptionShift):INDEX($FK$325:$ID$396,FP$169,SwaptionMonthsToGo+SwaptionShift))))))</f>
        <v/>
      </c>
      <c r="FQ233" s="479" t="str">
        <f ca="1">IF(OR(FQ$169&lt;SwaptionFirstMonthPosition+1,$FJ233&lt;SwaptionFirstMonthPosition+1,FQ$169&gt;SwaptionFirstMonthPosition+SwaptionNumOfMonths+1,$FJ233&gt;SwaptionFirstMonthPosition+SwaptionNumOfMonths+1),"",IF($FJ233=FQ$169,1,IF($FJ233&lt;FQ$169,INDEX($FK$170:$ID$241,FQ$169,$FJ233),SUMPRODUCT(INDEX($FK$325:$ID$396,FQ$169,1+SwaptionShift):INDEX($FK$325:$ID$396,FQ$169,SwaptionMonthsToGo+SwaptionShift),INDEX($FK$245:$ID$316,$FJ233-FQ$169,73-FQ$169+SwaptionShift):INDEX($FK$245:$ID$316,$FJ233-FQ$169,72-FQ$169+SwaptionMonthsToGo+SwaptionShift))/SQRT(SUM(INDEX($FK388:$ID388,1+SwaptionShift):INDEX($FK388:$ID388,SwaptionMonthsToGo+SwaptionShift))*SUM(INDEX($FK$325:$ID$396,FQ$169,1+SwaptionShift):INDEX($FK$325:$ID$396,FQ$169,SwaptionMonthsToGo+SwaptionShift))))))</f>
        <v/>
      </c>
      <c r="FR233" s="479" t="str">
        <f ca="1">IF(OR(FR$169&lt;SwaptionFirstMonthPosition+1,$FJ233&lt;SwaptionFirstMonthPosition+1,FR$169&gt;SwaptionFirstMonthPosition+SwaptionNumOfMonths+1,$FJ233&gt;SwaptionFirstMonthPosition+SwaptionNumOfMonths+1),"",IF($FJ233=FR$169,1,IF($FJ233&lt;FR$169,INDEX($FK$170:$ID$241,FR$169,$FJ233),SUMPRODUCT(INDEX($FK$325:$ID$396,FR$169,1+SwaptionShift):INDEX($FK$325:$ID$396,FR$169,SwaptionMonthsToGo+SwaptionShift),INDEX($FK$245:$ID$316,$FJ233-FR$169,73-FR$169+SwaptionShift):INDEX($FK$245:$ID$316,$FJ233-FR$169,72-FR$169+SwaptionMonthsToGo+SwaptionShift))/SQRT(SUM(INDEX($FK388:$ID388,1+SwaptionShift):INDEX($FK388:$ID388,SwaptionMonthsToGo+SwaptionShift))*SUM(INDEX($FK$325:$ID$396,FR$169,1+SwaptionShift):INDEX($FK$325:$ID$396,FR$169,SwaptionMonthsToGo+SwaptionShift))))))</f>
        <v/>
      </c>
      <c r="FS233" s="479" t="str">
        <f ca="1">IF(OR(FS$169&lt;SwaptionFirstMonthPosition+1,$FJ233&lt;SwaptionFirstMonthPosition+1,FS$169&gt;SwaptionFirstMonthPosition+SwaptionNumOfMonths+1,$FJ233&gt;SwaptionFirstMonthPosition+SwaptionNumOfMonths+1),"",IF($FJ233=FS$169,1,IF($FJ233&lt;FS$169,INDEX($FK$170:$ID$241,FS$169,$FJ233),SUMPRODUCT(INDEX($FK$325:$ID$396,FS$169,1+SwaptionShift):INDEX($FK$325:$ID$396,FS$169,SwaptionMonthsToGo+SwaptionShift),INDEX($FK$245:$ID$316,$FJ233-FS$169,73-FS$169+SwaptionShift):INDEX($FK$245:$ID$316,$FJ233-FS$169,72-FS$169+SwaptionMonthsToGo+SwaptionShift))/SQRT(SUM(INDEX($FK388:$ID388,1+SwaptionShift):INDEX($FK388:$ID388,SwaptionMonthsToGo+SwaptionShift))*SUM(INDEX($FK$325:$ID$396,FS$169,1+SwaptionShift):INDEX($FK$325:$ID$396,FS$169,SwaptionMonthsToGo+SwaptionShift))))))</f>
        <v/>
      </c>
      <c r="FT233" s="479" t="str">
        <f ca="1">IF(OR(FT$169&lt;SwaptionFirstMonthPosition+1,$FJ233&lt;SwaptionFirstMonthPosition+1,FT$169&gt;SwaptionFirstMonthPosition+SwaptionNumOfMonths+1,$FJ233&gt;SwaptionFirstMonthPosition+SwaptionNumOfMonths+1),"",IF($FJ233=FT$169,1,IF($FJ233&lt;FT$169,INDEX($FK$170:$ID$241,FT$169,$FJ233),SUMPRODUCT(INDEX($FK$325:$ID$396,FT$169,1+SwaptionShift):INDEX($FK$325:$ID$396,FT$169,SwaptionMonthsToGo+SwaptionShift),INDEX($FK$245:$ID$316,$FJ233-FT$169,73-FT$169+SwaptionShift):INDEX($FK$245:$ID$316,$FJ233-FT$169,72-FT$169+SwaptionMonthsToGo+SwaptionShift))/SQRT(SUM(INDEX($FK388:$ID388,1+SwaptionShift):INDEX($FK388:$ID388,SwaptionMonthsToGo+SwaptionShift))*SUM(INDEX($FK$325:$ID$396,FT$169,1+SwaptionShift):INDEX($FK$325:$ID$396,FT$169,SwaptionMonthsToGo+SwaptionShift))))))</f>
        <v/>
      </c>
      <c r="FU233" s="479" t="str">
        <f ca="1">IF(OR(FU$169&lt;SwaptionFirstMonthPosition+1,$FJ233&lt;SwaptionFirstMonthPosition+1,FU$169&gt;SwaptionFirstMonthPosition+SwaptionNumOfMonths+1,$FJ233&gt;SwaptionFirstMonthPosition+SwaptionNumOfMonths+1),"",IF($FJ233=FU$169,1,IF($FJ233&lt;FU$169,INDEX($FK$170:$ID$241,FU$169,$FJ233),SUMPRODUCT(INDEX($FK$325:$ID$396,FU$169,1+SwaptionShift):INDEX($FK$325:$ID$396,FU$169,SwaptionMonthsToGo+SwaptionShift),INDEX($FK$245:$ID$316,$FJ233-FU$169,73-FU$169+SwaptionShift):INDEX($FK$245:$ID$316,$FJ233-FU$169,72-FU$169+SwaptionMonthsToGo+SwaptionShift))/SQRT(SUM(INDEX($FK388:$ID388,1+SwaptionShift):INDEX($FK388:$ID388,SwaptionMonthsToGo+SwaptionShift))*SUM(INDEX($FK$325:$ID$396,FU$169,1+SwaptionShift):INDEX($FK$325:$ID$396,FU$169,SwaptionMonthsToGo+SwaptionShift))))))</f>
        <v/>
      </c>
      <c r="FV233" s="479" t="str">
        <f ca="1">IF(OR(FV$169&lt;SwaptionFirstMonthPosition+1,$FJ233&lt;SwaptionFirstMonthPosition+1,FV$169&gt;SwaptionFirstMonthPosition+SwaptionNumOfMonths+1,$FJ233&gt;SwaptionFirstMonthPosition+SwaptionNumOfMonths+1),"",IF($FJ233=FV$169,1,IF($FJ233&lt;FV$169,INDEX($FK$170:$ID$241,FV$169,$FJ233),SUMPRODUCT(INDEX($FK$325:$ID$396,FV$169,1+SwaptionShift):INDEX($FK$325:$ID$396,FV$169,SwaptionMonthsToGo+SwaptionShift),INDEX($FK$245:$ID$316,$FJ233-FV$169,73-FV$169+SwaptionShift):INDEX($FK$245:$ID$316,$FJ233-FV$169,72-FV$169+SwaptionMonthsToGo+SwaptionShift))/SQRT(SUM(INDEX($FK388:$ID388,1+SwaptionShift):INDEX($FK388:$ID388,SwaptionMonthsToGo+SwaptionShift))*SUM(INDEX($FK$325:$ID$396,FV$169,1+SwaptionShift):INDEX($FK$325:$ID$396,FV$169,SwaptionMonthsToGo+SwaptionShift))))))</f>
        <v/>
      </c>
      <c r="FW233" s="479" t="str">
        <f ca="1">IF(OR(FW$169&lt;SwaptionFirstMonthPosition+1,$FJ233&lt;SwaptionFirstMonthPosition+1,FW$169&gt;SwaptionFirstMonthPosition+SwaptionNumOfMonths+1,$FJ233&gt;SwaptionFirstMonthPosition+SwaptionNumOfMonths+1),"",IF($FJ233=FW$169,1,IF($FJ233&lt;FW$169,INDEX($FK$170:$ID$241,FW$169,$FJ233),SUMPRODUCT(INDEX($FK$325:$ID$396,FW$169,1+SwaptionShift):INDEX($FK$325:$ID$396,FW$169,SwaptionMonthsToGo+SwaptionShift),INDEX($FK$245:$ID$316,$FJ233-FW$169,73-FW$169+SwaptionShift):INDEX($FK$245:$ID$316,$FJ233-FW$169,72-FW$169+SwaptionMonthsToGo+SwaptionShift))/SQRT(SUM(INDEX($FK388:$ID388,1+SwaptionShift):INDEX($FK388:$ID388,SwaptionMonthsToGo+SwaptionShift))*SUM(INDEX($FK$325:$ID$396,FW$169,1+SwaptionShift):INDEX($FK$325:$ID$396,FW$169,SwaptionMonthsToGo+SwaptionShift))))))</f>
        <v/>
      </c>
      <c r="FX233" s="479" t="str">
        <f ca="1">IF(OR(FX$169&lt;SwaptionFirstMonthPosition+1,$FJ233&lt;SwaptionFirstMonthPosition+1,FX$169&gt;SwaptionFirstMonthPosition+SwaptionNumOfMonths+1,$FJ233&gt;SwaptionFirstMonthPosition+SwaptionNumOfMonths+1),"",IF($FJ233=FX$169,1,IF($FJ233&lt;FX$169,INDEX($FK$170:$ID$241,FX$169,$FJ233),SUMPRODUCT(INDEX($FK$325:$ID$396,FX$169,1+SwaptionShift):INDEX($FK$325:$ID$396,FX$169,SwaptionMonthsToGo+SwaptionShift),INDEX($FK$245:$ID$316,$FJ233-FX$169,73-FX$169+SwaptionShift):INDEX($FK$245:$ID$316,$FJ233-FX$169,72-FX$169+SwaptionMonthsToGo+SwaptionShift))/SQRT(SUM(INDEX($FK388:$ID388,1+SwaptionShift):INDEX($FK388:$ID388,SwaptionMonthsToGo+SwaptionShift))*SUM(INDEX($FK$325:$ID$396,FX$169,1+SwaptionShift):INDEX($FK$325:$ID$396,FX$169,SwaptionMonthsToGo+SwaptionShift))))))</f>
        <v/>
      </c>
      <c r="FY233" s="479" t="str">
        <f ca="1">IF(OR(FY$169&lt;SwaptionFirstMonthPosition+1,$FJ233&lt;SwaptionFirstMonthPosition+1,FY$169&gt;SwaptionFirstMonthPosition+SwaptionNumOfMonths+1,$FJ233&gt;SwaptionFirstMonthPosition+SwaptionNumOfMonths+1),"",IF($FJ233=FY$169,1,IF($FJ233&lt;FY$169,INDEX($FK$170:$ID$241,FY$169,$FJ233),SUMPRODUCT(INDEX($FK$325:$ID$396,FY$169,1+SwaptionShift):INDEX($FK$325:$ID$396,FY$169,SwaptionMonthsToGo+SwaptionShift),INDEX($FK$245:$ID$316,$FJ233-FY$169,73-FY$169+SwaptionShift):INDEX($FK$245:$ID$316,$FJ233-FY$169,72-FY$169+SwaptionMonthsToGo+SwaptionShift))/SQRT(SUM(INDEX($FK388:$ID388,1+SwaptionShift):INDEX($FK388:$ID388,SwaptionMonthsToGo+SwaptionShift))*SUM(INDEX($FK$325:$ID$396,FY$169,1+SwaptionShift):INDEX($FK$325:$ID$396,FY$169,SwaptionMonthsToGo+SwaptionShift))))))</f>
        <v/>
      </c>
      <c r="FZ233" s="479" t="str">
        <f ca="1">IF(OR(FZ$169&lt;SwaptionFirstMonthPosition+1,$FJ233&lt;SwaptionFirstMonthPosition+1,FZ$169&gt;SwaptionFirstMonthPosition+SwaptionNumOfMonths+1,$FJ233&gt;SwaptionFirstMonthPosition+SwaptionNumOfMonths+1),"",IF($FJ233=FZ$169,1,IF($FJ233&lt;FZ$169,INDEX($FK$170:$ID$241,FZ$169,$FJ233),SUMPRODUCT(INDEX($FK$325:$ID$396,FZ$169,1+SwaptionShift):INDEX($FK$325:$ID$396,FZ$169,SwaptionMonthsToGo+SwaptionShift),INDEX($FK$245:$ID$316,$FJ233-FZ$169,73-FZ$169+SwaptionShift):INDEX($FK$245:$ID$316,$FJ233-FZ$169,72-FZ$169+SwaptionMonthsToGo+SwaptionShift))/SQRT(SUM(INDEX($FK388:$ID388,1+SwaptionShift):INDEX($FK388:$ID388,SwaptionMonthsToGo+SwaptionShift))*SUM(INDEX($FK$325:$ID$396,FZ$169,1+SwaptionShift):INDEX($FK$325:$ID$396,FZ$169,SwaptionMonthsToGo+SwaptionShift))))))</f>
        <v/>
      </c>
      <c r="GA233" s="479" t="str">
        <f ca="1">IF(OR(GA$169&lt;SwaptionFirstMonthPosition+1,$FJ233&lt;SwaptionFirstMonthPosition+1,GA$169&gt;SwaptionFirstMonthPosition+SwaptionNumOfMonths+1,$FJ233&gt;SwaptionFirstMonthPosition+SwaptionNumOfMonths+1),"",IF($FJ233=GA$169,1,IF($FJ233&lt;GA$169,INDEX($FK$170:$ID$241,GA$169,$FJ233),SUMPRODUCT(INDEX($FK$325:$ID$396,GA$169,1+SwaptionShift):INDEX($FK$325:$ID$396,GA$169,SwaptionMonthsToGo+SwaptionShift),INDEX($FK$245:$ID$316,$FJ233-GA$169,73-GA$169+SwaptionShift):INDEX($FK$245:$ID$316,$FJ233-GA$169,72-GA$169+SwaptionMonthsToGo+SwaptionShift))/SQRT(SUM(INDEX($FK388:$ID388,1+SwaptionShift):INDEX($FK388:$ID388,SwaptionMonthsToGo+SwaptionShift))*SUM(INDEX($FK$325:$ID$396,GA$169,1+SwaptionShift):INDEX($FK$325:$ID$396,GA$169,SwaptionMonthsToGo+SwaptionShift))))))</f>
        <v/>
      </c>
      <c r="GB233" s="479" t="str">
        <f ca="1">IF(OR(GB$169&lt;SwaptionFirstMonthPosition+1,$FJ233&lt;SwaptionFirstMonthPosition+1,GB$169&gt;SwaptionFirstMonthPosition+SwaptionNumOfMonths+1,$FJ233&gt;SwaptionFirstMonthPosition+SwaptionNumOfMonths+1),"",IF($FJ233=GB$169,1,IF($FJ233&lt;GB$169,INDEX($FK$170:$ID$241,GB$169,$FJ233),SUMPRODUCT(INDEX($FK$325:$ID$396,GB$169,1+SwaptionShift):INDEX($FK$325:$ID$396,GB$169,SwaptionMonthsToGo+SwaptionShift),INDEX($FK$245:$ID$316,$FJ233-GB$169,73-GB$169+SwaptionShift):INDEX($FK$245:$ID$316,$FJ233-GB$169,72-GB$169+SwaptionMonthsToGo+SwaptionShift))/SQRT(SUM(INDEX($FK388:$ID388,1+SwaptionShift):INDEX($FK388:$ID388,SwaptionMonthsToGo+SwaptionShift))*SUM(INDEX($FK$325:$ID$396,GB$169,1+SwaptionShift):INDEX($FK$325:$ID$396,GB$169,SwaptionMonthsToGo+SwaptionShift))))))</f>
        <v/>
      </c>
      <c r="GC233" s="479" t="str">
        <f ca="1">IF(OR(GC$169&lt;SwaptionFirstMonthPosition+1,$FJ233&lt;SwaptionFirstMonthPosition+1,GC$169&gt;SwaptionFirstMonthPosition+SwaptionNumOfMonths+1,$FJ233&gt;SwaptionFirstMonthPosition+SwaptionNumOfMonths+1),"",IF($FJ233=GC$169,1,IF($FJ233&lt;GC$169,INDEX($FK$170:$ID$241,GC$169,$FJ233),SUMPRODUCT(INDEX($FK$325:$ID$396,GC$169,1+SwaptionShift):INDEX($FK$325:$ID$396,GC$169,SwaptionMonthsToGo+SwaptionShift),INDEX($FK$245:$ID$316,$FJ233-GC$169,73-GC$169+SwaptionShift):INDEX($FK$245:$ID$316,$FJ233-GC$169,72-GC$169+SwaptionMonthsToGo+SwaptionShift))/SQRT(SUM(INDEX($FK388:$ID388,1+SwaptionShift):INDEX($FK388:$ID388,SwaptionMonthsToGo+SwaptionShift))*SUM(INDEX($FK$325:$ID$396,GC$169,1+SwaptionShift):INDEX($FK$325:$ID$396,GC$169,SwaptionMonthsToGo+SwaptionShift))))))</f>
        <v/>
      </c>
      <c r="GD233" s="479" t="str">
        <f ca="1">IF(OR(GD$169&lt;SwaptionFirstMonthPosition+1,$FJ233&lt;SwaptionFirstMonthPosition+1,GD$169&gt;SwaptionFirstMonthPosition+SwaptionNumOfMonths+1,$FJ233&gt;SwaptionFirstMonthPosition+SwaptionNumOfMonths+1),"",IF($FJ233=GD$169,1,IF($FJ233&lt;GD$169,INDEX($FK$170:$ID$241,GD$169,$FJ233),SUMPRODUCT(INDEX($FK$325:$ID$396,GD$169,1+SwaptionShift):INDEX($FK$325:$ID$396,GD$169,SwaptionMonthsToGo+SwaptionShift),INDEX($FK$245:$ID$316,$FJ233-GD$169,73-GD$169+SwaptionShift):INDEX($FK$245:$ID$316,$FJ233-GD$169,72-GD$169+SwaptionMonthsToGo+SwaptionShift))/SQRT(SUM(INDEX($FK388:$ID388,1+SwaptionShift):INDEX($FK388:$ID388,SwaptionMonthsToGo+SwaptionShift))*SUM(INDEX($FK$325:$ID$396,GD$169,1+SwaptionShift):INDEX($FK$325:$ID$396,GD$169,SwaptionMonthsToGo+SwaptionShift))))))</f>
        <v/>
      </c>
      <c r="GE233" s="479" t="str">
        <f ca="1">IF(OR(GE$169&lt;SwaptionFirstMonthPosition+1,$FJ233&lt;SwaptionFirstMonthPosition+1,GE$169&gt;SwaptionFirstMonthPosition+SwaptionNumOfMonths+1,$FJ233&gt;SwaptionFirstMonthPosition+SwaptionNumOfMonths+1),"",IF($FJ233=GE$169,1,IF($FJ233&lt;GE$169,INDEX($FK$170:$ID$241,GE$169,$FJ233),SUMPRODUCT(INDEX($FK$325:$ID$396,GE$169,1+SwaptionShift):INDEX($FK$325:$ID$396,GE$169,SwaptionMonthsToGo+SwaptionShift),INDEX($FK$245:$ID$316,$FJ233-GE$169,73-GE$169+SwaptionShift):INDEX($FK$245:$ID$316,$FJ233-GE$169,72-GE$169+SwaptionMonthsToGo+SwaptionShift))/SQRT(SUM(INDEX($FK388:$ID388,1+SwaptionShift):INDEX($FK388:$ID388,SwaptionMonthsToGo+SwaptionShift))*SUM(INDEX($FK$325:$ID$396,GE$169,1+SwaptionShift):INDEX($FK$325:$ID$396,GE$169,SwaptionMonthsToGo+SwaptionShift))))))</f>
        <v/>
      </c>
      <c r="GF233" s="479" t="str">
        <f ca="1">IF(OR(GF$169&lt;SwaptionFirstMonthPosition+1,$FJ233&lt;SwaptionFirstMonthPosition+1,GF$169&gt;SwaptionFirstMonthPosition+SwaptionNumOfMonths+1,$FJ233&gt;SwaptionFirstMonthPosition+SwaptionNumOfMonths+1),"",IF($FJ233=GF$169,1,IF($FJ233&lt;GF$169,INDEX($FK$170:$ID$241,GF$169,$FJ233),SUMPRODUCT(INDEX($FK$325:$ID$396,GF$169,1+SwaptionShift):INDEX($FK$325:$ID$396,GF$169,SwaptionMonthsToGo+SwaptionShift),INDEX($FK$245:$ID$316,$FJ233-GF$169,73-GF$169+SwaptionShift):INDEX($FK$245:$ID$316,$FJ233-GF$169,72-GF$169+SwaptionMonthsToGo+SwaptionShift))/SQRT(SUM(INDEX($FK388:$ID388,1+SwaptionShift):INDEX($FK388:$ID388,SwaptionMonthsToGo+SwaptionShift))*SUM(INDEX($FK$325:$ID$396,GF$169,1+SwaptionShift):INDEX($FK$325:$ID$396,GF$169,SwaptionMonthsToGo+SwaptionShift))))))</f>
        <v/>
      </c>
      <c r="GG233" s="479" t="str">
        <f ca="1">IF(OR(GG$169&lt;SwaptionFirstMonthPosition+1,$FJ233&lt;SwaptionFirstMonthPosition+1,GG$169&gt;SwaptionFirstMonthPosition+SwaptionNumOfMonths+1,$FJ233&gt;SwaptionFirstMonthPosition+SwaptionNumOfMonths+1),"",IF($FJ233=GG$169,1,IF($FJ233&lt;GG$169,INDEX($FK$170:$ID$241,GG$169,$FJ233),SUMPRODUCT(INDEX($FK$325:$ID$396,GG$169,1+SwaptionShift):INDEX($FK$325:$ID$396,GG$169,SwaptionMonthsToGo+SwaptionShift),INDEX($FK$245:$ID$316,$FJ233-GG$169,73-GG$169+SwaptionShift):INDEX($FK$245:$ID$316,$FJ233-GG$169,72-GG$169+SwaptionMonthsToGo+SwaptionShift))/SQRT(SUM(INDEX($FK388:$ID388,1+SwaptionShift):INDEX($FK388:$ID388,SwaptionMonthsToGo+SwaptionShift))*SUM(INDEX($FK$325:$ID$396,GG$169,1+SwaptionShift):INDEX($FK$325:$ID$396,GG$169,SwaptionMonthsToGo+SwaptionShift))))))</f>
        <v/>
      </c>
      <c r="GH233" s="479" t="str">
        <f ca="1">IF(OR(GH$169&lt;SwaptionFirstMonthPosition+1,$FJ233&lt;SwaptionFirstMonthPosition+1,GH$169&gt;SwaptionFirstMonthPosition+SwaptionNumOfMonths+1,$FJ233&gt;SwaptionFirstMonthPosition+SwaptionNumOfMonths+1),"",IF($FJ233=GH$169,1,IF($FJ233&lt;GH$169,INDEX($FK$170:$ID$241,GH$169,$FJ233),SUMPRODUCT(INDEX($FK$325:$ID$396,GH$169,1+SwaptionShift):INDEX($FK$325:$ID$396,GH$169,SwaptionMonthsToGo+SwaptionShift),INDEX($FK$245:$ID$316,$FJ233-GH$169,73-GH$169+SwaptionShift):INDEX($FK$245:$ID$316,$FJ233-GH$169,72-GH$169+SwaptionMonthsToGo+SwaptionShift))/SQRT(SUM(INDEX($FK388:$ID388,1+SwaptionShift):INDEX($FK388:$ID388,SwaptionMonthsToGo+SwaptionShift))*SUM(INDEX($FK$325:$ID$396,GH$169,1+SwaptionShift):INDEX($FK$325:$ID$396,GH$169,SwaptionMonthsToGo+SwaptionShift))))))</f>
        <v/>
      </c>
      <c r="GI233" s="479" t="str">
        <f ca="1">IF(OR(GI$169&lt;SwaptionFirstMonthPosition+1,$FJ233&lt;SwaptionFirstMonthPosition+1,GI$169&gt;SwaptionFirstMonthPosition+SwaptionNumOfMonths+1,$FJ233&gt;SwaptionFirstMonthPosition+SwaptionNumOfMonths+1),"",IF($FJ233=GI$169,1,IF($FJ233&lt;GI$169,INDEX($FK$170:$ID$241,GI$169,$FJ233),SUMPRODUCT(INDEX($FK$325:$ID$396,GI$169,1+SwaptionShift):INDEX($FK$325:$ID$396,GI$169,SwaptionMonthsToGo+SwaptionShift),INDEX($FK$245:$ID$316,$FJ233-GI$169,73-GI$169+SwaptionShift):INDEX($FK$245:$ID$316,$FJ233-GI$169,72-GI$169+SwaptionMonthsToGo+SwaptionShift))/SQRT(SUM(INDEX($FK388:$ID388,1+SwaptionShift):INDEX($FK388:$ID388,SwaptionMonthsToGo+SwaptionShift))*SUM(INDEX($FK$325:$ID$396,GI$169,1+SwaptionShift):INDEX($FK$325:$ID$396,GI$169,SwaptionMonthsToGo+SwaptionShift))))))</f>
        <v/>
      </c>
      <c r="GJ233" s="479" t="str">
        <f ca="1">IF(OR(GJ$169&lt;SwaptionFirstMonthPosition+1,$FJ233&lt;SwaptionFirstMonthPosition+1,GJ$169&gt;SwaptionFirstMonthPosition+SwaptionNumOfMonths+1,$FJ233&gt;SwaptionFirstMonthPosition+SwaptionNumOfMonths+1),"",IF($FJ233=GJ$169,1,IF($FJ233&lt;GJ$169,INDEX($FK$170:$ID$241,GJ$169,$FJ233),SUMPRODUCT(INDEX($FK$325:$ID$396,GJ$169,1+SwaptionShift):INDEX($FK$325:$ID$396,GJ$169,SwaptionMonthsToGo+SwaptionShift),INDEX($FK$245:$ID$316,$FJ233-GJ$169,73-GJ$169+SwaptionShift):INDEX($FK$245:$ID$316,$FJ233-GJ$169,72-GJ$169+SwaptionMonthsToGo+SwaptionShift))/SQRT(SUM(INDEX($FK388:$ID388,1+SwaptionShift):INDEX($FK388:$ID388,SwaptionMonthsToGo+SwaptionShift))*SUM(INDEX($FK$325:$ID$396,GJ$169,1+SwaptionShift):INDEX($FK$325:$ID$396,GJ$169,SwaptionMonthsToGo+SwaptionShift))))))</f>
        <v/>
      </c>
      <c r="GK233" s="479" t="str">
        <f ca="1">IF(OR(GK$169&lt;SwaptionFirstMonthPosition+1,$FJ233&lt;SwaptionFirstMonthPosition+1,GK$169&gt;SwaptionFirstMonthPosition+SwaptionNumOfMonths+1,$FJ233&gt;SwaptionFirstMonthPosition+SwaptionNumOfMonths+1),"",IF($FJ233=GK$169,1,IF($FJ233&lt;GK$169,INDEX($FK$170:$ID$241,GK$169,$FJ233),SUMPRODUCT(INDEX($FK$325:$ID$396,GK$169,1+SwaptionShift):INDEX($FK$325:$ID$396,GK$169,SwaptionMonthsToGo+SwaptionShift),INDEX($FK$245:$ID$316,$FJ233-GK$169,73-GK$169+SwaptionShift):INDEX($FK$245:$ID$316,$FJ233-GK$169,72-GK$169+SwaptionMonthsToGo+SwaptionShift))/SQRT(SUM(INDEX($FK388:$ID388,1+SwaptionShift):INDEX($FK388:$ID388,SwaptionMonthsToGo+SwaptionShift))*SUM(INDEX($FK$325:$ID$396,GK$169,1+SwaptionShift):INDEX($FK$325:$ID$396,GK$169,SwaptionMonthsToGo+SwaptionShift))))))</f>
        <v/>
      </c>
      <c r="GL233" s="479" t="str">
        <f ca="1">IF(OR(GL$169&lt;SwaptionFirstMonthPosition+1,$FJ233&lt;SwaptionFirstMonthPosition+1,GL$169&gt;SwaptionFirstMonthPosition+SwaptionNumOfMonths+1,$FJ233&gt;SwaptionFirstMonthPosition+SwaptionNumOfMonths+1),"",IF($FJ233=GL$169,1,IF($FJ233&lt;GL$169,INDEX($FK$170:$ID$241,GL$169,$FJ233),SUMPRODUCT(INDEX($FK$325:$ID$396,GL$169,1+SwaptionShift):INDEX($FK$325:$ID$396,GL$169,SwaptionMonthsToGo+SwaptionShift),INDEX($FK$245:$ID$316,$FJ233-GL$169,73-GL$169+SwaptionShift):INDEX($FK$245:$ID$316,$FJ233-GL$169,72-GL$169+SwaptionMonthsToGo+SwaptionShift))/SQRT(SUM(INDEX($FK388:$ID388,1+SwaptionShift):INDEX($FK388:$ID388,SwaptionMonthsToGo+SwaptionShift))*SUM(INDEX($FK$325:$ID$396,GL$169,1+SwaptionShift):INDEX($FK$325:$ID$396,GL$169,SwaptionMonthsToGo+SwaptionShift))))))</f>
        <v/>
      </c>
      <c r="GM233" s="479" t="str">
        <f ca="1">IF(OR(GM$169&lt;SwaptionFirstMonthPosition+1,$FJ233&lt;SwaptionFirstMonthPosition+1,GM$169&gt;SwaptionFirstMonthPosition+SwaptionNumOfMonths+1,$FJ233&gt;SwaptionFirstMonthPosition+SwaptionNumOfMonths+1),"",IF($FJ233=GM$169,1,IF($FJ233&lt;GM$169,INDEX($FK$170:$ID$241,GM$169,$FJ233),SUMPRODUCT(INDEX($FK$325:$ID$396,GM$169,1+SwaptionShift):INDEX($FK$325:$ID$396,GM$169,SwaptionMonthsToGo+SwaptionShift),INDEX($FK$245:$ID$316,$FJ233-GM$169,73-GM$169+SwaptionShift):INDEX($FK$245:$ID$316,$FJ233-GM$169,72-GM$169+SwaptionMonthsToGo+SwaptionShift))/SQRT(SUM(INDEX($FK388:$ID388,1+SwaptionShift):INDEX($FK388:$ID388,SwaptionMonthsToGo+SwaptionShift))*SUM(INDEX($FK$325:$ID$396,GM$169,1+SwaptionShift):INDEX($FK$325:$ID$396,GM$169,SwaptionMonthsToGo+SwaptionShift))))))</f>
        <v/>
      </c>
      <c r="GN233" s="479" t="str">
        <f ca="1">IF(OR(GN$169&lt;SwaptionFirstMonthPosition+1,$FJ233&lt;SwaptionFirstMonthPosition+1,GN$169&gt;SwaptionFirstMonthPosition+SwaptionNumOfMonths+1,$FJ233&gt;SwaptionFirstMonthPosition+SwaptionNumOfMonths+1),"",IF($FJ233=GN$169,1,IF($FJ233&lt;GN$169,INDEX($FK$170:$ID$241,GN$169,$FJ233),SUMPRODUCT(INDEX($FK$325:$ID$396,GN$169,1+SwaptionShift):INDEX($FK$325:$ID$396,GN$169,SwaptionMonthsToGo+SwaptionShift),INDEX($FK$245:$ID$316,$FJ233-GN$169,73-GN$169+SwaptionShift):INDEX($FK$245:$ID$316,$FJ233-GN$169,72-GN$169+SwaptionMonthsToGo+SwaptionShift))/SQRT(SUM(INDEX($FK388:$ID388,1+SwaptionShift):INDEX($FK388:$ID388,SwaptionMonthsToGo+SwaptionShift))*SUM(INDEX($FK$325:$ID$396,GN$169,1+SwaptionShift):INDEX($FK$325:$ID$396,GN$169,SwaptionMonthsToGo+SwaptionShift))))))</f>
        <v/>
      </c>
      <c r="GO233" s="479" t="str">
        <f ca="1">IF(OR(GO$169&lt;SwaptionFirstMonthPosition+1,$FJ233&lt;SwaptionFirstMonthPosition+1,GO$169&gt;SwaptionFirstMonthPosition+SwaptionNumOfMonths+1,$FJ233&gt;SwaptionFirstMonthPosition+SwaptionNumOfMonths+1),"",IF($FJ233=GO$169,1,IF($FJ233&lt;GO$169,INDEX($FK$170:$ID$241,GO$169,$FJ233),SUMPRODUCT(INDEX($FK$325:$ID$396,GO$169,1+SwaptionShift):INDEX($FK$325:$ID$396,GO$169,SwaptionMonthsToGo+SwaptionShift),INDEX($FK$245:$ID$316,$FJ233-GO$169,73-GO$169+SwaptionShift):INDEX($FK$245:$ID$316,$FJ233-GO$169,72-GO$169+SwaptionMonthsToGo+SwaptionShift))/SQRT(SUM(INDEX($FK388:$ID388,1+SwaptionShift):INDEX($FK388:$ID388,SwaptionMonthsToGo+SwaptionShift))*SUM(INDEX($FK$325:$ID$396,GO$169,1+SwaptionShift):INDEX($FK$325:$ID$396,GO$169,SwaptionMonthsToGo+SwaptionShift))))))</f>
        <v/>
      </c>
      <c r="GP233" s="479" t="str">
        <f ca="1">IF(OR(GP$169&lt;SwaptionFirstMonthPosition+1,$FJ233&lt;SwaptionFirstMonthPosition+1,GP$169&gt;SwaptionFirstMonthPosition+SwaptionNumOfMonths+1,$FJ233&gt;SwaptionFirstMonthPosition+SwaptionNumOfMonths+1),"",IF($FJ233=GP$169,1,IF($FJ233&lt;GP$169,INDEX($FK$170:$ID$241,GP$169,$FJ233),SUMPRODUCT(INDEX($FK$325:$ID$396,GP$169,1+SwaptionShift):INDEX($FK$325:$ID$396,GP$169,SwaptionMonthsToGo+SwaptionShift),INDEX($FK$245:$ID$316,$FJ233-GP$169,73-GP$169+SwaptionShift):INDEX($FK$245:$ID$316,$FJ233-GP$169,72-GP$169+SwaptionMonthsToGo+SwaptionShift))/SQRT(SUM(INDEX($FK388:$ID388,1+SwaptionShift):INDEX($FK388:$ID388,SwaptionMonthsToGo+SwaptionShift))*SUM(INDEX($FK$325:$ID$396,GP$169,1+SwaptionShift):INDEX($FK$325:$ID$396,GP$169,SwaptionMonthsToGo+SwaptionShift))))))</f>
        <v/>
      </c>
      <c r="GQ233" s="479" t="str">
        <f ca="1">IF(OR(GQ$169&lt;SwaptionFirstMonthPosition+1,$FJ233&lt;SwaptionFirstMonthPosition+1,GQ$169&gt;SwaptionFirstMonthPosition+SwaptionNumOfMonths+1,$FJ233&gt;SwaptionFirstMonthPosition+SwaptionNumOfMonths+1),"",IF($FJ233=GQ$169,1,IF($FJ233&lt;GQ$169,INDEX($FK$170:$ID$241,GQ$169,$FJ233),SUMPRODUCT(INDEX($FK$325:$ID$396,GQ$169,1+SwaptionShift):INDEX($FK$325:$ID$396,GQ$169,SwaptionMonthsToGo+SwaptionShift),INDEX($FK$245:$ID$316,$FJ233-GQ$169,73-GQ$169+SwaptionShift):INDEX($FK$245:$ID$316,$FJ233-GQ$169,72-GQ$169+SwaptionMonthsToGo+SwaptionShift))/SQRT(SUM(INDEX($FK388:$ID388,1+SwaptionShift):INDEX($FK388:$ID388,SwaptionMonthsToGo+SwaptionShift))*SUM(INDEX($FK$325:$ID$396,GQ$169,1+SwaptionShift):INDEX($FK$325:$ID$396,GQ$169,SwaptionMonthsToGo+SwaptionShift))))))</f>
        <v/>
      </c>
      <c r="GR233" s="479" t="str">
        <f ca="1">IF(OR(GR$169&lt;SwaptionFirstMonthPosition+1,$FJ233&lt;SwaptionFirstMonthPosition+1,GR$169&gt;SwaptionFirstMonthPosition+SwaptionNumOfMonths+1,$FJ233&gt;SwaptionFirstMonthPosition+SwaptionNumOfMonths+1),"",IF($FJ233=GR$169,1,IF($FJ233&lt;GR$169,INDEX($FK$170:$ID$241,GR$169,$FJ233),SUMPRODUCT(INDEX($FK$325:$ID$396,GR$169,1+SwaptionShift):INDEX($FK$325:$ID$396,GR$169,SwaptionMonthsToGo+SwaptionShift),INDEX($FK$245:$ID$316,$FJ233-GR$169,73-GR$169+SwaptionShift):INDEX($FK$245:$ID$316,$FJ233-GR$169,72-GR$169+SwaptionMonthsToGo+SwaptionShift))/SQRT(SUM(INDEX($FK388:$ID388,1+SwaptionShift):INDEX($FK388:$ID388,SwaptionMonthsToGo+SwaptionShift))*SUM(INDEX($FK$325:$ID$396,GR$169,1+SwaptionShift):INDEX($FK$325:$ID$396,GR$169,SwaptionMonthsToGo+SwaptionShift))))))</f>
        <v/>
      </c>
      <c r="GS233" s="479" t="str">
        <f ca="1">IF(OR(GS$169&lt;SwaptionFirstMonthPosition+1,$FJ233&lt;SwaptionFirstMonthPosition+1,GS$169&gt;SwaptionFirstMonthPosition+SwaptionNumOfMonths+1,$FJ233&gt;SwaptionFirstMonthPosition+SwaptionNumOfMonths+1),"",IF($FJ233=GS$169,1,IF($FJ233&lt;GS$169,INDEX($FK$170:$ID$241,GS$169,$FJ233),SUMPRODUCT(INDEX($FK$325:$ID$396,GS$169,1+SwaptionShift):INDEX($FK$325:$ID$396,GS$169,SwaptionMonthsToGo+SwaptionShift),INDEX($FK$245:$ID$316,$FJ233-GS$169,73-GS$169+SwaptionShift):INDEX($FK$245:$ID$316,$FJ233-GS$169,72-GS$169+SwaptionMonthsToGo+SwaptionShift))/SQRT(SUM(INDEX($FK388:$ID388,1+SwaptionShift):INDEX($FK388:$ID388,SwaptionMonthsToGo+SwaptionShift))*SUM(INDEX($FK$325:$ID$396,GS$169,1+SwaptionShift):INDEX($FK$325:$ID$396,GS$169,SwaptionMonthsToGo+SwaptionShift))))))</f>
        <v/>
      </c>
      <c r="GT233" s="479" t="str">
        <f ca="1">IF(OR(GT$169&lt;SwaptionFirstMonthPosition+1,$FJ233&lt;SwaptionFirstMonthPosition+1,GT$169&gt;SwaptionFirstMonthPosition+SwaptionNumOfMonths+1,$FJ233&gt;SwaptionFirstMonthPosition+SwaptionNumOfMonths+1),"",IF($FJ233=GT$169,1,IF($FJ233&lt;GT$169,INDEX($FK$170:$ID$241,GT$169,$FJ233),SUMPRODUCT(INDEX($FK$325:$ID$396,GT$169,1+SwaptionShift):INDEX($FK$325:$ID$396,GT$169,SwaptionMonthsToGo+SwaptionShift),INDEX($FK$245:$ID$316,$FJ233-GT$169,73-GT$169+SwaptionShift):INDEX($FK$245:$ID$316,$FJ233-GT$169,72-GT$169+SwaptionMonthsToGo+SwaptionShift))/SQRT(SUM(INDEX($FK388:$ID388,1+SwaptionShift):INDEX($FK388:$ID388,SwaptionMonthsToGo+SwaptionShift))*SUM(INDEX($FK$325:$ID$396,GT$169,1+SwaptionShift):INDEX($FK$325:$ID$396,GT$169,SwaptionMonthsToGo+SwaptionShift))))))</f>
        <v/>
      </c>
      <c r="GU233" s="479" t="str">
        <f ca="1">IF(OR(GU$169&lt;SwaptionFirstMonthPosition+1,$FJ233&lt;SwaptionFirstMonthPosition+1,GU$169&gt;SwaptionFirstMonthPosition+SwaptionNumOfMonths+1,$FJ233&gt;SwaptionFirstMonthPosition+SwaptionNumOfMonths+1),"",IF($FJ233=GU$169,1,IF($FJ233&lt;GU$169,INDEX($FK$170:$ID$241,GU$169,$FJ233),SUMPRODUCT(INDEX($FK$325:$ID$396,GU$169,1+SwaptionShift):INDEX($FK$325:$ID$396,GU$169,SwaptionMonthsToGo+SwaptionShift),INDEX($FK$245:$ID$316,$FJ233-GU$169,73-GU$169+SwaptionShift):INDEX($FK$245:$ID$316,$FJ233-GU$169,72-GU$169+SwaptionMonthsToGo+SwaptionShift))/SQRT(SUM(INDEX($FK388:$ID388,1+SwaptionShift):INDEX($FK388:$ID388,SwaptionMonthsToGo+SwaptionShift))*SUM(INDEX($FK$325:$ID$396,GU$169,1+SwaptionShift):INDEX($FK$325:$ID$396,GU$169,SwaptionMonthsToGo+SwaptionShift))))))</f>
        <v/>
      </c>
      <c r="GV233" s="479" t="str">
        <f ca="1">IF(OR(GV$169&lt;SwaptionFirstMonthPosition+1,$FJ233&lt;SwaptionFirstMonthPosition+1,GV$169&gt;SwaptionFirstMonthPosition+SwaptionNumOfMonths+1,$FJ233&gt;SwaptionFirstMonthPosition+SwaptionNumOfMonths+1),"",IF($FJ233=GV$169,1,IF($FJ233&lt;GV$169,INDEX($FK$170:$ID$241,GV$169,$FJ233),SUMPRODUCT(INDEX($FK$325:$ID$396,GV$169,1+SwaptionShift):INDEX($FK$325:$ID$396,GV$169,SwaptionMonthsToGo+SwaptionShift),INDEX($FK$245:$ID$316,$FJ233-GV$169,73-GV$169+SwaptionShift):INDEX($FK$245:$ID$316,$FJ233-GV$169,72-GV$169+SwaptionMonthsToGo+SwaptionShift))/SQRT(SUM(INDEX($FK388:$ID388,1+SwaptionShift):INDEX($FK388:$ID388,SwaptionMonthsToGo+SwaptionShift))*SUM(INDEX($FK$325:$ID$396,GV$169,1+SwaptionShift):INDEX($FK$325:$ID$396,GV$169,SwaptionMonthsToGo+SwaptionShift))))))</f>
        <v/>
      </c>
      <c r="GW233" s="479" t="str">
        <f ca="1">IF(OR(GW$169&lt;SwaptionFirstMonthPosition+1,$FJ233&lt;SwaptionFirstMonthPosition+1,GW$169&gt;SwaptionFirstMonthPosition+SwaptionNumOfMonths+1,$FJ233&gt;SwaptionFirstMonthPosition+SwaptionNumOfMonths+1),"",IF($FJ233=GW$169,1,IF($FJ233&lt;GW$169,INDEX($FK$170:$ID$241,GW$169,$FJ233),SUMPRODUCT(INDEX($FK$325:$ID$396,GW$169,1+SwaptionShift):INDEX($FK$325:$ID$396,GW$169,SwaptionMonthsToGo+SwaptionShift),INDEX($FK$245:$ID$316,$FJ233-GW$169,73-GW$169+SwaptionShift):INDEX($FK$245:$ID$316,$FJ233-GW$169,72-GW$169+SwaptionMonthsToGo+SwaptionShift))/SQRT(SUM(INDEX($FK388:$ID388,1+SwaptionShift):INDEX($FK388:$ID388,SwaptionMonthsToGo+SwaptionShift))*SUM(INDEX($FK$325:$ID$396,GW$169,1+SwaptionShift):INDEX($FK$325:$ID$396,GW$169,SwaptionMonthsToGo+SwaptionShift))))))</f>
        <v/>
      </c>
      <c r="GX233" s="479" t="str">
        <f ca="1">IF(OR(GX$169&lt;SwaptionFirstMonthPosition+1,$FJ233&lt;SwaptionFirstMonthPosition+1,GX$169&gt;SwaptionFirstMonthPosition+SwaptionNumOfMonths+1,$FJ233&gt;SwaptionFirstMonthPosition+SwaptionNumOfMonths+1),"",IF($FJ233=GX$169,1,IF($FJ233&lt;GX$169,INDEX($FK$170:$ID$241,GX$169,$FJ233),SUMPRODUCT(INDEX($FK$325:$ID$396,GX$169,1+SwaptionShift):INDEX($FK$325:$ID$396,GX$169,SwaptionMonthsToGo+SwaptionShift),INDEX($FK$245:$ID$316,$FJ233-GX$169,73-GX$169+SwaptionShift):INDEX($FK$245:$ID$316,$FJ233-GX$169,72-GX$169+SwaptionMonthsToGo+SwaptionShift))/SQRT(SUM(INDEX($FK388:$ID388,1+SwaptionShift):INDEX($FK388:$ID388,SwaptionMonthsToGo+SwaptionShift))*SUM(INDEX($FK$325:$ID$396,GX$169,1+SwaptionShift):INDEX($FK$325:$ID$396,GX$169,SwaptionMonthsToGo+SwaptionShift))))))</f>
        <v/>
      </c>
      <c r="GY233" s="479" t="str">
        <f ca="1">IF(OR(GY$169&lt;SwaptionFirstMonthPosition+1,$FJ233&lt;SwaptionFirstMonthPosition+1,GY$169&gt;SwaptionFirstMonthPosition+SwaptionNumOfMonths+1,$FJ233&gt;SwaptionFirstMonthPosition+SwaptionNumOfMonths+1),"",IF($FJ233=GY$169,1,IF($FJ233&lt;GY$169,INDEX($FK$170:$ID$241,GY$169,$FJ233),SUMPRODUCT(INDEX($FK$325:$ID$396,GY$169,1+SwaptionShift):INDEX($FK$325:$ID$396,GY$169,SwaptionMonthsToGo+SwaptionShift),INDEX($FK$245:$ID$316,$FJ233-GY$169,73-GY$169+SwaptionShift):INDEX($FK$245:$ID$316,$FJ233-GY$169,72-GY$169+SwaptionMonthsToGo+SwaptionShift))/SQRT(SUM(INDEX($FK388:$ID388,1+SwaptionShift):INDEX($FK388:$ID388,SwaptionMonthsToGo+SwaptionShift))*SUM(INDEX($FK$325:$ID$396,GY$169,1+SwaptionShift):INDEX($FK$325:$ID$396,GY$169,SwaptionMonthsToGo+SwaptionShift))))))</f>
        <v/>
      </c>
      <c r="GZ233" s="479" t="str">
        <f ca="1">IF(OR(GZ$169&lt;SwaptionFirstMonthPosition+1,$FJ233&lt;SwaptionFirstMonthPosition+1,GZ$169&gt;SwaptionFirstMonthPosition+SwaptionNumOfMonths+1,$FJ233&gt;SwaptionFirstMonthPosition+SwaptionNumOfMonths+1),"",IF($FJ233=GZ$169,1,IF($FJ233&lt;GZ$169,INDEX($FK$170:$ID$241,GZ$169,$FJ233),SUMPRODUCT(INDEX($FK$325:$ID$396,GZ$169,1+SwaptionShift):INDEX($FK$325:$ID$396,GZ$169,SwaptionMonthsToGo+SwaptionShift),INDEX($FK$245:$ID$316,$FJ233-GZ$169,73-GZ$169+SwaptionShift):INDEX($FK$245:$ID$316,$FJ233-GZ$169,72-GZ$169+SwaptionMonthsToGo+SwaptionShift))/SQRT(SUM(INDEX($FK388:$ID388,1+SwaptionShift):INDEX($FK388:$ID388,SwaptionMonthsToGo+SwaptionShift))*SUM(INDEX($FK$325:$ID$396,GZ$169,1+SwaptionShift):INDEX($FK$325:$ID$396,GZ$169,SwaptionMonthsToGo+SwaptionShift))))))</f>
        <v/>
      </c>
      <c r="HA233" s="479" t="str">
        <f ca="1">IF(OR(HA$169&lt;SwaptionFirstMonthPosition+1,$FJ233&lt;SwaptionFirstMonthPosition+1,HA$169&gt;SwaptionFirstMonthPosition+SwaptionNumOfMonths+1,$FJ233&gt;SwaptionFirstMonthPosition+SwaptionNumOfMonths+1),"",IF($FJ233=HA$169,1,IF($FJ233&lt;HA$169,INDEX($FK$170:$ID$241,HA$169,$FJ233),SUMPRODUCT(INDEX($FK$325:$ID$396,HA$169,1+SwaptionShift):INDEX($FK$325:$ID$396,HA$169,SwaptionMonthsToGo+SwaptionShift),INDEX($FK$245:$ID$316,$FJ233-HA$169,73-HA$169+SwaptionShift):INDEX($FK$245:$ID$316,$FJ233-HA$169,72-HA$169+SwaptionMonthsToGo+SwaptionShift))/SQRT(SUM(INDEX($FK388:$ID388,1+SwaptionShift):INDEX($FK388:$ID388,SwaptionMonthsToGo+SwaptionShift))*SUM(INDEX($FK$325:$ID$396,HA$169,1+SwaptionShift):INDEX($FK$325:$ID$396,HA$169,SwaptionMonthsToGo+SwaptionShift))))))</f>
        <v/>
      </c>
      <c r="HB233" s="479" t="str">
        <f ca="1">IF(OR(HB$169&lt;SwaptionFirstMonthPosition+1,$FJ233&lt;SwaptionFirstMonthPosition+1,HB$169&gt;SwaptionFirstMonthPosition+SwaptionNumOfMonths+1,$FJ233&gt;SwaptionFirstMonthPosition+SwaptionNumOfMonths+1),"",IF($FJ233=HB$169,1,IF($FJ233&lt;HB$169,INDEX($FK$170:$ID$241,HB$169,$FJ233),SUMPRODUCT(INDEX($FK$325:$ID$396,HB$169,1+SwaptionShift):INDEX($FK$325:$ID$396,HB$169,SwaptionMonthsToGo+SwaptionShift),INDEX($FK$245:$ID$316,$FJ233-HB$169,73-HB$169+SwaptionShift):INDEX($FK$245:$ID$316,$FJ233-HB$169,72-HB$169+SwaptionMonthsToGo+SwaptionShift))/SQRT(SUM(INDEX($FK388:$ID388,1+SwaptionShift):INDEX($FK388:$ID388,SwaptionMonthsToGo+SwaptionShift))*SUM(INDEX($FK$325:$ID$396,HB$169,1+SwaptionShift):INDEX($FK$325:$ID$396,HB$169,SwaptionMonthsToGo+SwaptionShift))))))</f>
        <v/>
      </c>
      <c r="HC233" s="479" t="str">
        <f ca="1">IF(OR(HC$169&lt;SwaptionFirstMonthPosition+1,$FJ233&lt;SwaptionFirstMonthPosition+1,HC$169&gt;SwaptionFirstMonthPosition+SwaptionNumOfMonths+1,$FJ233&gt;SwaptionFirstMonthPosition+SwaptionNumOfMonths+1),"",IF($FJ233=HC$169,1,IF($FJ233&lt;HC$169,INDEX($FK$170:$ID$241,HC$169,$FJ233),SUMPRODUCT(INDEX($FK$325:$ID$396,HC$169,1+SwaptionShift):INDEX($FK$325:$ID$396,HC$169,SwaptionMonthsToGo+SwaptionShift),INDEX($FK$245:$ID$316,$FJ233-HC$169,73-HC$169+SwaptionShift):INDEX($FK$245:$ID$316,$FJ233-HC$169,72-HC$169+SwaptionMonthsToGo+SwaptionShift))/SQRT(SUM(INDEX($FK388:$ID388,1+SwaptionShift):INDEX($FK388:$ID388,SwaptionMonthsToGo+SwaptionShift))*SUM(INDEX($FK$325:$ID$396,HC$169,1+SwaptionShift):INDEX($FK$325:$ID$396,HC$169,SwaptionMonthsToGo+SwaptionShift))))))</f>
        <v/>
      </c>
      <c r="HD233" s="479" t="str">
        <f ca="1">IF(OR(HD$169&lt;SwaptionFirstMonthPosition+1,$FJ233&lt;SwaptionFirstMonthPosition+1,HD$169&gt;SwaptionFirstMonthPosition+SwaptionNumOfMonths+1,$FJ233&gt;SwaptionFirstMonthPosition+SwaptionNumOfMonths+1),"",IF($FJ233=HD$169,1,IF($FJ233&lt;HD$169,INDEX($FK$170:$ID$241,HD$169,$FJ233),SUMPRODUCT(INDEX($FK$325:$ID$396,HD$169,1+SwaptionShift):INDEX($FK$325:$ID$396,HD$169,SwaptionMonthsToGo+SwaptionShift),INDEX($FK$245:$ID$316,$FJ233-HD$169,73-HD$169+SwaptionShift):INDEX($FK$245:$ID$316,$FJ233-HD$169,72-HD$169+SwaptionMonthsToGo+SwaptionShift))/SQRT(SUM(INDEX($FK388:$ID388,1+SwaptionShift):INDEX($FK388:$ID388,SwaptionMonthsToGo+SwaptionShift))*SUM(INDEX($FK$325:$ID$396,HD$169,1+SwaptionShift):INDEX($FK$325:$ID$396,HD$169,SwaptionMonthsToGo+SwaptionShift))))))</f>
        <v/>
      </c>
      <c r="HE233" s="479" t="str">
        <f ca="1">IF(OR(HE$169&lt;SwaptionFirstMonthPosition+1,$FJ233&lt;SwaptionFirstMonthPosition+1,HE$169&gt;SwaptionFirstMonthPosition+SwaptionNumOfMonths+1,$FJ233&gt;SwaptionFirstMonthPosition+SwaptionNumOfMonths+1),"",IF($FJ233=HE$169,1,IF($FJ233&lt;HE$169,INDEX($FK$170:$ID$241,HE$169,$FJ233),SUMPRODUCT(INDEX($FK$325:$ID$396,HE$169,1+SwaptionShift):INDEX($FK$325:$ID$396,HE$169,SwaptionMonthsToGo+SwaptionShift),INDEX($FK$245:$ID$316,$FJ233-HE$169,73-HE$169+SwaptionShift):INDEX($FK$245:$ID$316,$FJ233-HE$169,72-HE$169+SwaptionMonthsToGo+SwaptionShift))/SQRT(SUM(INDEX($FK388:$ID388,1+SwaptionShift):INDEX($FK388:$ID388,SwaptionMonthsToGo+SwaptionShift))*SUM(INDEX($FK$325:$ID$396,HE$169,1+SwaptionShift):INDEX($FK$325:$ID$396,HE$169,SwaptionMonthsToGo+SwaptionShift))))))</f>
        <v/>
      </c>
      <c r="HF233" s="479" t="str">
        <f ca="1">IF(OR(HF$169&lt;SwaptionFirstMonthPosition+1,$FJ233&lt;SwaptionFirstMonthPosition+1,HF$169&gt;SwaptionFirstMonthPosition+SwaptionNumOfMonths+1,$FJ233&gt;SwaptionFirstMonthPosition+SwaptionNumOfMonths+1),"",IF($FJ233=HF$169,1,IF($FJ233&lt;HF$169,INDEX($FK$170:$ID$241,HF$169,$FJ233),SUMPRODUCT(INDEX($FK$325:$ID$396,HF$169,1+SwaptionShift):INDEX($FK$325:$ID$396,HF$169,SwaptionMonthsToGo+SwaptionShift),INDEX($FK$245:$ID$316,$FJ233-HF$169,73-HF$169+SwaptionShift):INDEX($FK$245:$ID$316,$FJ233-HF$169,72-HF$169+SwaptionMonthsToGo+SwaptionShift))/SQRT(SUM(INDEX($FK388:$ID388,1+SwaptionShift):INDEX($FK388:$ID388,SwaptionMonthsToGo+SwaptionShift))*SUM(INDEX($FK$325:$ID$396,HF$169,1+SwaptionShift):INDEX($FK$325:$ID$396,HF$169,SwaptionMonthsToGo+SwaptionShift))))))</f>
        <v/>
      </c>
      <c r="HG233" s="479" t="str">
        <f ca="1">IF(OR(HG$169&lt;SwaptionFirstMonthPosition+1,$FJ233&lt;SwaptionFirstMonthPosition+1,HG$169&gt;SwaptionFirstMonthPosition+SwaptionNumOfMonths+1,$FJ233&gt;SwaptionFirstMonthPosition+SwaptionNumOfMonths+1),"",IF($FJ233=HG$169,1,IF($FJ233&lt;HG$169,INDEX($FK$170:$ID$241,HG$169,$FJ233),SUMPRODUCT(INDEX($FK$325:$ID$396,HG$169,1+SwaptionShift):INDEX($FK$325:$ID$396,HG$169,SwaptionMonthsToGo+SwaptionShift),INDEX($FK$245:$ID$316,$FJ233-HG$169,73-HG$169+SwaptionShift):INDEX($FK$245:$ID$316,$FJ233-HG$169,72-HG$169+SwaptionMonthsToGo+SwaptionShift))/SQRT(SUM(INDEX($FK388:$ID388,1+SwaptionShift):INDEX($FK388:$ID388,SwaptionMonthsToGo+SwaptionShift))*SUM(INDEX($FK$325:$ID$396,HG$169,1+SwaptionShift):INDEX($FK$325:$ID$396,HG$169,SwaptionMonthsToGo+SwaptionShift))))))</f>
        <v/>
      </c>
      <c r="HH233" s="479" t="str">
        <f ca="1">IF(OR(HH$169&lt;SwaptionFirstMonthPosition+1,$FJ233&lt;SwaptionFirstMonthPosition+1,HH$169&gt;SwaptionFirstMonthPosition+SwaptionNumOfMonths+1,$FJ233&gt;SwaptionFirstMonthPosition+SwaptionNumOfMonths+1),"",IF($FJ233=HH$169,1,IF($FJ233&lt;HH$169,INDEX($FK$170:$ID$241,HH$169,$FJ233),SUMPRODUCT(INDEX($FK$325:$ID$396,HH$169,1+SwaptionShift):INDEX($FK$325:$ID$396,HH$169,SwaptionMonthsToGo+SwaptionShift),INDEX($FK$245:$ID$316,$FJ233-HH$169,73-HH$169+SwaptionShift):INDEX($FK$245:$ID$316,$FJ233-HH$169,72-HH$169+SwaptionMonthsToGo+SwaptionShift))/SQRT(SUM(INDEX($FK388:$ID388,1+SwaptionShift):INDEX($FK388:$ID388,SwaptionMonthsToGo+SwaptionShift))*SUM(INDEX($FK$325:$ID$396,HH$169,1+SwaptionShift):INDEX($FK$325:$ID$396,HH$169,SwaptionMonthsToGo+SwaptionShift))))))</f>
        <v/>
      </c>
      <c r="HI233" s="479" t="str">
        <f ca="1">IF(OR(HI$169&lt;SwaptionFirstMonthPosition+1,$FJ233&lt;SwaptionFirstMonthPosition+1,HI$169&gt;SwaptionFirstMonthPosition+SwaptionNumOfMonths+1,$FJ233&gt;SwaptionFirstMonthPosition+SwaptionNumOfMonths+1),"",IF($FJ233=HI$169,1,IF($FJ233&lt;HI$169,INDEX($FK$170:$ID$241,HI$169,$FJ233),SUMPRODUCT(INDEX($FK$325:$ID$396,HI$169,1+SwaptionShift):INDEX($FK$325:$ID$396,HI$169,SwaptionMonthsToGo+SwaptionShift),INDEX($FK$245:$ID$316,$FJ233-HI$169,73-HI$169+SwaptionShift):INDEX($FK$245:$ID$316,$FJ233-HI$169,72-HI$169+SwaptionMonthsToGo+SwaptionShift))/SQRT(SUM(INDEX($FK388:$ID388,1+SwaptionShift):INDEX($FK388:$ID388,SwaptionMonthsToGo+SwaptionShift))*SUM(INDEX($FK$325:$ID$396,HI$169,1+SwaptionShift):INDEX($FK$325:$ID$396,HI$169,SwaptionMonthsToGo+SwaptionShift))))))</f>
        <v/>
      </c>
      <c r="HJ233" s="479" t="str">
        <f ca="1">IF(OR(HJ$169&lt;SwaptionFirstMonthPosition+1,$FJ233&lt;SwaptionFirstMonthPosition+1,HJ$169&gt;SwaptionFirstMonthPosition+SwaptionNumOfMonths+1,$FJ233&gt;SwaptionFirstMonthPosition+SwaptionNumOfMonths+1),"",IF($FJ233=HJ$169,1,IF($FJ233&lt;HJ$169,INDEX($FK$170:$ID$241,HJ$169,$FJ233),SUMPRODUCT(INDEX($FK$325:$ID$396,HJ$169,1+SwaptionShift):INDEX($FK$325:$ID$396,HJ$169,SwaptionMonthsToGo+SwaptionShift),INDEX($FK$245:$ID$316,$FJ233-HJ$169,73-HJ$169+SwaptionShift):INDEX($FK$245:$ID$316,$FJ233-HJ$169,72-HJ$169+SwaptionMonthsToGo+SwaptionShift))/SQRT(SUM(INDEX($FK388:$ID388,1+SwaptionShift):INDEX($FK388:$ID388,SwaptionMonthsToGo+SwaptionShift))*SUM(INDEX($FK$325:$ID$396,HJ$169,1+SwaptionShift):INDEX($FK$325:$ID$396,HJ$169,SwaptionMonthsToGo+SwaptionShift))))))</f>
        <v/>
      </c>
      <c r="HK233" s="479" t="str">
        <f ca="1">IF(OR(HK$169&lt;SwaptionFirstMonthPosition+1,$FJ233&lt;SwaptionFirstMonthPosition+1,HK$169&gt;SwaptionFirstMonthPosition+SwaptionNumOfMonths+1,$FJ233&gt;SwaptionFirstMonthPosition+SwaptionNumOfMonths+1),"",IF($FJ233=HK$169,1,IF($FJ233&lt;HK$169,INDEX($FK$170:$ID$241,HK$169,$FJ233),SUMPRODUCT(INDEX($FK$325:$ID$396,HK$169,1+SwaptionShift):INDEX($FK$325:$ID$396,HK$169,SwaptionMonthsToGo+SwaptionShift),INDEX($FK$245:$ID$316,$FJ233-HK$169,73-HK$169+SwaptionShift):INDEX($FK$245:$ID$316,$FJ233-HK$169,72-HK$169+SwaptionMonthsToGo+SwaptionShift))/SQRT(SUM(INDEX($FK388:$ID388,1+SwaptionShift):INDEX($FK388:$ID388,SwaptionMonthsToGo+SwaptionShift))*SUM(INDEX($FK$325:$ID$396,HK$169,1+SwaptionShift):INDEX($FK$325:$ID$396,HK$169,SwaptionMonthsToGo+SwaptionShift))))))</f>
        <v/>
      </c>
      <c r="HL233" s="479" t="str">
        <f ca="1">IF(OR(HL$169&lt;SwaptionFirstMonthPosition+1,$FJ233&lt;SwaptionFirstMonthPosition+1,HL$169&gt;SwaptionFirstMonthPosition+SwaptionNumOfMonths+1,$FJ233&gt;SwaptionFirstMonthPosition+SwaptionNumOfMonths+1),"",IF($FJ233=HL$169,1,IF($FJ233&lt;HL$169,INDEX($FK$170:$ID$241,HL$169,$FJ233),SUMPRODUCT(INDEX($FK$325:$ID$396,HL$169,1+SwaptionShift):INDEX($FK$325:$ID$396,HL$169,SwaptionMonthsToGo+SwaptionShift),INDEX($FK$245:$ID$316,$FJ233-HL$169,73-HL$169+SwaptionShift):INDEX($FK$245:$ID$316,$FJ233-HL$169,72-HL$169+SwaptionMonthsToGo+SwaptionShift))/SQRT(SUM(INDEX($FK388:$ID388,1+SwaptionShift):INDEX($FK388:$ID388,SwaptionMonthsToGo+SwaptionShift))*SUM(INDEX($FK$325:$ID$396,HL$169,1+SwaptionShift):INDEX($FK$325:$ID$396,HL$169,SwaptionMonthsToGo+SwaptionShift))))))</f>
        <v/>
      </c>
      <c r="HM233" s="479" t="str">
        <f ca="1">IF(OR(HM$169&lt;SwaptionFirstMonthPosition+1,$FJ233&lt;SwaptionFirstMonthPosition+1,HM$169&gt;SwaptionFirstMonthPosition+SwaptionNumOfMonths+1,$FJ233&gt;SwaptionFirstMonthPosition+SwaptionNumOfMonths+1),"",IF($FJ233=HM$169,1,IF($FJ233&lt;HM$169,INDEX($FK$170:$ID$241,HM$169,$FJ233),SUMPRODUCT(INDEX($FK$325:$ID$396,HM$169,1+SwaptionShift):INDEX($FK$325:$ID$396,HM$169,SwaptionMonthsToGo+SwaptionShift),INDEX($FK$245:$ID$316,$FJ233-HM$169,73-HM$169+SwaptionShift):INDEX($FK$245:$ID$316,$FJ233-HM$169,72-HM$169+SwaptionMonthsToGo+SwaptionShift))/SQRT(SUM(INDEX($FK388:$ID388,1+SwaptionShift):INDEX($FK388:$ID388,SwaptionMonthsToGo+SwaptionShift))*SUM(INDEX($FK$325:$ID$396,HM$169,1+SwaptionShift):INDEX($FK$325:$ID$396,HM$169,SwaptionMonthsToGo+SwaptionShift))))))</f>
        <v/>
      </c>
      <c r="HN233" s="479" t="str">
        <f ca="1">IF(OR(HN$169&lt;SwaptionFirstMonthPosition+1,$FJ233&lt;SwaptionFirstMonthPosition+1,HN$169&gt;SwaptionFirstMonthPosition+SwaptionNumOfMonths+1,$FJ233&gt;SwaptionFirstMonthPosition+SwaptionNumOfMonths+1),"",IF($FJ233=HN$169,1,IF($FJ233&lt;HN$169,INDEX($FK$170:$ID$241,HN$169,$FJ233),SUMPRODUCT(INDEX($FK$325:$ID$396,HN$169,1+SwaptionShift):INDEX($FK$325:$ID$396,HN$169,SwaptionMonthsToGo+SwaptionShift),INDEX($FK$245:$ID$316,$FJ233-HN$169,73-HN$169+SwaptionShift):INDEX($FK$245:$ID$316,$FJ233-HN$169,72-HN$169+SwaptionMonthsToGo+SwaptionShift))/SQRT(SUM(INDEX($FK388:$ID388,1+SwaptionShift):INDEX($FK388:$ID388,SwaptionMonthsToGo+SwaptionShift))*SUM(INDEX($FK$325:$ID$396,HN$169,1+SwaptionShift):INDEX($FK$325:$ID$396,HN$169,SwaptionMonthsToGo+SwaptionShift))))))</f>
        <v/>
      </c>
      <c r="HO233" s="479" t="str">
        <f ca="1">IF(OR(HO$169&lt;SwaptionFirstMonthPosition+1,$FJ233&lt;SwaptionFirstMonthPosition+1,HO$169&gt;SwaptionFirstMonthPosition+SwaptionNumOfMonths+1,$FJ233&gt;SwaptionFirstMonthPosition+SwaptionNumOfMonths+1),"",IF($FJ233=HO$169,1,IF($FJ233&lt;HO$169,INDEX($FK$170:$ID$241,HO$169,$FJ233),SUMPRODUCT(INDEX($FK$325:$ID$396,HO$169,1+SwaptionShift):INDEX($FK$325:$ID$396,HO$169,SwaptionMonthsToGo+SwaptionShift),INDEX($FK$245:$ID$316,$FJ233-HO$169,73-HO$169+SwaptionShift):INDEX($FK$245:$ID$316,$FJ233-HO$169,72-HO$169+SwaptionMonthsToGo+SwaptionShift))/SQRT(SUM(INDEX($FK388:$ID388,1+SwaptionShift):INDEX($FK388:$ID388,SwaptionMonthsToGo+SwaptionShift))*SUM(INDEX($FK$325:$ID$396,HO$169,1+SwaptionShift):INDEX($FK$325:$ID$396,HO$169,SwaptionMonthsToGo+SwaptionShift))))))</f>
        <v/>
      </c>
      <c r="HP233" s="479" t="str">
        <f ca="1">IF(OR(HP$169&lt;SwaptionFirstMonthPosition+1,$FJ233&lt;SwaptionFirstMonthPosition+1,HP$169&gt;SwaptionFirstMonthPosition+SwaptionNumOfMonths+1,$FJ233&gt;SwaptionFirstMonthPosition+SwaptionNumOfMonths+1),"",IF($FJ233=HP$169,1,IF($FJ233&lt;HP$169,INDEX($FK$170:$ID$241,HP$169,$FJ233),SUMPRODUCT(INDEX($FK$325:$ID$396,HP$169,1+SwaptionShift):INDEX($FK$325:$ID$396,HP$169,SwaptionMonthsToGo+SwaptionShift),INDEX($FK$245:$ID$316,$FJ233-HP$169,73-HP$169+SwaptionShift):INDEX($FK$245:$ID$316,$FJ233-HP$169,72-HP$169+SwaptionMonthsToGo+SwaptionShift))/SQRT(SUM(INDEX($FK388:$ID388,1+SwaptionShift):INDEX($FK388:$ID388,SwaptionMonthsToGo+SwaptionShift))*SUM(INDEX($FK$325:$ID$396,HP$169,1+SwaptionShift):INDEX($FK$325:$ID$396,HP$169,SwaptionMonthsToGo+SwaptionShift))))))</f>
        <v/>
      </c>
      <c r="HQ233" s="479" t="str">
        <f ca="1">IF(OR(HQ$169&lt;SwaptionFirstMonthPosition+1,$FJ233&lt;SwaptionFirstMonthPosition+1,HQ$169&gt;SwaptionFirstMonthPosition+SwaptionNumOfMonths+1,$FJ233&gt;SwaptionFirstMonthPosition+SwaptionNumOfMonths+1),"",IF($FJ233=HQ$169,1,IF($FJ233&lt;HQ$169,INDEX($FK$170:$ID$241,HQ$169,$FJ233),SUMPRODUCT(INDEX($FK$325:$ID$396,HQ$169,1+SwaptionShift):INDEX($FK$325:$ID$396,HQ$169,SwaptionMonthsToGo+SwaptionShift),INDEX($FK$245:$ID$316,$FJ233-HQ$169,73-HQ$169+SwaptionShift):INDEX($FK$245:$ID$316,$FJ233-HQ$169,72-HQ$169+SwaptionMonthsToGo+SwaptionShift))/SQRT(SUM(INDEX($FK388:$ID388,1+SwaptionShift):INDEX($FK388:$ID388,SwaptionMonthsToGo+SwaptionShift))*SUM(INDEX($FK$325:$ID$396,HQ$169,1+SwaptionShift):INDEX($FK$325:$ID$396,HQ$169,SwaptionMonthsToGo+SwaptionShift))))))</f>
        <v/>
      </c>
      <c r="HR233" s="479" t="str">
        <f ca="1">IF(OR(HR$169&lt;SwaptionFirstMonthPosition+1,$FJ233&lt;SwaptionFirstMonthPosition+1,HR$169&gt;SwaptionFirstMonthPosition+SwaptionNumOfMonths+1,$FJ233&gt;SwaptionFirstMonthPosition+SwaptionNumOfMonths+1),"",IF($FJ233=HR$169,1,IF($FJ233&lt;HR$169,INDEX($FK$170:$ID$241,HR$169,$FJ233),SUMPRODUCT(INDEX($FK$325:$ID$396,HR$169,1+SwaptionShift):INDEX($FK$325:$ID$396,HR$169,SwaptionMonthsToGo+SwaptionShift),INDEX($FK$245:$ID$316,$FJ233-HR$169,73-HR$169+SwaptionShift):INDEX($FK$245:$ID$316,$FJ233-HR$169,72-HR$169+SwaptionMonthsToGo+SwaptionShift))/SQRT(SUM(INDEX($FK388:$ID388,1+SwaptionShift):INDEX($FK388:$ID388,SwaptionMonthsToGo+SwaptionShift))*SUM(INDEX($FK$325:$ID$396,HR$169,1+SwaptionShift):INDEX($FK$325:$ID$396,HR$169,SwaptionMonthsToGo+SwaptionShift))))))</f>
        <v/>
      </c>
      <c r="HS233" s="479" t="str">
        <f ca="1">IF(OR(HS$169&lt;SwaptionFirstMonthPosition+1,$FJ233&lt;SwaptionFirstMonthPosition+1,HS$169&gt;SwaptionFirstMonthPosition+SwaptionNumOfMonths+1,$FJ233&gt;SwaptionFirstMonthPosition+SwaptionNumOfMonths+1),"",IF($FJ233=HS$169,1,IF($FJ233&lt;HS$169,INDEX($FK$170:$ID$241,HS$169,$FJ233),SUMPRODUCT(INDEX($FK$325:$ID$396,HS$169,1+SwaptionShift):INDEX($FK$325:$ID$396,HS$169,SwaptionMonthsToGo+SwaptionShift),INDEX($FK$245:$ID$316,$FJ233-HS$169,73-HS$169+SwaptionShift):INDEX($FK$245:$ID$316,$FJ233-HS$169,72-HS$169+SwaptionMonthsToGo+SwaptionShift))/SQRT(SUM(INDEX($FK388:$ID388,1+SwaptionShift):INDEX($FK388:$ID388,SwaptionMonthsToGo+SwaptionShift))*SUM(INDEX($FK$325:$ID$396,HS$169,1+SwaptionShift):INDEX($FK$325:$ID$396,HS$169,SwaptionMonthsToGo+SwaptionShift))))))</f>
        <v/>
      </c>
      <c r="HT233" s="479" t="str">
        <f ca="1">IF(OR(HT$169&lt;SwaptionFirstMonthPosition+1,$FJ233&lt;SwaptionFirstMonthPosition+1,HT$169&gt;SwaptionFirstMonthPosition+SwaptionNumOfMonths+1,$FJ233&gt;SwaptionFirstMonthPosition+SwaptionNumOfMonths+1),"",IF($FJ233=HT$169,1,IF($FJ233&lt;HT$169,INDEX($FK$170:$ID$241,HT$169,$FJ233),SUMPRODUCT(INDEX($FK$325:$ID$396,HT$169,1+SwaptionShift):INDEX($FK$325:$ID$396,HT$169,SwaptionMonthsToGo+SwaptionShift),INDEX($FK$245:$ID$316,$FJ233-HT$169,73-HT$169+SwaptionShift):INDEX($FK$245:$ID$316,$FJ233-HT$169,72-HT$169+SwaptionMonthsToGo+SwaptionShift))/SQRT(SUM(INDEX($FK388:$ID388,1+SwaptionShift):INDEX($FK388:$ID388,SwaptionMonthsToGo+SwaptionShift))*SUM(INDEX($FK$325:$ID$396,HT$169,1+SwaptionShift):INDEX($FK$325:$ID$396,HT$169,SwaptionMonthsToGo+SwaptionShift))))))</f>
        <v/>
      </c>
      <c r="HU233" s="479" t="str">
        <f ca="1">IF(OR(HU$169&lt;SwaptionFirstMonthPosition+1,$FJ233&lt;SwaptionFirstMonthPosition+1,HU$169&gt;SwaptionFirstMonthPosition+SwaptionNumOfMonths+1,$FJ233&gt;SwaptionFirstMonthPosition+SwaptionNumOfMonths+1),"",IF($FJ233=HU$169,1,IF($FJ233&lt;HU$169,INDEX($FK$170:$ID$241,HU$169,$FJ233),SUMPRODUCT(INDEX($FK$325:$ID$396,HU$169,1+SwaptionShift):INDEX($FK$325:$ID$396,HU$169,SwaptionMonthsToGo+SwaptionShift),INDEX($FK$245:$ID$316,$FJ233-HU$169,73-HU$169+SwaptionShift):INDEX($FK$245:$ID$316,$FJ233-HU$169,72-HU$169+SwaptionMonthsToGo+SwaptionShift))/SQRT(SUM(INDEX($FK388:$ID388,1+SwaptionShift):INDEX($FK388:$ID388,SwaptionMonthsToGo+SwaptionShift))*SUM(INDEX($FK$325:$ID$396,HU$169,1+SwaptionShift):INDEX($FK$325:$ID$396,HU$169,SwaptionMonthsToGo+SwaptionShift))))))</f>
        <v/>
      </c>
      <c r="HV233" s="479" t="str">
        <f ca="1">IF(OR(HV$169&lt;SwaptionFirstMonthPosition+1,$FJ233&lt;SwaptionFirstMonthPosition+1,HV$169&gt;SwaptionFirstMonthPosition+SwaptionNumOfMonths+1,$FJ233&gt;SwaptionFirstMonthPosition+SwaptionNumOfMonths+1),"",IF($FJ233=HV$169,1,IF($FJ233&lt;HV$169,INDEX($FK$170:$ID$241,HV$169,$FJ233),SUMPRODUCT(INDEX($FK$325:$ID$396,HV$169,1+SwaptionShift):INDEX($FK$325:$ID$396,HV$169,SwaptionMonthsToGo+SwaptionShift),INDEX($FK$245:$ID$316,$FJ233-HV$169,73-HV$169+SwaptionShift):INDEX($FK$245:$ID$316,$FJ233-HV$169,72-HV$169+SwaptionMonthsToGo+SwaptionShift))/SQRT(SUM(INDEX($FK388:$ID388,1+SwaptionShift):INDEX($FK388:$ID388,SwaptionMonthsToGo+SwaptionShift))*SUM(INDEX($FK$325:$ID$396,HV$169,1+SwaptionShift):INDEX($FK$325:$ID$396,HV$169,SwaptionMonthsToGo+SwaptionShift))))))</f>
        <v/>
      </c>
      <c r="HW233" s="479" t="str">
        <f ca="1">IF(OR(HW$169&lt;SwaptionFirstMonthPosition+1,$FJ233&lt;SwaptionFirstMonthPosition+1,HW$169&gt;SwaptionFirstMonthPosition+SwaptionNumOfMonths+1,$FJ233&gt;SwaptionFirstMonthPosition+SwaptionNumOfMonths+1),"",IF($FJ233=HW$169,1,IF($FJ233&lt;HW$169,INDEX($FK$170:$ID$241,HW$169,$FJ233),SUMPRODUCT(INDEX($FK$325:$ID$396,HW$169,1+SwaptionShift):INDEX($FK$325:$ID$396,HW$169,SwaptionMonthsToGo+SwaptionShift),INDEX($FK$245:$ID$316,$FJ233-HW$169,73-HW$169+SwaptionShift):INDEX($FK$245:$ID$316,$FJ233-HW$169,72-HW$169+SwaptionMonthsToGo+SwaptionShift))/SQRT(SUM(INDEX($FK388:$ID388,1+SwaptionShift):INDEX($FK388:$ID388,SwaptionMonthsToGo+SwaptionShift))*SUM(INDEX($FK$325:$ID$396,HW$169,1+SwaptionShift):INDEX($FK$325:$ID$396,HW$169,SwaptionMonthsToGo+SwaptionShift))))))</f>
        <v/>
      </c>
      <c r="HX233" s="479" t="str">
        <f ca="1">IF(OR(HX$169&lt;SwaptionFirstMonthPosition+1,$FJ233&lt;SwaptionFirstMonthPosition+1,HX$169&gt;SwaptionFirstMonthPosition+SwaptionNumOfMonths+1,$FJ233&gt;SwaptionFirstMonthPosition+SwaptionNumOfMonths+1),"",IF($FJ233=HX$169,1,IF($FJ233&lt;HX$169,INDEX($FK$170:$ID$241,HX$169,$FJ233),SUMPRODUCT(INDEX($FK$325:$ID$396,HX$169,1+SwaptionShift):INDEX($FK$325:$ID$396,HX$169,SwaptionMonthsToGo+SwaptionShift),INDEX($FK$245:$ID$316,$FJ233-HX$169,73-HX$169+SwaptionShift):INDEX($FK$245:$ID$316,$FJ233-HX$169,72-HX$169+SwaptionMonthsToGo+SwaptionShift))/SQRT(SUM(INDEX($FK388:$ID388,1+SwaptionShift):INDEX($FK388:$ID388,SwaptionMonthsToGo+SwaptionShift))*SUM(INDEX($FK$325:$ID$396,HX$169,1+SwaptionShift):INDEX($FK$325:$ID$396,HX$169,SwaptionMonthsToGo+SwaptionShift))))))</f>
        <v/>
      </c>
      <c r="HY233" s="479" t="str">
        <f ca="1">IF(OR(HY$169&lt;SwaptionFirstMonthPosition+1,$FJ233&lt;SwaptionFirstMonthPosition+1,HY$169&gt;SwaptionFirstMonthPosition+SwaptionNumOfMonths+1,$FJ233&gt;SwaptionFirstMonthPosition+SwaptionNumOfMonths+1),"",IF($FJ233=HY$169,1,IF($FJ233&lt;HY$169,INDEX($FK$170:$ID$241,HY$169,$FJ233),SUMPRODUCT(INDEX($FK$325:$ID$396,HY$169,1+SwaptionShift):INDEX($FK$325:$ID$396,HY$169,SwaptionMonthsToGo+SwaptionShift),INDEX($FK$245:$ID$316,$FJ233-HY$169,73-HY$169+SwaptionShift):INDEX($FK$245:$ID$316,$FJ233-HY$169,72-HY$169+SwaptionMonthsToGo+SwaptionShift))/SQRT(SUM(INDEX($FK388:$ID388,1+SwaptionShift):INDEX($FK388:$ID388,SwaptionMonthsToGo+SwaptionShift))*SUM(INDEX($FK$325:$ID$396,HY$169,1+SwaptionShift):INDEX($FK$325:$ID$396,HY$169,SwaptionMonthsToGo+SwaptionShift))))))</f>
        <v/>
      </c>
      <c r="HZ233" s="479" t="str">
        <f ca="1">IF(OR(HZ$169&lt;SwaptionFirstMonthPosition+1,$FJ233&lt;SwaptionFirstMonthPosition+1,HZ$169&gt;SwaptionFirstMonthPosition+SwaptionNumOfMonths+1,$FJ233&gt;SwaptionFirstMonthPosition+SwaptionNumOfMonths+1),"",IF($FJ233=HZ$169,1,IF($FJ233&lt;HZ$169,INDEX($FK$170:$ID$241,HZ$169,$FJ233),SUMPRODUCT(INDEX($FK$325:$ID$396,HZ$169,1+SwaptionShift):INDEX($FK$325:$ID$396,HZ$169,SwaptionMonthsToGo+SwaptionShift),INDEX($FK$245:$ID$316,$FJ233-HZ$169,73-HZ$169+SwaptionShift):INDEX($FK$245:$ID$316,$FJ233-HZ$169,72-HZ$169+SwaptionMonthsToGo+SwaptionShift))/SQRT(SUM(INDEX($FK388:$ID388,1+SwaptionShift):INDEX($FK388:$ID388,SwaptionMonthsToGo+SwaptionShift))*SUM(INDEX($FK$325:$ID$396,HZ$169,1+SwaptionShift):INDEX($FK$325:$ID$396,HZ$169,SwaptionMonthsToGo+SwaptionShift))))))</f>
        <v/>
      </c>
      <c r="IA233" s="479" t="str">
        <f ca="1">IF(OR(IA$169&lt;SwaptionFirstMonthPosition+1,$FJ233&lt;SwaptionFirstMonthPosition+1,IA$169&gt;SwaptionFirstMonthPosition+SwaptionNumOfMonths+1,$FJ233&gt;SwaptionFirstMonthPosition+SwaptionNumOfMonths+1),"",IF($FJ233=IA$169,1,IF($FJ233&lt;IA$169,INDEX($FK$170:$ID$241,IA$169,$FJ233),SUMPRODUCT(INDEX($FK$325:$ID$396,IA$169,1+SwaptionShift):INDEX($FK$325:$ID$396,IA$169,SwaptionMonthsToGo+SwaptionShift),INDEX($FK$245:$ID$316,$FJ233-IA$169,73-IA$169+SwaptionShift):INDEX($FK$245:$ID$316,$FJ233-IA$169,72-IA$169+SwaptionMonthsToGo+SwaptionShift))/SQRT(SUM(INDEX($FK388:$ID388,1+SwaptionShift):INDEX($FK388:$ID388,SwaptionMonthsToGo+SwaptionShift))*SUM(INDEX($FK$325:$ID$396,IA$169,1+SwaptionShift):INDEX($FK$325:$ID$396,IA$169,SwaptionMonthsToGo+SwaptionShift))))))</f>
        <v/>
      </c>
      <c r="IB233" s="479" t="str">
        <f ca="1">IF(OR(IB$169&lt;SwaptionFirstMonthPosition+1,$FJ233&lt;SwaptionFirstMonthPosition+1,IB$169&gt;SwaptionFirstMonthPosition+SwaptionNumOfMonths+1,$FJ233&gt;SwaptionFirstMonthPosition+SwaptionNumOfMonths+1),"",IF($FJ233=IB$169,1,IF($FJ233&lt;IB$169,INDEX($FK$170:$ID$241,IB$169,$FJ233),SUMPRODUCT(INDEX($FK$325:$ID$396,IB$169,1+SwaptionShift):INDEX($FK$325:$ID$396,IB$169,SwaptionMonthsToGo+SwaptionShift),INDEX($FK$245:$ID$316,$FJ233-IB$169,73-IB$169+SwaptionShift):INDEX($FK$245:$ID$316,$FJ233-IB$169,72-IB$169+SwaptionMonthsToGo+SwaptionShift))/SQRT(SUM(INDEX($FK388:$ID388,1+SwaptionShift):INDEX($FK388:$ID388,SwaptionMonthsToGo+SwaptionShift))*SUM(INDEX($FK$325:$ID$396,IB$169,1+SwaptionShift):INDEX($FK$325:$ID$396,IB$169,SwaptionMonthsToGo+SwaptionShift))))))</f>
        <v/>
      </c>
      <c r="IC233" s="479" t="str">
        <f ca="1">IF(OR(IC$169&lt;SwaptionFirstMonthPosition+1,$FJ233&lt;SwaptionFirstMonthPosition+1,IC$169&gt;SwaptionFirstMonthPosition+SwaptionNumOfMonths+1,$FJ233&gt;SwaptionFirstMonthPosition+SwaptionNumOfMonths+1),"",IF($FJ233=IC$169,1,IF($FJ233&lt;IC$169,INDEX($FK$170:$ID$241,IC$169,$FJ233),SUMPRODUCT(INDEX($FK$325:$ID$396,IC$169,1+SwaptionShift):INDEX($FK$325:$ID$396,IC$169,SwaptionMonthsToGo+SwaptionShift),INDEX($FK$245:$ID$316,$FJ233-IC$169,73-IC$169+SwaptionShift):INDEX($FK$245:$ID$316,$FJ233-IC$169,72-IC$169+SwaptionMonthsToGo+SwaptionShift))/SQRT(SUM(INDEX($FK388:$ID388,1+SwaptionShift):INDEX($FK388:$ID388,SwaptionMonthsToGo+SwaptionShift))*SUM(INDEX($FK$325:$ID$396,IC$169,1+SwaptionShift):INDEX($FK$325:$ID$396,IC$169,SwaptionMonthsToGo+SwaptionShift))))))</f>
        <v/>
      </c>
      <c r="ID233" s="678" t="str">
        <f ca="1">IF(OR(ID$169&lt;SwaptionFirstMonthPosition+1,$FJ233&lt;SwaptionFirstMonthPosition+1,ID$169&gt;SwaptionFirstMonthPosition+SwaptionNumOfMonths+1,$FJ233&gt;SwaptionFirstMonthPosition+SwaptionNumOfMonths+1),"",IF($FJ233=ID$169,1,IF($FJ233&lt;ID$169,INDEX($FK$170:$ID$241,ID$169,$FJ233),SUMPRODUCT(INDEX($FK$325:$ID$396,ID$169,1+SwaptionShift):INDEX($FK$325:$ID$396,ID$169,SwaptionMonthsToGo+SwaptionShift),INDEX($FK$245:$ID$316,$FJ233-ID$169,73-ID$169+SwaptionShift):INDEX($FK$245:$ID$316,$FJ233-ID$169,72-ID$169+SwaptionMonthsToGo+SwaptionShift))/SQRT(SUM(INDEX($FK388:$ID388,1+SwaptionShift):INDEX($FK388:$ID388,SwaptionMonthsToGo+SwaptionShift))*SUM(INDEX($FK$325:$ID$396,ID$169,1+SwaptionShift):INDEX($FK$325:$ID$396,ID$169,SwaptionMonthsToGo+SwaptionShift))))))</f>
        <v/>
      </c>
      <c r="IE233" s="250"/>
    </row>
    <row r="234" spans="8:239">
      <c r="H234" s="51">
        <f t="shared" ca="1" si="646"/>
        <v>0</v>
      </c>
      <c r="I234" s="379">
        <f t="shared" si="647"/>
        <v>43282</v>
      </c>
      <c r="J234" s="377"/>
      <c r="K234" s="104" t="s">
        <v>268</v>
      </c>
      <c r="L234" s="392">
        <f t="shared" si="648"/>
        <v>5.1749999999999954</v>
      </c>
      <c r="M234" s="171"/>
      <c r="N234" s="382">
        <v>0</v>
      </c>
      <c r="O234" s="171">
        <f t="shared" si="596"/>
        <v>0</v>
      </c>
      <c r="P234" s="377"/>
      <c r="Q234" s="104" t="s">
        <v>268</v>
      </c>
      <c r="R234" s="377">
        <f t="shared" ca="1" si="597"/>
        <v>3.975659555332808</v>
      </c>
      <c r="S234" s="832">
        <f t="shared" si="671"/>
        <v>0.3600000000000001</v>
      </c>
      <c r="T234" s="831">
        <f t="shared" si="661"/>
        <v>0.99999999999999933</v>
      </c>
      <c r="U234" s="545">
        <f t="shared" si="662"/>
        <v>0.99999999999999978</v>
      </c>
      <c r="V234" s="389">
        <v>0</v>
      </c>
      <c r="W234" s="434">
        <f t="shared" si="598"/>
        <v>0</v>
      </c>
      <c r="X234" s="415">
        <f t="shared" si="599"/>
        <v>5.2249999999999961</v>
      </c>
      <c r="Y234" s="322">
        <f t="shared" si="600"/>
        <v>-1.2668999999999999</v>
      </c>
      <c r="Z234" s="322">
        <f t="shared" ca="1" si="601"/>
        <v>3.9580999999999964</v>
      </c>
      <c r="AA234" s="429">
        <f t="shared" si="628"/>
        <v>1.2668999999999999</v>
      </c>
      <c r="AB234" s="433">
        <f t="shared" ca="1" si="629"/>
        <v>1.2668999999999999</v>
      </c>
      <c r="AC234" s="229">
        <v>43271</v>
      </c>
      <c r="AD234" s="229">
        <v>43267</v>
      </c>
      <c r="AE234" s="229">
        <v>43266</v>
      </c>
      <c r="AF234" s="229">
        <v>43262</v>
      </c>
      <c r="AG234" s="249" t="s">
        <v>499</v>
      </c>
      <c r="AH234" s="247" t="s">
        <v>499</v>
      </c>
      <c r="AI234" s="146">
        <v>21</v>
      </c>
      <c r="AJ234" s="41">
        <v>14</v>
      </c>
      <c r="AK234" s="41">
        <v>7</v>
      </c>
      <c r="AL234" s="293">
        <v>22</v>
      </c>
      <c r="AM234" s="41">
        <v>10</v>
      </c>
      <c r="AN234" s="147">
        <v>12</v>
      </c>
      <c r="AO234" s="374"/>
      <c r="AP234" s="153">
        <f t="shared" ca="1" si="649"/>
        <v>1</v>
      </c>
      <c r="AQ234" s="374"/>
      <c r="AR234" s="153">
        <f t="shared" ca="1" si="663"/>
        <v>1</v>
      </c>
      <c r="AS234" s="272">
        <f t="shared" si="602"/>
        <v>0</v>
      </c>
      <c r="AT234" s="157">
        <f t="shared" si="650"/>
        <v>0</v>
      </c>
      <c r="AU234" s="157">
        <f t="shared" si="630"/>
        <v>0</v>
      </c>
      <c r="AV234" s="271">
        <f t="shared" ca="1" si="670"/>
        <v>9.9999999999999995E-7</v>
      </c>
      <c r="AW234" s="158" t="str">
        <f t="shared" ca="1" si="583"/>
        <v/>
      </c>
      <c r="AX234" s="157">
        <f t="shared" ca="1" si="664"/>
        <v>1.8538728838694842E-5</v>
      </c>
      <c r="AY234" s="157">
        <f t="shared" ca="1" si="665"/>
        <v>3.4438980875916823E-6</v>
      </c>
      <c r="AZ234" s="157">
        <f t="shared" ca="1" si="666"/>
        <v>6.2582165727128539E-8</v>
      </c>
      <c r="BA234" s="157">
        <f t="shared" ca="1" si="667"/>
        <v>7.8227707158910673E-9</v>
      </c>
      <c r="BB234" s="157">
        <f t="shared" ca="1" si="668"/>
        <v>1.2085352089097594E-11</v>
      </c>
      <c r="BC234" s="157">
        <f t="shared" ca="1" si="669"/>
        <v>1.2239148334678943E-13</v>
      </c>
      <c r="BD234" s="151">
        <f t="shared" ca="1" si="603"/>
        <v>0</v>
      </c>
      <c r="BE234" s="152">
        <f t="shared" ca="1" si="604"/>
        <v>0</v>
      </c>
      <c r="BF234" s="40">
        <f t="shared" si="605"/>
        <v>2018</v>
      </c>
      <c r="BG234" s="144">
        <f t="shared" si="606"/>
        <v>7</v>
      </c>
      <c r="BH234" s="145">
        <f t="shared" ca="1" si="607"/>
        <v>6522</v>
      </c>
      <c r="BI234" s="313">
        <f t="shared" ca="1" si="608"/>
        <v>17.897330595482547</v>
      </c>
      <c r="BJ234" s="42">
        <f t="shared" ca="1" si="631"/>
        <v>17.952087611225188</v>
      </c>
      <c r="BK234" s="42">
        <f t="shared" ca="1" si="632"/>
        <v>17.95482546201232</v>
      </c>
      <c r="BL234" s="42">
        <f t="shared" ca="1" si="609"/>
        <v>17.979466119096511</v>
      </c>
      <c r="BM234" s="150" t="e">
        <f t="shared" ca="1" si="633"/>
        <v>#DIV/0!</v>
      </c>
      <c r="BN234" s="42" t="e">
        <f t="shared" ca="1" si="634"/>
        <v>#DIV/0!</v>
      </c>
      <c r="BO234" s="293">
        <f t="shared" si="610"/>
        <v>21</v>
      </c>
      <c r="BP234" s="41">
        <f t="shared" si="611"/>
        <v>14</v>
      </c>
      <c r="BQ234" s="41">
        <f t="shared" si="612"/>
        <v>7</v>
      </c>
      <c r="BR234" s="305" t="str">
        <f t="shared" ca="1" si="635"/>
        <v/>
      </c>
      <c r="BS234" s="305" t="str">
        <f t="shared" ca="1" si="613"/>
        <v/>
      </c>
      <c r="BT234" s="307" t="str">
        <f t="shared" ca="1" si="614"/>
        <v/>
      </c>
      <c r="BU234" s="161" t="str">
        <f t="shared" ca="1" si="636"/>
        <v/>
      </c>
      <c r="BV234" s="161" t="str">
        <f t="shared" ca="1" si="637"/>
        <v/>
      </c>
      <c r="BW234" s="308" t="str">
        <f t="shared" ca="1" si="638"/>
        <v/>
      </c>
      <c r="BX234" s="309" t="str">
        <f t="shared" ca="1" si="639"/>
        <v/>
      </c>
      <c r="BY234" s="308" t="str">
        <f t="shared" ca="1" si="615"/>
        <v/>
      </c>
      <c r="BZ234" s="309" t="str">
        <f t="shared" ca="1" si="616"/>
        <v/>
      </c>
      <c r="CA234" s="154" t="str">
        <f t="shared" ca="1" si="640"/>
        <v/>
      </c>
      <c r="CB234" s="154" t="str">
        <f t="shared" ca="1" si="641"/>
        <v/>
      </c>
      <c r="CC234" s="154" t="str">
        <f t="shared" ca="1" si="642"/>
        <v/>
      </c>
      <c r="CD234" s="154" t="str">
        <f t="shared" ca="1" si="643"/>
        <v/>
      </c>
      <c r="CE234" s="310">
        <v>1</v>
      </c>
      <c r="CF234" s="162">
        <f ca="1">IF(BD234,_xll.xCrudeAPO(BU234,BV234,CA234,CB234,S235,S236,BI234,BL234,BP234,BQ234,0,Strike1,AO234,CE234,0,BL234,IF(OptControl=4,0,1),0,1),0)</f>
        <v>0</v>
      </c>
      <c r="CG234" s="163">
        <f ca="1">IF(BD234,_xll.xCrudeAPO(BU234,BV234,CA234,CB234,S235,S236,BI234,BL234,BP234,BQ234,0,Strike1,AO234,CE234,0,BL234,IF(OptControl=4,0,1),1,1)+_xll.xCrudeAPO(BU234,BV234,CA234,CB234,S235,S236,BI234,BL234,BP234,BQ234,0,Strike1,AO234,CE234,0,BL234,IF(OptControl=4,0,1),1,2)+IF(OR(VolSkewFlag=2,ABS(BS234)&lt;0.0001),0,IF(BS234&gt;0,-1,1)*CH234*Strike1/BR234^2*BY234/10%),0)</f>
        <v>0</v>
      </c>
      <c r="CH234" s="163">
        <f ca="1">IF(BD234,(_xll.xCrudeAPO(BU234,BV234,CA234,CB234,S235,S236,BI234,BL234,BP234,BQ234,0,Strike1,AO234,CE234,0,BL234,IF(OptControl=4,0,1),3,1)+_xll.xCrudeAPO(BU234,BV234,CA234,CB234,S235,S236,BI234,BL234,BP234,BQ234,0,Strike1,AO234,CE234,0,BL234,IF(OptControl=4,0,1),3,2))/100,0)</f>
        <v>0</v>
      </c>
      <c r="CI234" s="163">
        <f ca="1">IF(BD234,_xll.xCrudeAPO(BU234,BV234,CA234,CB234,S235,S236,BI234-DaysForThetaCalculation/365.25,BL234-DaysForThetaCalculation/365.25,BP234,BQ234,0,Strike1,AO234,CE234,0,BL234,IF(OptControl=4,0,1),0,1)-_xll.xCrudeAPO(BU234,BV234,CA234,CB234,S235,S236,BI234,BL234,BP234,BQ234,0,Strike1,AO234,CE234,0,BL234,IF(OptControl=4,0,1),0,1),0)</f>
        <v>0</v>
      </c>
      <c r="CJ234" s="311">
        <f ca="1">IF(BD234,_xll.xCrudeAPO(BU234,BV234,CC234,CD234,S235,S236,BI234,BL234,BP234,BQ234,0,Strike2,AO234,CE234,0,BL234,IF(OptControl=3,1,0),0,1),0)</f>
        <v>0</v>
      </c>
      <c r="CK234" s="163">
        <f ca="1">IF(BD234,_xll.xCrudeAPO(BU234,BV234,CC234,CD234,S235,S236,BI234,BL234,BP234,BQ234,0,Strike2,AO234,CE234,0,BL234,IF(OptControl=3,1,0),1,1)+_xll.xCrudeAPO(BU234,BV234,CC234,CD234,S235,S236,BI234,BL234,BP234,BQ234,0,Strike2,AO234,CE234,0,BL234,IF(OptControl=3,1,0),1,2)+IF(OR(VolSkewFlag=2,ABS(BT234)&lt;0.0001),0,IF(BT234&gt;0,-1,1)*CL234*Strike2/BR234^2*BZ234/10%),0)</f>
        <v>0</v>
      </c>
      <c r="CL234" s="163">
        <f ca="1">IF(BD234,(_xll.xCrudeAPO(BU234,BV234,CC234,CD234,S235,S236,BI234,BL234,BP234,BQ234,0,Strike2,AO234,CE234,0,BL234,IF(OptControl=3,1,0),3,1)+_xll.xCrudeAPO(BU234,BV234,CC234,CD234,S235,S236,BI234,BL234,BP234,BQ234,0,Strike2,AO234,CE234,0,BL234,IF(OptControl=3,1,0),3,2))/100,0)</f>
        <v>0</v>
      </c>
      <c r="CM234" s="164">
        <f ca="1">IF(BD234,_xll.xCrudeAPO(BU234,BV234,CC234,CD234,S235,S236,BI234-DaysForThetaCalculation/365.25,BL234-DaysForThetaCalculation/365.25,BP234,BQ234,0,Strike2,AO234,CE234,0,BL234,IF(OptControl=3,1,0),0,1)-_xll.xCrudeAPO(BU234,BV234,CC234,CD234,S235,S236,BI234,BL234,BP234,BQ234,0,Strike2,AO234,CE234,0,BL234,IF(OptControl=3,1,0),0,1),0)</f>
        <v>0</v>
      </c>
      <c r="CN234" s="53"/>
      <c r="CO234" s="796" t="str">
        <f t="shared" ca="1" si="651"/>
        <v/>
      </c>
      <c r="CP234" s="800" t="str">
        <f t="shared" ca="1" si="652"/>
        <v/>
      </c>
      <c r="CQ234" s="797" t="str">
        <f t="shared" ca="1" si="653"/>
        <v/>
      </c>
      <c r="CR234" s="797" t="str">
        <f t="shared" ca="1" si="654"/>
        <v/>
      </c>
      <c r="CS234" s="797" t="str">
        <f t="shared" ca="1" si="655"/>
        <v/>
      </c>
      <c r="CT234" s="797" t="str">
        <f t="shared" ca="1" si="656"/>
        <v/>
      </c>
      <c r="CU234" s="798" t="str">
        <f t="shared" ca="1" si="657"/>
        <v/>
      </c>
      <c r="CV234" s="799" t="str">
        <f t="shared" ca="1" si="658"/>
        <v/>
      </c>
      <c r="CW234" s="799" t="str">
        <f t="shared" ca="1" si="659"/>
        <v/>
      </c>
      <c r="CX234" s="163">
        <f ca="1">IF(BD234,_xll.EURO(CP234,Strike1,AO234,AO234,CV234,CO234,IF(OptControl=4,0,1),0),0)</f>
        <v>0</v>
      </c>
      <c r="CY234" s="163">
        <f ca="1">IF(BD234,_xll.EURO(CP234,Strike1,AO234,AO234,CV234,CO234,IF(OptControl=4,0,1),1)+IF(OR(VolSkewFlag=2,ABS(CQ234)&lt;0.0001),0,IF(CQ234&gt;0,-1,1)*CZ234*100*Strike1/CP234^2*CS234/10%),0)</f>
        <v>0</v>
      </c>
      <c r="CZ234" s="163">
        <f ca="1">IF(BD234,_xll.EURO(CP234,Strike1,AO234,AO234,CV234,CO234,IF(OptControl=4,0,1),3)/100,0)</f>
        <v>0</v>
      </c>
      <c r="DA234" s="163">
        <f ca="1">IF(BD234,_xll.EURO(CP234,Strike1,AO234,AO234,CV234,CO234,IF(OptControl=4,0,1),0)-_xll.EURO(CP234,Strike1,AO234,AO234,CV234,CO234-1,IF(OptControl=4,0,1),0),0)</f>
        <v>0</v>
      </c>
      <c r="DB234" s="163">
        <f ca="1">IF(BD234,_xll.EURO(CP234,Strike2,AO234,AO234,CW234,CO234,IF(OptControl=3,1,0),0),0)</f>
        <v>0</v>
      </c>
      <c r="DC234" s="163">
        <f ca="1">IF(BD234,_xll.EURO(CP234,Strike2,AO234,AO234,CW234,CO234,IF(OptControl=3,1,0),1)+IF(OR(VolSkewFlag=2,ABS(CR234)&lt;0.0001),0,IF(CR234&gt;0,-1,1)*DD234*100*Strike2/CP234^2*CT234/10%),0)</f>
        <v>0</v>
      </c>
      <c r="DD234" s="163">
        <f ca="1">IF(BD234,_xll.EURO(CP234,Strike2,AO234,AO234,CW234,CO234,IF(OptControl=3,1,0),3)/100,0)</f>
        <v>0</v>
      </c>
      <c r="DE234" s="164">
        <f ca="1">IF(BD234,_xll.EURO(CP234,Strike2,AO234,AO234,CW234,CO234,IF(OptControl=3,1,0),0)-_xll.EURO(CP234,Strike2,AO234,AO234,CW234,CO234-1,IF(OptControl=3,1,0),0),0)</f>
        <v>0</v>
      </c>
      <c r="DG234" s="667">
        <f t="shared" ca="1" si="660"/>
        <v>43070</v>
      </c>
      <c r="DH234" s="475">
        <v>24.860000000000099</v>
      </c>
      <c r="DI234" s="665">
        <v>24.9250000000001</v>
      </c>
      <c r="DJ234" s="666">
        <f t="shared" ca="1" si="617"/>
        <v>43070</v>
      </c>
      <c r="DK234" s="475">
        <v>23.657872196006178</v>
      </c>
      <c r="DL234" s="665">
        <v>23.731900000000099</v>
      </c>
      <c r="DM234" s="667">
        <f t="shared" ca="1" si="618"/>
        <v>43070</v>
      </c>
      <c r="DN234" s="668">
        <f t="shared" si="619"/>
        <v>23.707872196006178</v>
      </c>
      <c r="DO234" s="667">
        <f t="shared" ca="1" si="620"/>
        <v>43070</v>
      </c>
      <c r="DP234" s="579">
        <f t="shared" si="621"/>
        <v>23.731900000000099</v>
      </c>
      <c r="DQ234" s="821">
        <v>0</v>
      </c>
      <c r="DR234" s="666">
        <f t="shared" ca="1" si="622"/>
        <v>43070</v>
      </c>
      <c r="DS234" s="669">
        <v>9.6199999999998023E-2</v>
      </c>
      <c r="DT234" s="606">
        <v>9.541999999999802E-2</v>
      </c>
      <c r="DU234" s="666">
        <f t="shared" ca="1" si="623"/>
        <v>43070</v>
      </c>
      <c r="DV234" s="669">
        <v>9.6199999999998023E-2</v>
      </c>
      <c r="DW234" s="606">
        <v>9.541999999999802E-2</v>
      </c>
      <c r="DX234" s="667">
        <f t="shared" ca="1" si="624"/>
        <v>43070</v>
      </c>
      <c r="DY234" s="606">
        <v>0.35</v>
      </c>
      <c r="DZ234" s="667">
        <f t="shared" ca="1" si="625"/>
        <v>43070</v>
      </c>
      <c r="EA234" s="606">
        <f t="shared" si="626"/>
        <v>9.541999999999802E-2</v>
      </c>
      <c r="EB234" s="1"/>
      <c r="EC234" s="118" t="str">
        <f t="shared" ca="1" si="627"/>
        <v/>
      </c>
      <c r="ED234" s="119" t="str">
        <f t="shared" ca="1" si="644"/>
        <v/>
      </c>
      <c r="EE234" s="112" t="str">
        <f t="shared" ca="1" si="645"/>
        <v/>
      </c>
      <c r="EF234" s="120">
        <f ca="1">IF(BD234,_xll.xASN(BR234,Strike1,AO234,ED234,0,BO234,0,BI234,BL234,IF(OptControl=4,0,1),0),0)</f>
        <v>0</v>
      </c>
      <c r="EG234" s="111">
        <f ca="1">IF(BD234,_xll.xASN(BR234,Strike2,AO234,EE234,0,BO234,0,BI234,BL234,IF(OptControl=3,1,0),0),0)</f>
        <v>0</v>
      </c>
      <c r="EL234" s="55"/>
      <c r="EM234" s="1"/>
      <c r="EN234" s="106"/>
      <c r="EO234" s="106"/>
      <c r="EP234" s="1"/>
      <c r="EQ234" s="683" t="s">
        <v>448</v>
      </c>
      <c r="ES234" s="55"/>
      <c r="EU234" s="107"/>
      <c r="FJ234" s="673">
        <v>65</v>
      </c>
      <c r="FK234" s="479" t="str">
        <f ca="1">IF(OR(FK$169&lt;SwaptionFirstMonthPosition+1,$FJ234&lt;SwaptionFirstMonthPosition+1,FK$169&gt;SwaptionFirstMonthPosition+SwaptionNumOfMonths+1,$FJ234&gt;SwaptionFirstMonthPosition+SwaptionNumOfMonths+1),"",IF($FJ234=FK$169,1,IF($FJ234&lt;FK$169,INDEX($FK$170:$ID$241,FK$169,$FJ234),SUMPRODUCT(INDEX($FK$325:$ID$396,FK$169,1+SwaptionShift):INDEX($FK$325:$ID$396,FK$169,SwaptionMonthsToGo+SwaptionShift),INDEX($FK$245:$ID$316,$FJ234-FK$169,73-FK$169+SwaptionShift):INDEX($FK$245:$ID$316,$FJ234-FK$169,72-FK$169+SwaptionMonthsToGo+SwaptionShift))/SQRT(SUM(INDEX($FK389:$ID389,1+SwaptionShift):INDEX($FK389:$ID389,SwaptionMonthsToGo+SwaptionShift))*SUM(INDEX($FK$325:$ID$396,FK$169,1+SwaptionShift):INDEX($FK$325:$ID$396,FK$169,SwaptionMonthsToGo+SwaptionShift))))))</f>
        <v/>
      </c>
      <c r="FL234" s="479" t="str">
        <f ca="1">IF(OR(FL$169&lt;SwaptionFirstMonthPosition+1,$FJ234&lt;SwaptionFirstMonthPosition+1,FL$169&gt;SwaptionFirstMonthPosition+SwaptionNumOfMonths+1,$FJ234&gt;SwaptionFirstMonthPosition+SwaptionNumOfMonths+1),"",IF($FJ234=FL$169,1,IF($FJ234&lt;FL$169,INDEX($FK$170:$ID$241,FL$169,$FJ234),SUMPRODUCT(INDEX($FK$325:$ID$396,FL$169,1+SwaptionShift):INDEX($FK$325:$ID$396,FL$169,SwaptionMonthsToGo+SwaptionShift),INDEX($FK$245:$ID$316,$FJ234-FL$169,73-FL$169+SwaptionShift):INDEX($FK$245:$ID$316,$FJ234-FL$169,72-FL$169+SwaptionMonthsToGo+SwaptionShift))/SQRT(SUM(INDEX($FK389:$ID389,1+SwaptionShift):INDEX($FK389:$ID389,SwaptionMonthsToGo+SwaptionShift))*SUM(INDEX($FK$325:$ID$396,FL$169,1+SwaptionShift):INDEX($FK$325:$ID$396,FL$169,SwaptionMonthsToGo+SwaptionShift))))))</f>
        <v/>
      </c>
      <c r="FM234" s="479" t="str">
        <f ca="1">IF(OR(FM$169&lt;SwaptionFirstMonthPosition+1,$FJ234&lt;SwaptionFirstMonthPosition+1,FM$169&gt;SwaptionFirstMonthPosition+SwaptionNumOfMonths+1,$FJ234&gt;SwaptionFirstMonthPosition+SwaptionNumOfMonths+1),"",IF($FJ234=FM$169,1,IF($FJ234&lt;FM$169,INDEX($FK$170:$ID$241,FM$169,$FJ234),SUMPRODUCT(INDEX($FK$325:$ID$396,FM$169,1+SwaptionShift):INDEX($FK$325:$ID$396,FM$169,SwaptionMonthsToGo+SwaptionShift),INDEX($FK$245:$ID$316,$FJ234-FM$169,73-FM$169+SwaptionShift):INDEX($FK$245:$ID$316,$FJ234-FM$169,72-FM$169+SwaptionMonthsToGo+SwaptionShift))/SQRT(SUM(INDEX($FK389:$ID389,1+SwaptionShift):INDEX($FK389:$ID389,SwaptionMonthsToGo+SwaptionShift))*SUM(INDEX($FK$325:$ID$396,FM$169,1+SwaptionShift):INDEX($FK$325:$ID$396,FM$169,SwaptionMonthsToGo+SwaptionShift))))))</f>
        <v/>
      </c>
      <c r="FN234" s="479" t="str">
        <f ca="1">IF(OR(FN$169&lt;SwaptionFirstMonthPosition+1,$FJ234&lt;SwaptionFirstMonthPosition+1,FN$169&gt;SwaptionFirstMonthPosition+SwaptionNumOfMonths+1,$FJ234&gt;SwaptionFirstMonthPosition+SwaptionNumOfMonths+1),"",IF($FJ234=FN$169,1,IF($FJ234&lt;FN$169,INDEX($FK$170:$ID$241,FN$169,$FJ234),SUMPRODUCT(INDEX($FK$325:$ID$396,FN$169,1+SwaptionShift):INDEX($FK$325:$ID$396,FN$169,SwaptionMonthsToGo+SwaptionShift),INDEX($FK$245:$ID$316,$FJ234-FN$169,73-FN$169+SwaptionShift):INDEX($FK$245:$ID$316,$FJ234-FN$169,72-FN$169+SwaptionMonthsToGo+SwaptionShift))/SQRT(SUM(INDEX($FK389:$ID389,1+SwaptionShift):INDEX($FK389:$ID389,SwaptionMonthsToGo+SwaptionShift))*SUM(INDEX($FK$325:$ID$396,FN$169,1+SwaptionShift):INDEX($FK$325:$ID$396,FN$169,SwaptionMonthsToGo+SwaptionShift))))))</f>
        <v/>
      </c>
      <c r="FO234" s="479" t="str">
        <f ca="1">IF(OR(FO$169&lt;SwaptionFirstMonthPosition+1,$FJ234&lt;SwaptionFirstMonthPosition+1,FO$169&gt;SwaptionFirstMonthPosition+SwaptionNumOfMonths+1,$FJ234&gt;SwaptionFirstMonthPosition+SwaptionNumOfMonths+1),"",IF($FJ234=FO$169,1,IF($FJ234&lt;FO$169,INDEX($FK$170:$ID$241,FO$169,$FJ234),SUMPRODUCT(INDEX($FK$325:$ID$396,FO$169,1+SwaptionShift):INDEX($FK$325:$ID$396,FO$169,SwaptionMonthsToGo+SwaptionShift),INDEX($FK$245:$ID$316,$FJ234-FO$169,73-FO$169+SwaptionShift):INDEX($FK$245:$ID$316,$FJ234-FO$169,72-FO$169+SwaptionMonthsToGo+SwaptionShift))/SQRT(SUM(INDEX($FK389:$ID389,1+SwaptionShift):INDEX($FK389:$ID389,SwaptionMonthsToGo+SwaptionShift))*SUM(INDEX($FK$325:$ID$396,FO$169,1+SwaptionShift):INDEX($FK$325:$ID$396,FO$169,SwaptionMonthsToGo+SwaptionShift))))))</f>
        <v/>
      </c>
      <c r="FP234" s="479" t="str">
        <f ca="1">IF(OR(FP$169&lt;SwaptionFirstMonthPosition+1,$FJ234&lt;SwaptionFirstMonthPosition+1,FP$169&gt;SwaptionFirstMonthPosition+SwaptionNumOfMonths+1,$FJ234&gt;SwaptionFirstMonthPosition+SwaptionNumOfMonths+1),"",IF($FJ234=FP$169,1,IF($FJ234&lt;FP$169,INDEX($FK$170:$ID$241,FP$169,$FJ234),SUMPRODUCT(INDEX($FK$325:$ID$396,FP$169,1+SwaptionShift):INDEX($FK$325:$ID$396,FP$169,SwaptionMonthsToGo+SwaptionShift),INDEX($FK$245:$ID$316,$FJ234-FP$169,73-FP$169+SwaptionShift):INDEX($FK$245:$ID$316,$FJ234-FP$169,72-FP$169+SwaptionMonthsToGo+SwaptionShift))/SQRT(SUM(INDEX($FK389:$ID389,1+SwaptionShift):INDEX($FK389:$ID389,SwaptionMonthsToGo+SwaptionShift))*SUM(INDEX($FK$325:$ID$396,FP$169,1+SwaptionShift):INDEX($FK$325:$ID$396,FP$169,SwaptionMonthsToGo+SwaptionShift))))))</f>
        <v/>
      </c>
      <c r="FQ234" s="479" t="str">
        <f ca="1">IF(OR(FQ$169&lt;SwaptionFirstMonthPosition+1,$FJ234&lt;SwaptionFirstMonthPosition+1,FQ$169&gt;SwaptionFirstMonthPosition+SwaptionNumOfMonths+1,$FJ234&gt;SwaptionFirstMonthPosition+SwaptionNumOfMonths+1),"",IF($FJ234=FQ$169,1,IF($FJ234&lt;FQ$169,INDEX($FK$170:$ID$241,FQ$169,$FJ234),SUMPRODUCT(INDEX($FK$325:$ID$396,FQ$169,1+SwaptionShift):INDEX($FK$325:$ID$396,FQ$169,SwaptionMonthsToGo+SwaptionShift),INDEX($FK$245:$ID$316,$FJ234-FQ$169,73-FQ$169+SwaptionShift):INDEX($FK$245:$ID$316,$FJ234-FQ$169,72-FQ$169+SwaptionMonthsToGo+SwaptionShift))/SQRT(SUM(INDEX($FK389:$ID389,1+SwaptionShift):INDEX($FK389:$ID389,SwaptionMonthsToGo+SwaptionShift))*SUM(INDEX($FK$325:$ID$396,FQ$169,1+SwaptionShift):INDEX($FK$325:$ID$396,FQ$169,SwaptionMonthsToGo+SwaptionShift))))))</f>
        <v/>
      </c>
      <c r="FR234" s="479" t="str">
        <f ca="1">IF(OR(FR$169&lt;SwaptionFirstMonthPosition+1,$FJ234&lt;SwaptionFirstMonthPosition+1,FR$169&gt;SwaptionFirstMonthPosition+SwaptionNumOfMonths+1,$FJ234&gt;SwaptionFirstMonthPosition+SwaptionNumOfMonths+1),"",IF($FJ234=FR$169,1,IF($FJ234&lt;FR$169,INDEX($FK$170:$ID$241,FR$169,$FJ234),SUMPRODUCT(INDEX($FK$325:$ID$396,FR$169,1+SwaptionShift):INDEX($FK$325:$ID$396,FR$169,SwaptionMonthsToGo+SwaptionShift),INDEX($FK$245:$ID$316,$FJ234-FR$169,73-FR$169+SwaptionShift):INDEX($FK$245:$ID$316,$FJ234-FR$169,72-FR$169+SwaptionMonthsToGo+SwaptionShift))/SQRT(SUM(INDEX($FK389:$ID389,1+SwaptionShift):INDEX($FK389:$ID389,SwaptionMonthsToGo+SwaptionShift))*SUM(INDEX($FK$325:$ID$396,FR$169,1+SwaptionShift):INDEX($FK$325:$ID$396,FR$169,SwaptionMonthsToGo+SwaptionShift))))))</f>
        <v/>
      </c>
      <c r="FS234" s="479" t="str">
        <f ca="1">IF(OR(FS$169&lt;SwaptionFirstMonthPosition+1,$FJ234&lt;SwaptionFirstMonthPosition+1,FS$169&gt;SwaptionFirstMonthPosition+SwaptionNumOfMonths+1,$FJ234&gt;SwaptionFirstMonthPosition+SwaptionNumOfMonths+1),"",IF($FJ234=FS$169,1,IF($FJ234&lt;FS$169,INDEX($FK$170:$ID$241,FS$169,$FJ234),SUMPRODUCT(INDEX($FK$325:$ID$396,FS$169,1+SwaptionShift):INDEX($FK$325:$ID$396,FS$169,SwaptionMonthsToGo+SwaptionShift),INDEX($FK$245:$ID$316,$FJ234-FS$169,73-FS$169+SwaptionShift):INDEX($FK$245:$ID$316,$FJ234-FS$169,72-FS$169+SwaptionMonthsToGo+SwaptionShift))/SQRT(SUM(INDEX($FK389:$ID389,1+SwaptionShift):INDEX($FK389:$ID389,SwaptionMonthsToGo+SwaptionShift))*SUM(INDEX($FK$325:$ID$396,FS$169,1+SwaptionShift):INDEX($FK$325:$ID$396,FS$169,SwaptionMonthsToGo+SwaptionShift))))))</f>
        <v/>
      </c>
      <c r="FT234" s="479" t="str">
        <f ca="1">IF(OR(FT$169&lt;SwaptionFirstMonthPosition+1,$FJ234&lt;SwaptionFirstMonthPosition+1,FT$169&gt;SwaptionFirstMonthPosition+SwaptionNumOfMonths+1,$FJ234&gt;SwaptionFirstMonthPosition+SwaptionNumOfMonths+1),"",IF($FJ234=FT$169,1,IF($FJ234&lt;FT$169,INDEX($FK$170:$ID$241,FT$169,$FJ234),SUMPRODUCT(INDEX($FK$325:$ID$396,FT$169,1+SwaptionShift):INDEX($FK$325:$ID$396,FT$169,SwaptionMonthsToGo+SwaptionShift),INDEX($FK$245:$ID$316,$FJ234-FT$169,73-FT$169+SwaptionShift):INDEX($FK$245:$ID$316,$FJ234-FT$169,72-FT$169+SwaptionMonthsToGo+SwaptionShift))/SQRT(SUM(INDEX($FK389:$ID389,1+SwaptionShift):INDEX($FK389:$ID389,SwaptionMonthsToGo+SwaptionShift))*SUM(INDEX($FK$325:$ID$396,FT$169,1+SwaptionShift):INDEX($FK$325:$ID$396,FT$169,SwaptionMonthsToGo+SwaptionShift))))))</f>
        <v/>
      </c>
      <c r="FU234" s="479" t="str">
        <f ca="1">IF(OR(FU$169&lt;SwaptionFirstMonthPosition+1,$FJ234&lt;SwaptionFirstMonthPosition+1,FU$169&gt;SwaptionFirstMonthPosition+SwaptionNumOfMonths+1,$FJ234&gt;SwaptionFirstMonthPosition+SwaptionNumOfMonths+1),"",IF($FJ234=FU$169,1,IF($FJ234&lt;FU$169,INDEX($FK$170:$ID$241,FU$169,$FJ234),SUMPRODUCT(INDEX($FK$325:$ID$396,FU$169,1+SwaptionShift):INDEX($FK$325:$ID$396,FU$169,SwaptionMonthsToGo+SwaptionShift),INDEX($FK$245:$ID$316,$FJ234-FU$169,73-FU$169+SwaptionShift):INDEX($FK$245:$ID$316,$FJ234-FU$169,72-FU$169+SwaptionMonthsToGo+SwaptionShift))/SQRT(SUM(INDEX($FK389:$ID389,1+SwaptionShift):INDEX($FK389:$ID389,SwaptionMonthsToGo+SwaptionShift))*SUM(INDEX($FK$325:$ID$396,FU$169,1+SwaptionShift):INDEX($FK$325:$ID$396,FU$169,SwaptionMonthsToGo+SwaptionShift))))))</f>
        <v/>
      </c>
      <c r="FV234" s="479" t="str">
        <f ca="1">IF(OR(FV$169&lt;SwaptionFirstMonthPosition+1,$FJ234&lt;SwaptionFirstMonthPosition+1,FV$169&gt;SwaptionFirstMonthPosition+SwaptionNumOfMonths+1,$FJ234&gt;SwaptionFirstMonthPosition+SwaptionNumOfMonths+1),"",IF($FJ234=FV$169,1,IF($FJ234&lt;FV$169,INDEX($FK$170:$ID$241,FV$169,$FJ234),SUMPRODUCT(INDEX($FK$325:$ID$396,FV$169,1+SwaptionShift):INDEX($FK$325:$ID$396,FV$169,SwaptionMonthsToGo+SwaptionShift),INDEX($FK$245:$ID$316,$FJ234-FV$169,73-FV$169+SwaptionShift):INDEX($FK$245:$ID$316,$FJ234-FV$169,72-FV$169+SwaptionMonthsToGo+SwaptionShift))/SQRT(SUM(INDEX($FK389:$ID389,1+SwaptionShift):INDEX($FK389:$ID389,SwaptionMonthsToGo+SwaptionShift))*SUM(INDEX($FK$325:$ID$396,FV$169,1+SwaptionShift):INDEX($FK$325:$ID$396,FV$169,SwaptionMonthsToGo+SwaptionShift))))))</f>
        <v/>
      </c>
      <c r="FW234" s="479" t="str">
        <f ca="1">IF(OR(FW$169&lt;SwaptionFirstMonthPosition+1,$FJ234&lt;SwaptionFirstMonthPosition+1,FW$169&gt;SwaptionFirstMonthPosition+SwaptionNumOfMonths+1,$FJ234&gt;SwaptionFirstMonthPosition+SwaptionNumOfMonths+1),"",IF($FJ234=FW$169,1,IF($FJ234&lt;FW$169,INDEX($FK$170:$ID$241,FW$169,$FJ234),SUMPRODUCT(INDEX($FK$325:$ID$396,FW$169,1+SwaptionShift):INDEX($FK$325:$ID$396,FW$169,SwaptionMonthsToGo+SwaptionShift),INDEX($FK$245:$ID$316,$FJ234-FW$169,73-FW$169+SwaptionShift):INDEX($FK$245:$ID$316,$FJ234-FW$169,72-FW$169+SwaptionMonthsToGo+SwaptionShift))/SQRT(SUM(INDEX($FK389:$ID389,1+SwaptionShift):INDEX($FK389:$ID389,SwaptionMonthsToGo+SwaptionShift))*SUM(INDEX($FK$325:$ID$396,FW$169,1+SwaptionShift):INDEX($FK$325:$ID$396,FW$169,SwaptionMonthsToGo+SwaptionShift))))))</f>
        <v/>
      </c>
      <c r="FX234" s="479" t="str">
        <f ca="1">IF(OR(FX$169&lt;SwaptionFirstMonthPosition+1,$FJ234&lt;SwaptionFirstMonthPosition+1,FX$169&gt;SwaptionFirstMonthPosition+SwaptionNumOfMonths+1,$FJ234&gt;SwaptionFirstMonthPosition+SwaptionNumOfMonths+1),"",IF($FJ234=FX$169,1,IF($FJ234&lt;FX$169,INDEX($FK$170:$ID$241,FX$169,$FJ234),SUMPRODUCT(INDEX($FK$325:$ID$396,FX$169,1+SwaptionShift):INDEX($FK$325:$ID$396,FX$169,SwaptionMonthsToGo+SwaptionShift),INDEX($FK$245:$ID$316,$FJ234-FX$169,73-FX$169+SwaptionShift):INDEX($FK$245:$ID$316,$FJ234-FX$169,72-FX$169+SwaptionMonthsToGo+SwaptionShift))/SQRT(SUM(INDEX($FK389:$ID389,1+SwaptionShift):INDEX($FK389:$ID389,SwaptionMonthsToGo+SwaptionShift))*SUM(INDEX($FK$325:$ID$396,FX$169,1+SwaptionShift):INDEX($FK$325:$ID$396,FX$169,SwaptionMonthsToGo+SwaptionShift))))))</f>
        <v/>
      </c>
      <c r="FY234" s="479" t="str">
        <f ca="1">IF(OR(FY$169&lt;SwaptionFirstMonthPosition+1,$FJ234&lt;SwaptionFirstMonthPosition+1,FY$169&gt;SwaptionFirstMonthPosition+SwaptionNumOfMonths+1,$FJ234&gt;SwaptionFirstMonthPosition+SwaptionNumOfMonths+1),"",IF($FJ234=FY$169,1,IF($FJ234&lt;FY$169,INDEX($FK$170:$ID$241,FY$169,$FJ234),SUMPRODUCT(INDEX($FK$325:$ID$396,FY$169,1+SwaptionShift):INDEX($FK$325:$ID$396,FY$169,SwaptionMonthsToGo+SwaptionShift),INDEX($FK$245:$ID$316,$FJ234-FY$169,73-FY$169+SwaptionShift):INDEX($FK$245:$ID$316,$FJ234-FY$169,72-FY$169+SwaptionMonthsToGo+SwaptionShift))/SQRT(SUM(INDEX($FK389:$ID389,1+SwaptionShift):INDEX($FK389:$ID389,SwaptionMonthsToGo+SwaptionShift))*SUM(INDEX($FK$325:$ID$396,FY$169,1+SwaptionShift):INDEX($FK$325:$ID$396,FY$169,SwaptionMonthsToGo+SwaptionShift))))))</f>
        <v/>
      </c>
      <c r="FZ234" s="479" t="str">
        <f ca="1">IF(OR(FZ$169&lt;SwaptionFirstMonthPosition+1,$FJ234&lt;SwaptionFirstMonthPosition+1,FZ$169&gt;SwaptionFirstMonthPosition+SwaptionNumOfMonths+1,$FJ234&gt;SwaptionFirstMonthPosition+SwaptionNumOfMonths+1),"",IF($FJ234=FZ$169,1,IF($FJ234&lt;FZ$169,INDEX($FK$170:$ID$241,FZ$169,$FJ234),SUMPRODUCT(INDEX($FK$325:$ID$396,FZ$169,1+SwaptionShift):INDEX($FK$325:$ID$396,FZ$169,SwaptionMonthsToGo+SwaptionShift),INDEX($FK$245:$ID$316,$FJ234-FZ$169,73-FZ$169+SwaptionShift):INDEX($FK$245:$ID$316,$FJ234-FZ$169,72-FZ$169+SwaptionMonthsToGo+SwaptionShift))/SQRT(SUM(INDEX($FK389:$ID389,1+SwaptionShift):INDEX($FK389:$ID389,SwaptionMonthsToGo+SwaptionShift))*SUM(INDEX($FK$325:$ID$396,FZ$169,1+SwaptionShift):INDEX($FK$325:$ID$396,FZ$169,SwaptionMonthsToGo+SwaptionShift))))))</f>
        <v/>
      </c>
      <c r="GA234" s="479" t="str">
        <f ca="1">IF(OR(GA$169&lt;SwaptionFirstMonthPosition+1,$FJ234&lt;SwaptionFirstMonthPosition+1,GA$169&gt;SwaptionFirstMonthPosition+SwaptionNumOfMonths+1,$FJ234&gt;SwaptionFirstMonthPosition+SwaptionNumOfMonths+1),"",IF($FJ234=GA$169,1,IF($FJ234&lt;GA$169,INDEX($FK$170:$ID$241,GA$169,$FJ234),SUMPRODUCT(INDEX($FK$325:$ID$396,GA$169,1+SwaptionShift):INDEX($FK$325:$ID$396,GA$169,SwaptionMonthsToGo+SwaptionShift),INDEX($FK$245:$ID$316,$FJ234-GA$169,73-GA$169+SwaptionShift):INDEX($FK$245:$ID$316,$FJ234-GA$169,72-GA$169+SwaptionMonthsToGo+SwaptionShift))/SQRT(SUM(INDEX($FK389:$ID389,1+SwaptionShift):INDEX($FK389:$ID389,SwaptionMonthsToGo+SwaptionShift))*SUM(INDEX($FK$325:$ID$396,GA$169,1+SwaptionShift):INDEX($FK$325:$ID$396,GA$169,SwaptionMonthsToGo+SwaptionShift))))))</f>
        <v/>
      </c>
      <c r="GB234" s="479" t="str">
        <f ca="1">IF(OR(GB$169&lt;SwaptionFirstMonthPosition+1,$FJ234&lt;SwaptionFirstMonthPosition+1,GB$169&gt;SwaptionFirstMonthPosition+SwaptionNumOfMonths+1,$FJ234&gt;SwaptionFirstMonthPosition+SwaptionNumOfMonths+1),"",IF($FJ234=GB$169,1,IF($FJ234&lt;GB$169,INDEX($FK$170:$ID$241,GB$169,$FJ234),SUMPRODUCT(INDEX($FK$325:$ID$396,GB$169,1+SwaptionShift):INDEX($FK$325:$ID$396,GB$169,SwaptionMonthsToGo+SwaptionShift),INDEX($FK$245:$ID$316,$FJ234-GB$169,73-GB$169+SwaptionShift):INDEX($FK$245:$ID$316,$FJ234-GB$169,72-GB$169+SwaptionMonthsToGo+SwaptionShift))/SQRT(SUM(INDEX($FK389:$ID389,1+SwaptionShift):INDEX($FK389:$ID389,SwaptionMonthsToGo+SwaptionShift))*SUM(INDEX($FK$325:$ID$396,GB$169,1+SwaptionShift):INDEX($FK$325:$ID$396,GB$169,SwaptionMonthsToGo+SwaptionShift))))))</f>
        <v/>
      </c>
      <c r="GC234" s="479" t="str">
        <f ca="1">IF(OR(GC$169&lt;SwaptionFirstMonthPosition+1,$FJ234&lt;SwaptionFirstMonthPosition+1,GC$169&gt;SwaptionFirstMonthPosition+SwaptionNumOfMonths+1,$FJ234&gt;SwaptionFirstMonthPosition+SwaptionNumOfMonths+1),"",IF($FJ234=GC$169,1,IF($FJ234&lt;GC$169,INDEX($FK$170:$ID$241,GC$169,$FJ234),SUMPRODUCT(INDEX($FK$325:$ID$396,GC$169,1+SwaptionShift):INDEX($FK$325:$ID$396,GC$169,SwaptionMonthsToGo+SwaptionShift),INDEX($FK$245:$ID$316,$FJ234-GC$169,73-GC$169+SwaptionShift):INDEX($FK$245:$ID$316,$FJ234-GC$169,72-GC$169+SwaptionMonthsToGo+SwaptionShift))/SQRT(SUM(INDEX($FK389:$ID389,1+SwaptionShift):INDEX($FK389:$ID389,SwaptionMonthsToGo+SwaptionShift))*SUM(INDEX($FK$325:$ID$396,GC$169,1+SwaptionShift):INDEX($FK$325:$ID$396,GC$169,SwaptionMonthsToGo+SwaptionShift))))))</f>
        <v/>
      </c>
      <c r="GD234" s="479" t="str">
        <f ca="1">IF(OR(GD$169&lt;SwaptionFirstMonthPosition+1,$FJ234&lt;SwaptionFirstMonthPosition+1,GD$169&gt;SwaptionFirstMonthPosition+SwaptionNumOfMonths+1,$FJ234&gt;SwaptionFirstMonthPosition+SwaptionNumOfMonths+1),"",IF($FJ234=GD$169,1,IF($FJ234&lt;GD$169,INDEX($FK$170:$ID$241,GD$169,$FJ234),SUMPRODUCT(INDEX($FK$325:$ID$396,GD$169,1+SwaptionShift):INDEX($FK$325:$ID$396,GD$169,SwaptionMonthsToGo+SwaptionShift),INDEX($FK$245:$ID$316,$FJ234-GD$169,73-GD$169+SwaptionShift):INDEX($FK$245:$ID$316,$FJ234-GD$169,72-GD$169+SwaptionMonthsToGo+SwaptionShift))/SQRT(SUM(INDEX($FK389:$ID389,1+SwaptionShift):INDEX($FK389:$ID389,SwaptionMonthsToGo+SwaptionShift))*SUM(INDEX($FK$325:$ID$396,GD$169,1+SwaptionShift):INDEX($FK$325:$ID$396,GD$169,SwaptionMonthsToGo+SwaptionShift))))))</f>
        <v/>
      </c>
      <c r="GE234" s="479" t="str">
        <f ca="1">IF(OR(GE$169&lt;SwaptionFirstMonthPosition+1,$FJ234&lt;SwaptionFirstMonthPosition+1,GE$169&gt;SwaptionFirstMonthPosition+SwaptionNumOfMonths+1,$FJ234&gt;SwaptionFirstMonthPosition+SwaptionNumOfMonths+1),"",IF($FJ234=GE$169,1,IF($FJ234&lt;GE$169,INDEX($FK$170:$ID$241,GE$169,$FJ234),SUMPRODUCT(INDEX($FK$325:$ID$396,GE$169,1+SwaptionShift):INDEX($FK$325:$ID$396,GE$169,SwaptionMonthsToGo+SwaptionShift),INDEX($FK$245:$ID$316,$FJ234-GE$169,73-GE$169+SwaptionShift):INDEX($FK$245:$ID$316,$FJ234-GE$169,72-GE$169+SwaptionMonthsToGo+SwaptionShift))/SQRT(SUM(INDEX($FK389:$ID389,1+SwaptionShift):INDEX($FK389:$ID389,SwaptionMonthsToGo+SwaptionShift))*SUM(INDEX($FK$325:$ID$396,GE$169,1+SwaptionShift):INDEX($FK$325:$ID$396,GE$169,SwaptionMonthsToGo+SwaptionShift))))))</f>
        <v/>
      </c>
      <c r="GF234" s="479" t="str">
        <f ca="1">IF(OR(GF$169&lt;SwaptionFirstMonthPosition+1,$FJ234&lt;SwaptionFirstMonthPosition+1,GF$169&gt;SwaptionFirstMonthPosition+SwaptionNumOfMonths+1,$FJ234&gt;SwaptionFirstMonthPosition+SwaptionNumOfMonths+1),"",IF($FJ234=GF$169,1,IF($FJ234&lt;GF$169,INDEX($FK$170:$ID$241,GF$169,$FJ234),SUMPRODUCT(INDEX($FK$325:$ID$396,GF$169,1+SwaptionShift):INDEX($FK$325:$ID$396,GF$169,SwaptionMonthsToGo+SwaptionShift),INDEX($FK$245:$ID$316,$FJ234-GF$169,73-GF$169+SwaptionShift):INDEX($FK$245:$ID$316,$FJ234-GF$169,72-GF$169+SwaptionMonthsToGo+SwaptionShift))/SQRT(SUM(INDEX($FK389:$ID389,1+SwaptionShift):INDEX($FK389:$ID389,SwaptionMonthsToGo+SwaptionShift))*SUM(INDEX($FK$325:$ID$396,GF$169,1+SwaptionShift):INDEX($FK$325:$ID$396,GF$169,SwaptionMonthsToGo+SwaptionShift))))))</f>
        <v/>
      </c>
      <c r="GG234" s="479" t="str">
        <f ca="1">IF(OR(GG$169&lt;SwaptionFirstMonthPosition+1,$FJ234&lt;SwaptionFirstMonthPosition+1,GG$169&gt;SwaptionFirstMonthPosition+SwaptionNumOfMonths+1,$FJ234&gt;SwaptionFirstMonthPosition+SwaptionNumOfMonths+1),"",IF($FJ234=GG$169,1,IF($FJ234&lt;GG$169,INDEX($FK$170:$ID$241,GG$169,$FJ234),SUMPRODUCT(INDEX($FK$325:$ID$396,GG$169,1+SwaptionShift):INDEX($FK$325:$ID$396,GG$169,SwaptionMonthsToGo+SwaptionShift),INDEX($FK$245:$ID$316,$FJ234-GG$169,73-GG$169+SwaptionShift):INDEX($FK$245:$ID$316,$FJ234-GG$169,72-GG$169+SwaptionMonthsToGo+SwaptionShift))/SQRT(SUM(INDEX($FK389:$ID389,1+SwaptionShift):INDEX($FK389:$ID389,SwaptionMonthsToGo+SwaptionShift))*SUM(INDEX($FK$325:$ID$396,GG$169,1+SwaptionShift):INDEX($FK$325:$ID$396,GG$169,SwaptionMonthsToGo+SwaptionShift))))))</f>
        <v/>
      </c>
      <c r="GH234" s="479" t="str">
        <f ca="1">IF(OR(GH$169&lt;SwaptionFirstMonthPosition+1,$FJ234&lt;SwaptionFirstMonthPosition+1,GH$169&gt;SwaptionFirstMonthPosition+SwaptionNumOfMonths+1,$FJ234&gt;SwaptionFirstMonthPosition+SwaptionNumOfMonths+1),"",IF($FJ234=GH$169,1,IF($FJ234&lt;GH$169,INDEX($FK$170:$ID$241,GH$169,$FJ234),SUMPRODUCT(INDEX($FK$325:$ID$396,GH$169,1+SwaptionShift):INDEX($FK$325:$ID$396,GH$169,SwaptionMonthsToGo+SwaptionShift),INDEX($FK$245:$ID$316,$FJ234-GH$169,73-GH$169+SwaptionShift):INDEX($FK$245:$ID$316,$FJ234-GH$169,72-GH$169+SwaptionMonthsToGo+SwaptionShift))/SQRT(SUM(INDEX($FK389:$ID389,1+SwaptionShift):INDEX($FK389:$ID389,SwaptionMonthsToGo+SwaptionShift))*SUM(INDEX($FK$325:$ID$396,GH$169,1+SwaptionShift):INDEX($FK$325:$ID$396,GH$169,SwaptionMonthsToGo+SwaptionShift))))))</f>
        <v/>
      </c>
      <c r="GI234" s="479" t="str">
        <f ca="1">IF(OR(GI$169&lt;SwaptionFirstMonthPosition+1,$FJ234&lt;SwaptionFirstMonthPosition+1,GI$169&gt;SwaptionFirstMonthPosition+SwaptionNumOfMonths+1,$FJ234&gt;SwaptionFirstMonthPosition+SwaptionNumOfMonths+1),"",IF($FJ234=GI$169,1,IF($FJ234&lt;GI$169,INDEX($FK$170:$ID$241,GI$169,$FJ234),SUMPRODUCT(INDEX($FK$325:$ID$396,GI$169,1+SwaptionShift):INDEX($FK$325:$ID$396,GI$169,SwaptionMonthsToGo+SwaptionShift),INDEX($FK$245:$ID$316,$FJ234-GI$169,73-GI$169+SwaptionShift):INDEX($FK$245:$ID$316,$FJ234-GI$169,72-GI$169+SwaptionMonthsToGo+SwaptionShift))/SQRT(SUM(INDEX($FK389:$ID389,1+SwaptionShift):INDEX($FK389:$ID389,SwaptionMonthsToGo+SwaptionShift))*SUM(INDEX($FK$325:$ID$396,GI$169,1+SwaptionShift):INDEX($FK$325:$ID$396,GI$169,SwaptionMonthsToGo+SwaptionShift))))))</f>
        <v/>
      </c>
      <c r="GJ234" s="479" t="str">
        <f ca="1">IF(OR(GJ$169&lt;SwaptionFirstMonthPosition+1,$FJ234&lt;SwaptionFirstMonthPosition+1,GJ$169&gt;SwaptionFirstMonthPosition+SwaptionNumOfMonths+1,$FJ234&gt;SwaptionFirstMonthPosition+SwaptionNumOfMonths+1),"",IF($FJ234=GJ$169,1,IF($FJ234&lt;GJ$169,INDEX($FK$170:$ID$241,GJ$169,$FJ234),SUMPRODUCT(INDEX($FK$325:$ID$396,GJ$169,1+SwaptionShift):INDEX($FK$325:$ID$396,GJ$169,SwaptionMonthsToGo+SwaptionShift),INDEX($FK$245:$ID$316,$FJ234-GJ$169,73-GJ$169+SwaptionShift):INDEX($FK$245:$ID$316,$FJ234-GJ$169,72-GJ$169+SwaptionMonthsToGo+SwaptionShift))/SQRT(SUM(INDEX($FK389:$ID389,1+SwaptionShift):INDEX($FK389:$ID389,SwaptionMonthsToGo+SwaptionShift))*SUM(INDEX($FK$325:$ID$396,GJ$169,1+SwaptionShift):INDEX($FK$325:$ID$396,GJ$169,SwaptionMonthsToGo+SwaptionShift))))))</f>
        <v/>
      </c>
      <c r="GK234" s="479" t="str">
        <f ca="1">IF(OR(GK$169&lt;SwaptionFirstMonthPosition+1,$FJ234&lt;SwaptionFirstMonthPosition+1,GK$169&gt;SwaptionFirstMonthPosition+SwaptionNumOfMonths+1,$FJ234&gt;SwaptionFirstMonthPosition+SwaptionNumOfMonths+1),"",IF($FJ234=GK$169,1,IF($FJ234&lt;GK$169,INDEX($FK$170:$ID$241,GK$169,$FJ234),SUMPRODUCT(INDEX($FK$325:$ID$396,GK$169,1+SwaptionShift):INDEX($FK$325:$ID$396,GK$169,SwaptionMonthsToGo+SwaptionShift),INDEX($FK$245:$ID$316,$FJ234-GK$169,73-GK$169+SwaptionShift):INDEX($FK$245:$ID$316,$FJ234-GK$169,72-GK$169+SwaptionMonthsToGo+SwaptionShift))/SQRT(SUM(INDEX($FK389:$ID389,1+SwaptionShift):INDEX($FK389:$ID389,SwaptionMonthsToGo+SwaptionShift))*SUM(INDEX($FK$325:$ID$396,GK$169,1+SwaptionShift):INDEX($FK$325:$ID$396,GK$169,SwaptionMonthsToGo+SwaptionShift))))))</f>
        <v/>
      </c>
      <c r="GL234" s="479" t="str">
        <f ca="1">IF(OR(GL$169&lt;SwaptionFirstMonthPosition+1,$FJ234&lt;SwaptionFirstMonthPosition+1,GL$169&gt;SwaptionFirstMonthPosition+SwaptionNumOfMonths+1,$FJ234&gt;SwaptionFirstMonthPosition+SwaptionNumOfMonths+1),"",IF($FJ234=GL$169,1,IF($FJ234&lt;GL$169,INDEX($FK$170:$ID$241,GL$169,$FJ234),SUMPRODUCT(INDEX($FK$325:$ID$396,GL$169,1+SwaptionShift):INDEX($FK$325:$ID$396,GL$169,SwaptionMonthsToGo+SwaptionShift),INDEX($FK$245:$ID$316,$FJ234-GL$169,73-GL$169+SwaptionShift):INDEX($FK$245:$ID$316,$FJ234-GL$169,72-GL$169+SwaptionMonthsToGo+SwaptionShift))/SQRT(SUM(INDEX($FK389:$ID389,1+SwaptionShift):INDEX($FK389:$ID389,SwaptionMonthsToGo+SwaptionShift))*SUM(INDEX($FK$325:$ID$396,GL$169,1+SwaptionShift):INDEX($FK$325:$ID$396,GL$169,SwaptionMonthsToGo+SwaptionShift))))))</f>
        <v/>
      </c>
      <c r="GM234" s="479" t="str">
        <f ca="1">IF(OR(GM$169&lt;SwaptionFirstMonthPosition+1,$FJ234&lt;SwaptionFirstMonthPosition+1,GM$169&gt;SwaptionFirstMonthPosition+SwaptionNumOfMonths+1,$FJ234&gt;SwaptionFirstMonthPosition+SwaptionNumOfMonths+1),"",IF($FJ234=GM$169,1,IF($FJ234&lt;GM$169,INDEX($FK$170:$ID$241,GM$169,$FJ234),SUMPRODUCT(INDEX($FK$325:$ID$396,GM$169,1+SwaptionShift):INDEX($FK$325:$ID$396,GM$169,SwaptionMonthsToGo+SwaptionShift),INDEX($FK$245:$ID$316,$FJ234-GM$169,73-GM$169+SwaptionShift):INDEX($FK$245:$ID$316,$FJ234-GM$169,72-GM$169+SwaptionMonthsToGo+SwaptionShift))/SQRT(SUM(INDEX($FK389:$ID389,1+SwaptionShift):INDEX($FK389:$ID389,SwaptionMonthsToGo+SwaptionShift))*SUM(INDEX($FK$325:$ID$396,GM$169,1+SwaptionShift):INDEX($FK$325:$ID$396,GM$169,SwaptionMonthsToGo+SwaptionShift))))))</f>
        <v/>
      </c>
      <c r="GN234" s="479" t="str">
        <f ca="1">IF(OR(GN$169&lt;SwaptionFirstMonthPosition+1,$FJ234&lt;SwaptionFirstMonthPosition+1,GN$169&gt;SwaptionFirstMonthPosition+SwaptionNumOfMonths+1,$FJ234&gt;SwaptionFirstMonthPosition+SwaptionNumOfMonths+1),"",IF($FJ234=GN$169,1,IF($FJ234&lt;GN$169,INDEX($FK$170:$ID$241,GN$169,$FJ234),SUMPRODUCT(INDEX($FK$325:$ID$396,GN$169,1+SwaptionShift):INDEX($FK$325:$ID$396,GN$169,SwaptionMonthsToGo+SwaptionShift),INDEX($FK$245:$ID$316,$FJ234-GN$169,73-GN$169+SwaptionShift):INDEX($FK$245:$ID$316,$FJ234-GN$169,72-GN$169+SwaptionMonthsToGo+SwaptionShift))/SQRT(SUM(INDEX($FK389:$ID389,1+SwaptionShift):INDEX($FK389:$ID389,SwaptionMonthsToGo+SwaptionShift))*SUM(INDEX($FK$325:$ID$396,GN$169,1+SwaptionShift):INDEX($FK$325:$ID$396,GN$169,SwaptionMonthsToGo+SwaptionShift))))))</f>
        <v/>
      </c>
      <c r="GO234" s="479" t="str">
        <f ca="1">IF(OR(GO$169&lt;SwaptionFirstMonthPosition+1,$FJ234&lt;SwaptionFirstMonthPosition+1,GO$169&gt;SwaptionFirstMonthPosition+SwaptionNumOfMonths+1,$FJ234&gt;SwaptionFirstMonthPosition+SwaptionNumOfMonths+1),"",IF($FJ234=GO$169,1,IF($FJ234&lt;GO$169,INDEX($FK$170:$ID$241,GO$169,$FJ234),SUMPRODUCT(INDEX($FK$325:$ID$396,GO$169,1+SwaptionShift):INDEX($FK$325:$ID$396,GO$169,SwaptionMonthsToGo+SwaptionShift),INDEX($FK$245:$ID$316,$FJ234-GO$169,73-GO$169+SwaptionShift):INDEX($FK$245:$ID$316,$FJ234-GO$169,72-GO$169+SwaptionMonthsToGo+SwaptionShift))/SQRT(SUM(INDEX($FK389:$ID389,1+SwaptionShift):INDEX($FK389:$ID389,SwaptionMonthsToGo+SwaptionShift))*SUM(INDEX($FK$325:$ID$396,GO$169,1+SwaptionShift):INDEX($FK$325:$ID$396,GO$169,SwaptionMonthsToGo+SwaptionShift))))))</f>
        <v/>
      </c>
      <c r="GP234" s="479" t="str">
        <f ca="1">IF(OR(GP$169&lt;SwaptionFirstMonthPosition+1,$FJ234&lt;SwaptionFirstMonthPosition+1,GP$169&gt;SwaptionFirstMonthPosition+SwaptionNumOfMonths+1,$FJ234&gt;SwaptionFirstMonthPosition+SwaptionNumOfMonths+1),"",IF($FJ234=GP$169,1,IF($FJ234&lt;GP$169,INDEX($FK$170:$ID$241,GP$169,$FJ234),SUMPRODUCT(INDEX($FK$325:$ID$396,GP$169,1+SwaptionShift):INDEX($FK$325:$ID$396,GP$169,SwaptionMonthsToGo+SwaptionShift),INDEX($FK$245:$ID$316,$FJ234-GP$169,73-GP$169+SwaptionShift):INDEX($FK$245:$ID$316,$FJ234-GP$169,72-GP$169+SwaptionMonthsToGo+SwaptionShift))/SQRT(SUM(INDEX($FK389:$ID389,1+SwaptionShift):INDEX($FK389:$ID389,SwaptionMonthsToGo+SwaptionShift))*SUM(INDEX($FK$325:$ID$396,GP$169,1+SwaptionShift):INDEX($FK$325:$ID$396,GP$169,SwaptionMonthsToGo+SwaptionShift))))))</f>
        <v/>
      </c>
      <c r="GQ234" s="479" t="str">
        <f ca="1">IF(OR(GQ$169&lt;SwaptionFirstMonthPosition+1,$FJ234&lt;SwaptionFirstMonthPosition+1,GQ$169&gt;SwaptionFirstMonthPosition+SwaptionNumOfMonths+1,$FJ234&gt;SwaptionFirstMonthPosition+SwaptionNumOfMonths+1),"",IF($FJ234=GQ$169,1,IF($FJ234&lt;GQ$169,INDEX($FK$170:$ID$241,GQ$169,$FJ234),SUMPRODUCT(INDEX($FK$325:$ID$396,GQ$169,1+SwaptionShift):INDEX($FK$325:$ID$396,GQ$169,SwaptionMonthsToGo+SwaptionShift),INDEX($FK$245:$ID$316,$FJ234-GQ$169,73-GQ$169+SwaptionShift):INDEX($FK$245:$ID$316,$FJ234-GQ$169,72-GQ$169+SwaptionMonthsToGo+SwaptionShift))/SQRT(SUM(INDEX($FK389:$ID389,1+SwaptionShift):INDEX($FK389:$ID389,SwaptionMonthsToGo+SwaptionShift))*SUM(INDEX($FK$325:$ID$396,GQ$169,1+SwaptionShift):INDEX($FK$325:$ID$396,GQ$169,SwaptionMonthsToGo+SwaptionShift))))))</f>
        <v/>
      </c>
      <c r="GR234" s="479" t="str">
        <f ca="1">IF(OR(GR$169&lt;SwaptionFirstMonthPosition+1,$FJ234&lt;SwaptionFirstMonthPosition+1,GR$169&gt;SwaptionFirstMonthPosition+SwaptionNumOfMonths+1,$FJ234&gt;SwaptionFirstMonthPosition+SwaptionNumOfMonths+1),"",IF($FJ234=GR$169,1,IF($FJ234&lt;GR$169,INDEX($FK$170:$ID$241,GR$169,$FJ234),SUMPRODUCT(INDEX($FK$325:$ID$396,GR$169,1+SwaptionShift):INDEX($FK$325:$ID$396,GR$169,SwaptionMonthsToGo+SwaptionShift),INDEX($FK$245:$ID$316,$FJ234-GR$169,73-GR$169+SwaptionShift):INDEX($FK$245:$ID$316,$FJ234-GR$169,72-GR$169+SwaptionMonthsToGo+SwaptionShift))/SQRT(SUM(INDEX($FK389:$ID389,1+SwaptionShift):INDEX($FK389:$ID389,SwaptionMonthsToGo+SwaptionShift))*SUM(INDEX($FK$325:$ID$396,GR$169,1+SwaptionShift):INDEX($FK$325:$ID$396,GR$169,SwaptionMonthsToGo+SwaptionShift))))))</f>
        <v/>
      </c>
      <c r="GS234" s="479" t="str">
        <f ca="1">IF(OR(GS$169&lt;SwaptionFirstMonthPosition+1,$FJ234&lt;SwaptionFirstMonthPosition+1,GS$169&gt;SwaptionFirstMonthPosition+SwaptionNumOfMonths+1,$FJ234&gt;SwaptionFirstMonthPosition+SwaptionNumOfMonths+1),"",IF($FJ234=GS$169,1,IF($FJ234&lt;GS$169,INDEX($FK$170:$ID$241,GS$169,$FJ234),SUMPRODUCT(INDEX($FK$325:$ID$396,GS$169,1+SwaptionShift):INDEX($FK$325:$ID$396,GS$169,SwaptionMonthsToGo+SwaptionShift),INDEX($FK$245:$ID$316,$FJ234-GS$169,73-GS$169+SwaptionShift):INDEX($FK$245:$ID$316,$FJ234-GS$169,72-GS$169+SwaptionMonthsToGo+SwaptionShift))/SQRT(SUM(INDEX($FK389:$ID389,1+SwaptionShift):INDEX($FK389:$ID389,SwaptionMonthsToGo+SwaptionShift))*SUM(INDEX($FK$325:$ID$396,GS$169,1+SwaptionShift):INDEX($FK$325:$ID$396,GS$169,SwaptionMonthsToGo+SwaptionShift))))))</f>
        <v/>
      </c>
      <c r="GT234" s="479" t="str">
        <f ca="1">IF(OR(GT$169&lt;SwaptionFirstMonthPosition+1,$FJ234&lt;SwaptionFirstMonthPosition+1,GT$169&gt;SwaptionFirstMonthPosition+SwaptionNumOfMonths+1,$FJ234&gt;SwaptionFirstMonthPosition+SwaptionNumOfMonths+1),"",IF($FJ234=GT$169,1,IF($FJ234&lt;GT$169,INDEX($FK$170:$ID$241,GT$169,$FJ234),SUMPRODUCT(INDEX($FK$325:$ID$396,GT$169,1+SwaptionShift):INDEX($FK$325:$ID$396,GT$169,SwaptionMonthsToGo+SwaptionShift),INDEX($FK$245:$ID$316,$FJ234-GT$169,73-GT$169+SwaptionShift):INDEX($FK$245:$ID$316,$FJ234-GT$169,72-GT$169+SwaptionMonthsToGo+SwaptionShift))/SQRT(SUM(INDEX($FK389:$ID389,1+SwaptionShift):INDEX($FK389:$ID389,SwaptionMonthsToGo+SwaptionShift))*SUM(INDEX($FK$325:$ID$396,GT$169,1+SwaptionShift):INDEX($FK$325:$ID$396,GT$169,SwaptionMonthsToGo+SwaptionShift))))))</f>
        <v/>
      </c>
      <c r="GU234" s="479" t="str">
        <f ca="1">IF(OR(GU$169&lt;SwaptionFirstMonthPosition+1,$FJ234&lt;SwaptionFirstMonthPosition+1,GU$169&gt;SwaptionFirstMonthPosition+SwaptionNumOfMonths+1,$FJ234&gt;SwaptionFirstMonthPosition+SwaptionNumOfMonths+1),"",IF($FJ234=GU$169,1,IF($FJ234&lt;GU$169,INDEX($FK$170:$ID$241,GU$169,$FJ234),SUMPRODUCT(INDEX($FK$325:$ID$396,GU$169,1+SwaptionShift):INDEX($FK$325:$ID$396,GU$169,SwaptionMonthsToGo+SwaptionShift),INDEX($FK$245:$ID$316,$FJ234-GU$169,73-GU$169+SwaptionShift):INDEX($FK$245:$ID$316,$FJ234-GU$169,72-GU$169+SwaptionMonthsToGo+SwaptionShift))/SQRT(SUM(INDEX($FK389:$ID389,1+SwaptionShift):INDEX($FK389:$ID389,SwaptionMonthsToGo+SwaptionShift))*SUM(INDEX($FK$325:$ID$396,GU$169,1+SwaptionShift):INDEX($FK$325:$ID$396,GU$169,SwaptionMonthsToGo+SwaptionShift))))))</f>
        <v/>
      </c>
      <c r="GV234" s="479" t="str">
        <f ca="1">IF(OR(GV$169&lt;SwaptionFirstMonthPosition+1,$FJ234&lt;SwaptionFirstMonthPosition+1,GV$169&gt;SwaptionFirstMonthPosition+SwaptionNumOfMonths+1,$FJ234&gt;SwaptionFirstMonthPosition+SwaptionNumOfMonths+1),"",IF($FJ234=GV$169,1,IF($FJ234&lt;GV$169,INDEX($FK$170:$ID$241,GV$169,$FJ234),SUMPRODUCT(INDEX($FK$325:$ID$396,GV$169,1+SwaptionShift):INDEX($FK$325:$ID$396,GV$169,SwaptionMonthsToGo+SwaptionShift),INDEX($FK$245:$ID$316,$FJ234-GV$169,73-GV$169+SwaptionShift):INDEX($FK$245:$ID$316,$FJ234-GV$169,72-GV$169+SwaptionMonthsToGo+SwaptionShift))/SQRT(SUM(INDEX($FK389:$ID389,1+SwaptionShift):INDEX($FK389:$ID389,SwaptionMonthsToGo+SwaptionShift))*SUM(INDEX($FK$325:$ID$396,GV$169,1+SwaptionShift):INDEX($FK$325:$ID$396,GV$169,SwaptionMonthsToGo+SwaptionShift))))))</f>
        <v/>
      </c>
      <c r="GW234" s="479" t="str">
        <f ca="1">IF(OR(GW$169&lt;SwaptionFirstMonthPosition+1,$FJ234&lt;SwaptionFirstMonthPosition+1,GW$169&gt;SwaptionFirstMonthPosition+SwaptionNumOfMonths+1,$FJ234&gt;SwaptionFirstMonthPosition+SwaptionNumOfMonths+1),"",IF($FJ234=GW$169,1,IF($FJ234&lt;GW$169,INDEX($FK$170:$ID$241,GW$169,$FJ234),SUMPRODUCT(INDEX($FK$325:$ID$396,GW$169,1+SwaptionShift):INDEX($FK$325:$ID$396,GW$169,SwaptionMonthsToGo+SwaptionShift),INDEX($FK$245:$ID$316,$FJ234-GW$169,73-GW$169+SwaptionShift):INDEX($FK$245:$ID$316,$FJ234-GW$169,72-GW$169+SwaptionMonthsToGo+SwaptionShift))/SQRT(SUM(INDEX($FK389:$ID389,1+SwaptionShift):INDEX($FK389:$ID389,SwaptionMonthsToGo+SwaptionShift))*SUM(INDEX($FK$325:$ID$396,GW$169,1+SwaptionShift):INDEX($FK$325:$ID$396,GW$169,SwaptionMonthsToGo+SwaptionShift))))))</f>
        <v/>
      </c>
      <c r="GX234" s="479" t="str">
        <f ca="1">IF(OR(GX$169&lt;SwaptionFirstMonthPosition+1,$FJ234&lt;SwaptionFirstMonthPosition+1,GX$169&gt;SwaptionFirstMonthPosition+SwaptionNumOfMonths+1,$FJ234&gt;SwaptionFirstMonthPosition+SwaptionNumOfMonths+1),"",IF($FJ234=GX$169,1,IF($FJ234&lt;GX$169,INDEX($FK$170:$ID$241,GX$169,$FJ234),SUMPRODUCT(INDEX($FK$325:$ID$396,GX$169,1+SwaptionShift):INDEX($FK$325:$ID$396,GX$169,SwaptionMonthsToGo+SwaptionShift),INDEX($FK$245:$ID$316,$FJ234-GX$169,73-GX$169+SwaptionShift):INDEX($FK$245:$ID$316,$FJ234-GX$169,72-GX$169+SwaptionMonthsToGo+SwaptionShift))/SQRT(SUM(INDEX($FK389:$ID389,1+SwaptionShift):INDEX($FK389:$ID389,SwaptionMonthsToGo+SwaptionShift))*SUM(INDEX($FK$325:$ID$396,GX$169,1+SwaptionShift):INDEX($FK$325:$ID$396,GX$169,SwaptionMonthsToGo+SwaptionShift))))))</f>
        <v/>
      </c>
      <c r="GY234" s="479" t="str">
        <f ca="1">IF(OR(GY$169&lt;SwaptionFirstMonthPosition+1,$FJ234&lt;SwaptionFirstMonthPosition+1,GY$169&gt;SwaptionFirstMonthPosition+SwaptionNumOfMonths+1,$FJ234&gt;SwaptionFirstMonthPosition+SwaptionNumOfMonths+1),"",IF($FJ234=GY$169,1,IF($FJ234&lt;GY$169,INDEX($FK$170:$ID$241,GY$169,$FJ234),SUMPRODUCT(INDEX($FK$325:$ID$396,GY$169,1+SwaptionShift):INDEX($FK$325:$ID$396,GY$169,SwaptionMonthsToGo+SwaptionShift),INDEX($FK$245:$ID$316,$FJ234-GY$169,73-GY$169+SwaptionShift):INDEX($FK$245:$ID$316,$FJ234-GY$169,72-GY$169+SwaptionMonthsToGo+SwaptionShift))/SQRT(SUM(INDEX($FK389:$ID389,1+SwaptionShift):INDEX($FK389:$ID389,SwaptionMonthsToGo+SwaptionShift))*SUM(INDEX($FK$325:$ID$396,GY$169,1+SwaptionShift):INDEX($FK$325:$ID$396,GY$169,SwaptionMonthsToGo+SwaptionShift))))))</f>
        <v/>
      </c>
      <c r="GZ234" s="479" t="str">
        <f ca="1">IF(OR(GZ$169&lt;SwaptionFirstMonthPosition+1,$FJ234&lt;SwaptionFirstMonthPosition+1,GZ$169&gt;SwaptionFirstMonthPosition+SwaptionNumOfMonths+1,$FJ234&gt;SwaptionFirstMonthPosition+SwaptionNumOfMonths+1),"",IF($FJ234=GZ$169,1,IF($FJ234&lt;GZ$169,INDEX($FK$170:$ID$241,GZ$169,$FJ234),SUMPRODUCT(INDEX($FK$325:$ID$396,GZ$169,1+SwaptionShift):INDEX($FK$325:$ID$396,GZ$169,SwaptionMonthsToGo+SwaptionShift),INDEX($FK$245:$ID$316,$FJ234-GZ$169,73-GZ$169+SwaptionShift):INDEX($FK$245:$ID$316,$FJ234-GZ$169,72-GZ$169+SwaptionMonthsToGo+SwaptionShift))/SQRT(SUM(INDEX($FK389:$ID389,1+SwaptionShift):INDEX($FK389:$ID389,SwaptionMonthsToGo+SwaptionShift))*SUM(INDEX($FK$325:$ID$396,GZ$169,1+SwaptionShift):INDEX($FK$325:$ID$396,GZ$169,SwaptionMonthsToGo+SwaptionShift))))))</f>
        <v/>
      </c>
      <c r="HA234" s="479" t="str">
        <f ca="1">IF(OR(HA$169&lt;SwaptionFirstMonthPosition+1,$FJ234&lt;SwaptionFirstMonthPosition+1,HA$169&gt;SwaptionFirstMonthPosition+SwaptionNumOfMonths+1,$FJ234&gt;SwaptionFirstMonthPosition+SwaptionNumOfMonths+1),"",IF($FJ234=HA$169,1,IF($FJ234&lt;HA$169,INDEX($FK$170:$ID$241,HA$169,$FJ234),SUMPRODUCT(INDEX($FK$325:$ID$396,HA$169,1+SwaptionShift):INDEX($FK$325:$ID$396,HA$169,SwaptionMonthsToGo+SwaptionShift),INDEX($FK$245:$ID$316,$FJ234-HA$169,73-HA$169+SwaptionShift):INDEX($FK$245:$ID$316,$FJ234-HA$169,72-HA$169+SwaptionMonthsToGo+SwaptionShift))/SQRT(SUM(INDEX($FK389:$ID389,1+SwaptionShift):INDEX($FK389:$ID389,SwaptionMonthsToGo+SwaptionShift))*SUM(INDEX($FK$325:$ID$396,HA$169,1+SwaptionShift):INDEX($FK$325:$ID$396,HA$169,SwaptionMonthsToGo+SwaptionShift))))))</f>
        <v/>
      </c>
      <c r="HB234" s="479" t="str">
        <f ca="1">IF(OR(HB$169&lt;SwaptionFirstMonthPosition+1,$FJ234&lt;SwaptionFirstMonthPosition+1,HB$169&gt;SwaptionFirstMonthPosition+SwaptionNumOfMonths+1,$FJ234&gt;SwaptionFirstMonthPosition+SwaptionNumOfMonths+1),"",IF($FJ234=HB$169,1,IF($FJ234&lt;HB$169,INDEX($FK$170:$ID$241,HB$169,$FJ234),SUMPRODUCT(INDEX($FK$325:$ID$396,HB$169,1+SwaptionShift):INDEX($FK$325:$ID$396,HB$169,SwaptionMonthsToGo+SwaptionShift),INDEX($FK$245:$ID$316,$FJ234-HB$169,73-HB$169+SwaptionShift):INDEX($FK$245:$ID$316,$FJ234-HB$169,72-HB$169+SwaptionMonthsToGo+SwaptionShift))/SQRT(SUM(INDEX($FK389:$ID389,1+SwaptionShift):INDEX($FK389:$ID389,SwaptionMonthsToGo+SwaptionShift))*SUM(INDEX($FK$325:$ID$396,HB$169,1+SwaptionShift):INDEX($FK$325:$ID$396,HB$169,SwaptionMonthsToGo+SwaptionShift))))))</f>
        <v/>
      </c>
      <c r="HC234" s="479" t="str">
        <f ca="1">IF(OR(HC$169&lt;SwaptionFirstMonthPosition+1,$FJ234&lt;SwaptionFirstMonthPosition+1,HC$169&gt;SwaptionFirstMonthPosition+SwaptionNumOfMonths+1,$FJ234&gt;SwaptionFirstMonthPosition+SwaptionNumOfMonths+1),"",IF($FJ234=HC$169,1,IF($FJ234&lt;HC$169,INDEX($FK$170:$ID$241,HC$169,$FJ234),SUMPRODUCT(INDEX($FK$325:$ID$396,HC$169,1+SwaptionShift):INDEX($FK$325:$ID$396,HC$169,SwaptionMonthsToGo+SwaptionShift),INDEX($FK$245:$ID$316,$FJ234-HC$169,73-HC$169+SwaptionShift):INDEX($FK$245:$ID$316,$FJ234-HC$169,72-HC$169+SwaptionMonthsToGo+SwaptionShift))/SQRT(SUM(INDEX($FK389:$ID389,1+SwaptionShift):INDEX($FK389:$ID389,SwaptionMonthsToGo+SwaptionShift))*SUM(INDEX($FK$325:$ID$396,HC$169,1+SwaptionShift):INDEX($FK$325:$ID$396,HC$169,SwaptionMonthsToGo+SwaptionShift))))))</f>
        <v/>
      </c>
      <c r="HD234" s="479" t="str">
        <f ca="1">IF(OR(HD$169&lt;SwaptionFirstMonthPosition+1,$FJ234&lt;SwaptionFirstMonthPosition+1,HD$169&gt;SwaptionFirstMonthPosition+SwaptionNumOfMonths+1,$FJ234&gt;SwaptionFirstMonthPosition+SwaptionNumOfMonths+1),"",IF($FJ234=HD$169,1,IF($FJ234&lt;HD$169,INDEX($FK$170:$ID$241,HD$169,$FJ234),SUMPRODUCT(INDEX($FK$325:$ID$396,HD$169,1+SwaptionShift):INDEX($FK$325:$ID$396,HD$169,SwaptionMonthsToGo+SwaptionShift),INDEX($FK$245:$ID$316,$FJ234-HD$169,73-HD$169+SwaptionShift):INDEX($FK$245:$ID$316,$FJ234-HD$169,72-HD$169+SwaptionMonthsToGo+SwaptionShift))/SQRT(SUM(INDEX($FK389:$ID389,1+SwaptionShift):INDEX($FK389:$ID389,SwaptionMonthsToGo+SwaptionShift))*SUM(INDEX($FK$325:$ID$396,HD$169,1+SwaptionShift):INDEX($FK$325:$ID$396,HD$169,SwaptionMonthsToGo+SwaptionShift))))))</f>
        <v/>
      </c>
      <c r="HE234" s="479" t="str">
        <f ca="1">IF(OR(HE$169&lt;SwaptionFirstMonthPosition+1,$FJ234&lt;SwaptionFirstMonthPosition+1,HE$169&gt;SwaptionFirstMonthPosition+SwaptionNumOfMonths+1,$FJ234&gt;SwaptionFirstMonthPosition+SwaptionNumOfMonths+1),"",IF($FJ234=HE$169,1,IF($FJ234&lt;HE$169,INDEX($FK$170:$ID$241,HE$169,$FJ234),SUMPRODUCT(INDEX($FK$325:$ID$396,HE$169,1+SwaptionShift):INDEX($FK$325:$ID$396,HE$169,SwaptionMonthsToGo+SwaptionShift),INDEX($FK$245:$ID$316,$FJ234-HE$169,73-HE$169+SwaptionShift):INDEX($FK$245:$ID$316,$FJ234-HE$169,72-HE$169+SwaptionMonthsToGo+SwaptionShift))/SQRT(SUM(INDEX($FK389:$ID389,1+SwaptionShift):INDEX($FK389:$ID389,SwaptionMonthsToGo+SwaptionShift))*SUM(INDEX($FK$325:$ID$396,HE$169,1+SwaptionShift):INDEX($FK$325:$ID$396,HE$169,SwaptionMonthsToGo+SwaptionShift))))))</f>
        <v/>
      </c>
      <c r="HF234" s="479" t="str">
        <f ca="1">IF(OR(HF$169&lt;SwaptionFirstMonthPosition+1,$FJ234&lt;SwaptionFirstMonthPosition+1,HF$169&gt;SwaptionFirstMonthPosition+SwaptionNumOfMonths+1,$FJ234&gt;SwaptionFirstMonthPosition+SwaptionNumOfMonths+1),"",IF($FJ234=HF$169,1,IF($FJ234&lt;HF$169,INDEX($FK$170:$ID$241,HF$169,$FJ234),SUMPRODUCT(INDEX($FK$325:$ID$396,HF$169,1+SwaptionShift):INDEX($FK$325:$ID$396,HF$169,SwaptionMonthsToGo+SwaptionShift),INDEX($FK$245:$ID$316,$FJ234-HF$169,73-HF$169+SwaptionShift):INDEX($FK$245:$ID$316,$FJ234-HF$169,72-HF$169+SwaptionMonthsToGo+SwaptionShift))/SQRT(SUM(INDEX($FK389:$ID389,1+SwaptionShift):INDEX($FK389:$ID389,SwaptionMonthsToGo+SwaptionShift))*SUM(INDEX($FK$325:$ID$396,HF$169,1+SwaptionShift):INDEX($FK$325:$ID$396,HF$169,SwaptionMonthsToGo+SwaptionShift))))))</f>
        <v/>
      </c>
      <c r="HG234" s="479" t="str">
        <f ca="1">IF(OR(HG$169&lt;SwaptionFirstMonthPosition+1,$FJ234&lt;SwaptionFirstMonthPosition+1,HG$169&gt;SwaptionFirstMonthPosition+SwaptionNumOfMonths+1,$FJ234&gt;SwaptionFirstMonthPosition+SwaptionNumOfMonths+1),"",IF($FJ234=HG$169,1,IF($FJ234&lt;HG$169,INDEX($FK$170:$ID$241,HG$169,$FJ234),SUMPRODUCT(INDEX($FK$325:$ID$396,HG$169,1+SwaptionShift):INDEX($FK$325:$ID$396,HG$169,SwaptionMonthsToGo+SwaptionShift),INDEX($FK$245:$ID$316,$FJ234-HG$169,73-HG$169+SwaptionShift):INDEX($FK$245:$ID$316,$FJ234-HG$169,72-HG$169+SwaptionMonthsToGo+SwaptionShift))/SQRT(SUM(INDEX($FK389:$ID389,1+SwaptionShift):INDEX($FK389:$ID389,SwaptionMonthsToGo+SwaptionShift))*SUM(INDEX($FK$325:$ID$396,HG$169,1+SwaptionShift):INDEX($FK$325:$ID$396,HG$169,SwaptionMonthsToGo+SwaptionShift))))))</f>
        <v/>
      </c>
      <c r="HH234" s="479" t="str">
        <f ca="1">IF(OR(HH$169&lt;SwaptionFirstMonthPosition+1,$FJ234&lt;SwaptionFirstMonthPosition+1,HH$169&gt;SwaptionFirstMonthPosition+SwaptionNumOfMonths+1,$FJ234&gt;SwaptionFirstMonthPosition+SwaptionNumOfMonths+1),"",IF($FJ234=HH$169,1,IF($FJ234&lt;HH$169,INDEX($FK$170:$ID$241,HH$169,$FJ234),SUMPRODUCT(INDEX($FK$325:$ID$396,HH$169,1+SwaptionShift):INDEX($FK$325:$ID$396,HH$169,SwaptionMonthsToGo+SwaptionShift),INDEX($FK$245:$ID$316,$FJ234-HH$169,73-HH$169+SwaptionShift):INDEX($FK$245:$ID$316,$FJ234-HH$169,72-HH$169+SwaptionMonthsToGo+SwaptionShift))/SQRT(SUM(INDEX($FK389:$ID389,1+SwaptionShift):INDEX($FK389:$ID389,SwaptionMonthsToGo+SwaptionShift))*SUM(INDEX($FK$325:$ID$396,HH$169,1+SwaptionShift):INDEX($FK$325:$ID$396,HH$169,SwaptionMonthsToGo+SwaptionShift))))))</f>
        <v/>
      </c>
      <c r="HI234" s="479" t="str">
        <f ca="1">IF(OR(HI$169&lt;SwaptionFirstMonthPosition+1,$FJ234&lt;SwaptionFirstMonthPosition+1,HI$169&gt;SwaptionFirstMonthPosition+SwaptionNumOfMonths+1,$FJ234&gt;SwaptionFirstMonthPosition+SwaptionNumOfMonths+1),"",IF($FJ234=HI$169,1,IF($FJ234&lt;HI$169,INDEX($FK$170:$ID$241,HI$169,$FJ234),SUMPRODUCT(INDEX($FK$325:$ID$396,HI$169,1+SwaptionShift):INDEX($FK$325:$ID$396,HI$169,SwaptionMonthsToGo+SwaptionShift),INDEX($FK$245:$ID$316,$FJ234-HI$169,73-HI$169+SwaptionShift):INDEX($FK$245:$ID$316,$FJ234-HI$169,72-HI$169+SwaptionMonthsToGo+SwaptionShift))/SQRT(SUM(INDEX($FK389:$ID389,1+SwaptionShift):INDEX($FK389:$ID389,SwaptionMonthsToGo+SwaptionShift))*SUM(INDEX($FK$325:$ID$396,HI$169,1+SwaptionShift):INDEX($FK$325:$ID$396,HI$169,SwaptionMonthsToGo+SwaptionShift))))))</f>
        <v/>
      </c>
      <c r="HJ234" s="479" t="str">
        <f ca="1">IF(OR(HJ$169&lt;SwaptionFirstMonthPosition+1,$FJ234&lt;SwaptionFirstMonthPosition+1,HJ$169&gt;SwaptionFirstMonthPosition+SwaptionNumOfMonths+1,$FJ234&gt;SwaptionFirstMonthPosition+SwaptionNumOfMonths+1),"",IF($FJ234=HJ$169,1,IF($FJ234&lt;HJ$169,INDEX($FK$170:$ID$241,HJ$169,$FJ234),SUMPRODUCT(INDEX($FK$325:$ID$396,HJ$169,1+SwaptionShift):INDEX($FK$325:$ID$396,HJ$169,SwaptionMonthsToGo+SwaptionShift),INDEX($FK$245:$ID$316,$FJ234-HJ$169,73-HJ$169+SwaptionShift):INDEX($FK$245:$ID$316,$FJ234-HJ$169,72-HJ$169+SwaptionMonthsToGo+SwaptionShift))/SQRT(SUM(INDEX($FK389:$ID389,1+SwaptionShift):INDEX($FK389:$ID389,SwaptionMonthsToGo+SwaptionShift))*SUM(INDEX($FK$325:$ID$396,HJ$169,1+SwaptionShift):INDEX($FK$325:$ID$396,HJ$169,SwaptionMonthsToGo+SwaptionShift))))))</f>
        <v/>
      </c>
      <c r="HK234" s="479" t="str">
        <f ca="1">IF(OR(HK$169&lt;SwaptionFirstMonthPosition+1,$FJ234&lt;SwaptionFirstMonthPosition+1,HK$169&gt;SwaptionFirstMonthPosition+SwaptionNumOfMonths+1,$FJ234&gt;SwaptionFirstMonthPosition+SwaptionNumOfMonths+1),"",IF($FJ234=HK$169,1,IF($FJ234&lt;HK$169,INDEX($FK$170:$ID$241,HK$169,$FJ234),SUMPRODUCT(INDEX($FK$325:$ID$396,HK$169,1+SwaptionShift):INDEX($FK$325:$ID$396,HK$169,SwaptionMonthsToGo+SwaptionShift),INDEX($FK$245:$ID$316,$FJ234-HK$169,73-HK$169+SwaptionShift):INDEX($FK$245:$ID$316,$FJ234-HK$169,72-HK$169+SwaptionMonthsToGo+SwaptionShift))/SQRT(SUM(INDEX($FK389:$ID389,1+SwaptionShift):INDEX($FK389:$ID389,SwaptionMonthsToGo+SwaptionShift))*SUM(INDEX($FK$325:$ID$396,HK$169,1+SwaptionShift):INDEX($FK$325:$ID$396,HK$169,SwaptionMonthsToGo+SwaptionShift))))))</f>
        <v/>
      </c>
      <c r="HL234" s="479" t="str">
        <f ca="1">IF(OR(HL$169&lt;SwaptionFirstMonthPosition+1,$FJ234&lt;SwaptionFirstMonthPosition+1,HL$169&gt;SwaptionFirstMonthPosition+SwaptionNumOfMonths+1,$FJ234&gt;SwaptionFirstMonthPosition+SwaptionNumOfMonths+1),"",IF($FJ234=HL$169,1,IF($FJ234&lt;HL$169,INDEX($FK$170:$ID$241,HL$169,$FJ234),SUMPRODUCT(INDEX($FK$325:$ID$396,HL$169,1+SwaptionShift):INDEX($FK$325:$ID$396,HL$169,SwaptionMonthsToGo+SwaptionShift),INDEX($FK$245:$ID$316,$FJ234-HL$169,73-HL$169+SwaptionShift):INDEX($FK$245:$ID$316,$FJ234-HL$169,72-HL$169+SwaptionMonthsToGo+SwaptionShift))/SQRT(SUM(INDEX($FK389:$ID389,1+SwaptionShift):INDEX($FK389:$ID389,SwaptionMonthsToGo+SwaptionShift))*SUM(INDEX($FK$325:$ID$396,HL$169,1+SwaptionShift):INDEX($FK$325:$ID$396,HL$169,SwaptionMonthsToGo+SwaptionShift))))))</f>
        <v/>
      </c>
      <c r="HM234" s="479" t="str">
        <f ca="1">IF(OR(HM$169&lt;SwaptionFirstMonthPosition+1,$FJ234&lt;SwaptionFirstMonthPosition+1,HM$169&gt;SwaptionFirstMonthPosition+SwaptionNumOfMonths+1,$FJ234&gt;SwaptionFirstMonthPosition+SwaptionNumOfMonths+1),"",IF($FJ234=HM$169,1,IF($FJ234&lt;HM$169,INDEX($FK$170:$ID$241,HM$169,$FJ234),SUMPRODUCT(INDEX($FK$325:$ID$396,HM$169,1+SwaptionShift):INDEX($FK$325:$ID$396,HM$169,SwaptionMonthsToGo+SwaptionShift),INDEX($FK$245:$ID$316,$FJ234-HM$169,73-HM$169+SwaptionShift):INDEX($FK$245:$ID$316,$FJ234-HM$169,72-HM$169+SwaptionMonthsToGo+SwaptionShift))/SQRT(SUM(INDEX($FK389:$ID389,1+SwaptionShift):INDEX($FK389:$ID389,SwaptionMonthsToGo+SwaptionShift))*SUM(INDEX($FK$325:$ID$396,HM$169,1+SwaptionShift):INDEX($FK$325:$ID$396,HM$169,SwaptionMonthsToGo+SwaptionShift))))))</f>
        <v/>
      </c>
      <c r="HN234" s="479" t="str">
        <f ca="1">IF(OR(HN$169&lt;SwaptionFirstMonthPosition+1,$FJ234&lt;SwaptionFirstMonthPosition+1,HN$169&gt;SwaptionFirstMonthPosition+SwaptionNumOfMonths+1,$FJ234&gt;SwaptionFirstMonthPosition+SwaptionNumOfMonths+1),"",IF($FJ234=HN$169,1,IF($FJ234&lt;HN$169,INDEX($FK$170:$ID$241,HN$169,$FJ234),SUMPRODUCT(INDEX($FK$325:$ID$396,HN$169,1+SwaptionShift):INDEX($FK$325:$ID$396,HN$169,SwaptionMonthsToGo+SwaptionShift),INDEX($FK$245:$ID$316,$FJ234-HN$169,73-HN$169+SwaptionShift):INDEX($FK$245:$ID$316,$FJ234-HN$169,72-HN$169+SwaptionMonthsToGo+SwaptionShift))/SQRT(SUM(INDEX($FK389:$ID389,1+SwaptionShift):INDEX($FK389:$ID389,SwaptionMonthsToGo+SwaptionShift))*SUM(INDEX($FK$325:$ID$396,HN$169,1+SwaptionShift):INDEX($FK$325:$ID$396,HN$169,SwaptionMonthsToGo+SwaptionShift))))))</f>
        <v/>
      </c>
      <c r="HO234" s="479" t="str">
        <f ca="1">IF(OR(HO$169&lt;SwaptionFirstMonthPosition+1,$FJ234&lt;SwaptionFirstMonthPosition+1,HO$169&gt;SwaptionFirstMonthPosition+SwaptionNumOfMonths+1,$FJ234&gt;SwaptionFirstMonthPosition+SwaptionNumOfMonths+1),"",IF($FJ234=HO$169,1,IF($FJ234&lt;HO$169,INDEX($FK$170:$ID$241,HO$169,$FJ234),SUMPRODUCT(INDEX($FK$325:$ID$396,HO$169,1+SwaptionShift):INDEX($FK$325:$ID$396,HO$169,SwaptionMonthsToGo+SwaptionShift),INDEX($FK$245:$ID$316,$FJ234-HO$169,73-HO$169+SwaptionShift):INDEX($FK$245:$ID$316,$FJ234-HO$169,72-HO$169+SwaptionMonthsToGo+SwaptionShift))/SQRT(SUM(INDEX($FK389:$ID389,1+SwaptionShift):INDEX($FK389:$ID389,SwaptionMonthsToGo+SwaptionShift))*SUM(INDEX($FK$325:$ID$396,HO$169,1+SwaptionShift):INDEX($FK$325:$ID$396,HO$169,SwaptionMonthsToGo+SwaptionShift))))))</f>
        <v/>
      </c>
      <c r="HP234" s="479" t="str">
        <f ca="1">IF(OR(HP$169&lt;SwaptionFirstMonthPosition+1,$FJ234&lt;SwaptionFirstMonthPosition+1,HP$169&gt;SwaptionFirstMonthPosition+SwaptionNumOfMonths+1,$FJ234&gt;SwaptionFirstMonthPosition+SwaptionNumOfMonths+1),"",IF($FJ234=HP$169,1,IF($FJ234&lt;HP$169,INDEX($FK$170:$ID$241,HP$169,$FJ234),SUMPRODUCT(INDEX($FK$325:$ID$396,HP$169,1+SwaptionShift):INDEX($FK$325:$ID$396,HP$169,SwaptionMonthsToGo+SwaptionShift),INDEX($FK$245:$ID$316,$FJ234-HP$169,73-HP$169+SwaptionShift):INDEX($FK$245:$ID$316,$FJ234-HP$169,72-HP$169+SwaptionMonthsToGo+SwaptionShift))/SQRT(SUM(INDEX($FK389:$ID389,1+SwaptionShift):INDEX($FK389:$ID389,SwaptionMonthsToGo+SwaptionShift))*SUM(INDEX($FK$325:$ID$396,HP$169,1+SwaptionShift):INDEX($FK$325:$ID$396,HP$169,SwaptionMonthsToGo+SwaptionShift))))))</f>
        <v/>
      </c>
      <c r="HQ234" s="479" t="str">
        <f ca="1">IF(OR(HQ$169&lt;SwaptionFirstMonthPosition+1,$FJ234&lt;SwaptionFirstMonthPosition+1,HQ$169&gt;SwaptionFirstMonthPosition+SwaptionNumOfMonths+1,$FJ234&gt;SwaptionFirstMonthPosition+SwaptionNumOfMonths+1),"",IF($FJ234=HQ$169,1,IF($FJ234&lt;HQ$169,INDEX($FK$170:$ID$241,HQ$169,$FJ234),SUMPRODUCT(INDEX($FK$325:$ID$396,HQ$169,1+SwaptionShift):INDEX($FK$325:$ID$396,HQ$169,SwaptionMonthsToGo+SwaptionShift),INDEX($FK$245:$ID$316,$FJ234-HQ$169,73-HQ$169+SwaptionShift):INDEX($FK$245:$ID$316,$FJ234-HQ$169,72-HQ$169+SwaptionMonthsToGo+SwaptionShift))/SQRT(SUM(INDEX($FK389:$ID389,1+SwaptionShift):INDEX($FK389:$ID389,SwaptionMonthsToGo+SwaptionShift))*SUM(INDEX($FK$325:$ID$396,HQ$169,1+SwaptionShift):INDEX($FK$325:$ID$396,HQ$169,SwaptionMonthsToGo+SwaptionShift))))))</f>
        <v/>
      </c>
      <c r="HR234" s="479" t="str">
        <f ca="1">IF(OR(HR$169&lt;SwaptionFirstMonthPosition+1,$FJ234&lt;SwaptionFirstMonthPosition+1,HR$169&gt;SwaptionFirstMonthPosition+SwaptionNumOfMonths+1,$FJ234&gt;SwaptionFirstMonthPosition+SwaptionNumOfMonths+1),"",IF($FJ234=HR$169,1,IF($FJ234&lt;HR$169,INDEX($FK$170:$ID$241,HR$169,$FJ234),SUMPRODUCT(INDEX($FK$325:$ID$396,HR$169,1+SwaptionShift):INDEX($FK$325:$ID$396,HR$169,SwaptionMonthsToGo+SwaptionShift),INDEX($FK$245:$ID$316,$FJ234-HR$169,73-HR$169+SwaptionShift):INDEX($FK$245:$ID$316,$FJ234-HR$169,72-HR$169+SwaptionMonthsToGo+SwaptionShift))/SQRT(SUM(INDEX($FK389:$ID389,1+SwaptionShift):INDEX($FK389:$ID389,SwaptionMonthsToGo+SwaptionShift))*SUM(INDEX($FK$325:$ID$396,HR$169,1+SwaptionShift):INDEX($FK$325:$ID$396,HR$169,SwaptionMonthsToGo+SwaptionShift))))))</f>
        <v/>
      </c>
      <c r="HS234" s="479" t="str">
        <f ca="1">IF(OR(HS$169&lt;SwaptionFirstMonthPosition+1,$FJ234&lt;SwaptionFirstMonthPosition+1,HS$169&gt;SwaptionFirstMonthPosition+SwaptionNumOfMonths+1,$FJ234&gt;SwaptionFirstMonthPosition+SwaptionNumOfMonths+1),"",IF($FJ234=HS$169,1,IF($FJ234&lt;HS$169,INDEX($FK$170:$ID$241,HS$169,$FJ234),SUMPRODUCT(INDEX($FK$325:$ID$396,HS$169,1+SwaptionShift):INDEX($FK$325:$ID$396,HS$169,SwaptionMonthsToGo+SwaptionShift),INDEX($FK$245:$ID$316,$FJ234-HS$169,73-HS$169+SwaptionShift):INDEX($FK$245:$ID$316,$FJ234-HS$169,72-HS$169+SwaptionMonthsToGo+SwaptionShift))/SQRT(SUM(INDEX($FK389:$ID389,1+SwaptionShift):INDEX($FK389:$ID389,SwaptionMonthsToGo+SwaptionShift))*SUM(INDEX($FK$325:$ID$396,HS$169,1+SwaptionShift):INDEX($FK$325:$ID$396,HS$169,SwaptionMonthsToGo+SwaptionShift))))))</f>
        <v/>
      </c>
      <c r="HT234" s="479" t="str">
        <f ca="1">IF(OR(HT$169&lt;SwaptionFirstMonthPosition+1,$FJ234&lt;SwaptionFirstMonthPosition+1,HT$169&gt;SwaptionFirstMonthPosition+SwaptionNumOfMonths+1,$FJ234&gt;SwaptionFirstMonthPosition+SwaptionNumOfMonths+1),"",IF($FJ234=HT$169,1,IF($FJ234&lt;HT$169,INDEX($FK$170:$ID$241,HT$169,$FJ234),SUMPRODUCT(INDEX($FK$325:$ID$396,HT$169,1+SwaptionShift):INDEX($FK$325:$ID$396,HT$169,SwaptionMonthsToGo+SwaptionShift),INDEX($FK$245:$ID$316,$FJ234-HT$169,73-HT$169+SwaptionShift):INDEX($FK$245:$ID$316,$FJ234-HT$169,72-HT$169+SwaptionMonthsToGo+SwaptionShift))/SQRT(SUM(INDEX($FK389:$ID389,1+SwaptionShift):INDEX($FK389:$ID389,SwaptionMonthsToGo+SwaptionShift))*SUM(INDEX($FK$325:$ID$396,HT$169,1+SwaptionShift):INDEX($FK$325:$ID$396,HT$169,SwaptionMonthsToGo+SwaptionShift))))))</f>
        <v/>
      </c>
      <c r="HU234" s="479" t="str">
        <f ca="1">IF(OR(HU$169&lt;SwaptionFirstMonthPosition+1,$FJ234&lt;SwaptionFirstMonthPosition+1,HU$169&gt;SwaptionFirstMonthPosition+SwaptionNumOfMonths+1,$FJ234&gt;SwaptionFirstMonthPosition+SwaptionNumOfMonths+1),"",IF($FJ234=HU$169,1,IF($FJ234&lt;HU$169,INDEX($FK$170:$ID$241,HU$169,$FJ234),SUMPRODUCT(INDEX($FK$325:$ID$396,HU$169,1+SwaptionShift):INDEX($FK$325:$ID$396,HU$169,SwaptionMonthsToGo+SwaptionShift),INDEX($FK$245:$ID$316,$FJ234-HU$169,73-HU$169+SwaptionShift):INDEX($FK$245:$ID$316,$FJ234-HU$169,72-HU$169+SwaptionMonthsToGo+SwaptionShift))/SQRT(SUM(INDEX($FK389:$ID389,1+SwaptionShift):INDEX($FK389:$ID389,SwaptionMonthsToGo+SwaptionShift))*SUM(INDEX($FK$325:$ID$396,HU$169,1+SwaptionShift):INDEX($FK$325:$ID$396,HU$169,SwaptionMonthsToGo+SwaptionShift))))))</f>
        <v/>
      </c>
      <c r="HV234" s="479" t="str">
        <f ca="1">IF(OR(HV$169&lt;SwaptionFirstMonthPosition+1,$FJ234&lt;SwaptionFirstMonthPosition+1,HV$169&gt;SwaptionFirstMonthPosition+SwaptionNumOfMonths+1,$FJ234&gt;SwaptionFirstMonthPosition+SwaptionNumOfMonths+1),"",IF($FJ234=HV$169,1,IF($FJ234&lt;HV$169,INDEX($FK$170:$ID$241,HV$169,$FJ234),SUMPRODUCT(INDEX($FK$325:$ID$396,HV$169,1+SwaptionShift):INDEX($FK$325:$ID$396,HV$169,SwaptionMonthsToGo+SwaptionShift),INDEX($FK$245:$ID$316,$FJ234-HV$169,73-HV$169+SwaptionShift):INDEX($FK$245:$ID$316,$FJ234-HV$169,72-HV$169+SwaptionMonthsToGo+SwaptionShift))/SQRT(SUM(INDEX($FK389:$ID389,1+SwaptionShift):INDEX($FK389:$ID389,SwaptionMonthsToGo+SwaptionShift))*SUM(INDEX($FK$325:$ID$396,HV$169,1+SwaptionShift):INDEX($FK$325:$ID$396,HV$169,SwaptionMonthsToGo+SwaptionShift))))))</f>
        <v/>
      </c>
      <c r="HW234" s="479" t="str">
        <f ca="1">IF(OR(HW$169&lt;SwaptionFirstMonthPosition+1,$FJ234&lt;SwaptionFirstMonthPosition+1,HW$169&gt;SwaptionFirstMonthPosition+SwaptionNumOfMonths+1,$FJ234&gt;SwaptionFirstMonthPosition+SwaptionNumOfMonths+1),"",IF($FJ234=HW$169,1,IF($FJ234&lt;HW$169,INDEX($FK$170:$ID$241,HW$169,$FJ234),SUMPRODUCT(INDEX($FK$325:$ID$396,HW$169,1+SwaptionShift):INDEX($FK$325:$ID$396,HW$169,SwaptionMonthsToGo+SwaptionShift),INDEX($FK$245:$ID$316,$FJ234-HW$169,73-HW$169+SwaptionShift):INDEX($FK$245:$ID$316,$FJ234-HW$169,72-HW$169+SwaptionMonthsToGo+SwaptionShift))/SQRT(SUM(INDEX($FK389:$ID389,1+SwaptionShift):INDEX($FK389:$ID389,SwaptionMonthsToGo+SwaptionShift))*SUM(INDEX($FK$325:$ID$396,HW$169,1+SwaptionShift):INDEX($FK$325:$ID$396,HW$169,SwaptionMonthsToGo+SwaptionShift))))))</f>
        <v/>
      </c>
      <c r="HX234" s="479" t="str">
        <f ca="1">IF(OR(HX$169&lt;SwaptionFirstMonthPosition+1,$FJ234&lt;SwaptionFirstMonthPosition+1,HX$169&gt;SwaptionFirstMonthPosition+SwaptionNumOfMonths+1,$FJ234&gt;SwaptionFirstMonthPosition+SwaptionNumOfMonths+1),"",IF($FJ234=HX$169,1,IF($FJ234&lt;HX$169,INDEX($FK$170:$ID$241,HX$169,$FJ234),SUMPRODUCT(INDEX($FK$325:$ID$396,HX$169,1+SwaptionShift):INDEX($FK$325:$ID$396,HX$169,SwaptionMonthsToGo+SwaptionShift),INDEX($FK$245:$ID$316,$FJ234-HX$169,73-HX$169+SwaptionShift):INDEX($FK$245:$ID$316,$FJ234-HX$169,72-HX$169+SwaptionMonthsToGo+SwaptionShift))/SQRT(SUM(INDEX($FK389:$ID389,1+SwaptionShift):INDEX($FK389:$ID389,SwaptionMonthsToGo+SwaptionShift))*SUM(INDEX($FK$325:$ID$396,HX$169,1+SwaptionShift):INDEX($FK$325:$ID$396,HX$169,SwaptionMonthsToGo+SwaptionShift))))))</f>
        <v/>
      </c>
      <c r="HY234" s="479" t="str">
        <f ca="1">IF(OR(HY$169&lt;SwaptionFirstMonthPosition+1,$FJ234&lt;SwaptionFirstMonthPosition+1,HY$169&gt;SwaptionFirstMonthPosition+SwaptionNumOfMonths+1,$FJ234&gt;SwaptionFirstMonthPosition+SwaptionNumOfMonths+1),"",IF($FJ234=HY$169,1,IF($FJ234&lt;HY$169,INDEX($FK$170:$ID$241,HY$169,$FJ234),SUMPRODUCT(INDEX($FK$325:$ID$396,HY$169,1+SwaptionShift):INDEX($FK$325:$ID$396,HY$169,SwaptionMonthsToGo+SwaptionShift),INDEX($FK$245:$ID$316,$FJ234-HY$169,73-HY$169+SwaptionShift):INDEX($FK$245:$ID$316,$FJ234-HY$169,72-HY$169+SwaptionMonthsToGo+SwaptionShift))/SQRT(SUM(INDEX($FK389:$ID389,1+SwaptionShift):INDEX($FK389:$ID389,SwaptionMonthsToGo+SwaptionShift))*SUM(INDEX($FK$325:$ID$396,HY$169,1+SwaptionShift):INDEX($FK$325:$ID$396,HY$169,SwaptionMonthsToGo+SwaptionShift))))))</f>
        <v/>
      </c>
      <c r="HZ234" s="479" t="str">
        <f ca="1">IF(OR(HZ$169&lt;SwaptionFirstMonthPosition+1,$FJ234&lt;SwaptionFirstMonthPosition+1,HZ$169&gt;SwaptionFirstMonthPosition+SwaptionNumOfMonths+1,$FJ234&gt;SwaptionFirstMonthPosition+SwaptionNumOfMonths+1),"",IF($FJ234=HZ$169,1,IF($FJ234&lt;HZ$169,INDEX($FK$170:$ID$241,HZ$169,$FJ234),SUMPRODUCT(INDEX($FK$325:$ID$396,HZ$169,1+SwaptionShift):INDEX($FK$325:$ID$396,HZ$169,SwaptionMonthsToGo+SwaptionShift),INDEX($FK$245:$ID$316,$FJ234-HZ$169,73-HZ$169+SwaptionShift):INDEX($FK$245:$ID$316,$FJ234-HZ$169,72-HZ$169+SwaptionMonthsToGo+SwaptionShift))/SQRT(SUM(INDEX($FK389:$ID389,1+SwaptionShift):INDEX($FK389:$ID389,SwaptionMonthsToGo+SwaptionShift))*SUM(INDEX($FK$325:$ID$396,HZ$169,1+SwaptionShift):INDEX($FK$325:$ID$396,HZ$169,SwaptionMonthsToGo+SwaptionShift))))))</f>
        <v/>
      </c>
      <c r="IA234" s="479" t="str">
        <f ca="1">IF(OR(IA$169&lt;SwaptionFirstMonthPosition+1,$FJ234&lt;SwaptionFirstMonthPosition+1,IA$169&gt;SwaptionFirstMonthPosition+SwaptionNumOfMonths+1,$FJ234&gt;SwaptionFirstMonthPosition+SwaptionNumOfMonths+1),"",IF($FJ234=IA$169,1,IF($FJ234&lt;IA$169,INDEX($FK$170:$ID$241,IA$169,$FJ234),SUMPRODUCT(INDEX($FK$325:$ID$396,IA$169,1+SwaptionShift):INDEX($FK$325:$ID$396,IA$169,SwaptionMonthsToGo+SwaptionShift),INDEX($FK$245:$ID$316,$FJ234-IA$169,73-IA$169+SwaptionShift):INDEX($FK$245:$ID$316,$FJ234-IA$169,72-IA$169+SwaptionMonthsToGo+SwaptionShift))/SQRT(SUM(INDEX($FK389:$ID389,1+SwaptionShift):INDEX($FK389:$ID389,SwaptionMonthsToGo+SwaptionShift))*SUM(INDEX($FK$325:$ID$396,IA$169,1+SwaptionShift):INDEX($FK$325:$ID$396,IA$169,SwaptionMonthsToGo+SwaptionShift))))))</f>
        <v/>
      </c>
      <c r="IB234" s="479" t="str">
        <f ca="1">IF(OR(IB$169&lt;SwaptionFirstMonthPosition+1,$FJ234&lt;SwaptionFirstMonthPosition+1,IB$169&gt;SwaptionFirstMonthPosition+SwaptionNumOfMonths+1,$FJ234&gt;SwaptionFirstMonthPosition+SwaptionNumOfMonths+1),"",IF($FJ234=IB$169,1,IF($FJ234&lt;IB$169,INDEX($FK$170:$ID$241,IB$169,$FJ234),SUMPRODUCT(INDEX($FK$325:$ID$396,IB$169,1+SwaptionShift):INDEX($FK$325:$ID$396,IB$169,SwaptionMonthsToGo+SwaptionShift),INDEX($FK$245:$ID$316,$FJ234-IB$169,73-IB$169+SwaptionShift):INDEX($FK$245:$ID$316,$FJ234-IB$169,72-IB$169+SwaptionMonthsToGo+SwaptionShift))/SQRT(SUM(INDEX($FK389:$ID389,1+SwaptionShift):INDEX($FK389:$ID389,SwaptionMonthsToGo+SwaptionShift))*SUM(INDEX($FK$325:$ID$396,IB$169,1+SwaptionShift):INDEX($FK$325:$ID$396,IB$169,SwaptionMonthsToGo+SwaptionShift))))))</f>
        <v/>
      </c>
      <c r="IC234" s="479" t="str">
        <f ca="1">IF(OR(IC$169&lt;SwaptionFirstMonthPosition+1,$FJ234&lt;SwaptionFirstMonthPosition+1,IC$169&gt;SwaptionFirstMonthPosition+SwaptionNumOfMonths+1,$FJ234&gt;SwaptionFirstMonthPosition+SwaptionNumOfMonths+1),"",IF($FJ234=IC$169,1,IF($FJ234&lt;IC$169,INDEX($FK$170:$ID$241,IC$169,$FJ234),SUMPRODUCT(INDEX($FK$325:$ID$396,IC$169,1+SwaptionShift):INDEX($FK$325:$ID$396,IC$169,SwaptionMonthsToGo+SwaptionShift),INDEX($FK$245:$ID$316,$FJ234-IC$169,73-IC$169+SwaptionShift):INDEX($FK$245:$ID$316,$FJ234-IC$169,72-IC$169+SwaptionMonthsToGo+SwaptionShift))/SQRT(SUM(INDEX($FK389:$ID389,1+SwaptionShift):INDEX($FK389:$ID389,SwaptionMonthsToGo+SwaptionShift))*SUM(INDEX($FK$325:$ID$396,IC$169,1+SwaptionShift):INDEX($FK$325:$ID$396,IC$169,SwaptionMonthsToGo+SwaptionShift))))))</f>
        <v/>
      </c>
      <c r="ID234" s="678" t="str">
        <f ca="1">IF(OR(ID$169&lt;SwaptionFirstMonthPosition+1,$FJ234&lt;SwaptionFirstMonthPosition+1,ID$169&gt;SwaptionFirstMonthPosition+SwaptionNumOfMonths+1,$FJ234&gt;SwaptionFirstMonthPosition+SwaptionNumOfMonths+1),"",IF($FJ234=ID$169,1,IF($FJ234&lt;ID$169,INDEX($FK$170:$ID$241,ID$169,$FJ234),SUMPRODUCT(INDEX($FK$325:$ID$396,ID$169,1+SwaptionShift):INDEX($FK$325:$ID$396,ID$169,SwaptionMonthsToGo+SwaptionShift),INDEX($FK$245:$ID$316,$FJ234-ID$169,73-ID$169+SwaptionShift):INDEX($FK$245:$ID$316,$FJ234-ID$169,72-ID$169+SwaptionMonthsToGo+SwaptionShift))/SQRT(SUM(INDEX($FK389:$ID389,1+SwaptionShift):INDEX($FK389:$ID389,SwaptionMonthsToGo+SwaptionShift))*SUM(INDEX($FK$325:$ID$396,ID$169,1+SwaptionShift):INDEX($FK$325:$ID$396,ID$169,SwaptionMonthsToGo+SwaptionShift))))))</f>
        <v/>
      </c>
      <c r="IE234" s="250"/>
    </row>
    <row r="235" spans="8:239">
      <c r="H235" s="51">
        <f t="shared" ca="1" si="646"/>
        <v>0</v>
      </c>
      <c r="I235" s="379">
        <f t="shared" si="647"/>
        <v>43313</v>
      </c>
      <c r="J235" s="377"/>
      <c r="K235" s="104" t="s">
        <v>268</v>
      </c>
      <c r="L235" s="392">
        <f t="shared" si="648"/>
        <v>5.212499999999995</v>
      </c>
      <c r="M235" s="171"/>
      <c r="N235" s="382">
        <v>0</v>
      </c>
      <c r="O235" s="171">
        <f t="shared" si="596"/>
        <v>0</v>
      </c>
      <c r="P235" s="377"/>
      <c r="Q235" s="104" t="s">
        <v>268</v>
      </c>
      <c r="R235" s="377">
        <f t="shared" ca="1" si="597"/>
        <v>3.8235822224247111</v>
      </c>
      <c r="S235" s="832">
        <f t="shared" si="671"/>
        <v>0.3600000000000001</v>
      </c>
      <c r="T235" s="831">
        <f t="shared" si="661"/>
        <v>0.99999999999999933</v>
      </c>
      <c r="U235" s="545">
        <f t="shared" si="662"/>
        <v>0.99999999999999978</v>
      </c>
      <c r="V235" s="389">
        <v>0</v>
      </c>
      <c r="W235" s="434">
        <f t="shared" si="598"/>
        <v>0</v>
      </c>
      <c r="X235" s="415">
        <f t="shared" si="599"/>
        <v>5.264673913043473</v>
      </c>
      <c r="Y235" s="322">
        <f t="shared" si="600"/>
        <v>-1.2668999999999999</v>
      </c>
      <c r="Z235" s="322">
        <f t="shared" ca="1" si="601"/>
        <v>3.9977739130434733</v>
      </c>
      <c r="AA235" s="429">
        <f t="shared" si="628"/>
        <v>1.2668999999999999</v>
      </c>
      <c r="AB235" s="433">
        <f t="shared" ca="1" si="629"/>
        <v>1.2668999999999999</v>
      </c>
      <c r="AC235" s="229">
        <v>43301</v>
      </c>
      <c r="AD235" s="229">
        <v>43297</v>
      </c>
      <c r="AE235" s="229">
        <v>43296</v>
      </c>
      <c r="AF235" s="229">
        <v>43292</v>
      </c>
      <c r="AG235" s="249" t="s">
        <v>499</v>
      </c>
      <c r="AH235" s="247" t="s">
        <v>499</v>
      </c>
      <c r="AI235" s="146">
        <v>23</v>
      </c>
      <c r="AJ235" s="41">
        <v>14</v>
      </c>
      <c r="AK235" s="41">
        <v>9</v>
      </c>
      <c r="AL235" s="293">
        <v>23</v>
      </c>
      <c r="AM235" s="41">
        <v>10</v>
      </c>
      <c r="AN235" s="147">
        <v>13</v>
      </c>
      <c r="AO235" s="374"/>
      <c r="AP235" s="153">
        <f t="shared" ca="1" si="649"/>
        <v>1</v>
      </c>
      <c r="AQ235" s="374"/>
      <c r="AR235" s="153">
        <f t="shared" ca="1" si="663"/>
        <v>1</v>
      </c>
      <c r="AS235" s="272">
        <f t="shared" si="602"/>
        <v>0</v>
      </c>
      <c r="AT235" s="157">
        <f t="shared" si="650"/>
        <v>0</v>
      </c>
      <c r="AU235" s="157">
        <f t="shared" si="630"/>
        <v>0</v>
      </c>
      <c r="AV235" s="271">
        <f t="shared" ca="1" si="670"/>
        <v>9.9999999999999995E-7</v>
      </c>
      <c r="AW235" s="158" t="str">
        <f t="shared" ca="1" si="583"/>
        <v/>
      </c>
      <c r="AX235" s="157">
        <f t="shared" ca="1" si="664"/>
        <v>1.7922792656311918E-5</v>
      </c>
      <c r="AY235" s="157">
        <f t="shared" ca="1" si="665"/>
        <v>3.307342544192826E-6</v>
      </c>
      <c r="AZ235" s="157">
        <f t="shared" ca="1" si="666"/>
        <v>5.9069698661825284E-8</v>
      </c>
      <c r="BA235" s="157">
        <f t="shared" ca="1" si="667"/>
        <v>7.3837123327281605E-9</v>
      </c>
      <c r="BB235" s="157">
        <f t="shared" ca="1" si="668"/>
        <v>1.1028062097777096E-11</v>
      </c>
      <c r="BC235" s="157">
        <f t="shared" ca="1" si="669"/>
        <v>1.0903841562494936E-13</v>
      </c>
      <c r="BD235" s="151">
        <f t="shared" ca="1" si="603"/>
        <v>0</v>
      </c>
      <c r="BE235" s="152">
        <f t="shared" ca="1" si="604"/>
        <v>0</v>
      </c>
      <c r="BF235" s="40">
        <f t="shared" si="605"/>
        <v>2018</v>
      </c>
      <c r="BG235" s="144">
        <f t="shared" si="606"/>
        <v>8</v>
      </c>
      <c r="BH235" s="145">
        <f t="shared" ca="1" si="607"/>
        <v>6552</v>
      </c>
      <c r="BI235" s="313">
        <f t="shared" ca="1" si="608"/>
        <v>17.982203969883642</v>
      </c>
      <c r="BJ235" s="42">
        <f t="shared" ca="1" si="631"/>
        <v>18.032199505996491</v>
      </c>
      <c r="BK235" s="42">
        <f t="shared" ca="1" si="632"/>
        <v>18.034937356783622</v>
      </c>
      <c r="BL235" s="42">
        <f t="shared" ca="1" si="609"/>
        <v>18.064339493497606</v>
      </c>
      <c r="BM235" s="150" t="e">
        <f t="shared" ca="1" si="633"/>
        <v>#DIV/0!</v>
      </c>
      <c r="BN235" s="42" t="e">
        <f t="shared" ca="1" si="634"/>
        <v>#DIV/0!</v>
      </c>
      <c r="BO235" s="293">
        <f t="shared" si="610"/>
        <v>23</v>
      </c>
      <c r="BP235" s="41">
        <f t="shared" si="611"/>
        <v>14</v>
      </c>
      <c r="BQ235" s="41">
        <f t="shared" si="612"/>
        <v>9</v>
      </c>
      <c r="BR235" s="305" t="str">
        <f t="shared" ca="1" si="635"/>
        <v/>
      </c>
      <c r="BS235" s="305" t="str">
        <f t="shared" ca="1" si="613"/>
        <v/>
      </c>
      <c r="BT235" s="307" t="str">
        <f t="shared" ca="1" si="614"/>
        <v/>
      </c>
      <c r="BU235" s="161" t="str">
        <f t="shared" ca="1" si="636"/>
        <v/>
      </c>
      <c r="BV235" s="161" t="str">
        <f t="shared" ca="1" si="637"/>
        <v/>
      </c>
      <c r="BW235" s="308" t="str">
        <f t="shared" ca="1" si="638"/>
        <v/>
      </c>
      <c r="BX235" s="309" t="str">
        <f t="shared" ca="1" si="639"/>
        <v/>
      </c>
      <c r="BY235" s="308" t="str">
        <f t="shared" ca="1" si="615"/>
        <v/>
      </c>
      <c r="BZ235" s="309" t="str">
        <f t="shared" ca="1" si="616"/>
        <v/>
      </c>
      <c r="CA235" s="154" t="str">
        <f t="shared" ca="1" si="640"/>
        <v/>
      </c>
      <c r="CB235" s="154" t="str">
        <f t="shared" ca="1" si="641"/>
        <v/>
      </c>
      <c r="CC235" s="154" t="str">
        <f t="shared" ca="1" si="642"/>
        <v/>
      </c>
      <c r="CD235" s="154" t="str">
        <f t="shared" ca="1" si="643"/>
        <v/>
      </c>
      <c r="CE235" s="310">
        <v>1</v>
      </c>
      <c r="CF235" s="162">
        <f ca="1">IF(BD235,_xll.xCrudeAPO(BU235,BV235,CA235,CB235,S236,S237,BI235,BL235,BP235,BQ235,0,Strike1,AO235,CE235,0,BL235,IF(OptControl=4,0,1),0,1),0)</f>
        <v>0</v>
      </c>
      <c r="CG235" s="163">
        <f ca="1">IF(BD235,_xll.xCrudeAPO(BU235,BV235,CA235,CB235,S236,S237,BI235,BL235,BP235,BQ235,0,Strike1,AO235,CE235,0,BL235,IF(OptControl=4,0,1),1,1)+_xll.xCrudeAPO(BU235,BV235,CA235,CB235,S236,S237,BI235,BL235,BP235,BQ235,0,Strike1,AO235,CE235,0,BL235,IF(OptControl=4,0,1),1,2)+IF(OR(VolSkewFlag=2,ABS(BS235)&lt;0.0001),0,IF(BS235&gt;0,-1,1)*CH235*Strike1/BR235^2*BY235/10%),0)</f>
        <v>0</v>
      </c>
      <c r="CH235" s="163">
        <f ca="1">IF(BD235,(_xll.xCrudeAPO(BU235,BV235,CA235,CB235,S236,S237,BI235,BL235,BP235,BQ235,0,Strike1,AO235,CE235,0,BL235,IF(OptControl=4,0,1),3,1)+_xll.xCrudeAPO(BU235,BV235,CA235,CB235,S236,S237,BI235,BL235,BP235,BQ235,0,Strike1,AO235,CE235,0,BL235,IF(OptControl=4,0,1),3,2))/100,0)</f>
        <v>0</v>
      </c>
      <c r="CI235" s="163">
        <f ca="1">IF(BD235,_xll.xCrudeAPO(BU235,BV235,CA235,CB235,S236,S237,BI235-DaysForThetaCalculation/365.25,BL235-DaysForThetaCalculation/365.25,BP235,BQ235,0,Strike1,AO235,CE235,0,BL235,IF(OptControl=4,0,1),0,1)-_xll.xCrudeAPO(BU235,BV235,CA235,CB235,S236,S237,BI235,BL235,BP235,BQ235,0,Strike1,AO235,CE235,0,BL235,IF(OptControl=4,0,1),0,1),0)</f>
        <v>0</v>
      </c>
      <c r="CJ235" s="311">
        <f ca="1">IF(BD235,_xll.xCrudeAPO(BU235,BV235,CC235,CD235,S236,S237,BI235,BL235,BP235,BQ235,0,Strike2,AO235,CE235,0,BL235,IF(OptControl=3,1,0),0,1),0)</f>
        <v>0</v>
      </c>
      <c r="CK235" s="163">
        <f ca="1">IF(BD235,_xll.xCrudeAPO(BU235,BV235,CC235,CD235,S236,S237,BI235,BL235,BP235,BQ235,0,Strike2,AO235,CE235,0,BL235,IF(OptControl=3,1,0),1,1)+_xll.xCrudeAPO(BU235,BV235,CC235,CD235,S236,S237,BI235,BL235,BP235,BQ235,0,Strike2,AO235,CE235,0,BL235,IF(OptControl=3,1,0),1,2)+IF(OR(VolSkewFlag=2,ABS(BT235)&lt;0.0001),0,IF(BT235&gt;0,-1,1)*CL235*Strike2/BR235^2*BZ235/10%),0)</f>
        <v>0</v>
      </c>
      <c r="CL235" s="163">
        <f ca="1">IF(BD235,(_xll.xCrudeAPO(BU235,BV235,CC235,CD235,S236,S237,BI235,BL235,BP235,BQ235,0,Strike2,AO235,CE235,0,BL235,IF(OptControl=3,1,0),3,1)+_xll.xCrudeAPO(BU235,BV235,CC235,CD235,S236,S237,BI235,BL235,BP235,BQ235,0,Strike2,AO235,CE235,0,BL235,IF(OptControl=3,1,0),3,2))/100,0)</f>
        <v>0</v>
      </c>
      <c r="CM235" s="164">
        <f ca="1">IF(BD235,_xll.xCrudeAPO(BU235,BV235,CC235,CD235,S236,S237,BI235-DaysForThetaCalculation/365.25,BL235-DaysForThetaCalculation/365.25,BP235,BQ235,0,Strike2,AO235,CE235,0,BL235,IF(OptControl=3,1,0),0,1)-_xll.xCrudeAPO(BU235,BV235,CC235,CD235,S236,S237,BI235,BL235,BP235,BQ235,0,Strike2,AO235,CE235,0,BL235,IF(OptControl=3,1,0),0,1),0)</f>
        <v>0</v>
      </c>
      <c r="CN235" s="53"/>
      <c r="CO235" s="796" t="str">
        <f t="shared" ca="1" si="651"/>
        <v/>
      </c>
      <c r="CP235" s="800" t="str">
        <f t="shared" ca="1" si="652"/>
        <v/>
      </c>
      <c r="CQ235" s="797" t="str">
        <f t="shared" ca="1" si="653"/>
        <v/>
      </c>
      <c r="CR235" s="797" t="str">
        <f t="shared" ca="1" si="654"/>
        <v/>
      </c>
      <c r="CS235" s="797" t="str">
        <f t="shared" ca="1" si="655"/>
        <v/>
      </c>
      <c r="CT235" s="797" t="str">
        <f t="shared" ca="1" si="656"/>
        <v/>
      </c>
      <c r="CU235" s="798" t="str">
        <f t="shared" ca="1" si="657"/>
        <v/>
      </c>
      <c r="CV235" s="799" t="str">
        <f t="shared" ca="1" si="658"/>
        <v/>
      </c>
      <c r="CW235" s="799" t="str">
        <f t="shared" ca="1" si="659"/>
        <v/>
      </c>
      <c r="CX235" s="163">
        <f ca="1">IF(BD235,_xll.EURO(CP235,Strike1,AO235,AO235,CV235,CO235,IF(OptControl=4,0,1),0),0)</f>
        <v>0</v>
      </c>
      <c r="CY235" s="163">
        <f ca="1">IF(BD235,_xll.EURO(CP235,Strike1,AO235,AO235,CV235,CO235,IF(OptControl=4,0,1),1)+IF(OR(VolSkewFlag=2,ABS(CQ235)&lt;0.0001),0,IF(CQ235&gt;0,-1,1)*CZ235*100*Strike1/CP235^2*CS235/10%),0)</f>
        <v>0</v>
      </c>
      <c r="CZ235" s="163">
        <f ca="1">IF(BD235,_xll.EURO(CP235,Strike1,AO235,AO235,CV235,CO235,IF(OptControl=4,0,1),3)/100,0)</f>
        <v>0</v>
      </c>
      <c r="DA235" s="163">
        <f ca="1">IF(BD235,_xll.EURO(CP235,Strike1,AO235,AO235,CV235,CO235,IF(OptControl=4,0,1),0)-_xll.EURO(CP235,Strike1,AO235,AO235,CV235,CO235-1,IF(OptControl=4,0,1),0),0)</f>
        <v>0</v>
      </c>
      <c r="DB235" s="163">
        <f ca="1">IF(BD235,_xll.EURO(CP235,Strike2,AO235,AO235,CW235,CO235,IF(OptControl=3,1,0),0),0)</f>
        <v>0</v>
      </c>
      <c r="DC235" s="163">
        <f ca="1">IF(BD235,_xll.EURO(CP235,Strike2,AO235,AO235,CW235,CO235,IF(OptControl=3,1,0),1)+IF(OR(VolSkewFlag=2,ABS(CR235)&lt;0.0001),0,IF(CR235&gt;0,-1,1)*DD235*100*Strike2/CP235^2*CT235/10%),0)</f>
        <v>0</v>
      </c>
      <c r="DD235" s="163">
        <f ca="1">IF(BD235,_xll.EURO(CP235,Strike2,AO235,AO235,CW235,CO235,IF(OptControl=3,1,0),3)/100,0)</f>
        <v>0</v>
      </c>
      <c r="DE235" s="164">
        <f ca="1">IF(BD235,_xll.EURO(CP235,Strike2,AO235,AO235,CW235,CO235,IF(OptControl=3,1,0),0)-_xll.EURO(CP235,Strike2,AO235,AO235,CW235,CO235-1,IF(OptControl=3,1,0),0),0)</f>
        <v>0</v>
      </c>
      <c r="DG235" s="667">
        <f t="shared" ca="1" si="660"/>
        <v>43101</v>
      </c>
      <c r="DH235" s="475">
        <v>24.9100000000001</v>
      </c>
      <c r="DI235" s="665">
        <v>24.97818181818192</v>
      </c>
      <c r="DJ235" s="666">
        <f t="shared" ca="1" si="617"/>
        <v>43101</v>
      </c>
      <c r="DK235" s="475">
        <v>23.707756503328369</v>
      </c>
      <c r="DL235" s="665">
        <v>23.809681818181922</v>
      </c>
      <c r="DM235" s="667">
        <f t="shared" ca="1" si="618"/>
        <v>43101</v>
      </c>
      <c r="DN235" s="668">
        <f t="shared" si="619"/>
        <v>23.75775650332837</v>
      </c>
      <c r="DO235" s="667">
        <f t="shared" ca="1" si="620"/>
        <v>43101</v>
      </c>
      <c r="DP235" s="579">
        <f t="shared" si="621"/>
        <v>23.809681818181922</v>
      </c>
      <c r="DQ235" s="821">
        <v>0</v>
      </c>
      <c r="DR235" s="666">
        <f t="shared" ca="1" si="622"/>
        <v>43101</v>
      </c>
      <c r="DS235" s="669">
        <v>9.559999999999802E-2</v>
      </c>
      <c r="DT235" s="606">
        <v>9.4781818181816219E-2</v>
      </c>
      <c r="DU235" s="666">
        <f t="shared" ca="1" si="623"/>
        <v>43101</v>
      </c>
      <c r="DV235" s="669">
        <v>9.559999999999802E-2</v>
      </c>
      <c r="DW235" s="606">
        <v>9.4781818181816219E-2</v>
      </c>
      <c r="DX235" s="667">
        <f t="shared" ca="1" si="624"/>
        <v>43101</v>
      </c>
      <c r="DY235" s="606">
        <v>0.35</v>
      </c>
      <c r="DZ235" s="667">
        <f t="shared" ca="1" si="625"/>
        <v>43101</v>
      </c>
      <c r="EA235" s="606">
        <f t="shared" si="626"/>
        <v>9.4781818181816219E-2</v>
      </c>
      <c r="EB235" s="1"/>
      <c r="EC235" s="118" t="str">
        <f t="shared" ca="1" si="627"/>
        <v/>
      </c>
      <c r="ED235" s="119" t="str">
        <f t="shared" ca="1" si="644"/>
        <v/>
      </c>
      <c r="EE235" s="112" t="str">
        <f t="shared" ca="1" si="645"/>
        <v/>
      </c>
      <c r="EF235" s="120">
        <f ca="1">IF(BD235,_xll.xASN(BR235,Strike1,AO235,ED235,0,BO235,0,BI235,BL235,IF(OptControl=4,0,1),0),0)</f>
        <v>0</v>
      </c>
      <c r="EG235" s="111">
        <f ca="1">IF(BD235,_xll.xASN(BR235,Strike2,AO235,EE235,0,BO235,0,BI235,BL235,IF(OptControl=3,1,0),0),0)</f>
        <v>0</v>
      </c>
      <c r="EL235" s="55"/>
      <c r="EM235" s="1"/>
      <c r="EN235" s="106"/>
      <c r="EO235" s="106"/>
      <c r="EP235" s="1"/>
      <c r="EQ235" s="683" t="s">
        <v>449</v>
      </c>
      <c r="ES235" s="55"/>
      <c r="EU235" s="107"/>
      <c r="FJ235" s="673">
        <v>66</v>
      </c>
      <c r="FK235" s="479" t="str">
        <f ca="1">IF(OR(FK$169&lt;SwaptionFirstMonthPosition+1,$FJ235&lt;SwaptionFirstMonthPosition+1,FK$169&gt;SwaptionFirstMonthPosition+SwaptionNumOfMonths+1,$FJ235&gt;SwaptionFirstMonthPosition+SwaptionNumOfMonths+1),"",IF($FJ235=FK$169,1,IF($FJ235&lt;FK$169,INDEX($FK$170:$ID$241,FK$169,$FJ235),SUMPRODUCT(INDEX($FK$325:$ID$396,FK$169,1+SwaptionShift):INDEX($FK$325:$ID$396,FK$169,SwaptionMonthsToGo+SwaptionShift),INDEX($FK$245:$ID$316,$FJ235-FK$169,73-FK$169+SwaptionShift):INDEX($FK$245:$ID$316,$FJ235-FK$169,72-FK$169+SwaptionMonthsToGo+SwaptionShift))/SQRT(SUM(INDEX($FK390:$ID390,1+SwaptionShift):INDEX($FK390:$ID390,SwaptionMonthsToGo+SwaptionShift))*SUM(INDEX($FK$325:$ID$396,FK$169,1+SwaptionShift):INDEX($FK$325:$ID$396,FK$169,SwaptionMonthsToGo+SwaptionShift))))))</f>
        <v/>
      </c>
      <c r="FL235" s="479" t="str">
        <f ca="1">IF(OR(FL$169&lt;SwaptionFirstMonthPosition+1,$FJ235&lt;SwaptionFirstMonthPosition+1,FL$169&gt;SwaptionFirstMonthPosition+SwaptionNumOfMonths+1,$FJ235&gt;SwaptionFirstMonthPosition+SwaptionNumOfMonths+1),"",IF($FJ235=FL$169,1,IF($FJ235&lt;FL$169,INDEX($FK$170:$ID$241,FL$169,$FJ235),SUMPRODUCT(INDEX($FK$325:$ID$396,FL$169,1+SwaptionShift):INDEX($FK$325:$ID$396,FL$169,SwaptionMonthsToGo+SwaptionShift),INDEX($FK$245:$ID$316,$FJ235-FL$169,73-FL$169+SwaptionShift):INDEX($FK$245:$ID$316,$FJ235-FL$169,72-FL$169+SwaptionMonthsToGo+SwaptionShift))/SQRT(SUM(INDEX($FK390:$ID390,1+SwaptionShift):INDEX($FK390:$ID390,SwaptionMonthsToGo+SwaptionShift))*SUM(INDEX($FK$325:$ID$396,FL$169,1+SwaptionShift):INDEX($FK$325:$ID$396,FL$169,SwaptionMonthsToGo+SwaptionShift))))))</f>
        <v/>
      </c>
      <c r="FM235" s="479" t="str">
        <f ca="1">IF(OR(FM$169&lt;SwaptionFirstMonthPosition+1,$FJ235&lt;SwaptionFirstMonthPosition+1,FM$169&gt;SwaptionFirstMonthPosition+SwaptionNumOfMonths+1,$FJ235&gt;SwaptionFirstMonthPosition+SwaptionNumOfMonths+1),"",IF($FJ235=FM$169,1,IF($FJ235&lt;FM$169,INDEX($FK$170:$ID$241,FM$169,$FJ235),SUMPRODUCT(INDEX($FK$325:$ID$396,FM$169,1+SwaptionShift):INDEX($FK$325:$ID$396,FM$169,SwaptionMonthsToGo+SwaptionShift),INDEX($FK$245:$ID$316,$FJ235-FM$169,73-FM$169+SwaptionShift):INDEX($FK$245:$ID$316,$FJ235-FM$169,72-FM$169+SwaptionMonthsToGo+SwaptionShift))/SQRT(SUM(INDEX($FK390:$ID390,1+SwaptionShift):INDEX($FK390:$ID390,SwaptionMonthsToGo+SwaptionShift))*SUM(INDEX($FK$325:$ID$396,FM$169,1+SwaptionShift):INDEX($FK$325:$ID$396,FM$169,SwaptionMonthsToGo+SwaptionShift))))))</f>
        <v/>
      </c>
      <c r="FN235" s="479" t="str">
        <f ca="1">IF(OR(FN$169&lt;SwaptionFirstMonthPosition+1,$FJ235&lt;SwaptionFirstMonthPosition+1,FN$169&gt;SwaptionFirstMonthPosition+SwaptionNumOfMonths+1,$FJ235&gt;SwaptionFirstMonthPosition+SwaptionNumOfMonths+1),"",IF($FJ235=FN$169,1,IF($FJ235&lt;FN$169,INDEX($FK$170:$ID$241,FN$169,$FJ235),SUMPRODUCT(INDEX($FK$325:$ID$396,FN$169,1+SwaptionShift):INDEX($FK$325:$ID$396,FN$169,SwaptionMonthsToGo+SwaptionShift),INDEX($FK$245:$ID$316,$FJ235-FN$169,73-FN$169+SwaptionShift):INDEX($FK$245:$ID$316,$FJ235-FN$169,72-FN$169+SwaptionMonthsToGo+SwaptionShift))/SQRT(SUM(INDEX($FK390:$ID390,1+SwaptionShift):INDEX($FK390:$ID390,SwaptionMonthsToGo+SwaptionShift))*SUM(INDEX($FK$325:$ID$396,FN$169,1+SwaptionShift):INDEX($FK$325:$ID$396,FN$169,SwaptionMonthsToGo+SwaptionShift))))))</f>
        <v/>
      </c>
      <c r="FO235" s="479" t="str">
        <f ca="1">IF(OR(FO$169&lt;SwaptionFirstMonthPosition+1,$FJ235&lt;SwaptionFirstMonthPosition+1,FO$169&gt;SwaptionFirstMonthPosition+SwaptionNumOfMonths+1,$FJ235&gt;SwaptionFirstMonthPosition+SwaptionNumOfMonths+1),"",IF($FJ235=FO$169,1,IF($FJ235&lt;FO$169,INDEX($FK$170:$ID$241,FO$169,$FJ235),SUMPRODUCT(INDEX($FK$325:$ID$396,FO$169,1+SwaptionShift):INDEX($FK$325:$ID$396,FO$169,SwaptionMonthsToGo+SwaptionShift),INDEX($FK$245:$ID$316,$FJ235-FO$169,73-FO$169+SwaptionShift):INDEX($FK$245:$ID$316,$FJ235-FO$169,72-FO$169+SwaptionMonthsToGo+SwaptionShift))/SQRT(SUM(INDEX($FK390:$ID390,1+SwaptionShift):INDEX($FK390:$ID390,SwaptionMonthsToGo+SwaptionShift))*SUM(INDEX($FK$325:$ID$396,FO$169,1+SwaptionShift):INDEX($FK$325:$ID$396,FO$169,SwaptionMonthsToGo+SwaptionShift))))))</f>
        <v/>
      </c>
      <c r="FP235" s="479" t="str">
        <f ca="1">IF(OR(FP$169&lt;SwaptionFirstMonthPosition+1,$FJ235&lt;SwaptionFirstMonthPosition+1,FP$169&gt;SwaptionFirstMonthPosition+SwaptionNumOfMonths+1,$FJ235&gt;SwaptionFirstMonthPosition+SwaptionNumOfMonths+1),"",IF($FJ235=FP$169,1,IF($FJ235&lt;FP$169,INDEX($FK$170:$ID$241,FP$169,$FJ235),SUMPRODUCT(INDEX($FK$325:$ID$396,FP$169,1+SwaptionShift):INDEX($FK$325:$ID$396,FP$169,SwaptionMonthsToGo+SwaptionShift),INDEX($FK$245:$ID$316,$FJ235-FP$169,73-FP$169+SwaptionShift):INDEX($FK$245:$ID$316,$FJ235-FP$169,72-FP$169+SwaptionMonthsToGo+SwaptionShift))/SQRT(SUM(INDEX($FK390:$ID390,1+SwaptionShift):INDEX($FK390:$ID390,SwaptionMonthsToGo+SwaptionShift))*SUM(INDEX($FK$325:$ID$396,FP$169,1+SwaptionShift):INDEX($FK$325:$ID$396,FP$169,SwaptionMonthsToGo+SwaptionShift))))))</f>
        <v/>
      </c>
      <c r="FQ235" s="479" t="str">
        <f ca="1">IF(OR(FQ$169&lt;SwaptionFirstMonthPosition+1,$FJ235&lt;SwaptionFirstMonthPosition+1,FQ$169&gt;SwaptionFirstMonthPosition+SwaptionNumOfMonths+1,$FJ235&gt;SwaptionFirstMonthPosition+SwaptionNumOfMonths+1),"",IF($FJ235=FQ$169,1,IF($FJ235&lt;FQ$169,INDEX($FK$170:$ID$241,FQ$169,$FJ235),SUMPRODUCT(INDEX($FK$325:$ID$396,FQ$169,1+SwaptionShift):INDEX($FK$325:$ID$396,FQ$169,SwaptionMonthsToGo+SwaptionShift),INDEX($FK$245:$ID$316,$FJ235-FQ$169,73-FQ$169+SwaptionShift):INDEX($FK$245:$ID$316,$FJ235-FQ$169,72-FQ$169+SwaptionMonthsToGo+SwaptionShift))/SQRT(SUM(INDEX($FK390:$ID390,1+SwaptionShift):INDEX($FK390:$ID390,SwaptionMonthsToGo+SwaptionShift))*SUM(INDEX($FK$325:$ID$396,FQ$169,1+SwaptionShift):INDEX($FK$325:$ID$396,FQ$169,SwaptionMonthsToGo+SwaptionShift))))))</f>
        <v/>
      </c>
      <c r="FR235" s="479" t="str">
        <f ca="1">IF(OR(FR$169&lt;SwaptionFirstMonthPosition+1,$FJ235&lt;SwaptionFirstMonthPosition+1,FR$169&gt;SwaptionFirstMonthPosition+SwaptionNumOfMonths+1,$FJ235&gt;SwaptionFirstMonthPosition+SwaptionNumOfMonths+1),"",IF($FJ235=FR$169,1,IF($FJ235&lt;FR$169,INDEX($FK$170:$ID$241,FR$169,$FJ235),SUMPRODUCT(INDEX($FK$325:$ID$396,FR$169,1+SwaptionShift):INDEX($FK$325:$ID$396,FR$169,SwaptionMonthsToGo+SwaptionShift),INDEX($FK$245:$ID$316,$FJ235-FR$169,73-FR$169+SwaptionShift):INDEX($FK$245:$ID$316,$FJ235-FR$169,72-FR$169+SwaptionMonthsToGo+SwaptionShift))/SQRT(SUM(INDEX($FK390:$ID390,1+SwaptionShift):INDEX($FK390:$ID390,SwaptionMonthsToGo+SwaptionShift))*SUM(INDEX($FK$325:$ID$396,FR$169,1+SwaptionShift):INDEX($FK$325:$ID$396,FR$169,SwaptionMonthsToGo+SwaptionShift))))))</f>
        <v/>
      </c>
      <c r="FS235" s="479" t="str">
        <f ca="1">IF(OR(FS$169&lt;SwaptionFirstMonthPosition+1,$FJ235&lt;SwaptionFirstMonthPosition+1,FS$169&gt;SwaptionFirstMonthPosition+SwaptionNumOfMonths+1,$FJ235&gt;SwaptionFirstMonthPosition+SwaptionNumOfMonths+1),"",IF($FJ235=FS$169,1,IF($FJ235&lt;FS$169,INDEX($FK$170:$ID$241,FS$169,$FJ235),SUMPRODUCT(INDEX($FK$325:$ID$396,FS$169,1+SwaptionShift):INDEX($FK$325:$ID$396,FS$169,SwaptionMonthsToGo+SwaptionShift),INDEX($FK$245:$ID$316,$FJ235-FS$169,73-FS$169+SwaptionShift):INDEX($FK$245:$ID$316,$FJ235-FS$169,72-FS$169+SwaptionMonthsToGo+SwaptionShift))/SQRT(SUM(INDEX($FK390:$ID390,1+SwaptionShift):INDEX($FK390:$ID390,SwaptionMonthsToGo+SwaptionShift))*SUM(INDEX($FK$325:$ID$396,FS$169,1+SwaptionShift):INDEX($FK$325:$ID$396,FS$169,SwaptionMonthsToGo+SwaptionShift))))))</f>
        <v/>
      </c>
      <c r="FT235" s="479" t="str">
        <f ca="1">IF(OR(FT$169&lt;SwaptionFirstMonthPosition+1,$FJ235&lt;SwaptionFirstMonthPosition+1,FT$169&gt;SwaptionFirstMonthPosition+SwaptionNumOfMonths+1,$FJ235&gt;SwaptionFirstMonthPosition+SwaptionNumOfMonths+1),"",IF($FJ235=FT$169,1,IF($FJ235&lt;FT$169,INDEX($FK$170:$ID$241,FT$169,$FJ235),SUMPRODUCT(INDEX($FK$325:$ID$396,FT$169,1+SwaptionShift):INDEX($FK$325:$ID$396,FT$169,SwaptionMonthsToGo+SwaptionShift),INDEX($FK$245:$ID$316,$FJ235-FT$169,73-FT$169+SwaptionShift):INDEX($FK$245:$ID$316,$FJ235-FT$169,72-FT$169+SwaptionMonthsToGo+SwaptionShift))/SQRT(SUM(INDEX($FK390:$ID390,1+SwaptionShift):INDEX($FK390:$ID390,SwaptionMonthsToGo+SwaptionShift))*SUM(INDEX($FK$325:$ID$396,FT$169,1+SwaptionShift):INDEX($FK$325:$ID$396,FT$169,SwaptionMonthsToGo+SwaptionShift))))))</f>
        <v/>
      </c>
      <c r="FU235" s="479" t="str">
        <f ca="1">IF(OR(FU$169&lt;SwaptionFirstMonthPosition+1,$FJ235&lt;SwaptionFirstMonthPosition+1,FU$169&gt;SwaptionFirstMonthPosition+SwaptionNumOfMonths+1,$FJ235&gt;SwaptionFirstMonthPosition+SwaptionNumOfMonths+1),"",IF($FJ235=FU$169,1,IF($FJ235&lt;FU$169,INDEX($FK$170:$ID$241,FU$169,$FJ235),SUMPRODUCT(INDEX($FK$325:$ID$396,FU$169,1+SwaptionShift):INDEX($FK$325:$ID$396,FU$169,SwaptionMonthsToGo+SwaptionShift),INDEX($FK$245:$ID$316,$FJ235-FU$169,73-FU$169+SwaptionShift):INDEX($FK$245:$ID$316,$FJ235-FU$169,72-FU$169+SwaptionMonthsToGo+SwaptionShift))/SQRT(SUM(INDEX($FK390:$ID390,1+SwaptionShift):INDEX($FK390:$ID390,SwaptionMonthsToGo+SwaptionShift))*SUM(INDEX($FK$325:$ID$396,FU$169,1+SwaptionShift):INDEX($FK$325:$ID$396,FU$169,SwaptionMonthsToGo+SwaptionShift))))))</f>
        <v/>
      </c>
      <c r="FV235" s="479" t="str">
        <f ca="1">IF(OR(FV$169&lt;SwaptionFirstMonthPosition+1,$FJ235&lt;SwaptionFirstMonthPosition+1,FV$169&gt;SwaptionFirstMonthPosition+SwaptionNumOfMonths+1,$FJ235&gt;SwaptionFirstMonthPosition+SwaptionNumOfMonths+1),"",IF($FJ235=FV$169,1,IF($FJ235&lt;FV$169,INDEX($FK$170:$ID$241,FV$169,$FJ235),SUMPRODUCT(INDEX($FK$325:$ID$396,FV$169,1+SwaptionShift):INDEX($FK$325:$ID$396,FV$169,SwaptionMonthsToGo+SwaptionShift),INDEX($FK$245:$ID$316,$FJ235-FV$169,73-FV$169+SwaptionShift):INDEX($FK$245:$ID$316,$FJ235-FV$169,72-FV$169+SwaptionMonthsToGo+SwaptionShift))/SQRT(SUM(INDEX($FK390:$ID390,1+SwaptionShift):INDEX($FK390:$ID390,SwaptionMonthsToGo+SwaptionShift))*SUM(INDEX($FK$325:$ID$396,FV$169,1+SwaptionShift):INDEX($FK$325:$ID$396,FV$169,SwaptionMonthsToGo+SwaptionShift))))))</f>
        <v/>
      </c>
      <c r="FW235" s="479" t="str">
        <f ca="1">IF(OR(FW$169&lt;SwaptionFirstMonthPosition+1,$FJ235&lt;SwaptionFirstMonthPosition+1,FW$169&gt;SwaptionFirstMonthPosition+SwaptionNumOfMonths+1,$FJ235&gt;SwaptionFirstMonthPosition+SwaptionNumOfMonths+1),"",IF($FJ235=FW$169,1,IF($FJ235&lt;FW$169,INDEX($FK$170:$ID$241,FW$169,$FJ235),SUMPRODUCT(INDEX($FK$325:$ID$396,FW$169,1+SwaptionShift):INDEX($FK$325:$ID$396,FW$169,SwaptionMonthsToGo+SwaptionShift),INDEX($FK$245:$ID$316,$FJ235-FW$169,73-FW$169+SwaptionShift):INDEX($FK$245:$ID$316,$FJ235-FW$169,72-FW$169+SwaptionMonthsToGo+SwaptionShift))/SQRT(SUM(INDEX($FK390:$ID390,1+SwaptionShift):INDEX($FK390:$ID390,SwaptionMonthsToGo+SwaptionShift))*SUM(INDEX($FK$325:$ID$396,FW$169,1+SwaptionShift):INDEX($FK$325:$ID$396,FW$169,SwaptionMonthsToGo+SwaptionShift))))))</f>
        <v/>
      </c>
      <c r="FX235" s="479" t="str">
        <f ca="1">IF(OR(FX$169&lt;SwaptionFirstMonthPosition+1,$FJ235&lt;SwaptionFirstMonthPosition+1,FX$169&gt;SwaptionFirstMonthPosition+SwaptionNumOfMonths+1,$FJ235&gt;SwaptionFirstMonthPosition+SwaptionNumOfMonths+1),"",IF($FJ235=FX$169,1,IF($FJ235&lt;FX$169,INDEX($FK$170:$ID$241,FX$169,$FJ235),SUMPRODUCT(INDEX($FK$325:$ID$396,FX$169,1+SwaptionShift):INDEX($FK$325:$ID$396,FX$169,SwaptionMonthsToGo+SwaptionShift),INDEX($FK$245:$ID$316,$FJ235-FX$169,73-FX$169+SwaptionShift):INDEX($FK$245:$ID$316,$FJ235-FX$169,72-FX$169+SwaptionMonthsToGo+SwaptionShift))/SQRT(SUM(INDEX($FK390:$ID390,1+SwaptionShift):INDEX($FK390:$ID390,SwaptionMonthsToGo+SwaptionShift))*SUM(INDEX($FK$325:$ID$396,FX$169,1+SwaptionShift):INDEX($FK$325:$ID$396,FX$169,SwaptionMonthsToGo+SwaptionShift))))))</f>
        <v/>
      </c>
      <c r="FY235" s="479" t="str">
        <f ca="1">IF(OR(FY$169&lt;SwaptionFirstMonthPosition+1,$FJ235&lt;SwaptionFirstMonthPosition+1,FY$169&gt;SwaptionFirstMonthPosition+SwaptionNumOfMonths+1,$FJ235&gt;SwaptionFirstMonthPosition+SwaptionNumOfMonths+1),"",IF($FJ235=FY$169,1,IF($FJ235&lt;FY$169,INDEX($FK$170:$ID$241,FY$169,$FJ235),SUMPRODUCT(INDEX($FK$325:$ID$396,FY$169,1+SwaptionShift):INDEX($FK$325:$ID$396,FY$169,SwaptionMonthsToGo+SwaptionShift),INDEX($FK$245:$ID$316,$FJ235-FY$169,73-FY$169+SwaptionShift):INDEX($FK$245:$ID$316,$FJ235-FY$169,72-FY$169+SwaptionMonthsToGo+SwaptionShift))/SQRT(SUM(INDEX($FK390:$ID390,1+SwaptionShift):INDEX($FK390:$ID390,SwaptionMonthsToGo+SwaptionShift))*SUM(INDEX($FK$325:$ID$396,FY$169,1+SwaptionShift):INDEX($FK$325:$ID$396,FY$169,SwaptionMonthsToGo+SwaptionShift))))))</f>
        <v/>
      </c>
      <c r="FZ235" s="479" t="str">
        <f ca="1">IF(OR(FZ$169&lt;SwaptionFirstMonthPosition+1,$FJ235&lt;SwaptionFirstMonthPosition+1,FZ$169&gt;SwaptionFirstMonthPosition+SwaptionNumOfMonths+1,$FJ235&gt;SwaptionFirstMonthPosition+SwaptionNumOfMonths+1),"",IF($FJ235=FZ$169,1,IF($FJ235&lt;FZ$169,INDEX($FK$170:$ID$241,FZ$169,$FJ235),SUMPRODUCT(INDEX($FK$325:$ID$396,FZ$169,1+SwaptionShift):INDEX($FK$325:$ID$396,FZ$169,SwaptionMonthsToGo+SwaptionShift),INDEX($FK$245:$ID$316,$FJ235-FZ$169,73-FZ$169+SwaptionShift):INDEX($FK$245:$ID$316,$FJ235-FZ$169,72-FZ$169+SwaptionMonthsToGo+SwaptionShift))/SQRT(SUM(INDEX($FK390:$ID390,1+SwaptionShift):INDEX($FK390:$ID390,SwaptionMonthsToGo+SwaptionShift))*SUM(INDEX($FK$325:$ID$396,FZ$169,1+SwaptionShift):INDEX($FK$325:$ID$396,FZ$169,SwaptionMonthsToGo+SwaptionShift))))))</f>
        <v/>
      </c>
      <c r="GA235" s="479" t="str">
        <f ca="1">IF(OR(GA$169&lt;SwaptionFirstMonthPosition+1,$FJ235&lt;SwaptionFirstMonthPosition+1,GA$169&gt;SwaptionFirstMonthPosition+SwaptionNumOfMonths+1,$FJ235&gt;SwaptionFirstMonthPosition+SwaptionNumOfMonths+1),"",IF($FJ235=GA$169,1,IF($FJ235&lt;GA$169,INDEX($FK$170:$ID$241,GA$169,$FJ235),SUMPRODUCT(INDEX($FK$325:$ID$396,GA$169,1+SwaptionShift):INDEX($FK$325:$ID$396,GA$169,SwaptionMonthsToGo+SwaptionShift),INDEX($FK$245:$ID$316,$FJ235-GA$169,73-GA$169+SwaptionShift):INDEX($FK$245:$ID$316,$FJ235-GA$169,72-GA$169+SwaptionMonthsToGo+SwaptionShift))/SQRT(SUM(INDEX($FK390:$ID390,1+SwaptionShift):INDEX($FK390:$ID390,SwaptionMonthsToGo+SwaptionShift))*SUM(INDEX($FK$325:$ID$396,GA$169,1+SwaptionShift):INDEX($FK$325:$ID$396,GA$169,SwaptionMonthsToGo+SwaptionShift))))))</f>
        <v/>
      </c>
      <c r="GB235" s="479" t="str">
        <f ca="1">IF(OR(GB$169&lt;SwaptionFirstMonthPosition+1,$FJ235&lt;SwaptionFirstMonthPosition+1,GB$169&gt;SwaptionFirstMonthPosition+SwaptionNumOfMonths+1,$FJ235&gt;SwaptionFirstMonthPosition+SwaptionNumOfMonths+1),"",IF($FJ235=GB$169,1,IF($FJ235&lt;GB$169,INDEX($FK$170:$ID$241,GB$169,$FJ235),SUMPRODUCT(INDEX($FK$325:$ID$396,GB$169,1+SwaptionShift):INDEX($FK$325:$ID$396,GB$169,SwaptionMonthsToGo+SwaptionShift),INDEX($FK$245:$ID$316,$FJ235-GB$169,73-GB$169+SwaptionShift):INDEX($FK$245:$ID$316,$FJ235-GB$169,72-GB$169+SwaptionMonthsToGo+SwaptionShift))/SQRT(SUM(INDEX($FK390:$ID390,1+SwaptionShift):INDEX($FK390:$ID390,SwaptionMonthsToGo+SwaptionShift))*SUM(INDEX($FK$325:$ID$396,GB$169,1+SwaptionShift):INDEX($FK$325:$ID$396,GB$169,SwaptionMonthsToGo+SwaptionShift))))))</f>
        <v/>
      </c>
      <c r="GC235" s="479" t="str">
        <f ca="1">IF(OR(GC$169&lt;SwaptionFirstMonthPosition+1,$FJ235&lt;SwaptionFirstMonthPosition+1,GC$169&gt;SwaptionFirstMonthPosition+SwaptionNumOfMonths+1,$FJ235&gt;SwaptionFirstMonthPosition+SwaptionNumOfMonths+1),"",IF($FJ235=GC$169,1,IF($FJ235&lt;GC$169,INDEX($FK$170:$ID$241,GC$169,$FJ235),SUMPRODUCT(INDEX($FK$325:$ID$396,GC$169,1+SwaptionShift):INDEX($FK$325:$ID$396,GC$169,SwaptionMonthsToGo+SwaptionShift),INDEX($FK$245:$ID$316,$FJ235-GC$169,73-GC$169+SwaptionShift):INDEX($FK$245:$ID$316,$FJ235-GC$169,72-GC$169+SwaptionMonthsToGo+SwaptionShift))/SQRT(SUM(INDEX($FK390:$ID390,1+SwaptionShift):INDEX($FK390:$ID390,SwaptionMonthsToGo+SwaptionShift))*SUM(INDEX($FK$325:$ID$396,GC$169,1+SwaptionShift):INDEX($FK$325:$ID$396,GC$169,SwaptionMonthsToGo+SwaptionShift))))))</f>
        <v/>
      </c>
      <c r="GD235" s="479" t="str">
        <f ca="1">IF(OR(GD$169&lt;SwaptionFirstMonthPosition+1,$FJ235&lt;SwaptionFirstMonthPosition+1,GD$169&gt;SwaptionFirstMonthPosition+SwaptionNumOfMonths+1,$FJ235&gt;SwaptionFirstMonthPosition+SwaptionNumOfMonths+1),"",IF($FJ235=GD$169,1,IF($FJ235&lt;GD$169,INDEX($FK$170:$ID$241,GD$169,$FJ235),SUMPRODUCT(INDEX($FK$325:$ID$396,GD$169,1+SwaptionShift):INDEX($FK$325:$ID$396,GD$169,SwaptionMonthsToGo+SwaptionShift),INDEX($FK$245:$ID$316,$FJ235-GD$169,73-GD$169+SwaptionShift):INDEX($FK$245:$ID$316,$FJ235-GD$169,72-GD$169+SwaptionMonthsToGo+SwaptionShift))/SQRT(SUM(INDEX($FK390:$ID390,1+SwaptionShift):INDEX($FK390:$ID390,SwaptionMonthsToGo+SwaptionShift))*SUM(INDEX($FK$325:$ID$396,GD$169,1+SwaptionShift):INDEX($FK$325:$ID$396,GD$169,SwaptionMonthsToGo+SwaptionShift))))))</f>
        <v/>
      </c>
      <c r="GE235" s="479" t="str">
        <f ca="1">IF(OR(GE$169&lt;SwaptionFirstMonthPosition+1,$FJ235&lt;SwaptionFirstMonthPosition+1,GE$169&gt;SwaptionFirstMonthPosition+SwaptionNumOfMonths+1,$FJ235&gt;SwaptionFirstMonthPosition+SwaptionNumOfMonths+1),"",IF($FJ235=GE$169,1,IF($FJ235&lt;GE$169,INDEX($FK$170:$ID$241,GE$169,$FJ235),SUMPRODUCT(INDEX($FK$325:$ID$396,GE$169,1+SwaptionShift):INDEX($FK$325:$ID$396,GE$169,SwaptionMonthsToGo+SwaptionShift),INDEX($FK$245:$ID$316,$FJ235-GE$169,73-GE$169+SwaptionShift):INDEX($FK$245:$ID$316,$FJ235-GE$169,72-GE$169+SwaptionMonthsToGo+SwaptionShift))/SQRT(SUM(INDEX($FK390:$ID390,1+SwaptionShift):INDEX($FK390:$ID390,SwaptionMonthsToGo+SwaptionShift))*SUM(INDEX($FK$325:$ID$396,GE$169,1+SwaptionShift):INDEX($FK$325:$ID$396,GE$169,SwaptionMonthsToGo+SwaptionShift))))))</f>
        <v/>
      </c>
      <c r="GF235" s="479" t="str">
        <f ca="1">IF(OR(GF$169&lt;SwaptionFirstMonthPosition+1,$FJ235&lt;SwaptionFirstMonthPosition+1,GF$169&gt;SwaptionFirstMonthPosition+SwaptionNumOfMonths+1,$FJ235&gt;SwaptionFirstMonthPosition+SwaptionNumOfMonths+1),"",IF($FJ235=GF$169,1,IF($FJ235&lt;GF$169,INDEX($FK$170:$ID$241,GF$169,$FJ235),SUMPRODUCT(INDEX($FK$325:$ID$396,GF$169,1+SwaptionShift):INDEX($FK$325:$ID$396,GF$169,SwaptionMonthsToGo+SwaptionShift),INDEX($FK$245:$ID$316,$FJ235-GF$169,73-GF$169+SwaptionShift):INDEX($FK$245:$ID$316,$FJ235-GF$169,72-GF$169+SwaptionMonthsToGo+SwaptionShift))/SQRT(SUM(INDEX($FK390:$ID390,1+SwaptionShift):INDEX($FK390:$ID390,SwaptionMonthsToGo+SwaptionShift))*SUM(INDEX($FK$325:$ID$396,GF$169,1+SwaptionShift):INDEX($FK$325:$ID$396,GF$169,SwaptionMonthsToGo+SwaptionShift))))))</f>
        <v/>
      </c>
      <c r="GG235" s="479" t="str">
        <f ca="1">IF(OR(GG$169&lt;SwaptionFirstMonthPosition+1,$FJ235&lt;SwaptionFirstMonthPosition+1,GG$169&gt;SwaptionFirstMonthPosition+SwaptionNumOfMonths+1,$FJ235&gt;SwaptionFirstMonthPosition+SwaptionNumOfMonths+1),"",IF($FJ235=GG$169,1,IF($FJ235&lt;GG$169,INDEX($FK$170:$ID$241,GG$169,$FJ235),SUMPRODUCT(INDEX($FK$325:$ID$396,GG$169,1+SwaptionShift):INDEX($FK$325:$ID$396,GG$169,SwaptionMonthsToGo+SwaptionShift),INDEX($FK$245:$ID$316,$FJ235-GG$169,73-GG$169+SwaptionShift):INDEX($FK$245:$ID$316,$FJ235-GG$169,72-GG$169+SwaptionMonthsToGo+SwaptionShift))/SQRT(SUM(INDEX($FK390:$ID390,1+SwaptionShift):INDEX($FK390:$ID390,SwaptionMonthsToGo+SwaptionShift))*SUM(INDEX($FK$325:$ID$396,GG$169,1+SwaptionShift):INDEX($FK$325:$ID$396,GG$169,SwaptionMonthsToGo+SwaptionShift))))))</f>
        <v/>
      </c>
      <c r="GH235" s="479" t="str">
        <f ca="1">IF(OR(GH$169&lt;SwaptionFirstMonthPosition+1,$FJ235&lt;SwaptionFirstMonthPosition+1,GH$169&gt;SwaptionFirstMonthPosition+SwaptionNumOfMonths+1,$FJ235&gt;SwaptionFirstMonthPosition+SwaptionNumOfMonths+1),"",IF($FJ235=GH$169,1,IF($FJ235&lt;GH$169,INDEX($FK$170:$ID$241,GH$169,$FJ235),SUMPRODUCT(INDEX($FK$325:$ID$396,GH$169,1+SwaptionShift):INDEX($FK$325:$ID$396,GH$169,SwaptionMonthsToGo+SwaptionShift),INDEX($FK$245:$ID$316,$FJ235-GH$169,73-GH$169+SwaptionShift):INDEX($FK$245:$ID$316,$FJ235-GH$169,72-GH$169+SwaptionMonthsToGo+SwaptionShift))/SQRT(SUM(INDEX($FK390:$ID390,1+SwaptionShift):INDEX($FK390:$ID390,SwaptionMonthsToGo+SwaptionShift))*SUM(INDEX($FK$325:$ID$396,GH$169,1+SwaptionShift):INDEX($FK$325:$ID$396,GH$169,SwaptionMonthsToGo+SwaptionShift))))))</f>
        <v/>
      </c>
      <c r="GI235" s="479" t="str">
        <f ca="1">IF(OR(GI$169&lt;SwaptionFirstMonthPosition+1,$FJ235&lt;SwaptionFirstMonthPosition+1,GI$169&gt;SwaptionFirstMonthPosition+SwaptionNumOfMonths+1,$FJ235&gt;SwaptionFirstMonthPosition+SwaptionNumOfMonths+1),"",IF($FJ235=GI$169,1,IF($FJ235&lt;GI$169,INDEX($FK$170:$ID$241,GI$169,$FJ235),SUMPRODUCT(INDEX($FK$325:$ID$396,GI$169,1+SwaptionShift):INDEX($FK$325:$ID$396,GI$169,SwaptionMonthsToGo+SwaptionShift),INDEX($FK$245:$ID$316,$FJ235-GI$169,73-GI$169+SwaptionShift):INDEX($FK$245:$ID$316,$FJ235-GI$169,72-GI$169+SwaptionMonthsToGo+SwaptionShift))/SQRT(SUM(INDEX($FK390:$ID390,1+SwaptionShift):INDEX($FK390:$ID390,SwaptionMonthsToGo+SwaptionShift))*SUM(INDEX($FK$325:$ID$396,GI$169,1+SwaptionShift):INDEX($FK$325:$ID$396,GI$169,SwaptionMonthsToGo+SwaptionShift))))))</f>
        <v/>
      </c>
      <c r="GJ235" s="479" t="str">
        <f ca="1">IF(OR(GJ$169&lt;SwaptionFirstMonthPosition+1,$FJ235&lt;SwaptionFirstMonthPosition+1,GJ$169&gt;SwaptionFirstMonthPosition+SwaptionNumOfMonths+1,$FJ235&gt;SwaptionFirstMonthPosition+SwaptionNumOfMonths+1),"",IF($FJ235=GJ$169,1,IF($FJ235&lt;GJ$169,INDEX($FK$170:$ID$241,GJ$169,$FJ235),SUMPRODUCT(INDEX($FK$325:$ID$396,GJ$169,1+SwaptionShift):INDEX($FK$325:$ID$396,GJ$169,SwaptionMonthsToGo+SwaptionShift),INDEX($FK$245:$ID$316,$FJ235-GJ$169,73-GJ$169+SwaptionShift):INDEX($FK$245:$ID$316,$FJ235-GJ$169,72-GJ$169+SwaptionMonthsToGo+SwaptionShift))/SQRT(SUM(INDEX($FK390:$ID390,1+SwaptionShift):INDEX($FK390:$ID390,SwaptionMonthsToGo+SwaptionShift))*SUM(INDEX($FK$325:$ID$396,GJ$169,1+SwaptionShift):INDEX($FK$325:$ID$396,GJ$169,SwaptionMonthsToGo+SwaptionShift))))))</f>
        <v/>
      </c>
      <c r="GK235" s="479" t="str">
        <f ca="1">IF(OR(GK$169&lt;SwaptionFirstMonthPosition+1,$FJ235&lt;SwaptionFirstMonthPosition+1,GK$169&gt;SwaptionFirstMonthPosition+SwaptionNumOfMonths+1,$FJ235&gt;SwaptionFirstMonthPosition+SwaptionNumOfMonths+1),"",IF($FJ235=GK$169,1,IF($FJ235&lt;GK$169,INDEX($FK$170:$ID$241,GK$169,$FJ235),SUMPRODUCT(INDEX($FK$325:$ID$396,GK$169,1+SwaptionShift):INDEX($FK$325:$ID$396,GK$169,SwaptionMonthsToGo+SwaptionShift),INDEX($FK$245:$ID$316,$FJ235-GK$169,73-GK$169+SwaptionShift):INDEX($FK$245:$ID$316,$FJ235-GK$169,72-GK$169+SwaptionMonthsToGo+SwaptionShift))/SQRT(SUM(INDEX($FK390:$ID390,1+SwaptionShift):INDEX($FK390:$ID390,SwaptionMonthsToGo+SwaptionShift))*SUM(INDEX($FK$325:$ID$396,GK$169,1+SwaptionShift):INDEX($FK$325:$ID$396,GK$169,SwaptionMonthsToGo+SwaptionShift))))))</f>
        <v/>
      </c>
      <c r="GL235" s="479" t="str">
        <f ca="1">IF(OR(GL$169&lt;SwaptionFirstMonthPosition+1,$FJ235&lt;SwaptionFirstMonthPosition+1,GL$169&gt;SwaptionFirstMonthPosition+SwaptionNumOfMonths+1,$FJ235&gt;SwaptionFirstMonthPosition+SwaptionNumOfMonths+1),"",IF($FJ235=GL$169,1,IF($FJ235&lt;GL$169,INDEX($FK$170:$ID$241,GL$169,$FJ235),SUMPRODUCT(INDEX($FK$325:$ID$396,GL$169,1+SwaptionShift):INDEX($FK$325:$ID$396,GL$169,SwaptionMonthsToGo+SwaptionShift),INDEX($FK$245:$ID$316,$FJ235-GL$169,73-GL$169+SwaptionShift):INDEX($FK$245:$ID$316,$FJ235-GL$169,72-GL$169+SwaptionMonthsToGo+SwaptionShift))/SQRT(SUM(INDEX($FK390:$ID390,1+SwaptionShift):INDEX($FK390:$ID390,SwaptionMonthsToGo+SwaptionShift))*SUM(INDEX($FK$325:$ID$396,GL$169,1+SwaptionShift):INDEX($FK$325:$ID$396,GL$169,SwaptionMonthsToGo+SwaptionShift))))))</f>
        <v/>
      </c>
      <c r="GM235" s="479" t="str">
        <f ca="1">IF(OR(GM$169&lt;SwaptionFirstMonthPosition+1,$FJ235&lt;SwaptionFirstMonthPosition+1,GM$169&gt;SwaptionFirstMonthPosition+SwaptionNumOfMonths+1,$FJ235&gt;SwaptionFirstMonthPosition+SwaptionNumOfMonths+1),"",IF($FJ235=GM$169,1,IF($FJ235&lt;GM$169,INDEX($FK$170:$ID$241,GM$169,$FJ235),SUMPRODUCT(INDEX($FK$325:$ID$396,GM$169,1+SwaptionShift):INDEX($FK$325:$ID$396,GM$169,SwaptionMonthsToGo+SwaptionShift),INDEX($FK$245:$ID$316,$FJ235-GM$169,73-GM$169+SwaptionShift):INDEX($FK$245:$ID$316,$FJ235-GM$169,72-GM$169+SwaptionMonthsToGo+SwaptionShift))/SQRT(SUM(INDEX($FK390:$ID390,1+SwaptionShift):INDEX($FK390:$ID390,SwaptionMonthsToGo+SwaptionShift))*SUM(INDEX($FK$325:$ID$396,GM$169,1+SwaptionShift):INDEX($FK$325:$ID$396,GM$169,SwaptionMonthsToGo+SwaptionShift))))))</f>
        <v/>
      </c>
      <c r="GN235" s="479" t="str">
        <f ca="1">IF(OR(GN$169&lt;SwaptionFirstMonthPosition+1,$FJ235&lt;SwaptionFirstMonthPosition+1,GN$169&gt;SwaptionFirstMonthPosition+SwaptionNumOfMonths+1,$FJ235&gt;SwaptionFirstMonthPosition+SwaptionNumOfMonths+1),"",IF($FJ235=GN$169,1,IF($FJ235&lt;GN$169,INDEX($FK$170:$ID$241,GN$169,$FJ235),SUMPRODUCT(INDEX($FK$325:$ID$396,GN$169,1+SwaptionShift):INDEX($FK$325:$ID$396,GN$169,SwaptionMonthsToGo+SwaptionShift),INDEX($FK$245:$ID$316,$FJ235-GN$169,73-GN$169+SwaptionShift):INDEX($FK$245:$ID$316,$FJ235-GN$169,72-GN$169+SwaptionMonthsToGo+SwaptionShift))/SQRT(SUM(INDEX($FK390:$ID390,1+SwaptionShift):INDEX($FK390:$ID390,SwaptionMonthsToGo+SwaptionShift))*SUM(INDEX($FK$325:$ID$396,GN$169,1+SwaptionShift):INDEX($FK$325:$ID$396,GN$169,SwaptionMonthsToGo+SwaptionShift))))))</f>
        <v/>
      </c>
      <c r="GO235" s="479" t="str">
        <f ca="1">IF(OR(GO$169&lt;SwaptionFirstMonthPosition+1,$FJ235&lt;SwaptionFirstMonthPosition+1,GO$169&gt;SwaptionFirstMonthPosition+SwaptionNumOfMonths+1,$FJ235&gt;SwaptionFirstMonthPosition+SwaptionNumOfMonths+1),"",IF($FJ235=GO$169,1,IF($FJ235&lt;GO$169,INDEX($FK$170:$ID$241,GO$169,$FJ235),SUMPRODUCT(INDEX($FK$325:$ID$396,GO$169,1+SwaptionShift):INDEX($FK$325:$ID$396,GO$169,SwaptionMonthsToGo+SwaptionShift),INDEX($FK$245:$ID$316,$FJ235-GO$169,73-GO$169+SwaptionShift):INDEX($FK$245:$ID$316,$FJ235-GO$169,72-GO$169+SwaptionMonthsToGo+SwaptionShift))/SQRT(SUM(INDEX($FK390:$ID390,1+SwaptionShift):INDEX($FK390:$ID390,SwaptionMonthsToGo+SwaptionShift))*SUM(INDEX($FK$325:$ID$396,GO$169,1+SwaptionShift):INDEX($FK$325:$ID$396,GO$169,SwaptionMonthsToGo+SwaptionShift))))))</f>
        <v/>
      </c>
      <c r="GP235" s="479" t="str">
        <f ca="1">IF(OR(GP$169&lt;SwaptionFirstMonthPosition+1,$FJ235&lt;SwaptionFirstMonthPosition+1,GP$169&gt;SwaptionFirstMonthPosition+SwaptionNumOfMonths+1,$FJ235&gt;SwaptionFirstMonthPosition+SwaptionNumOfMonths+1),"",IF($FJ235=GP$169,1,IF($FJ235&lt;GP$169,INDEX($FK$170:$ID$241,GP$169,$FJ235),SUMPRODUCT(INDEX($FK$325:$ID$396,GP$169,1+SwaptionShift):INDEX($FK$325:$ID$396,GP$169,SwaptionMonthsToGo+SwaptionShift),INDEX($FK$245:$ID$316,$FJ235-GP$169,73-GP$169+SwaptionShift):INDEX($FK$245:$ID$316,$FJ235-GP$169,72-GP$169+SwaptionMonthsToGo+SwaptionShift))/SQRT(SUM(INDEX($FK390:$ID390,1+SwaptionShift):INDEX($FK390:$ID390,SwaptionMonthsToGo+SwaptionShift))*SUM(INDEX($FK$325:$ID$396,GP$169,1+SwaptionShift):INDEX($FK$325:$ID$396,GP$169,SwaptionMonthsToGo+SwaptionShift))))))</f>
        <v/>
      </c>
      <c r="GQ235" s="479" t="str">
        <f ca="1">IF(OR(GQ$169&lt;SwaptionFirstMonthPosition+1,$FJ235&lt;SwaptionFirstMonthPosition+1,GQ$169&gt;SwaptionFirstMonthPosition+SwaptionNumOfMonths+1,$FJ235&gt;SwaptionFirstMonthPosition+SwaptionNumOfMonths+1),"",IF($FJ235=GQ$169,1,IF($FJ235&lt;GQ$169,INDEX($FK$170:$ID$241,GQ$169,$FJ235),SUMPRODUCT(INDEX($FK$325:$ID$396,GQ$169,1+SwaptionShift):INDEX($FK$325:$ID$396,GQ$169,SwaptionMonthsToGo+SwaptionShift),INDEX($FK$245:$ID$316,$FJ235-GQ$169,73-GQ$169+SwaptionShift):INDEX($FK$245:$ID$316,$FJ235-GQ$169,72-GQ$169+SwaptionMonthsToGo+SwaptionShift))/SQRT(SUM(INDEX($FK390:$ID390,1+SwaptionShift):INDEX($FK390:$ID390,SwaptionMonthsToGo+SwaptionShift))*SUM(INDEX($FK$325:$ID$396,GQ$169,1+SwaptionShift):INDEX($FK$325:$ID$396,GQ$169,SwaptionMonthsToGo+SwaptionShift))))))</f>
        <v/>
      </c>
      <c r="GR235" s="479" t="str">
        <f ca="1">IF(OR(GR$169&lt;SwaptionFirstMonthPosition+1,$FJ235&lt;SwaptionFirstMonthPosition+1,GR$169&gt;SwaptionFirstMonthPosition+SwaptionNumOfMonths+1,$FJ235&gt;SwaptionFirstMonthPosition+SwaptionNumOfMonths+1),"",IF($FJ235=GR$169,1,IF($FJ235&lt;GR$169,INDEX($FK$170:$ID$241,GR$169,$FJ235),SUMPRODUCT(INDEX($FK$325:$ID$396,GR$169,1+SwaptionShift):INDEX($FK$325:$ID$396,GR$169,SwaptionMonthsToGo+SwaptionShift),INDEX($FK$245:$ID$316,$FJ235-GR$169,73-GR$169+SwaptionShift):INDEX($FK$245:$ID$316,$FJ235-GR$169,72-GR$169+SwaptionMonthsToGo+SwaptionShift))/SQRT(SUM(INDEX($FK390:$ID390,1+SwaptionShift):INDEX($FK390:$ID390,SwaptionMonthsToGo+SwaptionShift))*SUM(INDEX($FK$325:$ID$396,GR$169,1+SwaptionShift):INDEX($FK$325:$ID$396,GR$169,SwaptionMonthsToGo+SwaptionShift))))))</f>
        <v/>
      </c>
      <c r="GS235" s="479" t="str">
        <f ca="1">IF(OR(GS$169&lt;SwaptionFirstMonthPosition+1,$FJ235&lt;SwaptionFirstMonthPosition+1,GS$169&gt;SwaptionFirstMonthPosition+SwaptionNumOfMonths+1,$FJ235&gt;SwaptionFirstMonthPosition+SwaptionNumOfMonths+1),"",IF($FJ235=GS$169,1,IF($FJ235&lt;GS$169,INDEX($FK$170:$ID$241,GS$169,$FJ235),SUMPRODUCT(INDEX($FK$325:$ID$396,GS$169,1+SwaptionShift):INDEX($FK$325:$ID$396,GS$169,SwaptionMonthsToGo+SwaptionShift),INDEX($FK$245:$ID$316,$FJ235-GS$169,73-GS$169+SwaptionShift):INDEX($FK$245:$ID$316,$FJ235-GS$169,72-GS$169+SwaptionMonthsToGo+SwaptionShift))/SQRT(SUM(INDEX($FK390:$ID390,1+SwaptionShift):INDEX($FK390:$ID390,SwaptionMonthsToGo+SwaptionShift))*SUM(INDEX($FK$325:$ID$396,GS$169,1+SwaptionShift):INDEX($FK$325:$ID$396,GS$169,SwaptionMonthsToGo+SwaptionShift))))))</f>
        <v/>
      </c>
      <c r="GT235" s="479" t="str">
        <f ca="1">IF(OR(GT$169&lt;SwaptionFirstMonthPosition+1,$FJ235&lt;SwaptionFirstMonthPosition+1,GT$169&gt;SwaptionFirstMonthPosition+SwaptionNumOfMonths+1,$FJ235&gt;SwaptionFirstMonthPosition+SwaptionNumOfMonths+1),"",IF($FJ235=GT$169,1,IF($FJ235&lt;GT$169,INDEX($FK$170:$ID$241,GT$169,$FJ235),SUMPRODUCT(INDEX($FK$325:$ID$396,GT$169,1+SwaptionShift):INDEX($FK$325:$ID$396,GT$169,SwaptionMonthsToGo+SwaptionShift),INDEX($FK$245:$ID$316,$FJ235-GT$169,73-GT$169+SwaptionShift):INDEX($FK$245:$ID$316,$FJ235-GT$169,72-GT$169+SwaptionMonthsToGo+SwaptionShift))/SQRT(SUM(INDEX($FK390:$ID390,1+SwaptionShift):INDEX($FK390:$ID390,SwaptionMonthsToGo+SwaptionShift))*SUM(INDEX($FK$325:$ID$396,GT$169,1+SwaptionShift):INDEX($FK$325:$ID$396,GT$169,SwaptionMonthsToGo+SwaptionShift))))))</f>
        <v/>
      </c>
      <c r="GU235" s="479" t="str">
        <f ca="1">IF(OR(GU$169&lt;SwaptionFirstMonthPosition+1,$FJ235&lt;SwaptionFirstMonthPosition+1,GU$169&gt;SwaptionFirstMonthPosition+SwaptionNumOfMonths+1,$FJ235&gt;SwaptionFirstMonthPosition+SwaptionNumOfMonths+1),"",IF($FJ235=GU$169,1,IF($FJ235&lt;GU$169,INDEX($FK$170:$ID$241,GU$169,$FJ235),SUMPRODUCT(INDEX($FK$325:$ID$396,GU$169,1+SwaptionShift):INDEX($FK$325:$ID$396,GU$169,SwaptionMonthsToGo+SwaptionShift),INDEX($FK$245:$ID$316,$FJ235-GU$169,73-GU$169+SwaptionShift):INDEX($FK$245:$ID$316,$FJ235-GU$169,72-GU$169+SwaptionMonthsToGo+SwaptionShift))/SQRT(SUM(INDEX($FK390:$ID390,1+SwaptionShift):INDEX($FK390:$ID390,SwaptionMonthsToGo+SwaptionShift))*SUM(INDEX($FK$325:$ID$396,GU$169,1+SwaptionShift):INDEX($FK$325:$ID$396,GU$169,SwaptionMonthsToGo+SwaptionShift))))))</f>
        <v/>
      </c>
      <c r="GV235" s="479" t="str">
        <f ca="1">IF(OR(GV$169&lt;SwaptionFirstMonthPosition+1,$FJ235&lt;SwaptionFirstMonthPosition+1,GV$169&gt;SwaptionFirstMonthPosition+SwaptionNumOfMonths+1,$FJ235&gt;SwaptionFirstMonthPosition+SwaptionNumOfMonths+1),"",IF($FJ235=GV$169,1,IF($FJ235&lt;GV$169,INDEX($FK$170:$ID$241,GV$169,$FJ235),SUMPRODUCT(INDEX($FK$325:$ID$396,GV$169,1+SwaptionShift):INDEX($FK$325:$ID$396,GV$169,SwaptionMonthsToGo+SwaptionShift),INDEX($FK$245:$ID$316,$FJ235-GV$169,73-GV$169+SwaptionShift):INDEX($FK$245:$ID$316,$FJ235-GV$169,72-GV$169+SwaptionMonthsToGo+SwaptionShift))/SQRT(SUM(INDEX($FK390:$ID390,1+SwaptionShift):INDEX($FK390:$ID390,SwaptionMonthsToGo+SwaptionShift))*SUM(INDEX($FK$325:$ID$396,GV$169,1+SwaptionShift):INDEX($FK$325:$ID$396,GV$169,SwaptionMonthsToGo+SwaptionShift))))))</f>
        <v/>
      </c>
      <c r="GW235" s="479" t="str">
        <f ca="1">IF(OR(GW$169&lt;SwaptionFirstMonthPosition+1,$FJ235&lt;SwaptionFirstMonthPosition+1,GW$169&gt;SwaptionFirstMonthPosition+SwaptionNumOfMonths+1,$FJ235&gt;SwaptionFirstMonthPosition+SwaptionNumOfMonths+1),"",IF($FJ235=GW$169,1,IF($FJ235&lt;GW$169,INDEX($FK$170:$ID$241,GW$169,$FJ235),SUMPRODUCT(INDEX($FK$325:$ID$396,GW$169,1+SwaptionShift):INDEX($FK$325:$ID$396,GW$169,SwaptionMonthsToGo+SwaptionShift),INDEX($FK$245:$ID$316,$FJ235-GW$169,73-GW$169+SwaptionShift):INDEX($FK$245:$ID$316,$FJ235-GW$169,72-GW$169+SwaptionMonthsToGo+SwaptionShift))/SQRT(SUM(INDEX($FK390:$ID390,1+SwaptionShift):INDEX($FK390:$ID390,SwaptionMonthsToGo+SwaptionShift))*SUM(INDEX($FK$325:$ID$396,GW$169,1+SwaptionShift):INDEX($FK$325:$ID$396,GW$169,SwaptionMonthsToGo+SwaptionShift))))))</f>
        <v/>
      </c>
      <c r="GX235" s="479" t="str">
        <f ca="1">IF(OR(GX$169&lt;SwaptionFirstMonthPosition+1,$FJ235&lt;SwaptionFirstMonthPosition+1,GX$169&gt;SwaptionFirstMonthPosition+SwaptionNumOfMonths+1,$FJ235&gt;SwaptionFirstMonthPosition+SwaptionNumOfMonths+1),"",IF($FJ235=GX$169,1,IF($FJ235&lt;GX$169,INDEX($FK$170:$ID$241,GX$169,$FJ235),SUMPRODUCT(INDEX($FK$325:$ID$396,GX$169,1+SwaptionShift):INDEX($FK$325:$ID$396,GX$169,SwaptionMonthsToGo+SwaptionShift),INDEX($FK$245:$ID$316,$FJ235-GX$169,73-GX$169+SwaptionShift):INDEX($FK$245:$ID$316,$FJ235-GX$169,72-GX$169+SwaptionMonthsToGo+SwaptionShift))/SQRT(SUM(INDEX($FK390:$ID390,1+SwaptionShift):INDEX($FK390:$ID390,SwaptionMonthsToGo+SwaptionShift))*SUM(INDEX($FK$325:$ID$396,GX$169,1+SwaptionShift):INDEX($FK$325:$ID$396,GX$169,SwaptionMonthsToGo+SwaptionShift))))))</f>
        <v/>
      </c>
      <c r="GY235" s="479" t="str">
        <f ca="1">IF(OR(GY$169&lt;SwaptionFirstMonthPosition+1,$FJ235&lt;SwaptionFirstMonthPosition+1,GY$169&gt;SwaptionFirstMonthPosition+SwaptionNumOfMonths+1,$FJ235&gt;SwaptionFirstMonthPosition+SwaptionNumOfMonths+1),"",IF($FJ235=GY$169,1,IF($FJ235&lt;GY$169,INDEX($FK$170:$ID$241,GY$169,$FJ235),SUMPRODUCT(INDEX($FK$325:$ID$396,GY$169,1+SwaptionShift):INDEX($FK$325:$ID$396,GY$169,SwaptionMonthsToGo+SwaptionShift),INDEX($FK$245:$ID$316,$FJ235-GY$169,73-GY$169+SwaptionShift):INDEX($FK$245:$ID$316,$FJ235-GY$169,72-GY$169+SwaptionMonthsToGo+SwaptionShift))/SQRT(SUM(INDEX($FK390:$ID390,1+SwaptionShift):INDEX($FK390:$ID390,SwaptionMonthsToGo+SwaptionShift))*SUM(INDEX($FK$325:$ID$396,GY$169,1+SwaptionShift):INDEX($FK$325:$ID$396,GY$169,SwaptionMonthsToGo+SwaptionShift))))))</f>
        <v/>
      </c>
      <c r="GZ235" s="479" t="str">
        <f ca="1">IF(OR(GZ$169&lt;SwaptionFirstMonthPosition+1,$FJ235&lt;SwaptionFirstMonthPosition+1,GZ$169&gt;SwaptionFirstMonthPosition+SwaptionNumOfMonths+1,$FJ235&gt;SwaptionFirstMonthPosition+SwaptionNumOfMonths+1),"",IF($FJ235=GZ$169,1,IF($FJ235&lt;GZ$169,INDEX($FK$170:$ID$241,GZ$169,$FJ235),SUMPRODUCT(INDEX($FK$325:$ID$396,GZ$169,1+SwaptionShift):INDEX($FK$325:$ID$396,GZ$169,SwaptionMonthsToGo+SwaptionShift),INDEX($FK$245:$ID$316,$FJ235-GZ$169,73-GZ$169+SwaptionShift):INDEX($FK$245:$ID$316,$FJ235-GZ$169,72-GZ$169+SwaptionMonthsToGo+SwaptionShift))/SQRT(SUM(INDEX($FK390:$ID390,1+SwaptionShift):INDEX($FK390:$ID390,SwaptionMonthsToGo+SwaptionShift))*SUM(INDEX($FK$325:$ID$396,GZ$169,1+SwaptionShift):INDEX($FK$325:$ID$396,GZ$169,SwaptionMonthsToGo+SwaptionShift))))))</f>
        <v/>
      </c>
      <c r="HA235" s="479" t="str">
        <f ca="1">IF(OR(HA$169&lt;SwaptionFirstMonthPosition+1,$FJ235&lt;SwaptionFirstMonthPosition+1,HA$169&gt;SwaptionFirstMonthPosition+SwaptionNumOfMonths+1,$FJ235&gt;SwaptionFirstMonthPosition+SwaptionNumOfMonths+1),"",IF($FJ235=HA$169,1,IF($FJ235&lt;HA$169,INDEX($FK$170:$ID$241,HA$169,$FJ235),SUMPRODUCT(INDEX($FK$325:$ID$396,HA$169,1+SwaptionShift):INDEX($FK$325:$ID$396,HA$169,SwaptionMonthsToGo+SwaptionShift),INDEX($FK$245:$ID$316,$FJ235-HA$169,73-HA$169+SwaptionShift):INDEX($FK$245:$ID$316,$FJ235-HA$169,72-HA$169+SwaptionMonthsToGo+SwaptionShift))/SQRT(SUM(INDEX($FK390:$ID390,1+SwaptionShift):INDEX($FK390:$ID390,SwaptionMonthsToGo+SwaptionShift))*SUM(INDEX($FK$325:$ID$396,HA$169,1+SwaptionShift):INDEX($FK$325:$ID$396,HA$169,SwaptionMonthsToGo+SwaptionShift))))))</f>
        <v/>
      </c>
      <c r="HB235" s="479" t="str">
        <f ca="1">IF(OR(HB$169&lt;SwaptionFirstMonthPosition+1,$FJ235&lt;SwaptionFirstMonthPosition+1,HB$169&gt;SwaptionFirstMonthPosition+SwaptionNumOfMonths+1,$FJ235&gt;SwaptionFirstMonthPosition+SwaptionNumOfMonths+1),"",IF($FJ235=HB$169,1,IF($FJ235&lt;HB$169,INDEX($FK$170:$ID$241,HB$169,$FJ235),SUMPRODUCT(INDEX($FK$325:$ID$396,HB$169,1+SwaptionShift):INDEX($FK$325:$ID$396,HB$169,SwaptionMonthsToGo+SwaptionShift),INDEX($FK$245:$ID$316,$FJ235-HB$169,73-HB$169+SwaptionShift):INDEX($FK$245:$ID$316,$FJ235-HB$169,72-HB$169+SwaptionMonthsToGo+SwaptionShift))/SQRT(SUM(INDEX($FK390:$ID390,1+SwaptionShift):INDEX($FK390:$ID390,SwaptionMonthsToGo+SwaptionShift))*SUM(INDEX($FK$325:$ID$396,HB$169,1+SwaptionShift):INDEX($FK$325:$ID$396,HB$169,SwaptionMonthsToGo+SwaptionShift))))))</f>
        <v/>
      </c>
      <c r="HC235" s="479" t="str">
        <f ca="1">IF(OR(HC$169&lt;SwaptionFirstMonthPosition+1,$FJ235&lt;SwaptionFirstMonthPosition+1,HC$169&gt;SwaptionFirstMonthPosition+SwaptionNumOfMonths+1,$FJ235&gt;SwaptionFirstMonthPosition+SwaptionNumOfMonths+1),"",IF($FJ235=HC$169,1,IF($FJ235&lt;HC$169,INDEX($FK$170:$ID$241,HC$169,$FJ235),SUMPRODUCT(INDEX($FK$325:$ID$396,HC$169,1+SwaptionShift):INDEX($FK$325:$ID$396,HC$169,SwaptionMonthsToGo+SwaptionShift),INDEX($FK$245:$ID$316,$FJ235-HC$169,73-HC$169+SwaptionShift):INDEX($FK$245:$ID$316,$FJ235-HC$169,72-HC$169+SwaptionMonthsToGo+SwaptionShift))/SQRT(SUM(INDEX($FK390:$ID390,1+SwaptionShift):INDEX($FK390:$ID390,SwaptionMonthsToGo+SwaptionShift))*SUM(INDEX($FK$325:$ID$396,HC$169,1+SwaptionShift):INDEX($FK$325:$ID$396,HC$169,SwaptionMonthsToGo+SwaptionShift))))))</f>
        <v/>
      </c>
      <c r="HD235" s="479" t="str">
        <f ca="1">IF(OR(HD$169&lt;SwaptionFirstMonthPosition+1,$FJ235&lt;SwaptionFirstMonthPosition+1,HD$169&gt;SwaptionFirstMonthPosition+SwaptionNumOfMonths+1,$FJ235&gt;SwaptionFirstMonthPosition+SwaptionNumOfMonths+1),"",IF($FJ235=HD$169,1,IF($FJ235&lt;HD$169,INDEX($FK$170:$ID$241,HD$169,$FJ235),SUMPRODUCT(INDEX($FK$325:$ID$396,HD$169,1+SwaptionShift):INDEX($FK$325:$ID$396,HD$169,SwaptionMonthsToGo+SwaptionShift),INDEX($FK$245:$ID$316,$FJ235-HD$169,73-HD$169+SwaptionShift):INDEX($FK$245:$ID$316,$FJ235-HD$169,72-HD$169+SwaptionMonthsToGo+SwaptionShift))/SQRT(SUM(INDEX($FK390:$ID390,1+SwaptionShift):INDEX($FK390:$ID390,SwaptionMonthsToGo+SwaptionShift))*SUM(INDEX($FK$325:$ID$396,HD$169,1+SwaptionShift):INDEX($FK$325:$ID$396,HD$169,SwaptionMonthsToGo+SwaptionShift))))))</f>
        <v/>
      </c>
      <c r="HE235" s="479" t="str">
        <f ca="1">IF(OR(HE$169&lt;SwaptionFirstMonthPosition+1,$FJ235&lt;SwaptionFirstMonthPosition+1,HE$169&gt;SwaptionFirstMonthPosition+SwaptionNumOfMonths+1,$FJ235&gt;SwaptionFirstMonthPosition+SwaptionNumOfMonths+1),"",IF($FJ235=HE$169,1,IF($FJ235&lt;HE$169,INDEX($FK$170:$ID$241,HE$169,$FJ235),SUMPRODUCT(INDEX($FK$325:$ID$396,HE$169,1+SwaptionShift):INDEX($FK$325:$ID$396,HE$169,SwaptionMonthsToGo+SwaptionShift),INDEX($FK$245:$ID$316,$FJ235-HE$169,73-HE$169+SwaptionShift):INDEX($FK$245:$ID$316,$FJ235-HE$169,72-HE$169+SwaptionMonthsToGo+SwaptionShift))/SQRT(SUM(INDEX($FK390:$ID390,1+SwaptionShift):INDEX($FK390:$ID390,SwaptionMonthsToGo+SwaptionShift))*SUM(INDEX($FK$325:$ID$396,HE$169,1+SwaptionShift):INDEX($FK$325:$ID$396,HE$169,SwaptionMonthsToGo+SwaptionShift))))))</f>
        <v/>
      </c>
      <c r="HF235" s="479" t="str">
        <f ca="1">IF(OR(HF$169&lt;SwaptionFirstMonthPosition+1,$FJ235&lt;SwaptionFirstMonthPosition+1,HF$169&gt;SwaptionFirstMonthPosition+SwaptionNumOfMonths+1,$FJ235&gt;SwaptionFirstMonthPosition+SwaptionNumOfMonths+1),"",IF($FJ235=HF$169,1,IF($FJ235&lt;HF$169,INDEX($FK$170:$ID$241,HF$169,$FJ235),SUMPRODUCT(INDEX($FK$325:$ID$396,HF$169,1+SwaptionShift):INDEX($FK$325:$ID$396,HF$169,SwaptionMonthsToGo+SwaptionShift),INDEX($FK$245:$ID$316,$FJ235-HF$169,73-HF$169+SwaptionShift):INDEX($FK$245:$ID$316,$FJ235-HF$169,72-HF$169+SwaptionMonthsToGo+SwaptionShift))/SQRT(SUM(INDEX($FK390:$ID390,1+SwaptionShift):INDEX($FK390:$ID390,SwaptionMonthsToGo+SwaptionShift))*SUM(INDEX($FK$325:$ID$396,HF$169,1+SwaptionShift):INDEX($FK$325:$ID$396,HF$169,SwaptionMonthsToGo+SwaptionShift))))))</f>
        <v/>
      </c>
      <c r="HG235" s="479" t="str">
        <f ca="1">IF(OR(HG$169&lt;SwaptionFirstMonthPosition+1,$FJ235&lt;SwaptionFirstMonthPosition+1,HG$169&gt;SwaptionFirstMonthPosition+SwaptionNumOfMonths+1,$FJ235&gt;SwaptionFirstMonthPosition+SwaptionNumOfMonths+1),"",IF($FJ235=HG$169,1,IF($FJ235&lt;HG$169,INDEX($FK$170:$ID$241,HG$169,$FJ235),SUMPRODUCT(INDEX($FK$325:$ID$396,HG$169,1+SwaptionShift):INDEX($FK$325:$ID$396,HG$169,SwaptionMonthsToGo+SwaptionShift),INDEX($FK$245:$ID$316,$FJ235-HG$169,73-HG$169+SwaptionShift):INDEX($FK$245:$ID$316,$FJ235-HG$169,72-HG$169+SwaptionMonthsToGo+SwaptionShift))/SQRT(SUM(INDEX($FK390:$ID390,1+SwaptionShift):INDEX($FK390:$ID390,SwaptionMonthsToGo+SwaptionShift))*SUM(INDEX($FK$325:$ID$396,HG$169,1+SwaptionShift):INDEX($FK$325:$ID$396,HG$169,SwaptionMonthsToGo+SwaptionShift))))))</f>
        <v/>
      </c>
      <c r="HH235" s="479" t="str">
        <f ca="1">IF(OR(HH$169&lt;SwaptionFirstMonthPosition+1,$FJ235&lt;SwaptionFirstMonthPosition+1,HH$169&gt;SwaptionFirstMonthPosition+SwaptionNumOfMonths+1,$FJ235&gt;SwaptionFirstMonthPosition+SwaptionNumOfMonths+1),"",IF($FJ235=HH$169,1,IF($FJ235&lt;HH$169,INDEX($FK$170:$ID$241,HH$169,$FJ235),SUMPRODUCT(INDEX($FK$325:$ID$396,HH$169,1+SwaptionShift):INDEX($FK$325:$ID$396,HH$169,SwaptionMonthsToGo+SwaptionShift),INDEX($FK$245:$ID$316,$FJ235-HH$169,73-HH$169+SwaptionShift):INDEX($FK$245:$ID$316,$FJ235-HH$169,72-HH$169+SwaptionMonthsToGo+SwaptionShift))/SQRT(SUM(INDEX($FK390:$ID390,1+SwaptionShift):INDEX($FK390:$ID390,SwaptionMonthsToGo+SwaptionShift))*SUM(INDEX($FK$325:$ID$396,HH$169,1+SwaptionShift):INDEX($FK$325:$ID$396,HH$169,SwaptionMonthsToGo+SwaptionShift))))))</f>
        <v/>
      </c>
      <c r="HI235" s="479" t="str">
        <f ca="1">IF(OR(HI$169&lt;SwaptionFirstMonthPosition+1,$FJ235&lt;SwaptionFirstMonthPosition+1,HI$169&gt;SwaptionFirstMonthPosition+SwaptionNumOfMonths+1,$FJ235&gt;SwaptionFirstMonthPosition+SwaptionNumOfMonths+1),"",IF($FJ235=HI$169,1,IF($FJ235&lt;HI$169,INDEX($FK$170:$ID$241,HI$169,$FJ235),SUMPRODUCT(INDEX($FK$325:$ID$396,HI$169,1+SwaptionShift):INDEX($FK$325:$ID$396,HI$169,SwaptionMonthsToGo+SwaptionShift),INDEX($FK$245:$ID$316,$FJ235-HI$169,73-HI$169+SwaptionShift):INDEX($FK$245:$ID$316,$FJ235-HI$169,72-HI$169+SwaptionMonthsToGo+SwaptionShift))/SQRT(SUM(INDEX($FK390:$ID390,1+SwaptionShift):INDEX($FK390:$ID390,SwaptionMonthsToGo+SwaptionShift))*SUM(INDEX($FK$325:$ID$396,HI$169,1+SwaptionShift):INDEX($FK$325:$ID$396,HI$169,SwaptionMonthsToGo+SwaptionShift))))))</f>
        <v/>
      </c>
      <c r="HJ235" s="479" t="str">
        <f ca="1">IF(OR(HJ$169&lt;SwaptionFirstMonthPosition+1,$FJ235&lt;SwaptionFirstMonthPosition+1,HJ$169&gt;SwaptionFirstMonthPosition+SwaptionNumOfMonths+1,$FJ235&gt;SwaptionFirstMonthPosition+SwaptionNumOfMonths+1),"",IF($FJ235=HJ$169,1,IF($FJ235&lt;HJ$169,INDEX($FK$170:$ID$241,HJ$169,$FJ235),SUMPRODUCT(INDEX($FK$325:$ID$396,HJ$169,1+SwaptionShift):INDEX($FK$325:$ID$396,HJ$169,SwaptionMonthsToGo+SwaptionShift),INDEX($FK$245:$ID$316,$FJ235-HJ$169,73-HJ$169+SwaptionShift):INDEX($FK$245:$ID$316,$FJ235-HJ$169,72-HJ$169+SwaptionMonthsToGo+SwaptionShift))/SQRT(SUM(INDEX($FK390:$ID390,1+SwaptionShift):INDEX($FK390:$ID390,SwaptionMonthsToGo+SwaptionShift))*SUM(INDEX($FK$325:$ID$396,HJ$169,1+SwaptionShift):INDEX($FK$325:$ID$396,HJ$169,SwaptionMonthsToGo+SwaptionShift))))))</f>
        <v/>
      </c>
      <c r="HK235" s="479" t="str">
        <f ca="1">IF(OR(HK$169&lt;SwaptionFirstMonthPosition+1,$FJ235&lt;SwaptionFirstMonthPosition+1,HK$169&gt;SwaptionFirstMonthPosition+SwaptionNumOfMonths+1,$FJ235&gt;SwaptionFirstMonthPosition+SwaptionNumOfMonths+1),"",IF($FJ235=HK$169,1,IF($FJ235&lt;HK$169,INDEX($FK$170:$ID$241,HK$169,$FJ235),SUMPRODUCT(INDEX($FK$325:$ID$396,HK$169,1+SwaptionShift):INDEX($FK$325:$ID$396,HK$169,SwaptionMonthsToGo+SwaptionShift),INDEX($FK$245:$ID$316,$FJ235-HK$169,73-HK$169+SwaptionShift):INDEX($FK$245:$ID$316,$FJ235-HK$169,72-HK$169+SwaptionMonthsToGo+SwaptionShift))/SQRT(SUM(INDEX($FK390:$ID390,1+SwaptionShift):INDEX($FK390:$ID390,SwaptionMonthsToGo+SwaptionShift))*SUM(INDEX($FK$325:$ID$396,HK$169,1+SwaptionShift):INDEX($FK$325:$ID$396,HK$169,SwaptionMonthsToGo+SwaptionShift))))))</f>
        <v/>
      </c>
      <c r="HL235" s="479" t="str">
        <f ca="1">IF(OR(HL$169&lt;SwaptionFirstMonthPosition+1,$FJ235&lt;SwaptionFirstMonthPosition+1,HL$169&gt;SwaptionFirstMonthPosition+SwaptionNumOfMonths+1,$FJ235&gt;SwaptionFirstMonthPosition+SwaptionNumOfMonths+1),"",IF($FJ235=HL$169,1,IF($FJ235&lt;HL$169,INDEX($FK$170:$ID$241,HL$169,$FJ235),SUMPRODUCT(INDEX($FK$325:$ID$396,HL$169,1+SwaptionShift):INDEX($FK$325:$ID$396,HL$169,SwaptionMonthsToGo+SwaptionShift),INDEX($FK$245:$ID$316,$FJ235-HL$169,73-HL$169+SwaptionShift):INDEX($FK$245:$ID$316,$FJ235-HL$169,72-HL$169+SwaptionMonthsToGo+SwaptionShift))/SQRT(SUM(INDEX($FK390:$ID390,1+SwaptionShift):INDEX($FK390:$ID390,SwaptionMonthsToGo+SwaptionShift))*SUM(INDEX($FK$325:$ID$396,HL$169,1+SwaptionShift):INDEX($FK$325:$ID$396,HL$169,SwaptionMonthsToGo+SwaptionShift))))))</f>
        <v/>
      </c>
      <c r="HM235" s="479" t="str">
        <f ca="1">IF(OR(HM$169&lt;SwaptionFirstMonthPosition+1,$FJ235&lt;SwaptionFirstMonthPosition+1,HM$169&gt;SwaptionFirstMonthPosition+SwaptionNumOfMonths+1,$FJ235&gt;SwaptionFirstMonthPosition+SwaptionNumOfMonths+1),"",IF($FJ235=HM$169,1,IF($FJ235&lt;HM$169,INDEX($FK$170:$ID$241,HM$169,$FJ235),SUMPRODUCT(INDEX($FK$325:$ID$396,HM$169,1+SwaptionShift):INDEX($FK$325:$ID$396,HM$169,SwaptionMonthsToGo+SwaptionShift),INDEX($FK$245:$ID$316,$FJ235-HM$169,73-HM$169+SwaptionShift):INDEX($FK$245:$ID$316,$FJ235-HM$169,72-HM$169+SwaptionMonthsToGo+SwaptionShift))/SQRT(SUM(INDEX($FK390:$ID390,1+SwaptionShift):INDEX($FK390:$ID390,SwaptionMonthsToGo+SwaptionShift))*SUM(INDEX($FK$325:$ID$396,HM$169,1+SwaptionShift):INDEX($FK$325:$ID$396,HM$169,SwaptionMonthsToGo+SwaptionShift))))))</f>
        <v/>
      </c>
      <c r="HN235" s="479" t="str">
        <f ca="1">IF(OR(HN$169&lt;SwaptionFirstMonthPosition+1,$FJ235&lt;SwaptionFirstMonthPosition+1,HN$169&gt;SwaptionFirstMonthPosition+SwaptionNumOfMonths+1,$FJ235&gt;SwaptionFirstMonthPosition+SwaptionNumOfMonths+1),"",IF($FJ235=HN$169,1,IF($FJ235&lt;HN$169,INDEX($FK$170:$ID$241,HN$169,$FJ235),SUMPRODUCT(INDEX($FK$325:$ID$396,HN$169,1+SwaptionShift):INDEX($FK$325:$ID$396,HN$169,SwaptionMonthsToGo+SwaptionShift),INDEX($FK$245:$ID$316,$FJ235-HN$169,73-HN$169+SwaptionShift):INDEX($FK$245:$ID$316,$FJ235-HN$169,72-HN$169+SwaptionMonthsToGo+SwaptionShift))/SQRT(SUM(INDEX($FK390:$ID390,1+SwaptionShift):INDEX($FK390:$ID390,SwaptionMonthsToGo+SwaptionShift))*SUM(INDEX($FK$325:$ID$396,HN$169,1+SwaptionShift):INDEX($FK$325:$ID$396,HN$169,SwaptionMonthsToGo+SwaptionShift))))))</f>
        <v/>
      </c>
      <c r="HO235" s="479" t="str">
        <f ca="1">IF(OR(HO$169&lt;SwaptionFirstMonthPosition+1,$FJ235&lt;SwaptionFirstMonthPosition+1,HO$169&gt;SwaptionFirstMonthPosition+SwaptionNumOfMonths+1,$FJ235&gt;SwaptionFirstMonthPosition+SwaptionNumOfMonths+1),"",IF($FJ235=HO$169,1,IF($FJ235&lt;HO$169,INDEX($FK$170:$ID$241,HO$169,$FJ235),SUMPRODUCT(INDEX($FK$325:$ID$396,HO$169,1+SwaptionShift):INDEX($FK$325:$ID$396,HO$169,SwaptionMonthsToGo+SwaptionShift),INDEX($FK$245:$ID$316,$FJ235-HO$169,73-HO$169+SwaptionShift):INDEX($FK$245:$ID$316,$FJ235-HO$169,72-HO$169+SwaptionMonthsToGo+SwaptionShift))/SQRT(SUM(INDEX($FK390:$ID390,1+SwaptionShift):INDEX($FK390:$ID390,SwaptionMonthsToGo+SwaptionShift))*SUM(INDEX($FK$325:$ID$396,HO$169,1+SwaptionShift):INDEX($FK$325:$ID$396,HO$169,SwaptionMonthsToGo+SwaptionShift))))))</f>
        <v/>
      </c>
      <c r="HP235" s="479" t="str">
        <f ca="1">IF(OR(HP$169&lt;SwaptionFirstMonthPosition+1,$FJ235&lt;SwaptionFirstMonthPosition+1,HP$169&gt;SwaptionFirstMonthPosition+SwaptionNumOfMonths+1,$FJ235&gt;SwaptionFirstMonthPosition+SwaptionNumOfMonths+1),"",IF($FJ235=HP$169,1,IF($FJ235&lt;HP$169,INDEX($FK$170:$ID$241,HP$169,$FJ235),SUMPRODUCT(INDEX($FK$325:$ID$396,HP$169,1+SwaptionShift):INDEX($FK$325:$ID$396,HP$169,SwaptionMonthsToGo+SwaptionShift),INDEX($FK$245:$ID$316,$FJ235-HP$169,73-HP$169+SwaptionShift):INDEX($FK$245:$ID$316,$FJ235-HP$169,72-HP$169+SwaptionMonthsToGo+SwaptionShift))/SQRT(SUM(INDEX($FK390:$ID390,1+SwaptionShift):INDEX($FK390:$ID390,SwaptionMonthsToGo+SwaptionShift))*SUM(INDEX($FK$325:$ID$396,HP$169,1+SwaptionShift):INDEX($FK$325:$ID$396,HP$169,SwaptionMonthsToGo+SwaptionShift))))))</f>
        <v/>
      </c>
      <c r="HQ235" s="479" t="str">
        <f ca="1">IF(OR(HQ$169&lt;SwaptionFirstMonthPosition+1,$FJ235&lt;SwaptionFirstMonthPosition+1,HQ$169&gt;SwaptionFirstMonthPosition+SwaptionNumOfMonths+1,$FJ235&gt;SwaptionFirstMonthPosition+SwaptionNumOfMonths+1),"",IF($FJ235=HQ$169,1,IF($FJ235&lt;HQ$169,INDEX($FK$170:$ID$241,HQ$169,$FJ235),SUMPRODUCT(INDEX($FK$325:$ID$396,HQ$169,1+SwaptionShift):INDEX($FK$325:$ID$396,HQ$169,SwaptionMonthsToGo+SwaptionShift),INDEX($FK$245:$ID$316,$FJ235-HQ$169,73-HQ$169+SwaptionShift):INDEX($FK$245:$ID$316,$FJ235-HQ$169,72-HQ$169+SwaptionMonthsToGo+SwaptionShift))/SQRT(SUM(INDEX($FK390:$ID390,1+SwaptionShift):INDEX($FK390:$ID390,SwaptionMonthsToGo+SwaptionShift))*SUM(INDEX($FK$325:$ID$396,HQ$169,1+SwaptionShift):INDEX($FK$325:$ID$396,HQ$169,SwaptionMonthsToGo+SwaptionShift))))))</f>
        <v/>
      </c>
      <c r="HR235" s="479" t="str">
        <f ca="1">IF(OR(HR$169&lt;SwaptionFirstMonthPosition+1,$FJ235&lt;SwaptionFirstMonthPosition+1,HR$169&gt;SwaptionFirstMonthPosition+SwaptionNumOfMonths+1,$FJ235&gt;SwaptionFirstMonthPosition+SwaptionNumOfMonths+1),"",IF($FJ235=HR$169,1,IF($FJ235&lt;HR$169,INDEX($FK$170:$ID$241,HR$169,$FJ235),SUMPRODUCT(INDEX($FK$325:$ID$396,HR$169,1+SwaptionShift):INDEX($FK$325:$ID$396,HR$169,SwaptionMonthsToGo+SwaptionShift),INDEX($FK$245:$ID$316,$FJ235-HR$169,73-HR$169+SwaptionShift):INDEX($FK$245:$ID$316,$FJ235-HR$169,72-HR$169+SwaptionMonthsToGo+SwaptionShift))/SQRT(SUM(INDEX($FK390:$ID390,1+SwaptionShift):INDEX($FK390:$ID390,SwaptionMonthsToGo+SwaptionShift))*SUM(INDEX($FK$325:$ID$396,HR$169,1+SwaptionShift):INDEX($FK$325:$ID$396,HR$169,SwaptionMonthsToGo+SwaptionShift))))))</f>
        <v/>
      </c>
      <c r="HS235" s="479" t="str">
        <f ca="1">IF(OR(HS$169&lt;SwaptionFirstMonthPosition+1,$FJ235&lt;SwaptionFirstMonthPosition+1,HS$169&gt;SwaptionFirstMonthPosition+SwaptionNumOfMonths+1,$FJ235&gt;SwaptionFirstMonthPosition+SwaptionNumOfMonths+1),"",IF($FJ235=HS$169,1,IF($FJ235&lt;HS$169,INDEX($FK$170:$ID$241,HS$169,$FJ235),SUMPRODUCT(INDEX($FK$325:$ID$396,HS$169,1+SwaptionShift):INDEX($FK$325:$ID$396,HS$169,SwaptionMonthsToGo+SwaptionShift),INDEX($FK$245:$ID$316,$FJ235-HS$169,73-HS$169+SwaptionShift):INDEX($FK$245:$ID$316,$FJ235-HS$169,72-HS$169+SwaptionMonthsToGo+SwaptionShift))/SQRT(SUM(INDEX($FK390:$ID390,1+SwaptionShift):INDEX($FK390:$ID390,SwaptionMonthsToGo+SwaptionShift))*SUM(INDEX($FK$325:$ID$396,HS$169,1+SwaptionShift):INDEX($FK$325:$ID$396,HS$169,SwaptionMonthsToGo+SwaptionShift))))))</f>
        <v/>
      </c>
      <c r="HT235" s="479" t="str">
        <f ca="1">IF(OR(HT$169&lt;SwaptionFirstMonthPosition+1,$FJ235&lt;SwaptionFirstMonthPosition+1,HT$169&gt;SwaptionFirstMonthPosition+SwaptionNumOfMonths+1,$FJ235&gt;SwaptionFirstMonthPosition+SwaptionNumOfMonths+1),"",IF($FJ235=HT$169,1,IF($FJ235&lt;HT$169,INDEX($FK$170:$ID$241,HT$169,$FJ235),SUMPRODUCT(INDEX($FK$325:$ID$396,HT$169,1+SwaptionShift):INDEX($FK$325:$ID$396,HT$169,SwaptionMonthsToGo+SwaptionShift),INDEX($FK$245:$ID$316,$FJ235-HT$169,73-HT$169+SwaptionShift):INDEX($FK$245:$ID$316,$FJ235-HT$169,72-HT$169+SwaptionMonthsToGo+SwaptionShift))/SQRT(SUM(INDEX($FK390:$ID390,1+SwaptionShift):INDEX($FK390:$ID390,SwaptionMonthsToGo+SwaptionShift))*SUM(INDEX($FK$325:$ID$396,HT$169,1+SwaptionShift):INDEX($FK$325:$ID$396,HT$169,SwaptionMonthsToGo+SwaptionShift))))))</f>
        <v/>
      </c>
      <c r="HU235" s="479" t="str">
        <f ca="1">IF(OR(HU$169&lt;SwaptionFirstMonthPosition+1,$FJ235&lt;SwaptionFirstMonthPosition+1,HU$169&gt;SwaptionFirstMonthPosition+SwaptionNumOfMonths+1,$FJ235&gt;SwaptionFirstMonthPosition+SwaptionNumOfMonths+1),"",IF($FJ235=HU$169,1,IF($FJ235&lt;HU$169,INDEX($FK$170:$ID$241,HU$169,$FJ235),SUMPRODUCT(INDEX($FK$325:$ID$396,HU$169,1+SwaptionShift):INDEX($FK$325:$ID$396,HU$169,SwaptionMonthsToGo+SwaptionShift),INDEX($FK$245:$ID$316,$FJ235-HU$169,73-HU$169+SwaptionShift):INDEX($FK$245:$ID$316,$FJ235-HU$169,72-HU$169+SwaptionMonthsToGo+SwaptionShift))/SQRT(SUM(INDEX($FK390:$ID390,1+SwaptionShift):INDEX($FK390:$ID390,SwaptionMonthsToGo+SwaptionShift))*SUM(INDEX($FK$325:$ID$396,HU$169,1+SwaptionShift):INDEX($FK$325:$ID$396,HU$169,SwaptionMonthsToGo+SwaptionShift))))))</f>
        <v/>
      </c>
      <c r="HV235" s="479" t="str">
        <f ca="1">IF(OR(HV$169&lt;SwaptionFirstMonthPosition+1,$FJ235&lt;SwaptionFirstMonthPosition+1,HV$169&gt;SwaptionFirstMonthPosition+SwaptionNumOfMonths+1,$FJ235&gt;SwaptionFirstMonthPosition+SwaptionNumOfMonths+1),"",IF($FJ235=HV$169,1,IF($FJ235&lt;HV$169,INDEX($FK$170:$ID$241,HV$169,$FJ235),SUMPRODUCT(INDEX($FK$325:$ID$396,HV$169,1+SwaptionShift):INDEX($FK$325:$ID$396,HV$169,SwaptionMonthsToGo+SwaptionShift),INDEX($FK$245:$ID$316,$FJ235-HV$169,73-HV$169+SwaptionShift):INDEX($FK$245:$ID$316,$FJ235-HV$169,72-HV$169+SwaptionMonthsToGo+SwaptionShift))/SQRT(SUM(INDEX($FK390:$ID390,1+SwaptionShift):INDEX($FK390:$ID390,SwaptionMonthsToGo+SwaptionShift))*SUM(INDEX($FK$325:$ID$396,HV$169,1+SwaptionShift):INDEX($FK$325:$ID$396,HV$169,SwaptionMonthsToGo+SwaptionShift))))))</f>
        <v/>
      </c>
      <c r="HW235" s="479" t="str">
        <f ca="1">IF(OR(HW$169&lt;SwaptionFirstMonthPosition+1,$FJ235&lt;SwaptionFirstMonthPosition+1,HW$169&gt;SwaptionFirstMonthPosition+SwaptionNumOfMonths+1,$FJ235&gt;SwaptionFirstMonthPosition+SwaptionNumOfMonths+1),"",IF($FJ235=HW$169,1,IF($FJ235&lt;HW$169,INDEX($FK$170:$ID$241,HW$169,$FJ235),SUMPRODUCT(INDEX($FK$325:$ID$396,HW$169,1+SwaptionShift):INDEX($FK$325:$ID$396,HW$169,SwaptionMonthsToGo+SwaptionShift),INDEX($FK$245:$ID$316,$FJ235-HW$169,73-HW$169+SwaptionShift):INDEX($FK$245:$ID$316,$FJ235-HW$169,72-HW$169+SwaptionMonthsToGo+SwaptionShift))/SQRT(SUM(INDEX($FK390:$ID390,1+SwaptionShift):INDEX($FK390:$ID390,SwaptionMonthsToGo+SwaptionShift))*SUM(INDEX($FK$325:$ID$396,HW$169,1+SwaptionShift):INDEX($FK$325:$ID$396,HW$169,SwaptionMonthsToGo+SwaptionShift))))))</f>
        <v/>
      </c>
      <c r="HX235" s="479" t="str">
        <f ca="1">IF(OR(HX$169&lt;SwaptionFirstMonthPosition+1,$FJ235&lt;SwaptionFirstMonthPosition+1,HX$169&gt;SwaptionFirstMonthPosition+SwaptionNumOfMonths+1,$FJ235&gt;SwaptionFirstMonthPosition+SwaptionNumOfMonths+1),"",IF($FJ235=HX$169,1,IF($FJ235&lt;HX$169,INDEX($FK$170:$ID$241,HX$169,$FJ235),SUMPRODUCT(INDEX($FK$325:$ID$396,HX$169,1+SwaptionShift):INDEX($FK$325:$ID$396,HX$169,SwaptionMonthsToGo+SwaptionShift),INDEX($FK$245:$ID$316,$FJ235-HX$169,73-HX$169+SwaptionShift):INDEX($FK$245:$ID$316,$FJ235-HX$169,72-HX$169+SwaptionMonthsToGo+SwaptionShift))/SQRT(SUM(INDEX($FK390:$ID390,1+SwaptionShift):INDEX($FK390:$ID390,SwaptionMonthsToGo+SwaptionShift))*SUM(INDEX($FK$325:$ID$396,HX$169,1+SwaptionShift):INDEX($FK$325:$ID$396,HX$169,SwaptionMonthsToGo+SwaptionShift))))))</f>
        <v/>
      </c>
      <c r="HY235" s="479" t="str">
        <f ca="1">IF(OR(HY$169&lt;SwaptionFirstMonthPosition+1,$FJ235&lt;SwaptionFirstMonthPosition+1,HY$169&gt;SwaptionFirstMonthPosition+SwaptionNumOfMonths+1,$FJ235&gt;SwaptionFirstMonthPosition+SwaptionNumOfMonths+1),"",IF($FJ235=HY$169,1,IF($FJ235&lt;HY$169,INDEX($FK$170:$ID$241,HY$169,$FJ235),SUMPRODUCT(INDEX($FK$325:$ID$396,HY$169,1+SwaptionShift):INDEX($FK$325:$ID$396,HY$169,SwaptionMonthsToGo+SwaptionShift),INDEX($FK$245:$ID$316,$FJ235-HY$169,73-HY$169+SwaptionShift):INDEX($FK$245:$ID$316,$FJ235-HY$169,72-HY$169+SwaptionMonthsToGo+SwaptionShift))/SQRT(SUM(INDEX($FK390:$ID390,1+SwaptionShift):INDEX($FK390:$ID390,SwaptionMonthsToGo+SwaptionShift))*SUM(INDEX($FK$325:$ID$396,HY$169,1+SwaptionShift):INDEX($FK$325:$ID$396,HY$169,SwaptionMonthsToGo+SwaptionShift))))))</f>
        <v/>
      </c>
      <c r="HZ235" s="479" t="str">
        <f ca="1">IF(OR(HZ$169&lt;SwaptionFirstMonthPosition+1,$FJ235&lt;SwaptionFirstMonthPosition+1,HZ$169&gt;SwaptionFirstMonthPosition+SwaptionNumOfMonths+1,$FJ235&gt;SwaptionFirstMonthPosition+SwaptionNumOfMonths+1),"",IF($FJ235=HZ$169,1,IF($FJ235&lt;HZ$169,INDEX($FK$170:$ID$241,HZ$169,$FJ235),SUMPRODUCT(INDEX($FK$325:$ID$396,HZ$169,1+SwaptionShift):INDEX($FK$325:$ID$396,HZ$169,SwaptionMonthsToGo+SwaptionShift),INDEX($FK$245:$ID$316,$FJ235-HZ$169,73-HZ$169+SwaptionShift):INDEX($FK$245:$ID$316,$FJ235-HZ$169,72-HZ$169+SwaptionMonthsToGo+SwaptionShift))/SQRT(SUM(INDEX($FK390:$ID390,1+SwaptionShift):INDEX($FK390:$ID390,SwaptionMonthsToGo+SwaptionShift))*SUM(INDEX($FK$325:$ID$396,HZ$169,1+SwaptionShift):INDEX($FK$325:$ID$396,HZ$169,SwaptionMonthsToGo+SwaptionShift))))))</f>
        <v/>
      </c>
      <c r="IA235" s="479" t="str">
        <f ca="1">IF(OR(IA$169&lt;SwaptionFirstMonthPosition+1,$FJ235&lt;SwaptionFirstMonthPosition+1,IA$169&gt;SwaptionFirstMonthPosition+SwaptionNumOfMonths+1,$FJ235&gt;SwaptionFirstMonthPosition+SwaptionNumOfMonths+1),"",IF($FJ235=IA$169,1,IF($FJ235&lt;IA$169,INDEX($FK$170:$ID$241,IA$169,$FJ235),SUMPRODUCT(INDEX($FK$325:$ID$396,IA$169,1+SwaptionShift):INDEX($FK$325:$ID$396,IA$169,SwaptionMonthsToGo+SwaptionShift),INDEX($FK$245:$ID$316,$FJ235-IA$169,73-IA$169+SwaptionShift):INDEX($FK$245:$ID$316,$FJ235-IA$169,72-IA$169+SwaptionMonthsToGo+SwaptionShift))/SQRT(SUM(INDEX($FK390:$ID390,1+SwaptionShift):INDEX($FK390:$ID390,SwaptionMonthsToGo+SwaptionShift))*SUM(INDEX($FK$325:$ID$396,IA$169,1+SwaptionShift):INDEX($FK$325:$ID$396,IA$169,SwaptionMonthsToGo+SwaptionShift))))))</f>
        <v/>
      </c>
      <c r="IB235" s="479" t="str">
        <f ca="1">IF(OR(IB$169&lt;SwaptionFirstMonthPosition+1,$FJ235&lt;SwaptionFirstMonthPosition+1,IB$169&gt;SwaptionFirstMonthPosition+SwaptionNumOfMonths+1,$FJ235&gt;SwaptionFirstMonthPosition+SwaptionNumOfMonths+1),"",IF($FJ235=IB$169,1,IF($FJ235&lt;IB$169,INDEX($FK$170:$ID$241,IB$169,$FJ235),SUMPRODUCT(INDEX($FK$325:$ID$396,IB$169,1+SwaptionShift):INDEX($FK$325:$ID$396,IB$169,SwaptionMonthsToGo+SwaptionShift),INDEX($FK$245:$ID$316,$FJ235-IB$169,73-IB$169+SwaptionShift):INDEX($FK$245:$ID$316,$FJ235-IB$169,72-IB$169+SwaptionMonthsToGo+SwaptionShift))/SQRT(SUM(INDEX($FK390:$ID390,1+SwaptionShift):INDEX($FK390:$ID390,SwaptionMonthsToGo+SwaptionShift))*SUM(INDEX($FK$325:$ID$396,IB$169,1+SwaptionShift):INDEX($FK$325:$ID$396,IB$169,SwaptionMonthsToGo+SwaptionShift))))))</f>
        <v/>
      </c>
      <c r="IC235" s="479" t="str">
        <f ca="1">IF(OR(IC$169&lt;SwaptionFirstMonthPosition+1,$FJ235&lt;SwaptionFirstMonthPosition+1,IC$169&gt;SwaptionFirstMonthPosition+SwaptionNumOfMonths+1,$FJ235&gt;SwaptionFirstMonthPosition+SwaptionNumOfMonths+1),"",IF($FJ235=IC$169,1,IF($FJ235&lt;IC$169,INDEX($FK$170:$ID$241,IC$169,$FJ235),SUMPRODUCT(INDEX($FK$325:$ID$396,IC$169,1+SwaptionShift):INDEX($FK$325:$ID$396,IC$169,SwaptionMonthsToGo+SwaptionShift),INDEX($FK$245:$ID$316,$FJ235-IC$169,73-IC$169+SwaptionShift):INDEX($FK$245:$ID$316,$FJ235-IC$169,72-IC$169+SwaptionMonthsToGo+SwaptionShift))/SQRT(SUM(INDEX($FK390:$ID390,1+SwaptionShift):INDEX($FK390:$ID390,SwaptionMonthsToGo+SwaptionShift))*SUM(INDEX($FK$325:$ID$396,IC$169,1+SwaptionShift):INDEX($FK$325:$ID$396,IC$169,SwaptionMonthsToGo+SwaptionShift))))))</f>
        <v/>
      </c>
      <c r="ID235" s="678" t="str">
        <f ca="1">IF(OR(ID$169&lt;SwaptionFirstMonthPosition+1,$FJ235&lt;SwaptionFirstMonthPosition+1,ID$169&gt;SwaptionFirstMonthPosition+SwaptionNumOfMonths+1,$FJ235&gt;SwaptionFirstMonthPosition+SwaptionNumOfMonths+1),"",IF($FJ235=ID$169,1,IF($FJ235&lt;ID$169,INDEX($FK$170:$ID$241,ID$169,$FJ235),SUMPRODUCT(INDEX($FK$325:$ID$396,ID$169,1+SwaptionShift):INDEX($FK$325:$ID$396,ID$169,SwaptionMonthsToGo+SwaptionShift),INDEX($FK$245:$ID$316,$FJ235-ID$169,73-ID$169+SwaptionShift):INDEX($FK$245:$ID$316,$FJ235-ID$169,72-ID$169+SwaptionMonthsToGo+SwaptionShift))/SQRT(SUM(INDEX($FK390:$ID390,1+SwaptionShift):INDEX($FK390:$ID390,SwaptionMonthsToGo+SwaptionShift))*SUM(INDEX($FK$325:$ID$396,ID$169,1+SwaptionShift):INDEX($FK$325:$ID$396,ID$169,SwaptionMonthsToGo+SwaptionShift))))))</f>
        <v/>
      </c>
      <c r="IE235" s="250"/>
    </row>
    <row r="236" spans="8:239">
      <c r="H236" s="51">
        <f t="shared" ca="1" si="646"/>
        <v>0</v>
      </c>
      <c r="I236" s="379">
        <f t="shared" si="647"/>
        <v>43344</v>
      </c>
      <c r="J236" s="377"/>
      <c r="K236" s="104" t="s">
        <v>268</v>
      </c>
      <c r="L236" s="392">
        <f t="shared" si="648"/>
        <v>5.2499999999999947</v>
      </c>
      <c r="M236" s="171"/>
      <c r="N236" s="382">
        <v>0</v>
      </c>
      <c r="O236" s="171">
        <f t="shared" si="596"/>
        <v>0</v>
      </c>
      <c r="P236" s="377"/>
      <c r="Q236" s="104" t="s">
        <v>268</v>
      </c>
      <c r="R236" s="377">
        <f t="shared" ca="1" si="597"/>
        <v>4.0701981479794016</v>
      </c>
      <c r="S236" s="832">
        <f t="shared" si="671"/>
        <v>0.3600000000000001</v>
      </c>
      <c r="T236" s="831">
        <f t="shared" si="661"/>
        <v>0.99999999999999933</v>
      </c>
      <c r="U236" s="545">
        <f t="shared" si="662"/>
        <v>0.99999999999999978</v>
      </c>
      <c r="V236" s="389">
        <v>0</v>
      </c>
      <c r="W236" s="434">
        <f t="shared" si="598"/>
        <v>0</v>
      </c>
      <c r="X236" s="415">
        <f t="shared" si="599"/>
        <v>5.2987499999999939</v>
      </c>
      <c r="Y236" s="322">
        <f t="shared" si="600"/>
        <v>-1.2668999999999999</v>
      </c>
      <c r="Z236" s="322">
        <f t="shared" ca="1" si="601"/>
        <v>4.0318499999999942</v>
      </c>
      <c r="AA236" s="429">
        <f t="shared" si="628"/>
        <v>1.2668999999999999</v>
      </c>
      <c r="AB236" s="433">
        <f t="shared" ca="1" si="629"/>
        <v>1.2668999999999999</v>
      </c>
      <c r="AC236" s="229">
        <v>43332</v>
      </c>
      <c r="AD236" s="229">
        <v>43328</v>
      </c>
      <c r="AE236" s="229">
        <v>43327</v>
      </c>
      <c r="AF236" s="229">
        <v>43323</v>
      </c>
      <c r="AG236" s="249" t="s">
        <v>499</v>
      </c>
      <c r="AH236" s="247" t="s">
        <v>499</v>
      </c>
      <c r="AI236" s="146">
        <v>20</v>
      </c>
      <c r="AJ236" s="41">
        <v>14</v>
      </c>
      <c r="AK236" s="41">
        <v>6</v>
      </c>
      <c r="AL236" s="293">
        <v>20</v>
      </c>
      <c r="AM236" s="41">
        <v>10</v>
      </c>
      <c r="AN236" s="147">
        <v>10</v>
      </c>
      <c r="AO236" s="374"/>
      <c r="AP236" s="153">
        <f t="shared" ca="1" si="649"/>
        <v>1</v>
      </c>
      <c r="AQ236" s="374"/>
      <c r="AR236" s="153">
        <f t="shared" ca="1" si="663"/>
        <v>1</v>
      </c>
      <c r="AS236" s="272">
        <f t="shared" si="602"/>
        <v>0</v>
      </c>
      <c r="AT236" s="157">
        <f t="shared" si="650"/>
        <v>0</v>
      </c>
      <c r="AU236" s="157">
        <f t="shared" si="630"/>
        <v>0</v>
      </c>
      <c r="AV236" s="271">
        <f t="shared" ca="1" si="670"/>
        <v>9.9999999999999995E-7</v>
      </c>
      <c r="AW236" s="158" t="str">
        <f t="shared" ca="1" si="583"/>
        <v/>
      </c>
      <c r="AX236" s="157">
        <f t="shared" ca="1" si="664"/>
        <v>1.7327320518905832E-5</v>
      </c>
      <c r="AY236" s="157">
        <f t="shared" ca="1" si="665"/>
        <v>3.1762016257215027E-6</v>
      </c>
      <c r="AZ236" s="157">
        <f t="shared" ca="1" si="666"/>
        <v>5.5754371224745092E-8</v>
      </c>
      <c r="BA236" s="157">
        <f t="shared" ca="1" si="667"/>
        <v>6.9692964030931364E-9</v>
      </c>
      <c r="BB236" s="157">
        <f t="shared" ca="1" si="668"/>
        <v>1.0063269380636551E-11</v>
      </c>
      <c r="BC236" s="157">
        <f t="shared" ca="1" si="669"/>
        <v>9.7142184708320909E-14</v>
      </c>
      <c r="BD236" s="151">
        <f t="shared" ca="1" si="603"/>
        <v>0</v>
      </c>
      <c r="BE236" s="152">
        <f t="shared" ca="1" si="604"/>
        <v>0</v>
      </c>
      <c r="BF236" s="40">
        <f t="shared" si="605"/>
        <v>2018</v>
      </c>
      <c r="BG236" s="144">
        <f t="shared" si="606"/>
        <v>9</v>
      </c>
      <c r="BH236" s="145">
        <f t="shared" ca="1" si="607"/>
        <v>6583</v>
      </c>
      <c r="BI236" s="313">
        <f t="shared" ca="1" si="608"/>
        <v>18.067077344284737</v>
      </c>
      <c r="BJ236" s="42">
        <f t="shared" ca="1" si="631"/>
        <v>18.122655715263516</v>
      </c>
      <c r="BK236" s="42">
        <f t="shared" ca="1" si="632"/>
        <v>18.125393566050647</v>
      </c>
      <c r="BL236" s="42">
        <f t="shared" ca="1" si="609"/>
        <v>18.146475017111566</v>
      </c>
      <c r="BM236" s="150" t="e">
        <f t="shared" ca="1" si="633"/>
        <v>#DIV/0!</v>
      </c>
      <c r="BN236" s="42" t="e">
        <f t="shared" ca="1" si="634"/>
        <v>#DIV/0!</v>
      </c>
      <c r="BO236" s="293">
        <f t="shared" si="610"/>
        <v>20</v>
      </c>
      <c r="BP236" s="41">
        <f t="shared" si="611"/>
        <v>14</v>
      </c>
      <c r="BQ236" s="41">
        <f t="shared" si="612"/>
        <v>6</v>
      </c>
      <c r="BR236" s="305" t="str">
        <f t="shared" ca="1" si="635"/>
        <v/>
      </c>
      <c r="BS236" s="305" t="str">
        <f t="shared" ca="1" si="613"/>
        <v/>
      </c>
      <c r="BT236" s="307" t="str">
        <f t="shared" ca="1" si="614"/>
        <v/>
      </c>
      <c r="BU236" s="161" t="str">
        <f t="shared" ca="1" si="636"/>
        <v/>
      </c>
      <c r="BV236" s="161" t="str">
        <f t="shared" ca="1" si="637"/>
        <v/>
      </c>
      <c r="BW236" s="308" t="str">
        <f t="shared" ca="1" si="638"/>
        <v/>
      </c>
      <c r="BX236" s="309" t="str">
        <f t="shared" ca="1" si="639"/>
        <v/>
      </c>
      <c r="BY236" s="308" t="str">
        <f t="shared" ca="1" si="615"/>
        <v/>
      </c>
      <c r="BZ236" s="309" t="str">
        <f t="shared" ca="1" si="616"/>
        <v/>
      </c>
      <c r="CA236" s="154" t="str">
        <f t="shared" ca="1" si="640"/>
        <v/>
      </c>
      <c r="CB236" s="154" t="str">
        <f t="shared" ca="1" si="641"/>
        <v/>
      </c>
      <c r="CC236" s="154" t="str">
        <f t="shared" ca="1" si="642"/>
        <v/>
      </c>
      <c r="CD236" s="154" t="str">
        <f t="shared" ca="1" si="643"/>
        <v/>
      </c>
      <c r="CE236" s="310">
        <v>1</v>
      </c>
      <c r="CF236" s="162">
        <f ca="1">IF(BD236,_xll.xCrudeAPO(BU236,BV236,CA236,CB236,S237,S238,BI236,BL236,BP236,BQ236,0,Strike1,AO236,CE236,0,BL236,IF(OptControl=4,0,1),0,1),0)</f>
        <v>0</v>
      </c>
      <c r="CG236" s="163">
        <f ca="1">IF(BD236,_xll.xCrudeAPO(BU236,BV236,CA236,CB236,S237,S238,BI236,BL236,BP236,BQ236,0,Strike1,AO236,CE236,0,BL236,IF(OptControl=4,0,1),1,1)+_xll.xCrudeAPO(BU236,BV236,CA236,CB236,S237,S238,BI236,BL236,BP236,BQ236,0,Strike1,AO236,CE236,0,BL236,IF(OptControl=4,0,1),1,2)+IF(OR(VolSkewFlag=2,ABS(BS236)&lt;0.0001),0,IF(BS236&gt;0,-1,1)*CH236*Strike1/BR236^2*BY236/10%),0)</f>
        <v>0</v>
      </c>
      <c r="CH236" s="163">
        <f ca="1">IF(BD236,(_xll.xCrudeAPO(BU236,BV236,CA236,CB236,S237,S238,BI236,BL236,BP236,BQ236,0,Strike1,AO236,CE236,0,BL236,IF(OptControl=4,0,1),3,1)+_xll.xCrudeAPO(BU236,BV236,CA236,CB236,S237,S238,BI236,BL236,BP236,BQ236,0,Strike1,AO236,CE236,0,BL236,IF(OptControl=4,0,1),3,2))/100,0)</f>
        <v>0</v>
      </c>
      <c r="CI236" s="163">
        <f ca="1">IF(BD236,_xll.xCrudeAPO(BU236,BV236,CA236,CB236,S237,S238,BI236-DaysForThetaCalculation/365.25,BL236-DaysForThetaCalculation/365.25,BP236,BQ236,0,Strike1,AO236,CE236,0,BL236,IF(OptControl=4,0,1),0,1)-_xll.xCrudeAPO(BU236,BV236,CA236,CB236,S237,S238,BI236,BL236,BP236,BQ236,0,Strike1,AO236,CE236,0,BL236,IF(OptControl=4,0,1),0,1),0)</f>
        <v>0</v>
      </c>
      <c r="CJ236" s="311">
        <f ca="1">IF(BD236,_xll.xCrudeAPO(BU236,BV236,CC236,CD236,S237,S238,BI236,BL236,BP236,BQ236,0,Strike2,AO236,CE236,0,BL236,IF(OptControl=3,1,0),0,1),0)</f>
        <v>0</v>
      </c>
      <c r="CK236" s="163">
        <f ca="1">IF(BD236,_xll.xCrudeAPO(BU236,BV236,CC236,CD236,S237,S238,BI236,BL236,BP236,BQ236,0,Strike2,AO236,CE236,0,BL236,IF(OptControl=3,1,0),1,1)+_xll.xCrudeAPO(BU236,BV236,CC236,CD236,S237,S238,BI236,BL236,BP236,BQ236,0,Strike2,AO236,CE236,0,BL236,IF(OptControl=3,1,0),1,2)+IF(OR(VolSkewFlag=2,ABS(BT236)&lt;0.0001),0,IF(BT236&gt;0,-1,1)*CL236*Strike2/BR236^2*BZ236/10%),0)</f>
        <v>0</v>
      </c>
      <c r="CL236" s="163">
        <f ca="1">IF(BD236,(_xll.xCrudeAPO(BU236,BV236,CC236,CD236,S237,S238,BI236,BL236,BP236,BQ236,0,Strike2,AO236,CE236,0,BL236,IF(OptControl=3,1,0),3,1)+_xll.xCrudeAPO(BU236,BV236,CC236,CD236,S237,S238,BI236,BL236,BP236,BQ236,0,Strike2,AO236,CE236,0,BL236,IF(OptControl=3,1,0),3,2))/100,0)</f>
        <v>0</v>
      </c>
      <c r="CM236" s="164">
        <f ca="1">IF(BD236,_xll.xCrudeAPO(BU236,BV236,CC236,CD236,S237,S238,BI236-DaysForThetaCalculation/365.25,BL236-DaysForThetaCalculation/365.25,BP236,BQ236,0,Strike2,AO236,CE236,0,BL236,IF(OptControl=3,1,0),0,1)-_xll.xCrudeAPO(BU236,BV236,CC236,CD236,S237,S238,BI236,BL236,BP236,BQ236,0,Strike2,AO236,CE236,0,BL236,IF(OptControl=3,1,0),0,1),0)</f>
        <v>0</v>
      </c>
      <c r="CN236" s="53"/>
      <c r="CO236" s="796" t="str">
        <f t="shared" ca="1" si="651"/>
        <v/>
      </c>
      <c r="CP236" s="800" t="str">
        <f t="shared" ca="1" si="652"/>
        <v/>
      </c>
      <c r="CQ236" s="797" t="str">
        <f t="shared" ca="1" si="653"/>
        <v/>
      </c>
      <c r="CR236" s="797" t="str">
        <f t="shared" ca="1" si="654"/>
        <v/>
      </c>
      <c r="CS236" s="797" t="str">
        <f t="shared" ca="1" si="655"/>
        <v/>
      </c>
      <c r="CT236" s="797" t="str">
        <f t="shared" ca="1" si="656"/>
        <v/>
      </c>
      <c r="CU236" s="798" t="str">
        <f t="shared" ca="1" si="657"/>
        <v/>
      </c>
      <c r="CV236" s="799" t="str">
        <f t="shared" ca="1" si="658"/>
        <v/>
      </c>
      <c r="CW236" s="799" t="str">
        <f t="shared" ca="1" si="659"/>
        <v/>
      </c>
      <c r="CX236" s="163">
        <f ca="1">IF(BD236,_xll.EURO(CP236,Strike1,AO236,AO236,CV236,CO236,IF(OptControl=4,0,1),0),0)</f>
        <v>0</v>
      </c>
      <c r="CY236" s="163">
        <f ca="1">IF(BD236,_xll.EURO(CP236,Strike1,AO236,AO236,CV236,CO236,IF(OptControl=4,0,1),1)+IF(OR(VolSkewFlag=2,ABS(CQ236)&lt;0.0001),0,IF(CQ236&gt;0,-1,1)*CZ236*100*Strike1/CP236^2*CS236/10%),0)</f>
        <v>0</v>
      </c>
      <c r="CZ236" s="163">
        <f ca="1">IF(BD236,_xll.EURO(CP236,Strike1,AO236,AO236,CV236,CO236,IF(OptControl=4,0,1),3)/100,0)</f>
        <v>0</v>
      </c>
      <c r="DA236" s="163">
        <f ca="1">IF(BD236,_xll.EURO(CP236,Strike1,AO236,AO236,CV236,CO236,IF(OptControl=4,0,1),0)-_xll.EURO(CP236,Strike1,AO236,AO236,CV236,CO236-1,IF(OptControl=4,0,1),0),0)</f>
        <v>0</v>
      </c>
      <c r="DB236" s="163">
        <f ca="1">IF(BD236,_xll.EURO(CP236,Strike2,AO236,AO236,CW236,CO236,IF(OptControl=3,1,0),0),0)</f>
        <v>0</v>
      </c>
      <c r="DC236" s="163">
        <f ca="1">IF(BD236,_xll.EURO(CP236,Strike2,AO236,AO236,CW236,CO236,IF(OptControl=3,1,0),1)+IF(OR(VolSkewFlag=2,ABS(CR236)&lt;0.0001),0,IF(CR236&gt;0,-1,1)*DD236*100*Strike2/CP236^2*CT236/10%),0)</f>
        <v>0</v>
      </c>
      <c r="DD236" s="163">
        <f ca="1">IF(BD236,_xll.EURO(CP236,Strike2,AO236,AO236,CW236,CO236,IF(OptControl=3,1,0),3)/100,0)</f>
        <v>0</v>
      </c>
      <c r="DE236" s="164">
        <f ca="1">IF(BD236,_xll.EURO(CP236,Strike2,AO236,AO236,CW236,CO236,IF(OptControl=3,1,0),0)-_xll.EURO(CP236,Strike2,AO236,AO236,CW236,CO236-1,IF(OptControl=3,1,0),0),0)</f>
        <v>0</v>
      </c>
      <c r="DG236" s="667">
        <f t="shared" ca="1" si="660"/>
        <v>43132</v>
      </c>
      <c r="DH236" s="475">
        <v>24.9600000000001</v>
      </c>
      <c r="DI236" s="665">
        <v>25.025000000000102</v>
      </c>
      <c r="DJ236" s="666">
        <f t="shared" ca="1" si="617"/>
        <v>43132</v>
      </c>
      <c r="DK236" s="475">
        <v>23.756043496671829</v>
      </c>
      <c r="DL236" s="665">
        <v>23.856500000000104</v>
      </c>
      <c r="DM236" s="667">
        <f t="shared" ca="1" si="618"/>
        <v>43132</v>
      </c>
      <c r="DN236" s="668">
        <f t="shared" si="619"/>
        <v>23.80604349667183</v>
      </c>
      <c r="DO236" s="667">
        <f t="shared" ca="1" si="620"/>
        <v>43132</v>
      </c>
      <c r="DP236" s="579">
        <f t="shared" si="621"/>
        <v>23.856500000000104</v>
      </c>
      <c r="DQ236" s="821">
        <v>0</v>
      </c>
      <c r="DR236" s="666">
        <f t="shared" ca="1" si="622"/>
        <v>43132</v>
      </c>
      <c r="DS236" s="669">
        <v>9.499999999999803E-2</v>
      </c>
      <c r="DT236" s="606">
        <v>9.4219999999997722E-2</v>
      </c>
      <c r="DU236" s="666">
        <f t="shared" ca="1" si="623"/>
        <v>43132</v>
      </c>
      <c r="DV236" s="669">
        <v>9.499999999999803E-2</v>
      </c>
      <c r="DW236" s="606">
        <v>9.4219999999997722E-2</v>
      </c>
      <c r="DX236" s="667">
        <f t="shared" ca="1" si="624"/>
        <v>43132</v>
      </c>
      <c r="DY236" s="606">
        <v>0.35</v>
      </c>
      <c r="DZ236" s="667">
        <f t="shared" ca="1" si="625"/>
        <v>43132</v>
      </c>
      <c r="EA236" s="606">
        <f t="shared" si="626"/>
        <v>9.4219999999997722E-2</v>
      </c>
      <c r="EB236" s="1"/>
      <c r="EC236" s="118" t="str">
        <f t="shared" ca="1" si="627"/>
        <v/>
      </c>
      <c r="ED236" s="119" t="str">
        <f t="shared" ca="1" si="644"/>
        <v/>
      </c>
      <c r="EE236" s="112" t="str">
        <f t="shared" ca="1" si="645"/>
        <v/>
      </c>
      <c r="EF236" s="120">
        <f ca="1">IF(BD236,_xll.xASN(BR236,Strike1,AO236,ED236,0,BO236,0,BI236,BL236,IF(OptControl=4,0,1),0),0)</f>
        <v>0</v>
      </c>
      <c r="EG236" s="111">
        <f ca="1">IF(BD236,_xll.xASN(BR236,Strike2,AO236,EE236,0,BO236,0,BI236,BL236,IF(OptControl=3,1,0),0),0)</f>
        <v>0</v>
      </c>
      <c r="EL236" s="55"/>
      <c r="EM236" s="1"/>
      <c r="EN236" s="106"/>
      <c r="EO236" s="106"/>
      <c r="EP236" s="1"/>
      <c r="EQ236" s="683" t="s">
        <v>450</v>
      </c>
      <c r="ES236" s="55"/>
      <c r="EU236" s="107"/>
      <c r="FJ236" s="673">
        <v>67</v>
      </c>
      <c r="FK236" s="479" t="str">
        <f ca="1">IF(OR(FK$169&lt;SwaptionFirstMonthPosition+1,$FJ236&lt;SwaptionFirstMonthPosition+1,FK$169&gt;SwaptionFirstMonthPosition+SwaptionNumOfMonths+1,$FJ236&gt;SwaptionFirstMonthPosition+SwaptionNumOfMonths+1),"",IF($FJ236=FK$169,1,IF($FJ236&lt;FK$169,INDEX($FK$170:$ID$241,FK$169,$FJ236),SUMPRODUCT(INDEX($FK$325:$ID$396,FK$169,1+SwaptionShift):INDEX($FK$325:$ID$396,FK$169,SwaptionMonthsToGo+SwaptionShift),INDEX($FK$245:$ID$316,$FJ236-FK$169,73-FK$169+SwaptionShift):INDEX($FK$245:$ID$316,$FJ236-FK$169,72-FK$169+SwaptionMonthsToGo+SwaptionShift))/SQRT(SUM(INDEX($FK391:$ID391,1+SwaptionShift):INDEX($FK391:$ID391,SwaptionMonthsToGo+SwaptionShift))*SUM(INDEX($FK$325:$ID$396,FK$169,1+SwaptionShift):INDEX($FK$325:$ID$396,FK$169,SwaptionMonthsToGo+SwaptionShift))))))</f>
        <v/>
      </c>
      <c r="FL236" s="479" t="str">
        <f ca="1">IF(OR(FL$169&lt;SwaptionFirstMonthPosition+1,$FJ236&lt;SwaptionFirstMonthPosition+1,FL$169&gt;SwaptionFirstMonthPosition+SwaptionNumOfMonths+1,$FJ236&gt;SwaptionFirstMonthPosition+SwaptionNumOfMonths+1),"",IF($FJ236=FL$169,1,IF($FJ236&lt;FL$169,INDEX($FK$170:$ID$241,FL$169,$FJ236),SUMPRODUCT(INDEX($FK$325:$ID$396,FL$169,1+SwaptionShift):INDEX($FK$325:$ID$396,FL$169,SwaptionMonthsToGo+SwaptionShift),INDEX($FK$245:$ID$316,$FJ236-FL$169,73-FL$169+SwaptionShift):INDEX($FK$245:$ID$316,$FJ236-FL$169,72-FL$169+SwaptionMonthsToGo+SwaptionShift))/SQRT(SUM(INDEX($FK391:$ID391,1+SwaptionShift):INDEX($FK391:$ID391,SwaptionMonthsToGo+SwaptionShift))*SUM(INDEX($FK$325:$ID$396,FL$169,1+SwaptionShift):INDEX($FK$325:$ID$396,FL$169,SwaptionMonthsToGo+SwaptionShift))))))</f>
        <v/>
      </c>
      <c r="FM236" s="479" t="str">
        <f ca="1">IF(OR(FM$169&lt;SwaptionFirstMonthPosition+1,$FJ236&lt;SwaptionFirstMonthPosition+1,FM$169&gt;SwaptionFirstMonthPosition+SwaptionNumOfMonths+1,$FJ236&gt;SwaptionFirstMonthPosition+SwaptionNumOfMonths+1),"",IF($FJ236=FM$169,1,IF($FJ236&lt;FM$169,INDEX($FK$170:$ID$241,FM$169,$FJ236),SUMPRODUCT(INDEX($FK$325:$ID$396,FM$169,1+SwaptionShift):INDEX($FK$325:$ID$396,FM$169,SwaptionMonthsToGo+SwaptionShift),INDEX($FK$245:$ID$316,$FJ236-FM$169,73-FM$169+SwaptionShift):INDEX($FK$245:$ID$316,$FJ236-FM$169,72-FM$169+SwaptionMonthsToGo+SwaptionShift))/SQRT(SUM(INDEX($FK391:$ID391,1+SwaptionShift):INDEX($FK391:$ID391,SwaptionMonthsToGo+SwaptionShift))*SUM(INDEX($FK$325:$ID$396,FM$169,1+SwaptionShift):INDEX($FK$325:$ID$396,FM$169,SwaptionMonthsToGo+SwaptionShift))))))</f>
        <v/>
      </c>
      <c r="FN236" s="479" t="str">
        <f ca="1">IF(OR(FN$169&lt;SwaptionFirstMonthPosition+1,$FJ236&lt;SwaptionFirstMonthPosition+1,FN$169&gt;SwaptionFirstMonthPosition+SwaptionNumOfMonths+1,$FJ236&gt;SwaptionFirstMonthPosition+SwaptionNumOfMonths+1),"",IF($FJ236=FN$169,1,IF($FJ236&lt;FN$169,INDEX($FK$170:$ID$241,FN$169,$FJ236),SUMPRODUCT(INDEX($FK$325:$ID$396,FN$169,1+SwaptionShift):INDEX($FK$325:$ID$396,FN$169,SwaptionMonthsToGo+SwaptionShift),INDEX($FK$245:$ID$316,$FJ236-FN$169,73-FN$169+SwaptionShift):INDEX($FK$245:$ID$316,$FJ236-FN$169,72-FN$169+SwaptionMonthsToGo+SwaptionShift))/SQRT(SUM(INDEX($FK391:$ID391,1+SwaptionShift):INDEX($FK391:$ID391,SwaptionMonthsToGo+SwaptionShift))*SUM(INDEX($FK$325:$ID$396,FN$169,1+SwaptionShift):INDEX($FK$325:$ID$396,FN$169,SwaptionMonthsToGo+SwaptionShift))))))</f>
        <v/>
      </c>
      <c r="FO236" s="479" t="str">
        <f ca="1">IF(OR(FO$169&lt;SwaptionFirstMonthPosition+1,$FJ236&lt;SwaptionFirstMonthPosition+1,FO$169&gt;SwaptionFirstMonthPosition+SwaptionNumOfMonths+1,$FJ236&gt;SwaptionFirstMonthPosition+SwaptionNumOfMonths+1),"",IF($FJ236=FO$169,1,IF($FJ236&lt;FO$169,INDEX($FK$170:$ID$241,FO$169,$FJ236),SUMPRODUCT(INDEX($FK$325:$ID$396,FO$169,1+SwaptionShift):INDEX($FK$325:$ID$396,FO$169,SwaptionMonthsToGo+SwaptionShift),INDEX($FK$245:$ID$316,$FJ236-FO$169,73-FO$169+SwaptionShift):INDEX($FK$245:$ID$316,$FJ236-FO$169,72-FO$169+SwaptionMonthsToGo+SwaptionShift))/SQRT(SUM(INDEX($FK391:$ID391,1+SwaptionShift):INDEX($FK391:$ID391,SwaptionMonthsToGo+SwaptionShift))*SUM(INDEX($FK$325:$ID$396,FO$169,1+SwaptionShift):INDEX($FK$325:$ID$396,FO$169,SwaptionMonthsToGo+SwaptionShift))))))</f>
        <v/>
      </c>
      <c r="FP236" s="479" t="str">
        <f ca="1">IF(OR(FP$169&lt;SwaptionFirstMonthPosition+1,$FJ236&lt;SwaptionFirstMonthPosition+1,FP$169&gt;SwaptionFirstMonthPosition+SwaptionNumOfMonths+1,$FJ236&gt;SwaptionFirstMonthPosition+SwaptionNumOfMonths+1),"",IF($FJ236=FP$169,1,IF($FJ236&lt;FP$169,INDEX($FK$170:$ID$241,FP$169,$FJ236),SUMPRODUCT(INDEX($FK$325:$ID$396,FP$169,1+SwaptionShift):INDEX($FK$325:$ID$396,FP$169,SwaptionMonthsToGo+SwaptionShift),INDEX($FK$245:$ID$316,$FJ236-FP$169,73-FP$169+SwaptionShift):INDEX($FK$245:$ID$316,$FJ236-FP$169,72-FP$169+SwaptionMonthsToGo+SwaptionShift))/SQRT(SUM(INDEX($FK391:$ID391,1+SwaptionShift):INDEX($FK391:$ID391,SwaptionMonthsToGo+SwaptionShift))*SUM(INDEX($FK$325:$ID$396,FP$169,1+SwaptionShift):INDEX($FK$325:$ID$396,FP$169,SwaptionMonthsToGo+SwaptionShift))))))</f>
        <v/>
      </c>
      <c r="FQ236" s="479" t="str">
        <f ca="1">IF(OR(FQ$169&lt;SwaptionFirstMonthPosition+1,$FJ236&lt;SwaptionFirstMonthPosition+1,FQ$169&gt;SwaptionFirstMonthPosition+SwaptionNumOfMonths+1,$FJ236&gt;SwaptionFirstMonthPosition+SwaptionNumOfMonths+1),"",IF($FJ236=FQ$169,1,IF($FJ236&lt;FQ$169,INDEX($FK$170:$ID$241,FQ$169,$FJ236),SUMPRODUCT(INDEX($FK$325:$ID$396,FQ$169,1+SwaptionShift):INDEX($FK$325:$ID$396,FQ$169,SwaptionMonthsToGo+SwaptionShift),INDEX($FK$245:$ID$316,$FJ236-FQ$169,73-FQ$169+SwaptionShift):INDEX($FK$245:$ID$316,$FJ236-FQ$169,72-FQ$169+SwaptionMonthsToGo+SwaptionShift))/SQRT(SUM(INDEX($FK391:$ID391,1+SwaptionShift):INDEX($FK391:$ID391,SwaptionMonthsToGo+SwaptionShift))*SUM(INDEX($FK$325:$ID$396,FQ$169,1+SwaptionShift):INDEX($FK$325:$ID$396,FQ$169,SwaptionMonthsToGo+SwaptionShift))))))</f>
        <v/>
      </c>
      <c r="FR236" s="479" t="str">
        <f ca="1">IF(OR(FR$169&lt;SwaptionFirstMonthPosition+1,$FJ236&lt;SwaptionFirstMonthPosition+1,FR$169&gt;SwaptionFirstMonthPosition+SwaptionNumOfMonths+1,$FJ236&gt;SwaptionFirstMonthPosition+SwaptionNumOfMonths+1),"",IF($FJ236=FR$169,1,IF($FJ236&lt;FR$169,INDEX($FK$170:$ID$241,FR$169,$FJ236),SUMPRODUCT(INDEX($FK$325:$ID$396,FR$169,1+SwaptionShift):INDEX($FK$325:$ID$396,FR$169,SwaptionMonthsToGo+SwaptionShift),INDEX($FK$245:$ID$316,$FJ236-FR$169,73-FR$169+SwaptionShift):INDEX($FK$245:$ID$316,$FJ236-FR$169,72-FR$169+SwaptionMonthsToGo+SwaptionShift))/SQRT(SUM(INDEX($FK391:$ID391,1+SwaptionShift):INDEX($FK391:$ID391,SwaptionMonthsToGo+SwaptionShift))*SUM(INDEX($FK$325:$ID$396,FR$169,1+SwaptionShift):INDEX($FK$325:$ID$396,FR$169,SwaptionMonthsToGo+SwaptionShift))))))</f>
        <v/>
      </c>
      <c r="FS236" s="479" t="str">
        <f ca="1">IF(OR(FS$169&lt;SwaptionFirstMonthPosition+1,$FJ236&lt;SwaptionFirstMonthPosition+1,FS$169&gt;SwaptionFirstMonthPosition+SwaptionNumOfMonths+1,$FJ236&gt;SwaptionFirstMonthPosition+SwaptionNumOfMonths+1),"",IF($FJ236=FS$169,1,IF($FJ236&lt;FS$169,INDEX($FK$170:$ID$241,FS$169,$FJ236),SUMPRODUCT(INDEX($FK$325:$ID$396,FS$169,1+SwaptionShift):INDEX($FK$325:$ID$396,FS$169,SwaptionMonthsToGo+SwaptionShift),INDEX($FK$245:$ID$316,$FJ236-FS$169,73-FS$169+SwaptionShift):INDEX($FK$245:$ID$316,$FJ236-FS$169,72-FS$169+SwaptionMonthsToGo+SwaptionShift))/SQRT(SUM(INDEX($FK391:$ID391,1+SwaptionShift):INDEX($FK391:$ID391,SwaptionMonthsToGo+SwaptionShift))*SUM(INDEX($FK$325:$ID$396,FS$169,1+SwaptionShift):INDEX($FK$325:$ID$396,FS$169,SwaptionMonthsToGo+SwaptionShift))))))</f>
        <v/>
      </c>
      <c r="FT236" s="479" t="str">
        <f ca="1">IF(OR(FT$169&lt;SwaptionFirstMonthPosition+1,$FJ236&lt;SwaptionFirstMonthPosition+1,FT$169&gt;SwaptionFirstMonthPosition+SwaptionNumOfMonths+1,$FJ236&gt;SwaptionFirstMonthPosition+SwaptionNumOfMonths+1),"",IF($FJ236=FT$169,1,IF($FJ236&lt;FT$169,INDEX($FK$170:$ID$241,FT$169,$FJ236),SUMPRODUCT(INDEX($FK$325:$ID$396,FT$169,1+SwaptionShift):INDEX($FK$325:$ID$396,FT$169,SwaptionMonthsToGo+SwaptionShift),INDEX($FK$245:$ID$316,$FJ236-FT$169,73-FT$169+SwaptionShift):INDEX($FK$245:$ID$316,$FJ236-FT$169,72-FT$169+SwaptionMonthsToGo+SwaptionShift))/SQRT(SUM(INDEX($FK391:$ID391,1+SwaptionShift):INDEX($FK391:$ID391,SwaptionMonthsToGo+SwaptionShift))*SUM(INDEX($FK$325:$ID$396,FT$169,1+SwaptionShift):INDEX($FK$325:$ID$396,FT$169,SwaptionMonthsToGo+SwaptionShift))))))</f>
        <v/>
      </c>
      <c r="FU236" s="479" t="str">
        <f ca="1">IF(OR(FU$169&lt;SwaptionFirstMonthPosition+1,$FJ236&lt;SwaptionFirstMonthPosition+1,FU$169&gt;SwaptionFirstMonthPosition+SwaptionNumOfMonths+1,$FJ236&gt;SwaptionFirstMonthPosition+SwaptionNumOfMonths+1),"",IF($FJ236=FU$169,1,IF($FJ236&lt;FU$169,INDEX($FK$170:$ID$241,FU$169,$FJ236),SUMPRODUCT(INDEX($FK$325:$ID$396,FU$169,1+SwaptionShift):INDEX($FK$325:$ID$396,FU$169,SwaptionMonthsToGo+SwaptionShift),INDEX($FK$245:$ID$316,$FJ236-FU$169,73-FU$169+SwaptionShift):INDEX($FK$245:$ID$316,$FJ236-FU$169,72-FU$169+SwaptionMonthsToGo+SwaptionShift))/SQRT(SUM(INDEX($FK391:$ID391,1+SwaptionShift):INDEX($FK391:$ID391,SwaptionMonthsToGo+SwaptionShift))*SUM(INDEX($FK$325:$ID$396,FU$169,1+SwaptionShift):INDEX($FK$325:$ID$396,FU$169,SwaptionMonthsToGo+SwaptionShift))))))</f>
        <v/>
      </c>
      <c r="FV236" s="479" t="str">
        <f ca="1">IF(OR(FV$169&lt;SwaptionFirstMonthPosition+1,$FJ236&lt;SwaptionFirstMonthPosition+1,FV$169&gt;SwaptionFirstMonthPosition+SwaptionNumOfMonths+1,$FJ236&gt;SwaptionFirstMonthPosition+SwaptionNumOfMonths+1),"",IF($FJ236=FV$169,1,IF($FJ236&lt;FV$169,INDEX($FK$170:$ID$241,FV$169,$FJ236),SUMPRODUCT(INDEX($FK$325:$ID$396,FV$169,1+SwaptionShift):INDEX($FK$325:$ID$396,FV$169,SwaptionMonthsToGo+SwaptionShift),INDEX($FK$245:$ID$316,$FJ236-FV$169,73-FV$169+SwaptionShift):INDEX($FK$245:$ID$316,$FJ236-FV$169,72-FV$169+SwaptionMonthsToGo+SwaptionShift))/SQRT(SUM(INDEX($FK391:$ID391,1+SwaptionShift):INDEX($FK391:$ID391,SwaptionMonthsToGo+SwaptionShift))*SUM(INDEX($FK$325:$ID$396,FV$169,1+SwaptionShift):INDEX($FK$325:$ID$396,FV$169,SwaptionMonthsToGo+SwaptionShift))))))</f>
        <v/>
      </c>
      <c r="FW236" s="479" t="str">
        <f ca="1">IF(OR(FW$169&lt;SwaptionFirstMonthPosition+1,$FJ236&lt;SwaptionFirstMonthPosition+1,FW$169&gt;SwaptionFirstMonthPosition+SwaptionNumOfMonths+1,$FJ236&gt;SwaptionFirstMonthPosition+SwaptionNumOfMonths+1),"",IF($FJ236=FW$169,1,IF($FJ236&lt;FW$169,INDEX($FK$170:$ID$241,FW$169,$FJ236),SUMPRODUCT(INDEX($FK$325:$ID$396,FW$169,1+SwaptionShift):INDEX($FK$325:$ID$396,FW$169,SwaptionMonthsToGo+SwaptionShift),INDEX($FK$245:$ID$316,$FJ236-FW$169,73-FW$169+SwaptionShift):INDEX($FK$245:$ID$316,$FJ236-FW$169,72-FW$169+SwaptionMonthsToGo+SwaptionShift))/SQRT(SUM(INDEX($FK391:$ID391,1+SwaptionShift):INDEX($FK391:$ID391,SwaptionMonthsToGo+SwaptionShift))*SUM(INDEX($FK$325:$ID$396,FW$169,1+SwaptionShift):INDEX($FK$325:$ID$396,FW$169,SwaptionMonthsToGo+SwaptionShift))))))</f>
        <v/>
      </c>
      <c r="FX236" s="479" t="str">
        <f ca="1">IF(OR(FX$169&lt;SwaptionFirstMonthPosition+1,$FJ236&lt;SwaptionFirstMonthPosition+1,FX$169&gt;SwaptionFirstMonthPosition+SwaptionNumOfMonths+1,$FJ236&gt;SwaptionFirstMonthPosition+SwaptionNumOfMonths+1),"",IF($FJ236=FX$169,1,IF($FJ236&lt;FX$169,INDEX($FK$170:$ID$241,FX$169,$FJ236),SUMPRODUCT(INDEX($FK$325:$ID$396,FX$169,1+SwaptionShift):INDEX($FK$325:$ID$396,FX$169,SwaptionMonthsToGo+SwaptionShift),INDEX($FK$245:$ID$316,$FJ236-FX$169,73-FX$169+SwaptionShift):INDEX($FK$245:$ID$316,$FJ236-FX$169,72-FX$169+SwaptionMonthsToGo+SwaptionShift))/SQRT(SUM(INDEX($FK391:$ID391,1+SwaptionShift):INDEX($FK391:$ID391,SwaptionMonthsToGo+SwaptionShift))*SUM(INDEX($FK$325:$ID$396,FX$169,1+SwaptionShift):INDEX($FK$325:$ID$396,FX$169,SwaptionMonthsToGo+SwaptionShift))))))</f>
        <v/>
      </c>
      <c r="FY236" s="479" t="str">
        <f ca="1">IF(OR(FY$169&lt;SwaptionFirstMonthPosition+1,$FJ236&lt;SwaptionFirstMonthPosition+1,FY$169&gt;SwaptionFirstMonthPosition+SwaptionNumOfMonths+1,$FJ236&gt;SwaptionFirstMonthPosition+SwaptionNumOfMonths+1),"",IF($FJ236=FY$169,1,IF($FJ236&lt;FY$169,INDEX($FK$170:$ID$241,FY$169,$FJ236),SUMPRODUCT(INDEX($FK$325:$ID$396,FY$169,1+SwaptionShift):INDEX($FK$325:$ID$396,FY$169,SwaptionMonthsToGo+SwaptionShift),INDEX($FK$245:$ID$316,$FJ236-FY$169,73-FY$169+SwaptionShift):INDEX($FK$245:$ID$316,$FJ236-FY$169,72-FY$169+SwaptionMonthsToGo+SwaptionShift))/SQRT(SUM(INDEX($FK391:$ID391,1+SwaptionShift):INDEX($FK391:$ID391,SwaptionMonthsToGo+SwaptionShift))*SUM(INDEX($FK$325:$ID$396,FY$169,1+SwaptionShift):INDEX($FK$325:$ID$396,FY$169,SwaptionMonthsToGo+SwaptionShift))))))</f>
        <v/>
      </c>
      <c r="FZ236" s="479" t="str">
        <f ca="1">IF(OR(FZ$169&lt;SwaptionFirstMonthPosition+1,$FJ236&lt;SwaptionFirstMonthPosition+1,FZ$169&gt;SwaptionFirstMonthPosition+SwaptionNumOfMonths+1,$FJ236&gt;SwaptionFirstMonthPosition+SwaptionNumOfMonths+1),"",IF($FJ236=FZ$169,1,IF($FJ236&lt;FZ$169,INDEX($FK$170:$ID$241,FZ$169,$FJ236),SUMPRODUCT(INDEX($FK$325:$ID$396,FZ$169,1+SwaptionShift):INDEX($FK$325:$ID$396,FZ$169,SwaptionMonthsToGo+SwaptionShift),INDEX($FK$245:$ID$316,$FJ236-FZ$169,73-FZ$169+SwaptionShift):INDEX($FK$245:$ID$316,$FJ236-FZ$169,72-FZ$169+SwaptionMonthsToGo+SwaptionShift))/SQRT(SUM(INDEX($FK391:$ID391,1+SwaptionShift):INDEX($FK391:$ID391,SwaptionMonthsToGo+SwaptionShift))*SUM(INDEX($FK$325:$ID$396,FZ$169,1+SwaptionShift):INDEX($FK$325:$ID$396,FZ$169,SwaptionMonthsToGo+SwaptionShift))))))</f>
        <v/>
      </c>
      <c r="GA236" s="479" t="str">
        <f ca="1">IF(OR(GA$169&lt;SwaptionFirstMonthPosition+1,$FJ236&lt;SwaptionFirstMonthPosition+1,GA$169&gt;SwaptionFirstMonthPosition+SwaptionNumOfMonths+1,$FJ236&gt;SwaptionFirstMonthPosition+SwaptionNumOfMonths+1),"",IF($FJ236=GA$169,1,IF($FJ236&lt;GA$169,INDEX($FK$170:$ID$241,GA$169,$FJ236),SUMPRODUCT(INDEX($FK$325:$ID$396,GA$169,1+SwaptionShift):INDEX($FK$325:$ID$396,GA$169,SwaptionMonthsToGo+SwaptionShift),INDEX($FK$245:$ID$316,$FJ236-GA$169,73-GA$169+SwaptionShift):INDEX($FK$245:$ID$316,$FJ236-GA$169,72-GA$169+SwaptionMonthsToGo+SwaptionShift))/SQRT(SUM(INDEX($FK391:$ID391,1+SwaptionShift):INDEX($FK391:$ID391,SwaptionMonthsToGo+SwaptionShift))*SUM(INDEX($FK$325:$ID$396,GA$169,1+SwaptionShift):INDEX($FK$325:$ID$396,GA$169,SwaptionMonthsToGo+SwaptionShift))))))</f>
        <v/>
      </c>
      <c r="GB236" s="479" t="str">
        <f ca="1">IF(OR(GB$169&lt;SwaptionFirstMonthPosition+1,$FJ236&lt;SwaptionFirstMonthPosition+1,GB$169&gt;SwaptionFirstMonthPosition+SwaptionNumOfMonths+1,$FJ236&gt;SwaptionFirstMonthPosition+SwaptionNumOfMonths+1),"",IF($FJ236=GB$169,1,IF($FJ236&lt;GB$169,INDEX($FK$170:$ID$241,GB$169,$FJ236),SUMPRODUCT(INDEX($FK$325:$ID$396,GB$169,1+SwaptionShift):INDEX($FK$325:$ID$396,GB$169,SwaptionMonthsToGo+SwaptionShift),INDEX($FK$245:$ID$316,$FJ236-GB$169,73-GB$169+SwaptionShift):INDEX($FK$245:$ID$316,$FJ236-GB$169,72-GB$169+SwaptionMonthsToGo+SwaptionShift))/SQRT(SUM(INDEX($FK391:$ID391,1+SwaptionShift):INDEX($FK391:$ID391,SwaptionMonthsToGo+SwaptionShift))*SUM(INDEX($FK$325:$ID$396,GB$169,1+SwaptionShift):INDEX($FK$325:$ID$396,GB$169,SwaptionMonthsToGo+SwaptionShift))))))</f>
        <v/>
      </c>
      <c r="GC236" s="479" t="str">
        <f ca="1">IF(OR(GC$169&lt;SwaptionFirstMonthPosition+1,$FJ236&lt;SwaptionFirstMonthPosition+1,GC$169&gt;SwaptionFirstMonthPosition+SwaptionNumOfMonths+1,$FJ236&gt;SwaptionFirstMonthPosition+SwaptionNumOfMonths+1),"",IF($FJ236=GC$169,1,IF($FJ236&lt;GC$169,INDEX($FK$170:$ID$241,GC$169,$FJ236),SUMPRODUCT(INDEX($FK$325:$ID$396,GC$169,1+SwaptionShift):INDEX($FK$325:$ID$396,GC$169,SwaptionMonthsToGo+SwaptionShift),INDEX($FK$245:$ID$316,$FJ236-GC$169,73-GC$169+SwaptionShift):INDEX($FK$245:$ID$316,$FJ236-GC$169,72-GC$169+SwaptionMonthsToGo+SwaptionShift))/SQRT(SUM(INDEX($FK391:$ID391,1+SwaptionShift):INDEX($FK391:$ID391,SwaptionMonthsToGo+SwaptionShift))*SUM(INDEX($FK$325:$ID$396,GC$169,1+SwaptionShift):INDEX($FK$325:$ID$396,GC$169,SwaptionMonthsToGo+SwaptionShift))))))</f>
        <v/>
      </c>
      <c r="GD236" s="479" t="str">
        <f ca="1">IF(OR(GD$169&lt;SwaptionFirstMonthPosition+1,$FJ236&lt;SwaptionFirstMonthPosition+1,GD$169&gt;SwaptionFirstMonthPosition+SwaptionNumOfMonths+1,$FJ236&gt;SwaptionFirstMonthPosition+SwaptionNumOfMonths+1),"",IF($FJ236=GD$169,1,IF($FJ236&lt;GD$169,INDEX($FK$170:$ID$241,GD$169,$FJ236),SUMPRODUCT(INDEX($FK$325:$ID$396,GD$169,1+SwaptionShift):INDEX($FK$325:$ID$396,GD$169,SwaptionMonthsToGo+SwaptionShift),INDEX($FK$245:$ID$316,$FJ236-GD$169,73-GD$169+SwaptionShift):INDEX($FK$245:$ID$316,$FJ236-GD$169,72-GD$169+SwaptionMonthsToGo+SwaptionShift))/SQRT(SUM(INDEX($FK391:$ID391,1+SwaptionShift):INDEX($FK391:$ID391,SwaptionMonthsToGo+SwaptionShift))*SUM(INDEX($FK$325:$ID$396,GD$169,1+SwaptionShift):INDEX($FK$325:$ID$396,GD$169,SwaptionMonthsToGo+SwaptionShift))))))</f>
        <v/>
      </c>
      <c r="GE236" s="479" t="str">
        <f ca="1">IF(OR(GE$169&lt;SwaptionFirstMonthPosition+1,$FJ236&lt;SwaptionFirstMonthPosition+1,GE$169&gt;SwaptionFirstMonthPosition+SwaptionNumOfMonths+1,$FJ236&gt;SwaptionFirstMonthPosition+SwaptionNumOfMonths+1),"",IF($FJ236=GE$169,1,IF($FJ236&lt;GE$169,INDEX($FK$170:$ID$241,GE$169,$FJ236),SUMPRODUCT(INDEX($FK$325:$ID$396,GE$169,1+SwaptionShift):INDEX($FK$325:$ID$396,GE$169,SwaptionMonthsToGo+SwaptionShift),INDEX($FK$245:$ID$316,$FJ236-GE$169,73-GE$169+SwaptionShift):INDEX($FK$245:$ID$316,$FJ236-GE$169,72-GE$169+SwaptionMonthsToGo+SwaptionShift))/SQRT(SUM(INDEX($FK391:$ID391,1+SwaptionShift):INDEX($FK391:$ID391,SwaptionMonthsToGo+SwaptionShift))*SUM(INDEX($FK$325:$ID$396,GE$169,1+SwaptionShift):INDEX($FK$325:$ID$396,GE$169,SwaptionMonthsToGo+SwaptionShift))))))</f>
        <v/>
      </c>
      <c r="GF236" s="479" t="str">
        <f ca="1">IF(OR(GF$169&lt;SwaptionFirstMonthPosition+1,$FJ236&lt;SwaptionFirstMonthPosition+1,GF$169&gt;SwaptionFirstMonthPosition+SwaptionNumOfMonths+1,$FJ236&gt;SwaptionFirstMonthPosition+SwaptionNumOfMonths+1),"",IF($FJ236=GF$169,1,IF($FJ236&lt;GF$169,INDEX($FK$170:$ID$241,GF$169,$FJ236),SUMPRODUCT(INDEX($FK$325:$ID$396,GF$169,1+SwaptionShift):INDEX($FK$325:$ID$396,GF$169,SwaptionMonthsToGo+SwaptionShift),INDEX($FK$245:$ID$316,$FJ236-GF$169,73-GF$169+SwaptionShift):INDEX($FK$245:$ID$316,$FJ236-GF$169,72-GF$169+SwaptionMonthsToGo+SwaptionShift))/SQRT(SUM(INDEX($FK391:$ID391,1+SwaptionShift):INDEX($FK391:$ID391,SwaptionMonthsToGo+SwaptionShift))*SUM(INDEX($FK$325:$ID$396,GF$169,1+SwaptionShift):INDEX($FK$325:$ID$396,GF$169,SwaptionMonthsToGo+SwaptionShift))))))</f>
        <v/>
      </c>
      <c r="GG236" s="479" t="str">
        <f ca="1">IF(OR(GG$169&lt;SwaptionFirstMonthPosition+1,$FJ236&lt;SwaptionFirstMonthPosition+1,GG$169&gt;SwaptionFirstMonthPosition+SwaptionNumOfMonths+1,$FJ236&gt;SwaptionFirstMonthPosition+SwaptionNumOfMonths+1),"",IF($FJ236=GG$169,1,IF($FJ236&lt;GG$169,INDEX($FK$170:$ID$241,GG$169,$FJ236),SUMPRODUCT(INDEX($FK$325:$ID$396,GG$169,1+SwaptionShift):INDEX($FK$325:$ID$396,GG$169,SwaptionMonthsToGo+SwaptionShift),INDEX($FK$245:$ID$316,$FJ236-GG$169,73-GG$169+SwaptionShift):INDEX($FK$245:$ID$316,$FJ236-GG$169,72-GG$169+SwaptionMonthsToGo+SwaptionShift))/SQRT(SUM(INDEX($FK391:$ID391,1+SwaptionShift):INDEX($FK391:$ID391,SwaptionMonthsToGo+SwaptionShift))*SUM(INDEX($FK$325:$ID$396,GG$169,1+SwaptionShift):INDEX($FK$325:$ID$396,GG$169,SwaptionMonthsToGo+SwaptionShift))))))</f>
        <v/>
      </c>
      <c r="GH236" s="479" t="str">
        <f ca="1">IF(OR(GH$169&lt;SwaptionFirstMonthPosition+1,$FJ236&lt;SwaptionFirstMonthPosition+1,GH$169&gt;SwaptionFirstMonthPosition+SwaptionNumOfMonths+1,$FJ236&gt;SwaptionFirstMonthPosition+SwaptionNumOfMonths+1),"",IF($FJ236=GH$169,1,IF($FJ236&lt;GH$169,INDEX($FK$170:$ID$241,GH$169,$FJ236),SUMPRODUCT(INDEX($FK$325:$ID$396,GH$169,1+SwaptionShift):INDEX($FK$325:$ID$396,GH$169,SwaptionMonthsToGo+SwaptionShift),INDEX($FK$245:$ID$316,$FJ236-GH$169,73-GH$169+SwaptionShift):INDEX($FK$245:$ID$316,$FJ236-GH$169,72-GH$169+SwaptionMonthsToGo+SwaptionShift))/SQRT(SUM(INDEX($FK391:$ID391,1+SwaptionShift):INDEX($FK391:$ID391,SwaptionMonthsToGo+SwaptionShift))*SUM(INDEX($FK$325:$ID$396,GH$169,1+SwaptionShift):INDEX($FK$325:$ID$396,GH$169,SwaptionMonthsToGo+SwaptionShift))))))</f>
        <v/>
      </c>
      <c r="GI236" s="479" t="str">
        <f ca="1">IF(OR(GI$169&lt;SwaptionFirstMonthPosition+1,$FJ236&lt;SwaptionFirstMonthPosition+1,GI$169&gt;SwaptionFirstMonthPosition+SwaptionNumOfMonths+1,$FJ236&gt;SwaptionFirstMonthPosition+SwaptionNumOfMonths+1),"",IF($FJ236=GI$169,1,IF($FJ236&lt;GI$169,INDEX($FK$170:$ID$241,GI$169,$FJ236),SUMPRODUCT(INDEX($FK$325:$ID$396,GI$169,1+SwaptionShift):INDEX($FK$325:$ID$396,GI$169,SwaptionMonthsToGo+SwaptionShift),INDEX($FK$245:$ID$316,$FJ236-GI$169,73-GI$169+SwaptionShift):INDEX($FK$245:$ID$316,$FJ236-GI$169,72-GI$169+SwaptionMonthsToGo+SwaptionShift))/SQRT(SUM(INDEX($FK391:$ID391,1+SwaptionShift):INDEX($FK391:$ID391,SwaptionMonthsToGo+SwaptionShift))*SUM(INDEX($FK$325:$ID$396,GI$169,1+SwaptionShift):INDEX($FK$325:$ID$396,GI$169,SwaptionMonthsToGo+SwaptionShift))))))</f>
        <v/>
      </c>
      <c r="GJ236" s="479" t="str">
        <f ca="1">IF(OR(GJ$169&lt;SwaptionFirstMonthPosition+1,$FJ236&lt;SwaptionFirstMonthPosition+1,GJ$169&gt;SwaptionFirstMonthPosition+SwaptionNumOfMonths+1,$FJ236&gt;SwaptionFirstMonthPosition+SwaptionNumOfMonths+1),"",IF($FJ236=GJ$169,1,IF($FJ236&lt;GJ$169,INDEX($FK$170:$ID$241,GJ$169,$FJ236),SUMPRODUCT(INDEX($FK$325:$ID$396,GJ$169,1+SwaptionShift):INDEX($FK$325:$ID$396,GJ$169,SwaptionMonthsToGo+SwaptionShift),INDEX($FK$245:$ID$316,$FJ236-GJ$169,73-GJ$169+SwaptionShift):INDEX($FK$245:$ID$316,$FJ236-GJ$169,72-GJ$169+SwaptionMonthsToGo+SwaptionShift))/SQRT(SUM(INDEX($FK391:$ID391,1+SwaptionShift):INDEX($FK391:$ID391,SwaptionMonthsToGo+SwaptionShift))*SUM(INDEX($FK$325:$ID$396,GJ$169,1+SwaptionShift):INDEX($FK$325:$ID$396,GJ$169,SwaptionMonthsToGo+SwaptionShift))))))</f>
        <v/>
      </c>
      <c r="GK236" s="479" t="str">
        <f ca="1">IF(OR(GK$169&lt;SwaptionFirstMonthPosition+1,$FJ236&lt;SwaptionFirstMonthPosition+1,GK$169&gt;SwaptionFirstMonthPosition+SwaptionNumOfMonths+1,$FJ236&gt;SwaptionFirstMonthPosition+SwaptionNumOfMonths+1),"",IF($FJ236=GK$169,1,IF($FJ236&lt;GK$169,INDEX($FK$170:$ID$241,GK$169,$FJ236),SUMPRODUCT(INDEX($FK$325:$ID$396,GK$169,1+SwaptionShift):INDEX($FK$325:$ID$396,GK$169,SwaptionMonthsToGo+SwaptionShift),INDEX($FK$245:$ID$316,$FJ236-GK$169,73-GK$169+SwaptionShift):INDEX($FK$245:$ID$316,$FJ236-GK$169,72-GK$169+SwaptionMonthsToGo+SwaptionShift))/SQRT(SUM(INDEX($FK391:$ID391,1+SwaptionShift):INDEX($FK391:$ID391,SwaptionMonthsToGo+SwaptionShift))*SUM(INDEX($FK$325:$ID$396,GK$169,1+SwaptionShift):INDEX($FK$325:$ID$396,GK$169,SwaptionMonthsToGo+SwaptionShift))))))</f>
        <v/>
      </c>
      <c r="GL236" s="479" t="str">
        <f ca="1">IF(OR(GL$169&lt;SwaptionFirstMonthPosition+1,$FJ236&lt;SwaptionFirstMonthPosition+1,GL$169&gt;SwaptionFirstMonthPosition+SwaptionNumOfMonths+1,$FJ236&gt;SwaptionFirstMonthPosition+SwaptionNumOfMonths+1),"",IF($FJ236=GL$169,1,IF($FJ236&lt;GL$169,INDEX($FK$170:$ID$241,GL$169,$FJ236),SUMPRODUCT(INDEX($FK$325:$ID$396,GL$169,1+SwaptionShift):INDEX($FK$325:$ID$396,GL$169,SwaptionMonthsToGo+SwaptionShift),INDEX($FK$245:$ID$316,$FJ236-GL$169,73-GL$169+SwaptionShift):INDEX($FK$245:$ID$316,$FJ236-GL$169,72-GL$169+SwaptionMonthsToGo+SwaptionShift))/SQRT(SUM(INDEX($FK391:$ID391,1+SwaptionShift):INDEX($FK391:$ID391,SwaptionMonthsToGo+SwaptionShift))*SUM(INDEX($FK$325:$ID$396,GL$169,1+SwaptionShift):INDEX($FK$325:$ID$396,GL$169,SwaptionMonthsToGo+SwaptionShift))))))</f>
        <v/>
      </c>
      <c r="GM236" s="479" t="str">
        <f ca="1">IF(OR(GM$169&lt;SwaptionFirstMonthPosition+1,$FJ236&lt;SwaptionFirstMonthPosition+1,GM$169&gt;SwaptionFirstMonthPosition+SwaptionNumOfMonths+1,$FJ236&gt;SwaptionFirstMonthPosition+SwaptionNumOfMonths+1),"",IF($FJ236=GM$169,1,IF($FJ236&lt;GM$169,INDEX($FK$170:$ID$241,GM$169,$FJ236),SUMPRODUCT(INDEX($FK$325:$ID$396,GM$169,1+SwaptionShift):INDEX($FK$325:$ID$396,GM$169,SwaptionMonthsToGo+SwaptionShift),INDEX($FK$245:$ID$316,$FJ236-GM$169,73-GM$169+SwaptionShift):INDEX($FK$245:$ID$316,$FJ236-GM$169,72-GM$169+SwaptionMonthsToGo+SwaptionShift))/SQRT(SUM(INDEX($FK391:$ID391,1+SwaptionShift):INDEX($FK391:$ID391,SwaptionMonthsToGo+SwaptionShift))*SUM(INDEX($FK$325:$ID$396,GM$169,1+SwaptionShift):INDEX($FK$325:$ID$396,GM$169,SwaptionMonthsToGo+SwaptionShift))))))</f>
        <v/>
      </c>
      <c r="GN236" s="479" t="str">
        <f ca="1">IF(OR(GN$169&lt;SwaptionFirstMonthPosition+1,$FJ236&lt;SwaptionFirstMonthPosition+1,GN$169&gt;SwaptionFirstMonthPosition+SwaptionNumOfMonths+1,$FJ236&gt;SwaptionFirstMonthPosition+SwaptionNumOfMonths+1),"",IF($FJ236=GN$169,1,IF($FJ236&lt;GN$169,INDEX($FK$170:$ID$241,GN$169,$FJ236),SUMPRODUCT(INDEX($FK$325:$ID$396,GN$169,1+SwaptionShift):INDEX($FK$325:$ID$396,GN$169,SwaptionMonthsToGo+SwaptionShift),INDEX($FK$245:$ID$316,$FJ236-GN$169,73-GN$169+SwaptionShift):INDEX($FK$245:$ID$316,$FJ236-GN$169,72-GN$169+SwaptionMonthsToGo+SwaptionShift))/SQRT(SUM(INDEX($FK391:$ID391,1+SwaptionShift):INDEX($FK391:$ID391,SwaptionMonthsToGo+SwaptionShift))*SUM(INDEX($FK$325:$ID$396,GN$169,1+SwaptionShift):INDEX($FK$325:$ID$396,GN$169,SwaptionMonthsToGo+SwaptionShift))))))</f>
        <v/>
      </c>
      <c r="GO236" s="479" t="str">
        <f ca="1">IF(OR(GO$169&lt;SwaptionFirstMonthPosition+1,$FJ236&lt;SwaptionFirstMonthPosition+1,GO$169&gt;SwaptionFirstMonthPosition+SwaptionNumOfMonths+1,$FJ236&gt;SwaptionFirstMonthPosition+SwaptionNumOfMonths+1),"",IF($FJ236=GO$169,1,IF($FJ236&lt;GO$169,INDEX($FK$170:$ID$241,GO$169,$FJ236),SUMPRODUCT(INDEX($FK$325:$ID$396,GO$169,1+SwaptionShift):INDEX($FK$325:$ID$396,GO$169,SwaptionMonthsToGo+SwaptionShift),INDEX($FK$245:$ID$316,$FJ236-GO$169,73-GO$169+SwaptionShift):INDEX($FK$245:$ID$316,$FJ236-GO$169,72-GO$169+SwaptionMonthsToGo+SwaptionShift))/SQRT(SUM(INDEX($FK391:$ID391,1+SwaptionShift):INDEX($FK391:$ID391,SwaptionMonthsToGo+SwaptionShift))*SUM(INDEX($FK$325:$ID$396,GO$169,1+SwaptionShift):INDEX($FK$325:$ID$396,GO$169,SwaptionMonthsToGo+SwaptionShift))))))</f>
        <v/>
      </c>
      <c r="GP236" s="479" t="str">
        <f ca="1">IF(OR(GP$169&lt;SwaptionFirstMonthPosition+1,$FJ236&lt;SwaptionFirstMonthPosition+1,GP$169&gt;SwaptionFirstMonthPosition+SwaptionNumOfMonths+1,$FJ236&gt;SwaptionFirstMonthPosition+SwaptionNumOfMonths+1),"",IF($FJ236=GP$169,1,IF($FJ236&lt;GP$169,INDEX($FK$170:$ID$241,GP$169,$FJ236),SUMPRODUCT(INDEX($FK$325:$ID$396,GP$169,1+SwaptionShift):INDEX($FK$325:$ID$396,GP$169,SwaptionMonthsToGo+SwaptionShift),INDEX($FK$245:$ID$316,$FJ236-GP$169,73-GP$169+SwaptionShift):INDEX($FK$245:$ID$316,$FJ236-GP$169,72-GP$169+SwaptionMonthsToGo+SwaptionShift))/SQRT(SUM(INDEX($FK391:$ID391,1+SwaptionShift):INDEX($FK391:$ID391,SwaptionMonthsToGo+SwaptionShift))*SUM(INDEX($FK$325:$ID$396,GP$169,1+SwaptionShift):INDEX($FK$325:$ID$396,GP$169,SwaptionMonthsToGo+SwaptionShift))))))</f>
        <v/>
      </c>
      <c r="GQ236" s="479" t="str">
        <f ca="1">IF(OR(GQ$169&lt;SwaptionFirstMonthPosition+1,$FJ236&lt;SwaptionFirstMonthPosition+1,GQ$169&gt;SwaptionFirstMonthPosition+SwaptionNumOfMonths+1,$FJ236&gt;SwaptionFirstMonthPosition+SwaptionNumOfMonths+1),"",IF($FJ236=GQ$169,1,IF($FJ236&lt;GQ$169,INDEX($FK$170:$ID$241,GQ$169,$FJ236),SUMPRODUCT(INDEX($FK$325:$ID$396,GQ$169,1+SwaptionShift):INDEX($FK$325:$ID$396,GQ$169,SwaptionMonthsToGo+SwaptionShift),INDEX($FK$245:$ID$316,$FJ236-GQ$169,73-GQ$169+SwaptionShift):INDEX($FK$245:$ID$316,$FJ236-GQ$169,72-GQ$169+SwaptionMonthsToGo+SwaptionShift))/SQRT(SUM(INDEX($FK391:$ID391,1+SwaptionShift):INDEX($FK391:$ID391,SwaptionMonthsToGo+SwaptionShift))*SUM(INDEX($FK$325:$ID$396,GQ$169,1+SwaptionShift):INDEX($FK$325:$ID$396,GQ$169,SwaptionMonthsToGo+SwaptionShift))))))</f>
        <v/>
      </c>
      <c r="GR236" s="479" t="str">
        <f ca="1">IF(OR(GR$169&lt;SwaptionFirstMonthPosition+1,$FJ236&lt;SwaptionFirstMonthPosition+1,GR$169&gt;SwaptionFirstMonthPosition+SwaptionNumOfMonths+1,$FJ236&gt;SwaptionFirstMonthPosition+SwaptionNumOfMonths+1),"",IF($FJ236=GR$169,1,IF($FJ236&lt;GR$169,INDEX($FK$170:$ID$241,GR$169,$FJ236),SUMPRODUCT(INDEX($FK$325:$ID$396,GR$169,1+SwaptionShift):INDEX($FK$325:$ID$396,GR$169,SwaptionMonthsToGo+SwaptionShift),INDEX($FK$245:$ID$316,$FJ236-GR$169,73-GR$169+SwaptionShift):INDEX($FK$245:$ID$316,$FJ236-GR$169,72-GR$169+SwaptionMonthsToGo+SwaptionShift))/SQRT(SUM(INDEX($FK391:$ID391,1+SwaptionShift):INDEX($FK391:$ID391,SwaptionMonthsToGo+SwaptionShift))*SUM(INDEX($FK$325:$ID$396,GR$169,1+SwaptionShift):INDEX($FK$325:$ID$396,GR$169,SwaptionMonthsToGo+SwaptionShift))))))</f>
        <v/>
      </c>
      <c r="GS236" s="479" t="str">
        <f ca="1">IF(OR(GS$169&lt;SwaptionFirstMonthPosition+1,$FJ236&lt;SwaptionFirstMonthPosition+1,GS$169&gt;SwaptionFirstMonthPosition+SwaptionNumOfMonths+1,$FJ236&gt;SwaptionFirstMonthPosition+SwaptionNumOfMonths+1),"",IF($FJ236=GS$169,1,IF($FJ236&lt;GS$169,INDEX($FK$170:$ID$241,GS$169,$FJ236),SUMPRODUCT(INDEX($FK$325:$ID$396,GS$169,1+SwaptionShift):INDEX($FK$325:$ID$396,GS$169,SwaptionMonthsToGo+SwaptionShift),INDEX($FK$245:$ID$316,$FJ236-GS$169,73-GS$169+SwaptionShift):INDEX($FK$245:$ID$316,$FJ236-GS$169,72-GS$169+SwaptionMonthsToGo+SwaptionShift))/SQRT(SUM(INDEX($FK391:$ID391,1+SwaptionShift):INDEX($FK391:$ID391,SwaptionMonthsToGo+SwaptionShift))*SUM(INDEX($FK$325:$ID$396,GS$169,1+SwaptionShift):INDEX($FK$325:$ID$396,GS$169,SwaptionMonthsToGo+SwaptionShift))))))</f>
        <v/>
      </c>
      <c r="GT236" s="479" t="str">
        <f ca="1">IF(OR(GT$169&lt;SwaptionFirstMonthPosition+1,$FJ236&lt;SwaptionFirstMonthPosition+1,GT$169&gt;SwaptionFirstMonthPosition+SwaptionNumOfMonths+1,$FJ236&gt;SwaptionFirstMonthPosition+SwaptionNumOfMonths+1),"",IF($FJ236=GT$169,1,IF($FJ236&lt;GT$169,INDEX($FK$170:$ID$241,GT$169,$FJ236),SUMPRODUCT(INDEX($FK$325:$ID$396,GT$169,1+SwaptionShift):INDEX($FK$325:$ID$396,GT$169,SwaptionMonthsToGo+SwaptionShift),INDEX($FK$245:$ID$316,$FJ236-GT$169,73-GT$169+SwaptionShift):INDEX($FK$245:$ID$316,$FJ236-GT$169,72-GT$169+SwaptionMonthsToGo+SwaptionShift))/SQRT(SUM(INDEX($FK391:$ID391,1+SwaptionShift):INDEX($FK391:$ID391,SwaptionMonthsToGo+SwaptionShift))*SUM(INDEX($FK$325:$ID$396,GT$169,1+SwaptionShift):INDEX($FK$325:$ID$396,GT$169,SwaptionMonthsToGo+SwaptionShift))))))</f>
        <v/>
      </c>
      <c r="GU236" s="479" t="str">
        <f ca="1">IF(OR(GU$169&lt;SwaptionFirstMonthPosition+1,$FJ236&lt;SwaptionFirstMonthPosition+1,GU$169&gt;SwaptionFirstMonthPosition+SwaptionNumOfMonths+1,$FJ236&gt;SwaptionFirstMonthPosition+SwaptionNumOfMonths+1),"",IF($FJ236=GU$169,1,IF($FJ236&lt;GU$169,INDEX($FK$170:$ID$241,GU$169,$FJ236),SUMPRODUCT(INDEX($FK$325:$ID$396,GU$169,1+SwaptionShift):INDEX($FK$325:$ID$396,GU$169,SwaptionMonthsToGo+SwaptionShift),INDEX($FK$245:$ID$316,$FJ236-GU$169,73-GU$169+SwaptionShift):INDEX($FK$245:$ID$316,$FJ236-GU$169,72-GU$169+SwaptionMonthsToGo+SwaptionShift))/SQRT(SUM(INDEX($FK391:$ID391,1+SwaptionShift):INDEX($FK391:$ID391,SwaptionMonthsToGo+SwaptionShift))*SUM(INDEX($FK$325:$ID$396,GU$169,1+SwaptionShift):INDEX($FK$325:$ID$396,GU$169,SwaptionMonthsToGo+SwaptionShift))))))</f>
        <v/>
      </c>
      <c r="GV236" s="479" t="str">
        <f ca="1">IF(OR(GV$169&lt;SwaptionFirstMonthPosition+1,$FJ236&lt;SwaptionFirstMonthPosition+1,GV$169&gt;SwaptionFirstMonthPosition+SwaptionNumOfMonths+1,$FJ236&gt;SwaptionFirstMonthPosition+SwaptionNumOfMonths+1),"",IF($FJ236=GV$169,1,IF($FJ236&lt;GV$169,INDEX($FK$170:$ID$241,GV$169,$FJ236),SUMPRODUCT(INDEX($FK$325:$ID$396,GV$169,1+SwaptionShift):INDEX($FK$325:$ID$396,GV$169,SwaptionMonthsToGo+SwaptionShift),INDEX($FK$245:$ID$316,$FJ236-GV$169,73-GV$169+SwaptionShift):INDEX($FK$245:$ID$316,$FJ236-GV$169,72-GV$169+SwaptionMonthsToGo+SwaptionShift))/SQRT(SUM(INDEX($FK391:$ID391,1+SwaptionShift):INDEX($FK391:$ID391,SwaptionMonthsToGo+SwaptionShift))*SUM(INDEX($FK$325:$ID$396,GV$169,1+SwaptionShift):INDEX($FK$325:$ID$396,GV$169,SwaptionMonthsToGo+SwaptionShift))))))</f>
        <v/>
      </c>
      <c r="GW236" s="479" t="str">
        <f ca="1">IF(OR(GW$169&lt;SwaptionFirstMonthPosition+1,$FJ236&lt;SwaptionFirstMonthPosition+1,GW$169&gt;SwaptionFirstMonthPosition+SwaptionNumOfMonths+1,$FJ236&gt;SwaptionFirstMonthPosition+SwaptionNumOfMonths+1),"",IF($FJ236=GW$169,1,IF($FJ236&lt;GW$169,INDEX($FK$170:$ID$241,GW$169,$FJ236),SUMPRODUCT(INDEX($FK$325:$ID$396,GW$169,1+SwaptionShift):INDEX($FK$325:$ID$396,GW$169,SwaptionMonthsToGo+SwaptionShift),INDEX($FK$245:$ID$316,$FJ236-GW$169,73-GW$169+SwaptionShift):INDEX($FK$245:$ID$316,$FJ236-GW$169,72-GW$169+SwaptionMonthsToGo+SwaptionShift))/SQRT(SUM(INDEX($FK391:$ID391,1+SwaptionShift):INDEX($FK391:$ID391,SwaptionMonthsToGo+SwaptionShift))*SUM(INDEX($FK$325:$ID$396,GW$169,1+SwaptionShift):INDEX($FK$325:$ID$396,GW$169,SwaptionMonthsToGo+SwaptionShift))))))</f>
        <v/>
      </c>
      <c r="GX236" s="479" t="str">
        <f ca="1">IF(OR(GX$169&lt;SwaptionFirstMonthPosition+1,$FJ236&lt;SwaptionFirstMonthPosition+1,GX$169&gt;SwaptionFirstMonthPosition+SwaptionNumOfMonths+1,$FJ236&gt;SwaptionFirstMonthPosition+SwaptionNumOfMonths+1),"",IF($FJ236=GX$169,1,IF($FJ236&lt;GX$169,INDEX($FK$170:$ID$241,GX$169,$FJ236),SUMPRODUCT(INDEX($FK$325:$ID$396,GX$169,1+SwaptionShift):INDEX($FK$325:$ID$396,GX$169,SwaptionMonthsToGo+SwaptionShift),INDEX($FK$245:$ID$316,$FJ236-GX$169,73-GX$169+SwaptionShift):INDEX($FK$245:$ID$316,$FJ236-GX$169,72-GX$169+SwaptionMonthsToGo+SwaptionShift))/SQRT(SUM(INDEX($FK391:$ID391,1+SwaptionShift):INDEX($FK391:$ID391,SwaptionMonthsToGo+SwaptionShift))*SUM(INDEX($FK$325:$ID$396,GX$169,1+SwaptionShift):INDEX($FK$325:$ID$396,GX$169,SwaptionMonthsToGo+SwaptionShift))))))</f>
        <v/>
      </c>
      <c r="GY236" s="479" t="str">
        <f ca="1">IF(OR(GY$169&lt;SwaptionFirstMonthPosition+1,$FJ236&lt;SwaptionFirstMonthPosition+1,GY$169&gt;SwaptionFirstMonthPosition+SwaptionNumOfMonths+1,$FJ236&gt;SwaptionFirstMonthPosition+SwaptionNumOfMonths+1),"",IF($FJ236=GY$169,1,IF($FJ236&lt;GY$169,INDEX($FK$170:$ID$241,GY$169,$FJ236),SUMPRODUCT(INDEX($FK$325:$ID$396,GY$169,1+SwaptionShift):INDEX($FK$325:$ID$396,GY$169,SwaptionMonthsToGo+SwaptionShift),INDEX($FK$245:$ID$316,$FJ236-GY$169,73-GY$169+SwaptionShift):INDEX($FK$245:$ID$316,$FJ236-GY$169,72-GY$169+SwaptionMonthsToGo+SwaptionShift))/SQRT(SUM(INDEX($FK391:$ID391,1+SwaptionShift):INDEX($FK391:$ID391,SwaptionMonthsToGo+SwaptionShift))*SUM(INDEX($FK$325:$ID$396,GY$169,1+SwaptionShift):INDEX($FK$325:$ID$396,GY$169,SwaptionMonthsToGo+SwaptionShift))))))</f>
        <v/>
      </c>
      <c r="GZ236" s="479" t="str">
        <f ca="1">IF(OR(GZ$169&lt;SwaptionFirstMonthPosition+1,$FJ236&lt;SwaptionFirstMonthPosition+1,GZ$169&gt;SwaptionFirstMonthPosition+SwaptionNumOfMonths+1,$FJ236&gt;SwaptionFirstMonthPosition+SwaptionNumOfMonths+1),"",IF($FJ236=GZ$169,1,IF($FJ236&lt;GZ$169,INDEX($FK$170:$ID$241,GZ$169,$FJ236),SUMPRODUCT(INDEX($FK$325:$ID$396,GZ$169,1+SwaptionShift):INDEX($FK$325:$ID$396,GZ$169,SwaptionMonthsToGo+SwaptionShift),INDEX($FK$245:$ID$316,$FJ236-GZ$169,73-GZ$169+SwaptionShift):INDEX($FK$245:$ID$316,$FJ236-GZ$169,72-GZ$169+SwaptionMonthsToGo+SwaptionShift))/SQRT(SUM(INDEX($FK391:$ID391,1+SwaptionShift):INDEX($FK391:$ID391,SwaptionMonthsToGo+SwaptionShift))*SUM(INDEX($FK$325:$ID$396,GZ$169,1+SwaptionShift):INDEX($FK$325:$ID$396,GZ$169,SwaptionMonthsToGo+SwaptionShift))))))</f>
        <v/>
      </c>
      <c r="HA236" s="479" t="str">
        <f ca="1">IF(OR(HA$169&lt;SwaptionFirstMonthPosition+1,$FJ236&lt;SwaptionFirstMonthPosition+1,HA$169&gt;SwaptionFirstMonthPosition+SwaptionNumOfMonths+1,$FJ236&gt;SwaptionFirstMonthPosition+SwaptionNumOfMonths+1),"",IF($FJ236=HA$169,1,IF($FJ236&lt;HA$169,INDEX($FK$170:$ID$241,HA$169,$FJ236),SUMPRODUCT(INDEX($FK$325:$ID$396,HA$169,1+SwaptionShift):INDEX($FK$325:$ID$396,HA$169,SwaptionMonthsToGo+SwaptionShift),INDEX($FK$245:$ID$316,$FJ236-HA$169,73-HA$169+SwaptionShift):INDEX($FK$245:$ID$316,$FJ236-HA$169,72-HA$169+SwaptionMonthsToGo+SwaptionShift))/SQRT(SUM(INDEX($FK391:$ID391,1+SwaptionShift):INDEX($FK391:$ID391,SwaptionMonthsToGo+SwaptionShift))*SUM(INDEX($FK$325:$ID$396,HA$169,1+SwaptionShift):INDEX($FK$325:$ID$396,HA$169,SwaptionMonthsToGo+SwaptionShift))))))</f>
        <v/>
      </c>
      <c r="HB236" s="479" t="str">
        <f ca="1">IF(OR(HB$169&lt;SwaptionFirstMonthPosition+1,$FJ236&lt;SwaptionFirstMonthPosition+1,HB$169&gt;SwaptionFirstMonthPosition+SwaptionNumOfMonths+1,$FJ236&gt;SwaptionFirstMonthPosition+SwaptionNumOfMonths+1),"",IF($FJ236=HB$169,1,IF($FJ236&lt;HB$169,INDEX($FK$170:$ID$241,HB$169,$FJ236),SUMPRODUCT(INDEX($FK$325:$ID$396,HB$169,1+SwaptionShift):INDEX($FK$325:$ID$396,HB$169,SwaptionMonthsToGo+SwaptionShift),INDEX($FK$245:$ID$316,$FJ236-HB$169,73-HB$169+SwaptionShift):INDEX($FK$245:$ID$316,$FJ236-HB$169,72-HB$169+SwaptionMonthsToGo+SwaptionShift))/SQRT(SUM(INDEX($FK391:$ID391,1+SwaptionShift):INDEX($FK391:$ID391,SwaptionMonthsToGo+SwaptionShift))*SUM(INDEX($FK$325:$ID$396,HB$169,1+SwaptionShift):INDEX($FK$325:$ID$396,HB$169,SwaptionMonthsToGo+SwaptionShift))))))</f>
        <v/>
      </c>
      <c r="HC236" s="479" t="str">
        <f ca="1">IF(OR(HC$169&lt;SwaptionFirstMonthPosition+1,$FJ236&lt;SwaptionFirstMonthPosition+1,HC$169&gt;SwaptionFirstMonthPosition+SwaptionNumOfMonths+1,$FJ236&gt;SwaptionFirstMonthPosition+SwaptionNumOfMonths+1),"",IF($FJ236=HC$169,1,IF($FJ236&lt;HC$169,INDEX($FK$170:$ID$241,HC$169,$FJ236),SUMPRODUCT(INDEX($FK$325:$ID$396,HC$169,1+SwaptionShift):INDEX($FK$325:$ID$396,HC$169,SwaptionMonthsToGo+SwaptionShift),INDEX($FK$245:$ID$316,$FJ236-HC$169,73-HC$169+SwaptionShift):INDEX($FK$245:$ID$316,$FJ236-HC$169,72-HC$169+SwaptionMonthsToGo+SwaptionShift))/SQRT(SUM(INDEX($FK391:$ID391,1+SwaptionShift):INDEX($FK391:$ID391,SwaptionMonthsToGo+SwaptionShift))*SUM(INDEX($FK$325:$ID$396,HC$169,1+SwaptionShift):INDEX($FK$325:$ID$396,HC$169,SwaptionMonthsToGo+SwaptionShift))))))</f>
        <v/>
      </c>
      <c r="HD236" s="479" t="str">
        <f ca="1">IF(OR(HD$169&lt;SwaptionFirstMonthPosition+1,$FJ236&lt;SwaptionFirstMonthPosition+1,HD$169&gt;SwaptionFirstMonthPosition+SwaptionNumOfMonths+1,$FJ236&gt;SwaptionFirstMonthPosition+SwaptionNumOfMonths+1),"",IF($FJ236=HD$169,1,IF($FJ236&lt;HD$169,INDEX($FK$170:$ID$241,HD$169,$FJ236),SUMPRODUCT(INDEX($FK$325:$ID$396,HD$169,1+SwaptionShift):INDEX($FK$325:$ID$396,HD$169,SwaptionMonthsToGo+SwaptionShift),INDEX($FK$245:$ID$316,$FJ236-HD$169,73-HD$169+SwaptionShift):INDEX($FK$245:$ID$316,$FJ236-HD$169,72-HD$169+SwaptionMonthsToGo+SwaptionShift))/SQRT(SUM(INDEX($FK391:$ID391,1+SwaptionShift):INDEX($FK391:$ID391,SwaptionMonthsToGo+SwaptionShift))*SUM(INDEX($FK$325:$ID$396,HD$169,1+SwaptionShift):INDEX($FK$325:$ID$396,HD$169,SwaptionMonthsToGo+SwaptionShift))))))</f>
        <v/>
      </c>
      <c r="HE236" s="479" t="str">
        <f ca="1">IF(OR(HE$169&lt;SwaptionFirstMonthPosition+1,$FJ236&lt;SwaptionFirstMonthPosition+1,HE$169&gt;SwaptionFirstMonthPosition+SwaptionNumOfMonths+1,$FJ236&gt;SwaptionFirstMonthPosition+SwaptionNumOfMonths+1),"",IF($FJ236=HE$169,1,IF($FJ236&lt;HE$169,INDEX($FK$170:$ID$241,HE$169,$FJ236),SUMPRODUCT(INDEX($FK$325:$ID$396,HE$169,1+SwaptionShift):INDEX($FK$325:$ID$396,HE$169,SwaptionMonthsToGo+SwaptionShift),INDEX($FK$245:$ID$316,$FJ236-HE$169,73-HE$169+SwaptionShift):INDEX($FK$245:$ID$316,$FJ236-HE$169,72-HE$169+SwaptionMonthsToGo+SwaptionShift))/SQRT(SUM(INDEX($FK391:$ID391,1+SwaptionShift):INDEX($FK391:$ID391,SwaptionMonthsToGo+SwaptionShift))*SUM(INDEX($FK$325:$ID$396,HE$169,1+SwaptionShift):INDEX($FK$325:$ID$396,HE$169,SwaptionMonthsToGo+SwaptionShift))))))</f>
        <v/>
      </c>
      <c r="HF236" s="479" t="str">
        <f ca="1">IF(OR(HF$169&lt;SwaptionFirstMonthPosition+1,$FJ236&lt;SwaptionFirstMonthPosition+1,HF$169&gt;SwaptionFirstMonthPosition+SwaptionNumOfMonths+1,$FJ236&gt;SwaptionFirstMonthPosition+SwaptionNumOfMonths+1),"",IF($FJ236=HF$169,1,IF($FJ236&lt;HF$169,INDEX($FK$170:$ID$241,HF$169,$FJ236),SUMPRODUCT(INDEX($FK$325:$ID$396,HF$169,1+SwaptionShift):INDEX($FK$325:$ID$396,HF$169,SwaptionMonthsToGo+SwaptionShift),INDEX($FK$245:$ID$316,$FJ236-HF$169,73-HF$169+SwaptionShift):INDEX($FK$245:$ID$316,$FJ236-HF$169,72-HF$169+SwaptionMonthsToGo+SwaptionShift))/SQRT(SUM(INDEX($FK391:$ID391,1+SwaptionShift):INDEX($FK391:$ID391,SwaptionMonthsToGo+SwaptionShift))*SUM(INDEX($FK$325:$ID$396,HF$169,1+SwaptionShift):INDEX($FK$325:$ID$396,HF$169,SwaptionMonthsToGo+SwaptionShift))))))</f>
        <v/>
      </c>
      <c r="HG236" s="479" t="str">
        <f ca="1">IF(OR(HG$169&lt;SwaptionFirstMonthPosition+1,$FJ236&lt;SwaptionFirstMonthPosition+1,HG$169&gt;SwaptionFirstMonthPosition+SwaptionNumOfMonths+1,$FJ236&gt;SwaptionFirstMonthPosition+SwaptionNumOfMonths+1),"",IF($FJ236=HG$169,1,IF($FJ236&lt;HG$169,INDEX($FK$170:$ID$241,HG$169,$FJ236),SUMPRODUCT(INDEX($FK$325:$ID$396,HG$169,1+SwaptionShift):INDEX($FK$325:$ID$396,HG$169,SwaptionMonthsToGo+SwaptionShift),INDEX($FK$245:$ID$316,$FJ236-HG$169,73-HG$169+SwaptionShift):INDEX($FK$245:$ID$316,$FJ236-HG$169,72-HG$169+SwaptionMonthsToGo+SwaptionShift))/SQRT(SUM(INDEX($FK391:$ID391,1+SwaptionShift):INDEX($FK391:$ID391,SwaptionMonthsToGo+SwaptionShift))*SUM(INDEX($FK$325:$ID$396,HG$169,1+SwaptionShift):INDEX($FK$325:$ID$396,HG$169,SwaptionMonthsToGo+SwaptionShift))))))</f>
        <v/>
      </c>
      <c r="HH236" s="479" t="str">
        <f ca="1">IF(OR(HH$169&lt;SwaptionFirstMonthPosition+1,$FJ236&lt;SwaptionFirstMonthPosition+1,HH$169&gt;SwaptionFirstMonthPosition+SwaptionNumOfMonths+1,$FJ236&gt;SwaptionFirstMonthPosition+SwaptionNumOfMonths+1),"",IF($FJ236=HH$169,1,IF($FJ236&lt;HH$169,INDEX($FK$170:$ID$241,HH$169,$FJ236),SUMPRODUCT(INDEX($FK$325:$ID$396,HH$169,1+SwaptionShift):INDEX($FK$325:$ID$396,HH$169,SwaptionMonthsToGo+SwaptionShift),INDEX($FK$245:$ID$316,$FJ236-HH$169,73-HH$169+SwaptionShift):INDEX($FK$245:$ID$316,$FJ236-HH$169,72-HH$169+SwaptionMonthsToGo+SwaptionShift))/SQRT(SUM(INDEX($FK391:$ID391,1+SwaptionShift):INDEX($FK391:$ID391,SwaptionMonthsToGo+SwaptionShift))*SUM(INDEX($FK$325:$ID$396,HH$169,1+SwaptionShift):INDEX($FK$325:$ID$396,HH$169,SwaptionMonthsToGo+SwaptionShift))))))</f>
        <v/>
      </c>
      <c r="HI236" s="479" t="str">
        <f ca="1">IF(OR(HI$169&lt;SwaptionFirstMonthPosition+1,$FJ236&lt;SwaptionFirstMonthPosition+1,HI$169&gt;SwaptionFirstMonthPosition+SwaptionNumOfMonths+1,$FJ236&gt;SwaptionFirstMonthPosition+SwaptionNumOfMonths+1),"",IF($FJ236=HI$169,1,IF($FJ236&lt;HI$169,INDEX($FK$170:$ID$241,HI$169,$FJ236),SUMPRODUCT(INDEX($FK$325:$ID$396,HI$169,1+SwaptionShift):INDEX($FK$325:$ID$396,HI$169,SwaptionMonthsToGo+SwaptionShift),INDEX($FK$245:$ID$316,$FJ236-HI$169,73-HI$169+SwaptionShift):INDEX($FK$245:$ID$316,$FJ236-HI$169,72-HI$169+SwaptionMonthsToGo+SwaptionShift))/SQRT(SUM(INDEX($FK391:$ID391,1+SwaptionShift):INDEX($FK391:$ID391,SwaptionMonthsToGo+SwaptionShift))*SUM(INDEX($FK$325:$ID$396,HI$169,1+SwaptionShift):INDEX($FK$325:$ID$396,HI$169,SwaptionMonthsToGo+SwaptionShift))))))</f>
        <v/>
      </c>
      <c r="HJ236" s="479" t="str">
        <f ca="1">IF(OR(HJ$169&lt;SwaptionFirstMonthPosition+1,$FJ236&lt;SwaptionFirstMonthPosition+1,HJ$169&gt;SwaptionFirstMonthPosition+SwaptionNumOfMonths+1,$FJ236&gt;SwaptionFirstMonthPosition+SwaptionNumOfMonths+1),"",IF($FJ236=HJ$169,1,IF($FJ236&lt;HJ$169,INDEX($FK$170:$ID$241,HJ$169,$FJ236),SUMPRODUCT(INDEX($FK$325:$ID$396,HJ$169,1+SwaptionShift):INDEX($FK$325:$ID$396,HJ$169,SwaptionMonthsToGo+SwaptionShift),INDEX($FK$245:$ID$316,$FJ236-HJ$169,73-HJ$169+SwaptionShift):INDEX($FK$245:$ID$316,$FJ236-HJ$169,72-HJ$169+SwaptionMonthsToGo+SwaptionShift))/SQRT(SUM(INDEX($FK391:$ID391,1+SwaptionShift):INDEX($FK391:$ID391,SwaptionMonthsToGo+SwaptionShift))*SUM(INDEX($FK$325:$ID$396,HJ$169,1+SwaptionShift):INDEX($FK$325:$ID$396,HJ$169,SwaptionMonthsToGo+SwaptionShift))))))</f>
        <v/>
      </c>
      <c r="HK236" s="479" t="str">
        <f ca="1">IF(OR(HK$169&lt;SwaptionFirstMonthPosition+1,$FJ236&lt;SwaptionFirstMonthPosition+1,HK$169&gt;SwaptionFirstMonthPosition+SwaptionNumOfMonths+1,$FJ236&gt;SwaptionFirstMonthPosition+SwaptionNumOfMonths+1),"",IF($FJ236=HK$169,1,IF($FJ236&lt;HK$169,INDEX($FK$170:$ID$241,HK$169,$FJ236),SUMPRODUCT(INDEX($FK$325:$ID$396,HK$169,1+SwaptionShift):INDEX($FK$325:$ID$396,HK$169,SwaptionMonthsToGo+SwaptionShift),INDEX($FK$245:$ID$316,$FJ236-HK$169,73-HK$169+SwaptionShift):INDEX($FK$245:$ID$316,$FJ236-HK$169,72-HK$169+SwaptionMonthsToGo+SwaptionShift))/SQRT(SUM(INDEX($FK391:$ID391,1+SwaptionShift):INDEX($FK391:$ID391,SwaptionMonthsToGo+SwaptionShift))*SUM(INDEX($FK$325:$ID$396,HK$169,1+SwaptionShift):INDEX($FK$325:$ID$396,HK$169,SwaptionMonthsToGo+SwaptionShift))))))</f>
        <v/>
      </c>
      <c r="HL236" s="479" t="str">
        <f ca="1">IF(OR(HL$169&lt;SwaptionFirstMonthPosition+1,$FJ236&lt;SwaptionFirstMonthPosition+1,HL$169&gt;SwaptionFirstMonthPosition+SwaptionNumOfMonths+1,$FJ236&gt;SwaptionFirstMonthPosition+SwaptionNumOfMonths+1),"",IF($FJ236=HL$169,1,IF($FJ236&lt;HL$169,INDEX($FK$170:$ID$241,HL$169,$FJ236),SUMPRODUCT(INDEX($FK$325:$ID$396,HL$169,1+SwaptionShift):INDEX($FK$325:$ID$396,HL$169,SwaptionMonthsToGo+SwaptionShift),INDEX($FK$245:$ID$316,$FJ236-HL$169,73-HL$169+SwaptionShift):INDEX($FK$245:$ID$316,$FJ236-HL$169,72-HL$169+SwaptionMonthsToGo+SwaptionShift))/SQRT(SUM(INDEX($FK391:$ID391,1+SwaptionShift):INDEX($FK391:$ID391,SwaptionMonthsToGo+SwaptionShift))*SUM(INDEX($FK$325:$ID$396,HL$169,1+SwaptionShift):INDEX($FK$325:$ID$396,HL$169,SwaptionMonthsToGo+SwaptionShift))))))</f>
        <v/>
      </c>
      <c r="HM236" s="479" t="str">
        <f ca="1">IF(OR(HM$169&lt;SwaptionFirstMonthPosition+1,$FJ236&lt;SwaptionFirstMonthPosition+1,HM$169&gt;SwaptionFirstMonthPosition+SwaptionNumOfMonths+1,$FJ236&gt;SwaptionFirstMonthPosition+SwaptionNumOfMonths+1),"",IF($FJ236=HM$169,1,IF($FJ236&lt;HM$169,INDEX($FK$170:$ID$241,HM$169,$FJ236),SUMPRODUCT(INDEX($FK$325:$ID$396,HM$169,1+SwaptionShift):INDEX($FK$325:$ID$396,HM$169,SwaptionMonthsToGo+SwaptionShift),INDEX($FK$245:$ID$316,$FJ236-HM$169,73-HM$169+SwaptionShift):INDEX($FK$245:$ID$316,$FJ236-HM$169,72-HM$169+SwaptionMonthsToGo+SwaptionShift))/SQRT(SUM(INDEX($FK391:$ID391,1+SwaptionShift):INDEX($FK391:$ID391,SwaptionMonthsToGo+SwaptionShift))*SUM(INDEX($FK$325:$ID$396,HM$169,1+SwaptionShift):INDEX($FK$325:$ID$396,HM$169,SwaptionMonthsToGo+SwaptionShift))))))</f>
        <v/>
      </c>
      <c r="HN236" s="479" t="str">
        <f ca="1">IF(OR(HN$169&lt;SwaptionFirstMonthPosition+1,$FJ236&lt;SwaptionFirstMonthPosition+1,HN$169&gt;SwaptionFirstMonthPosition+SwaptionNumOfMonths+1,$FJ236&gt;SwaptionFirstMonthPosition+SwaptionNumOfMonths+1),"",IF($FJ236=HN$169,1,IF($FJ236&lt;HN$169,INDEX($FK$170:$ID$241,HN$169,$FJ236),SUMPRODUCT(INDEX($FK$325:$ID$396,HN$169,1+SwaptionShift):INDEX($FK$325:$ID$396,HN$169,SwaptionMonthsToGo+SwaptionShift),INDEX($FK$245:$ID$316,$FJ236-HN$169,73-HN$169+SwaptionShift):INDEX($FK$245:$ID$316,$FJ236-HN$169,72-HN$169+SwaptionMonthsToGo+SwaptionShift))/SQRT(SUM(INDEX($FK391:$ID391,1+SwaptionShift):INDEX($FK391:$ID391,SwaptionMonthsToGo+SwaptionShift))*SUM(INDEX($FK$325:$ID$396,HN$169,1+SwaptionShift):INDEX($FK$325:$ID$396,HN$169,SwaptionMonthsToGo+SwaptionShift))))))</f>
        <v/>
      </c>
      <c r="HO236" s="479" t="str">
        <f ca="1">IF(OR(HO$169&lt;SwaptionFirstMonthPosition+1,$FJ236&lt;SwaptionFirstMonthPosition+1,HO$169&gt;SwaptionFirstMonthPosition+SwaptionNumOfMonths+1,$FJ236&gt;SwaptionFirstMonthPosition+SwaptionNumOfMonths+1),"",IF($FJ236=HO$169,1,IF($FJ236&lt;HO$169,INDEX($FK$170:$ID$241,HO$169,$FJ236),SUMPRODUCT(INDEX($FK$325:$ID$396,HO$169,1+SwaptionShift):INDEX($FK$325:$ID$396,HO$169,SwaptionMonthsToGo+SwaptionShift),INDEX($FK$245:$ID$316,$FJ236-HO$169,73-HO$169+SwaptionShift):INDEX($FK$245:$ID$316,$FJ236-HO$169,72-HO$169+SwaptionMonthsToGo+SwaptionShift))/SQRT(SUM(INDEX($FK391:$ID391,1+SwaptionShift):INDEX($FK391:$ID391,SwaptionMonthsToGo+SwaptionShift))*SUM(INDEX($FK$325:$ID$396,HO$169,1+SwaptionShift):INDEX($FK$325:$ID$396,HO$169,SwaptionMonthsToGo+SwaptionShift))))))</f>
        <v/>
      </c>
      <c r="HP236" s="479" t="str">
        <f ca="1">IF(OR(HP$169&lt;SwaptionFirstMonthPosition+1,$FJ236&lt;SwaptionFirstMonthPosition+1,HP$169&gt;SwaptionFirstMonthPosition+SwaptionNumOfMonths+1,$FJ236&gt;SwaptionFirstMonthPosition+SwaptionNumOfMonths+1),"",IF($FJ236=HP$169,1,IF($FJ236&lt;HP$169,INDEX($FK$170:$ID$241,HP$169,$FJ236),SUMPRODUCT(INDEX($FK$325:$ID$396,HP$169,1+SwaptionShift):INDEX($FK$325:$ID$396,HP$169,SwaptionMonthsToGo+SwaptionShift),INDEX($FK$245:$ID$316,$FJ236-HP$169,73-HP$169+SwaptionShift):INDEX($FK$245:$ID$316,$FJ236-HP$169,72-HP$169+SwaptionMonthsToGo+SwaptionShift))/SQRT(SUM(INDEX($FK391:$ID391,1+SwaptionShift):INDEX($FK391:$ID391,SwaptionMonthsToGo+SwaptionShift))*SUM(INDEX($FK$325:$ID$396,HP$169,1+SwaptionShift):INDEX($FK$325:$ID$396,HP$169,SwaptionMonthsToGo+SwaptionShift))))))</f>
        <v/>
      </c>
      <c r="HQ236" s="479" t="str">
        <f ca="1">IF(OR(HQ$169&lt;SwaptionFirstMonthPosition+1,$FJ236&lt;SwaptionFirstMonthPosition+1,HQ$169&gt;SwaptionFirstMonthPosition+SwaptionNumOfMonths+1,$FJ236&gt;SwaptionFirstMonthPosition+SwaptionNumOfMonths+1),"",IF($FJ236=HQ$169,1,IF($FJ236&lt;HQ$169,INDEX($FK$170:$ID$241,HQ$169,$FJ236),SUMPRODUCT(INDEX($FK$325:$ID$396,HQ$169,1+SwaptionShift):INDEX($FK$325:$ID$396,HQ$169,SwaptionMonthsToGo+SwaptionShift),INDEX($FK$245:$ID$316,$FJ236-HQ$169,73-HQ$169+SwaptionShift):INDEX($FK$245:$ID$316,$FJ236-HQ$169,72-HQ$169+SwaptionMonthsToGo+SwaptionShift))/SQRT(SUM(INDEX($FK391:$ID391,1+SwaptionShift):INDEX($FK391:$ID391,SwaptionMonthsToGo+SwaptionShift))*SUM(INDEX($FK$325:$ID$396,HQ$169,1+SwaptionShift):INDEX($FK$325:$ID$396,HQ$169,SwaptionMonthsToGo+SwaptionShift))))))</f>
        <v/>
      </c>
      <c r="HR236" s="479" t="str">
        <f ca="1">IF(OR(HR$169&lt;SwaptionFirstMonthPosition+1,$FJ236&lt;SwaptionFirstMonthPosition+1,HR$169&gt;SwaptionFirstMonthPosition+SwaptionNumOfMonths+1,$FJ236&gt;SwaptionFirstMonthPosition+SwaptionNumOfMonths+1),"",IF($FJ236=HR$169,1,IF($FJ236&lt;HR$169,INDEX($FK$170:$ID$241,HR$169,$FJ236),SUMPRODUCT(INDEX($FK$325:$ID$396,HR$169,1+SwaptionShift):INDEX($FK$325:$ID$396,HR$169,SwaptionMonthsToGo+SwaptionShift),INDEX($FK$245:$ID$316,$FJ236-HR$169,73-HR$169+SwaptionShift):INDEX($FK$245:$ID$316,$FJ236-HR$169,72-HR$169+SwaptionMonthsToGo+SwaptionShift))/SQRT(SUM(INDEX($FK391:$ID391,1+SwaptionShift):INDEX($FK391:$ID391,SwaptionMonthsToGo+SwaptionShift))*SUM(INDEX($FK$325:$ID$396,HR$169,1+SwaptionShift):INDEX($FK$325:$ID$396,HR$169,SwaptionMonthsToGo+SwaptionShift))))))</f>
        <v/>
      </c>
      <c r="HS236" s="479" t="str">
        <f ca="1">IF(OR(HS$169&lt;SwaptionFirstMonthPosition+1,$FJ236&lt;SwaptionFirstMonthPosition+1,HS$169&gt;SwaptionFirstMonthPosition+SwaptionNumOfMonths+1,$FJ236&gt;SwaptionFirstMonthPosition+SwaptionNumOfMonths+1),"",IF($FJ236=HS$169,1,IF($FJ236&lt;HS$169,INDEX($FK$170:$ID$241,HS$169,$FJ236),SUMPRODUCT(INDEX($FK$325:$ID$396,HS$169,1+SwaptionShift):INDEX($FK$325:$ID$396,HS$169,SwaptionMonthsToGo+SwaptionShift),INDEX($FK$245:$ID$316,$FJ236-HS$169,73-HS$169+SwaptionShift):INDEX($FK$245:$ID$316,$FJ236-HS$169,72-HS$169+SwaptionMonthsToGo+SwaptionShift))/SQRT(SUM(INDEX($FK391:$ID391,1+SwaptionShift):INDEX($FK391:$ID391,SwaptionMonthsToGo+SwaptionShift))*SUM(INDEX($FK$325:$ID$396,HS$169,1+SwaptionShift):INDEX($FK$325:$ID$396,HS$169,SwaptionMonthsToGo+SwaptionShift))))))</f>
        <v/>
      </c>
      <c r="HT236" s="479" t="str">
        <f ca="1">IF(OR(HT$169&lt;SwaptionFirstMonthPosition+1,$FJ236&lt;SwaptionFirstMonthPosition+1,HT$169&gt;SwaptionFirstMonthPosition+SwaptionNumOfMonths+1,$FJ236&gt;SwaptionFirstMonthPosition+SwaptionNumOfMonths+1),"",IF($FJ236=HT$169,1,IF($FJ236&lt;HT$169,INDEX($FK$170:$ID$241,HT$169,$FJ236),SUMPRODUCT(INDEX($FK$325:$ID$396,HT$169,1+SwaptionShift):INDEX($FK$325:$ID$396,HT$169,SwaptionMonthsToGo+SwaptionShift),INDEX($FK$245:$ID$316,$FJ236-HT$169,73-HT$169+SwaptionShift):INDEX($FK$245:$ID$316,$FJ236-HT$169,72-HT$169+SwaptionMonthsToGo+SwaptionShift))/SQRT(SUM(INDEX($FK391:$ID391,1+SwaptionShift):INDEX($FK391:$ID391,SwaptionMonthsToGo+SwaptionShift))*SUM(INDEX($FK$325:$ID$396,HT$169,1+SwaptionShift):INDEX($FK$325:$ID$396,HT$169,SwaptionMonthsToGo+SwaptionShift))))))</f>
        <v/>
      </c>
      <c r="HU236" s="479" t="str">
        <f ca="1">IF(OR(HU$169&lt;SwaptionFirstMonthPosition+1,$FJ236&lt;SwaptionFirstMonthPosition+1,HU$169&gt;SwaptionFirstMonthPosition+SwaptionNumOfMonths+1,$FJ236&gt;SwaptionFirstMonthPosition+SwaptionNumOfMonths+1),"",IF($FJ236=HU$169,1,IF($FJ236&lt;HU$169,INDEX($FK$170:$ID$241,HU$169,$FJ236),SUMPRODUCT(INDEX($FK$325:$ID$396,HU$169,1+SwaptionShift):INDEX($FK$325:$ID$396,HU$169,SwaptionMonthsToGo+SwaptionShift),INDEX($FK$245:$ID$316,$FJ236-HU$169,73-HU$169+SwaptionShift):INDEX($FK$245:$ID$316,$FJ236-HU$169,72-HU$169+SwaptionMonthsToGo+SwaptionShift))/SQRT(SUM(INDEX($FK391:$ID391,1+SwaptionShift):INDEX($FK391:$ID391,SwaptionMonthsToGo+SwaptionShift))*SUM(INDEX($FK$325:$ID$396,HU$169,1+SwaptionShift):INDEX($FK$325:$ID$396,HU$169,SwaptionMonthsToGo+SwaptionShift))))))</f>
        <v/>
      </c>
      <c r="HV236" s="479" t="str">
        <f ca="1">IF(OR(HV$169&lt;SwaptionFirstMonthPosition+1,$FJ236&lt;SwaptionFirstMonthPosition+1,HV$169&gt;SwaptionFirstMonthPosition+SwaptionNumOfMonths+1,$FJ236&gt;SwaptionFirstMonthPosition+SwaptionNumOfMonths+1),"",IF($FJ236=HV$169,1,IF($FJ236&lt;HV$169,INDEX($FK$170:$ID$241,HV$169,$FJ236),SUMPRODUCT(INDEX($FK$325:$ID$396,HV$169,1+SwaptionShift):INDEX($FK$325:$ID$396,HV$169,SwaptionMonthsToGo+SwaptionShift),INDEX($FK$245:$ID$316,$FJ236-HV$169,73-HV$169+SwaptionShift):INDEX($FK$245:$ID$316,$FJ236-HV$169,72-HV$169+SwaptionMonthsToGo+SwaptionShift))/SQRT(SUM(INDEX($FK391:$ID391,1+SwaptionShift):INDEX($FK391:$ID391,SwaptionMonthsToGo+SwaptionShift))*SUM(INDEX($FK$325:$ID$396,HV$169,1+SwaptionShift):INDEX($FK$325:$ID$396,HV$169,SwaptionMonthsToGo+SwaptionShift))))))</f>
        <v/>
      </c>
      <c r="HW236" s="479" t="str">
        <f ca="1">IF(OR(HW$169&lt;SwaptionFirstMonthPosition+1,$FJ236&lt;SwaptionFirstMonthPosition+1,HW$169&gt;SwaptionFirstMonthPosition+SwaptionNumOfMonths+1,$FJ236&gt;SwaptionFirstMonthPosition+SwaptionNumOfMonths+1),"",IF($FJ236=HW$169,1,IF($FJ236&lt;HW$169,INDEX($FK$170:$ID$241,HW$169,$FJ236),SUMPRODUCT(INDEX($FK$325:$ID$396,HW$169,1+SwaptionShift):INDEX($FK$325:$ID$396,HW$169,SwaptionMonthsToGo+SwaptionShift),INDEX($FK$245:$ID$316,$FJ236-HW$169,73-HW$169+SwaptionShift):INDEX($FK$245:$ID$316,$FJ236-HW$169,72-HW$169+SwaptionMonthsToGo+SwaptionShift))/SQRT(SUM(INDEX($FK391:$ID391,1+SwaptionShift):INDEX($FK391:$ID391,SwaptionMonthsToGo+SwaptionShift))*SUM(INDEX($FK$325:$ID$396,HW$169,1+SwaptionShift):INDEX($FK$325:$ID$396,HW$169,SwaptionMonthsToGo+SwaptionShift))))))</f>
        <v/>
      </c>
      <c r="HX236" s="479" t="str">
        <f ca="1">IF(OR(HX$169&lt;SwaptionFirstMonthPosition+1,$FJ236&lt;SwaptionFirstMonthPosition+1,HX$169&gt;SwaptionFirstMonthPosition+SwaptionNumOfMonths+1,$FJ236&gt;SwaptionFirstMonthPosition+SwaptionNumOfMonths+1),"",IF($FJ236=HX$169,1,IF($FJ236&lt;HX$169,INDEX($FK$170:$ID$241,HX$169,$FJ236),SUMPRODUCT(INDEX($FK$325:$ID$396,HX$169,1+SwaptionShift):INDEX($FK$325:$ID$396,HX$169,SwaptionMonthsToGo+SwaptionShift),INDEX($FK$245:$ID$316,$FJ236-HX$169,73-HX$169+SwaptionShift):INDEX($FK$245:$ID$316,$FJ236-HX$169,72-HX$169+SwaptionMonthsToGo+SwaptionShift))/SQRT(SUM(INDEX($FK391:$ID391,1+SwaptionShift):INDEX($FK391:$ID391,SwaptionMonthsToGo+SwaptionShift))*SUM(INDEX($FK$325:$ID$396,HX$169,1+SwaptionShift):INDEX($FK$325:$ID$396,HX$169,SwaptionMonthsToGo+SwaptionShift))))))</f>
        <v/>
      </c>
      <c r="HY236" s="479" t="str">
        <f ca="1">IF(OR(HY$169&lt;SwaptionFirstMonthPosition+1,$FJ236&lt;SwaptionFirstMonthPosition+1,HY$169&gt;SwaptionFirstMonthPosition+SwaptionNumOfMonths+1,$FJ236&gt;SwaptionFirstMonthPosition+SwaptionNumOfMonths+1),"",IF($FJ236=HY$169,1,IF($FJ236&lt;HY$169,INDEX($FK$170:$ID$241,HY$169,$FJ236),SUMPRODUCT(INDEX($FK$325:$ID$396,HY$169,1+SwaptionShift):INDEX($FK$325:$ID$396,HY$169,SwaptionMonthsToGo+SwaptionShift),INDEX($FK$245:$ID$316,$FJ236-HY$169,73-HY$169+SwaptionShift):INDEX($FK$245:$ID$316,$FJ236-HY$169,72-HY$169+SwaptionMonthsToGo+SwaptionShift))/SQRT(SUM(INDEX($FK391:$ID391,1+SwaptionShift):INDEX($FK391:$ID391,SwaptionMonthsToGo+SwaptionShift))*SUM(INDEX($FK$325:$ID$396,HY$169,1+SwaptionShift):INDEX($FK$325:$ID$396,HY$169,SwaptionMonthsToGo+SwaptionShift))))))</f>
        <v/>
      </c>
      <c r="HZ236" s="479" t="str">
        <f ca="1">IF(OR(HZ$169&lt;SwaptionFirstMonthPosition+1,$FJ236&lt;SwaptionFirstMonthPosition+1,HZ$169&gt;SwaptionFirstMonthPosition+SwaptionNumOfMonths+1,$FJ236&gt;SwaptionFirstMonthPosition+SwaptionNumOfMonths+1),"",IF($FJ236=HZ$169,1,IF($FJ236&lt;HZ$169,INDEX($FK$170:$ID$241,HZ$169,$FJ236),SUMPRODUCT(INDEX($FK$325:$ID$396,HZ$169,1+SwaptionShift):INDEX($FK$325:$ID$396,HZ$169,SwaptionMonthsToGo+SwaptionShift),INDEX($FK$245:$ID$316,$FJ236-HZ$169,73-HZ$169+SwaptionShift):INDEX($FK$245:$ID$316,$FJ236-HZ$169,72-HZ$169+SwaptionMonthsToGo+SwaptionShift))/SQRT(SUM(INDEX($FK391:$ID391,1+SwaptionShift):INDEX($FK391:$ID391,SwaptionMonthsToGo+SwaptionShift))*SUM(INDEX($FK$325:$ID$396,HZ$169,1+SwaptionShift):INDEX($FK$325:$ID$396,HZ$169,SwaptionMonthsToGo+SwaptionShift))))))</f>
        <v/>
      </c>
      <c r="IA236" s="479" t="str">
        <f ca="1">IF(OR(IA$169&lt;SwaptionFirstMonthPosition+1,$FJ236&lt;SwaptionFirstMonthPosition+1,IA$169&gt;SwaptionFirstMonthPosition+SwaptionNumOfMonths+1,$FJ236&gt;SwaptionFirstMonthPosition+SwaptionNumOfMonths+1),"",IF($FJ236=IA$169,1,IF($FJ236&lt;IA$169,INDEX($FK$170:$ID$241,IA$169,$FJ236),SUMPRODUCT(INDEX($FK$325:$ID$396,IA$169,1+SwaptionShift):INDEX($FK$325:$ID$396,IA$169,SwaptionMonthsToGo+SwaptionShift),INDEX($FK$245:$ID$316,$FJ236-IA$169,73-IA$169+SwaptionShift):INDEX($FK$245:$ID$316,$FJ236-IA$169,72-IA$169+SwaptionMonthsToGo+SwaptionShift))/SQRT(SUM(INDEX($FK391:$ID391,1+SwaptionShift):INDEX($FK391:$ID391,SwaptionMonthsToGo+SwaptionShift))*SUM(INDEX($FK$325:$ID$396,IA$169,1+SwaptionShift):INDEX($FK$325:$ID$396,IA$169,SwaptionMonthsToGo+SwaptionShift))))))</f>
        <v/>
      </c>
      <c r="IB236" s="479" t="str">
        <f ca="1">IF(OR(IB$169&lt;SwaptionFirstMonthPosition+1,$FJ236&lt;SwaptionFirstMonthPosition+1,IB$169&gt;SwaptionFirstMonthPosition+SwaptionNumOfMonths+1,$FJ236&gt;SwaptionFirstMonthPosition+SwaptionNumOfMonths+1),"",IF($FJ236=IB$169,1,IF($FJ236&lt;IB$169,INDEX($FK$170:$ID$241,IB$169,$FJ236),SUMPRODUCT(INDEX($FK$325:$ID$396,IB$169,1+SwaptionShift):INDEX($FK$325:$ID$396,IB$169,SwaptionMonthsToGo+SwaptionShift),INDEX($FK$245:$ID$316,$FJ236-IB$169,73-IB$169+SwaptionShift):INDEX($FK$245:$ID$316,$FJ236-IB$169,72-IB$169+SwaptionMonthsToGo+SwaptionShift))/SQRT(SUM(INDEX($FK391:$ID391,1+SwaptionShift):INDEX($FK391:$ID391,SwaptionMonthsToGo+SwaptionShift))*SUM(INDEX($FK$325:$ID$396,IB$169,1+SwaptionShift):INDEX($FK$325:$ID$396,IB$169,SwaptionMonthsToGo+SwaptionShift))))))</f>
        <v/>
      </c>
      <c r="IC236" s="479" t="str">
        <f ca="1">IF(OR(IC$169&lt;SwaptionFirstMonthPosition+1,$FJ236&lt;SwaptionFirstMonthPosition+1,IC$169&gt;SwaptionFirstMonthPosition+SwaptionNumOfMonths+1,$FJ236&gt;SwaptionFirstMonthPosition+SwaptionNumOfMonths+1),"",IF($FJ236=IC$169,1,IF($FJ236&lt;IC$169,INDEX($FK$170:$ID$241,IC$169,$FJ236),SUMPRODUCT(INDEX($FK$325:$ID$396,IC$169,1+SwaptionShift):INDEX($FK$325:$ID$396,IC$169,SwaptionMonthsToGo+SwaptionShift),INDEX($FK$245:$ID$316,$FJ236-IC$169,73-IC$169+SwaptionShift):INDEX($FK$245:$ID$316,$FJ236-IC$169,72-IC$169+SwaptionMonthsToGo+SwaptionShift))/SQRT(SUM(INDEX($FK391:$ID391,1+SwaptionShift):INDEX($FK391:$ID391,SwaptionMonthsToGo+SwaptionShift))*SUM(INDEX($FK$325:$ID$396,IC$169,1+SwaptionShift):INDEX($FK$325:$ID$396,IC$169,SwaptionMonthsToGo+SwaptionShift))))))</f>
        <v/>
      </c>
      <c r="ID236" s="678" t="str">
        <f ca="1">IF(OR(ID$169&lt;SwaptionFirstMonthPosition+1,$FJ236&lt;SwaptionFirstMonthPosition+1,ID$169&gt;SwaptionFirstMonthPosition+SwaptionNumOfMonths+1,$FJ236&gt;SwaptionFirstMonthPosition+SwaptionNumOfMonths+1),"",IF($FJ236=ID$169,1,IF($FJ236&lt;ID$169,INDEX($FK$170:$ID$241,ID$169,$FJ236),SUMPRODUCT(INDEX($FK$325:$ID$396,ID$169,1+SwaptionShift):INDEX($FK$325:$ID$396,ID$169,SwaptionMonthsToGo+SwaptionShift),INDEX($FK$245:$ID$316,$FJ236-ID$169,73-ID$169+SwaptionShift):INDEX($FK$245:$ID$316,$FJ236-ID$169,72-ID$169+SwaptionMonthsToGo+SwaptionShift))/SQRT(SUM(INDEX($FK391:$ID391,1+SwaptionShift):INDEX($FK391:$ID391,SwaptionMonthsToGo+SwaptionShift))*SUM(INDEX($FK$325:$ID$396,ID$169,1+SwaptionShift):INDEX($FK$325:$ID$396,ID$169,SwaptionMonthsToGo+SwaptionShift))))))</f>
        <v/>
      </c>
      <c r="IE236" s="250"/>
    </row>
    <row r="237" spans="8:239">
      <c r="H237" s="51">
        <f t="shared" ca="1" si="646"/>
        <v>0</v>
      </c>
      <c r="I237" s="379">
        <f t="shared" si="647"/>
        <v>43374</v>
      </c>
      <c r="J237" s="377"/>
      <c r="K237" s="104" t="s">
        <v>268</v>
      </c>
      <c r="L237" s="392">
        <f t="shared" si="648"/>
        <v>5.2874999999999943</v>
      </c>
      <c r="M237" s="171"/>
      <c r="N237" s="382">
        <v>0</v>
      </c>
      <c r="O237" s="171">
        <f t="shared" si="596"/>
        <v>0</v>
      </c>
      <c r="P237" s="377"/>
      <c r="Q237" s="104" t="s">
        <v>268</v>
      </c>
      <c r="R237" s="377">
        <f t="shared" ca="1" si="597"/>
        <v>3.9420629630927597</v>
      </c>
      <c r="S237" s="832">
        <f t="shared" si="671"/>
        <v>0.3600000000000001</v>
      </c>
      <c r="T237" s="831">
        <f t="shared" si="661"/>
        <v>0.99999999999999933</v>
      </c>
      <c r="U237" s="545">
        <f t="shared" si="662"/>
        <v>0.99999999999999978</v>
      </c>
      <c r="V237" s="389">
        <v>0</v>
      </c>
      <c r="W237" s="434">
        <f t="shared" si="598"/>
        <v>0</v>
      </c>
      <c r="X237" s="415">
        <f t="shared" si="599"/>
        <v>5.3380434782608637</v>
      </c>
      <c r="Y237" s="322">
        <f t="shared" si="600"/>
        <v>-1.1931</v>
      </c>
      <c r="Z237" s="322">
        <f t="shared" ca="1" si="601"/>
        <v>4.1449434782608634</v>
      </c>
      <c r="AA237" s="429">
        <f t="shared" si="628"/>
        <v>1.1931</v>
      </c>
      <c r="AB237" s="433">
        <f t="shared" ca="1" si="629"/>
        <v>1.1931</v>
      </c>
      <c r="AC237" s="229">
        <v>43363</v>
      </c>
      <c r="AD237" s="229">
        <v>43359</v>
      </c>
      <c r="AE237" s="229">
        <v>43358</v>
      </c>
      <c r="AF237" s="229">
        <v>43354</v>
      </c>
      <c r="AG237" s="249" t="s">
        <v>499</v>
      </c>
      <c r="AH237" s="247" t="s">
        <v>499</v>
      </c>
      <c r="AI237" s="146">
        <v>23</v>
      </c>
      <c r="AJ237" s="41">
        <v>15</v>
      </c>
      <c r="AK237" s="41">
        <v>8</v>
      </c>
      <c r="AL237" s="293">
        <v>23</v>
      </c>
      <c r="AM237" s="41">
        <v>10</v>
      </c>
      <c r="AN237" s="147">
        <v>13</v>
      </c>
      <c r="AO237" s="374"/>
      <c r="AP237" s="153">
        <f t="shared" ca="1" si="649"/>
        <v>1</v>
      </c>
      <c r="AQ237" s="374"/>
      <c r="AR237" s="153">
        <f t="shared" ca="1" si="663"/>
        <v>1</v>
      </c>
      <c r="AS237" s="272">
        <f t="shared" si="602"/>
        <v>0</v>
      </c>
      <c r="AT237" s="157">
        <f t="shared" si="650"/>
        <v>0</v>
      </c>
      <c r="AU237" s="157">
        <f t="shared" si="630"/>
        <v>0</v>
      </c>
      <c r="AV237" s="271">
        <f t="shared" ca="1" si="670"/>
        <v>9.9999999999999995E-7</v>
      </c>
      <c r="AW237" s="158" t="str">
        <f t="shared" ca="1" si="583"/>
        <v/>
      </c>
      <c r="AX237" s="157">
        <f t="shared" ca="1" si="664"/>
        <v>1.6751632523024259E-5</v>
      </c>
      <c r="AY237" s="157">
        <f t="shared" ca="1" si="665"/>
        <v>3.0502606344629501E-6</v>
      </c>
      <c r="AZ237" s="157">
        <f t="shared" ca="1" si="666"/>
        <v>5.2625118818756262E-8</v>
      </c>
      <c r="BA237" s="157">
        <f t="shared" ca="1" si="667"/>
        <v>6.5781398523445328E-9</v>
      </c>
      <c r="BB237" s="157">
        <f t="shared" ca="1" si="668"/>
        <v>9.1828817909603364E-12</v>
      </c>
      <c r="BC237" s="157">
        <f t="shared" ca="1" si="669"/>
        <v>8.6543847833995145E-14</v>
      </c>
      <c r="BD237" s="151">
        <f t="shared" ca="1" si="603"/>
        <v>0</v>
      </c>
      <c r="BE237" s="152">
        <f t="shared" ca="1" si="604"/>
        <v>0</v>
      </c>
      <c r="BF237" s="40">
        <f t="shared" si="605"/>
        <v>2018</v>
      </c>
      <c r="BG237" s="144">
        <f t="shared" si="606"/>
        <v>10</v>
      </c>
      <c r="BH237" s="145">
        <f t="shared" ca="1" si="607"/>
        <v>6614</v>
      </c>
      <c r="BI237" s="313">
        <f t="shared" ca="1" si="608"/>
        <v>18.149212867898701</v>
      </c>
      <c r="BJ237" s="42">
        <f t="shared" ca="1" si="631"/>
        <v>18.202779513733891</v>
      </c>
      <c r="BK237" s="42">
        <f t="shared" ca="1" si="632"/>
        <v>18.205517364521022</v>
      </c>
      <c r="BL237" s="42">
        <f t="shared" ca="1" si="609"/>
        <v>18.231348391512661</v>
      </c>
      <c r="BM237" s="150" t="e">
        <f t="shared" ca="1" si="633"/>
        <v>#DIV/0!</v>
      </c>
      <c r="BN237" s="42" t="e">
        <f t="shared" ca="1" si="634"/>
        <v>#DIV/0!</v>
      </c>
      <c r="BO237" s="293">
        <f t="shared" si="610"/>
        <v>23</v>
      </c>
      <c r="BP237" s="41">
        <f t="shared" si="611"/>
        <v>15</v>
      </c>
      <c r="BQ237" s="41">
        <f t="shared" si="612"/>
        <v>8</v>
      </c>
      <c r="BR237" s="305" t="str">
        <f t="shared" ca="1" si="635"/>
        <v/>
      </c>
      <c r="BS237" s="305" t="str">
        <f t="shared" ca="1" si="613"/>
        <v/>
      </c>
      <c r="BT237" s="307" t="str">
        <f t="shared" ca="1" si="614"/>
        <v/>
      </c>
      <c r="BU237" s="161" t="str">
        <f t="shared" ca="1" si="636"/>
        <v/>
      </c>
      <c r="BV237" s="161" t="str">
        <f t="shared" ca="1" si="637"/>
        <v/>
      </c>
      <c r="BW237" s="308" t="str">
        <f t="shared" ca="1" si="638"/>
        <v/>
      </c>
      <c r="BX237" s="309" t="str">
        <f t="shared" ca="1" si="639"/>
        <v/>
      </c>
      <c r="BY237" s="308" t="str">
        <f t="shared" ca="1" si="615"/>
        <v/>
      </c>
      <c r="BZ237" s="309" t="str">
        <f t="shared" ca="1" si="616"/>
        <v/>
      </c>
      <c r="CA237" s="154" t="str">
        <f t="shared" ca="1" si="640"/>
        <v/>
      </c>
      <c r="CB237" s="154" t="str">
        <f t="shared" ca="1" si="641"/>
        <v/>
      </c>
      <c r="CC237" s="154" t="str">
        <f t="shared" ca="1" si="642"/>
        <v/>
      </c>
      <c r="CD237" s="154" t="str">
        <f t="shared" ca="1" si="643"/>
        <v/>
      </c>
      <c r="CE237" s="310">
        <v>1</v>
      </c>
      <c r="CF237" s="162">
        <f ca="1">IF(BD237,_xll.xCrudeAPO(BU237,BV237,CA237,CB237,S238,S239,BI237,BL237,BP237,BQ237,0,Strike1,AO237,CE237,0,BL237,IF(OptControl=4,0,1),0,1),0)</f>
        <v>0</v>
      </c>
      <c r="CG237" s="163">
        <f ca="1">IF(BD237,_xll.xCrudeAPO(BU237,BV237,CA237,CB237,S238,S239,BI237,BL237,BP237,BQ237,0,Strike1,AO237,CE237,0,BL237,IF(OptControl=4,0,1),1,1)+_xll.xCrudeAPO(BU237,BV237,CA237,CB237,S238,S239,BI237,BL237,BP237,BQ237,0,Strike1,AO237,CE237,0,BL237,IF(OptControl=4,0,1),1,2)+IF(OR(VolSkewFlag=2,ABS(BS237)&lt;0.0001),0,IF(BS237&gt;0,-1,1)*CH237*Strike1/BR237^2*BY237/10%),0)</f>
        <v>0</v>
      </c>
      <c r="CH237" s="163">
        <f ca="1">IF(BD237,(_xll.xCrudeAPO(BU237,BV237,CA237,CB237,S238,S239,BI237,BL237,BP237,BQ237,0,Strike1,AO237,CE237,0,BL237,IF(OptControl=4,0,1),3,1)+_xll.xCrudeAPO(BU237,BV237,CA237,CB237,S238,S239,BI237,BL237,BP237,BQ237,0,Strike1,AO237,CE237,0,BL237,IF(OptControl=4,0,1),3,2))/100,0)</f>
        <v>0</v>
      </c>
      <c r="CI237" s="163">
        <f ca="1">IF(BD237,_xll.xCrudeAPO(BU237,BV237,CA237,CB237,S238,S239,BI237-DaysForThetaCalculation/365.25,BL237-DaysForThetaCalculation/365.25,BP237,BQ237,0,Strike1,AO237,CE237,0,BL237,IF(OptControl=4,0,1),0,1)-_xll.xCrudeAPO(BU237,BV237,CA237,CB237,S238,S239,BI237,BL237,BP237,BQ237,0,Strike1,AO237,CE237,0,BL237,IF(OptControl=4,0,1),0,1),0)</f>
        <v>0</v>
      </c>
      <c r="CJ237" s="311">
        <f ca="1">IF(BD237,_xll.xCrudeAPO(BU237,BV237,CC237,CD237,S238,S239,BI237,BL237,BP237,BQ237,0,Strike2,AO237,CE237,0,BL237,IF(OptControl=3,1,0),0,1),0)</f>
        <v>0</v>
      </c>
      <c r="CK237" s="163">
        <f ca="1">IF(BD237,_xll.xCrudeAPO(BU237,BV237,CC237,CD237,S238,S239,BI237,BL237,BP237,BQ237,0,Strike2,AO237,CE237,0,BL237,IF(OptControl=3,1,0),1,1)+_xll.xCrudeAPO(BU237,BV237,CC237,CD237,S238,S239,BI237,BL237,BP237,BQ237,0,Strike2,AO237,CE237,0,BL237,IF(OptControl=3,1,0),1,2)+IF(OR(VolSkewFlag=2,ABS(BT237)&lt;0.0001),0,IF(BT237&gt;0,-1,1)*CL237*Strike2/BR237^2*BZ237/10%),0)</f>
        <v>0</v>
      </c>
      <c r="CL237" s="163">
        <f ca="1">IF(BD237,(_xll.xCrudeAPO(BU237,BV237,CC237,CD237,S238,S239,BI237,BL237,BP237,BQ237,0,Strike2,AO237,CE237,0,BL237,IF(OptControl=3,1,0),3,1)+_xll.xCrudeAPO(BU237,BV237,CC237,CD237,S238,S239,BI237,BL237,BP237,BQ237,0,Strike2,AO237,CE237,0,BL237,IF(OptControl=3,1,0),3,2))/100,0)</f>
        <v>0</v>
      </c>
      <c r="CM237" s="164">
        <f ca="1">IF(BD237,_xll.xCrudeAPO(BU237,BV237,CC237,CD237,S238,S239,BI237-DaysForThetaCalculation/365.25,BL237-DaysForThetaCalculation/365.25,BP237,BQ237,0,Strike2,AO237,CE237,0,BL237,IF(OptControl=3,1,0),0,1)-_xll.xCrudeAPO(BU237,BV237,CC237,CD237,S238,S239,BI237,BL237,BP237,BQ237,0,Strike2,AO237,CE237,0,BL237,IF(OptControl=3,1,0),0,1),0)</f>
        <v>0</v>
      </c>
      <c r="CN237" s="53"/>
      <c r="CO237" s="796" t="str">
        <f t="shared" ca="1" si="651"/>
        <v/>
      </c>
      <c r="CP237" s="800" t="str">
        <f t="shared" ca="1" si="652"/>
        <v/>
      </c>
      <c r="CQ237" s="797" t="str">
        <f t="shared" ca="1" si="653"/>
        <v/>
      </c>
      <c r="CR237" s="797" t="str">
        <f t="shared" ca="1" si="654"/>
        <v/>
      </c>
      <c r="CS237" s="797" t="str">
        <f t="shared" ca="1" si="655"/>
        <v/>
      </c>
      <c r="CT237" s="797" t="str">
        <f t="shared" ca="1" si="656"/>
        <v/>
      </c>
      <c r="CU237" s="798" t="str">
        <f t="shared" ca="1" si="657"/>
        <v/>
      </c>
      <c r="CV237" s="799" t="str">
        <f t="shared" ca="1" si="658"/>
        <v/>
      </c>
      <c r="CW237" s="799" t="str">
        <f t="shared" ca="1" si="659"/>
        <v/>
      </c>
      <c r="CX237" s="163">
        <f ca="1">IF(BD237,_xll.EURO(CP237,Strike1,AO237,AO237,CV237,CO237,IF(OptControl=4,0,1),0),0)</f>
        <v>0</v>
      </c>
      <c r="CY237" s="163">
        <f ca="1">IF(BD237,_xll.EURO(CP237,Strike1,AO237,AO237,CV237,CO237,IF(OptControl=4,0,1),1)+IF(OR(VolSkewFlag=2,ABS(CQ237)&lt;0.0001),0,IF(CQ237&gt;0,-1,1)*CZ237*100*Strike1/CP237^2*CS237/10%),0)</f>
        <v>0</v>
      </c>
      <c r="CZ237" s="163">
        <f ca="1">IF(BD237,_xll.EURO(CP237,Strike1,AO237,AO237,CV237,CO237,IF(OptControl=4,0,1),3)/100,0)</f>
        <v>0</v>
      </c>
      <c r="DA237" s="163">
        <f ca="1">IF(BD237,_xll.EURO(CP237,Strike1,AO237,AO237,CV237,CO237,IF(OptControl=4,0,1),0)-_xll.EURO(CP237,Strike1,AO237,AO237,CV237,CO237-1,IF(OptControl=4,0,1),0),0)</f>
        <v>0</v>
      </c>
      <c r="DB237" s="163">
        <f ca="1">IF(BD237,_xll.EURO(CP237,Strike2,AO237,AO237,CW237,CO237,IF(OptControl=3,1,0),0),0)</f>
        <v>0</v>
      </c>
      <c r="DC237" s="163">
        <f ca="1">IF(BD237,_xll.EURO(CP237,Strike2,AO237,AO237,CW237,CO237,IF(OptControl=3,1,0),1)+IF(OR(VolSkewFlag=2,ABS(CR237)&lt;0.0001),0,IF(CR237&gt;0,-1,1)*DD237*100*Strike2/CP237^2*CT237/10%),0)</f>
        <v>0</v>
      </c>
      <c r="DD237" s="163">
        <f ca="1">IF(BD237,_xll.EURO(CP237,Strike2,AO237,AO237,CW237,CO237,IF(OptControl=3,1,0),3)/100,0)</f>
        <v>0</v>
      </c>
      <c r="DE237" s="164">
        <f ca="1">IF(BD237,_xll.EURO(CP237,Strike2,AO237,AO237,CW237,CO237,IF(OptControl=3,1,0),0)-_xll.EURO(CP237,Strike2,AO237,AO237,CW237,CO237-1,IF(OptControl=3,1,0),0),0)</f>
        <v>0</v>
      </c>
      <c r="DG237" s="667">
        <f t="shared" ca="1" si="660"/>
        <v>43160</v>
      </c>
      <c r="DH237" s="475">
        <v>25.010000000000101</v>
      </c>
      <c r="DI237" s="665">
        <v>25.078181818181918</v>
      </c>
      <c r="DJ237" s="666">
        <f t="shared" ca="1" si="617"/>
        <v>43160</v>
      </c>
      <c r="DK237" s="475">
        <v>23.846816040765834</v>
      </c>
      <c r="DL237" s="665">
        <v>23.909681818181916</v>
      </c>
      <c r="DM237" s="667">
        <f t="shared" ca="1" si="618"/>
        <v>43160</v>
      </c>
      <c r="DN237" s="668">
        <f t="shared" si="619"/>
        <v>23.896816040765835</v>
      </c>
      <c r="DO237" s="667">
        <f t="shared" ca="1" si="620"/>
        <v>43160</v>
      </c>
      <c r="DP237" s="579">
        <f t="shared" si="621"/>
        <v>23.909681818181916</v>
      </c>
      <c r="DQ237" s="821">
        <v>0</v>
      </c>
      <c r="DR237" s="666">
        <f t="shared" ca="1" si="622"/>
        <v>43160</v>
      </c>
      <c r="DS237" s="669">
        <v>9.4399999999998027E-2</v>
      </c>
      <c r="DT237" s="606">
        <v>9.3581818181815185E-2</v>
      </c>
      <c r="DU237" s="666">
        <f t="shared" ca="1" si="623"/>
        <v>43160</v>
      </c>
      <c r="DV237" s="669">
        <v>9.4399999999998027E-2</v>
      </c>
      <c r="DW237" s="606">
        <v>9.3581818181815185E-2</v>
      </c>
      <c r="DX237" s="667">
        <f t="shared" ca="1" si="624"/>
        <v>43160</v>
      </c>
      <c r="DY237" s="606">
        <v>0.35</v>
      </c>
      <c r="DZ237" s="667">
        <f t="shared" ca="1" si="625"/>
        <v>43160</v>
      </c>
      <c r="EA237" s="606">
        <f t="shared" si="626"/>
        <v>9.3581818181815185E-2</v>
      </c>
      <c r="EB237" s="1"/>
      <c r="EC237" s="118" t="str">
        <f t="shared" ca="1" si="627"/>
        <v/>
      </c>
      <c r="ED237" s="119" t="str">
        <f t="shared" ca="1" si="644"/>
        <v/>
      </c>
      <c r="EE237" s="112" t="str">
        <f t="shared" ca="1" si="645"/>
        <v/>
      </c>
      <c r="EF237" s="120">
        <f ca="1">IF(BD237,_xll.xASN(BR237,Strike1,AO237,ED237,0,BO237,0,BI237,BL237,IF(OptControl=4,0,1),0),0)</f>
        <v>0</v>
      </c>
      <c r="EG237" s="111">
        <f ca="1">IF(BD237,_xll.xASN(BR237,Strike2,AO237,EE237,0,BO237,0,BI237,BL237,IF(OptControl=3,1,0),0),0)</f>
        <v>0</v>
      </c>
      <c r="EL237" s="55"/>
      <c r="EM237" s="1"/>
      <c r="EN237" s="106"/>
      <c r="EO237" s="106"/>
      <c r="EP237" s="1"/>
      <c r="EQ237" s="683" t="s">
        <v>451</v>
      </c>
      <c r="ES237" s="55"/>
      <c r="EU237" s="107"/>
      <c r="FJ237" s="673">
        <v>68</v>
      </c>
      <c r="FK237" s="479" t="str">
        <f ca="1">IF(OR(FK$169&lt;SwaptionFirstMonthPosition+1,$FJ237&lt;SwaptionFirstMonthPosition+1,FK$169&gt;SwaptionFirstMonthPosition+SwaptionNumOfMonths+1,$FJ237&gt;SwaptionFirstMonthPosition+SwaptionNumOfMonths+1),"",IF($FJ237=FK$169,1,IF($FJ237&lt;FK$169,INDEX($FK$170:$ID$241,FK$169,$FJ237),SUMPRODUCT(INDEX($FK$325:$ID$396,FK$169,1+SwaptionShift):INDEX($FK$325:$ID$396,FK$169,SwaptionMonthsToGo+SwaptionShift),INDEX($FK$245:$ID$316,$FJ237-FK$169,73-FK$169+SwaptionShift):INDEX($FK$245:$ID$316,$FJ237-FK$169,72-FK$169+SwaptionMonthsToGo+SwaptionShift))/SQRT(SUM(INDEX($FK392:$ID392,1+SwaptionShift):INDEX($FK392:$ID392,SwaptionMonthsToGo+SwaptionShift))*SUM(INDEX($FK$325:$ID$396,FK$169,1+SwaptionShift):INDEX($FK$325:$ID$396,FK$169,SwaptionMonthsToGo+SwaptionShift))))))</f>
        <v/>
      </c>
      <c r="FL237" s="479" t="str">
        <f ca="1">IF(OR(FL$169&lt;SwaptionFirstMonthPosition+1,$FJ237&lt;SwaptionFirstMonthPosition+1,FL$169&gt;SwaptionFirstMonthPosition+SwaptionNumOfMonths+1,$FJ237&gt;SwaptionFirstMonthPosition+SwaptionNumOfMonths+1),"",IF($FJ237=FL$169,1,IF($FJ237&lt;FL$169,INDEX($FK$170:$ID$241,FL$169,$FJ237),SUMPRODUCT(INDEX($FK$325:$ID$396,FL$169,1+SwaptionShift):INDEX($FK$325:$ID$396,FL$169,SwaptionMonthsToGo+SwaptionShift),INDEX($FK$245:$ID$316,$FJ237-FL$169,73-FL$169+SwaptionShift):INDEX($FK$245:$ID$316,$FJ237-FL$169,72-FL$169+SwaptionMonthsToGo+SwaptionShift))/SQRT(SUM(INDEX($FK392:$ID392,1+SwaptionShift):INDEX($FK392:$ID392,SwaptionMonthsToGo+SwaptionShift))*SUM(INDEX($FK$325:$ID$396,FL$169,1+SwaptionShift):INDEX($FK$325:$ID$396,FL$169,SwaptionMonthsToGo+SwaptionShift))))))</f>
        <v/>
      </c>
      <c r="FM237" s="479" t="str">
        <f ca="1">IF(OR(FM$169&lt;SwaptionFirstMonthPosition+1,$FJ237&lt;SwaptionFirstMonthPosition+1,FM$169&gt;SwaptionFirstMonthPosition+SwaptionNumOfMonths+1,$FJ237&gt;SwaptionFirstMonthPosition+SwaptionNumOfMonths+1),"",IF($FJ237=FM$169,1,IF($FJ237&lt;FM$169,INDEX($FK$170:$ID$241,FM$169,$FJ237),SUMPRODUCT(INDEX($FK$325:$ID$396,FM$169,1+SwaptionShift):INDEX($FK$325:$ID$396,FM$169,SwaptionMonthsToGo+SwaptionShift),INDEX($FK$245:$ID$316,$FJ237-FM$169,73-FM$169+SwaptionShift):INDEX($FK$245:$ID$316,$FJ237-FM$169,72-FM$169+SwaptionMonthsToGo+SwaptionShift))/SQRT(SUM(INDEX($FK392:$ID392,1+SwaptionShift):INDEX($FK392:$ID392,SwaptionMonthsToGo+SwaptionShift))*SUM(INDEX($FK$325:$ID$396,FM$169,1+SwaptionShift):INDEX($FK$325:$ID$396,FM$169,SwaptionMonthsToGo+SwaptionShift))))))</f>
        <v/>
      </c>
      <c r="FN237" s="479" t="str">
        <f ca="1">IF(OR(FN$169&lt;SwaptionFirstMonthPosition+1,$FJ237&lt;SwaptionFirstMonthPosition+1,FN$169&gt;SwaptionFirstMonthPosition+SwaptionNumOfMonths+1,$FJ237&gt;SwaptionFirstMonthPosition+SwaptionNumOfMonths+1),"",IF($FJ237=FN$169,1,IF($FJ237&lt;FN$169,INDEX($FK$170:$ID$241,FN$169,$FJ237),SUMPRODUCT(INDEX($FK$325:$ID$396,FN$169,1+SwaptionShift):INDEX($FK$325:$ID$396,FN$169,SwaptionMonthsToGo+SwaptionShift),INDEX($FK$245:$ID$316,$FJ237-FN$169,73-FN$169+SwaptionShift):INDEX($FK$245:$ID$316,$FJ237-FN$169,72-FN$169+SwaptionMonthsToGo+SwaptionShift))/SQRT(SUM(INDEX($FK392:$ID392,1+SwaptionShift):INDEX($FK392:$ID392,SwaptionMonthsToGo+SwaptionShift))*SUM(INDEX($FK$325:$ID$396,FN$169,1+SwaptionShift):INDEX($FK$325:$ID$396,FN$169,SwaptionMonthsToGo+SwaptionShift))))))</f>
        <v/>
      </c>
      <c r="FO237" s="479" t="str">
        <f ca="1">IF(OR(FO$169&lt;SwaptionFirstMonthPosition+1,$FJ237&lt;SwaptionFirstMonthPosition+1,FO$169&gt;SwaptionFirstMonthPosition+SwaptionNumOfMonths+1,$FJ237&gt;SwaptionFirstMonthPosition+SwaptionNumOfMonths+1),"",IF($FJ237=FO$169,1,IF($FJ237&lt;FO$169,INDEX($FK$170:$ID$241,FO$169,$FJ237),SUMPRODUCT(INDEX($FK$325:$ID$396,FO$169,1+SwaptionShift):INDEX($FK$325:$ID$396,FO$169,SwaptionMonthsToGo+SwaptionShift),INDEX($FK$245:$ID$316,$FJ237-FO$169,73-FO$169+SwaptionShift):INDEX($FK$245:$ID$316,$FJ237-FO$169,72-FO$169+SwaptionMonthsToGo+SwaptionShift))/SQRT(SUM(INDEX($FK392:$ID392,1+SwaptionShift):INDEX($FK392:$ID392,SwaptionMonthsToGo+SwaptionShift))*SUM(INDEX($FK$325:$ID$396,FO$169,1+SwaptionShift):INDEX($FK$325:$ID$396,FO$169,SwaptionMonthsToGo+SwaptionShift))))))</f>
        <v/>
      </c>
      <c r="FP237" s="479" t="str">
        <f ca="1">IF(OR(FP$169&lt;SwaptionFirstMonthPosition+1,$FJ237&lt;SwaptionFirstMonthPosition+1,FP$169&gt;SwaptionFirstMonthPosition+SwaptionNumOfMonths+1,$FJ237&gt;SwaptionFirstMonthPosition+SwaptionNumOfMonths+1),"",IF($FJ237=FP$169,1,IF($FJ237&lt;FP$169,INDEX($FK$170:$ID$241,FP$169,$FJ237),SUMPRODUCT(INDEX($FK$325:$ID$396,FP$169,1+SwaptionShift):INDEX($FK$325:$ID$396,FP$169,SwaptionMonthsToGo+SwaptionShift),INDEX($FK$245:$ID$316,$FJ237-FP$169,73-FP$169+SwaptionShift):INDEX($FK$245:$ID$316,$FJ237-FP$169,72-FP$169+SwaptionMonthsToGo+SwaptionShift))/SQRT(SUM(INDEX($FK392:$ID392,1+SwaptionShift):INDEX($FK392:$ID392,SwaptionMonthsToGo+SwaptionShift))*SUM(INDEX($FK$325:$ID$396,FP$169,1+SwaptionShift):INDEX($FK$325:$ID$396,FP$169,SwaptionMonthsToGo+SwaptionShift))))))</f>
        <v/>
      </c>
      <c r="FQ237" s="479" t="str">
        <f ca="1">IF(OR(FQ$169&lt;SwaptionFirstMonthPosition+1,$FJ237&lt;SwaptionFirstMonthPosition+1,FQ$169&gt;SwaptionFirstMonthPosition+SwaptionNumOfMonths+1,$FJ237&gt;SwaptionFirstMonthPosition+SwaptionNumOfMonths+1),"",IF($FJ237=FQ$169,1,IF($FJ237&lt;FQ$169,INDEX($FK$170:$ID$241,FQ$169,$FJ237),SUMPRODUCT(INDEX($FK$325:$ID$396,FQ$169,1+SwaptionShift):INDEX($FK$325:$ID$396,FQ$169,SwaptionMonthsToGo+SwaptionShift),INDEX($FK$245:$ID$316,$FJ237-FQ$169,73-FQ$169+SwaptionShift):INDEX($FK$245:$ID$316,$FJ237-FQ$169,72-FQ$169+SwaptionMonthsToGo+SwaptionShift))/SQRT(SUM(INDEX($FK392:$ID392,1+SwaptionShift):INDEX($FK392:$ID392,SwaptionMonthsToGo+SwaptionShift))*SUM(INDEX($FK$325:$ID$396,FQ$169,1+SwaptionShift):INDEX($FK$325:$ID$396,FQ$169,SwaptionMonthsToGo+SwaptionShift))))))</f>
        <v/>
      </c>
      <c r="FR237" s="479" t="str">
        <f ca="1">IF(OR(FR$169&lt;SwaptionFirstMonthPosition+1,$FJ237&lt;SwaptionFirstMonthPosition+1,FR$169&gt;SwaptionFirstMonthPosition+SwaptionNumOfMonths+1,$FJ237&gt;SwaptionFirstMonthPosition+SwaptionNumOfMonths+1),"",IF($FJ237=FR$169,1,IF($FJ237&lt;FR$169,INDEX($FK$170:$ID$241,FR$169,$FJ237),SUMPRODUCT(INDEX($FK$325:$ID$396,FR$169,1+SwaptionShift):INDEX($FK$325:$ID$396,FR$169,SwaptionMonthsToGo+SwaptionShift),INDEX($FK$245:$ID$316,$FJ237-FR$169,73-FR$169+SwaptionShift):INDEX($FK$245:$ID$316,$FJ237-FR$169,72-FR$169+SwaptionMonthsToGo+SwaptionShift))/SQRT(SUM(INDEX($FK392:$ID392,1+SwaptionShift):INDEX($FK392:$ID392,SwaptionMonthsToGo+SwaptionShift))*SUM(INDEX($FK$325:$ID$396,FR$169,1+SwaptionShift):INDEX($FK$325:$ID$396,FR$169,SwaptionMonthsToGo+SwaptionShift))))))</f>
        <v/>
      </c>
      <c r="FS237" s="479" t="str">
        <f ca="1">IF(OR(FS$169&lt;SwaptionFirstMonthPosition+1,$FJ237&lt;SwaptionFirstMonthPosition+1,FS$169&gt;SwaptionFirstMonthPosition+SwaptionNumOfMonths+1,$FJ237&gt;SwaptionFirstMonthPosition+SwaptionNumOfMonths+1),"",IF($FJ237=FS$169,1,IF($FJ237&lt;FS$169,INDEX($FK$170:$ID$241,FS$169,$FJ237),SUMPRODUCT(INDEX($FK$325:$ID$396,FS$169,1+SwaptionShift):INDEX($FK$325:$ID$396,FS$169,SwaptionMonthsToGo+SwaptionShift),INDEX($FK$245:$ID$316,$FJ237-FS$169,73-FS$169+SwaptionShift):INDEX($FK$245:$ID$316,$FJ237-FS$169,72-FS$169+SwaptionMonthsToGo+SwaptionShift))/SQRT(SUM(INDEX($FK392:$ID392,1+SwaptionShift):INDEX($FK392:$ID392,SwaptionMonthsToGo+SwaptionShift))*SUM(INDEX($FK$325:$ID$396,FS$169,1+SwaptionShift):INDEX($FK$325:$ID$396,FS$169,SwaptionMonthsToGo+SwaptionShift))))))</f>
        <v/>
      </c>
      <c r="FT237" s="479" t="str">
        <f ca="1">IF(OR(FT$169&lt;SwaptionFirstMonthPosition+1,$FJ237&lt;SwaptionFirstMonthPosition+1,FT$169&gt;SwaptionFirstMonthPosition+SwaptionNumOfMonths+1,$FJ237&gt;SwaptionFirstMonthPosition+SwaptionNumOfMonths+1),"",IF($FJ237=FT$169,1,IF($FJ237&lt;FT$169,INDEX($FK$170:$ID$241,FT$169,$FJ237),SUMPRODUCT(INDEX($FK$325:$ID$396,FT$169,1+SwaptionShift):INDEX($FK$325:$ID$396,FT$169,SwaptionMonthsToGo+SwaptionShift),INDEX($FK$245:$ID$316,$FJ237-FT$169,73-FT$169+SwaptionShift):INDEX($FK$245:$ID$316,$FJ237-FT$169,72-FT$169+SwaptionMonthsToGo+SwaptionShift))/SQRT(SUM(INDEX($FK392:$ID392,1+SwaptionShift):INDEX($FK392:$ID392,SwaptionMonthsToGo+SwaptionShift))*SUM(INDEX($FK$325:$ID$396,FT$169,1+SwaptionShift):INDEX($FK$325:$ID$396,FT$169,SwaptionMonthsToGo+SwaptionShift))))))</f>
        <v/>
      </c>
      <c r="FU237" s="479" t="str">
        <f ca="1">IF(OR(FU$169&lt;SwaptionFirstMonthPosition+1,$FJ237&lt;SwaptionFirstMonthPosition+1,FU$169&gt;SwaptionFirstMonthPosition+SwaptionNumOfMonths+1,$FJ237&gt;SwaptionFirstMonthPosition+SwaptionNumOfMonths+1),"",IF($FJ237=FU$169,1,IF($FJ237&lt;FU$169,INDEX($FK$170:$ID$241,FU$169,$FJ237),SUMPRODUCT(INDEX($FK$325:$ID$396,FU$169,1+SwaptionShift):INDEX($FK$325:$ID$396,FU$169,SwaptionMonthsToGo+SwaptionShift),INDEX($FK$245:$ID$316,$FJ237-FU$169,73-FU$169+SwaptionShift):INDEX($FK$245:$ID$316,$FJ237-FU$169,72-FU$169+SwaptionMonthsToGo+SwaptionShift))/SQRT(SUM(INDEX($FK392:$ID392,1+SwaptionShift):INDEX($FK392:$ID392,SwaptionMonthsToGo+SwaptionShift))*SUM(INDEX($FK$325:$ID$396,FU$169,1+SwaptionShift):INDEX($FK$325:$ID$396,FU$169,SwaptionMonthsToGo+SwaptionShift))))))</f>
        <v/>
      </c>
      <c r="FV237" s="479" t="str">
        <f ca="1">IF(OR(FV$169&lt;SwaptionFirstMonthPosition+1,$FJ237&lt;SwaptionFirstMonthPosition+1,FV$169&gt;SwaptionFirstMonthPosition+SwaptionNumOfMonths+1,$FJ237&gt;SwaptionFirstMonthPosition+SwaptionNumOfMonths+1),"",IF($FJ237=FV$169,1,IF($FJ237&lt;FV$169,INDEX($FK$170:$ID$241,FV$169,$FJ237),SUMPRODUCT(INDEX($FK$325:$ID$396,FV$169,1+SwaptionShift):INDEX($FK$325:$ID$396,FV$169,SwaptionMonthsToGo+SwaptionShift),INDEX($FK$245:$ID$316,$FJ237-FV$169,73-FV$169+SwaptionShift):INDEX($FK$245:$ID$316,$FJ237-FV$169,72-FV$169+SwaptionMonthsToGo+SwaptionShift))/SQRT(SUM(INDEX($FK392:$ID392,1+SwaptionShift):INDEX($FK392:$ID392,SwaptionMonthsToGo+SwaptionShift))*SUM(INDEX($FK$325:$ID$396,FV$169,1+SwaptionShift):INDEX($FK$325:$ID$396,FV$169,SwaptionMonthsToGo+SwaptionShift))))))</f>
        <v/>
      </c>
      <c r="FW237" s="479" t="str">
        <f ca="1">IF(OR(FW$169&lt;SwaptionFirstMonthPosition+1,$FJ237&lt;SwaptionFirstMonthPosition+1,FW$169&gt;SwaptionFirstMonthPosition+SwaptionNumOfMonths+1,$FJ237&gt;SwaptionFirstMonthPosition+SwaptionNumOfMonths+1),"",IF($FJ237=FW$169,1,IF($FJ237&lt;FW$169,INDEX($FK$170:$ID$241,FW$169,$FJ237),SUMPRODUCT(INDEX($FK$325:$ID$396,FW$169,1+SwaptionShift):INDEX($FK$325:$ID$396,FW$169,SwaptionMonthsToGo+SwaptionShift),INDEX($FK$245:$ID$316,$FJ237-FW$169,73-FW$169+SwaptionShift):INDEX($FK$245:$ID$316,$FJ237-FW$169,72-FW$169+SwaptionMonthsToGo+SwaptionShift))/SQRT(SUM(INDEX($FK392:$ID392,1+SwaptionShift):INDEX($FK392:$ID392,SwaptionMonthsToGo+SwaptionShift))*SUM(INDEX($FK$325:$ID$396,FW$169,1+SwaptionShift):INDEX($FK$325:$ID$396,FW$169,SwaptionMonthsToGo+SwaptionShift))))))</f>
        <v/>
      </c>
      <c r="FX237" s="479" t="str">
        <f ca="1">IF(OR(FX$169&lt;SwaptionFirstMonthPosition+1,$FJ237&lt;SwaptionFirstMonthPosition+1,FX$169&gt;SwaptionFirstMonthPosition+SwaptionNumOfMonths+1,$FJ237&gt;SwaptionFirstMonthPosition+SwaptionNumOfMonths+1),"",IF($FJ237=FX$169,1,IF($FJ237&lt;FX$169,INDEX($FK$170:$ID$241,FX$169,$FJ237),SUMPRODUCT(INDEX($FK$325:$ID$396,FX$169,1+SwaptionShift):INDEX($FK$325:$ID$396,FX$169,SwaptionMonthsToGo+SwaptionShift),INDEX($FK$245:$ID$316,$FJ237-FX$169,73-FX$169+SwaptionShift):INDEX($FK$245:$ID$316,$FJ237-FX$169,72-FX$169+SwaptionMonthsToGo+SwaptionShift))/SQRT(SUM(INDEX($FK392:$ID392,1+SwaptionShift):INDEX($FK392:$ID392,SwaptionMonthsToGo+SwaptionShift))*SUM(INDEX($FK$325:$ID$396,FX$169,1+SwaptionShift):INDEX($FK$325:$ID$396,FX$169,SwaptionMonthsToGo+SwaptionShift))))))</f>
        <v/>
      </c>
      <c r="FY237" s="479" t="str">
        <f ca="1">IF(OR(FY$169&lt;SwaptionFirstMonthPosition+1,$FJ237&lt;SwaptionFirstMonthPosition+1,FY$169&gt;SwaptionFirstMonthPosition+SwaptionNumOfMonths+1,$FJ237&gt;SwaptionFirstMonthPosition+SwaptionNumOfMonths+1),"",IF($FJ237=FY$169,1,IF($FJ237&lt;FY$169,INDEX($FK$170:$ID$241,FY$169,$FJ237),SUMPRODUCT(INDEX($FK$325:$ID$396,FY$169,1+SwaptionShift):INDEX($FK$325:$ID$396,FY$169,SwaptionMonthsToGo+SwaptionShift),INDEX($FK$245:$ID$316,$FJ237-FY$169,73-FY$169+SwaptionShift):INDEX($FK$245:$ID$316,$FJ237-FY$169,72-FY$169+SwaptionMonthsToGo+SwaptionShift))/SQRT(SUM(INDEX($FK392:$ID392,1+SwaptionShift):INDEX($FK392:$ID392,SwaptionMonthsToGo+SwaptionShift))*SUM(INDEX($FK$325:$ID$396,FY$169,1+SwaptionShift):INDEX($FK$325:$ID$396,FY$169,SwaptionMonthsToGo+SwaptionShift))))))</f>
        <v/>
      </c>
      <c r="FZ237" s="479" t="str">
        <f ca="1">IF(OR(FZ$169&lt;SwaptionFirstMonthPosition+1,$FJ237&lt;SwaptionFirstMonthPosition+1,FZ$169&gt;SwaptionFirstMonthPosition+SwaptionNumOfMonths+1,$FJ237&gt;SwaptionFirstMonthPosition+SwaptionNumOfMonths+1),"",IF($FJ237=FZ$169,1,IF($FJ237&lt;FZ$169,INDEX($FK$170:$ID$241,FZ$169,$FJ237),SUMPRODUCT(INDEX($FK$325:$ID$396,FZ$169,1+SwaptionShift):INDEX($FK$325:$ID$396,FZ$169,SwaptionMonthsToGo+SwaptionShift),INDEX($FK$245:$ID$316,$FJ237-FZ$169,73-FZ$169+SwaptionShift):INDEX($FK$245:$ID$316,$FJ237-FZ$169,72-FZ$169+SwaptionMonthsToGo+SwaptionShift))/SQRT(SUM(INDEX($FK392:$ID392,1+SwaptionShift):INDEX($FK392:$ID392,SwaptionMonthsToGo+SwaptionShift))*SUM(INDEX($FK$325:$ID$396,FZ$169,1+SwaptionShift):INDEX($FK$325:$ID$396,FZ$169,SwaptionMonthsToGo+SwaptionShift))))))</f>
        <v/>
      </c>
      <c r="GA237" s="479" t="str">
        <f ca="1">IF(OR(GA$169&lt;SwaptionFirstMonthPosition+1,$FJ237&lt;SwaptionFirstMonthPosition+1,GA$169&gt;SwaptionFirstMonthPosition+SwaptionNumOfMonths+1,$FJ237&gt;SwaptionFirstMonthPosition+SwaptionNumOfMonths+1),"",IF($FJ237=GA$169,1,IF($FJ237&lt;GA$169,INDEX($FK$170:$ID$241,GA$169,$FJ237),SUMPRODUCT(INDEX($FK$325:$ID$396,GA$169,1+SwaptionShift):INDEX($FK$325:$ID$396,GA$169,SwaptionMonthsToGo+SwaptionShift),INDEX($FK$245:$ID$316,$FJ237-GA$169,73-GA$169+SwaptionShift):INDEX($FK$245:$ID$316,$FJ237-GA$169,72-GA$169+SwaptionMonthsToGo+SwaptionShift))/SQRT(SUM(INDEX($FK392:$ID392,1+SwaptionShift):INDEX($FK392:$ID392,SwaptionMonthsToGo+SwaptionShift))*SUM(INDEX($FK$325:$ID$396,GA$169,1+SwaptionShift):INDEX($FK$325:$ID$396,GA$169,SwaptionMonthsToGo+SwaptionShift))))))</f>
        <v/>
      </c>
      <c r="GB237" s="479" t="str">
        <f ca="1">IF(OR(GB$169&lt;SwaptionFirstMonthPosition+1,$FJ237&lt;SwaptionFirstMonthPosition+1,GB$169&gt;SwaptionFirstMonthPosition+SwaptionNumOfMonths+1,$FJ237&gt;SwaptionFirstMonthPosition+SwaptionNumOfMonths+1),"",IF($FJ237=GB$169,1,IF($FJ237&lt;GB$169,INDEX($FK$170:$ID$241,GB$169,$FJ237),SUMPRODUCT(INDEX($FK$325:$ID$396,GB$169,1+SwaptionShift):INDEX($FK$325:$ID$396,GB$169,SwaptionMonthsToGo+SwaptionShift),INDEX($FK$245:$ID$316,$FJ237-GB$169,73-GB$169+SwaptionShift):INDEX($FK$245:$ID$316,$FJ237-GB$169,72-GB$169+SwaptionMonthsToGo+SwaptionShift))/SQRT(SUM(INDEX($FK392:$ID392,1+SwaptionShift):INDEX($FK392:$ID392,SwaptionMonthsToGo+SwaptionShift))*SUM(INDEX($FK$325:$ID$396,GB$169,1+SwaptionShift):INDEX($FK$325:$ID$396,GB$169,SwaptionMonthsToGo+SwaptionShift))))))</f>
        <v/>
      </c>
      <c r="GC237" s="479" t="str">
        <f ca="1">IF(OR(GC$169&lt;SwaptionFirstMonthPosition+1,$FJ237&lt;SwaptionFirstMonthPosition+1,GC$169&gt;SwaptionFirstMonthPosition+SwaptionNumOfMonths+1,$FJ237&gt;SwaptionFirstMonthPosition+SwaptionNumOfMonths+1),"",IF($FJ237=GC$169,1,IF($FJ237&lt;GC$169,INDEX($FK$170:$ID$241,GC$169,$FJ237),SUMPRODUCT(INDEX($FK$325:$ID$396,GC$169,1+SwaptionShift):INDEX($FK$325:$ID$396,GC$169,SwaptionMonthsToGo+SwaptionShift),INDEX($FK$245:$ID$316,$FJ237-GC$169,73-GC$169+SwaptionShift):INDEX($FK$245:$ID$316,$FJ237-GC$169,72-GC$169+SwaptionMonthsToGo+SwaptionShift))/SQRT(SUM(INDEX($FK392:$ID392,1+SwaptionShift):INDEX($FK392:$ID392,SwaptionMonthsToGo+SwaptionShift))*SUM(INDEX($FK$325:$ID$396,GC$169,1+SwaptionShift):INDEX($FK$325:$ID$396,GC$169,SwaptionMonthsToGo+SwaptionShift))))))</f>
        <v/>
      </c>
      <c r="GD237" s="479" t="str">
        <f ca="1">IF(OR(GD$169&lt;SwaptionFirstMonthPosition+1,$FJ237&lt;SwaptionFirstMonthPosition+1,GD$169&gt;SwaptionFirstMonthPosition+SwaptionNumOfMonths+1,$FJ237&gt;SwaptionFirstMonthPosition+SwaptionNumOfMonths+1),"",IF($FJ237=GD$169,1,IF($FJ237&lt;GD$169,INDEX($FK$170:$ID$241,GD$169,$FJ237),SUMPRODUCT(INDEX($FK$325:$ID$396,GD$169,1+SwaptionShift):INDEX($FK$325:$ID$396,GD$169,SwaptionMonthsToGo+SwaptionShift),INDEX($FK$245:$ID$316,$FJ237-GD$169,73-GD$169+SwaptionShift):INDEX($FK$245:$ID$316,$FJ237-GD$169,72-GD$169+SwaptionMonthsToGo+SwaptionShift))/SQRT(SUM(INDEX($FK392:$ID392,1+SwaptionShift):INDEX($FK392:$ID392,SwaptionMonthsToGo+SwaptionShift))*SUM(INDEX($FK$325:$ID$396,GD$169,1+SwaptionShift):INDEX($FK$325:$ID$396,GD$169,SwaptionMonthsToGo+SwaptionShift))))))</f>
        <v/>
      </c>
      <c r="GE237" s="479" t="str">
        <f ca="1">IF(OR(GE$169&lt;SwaptionFirstMonthPosition+1,$FJ237&lt;SwaptionFirstMonthPosition+1,GE$169&gt;SwaptionFirstMonthPosition+SwaptionNumOfMonths+1,$FJ237&gt;SwaptionFirstMonthPosition+SwaptionNumOfMonths+1),"",IF($FJ237=GE$169,1,IF($FJ237&lt;GE$169,INDEX($FK$170:$ID$241,GE$169,$FJ237),SUMPRODUCT(INDEX($FK$325:$ID$396,GE$169,1+SwaptionShift):INDEX($FK$325:$ID$396,GE$169,SwaptionMonthsToGo+SwaptionShift),INDEX($FK$245:$ID$316,$FJ237-GE$169,73-GE$169+SwaptionShift):INDEX($FK$245:$ID$316,$FJ237-GE$169,72-GE$169+SwaptionMonthsToGo+SwaptionShift))/SQRT(SUM(INDEX($FK392:$ID392,1+SwaptionShift):INDEX($FK392:$ID392,SwaptionMonthsToGo+SwaptionShift))*SUM(INDEX($FK$325:$ID$396,GE$169,1+SwaptionShift):INDEX($FK$325:$ID$396,GE$169,SwaptionMonthsToGo+SwaptionShift))))))</f>
        <v/>
      </c>
      <c r="GF237" s="479" t="str">
        <f ca="1">IF(OR(GF$169&lt;SwaptionFirstMonthPosition+1,$FJ237&lt;SwaptionFirstMonthPosition+1,GF$169&gt;SwaptionFirstMonthPosition+SwaptionNumOfMonths+1,$FJ237&gt;SwaptionFirstMonthPosition+SwaptionNumOfMonths+1),"",IF($FJ237=GF$169,1,IF($FJ237&lt;GF$169,INDEX($FK$170:$ID$241,GF$169,$FJ237),SUMPRODUCT(INDEX($FK$325:$ID$396,GF$169,1+SwaptionShift):INDEX($FK$325:$ID$396,GF$169,SwaptionMonthsToGo+SwaptionShift),INDEX($FK$245:$ID$316,$FJ237-GF$169,73-GF$169+SwaptionShift):INDEX($FK$245:$ID$316,$FJ237-GF$169,72-GF$169+SwaptionMonthsToGo+SwaptionShift))/SQRT(SUM(INDEX($FK392:$ID392,1+SwaptionShift):INDEX($FK392:$ID392,SwaptionMonthsToGo+SwaptionShift))*SUM(INDEX($FK$325:$ID$396,GF$169,1+SwaptionShift):INDEX($FK$325:$ID$396,GF$169,SwaptionMonthsToGo+SwaptionShift))))))</f>
        <v/>
      </c>
      <c r="GG237" s="479" t="str">
        <f ca="1">IF(OR(GG$169&lt;SwaptionFirstMonthPosition+1,$FJ237&lt;SwaptionFirstMonthPosition+1,GG$169&gt;SwaptionFirstMonthPosition+SwaptionNumOfMonths+1,$FJ237&gt;SwaptionFirstMonthPosition+SwaptionNumOfMonths+1),"",IF($FJ237=GG$169,1,IF($FJ237&lt;GG$169,INDEX($FK$170:$ID$241,GG$169,$FJ237),SUMPRODUCT(INDEX($FK$325:$ID$396,GG$169,1+SwaptionShift):INDEX($FK$325:$ID$396,GG$169,SwaptionMonthsToGo+SwaptionShift),INDEX($FK$245:$ID$316,$FJ237-GG$169,73-GG$169+SwaptionShift):INDEX($FK$245:$ID$316,$FJ237-GG$169,72-GG$169+SwaptionMonthsToGo+SwaptionShift))/SQRT(SUM(INDEX($FK392:$ID392,1+SwaptionShift):INDEX($FK392:$ID392,SwaptionMonthsToGo+SwaptionShift))*SUM(INDEX($FK$325:$ID$396,GG$169,1+SwaptionShift):INDEX($FK$325:$ID$396,GG$169,SwaptionMonthsToGo+SwaptionShift))))))</f>
        <v/>
      </c>
      <c r="GH237" s="479" t="str">
        <f ca="1">IF(OR(GH$169&lt;SwaptionFirstMonthPosition+1,$FJ237&lt;SwaptionFirstMonthPosition+1,GH$169&gt;SwaptionFirstMonthPosition+SwaptionNumOfMonths+1,$FJ237&gt;SwaptionFirstMonthPosition+SwaptionNumOfMonths+1),"",IF($FJ237=GH$169,1,IF($FJ237&lt;GH$169,INDEX($FK$170:$ID$241,GH$169,$FJ237),SUMPRODUCT(INDEX($FK$325:$ID$396,GH$169,1+SwaptionShift):INDEX($FK$325:$ID$396,GH$169,SwaptionMonthsToGo+SwaptionShift),INDEX($FK$245:$ID$316,$FJ237-GH$169,73-GH$169+SwaptionShift):INDEX($FK$245:$ID$316,$FJ237-GH$169,72-GH$169+SwaptionMonthsToGo+SwaptionShift))/SQRT(SUM(INDEX($FK392:$ID392,1+SwaptionShift):INDEX($FK392:$ID392,SwaptionMonthsToGo+SwaptionShift))*SUM(INDEX($FK$325:$ID$396,GH$169,1+SwaptionShift):INDEX($FK$325:$ID$396,GH$169,SwaptionMonthsToGo+SwaptionShift))))))</f>
        <v/>
      </c>
      <c r="GI237" s="479" t="str">
        <f ca="1">IF(OR(GI$169&lt;SwaptionFirstMonthPosition+1,$FJ237&lt;SwaptionFirstMonthPosition+1,GI$169&gt;SwaptionFirstMonthPosition+SwaptionNumOfMonths+1,$FJ237&gt;SwaptionFirstMonthPosition+SwaptionNumOfMonths+1),"",IF($FJ237=GI$169,1,IF($FJ237&lt;GI$169,INDEX($FK$170:$ID$241,GI$169,$FJ237),SUMPRODUCT(INDEX($FK$325:$ID$396,GI$169,1+SwaptionShift):INDEX($FK$325:$ID$396,GI$169,SwaptionMonthsToGo+SwaptionShift),INDEX($FK$245:$ID$316,$FJ237-GI$169,73-GI$169+SwaptionShift):INDEX($FK$245:$ID$316,$FJ237-GI$169,72-GI$169+SwaptionMonthsToGo+SwaptionShift))/SQRT(SUM(INDEX($FK392:$ID392,1+SwaptionShift):INDEX($FK392:$ID392,SwaptionMonthsToGo+SwaptionShift))*SUM(INDEX($FK$325:$ID$396,GI$169,1+SwaptionShift):INDEX($FK$325:$ID$396,GI$169,SwaptionMonthsToGo+SwaptionShift))))))</f>
        <v/>
      </c>
      <c r="GJ237" s="479" t="str">
        <f ca="1">IF(OR(GJ$169&lt;SwaptionFirstMonthPosition+1,$FJ237&lt;SwaptionFirstMonthPosition+1,GJ$169&gt;SwaptionFirstMonthPosition+SwaptionNumOfMonths+1,$FJ237&gt;SwaptionFirstMonthPosition+SwaptionNumOfMonths+1),"",IF($FJ237=GJ$169,1,IF($FJ237&lt;GJ$169,INDEX($FK$170:$ID$241,GJ$169,$FJ237),SUMPRODUCT(INDEX($FK$325:$ID$396,GJ$169,1+SwaptionShift):INDEX($FK$325:$ID$396,GJ$169,SwaptionMonthsToGo+SwaptionShift),INDEX($FK$245:$ID$316,$FJ237-GJ$169,73-GJ$169+SwaptionShift):INDEX($FK$245:$ID$316,$FJ237-GJ$169,72-GJ$169+SwaptionMonthsToGo+SwaptionShift))/SQRT(SUM(INDEX($FK392:$ID392,1+SwaptionShift):INDEX($FK392:$ID392,SwaptionMonthsToGo+SwaptionShift))*SUM(INDEX($FK$325:$ID$396,GJ$169,1+SwaptionShift):INDEX($FK$325:$ID$396,GJ$169,SwaptionMonthsToGo+SwaptionShift))))))</f>
        <v/>
      </c>
      <c r="GK237" s="479" t="str">
        <f ca="1">IF(OR(GK$169&lt;SwaptionFirstMonthPosition+1,$FJ237&lt;SwaptionFirstMonthPosition+1,GK$169&gt;SwaptionFirstMonthPosition+SwaptionNumOfMonths+1,$FJ237&gt;SwaptionFirstMonthPosition+SwaptionNumOfMonths+1),"",IF($FJ237=GK$169,1,IF($FJ237&lt;GK$169,INDEX($FK$170:$ID$241,GK$169,$FJ237),SUMPRODUCT(INDEX($FK$325:$ID$396,GK$169,1+SwaptionShift):INDEX($FK$325:$ID$396,GK$169,SwaptionMonthsToGo+SwaptionShift),INDEX($FK$245:$ID$316,$FJ237-GK$169,73-GK$169+SwaptionShift):INDEX($FK$245:$ID$316,$FJ237-GK$169,72-GK$169+SwaptionMonthsToGo+SwaptionShift))/SQRT(SUM(INDEX($FK392:$ID392,1+SwaptionShift):INDEX($FK392:$ID392,SwaptionMonthsToGo+SwaptionShift))*SUM(INDEX($FK$325:$ID$396,GK$169,1+SwaptionShift):INDEX($FK$325:$ID$396,GK$169,SwaptionMonthsToGo+SwaptionShift))))))</f>
        <v/>
      </c>
      <c r="GL237" s="479" t="str">
        <f ca="1">IF(OR(GL$169&lt;SwaptionFirstMonthPosition+1,$FJ237&lt;SwaptionFirstMonthPosition+1,GL$169&gt;SwaptionFirstMonthPosition+SwaptionNumOfMonths+1,$FJ237&gt;SwaptionFirstMonthPosition+SwaptionNumOfMonths+1),"",IF($FJ237=GL$169,1,IF($FJ237&lt;GL$169,INDEX($FK$170:$ID$241,GL$169,$FJ237),SUMPRODUCT(INDEX($FK$325:$ID$396,GL$169,1+SwaptionShift):INDEX($FK$325:$ID$396,GL$169,SwaptionMonthsToGo+SwaptionShift),INDEX($FK$245:$ID$316,$FJ237-GL$169,73-GL$169+SwaptionShift):INDEX($FK$245:$ID$316,$FJ237-GL$169,72-GL$169+SwaptionMonthsToGo+SwaptionShift))/SQRT(SUM(INDEX($FK392:$ID392,1+SwaptionShift):INDEX($FK392:$ID392,SwaptionMonthsToGo+SwaptionShift))*SUM(INDEX($FK$325:$ID$396,GL$169,1+SwaptionShift):INDEX($FK$325:$ID$396,GL$169,SwaptionMonthsToGo+SwaptionShift))))))</f>
        <v/>
      </c>
      <c r="GM237" s="479" t="str">
        <f ca="1">IF(OR(GM$169&lt;SwaptionFirstMonthPosition+1,$FJ237&lt;SwaptionFirstMonthPosition+1,GM$169&gt;SwaptionFirstMonthPosition+SwaptionNumOfMonths+1,$FJ237&gt;SwaptionFirstMonthPosition+SwaptionNumOfMonths+1),"",IF($FJ237=GM$169,1,IF($FJ237&lt;GM$169,INDEX($FK$170:$ID$241,GM$169,$FJ237),SUMPRODUCT(INDEX($FK$325:$ID$396,GM$169,1+SwaptionShift):INDEX($FK$325:$ID$396,GM$169,SwaptionMonthsToGo+SwaptionShift),INDEX($FK$245:$ID$316,$FJ237-GM$169,73-GM$169+SwaptionShift):INDEX($FK$245:$ID$316,$FJ237-GM$169,72-GM$169+SwaptionMonthsToGo+SwaptionShift))/SQRT(SUM(INDEX($FK392:$ID392,1+SwaptionShift):INDEX($FK392:$ID392,SwaptionMonthsToGo+SwaptionShift))*SUM(INDEX($FK$325:$ID$396,GM$169,1+SwaptionShift):INDEX($FK$325:$ID$396,GM$169,SwaptionMonthsToGo+SwaptionShift))))))</f>
        <v/>
      </c>
      <c r="GN237" s="479" t="str">
        <f ca="1">IF(OR(GN$169&lt;SwaptionFirstMonthPosition+1,$FJ237&lt;SwaptionFirstMonthPosition+1,GN$169&gt;SwaptionFirstMonthPosition+SwaptionNumOfMonths+1,$FJ237&gt;SwaptionFirstMonthPosition+SwaptionNumOfMonths+1),"",IF($FJ237=GN$169,1,IF($FJ237&lt;GN$169,INDEX($FK$170:$ID$241,GN$169,$FJ237),SUMPRODUCT(INDEX($FK$325:$ID$396,GN$169,1+SwaptionShift):INDEX($FK$325:$ID$396,GN$169,SwaptionMonthsToGo+SwaptionShift),INDEX($FK$245:$ID$316,$FJ237-GN$169,73-GN$169+SwaptionShift):INDEX($FK$245:$ID$316,$FJ237-GN$169,72-GN$169+SwaptionMonthsToGo+SwaptionShift))/SQRT(SUM(INDEX($FK392:$ID392,1+SwaptionShift):INDEX($FK392:$ID392,SwaptionMonthsToGo+SwaptionShift))*SUM(INDEX($FK$325:$ID$396,GN$169,1+SwaptionShift):INDEX($FK$325:$ID$396,GN$169,SwaptionMonthsToGo+SwaptionShift))))))</f>
        <v/>
      </c>
      <c r="GO237" s="479" t="str">
        <f ca="1">IF(OR(GO$169&lt;SwaptionFirstMonthPosition+1,$FJ237&lt;SwaptionFirstMonthPosition+1,GO$169&gt;SwaptionFirstMonthPosition+SwaptionNumOfMonths+1,$FJ237&gt;SwaptionFirstMonthPosition+SwaptionNumOfMonths+1),"",IF($FJ237=GO$169,1,IF($FJ237&lt;GO$169,INDEX($FK$170:$ID$241,GO$169,$FJ237),SUMPRODUCT(INDEX($FK$325:$ID$396,GO$169,1+SwaptionShift):INDEX($FK$325:$ID$396,GO$169,SwaptionMonthsToGo+SwaptionShift),INDEX($FK$245:$ID$316,$FJ237-GO$169,73-GO$169+SwaptionShift):INDEX($FK$245:$ID$316,$FJ237-GO$169,72-GO$169+SwaptionMonthsToGo+SwaptionShift))/SQRT(SUM(INDEX($FK392:$ID392,1+SwaptionShift):INDEX($FK392:$ID392,SwaptionMonthsToGo+SwaptionShift))*SUM(INDEX($FK$325:$ID$396,GO$169,1+SwaptionShift):INDEX($FK$325:$ID$396,GO$169,SwaptionMonthsToGo+SwaptionShift))))))</f>
        <v/>
      </c>
      <c r="GP237" s="479" t="str">
        <f ca="1">IF(OR(GP$169&lt;SwaptionFirstMonthPosition+1,$FJ237&lt;SwaptionFirstMonthPosition+1,GP$169&gt;SwaptionFirstMonthPosition+SwaptionNumOfMonths+1,$FJ237&gt;SwaptionFirstMonthPosition+SwaptionNumOfMonths+1),"",IF($FJ237=GP$169,1,IF($FJ237&lt;GP$169,INDEX($FK$170:$ID$241,GP$169,$FJ237),SUMPRODUCT(INDEX($FK$325:$ID$396,GP$169,1+SwaptionShift):INDEX($FK$325:$ID$396,GP$169,SwaptionMonthsToGo+SwaptionShift),INDEX($FK$245:$ID$316,$FJ237-GP$169,73-GP$169+SwaptionShift):INDEX($FK$245:$ID$316,$FJ237-GP$169,72-GP$169+SwaptionMonthsToGo+SwaptionShift))/SQRT(SUM(INDEX($FK392:$ID392,1+SwaptionShift):INDEX($FK392:$ID392,SwaptionMonthsToGo+SwaptionShift))*SUM(INDEX($FK$325:$ID$396,GP$169,1+SwaptionShift):INDEX($FK$325:$ID$396,GP$169,SwaptionMonthsToGo+SwaptionShift))))))</f>
        <v/>
      </c>
      <c r="GQ237" s="479" t="str">
        <f ca="1">IF(OR(GQ$169&lt;SwaptionFirstMonthPosition+1,$FJ237&lt;SwaptionFirstMonthPosition+1,GQ$169&gt;SwaptionFirstMonthPosition+SwaptionNumOfMonths+1,$FJ237&gt;SwaptionFirstMonthPosition+SwaptionNumOfMonths+1),"",IF($FJ237=GQ$169,1,IF($FJ237&lt;GQ$169,INDEX($FK$170:$ID$241,GQ$169,$FJ237),SUMPRODUCT(INDEX($FK$325:$ID$396,GQ$169,1+SwaptionShift):INDEX($FK$325:$ID$396,GQ$169,SwaptionMonthsToGo+SwaptionShift),INDEX($FK$245:$ID$316,$FJ237-GQ$169,73-GQ$169+SwaptionShift):INDEX($FK$245:$ID$316,$FJ237-GQ$169,72-GQ$169+SwaptionMonthsToGo+SwaptionShift))/SQRT(SUM(INDEX($FK392:$ID392,1+SwaptionShift):INDEX($FK392:$ID392,SwaptionMonthsToGo+SwaptionShift))*SUM(INDEX($FK$325:$ID$396,GQ$169,1+SwaptionShift):INDEX($FK$325:$ID$396,GQ$169,SwaptionMonthsToGo+SwaptionShift))))))</f>
        <v/>
      </c>
      <c r="GR237" s="479" t="str">
        <f ca="1">IF(OR(GR$169&lt;SwaptionFirstMonthPosition+1,$FJ237&lt;SwaptionFirstMonthPosition+1,GR$169&gt;SwaptionFirstMonthPosition+SwaptionNumOfMonths+1,$FJ237&gt;SwaptionFirstMonthPosition+SwaptionNumOfMonths+1),"",IF($FJ237=GR$169,1,IF($FJ237&lt;GR$169,INDEX($FK$170:$ID$241,GR$169,$FJ237),SUMPRODUCT(INDEX($FK$325:$ID$396,GR$169,1+SwaptionShift):INDEX($FK$325:$ID$396,GR$169,SwaptionMonthsToGo+SwaptionShift),INDEX($FK$245:$ID$316,$FJ237-GR$169,73-GR$169+SwaptionShift):INDEX($FK$245:$ID$316,$FJ237-GR$169,72-GR$169+SwaptionMonthsToGo+SwaptionShift))/SQRT(SUM(INDEX($FK392:$ID392,1+SwaptionShift):INDEX($FK392:$ID392,SwaptionMonthsToGo+SwaptionShift))*SUM(INDEX($FK$325:$ID$396,GR$169,1+SwaptionShift):INDEX($FK$325:$ID$396,GR$169,SwaptionMonthsToGo+SwaptionShift))))))</f>
        <v/>
      </c>
      <c r="GS237" s="479" t="str">
        <f ca="1">IF(OR(GS$169&lt;SwaptionFirstMonthPosition+1,$FJ237&lt;SwaptionFirstMonthPosition+1,GS$169&gt;SwaptionFirstMonthPosition+SwaptionNumOfMonths+1,$FJ237&gt;SwaptionFirstMonthPosition+SwaptionNumOfMonths+1),"",IF($FJ237=GS$169,1,IF($FJ237&lt;GS$169,INDEX($FK$170:$ID$241,GS$169,$FJ237),SUMPRODUCT(INDEX($FK$325:$ID$396,GS$169,1+SwaptionShift):INDEX($FK$325:$ID$396,GS$169,SwaptionMonthsToGo+SwaptionShift),INDEX($FK$245:$ID$316,$FJ237-GS$169,73-GS$169+SwaptionShift):INDEX($FK$245:$ID$316,$FJ237-GS$169,72-GS$169+SwaptionMonthsToGo+SwaptionShift))/SQRT(SUM(INDEX($FK392:$ID392,1+SwaptionShift):INDEX($FK392:$ID392,SwaptionMonthsToGo+SwaptionShift))*SUM(INDEX($FK$325:$ID$396,GS$169,1+SwaptionShift):INDEX($FK$325:$ID$396,GS$169,SwaptionMonthsToGo+SwaptionShift))))))</f>
        <v/>
      </c>
      <c r="GT237" s="479" t="str">
        <f ca="1">IF(OR(GT$169&lt;SwaptionFirstMonthPosition+1,$FJ237&lt;SwaptionFirstMonthPosition+1,GT$169&gt;SwaptionFirstMonthPosition+SwaptionNumOfMonths+1,$FJ237&gt;SwaptionFirstMonthPosition+SwaptionNumOfMonths+1),"",IF($FJ237=GT$169,1,IF($FJ237&lt;GT$169,INDEX($FK$170:$ID$241,GT$169,$FJ237),SUMPRODUCT(INDEX($FK$325:$ID$396,GT$169,1+SwaptionShift):INDEX($FK$325:$ID$396,GT$169,SwaptionMonthsToGo+SwaptionShift),INDEX($FK$245:$ID$316,$FJ237-GT$169,73-GT$169+SwaptionShift):INDEX($FK$245:$ID$316,$FJ237-GT$169,72-GT$169+SwaptionMonthsToGo+SwaptionShift))/SQRT(SUM(INDEX($FK392:$ID392,1+SwaptionShift):INDEX($FK392:$ID392,SwaptionMonthsToGo+SwaptionShift))*SUM(INDEX($FK$325:$ID$396,GT$169,1+SwaptionShift):INDEX($FK$325:$ID$396,GT$169,SwaptionMonthsToGo+SwaptionShift))))))</f>
        <v/>
      </c>
      <c r="GU237" s="479" t="str">
        <f ca="1">IF(OR(GU$169&lt;SwaptionFirstMonthPosition+1,$FJ237&lt;SwaptionFirstMonthPosition+1,GU$169&gt;SwaptionFirstMonthPosition+SwaptionNumOfMonths+1,$FJ237&gt;SwaptionFirstMonthPosition+SwaptionNumOfMonths+1),"",IF($FJ237=GU$169,1,IF($FJ237&lt;GU$169,INDEX($FK$170:$ID$241,GU$169,$FJ237),SUMPRODUCT(INDEX($FK$325:$ID$396,GU$169,1+SwaptionShift):INDEX($FK$325:$ID$396,GU$169,SwaptionMonthsToGo+SwaptionShift),INDEX($FK$245:$ID$316,$FJ237-GU$169,73-GU$169+SwaptionShift):INDEX($FK$245:$ID$316,$FJ237-GU$169,72-GU$169+SwaptionMonthsToGo+SwaptionShift))/SQRT(SUM(INDEX($FK392:$ID392,1+SwaptionShift):INDEX($FK392:$ID392,SwaptionMonthsToGo+SwaptionShift))*SUM(INDEX($FK$325:$ID$396,GU$169,1+SwaptionShift):INDEX($FK$325:$ID$396,GU$169,SwaptionMonthsToGo+SwaptionShift))))))</f>
        <v/>
      </c>
      <c r="GV237" s="479" t="str">
        <f ca="1">IF(OR(GV$169&lt;SwaptionFirstMonthPosition+1,$FJ237&lt;SwaptionFirstMonthPosition+1,GV$169&gt;SwaptionFirstMonthPosition+SwaptionNumOfMonths+1,$FJ237&gt;SwaptionFirstMonthPosition+SwaptionNumOfMonths+1),"",IF($FJ237=GV$169,1,IF($FJ237&lt;GV$169,INDEX($FK$170:$ID$241,GV$169,$FJ237),SUMPRODUCT(INDEX($FK$325:$ID$396,GV$169,1+SwaptionShift):INDEX($FK$325:$ID$396,GV$169,SwaptionMonthsToGo+SwaptionShift),INDEX($FK$245:$ID$316,$FJ237-GV$169,73-GV$169+SwaptionShift):INDEX($FK$245:$ID$316,$FJ237-GV$169,72-GV$169+SwaptionMonthsToGo+SwaptionShift))/SQRT(SUM(INDEX($FK392:$ID392,1+SwaptionShift):INDEX($FK392:$ID392,SwaptionMonthsToGo+SwaptionShift))*SUM(INDEX($FK$325:$ID$396,GV$169,1+SwaptionShift):INDEX($FK$325:$ID$396,GV$169,SwaptionMonthsToGo+SwaptionShift))))))</f>
        <v/>
      </c>
      <c r="GW237" s="479" t="str">
        <f ca="1">IF(OR(GW$169&lt;SwaptionFirstMonthPosition+1,$FJ237&lt;SwaptionFirstMonthPosition+1,GW$169&gt;SwaptionFirstMonthPosition+SwaptionNumOfMonths+1,$FJ237&gt;SwaptionFirstMonthPosition+SwaptionNumOfMonths+1),"",IF($FJ237=GW$169,1,IF($FJ237&lt;GW$169,INDEX($FK$170:$ID$241,GW$169,$FJ237),SUMPRODUCT(INDEX($FK$325:$ID$396,GW$169,1+SwaptionShift):INDEX($FK$325:$ID$396,GW$169,SwaptionMonthsToGo+SwaptionShift),INDEX($FK$245:$ID$316,$FJ237-GW$169,73-GW$169+SwaptionShift):INDEX($FK$245:$ID$316,$FJ237-GW$169,72-GW$169+SwaptionMonthsToGo+SwaptionShift))/SQRT(SUM(INDEX($FK392:$ID392,1+SwaptionShift):INDEX($FK392:$ID392,SwaptionMonthsToGo+SwaptionShift))*SUM(INDEX($FK$325:$ID$396,GW$169,1+SwaptionShift):INDEX($FK$325:$ID$396,GW$169,SwaptionMonthsToGo+SwaptionShift))))))</f>
        <v/>
      </c>
      <c r="GX237" s="479" t="str">
        <f ca="1">IF(OR(GX$169&lt;SwaptionFirstMonthPosition+1,$FJ237&lt;SwaptionFirstMonthPosition+1,GX$169&gt;SwaptionFirstMonthPosition+SwaptionNumOfMonths+1,$FJ237&gt;SwaptionFirstMonthPosition+SwaptionNumOfMonths+1),"",IF($FJ237=GX$169,1,IF($FJ237&lt;GX$169,INDEX($FK$170:$ID$241,GX$169,$FJ237),SUMPRODUCT(INDEX($FK$325:$ID$396,GX$169,1+SwaptionShift):INDEX($FK$325:$ID$396,GX$169,SwaptionMonthsToGo+SwaptionShift),INDEX($FK$245:$ID$316,$FJ237-GX$169,73-GX$169+SwaptionShift):INDEX($FK$245:$ID$316,$FJ237-GX$169,72-GX$169+SwaptionMonthsToGo+SwaptionShift))/SQRT(SUM(INDEX($FK392:$ID392,1+SwaptionShift):INDEX($FK392:$ID392,SwaptionMonthsToGo+SwaptionShift))*SUM(INDEX($FK$325:$ID$396,GX$169,1+SwaptionShift):INDEX($FK$325:$ID$396,GX$169,SwaptionMonthsToGo+SwaptionShift))))))</f>
        <v/>
      </c>
      <c r="GY237" s="479" t="str">
        <f ca="1">IF(OR(GY$169&lt;SwaptionFirstMonthPosition+1,$FJ237&lt;SwaptionFirstMonthPosition+1,GY$169&gt;SwaptionFirstMonthPosition+SwaptionNumOfMonths+1,$FJ237&gt;SwaptionFirstMonthPosition+SwaptionNumOfMonths+1),"",IF($FJ237=GY$169,1,IF($FJ237&lt;GY$169,INDEX($FK$170:$ID$241,GY$169,$FJ237),SUMPRODUCT(INDEX($FK$325:$ID$396,GY$169,1+SwaptionShift):INDEX($FK$325:$ID$396,GY$169,SwaptionMonthsToGo+SwaptionShift),INDEX($FK$245:$ID$316,$FJ237-GY$169,73-GY$169+SwaptionShift):INDEX($FK$245:$ID$316,$FJ237-GY$169,72-GY$169+SwaptionMonthsToGo+SwaptionShift))/SQRT(SUM(INDEX($FK392:$ID392,1+SwaptionShift):INDEX($FK392:$ID392,SwaptionMonthsToGo+SwaptionShift))*SUM(INDEX($FK$325:$ID$396,GY$169,1+SwaptionShift):INDEX($FK$325:$ID$396,GY$169,SwaptionMonthsToGo+SwaptionShift))))))</f>
        <v/>
      </c>
      <c r="GZ237" s="479" t="str">
        <f ca="1">IF(OR(GZ$169&lt;SwaptionFirstMonthPosition+1,$FJ237&lt;SwaptionFirstMonthPosition+1,GZ$169&gt;SwaptionFirstMonthPosition+SwaptionNumOfMonths+1,$FJ237&gt;SwaptionFirstMonthPosition+SwaptionNumOfMonths+1),"",IF($FJ237=GZ$169,1,IF($FJ237&lt;GZ$169,INDEX($FK$170:$ID$241,GZ$169,$FJ237),SUMPRODUCT(INDEX($FK$325:$ID$396,GZ$169,1+SwaptionShift):INDEX($FK$325:$ID$396,GZ$169,SwaptionMonthsToGo+SwaptionShift),INDEX($FK$245:$ID$316,$FJ237-GZ$169,73-GZ$169+SwaptionShift):INDEX($FK$245:$ID$316,$FJ237-GZ$169,72-GZ$169+SwaptionMonthsToGo+SwaptionShift))/SQRT(SUM(INDEX($FK392:$ID392,1+SwaptionShift):INDEX($FK392:$ID392,SwaptionMonthsToGo+SwaptionShift))*SUM(INDEX($FK$325:$ID$396,GZ$169,1+SwaptionShift):INDEX($FK$325:$ID$396,GZ$169,SwaptionMonthsToGo+SwaptionShift))))))</f>
        <v/>
      </c>
      <c r="HA237" s="479" t="str">
        <f ca="1">IF(OR(HA$169&lt;SwaptionFirstMonthPosition+1,$FJ237&lt;SwaptionFirstMonthPosition+1,HA$169&gt;SwaptionFirstMonthPosition+SwaptionNumOfMonths+1,$FJ237&gt;SwaptionFirstMonthPosition+SwaptionNumOfMonths+1),"",IF($FJ237=HA$169,1,IF($FJ237&lt;HA$169,INDEX($FK$170:$ID$241,HA$169,$FJ237),SUMPRODUCT(INDEX($FK$325:$ID$396,HA$169,1+SwaptionShift):INDEX($FK$325:$ID$396,HA$169,SwaptionMonthsToGo+SwaptionShift),INDEX($FK$245:$ID$316,$FJ237-HA$169,73-HA$169+SwaptionShift):INDEX($FK$245:$ID$316,$FJ237-HA$169,72-HA$169+SwaptionMonthsToGo+SwaptionShift))/SQRT(SUM(INDEX($FK392:$ID392,1+SwaptionShift):INDEX($FK392:$ID392,SwaptionMonthsToGo+SwaptionShift))*SUM(INDEX($FK$325:$ID$396,HA$169,1+SwaptionShift):INDEX($FK$325:$ID$396,HA$169,SwaptionMonthsToGo+SwaptionShift))))))</f>
        <v/>
      </c>
      <c r="HB237" s="479" t="str">
        <f ca="1">IF(OR(HB$169&lt;SwaptionFirstMonthPosition+1,$FJ237&lt;SwaptionFirstMonthPosition+1,HB$169&gt;SwaptionFirstMonthPosition+SwaptionNumOfMonths+1,$FJ237&gt;SwaptionFirstMonthPosition+SwaptionNumOfMonths+1),"",IF($FJ237=HB$169,1,IF($FJ237&lt;HB$169,INDEX($FK$170:$ID$241,HB$169,$FJ237),SUMPRODUCT(INDEX($FK$325:$ID$396,HB$169,1+SwaptionShift):INDEX($FK$325:$ID$396,HB$169,SwaptionMonthsToGo+SwaptionShift),INDEX($FK$245:$ID$316,$FJ237-HB$169,73-HB$169+SwaptionShift):INDEX($FK$245:$ID$316,$FJ237-HB$169,72-HB$169+SwaptionMonthsToGo+SwaptionShift))/SQRT(SUM(INDEX($FK392:$ID392,1+SwaptionShift):INDEX($FK392:$ID392,SwaptionMonthsToGo+SwaptionShift))*SUM(INDEX($FK$325:$ID$396,HB$169,1+SwaptionShift):INDEX($FK$325:$ID$396,HB$169,SwaptionMonthsToGo+SwaptionShift))))))</f>
        <v/>
      </c>
      <c r="HC237" s="479" t="str">
        <f ca="1">IF(OR(HC$169&lt;SwaptionFirstMonthPosition+1,$FJ237&lt;SwaptionFirstMonthPosition+1,HC$169&gt;SwaptionFirstMonthPosition+SwaptionNumOfMonths+1,$FJ237&gt;SwaptionFirstMonthPosition+SwaptionNumOfMonths+1),"",IF($FJ237=HC$169,1,IF($FJ237&lt;HC$169,INDEX($FK$170:$ID$241,HC$169,$FJ237),SUMPRODUCT(INDEX($FK$325:$ID$396,HC$169,1+SwaptionShift):INDEX($FK$325:$ID$396,HC$169,SwaptionMonthsToGo+SwaptionShift),INDEX($FK$245:$ID$316,$FJ237-HC$169,73-HC$169+SwaptionShift):INDEX($FK$245:$ID$316,$FJ237-HC$169,72-HC$169+SwaptionMonthsToGo+SwaptionShift))/SQRT(SUM(INDEX($FK392:$ID392,1+SwaptionShift):INDEX($FK392:$ID392,SwaptionMonthsToGo+SwaptionShift))*SUM(INDEX($FK$325:$ID$396,HC$169,1+SwaptionShift):INDEX($FK$325:$ID$396,HC$169,SwaptionMonthsToGo+SwaptionShift))))))</f>
        <v/>
      </c>
      <c r="HD237" s="479" t="str">
        <f ca="1">IF(OR(HD$169&lt;SwaptionFirstMonthPosition+1,$FJ237&lt;SwaptionFirstMonthPosition+1,HD$169&gt;SwaptionFirstMonthPosition+SwaptionNumOfMonths+1,$FJ237&gt;SwaptionFirstMonthPosition+SwaptionNumOfMonths+1),"",IF($FJ237=HD$169,1,IF($FJ237&lt;HD$169,INDEX($FK$170:$ID$241,HD$169,$FJ237),SUMPRODUCT(INDEX($FK$325:$ID$396,HD$169,1+SwaptionShift):INDEX($FK$325:$ID$396,HD$169,SwaptionMonthsToGo+SwaptionShift),INDEX($FK$245:$ID$316,$FJ237-HD$169,73-HD$169+SwaptionShift):INDEX($FK$245:$ID$316,$FJ237-HD$169,72-HD$169+SwaptionMonthsToGo+SwaptionShift))/SQRT(SUM(INDEX($FK392:$ID392,1+SwaptionShift):INDEX($FK392:$ID392,SwaptionMonthsToGo+SwaptionShift))*SUM(INDEX($FK$325:$ID$396,HD$169,1+SwaptionShift):INDEX($FK$325:$ID$396,HD$169,SwaptionMonthsToGo+SwaptionShift))))))</f>
        <v/>
      </c>
      <c r="HE237" s="479" t="str">
        <f ca="1">IF(OR(HE$169&lt;SwaptionFirstMonthPosition+1,$FJ237&lt;SwaptionFirstMonthPosition+1,HE$169&gt;SwaptionFirstMonthPosition+SwaptionNumOfMonths+1,$FJ237&gt;SwaptionFirstMonthPosition+SwaptionNumOfMonths+1),"",IF($FJ237=HE$169,1,IF($FJ237&lt;HE$169,INDEX($FK$170:$ID$241,HE$169,$FJ237),SUMPRODUCT(INDEX($FK$325:$ID$396,HE$169,1+SwaptionShift):INDEX($FK$325:$ID$396,HE$169,SwaptionMonthsToGo+SwaptionShift),INDEX($FK$245:$ID$316,$FJ237-HE$169,73-HE$169+SwaptionShift):INDEX($FK$245:$ID$316,$FJ237-HE$169,72-HE$169+SwaptionMonthsToGo+SwaptionShift))/SQRT(SUM(INDEX($FK392:$ID392,1+SwaptionShift):INDEX($FK392:$ID392,SwaptionMonthsToGo+SwaptionShift))*SUM(INDEX($FK$325:$ID$396,HE$169,1+SwaptionShift):INDEX($FK$325:$ID$396,HE$169,SwaptionMonthsToGo+SwaptionShift))))))</f>
        <v/>
      </c>
      <c r="HF237" s="479" t="str">
        <f ca="1">IF(OR(HF$169&lt;SwaptionFirstMonthPosition+1,$FJ237&lt;SwaptionFirstMonthPosition+1,HF$169&gt;SwaptionFirstMonthPosition+SwaptionNumOfMonths+1,$FJ237&gt;SwaptionFirstMonthPosition+SwaptionNumOfMonths+1),"",IF($FJ237=HF$169,1,IF($FJ237&lt;HF$169,INDEX($FK$170:$ID$241,HF$169,$FJ237),SUMPRODUCT(INDEX($FK$325:$ID$396,HF$169,1+SwaptionShift):INDEX($FK$325:$ID$396,HF$169,SwaptionMonthsToGo+SwaptionShift),INDEX($FK$245:$ID$316,$FJ237-HF$169,73-HF$169+SwaptionShift):INDEX($FK$245:$ID$316,$FJ237-HF$169,72-HF$169+SwaptionMonthsToGo+SwaptionShift))/SQRT(SUM(INDEX($FK392:$ID392,1+SwaptionShift):INDEX($FK392:$ID392,SwaptionMonthsToGo+SwaptionShift))*SUM(INDEX($FK$325:$ID$396,HF$169,1+SwaptionShift):INDEX($FK$325:$ID$396,HF$169,SwaptionMonthsToGo+SwaptionShift))))))</f>
        <v/>
      </c>
      <c r="HG237" s="479" t="str">
        <f ca="1">IF(OR(HG$169&lt;SwaptionFirstMonthPosition+1,$FJ237&lt;SwaptionFirstMonthPosition+1,HG$169&gt;SwaptionFirstMonthPosition+SwaptionNumOfMonths+1,$FJ237&gt;SwaptionFirstMonthPosition+SwaptionNumOfMonths+1),"",IF($FJ237=HG$169,1,IF($FJ237&lt;HG$169,INDEX($FK$170:$ID$241,HG$169,$FJ237),SUMPRODUCT(INDEX($FK$325:$ID$396,HG$169,1+SwaptionShift):INDEX($FK$325:$ID$396,HG$169,SwaptionMonthsToGo+SwaptionShift),INDEX($FK$245:$ID$316,$FJ237-HG$169,73-HG$169+SwaptionShift):INDEX($FK$245:$ID$316,$FJ237-HG$169,72-HG$169+SwaptionMonthsToGo+SwaptionShift))/SQRT(SUM(INDEX($FK392:$ID392,1+SwaptionShift):INDEX($FK392:$ID392,SwaptionMonthsToGo+SwaptionShift))*SUM(INDEX($FK$325:$ID$396,HG$169,1+SwaptionShift):INDEX($FK$325:$ID$396,HG$169,SwaptionMonthsToGo+SwaptionShift))))))</f>
        <v/>
      </c>
      <c r="HH237" s="479" t="str">
        <f ca="1">IF(OR(HH$169&lt;SwaptionFirstMonthPosition+1,$FJ237&lt;SwaptionFirstMonthPosition+1,HH$169&gt;SwaptionFirstMonthPosition+SwaptionNumOfMonths+1,$FJ237&gt;SwaptionFirstMonthPosition+SwaptionNumOfMonths+1),"",IF($FJ237=HH$169,1,IF($FJ237&lt;HH$169,INDEX($FK$170:$ID$241,HH$169,$FJ237),SUMPRODUCT(INDEX($FK$325:$ID$396,HH$169,1+SwaptionShift):INDEX($FK$325:$ID$396,HH$169,SwaptionMonthsToGo+SwaptionShift),INDEX($FK$245:$ID$316,$FJ237-HH$169,73-HH$169+SwaptionShift):INDEX($FK$245:$ID$316,$FJ237-HH$169,72-HH$169+SwaptionMonthsToGo+SwaptionShift))/SQRT(SUM(INDEX($FK392:$ID392,1+SwaptionShift):INDEX($FK392:$ID392,SwaptionMonthsToGo+SwaptionShift))*SUM(INDEX($FK$325:$ID$396,HH$169,1+SwaptionShift):INDEX($FK$325:$ID$396,HH$169,SwaptionMonthsToGo+SwaptionShift))))))</f>
        <v/>
      </c>
      <c r="HI237" s="479" t="str">
        <f ca="1">IF(OR(HI$169&lt;SwaptionFirstMonthPosition+1,$FJ237&lt;SwaptionFirstMonthPosition+1,HI$169&gt;SwaptionFirstMonthPosition+SwaptionNumOfMonths+1,$FJ237&gt;SwaptionFirstMonthPosition+SwaptionNumOfMonths+1),"",IF($FJ237=HI$169,1,IF($FJ237&lt;HI$169,INDEX($FK$170:$ID$241,HI$169,$FJ237),SUMPRODUCT(INDEX($FK$325:$ID$396,HI$169,1+SwaptionShift):INDEX($FK$325:$ID$396,HI$169,SwaptionMonthsToGo+SwaptionShift),INDEX($FK$245:$ID$316,$FJ237-HI$169,73-HI$169+SwaptionShift):INDEX($FK$245:$ID$316,$FJ237-HI$169,72-HI$169+SwaptionMonthsToGo+SwaptionShift))/SQRT(SUM(INDEX($FK392:$ID392,1+SwaptionShift):INDEX($FK392:$ID392,SwaptionMonthsToGo+SwaptionShift))*SUM(INDEX($FK$325:$ID$396,HI$169,1+SwaptionShift):INDEX($FK$325:$ID$396,HI$169,SwaptionMonthsToGo+SwaptionShift))))))</f>
        <v/>
      </c>
      <c r="HJ237" s="479" t="str">
        <f ca="1">IF(OR(HJ$169&lt;SwaptionFirstMonthPosition+1,$FJ237&lt;SwaptionFirstMonthPosition+1,HJ$169&gt;SwaptionFirstMonthPosition+SwaptionNumOfMonths+1,$FJ237&gt;SwaptionFirstMonthPosition+SwaptionNumOfMonths+1),"",IF($FJ237=HJ$169,1,IF($FJ237&lt;HJ$169,INDEX($FK$170:$ID$241,HJ$169,$FJ237),SUMPRODUCT(INDEX($FK$325:$ID$396,HJ$169,1+SwaptionShift):INDEX($FK$325:$ID$396,HJ$169,SwaptionMonthsToGo+SwaptionShift),INDEX($FK$245:$ID$316,$FJ237-HJ$169,73-HJ$169+SwaptionShift):INDEX($FK$245:$ID$316,$FJ237-HJ$169,72-HJ$169+SwaptionMonthsToGo+SwaptionShift))/SQRT(SUM(INDEX($FK392:$ID392,1+SwaptionShift):INDEX($FK392:$ID392,SwaptionMonthsToGo+SwaptionShift))*SUM(INDEX($FK$325:$ID$396,HJ$169,1+SwaptionShift):INDEX($FK$325:$ID$396,HJ$169,SwaptionMonthsToGo+SwaptionShift))))))</f>
        <v/>
      </c>
      <c r="HK237" s="479" t="str">
        <f ca="1">IF(OR(HK$169&lt;SwaptionFirstMonthPosition+1,$FJ237&lt;SwaptionFirstMonthPosition+1,HK$169&gt;SwaptionFirstMonthPosition+SwaptionNumOfMonths+1,$FJ237&gt;SwaptionFirstMonthPosition+SwaptionNumOfMonths+1),"",IF($FJ237=HK$169,1,IF($FJ237&lt;HK$169,INDEX($FK$170:$ID$241,HK$169,$FJ237),SUMPRODUCT(INDEX($FK$325:$ID$396,HK$169,1+SwaptionShift):INDEX($FK$325:$ID$396,HK$169,SwaptionMonthsToGo+SwaptionShift),INDEX($FK$245:$ID$316,$FJ237-HK$169,73-HK$169+SwaptionShift):INDEX($FK$245:$ID$316,$FJ237-HK$169,72-HK$169+SwaptionMonthsToGo+SwaptionShift))/SQRT(SUM(INDEX($FK392:$ID392,1+SwaptionShift):INDEX($FK392:$ID392,SwaptionMonthsToGo+SwaptionShift))*SUM(INDEX($FK$325:$ID$396,HK$169,1+SwaptionShift):INDEX($FK$325:$ID$396,HK$169,SwaptionMonthsToGo+SwaptionShift))))))</f>
        <v/>
      </c>
      <c r="HL237" s="479" t="str">
        <f ca="1">IF(OR(HL$169&lt;SwaptionFirstMonthPosition+1,$FJ237&lt;SwaptionFirstMonthPosition+1,HL$169&gt;SwaptionFirstMonthPosition+SwaptionNumOfMonths+1,$FJ237&gt;SwaptionFirstMonthPosition+SwaptionNumOfMonths+1),"",IF($FJ237=HL$169,1,IF($FJ237&lt;HL$169,INDEX($FK$170:$ID$241,HL$169,$FJ237),SUMPRODUCT(INDEX($FK$325:$ID$396,HL$169,1+SwaptionShift):INDEX($FK$325:$ID$396,HL$169,SwaptionMonthsToGo+SwaptionShift),INDEX($FK$245:$ID$316,$FJ237-HL$169,73-HL$169+SwaptionShift):INDEX($FK$245:$ID$316,$FJ237-HL$169,72-HL$169+SwaptionMonthsToGo+SwaptionShift))/SQRT(SUM(INDEX($FK392:$ID392,1+SwaptionShift):INDEX($FK392:$ID392,SwaptionMonthsToGo+SwaptionShift))*SUM(INDEX($FK$325:$ID$396,HL$169,1+SwaptionShift):INDEX($FK$325:$ID$396,HL$169,SwaptionMonthsToGo+SwaptionShift))))))</f>
        <v/>
      </c>
      <c r="HM237" s="479" t="str">
        <f ca="1">IF(OR(HM$169&lt;SwaptionFirstMonthPosition+1,$FJ237&lt;SwaptionFirstMonthPosition+1,HM$169&gt;SwaptionFirstMonthPosition+SwaptionNumOfMonths+1,$FJ237&gt;SwaptionFirstMonthPosition+SwaptionNumOfMonths+1),"",IF($FJ237=HM$169,1,IF($FJ237&lt;HM$169,INDEX($FK$170:$ID$241,HM$169,$FJ237),SUMPRODUCT(INDEX($FK$325:$ID$396,HM$169,1+SwaptionShift):INDEX($FK$325:$ID$396,HM$169,SwaptionMonthsToGo+SwaptionShift),INDEX($FK$245:$ID$316,$FJ237-HM$169,73-HM$169+SwaptionShift):INDEX($FK$245:$ID$316,$FJ237-HM$169,72-HM$169+SwaptionMonthsToGo+SwaptionShift))/SQRT(SUM(INDEX($FK392:$ID392,1+SwaptionShift):INDEX($FK392:$ID392,SwaptionMonthsToGo+SwaptionShift))*SUM(INDEX($FK$325:$ID$396,HM$169,1+SwaptionShift):INDEX($FK$325:$ID$396,HM$169,SwaptionMonthsToGo+SwaptionShift))))))</f>
        <v/>
      </c>
      <c r="HN237" s="479" t="str">
        <f ca="1">IF(OR(HN$169&lt;SwaptionFirstMonthPosition+1,$FJ237&lt;SwaptionFirstMonthPosition+1,HN$169&gt;SwaptionFirstMonthPosition+SwaptionNumOfMonths+1,$FJ237&gt;SwaptionFirstMonthPosition+SwaptionNumOfMonths+1),"",IF($FJ237=HN$169,1,IF($FJ237&lt;HN$169,INDEX($FK$170:$ID$241,HN$169,$FJ237),SUMPRODUCT(INDEX($FK$325:$ID$396,HN$169,1+SwaptionShift):INDEX($FK$325:$ID$396,HN$169,SwaptionMonthsToGo+SwaptionShift),INDEX($FK$245:$ID$316,$FJ237-HN$169,73-HN$169+SwaptionShift):INDEX($FK$245:$ID$316,$FJ237-HN$169,72-HN$169+SwaptionMonthsToGo+SwaptionShift))/SQRT(SUM(INDEX($FK392:$ID392,1+SwaptionShift):INDEX($FK392:$ID392,SwaptionMonthsToGo+SwaptionShift))*SUM(INDEX($FK$325:$ID$396,HN$169,1+SwaptionShift):INDEX($FK$325:$ID$396,HN$169,SwaptionMonthsToGo+SwaptionShift))))))</f>
        <v/>
      </c>
      <c r="HO237" s="479" t="str">
        <f ca="1">IF(OR(HO$169&lt;SwaptionFirstMonthPosition+1,$FJ237&lt;SwaptionFirstMonthPosition+1,HO$169&gt;SwaptionFirstMonthPosition+SwaptionNumOfMonths+1,$FJ237&gt;SwaptionFirstMonthPosition+SwaptionNumOfMonths+1),"",IF($FJ237=HO$169,1,IF($FJ237&lt;HO$169,INDEX($FK$170:$ID$241,HO$169,$FJ237),SUMPRODUCT(INDEX($FK$325:$ID$396,HO$169,1+SwaptionShift):INDEX($FK$325:$ID$396,HO$169,SwaptionMonthsToGo+SwaptionShift),INDEX($FK$245:$ID$316,$FJ237-HO$169,73-HO$169+SwaptionShift):INDEX($FK$245:$ID$316,$FJ237-HO$169,72-HO$169+SwaptionMonthsToGo+SwaptionShift))/SQRT(SUM(INDEX($FK392:$ID392,1+SwaptionShift):INDEX($FK392:$ID392,SwaptionMonthsToGo+SwaptionShift))*SUM(INDEX($FK$325:$ID$396,HO$169,1+SwaptionShift):INDEX($FK$325:$ID$396,HO$169,SwaptionMonthsToGo+SwaptionShift))))))</f>
        <v/>
      </c>
      <c r="HP237" s="479" t="str">
        <f ca="1">IF(OR(HP$169&lt;SwaptionFirstMonthPosition+1,$FJ237&lt;SwaptionFirstMonthPosition+1,HP$169&gt;SwaptionFirstMonthPosition+SwaptionNumOfMonths+1,$FJ237&gt;SwaptionFirstMonthPosition+SwaptionNumOfMonths+1),"",IF($FJ237=HP$169,1,IF($FJ237&lt;HP$169,INDEX($FK$170:$ID$241,HP$169,$FJ237),SUMPRODUCT(INDEX($FK$325:$ID$396,HP$169,1+SwaptionShift):INDEX($FK$325:$ID$396,HP$169,SwaptionMonthsToGo+SwaptionShift),INDEX($FK$245:$ID$316,$FJ237-HP$169,73-HP$169+SwaptionShift):INDEX($FK$245:$ID$316,$FJ237-HP$169,72-HP$169+SwaptionMonthsToGo+SwaptionShift))/SQRT(SUM(INDEX($FK392:$ID392,1+SwaptionShift):INDEX($FK392:$ID392,SwaptionMonthsToGo+SwaptionShift))*SUM(INDEX($FK$325:$ID$396,HP$169,1+SwaptionShift):INDEX($FK$325:$ID$396,HP$169,SwaptionMonthsToGo+SwaptionShift))))))</f>
        <v/>
      </c>
      <c r="HQ237" s="479" t="str">
        <f ca="1">IF(OR(HQ$169&lt;SwaptionFirstMonthPosition+1,$FJ237&lt;SwaptionFirstMonthPosition+1,HQ$169&gt;SwaptionFirstMonthPosition+SwaptionNumOfMonths+1,$FJ237&gt;SwaptionFirstMonthPosition+SwaptionNumOfMonths+1),"",IF($FJ237=HQ$169,1,IF($FJ237&lt;HQ$169,INDEX($FK$170:$ID$241,HQ$169,$FJ237),SUMPRODUCT(INDEX($FK$325:$ID$396,HQ$169,1+SwaptionShift):INDEX($FK$325:$ID$396,HQ$169,SwaptionMonthsToGo+SwaptionShift),INDEX($FK$245:$ID$316,$FJ237-HQ$169,73-HQ$169+SwaptionShift):INDEX($FK$245:$ID$316,$FJ237-HQ$169,72-HQ$169+SwaptionMonthsToGo+SwaptionShift))/SQRT(SUM(INDEX($FK392:$ID392,1+SwaptionShift):INDEX($FK392:$ID392,SwaptionMonthsToGo+SwaptionShift))*SUM(INDEX($FK$325:$ID$396,HQ$169,1+SwaptionShift):INDEX($FK$325:$ID$396,HQ$169,SwaptionMonthsToGo+SwaptionShift))))))</f>
        <v/>
      </c>
      <c r="HR237" s="479" t="str">
        <f ca="1">IF(OR(HR$169&lt;SwaptionFirstMonthPosition+1,$FJ237&lt;SwaptionFirstMonthPosition+1,HR$169&gt;SwaptionFirstMonthPosition+SwaptionNumOfMonths+1,$FJ237&gt;SwaptionFirstMonthPosition+SwaptionNumOfMonths+1),"",IF($FJ237=HR$169,1,IF($FJ237&lt;HR$169,INDEX($FK$170:$ID$241,HR$169,$FJ237),SUMPRODUCT(INDEX($FK$325:$ID$396,HR$169,1+SwaptionShift):INDEX($FK$325:$ID$396,HR$169,SwaptionMonthsToGo+SwaptionShift),INDEX($FK$245:$ID$316,$FJ237-HR$169,73-HR$169+SwaptionShift):INDEX($FK$245:$ID$316,$FJ237-HR$169,72-HR$169+SwaptionMonthsToGo+SwaptionShift))/SQRT(SUM(INDEX($FK392:$ID392,1+SwaptionShift):INDEX($FK392:$ID392,SwaptionMonthsToGo+SwaptionShift))*SUM(INDEX($FK$325:$ID$396,HR$169,1+SwaptionShift):INDEX($FK$325:$ID$396,HR$169,SwaptionMonthsToGo+SwaptionShift))))))</f>
        <v/>
      </c>
      <c r="HS237" s="479" t="str">
        <f ca="1">IF(OR(HS$169&lt;SwaptionFirstMonthPosition+1,$FJ237&lt;SwaptionFirstMonthPosition+1,HS$169&gt;SwaptionFirstMonthPosition+SwaptionNumOfMonths+1,$FJ237&gt;SwaptionFirstMonthPosition+SwaptionNumOfMonths+1),"",IF($FJ237=HS$169,1,IF($FJ237&lt;HS$169,INDEX($FK$170:$ID$241,HS$169,$FJ237),SUMPRODUCT(INDEX($FK$325:$ID$396,HS$169,1+SwaptionShift):INDEX($FK$325:$ID$396,HS$169,SwaptionMonthsToGo+SwaptionShift),INDEX($FK$245:$ID$316,$FJ237-HS$169,73-HS$169+SwaptionShift):INDEX($FK$245:$ID$316,$FJ237-HS$169,72-HS$169+SwaptionMonthsToGo+SwaptionShift))/SQRT(SUM(INDEX($FK392:$ID392,1+SwaptionShift):INDEX($FK392:$ID392,SwaptionMonthsToGo+SwaptionShift))*SUM(INDEX($FK$325:$ID$396,HS$169,1+SwaptionShift):INDEX($FK$325:$ID$396,HS$169,SwaptionMonthsToGo+SwaptionShift))))))</f>
        <v/>
      </c>
      <c r="HT237" s="479" t="str">
        <f ca="1">IF(OR(HT$169&lt;SwaptionFirstMonthPosition+1,$FJ237&lt;SwaptionFirstMonthPosition+1,HT$169&gt;SwaptionFirstMonthPosition+SwaptionNumOfMonths+1,$FJ237&gt;SwaptionFirstMonthPosition+SwaptionNumOfMonths+1),"",IF($FJ237=HT$169,1,IF($FJ237&lt;HT$169,INDEX($FK$170:$ID$241,HT$169,$FJ237),SUMPRODUCT(INDEX($FK$325:$ID$396,HT$169,1+SwaptionShift):INDEX($FK$325:$ID$396,HT$169,SwaptionMonthsToGo+SwaptionShift),INDEX($FK$245:$ID$316,$FJ237-HT$169,73-HT$169+SwaptionShift):INDEX($FK$245:$ID$316,$FJ237-HT$169,72-HT$169+SwaptionMonthsToGo+SwaptionShift))/SQRT(SUM(INDEX($FK392:$ID392,1+SwaptionShift):INDEX($FK392:$ID392,SwaptionMonthsToGo+SwaptionShift))*SUM(INDEX($FK$325:$ID$396,HT$169,1+SwaptionShift):INDEX($FK$325:$ID$396,HT$169,SwaptionMonthsToGo+SwaptionShift))))))</f>
        <v/>
      </c>
      <c r="HU237" s="479" t="str">
        <f ca="1">IF(OR(HU$169&lt;SwaptionFirstMonthPosition+1,$FJ237&lt;SwaptionFirstMonthPosition+1,HU$169&gt;SwaptionFirstMonthPosition+SwaptionNumOfMonths+1,$FJ237&gt;SwaptionFirstMonthPosition+SwaptionNumOfMonths+1),"",IF($FJ237=HU$169,1,IF($FJ237&lt;HU$169,INDEX($FK$170:$ID$241,HU$169,$FJ237),SUMPRODUCT(INDEX($FK$325:$ID$396,HU$169,1+SwaptionShift):INDEX($FK$325:$ID$396,HU$169,SwaptionMonthsToGo+SwaptionShift),INDEX($FK$245:$ID$316,$FJ237-HU$169,73-HU$169+SwaptionShift):INDEX($FK$245:$ID$316,$FJ237-HU$169,72-HU$169+SwaptionMonthsToGo+SwaptionShift))/SQRT(SUM(INDEX($FK392:$ID392,1+SwaptionShift):INDEX($FK392:$ID392,SwaptionMonthsToGo+SwaptionShift))*SUM(INDEX($FK$325:$ID$396,HU$169,1+SwaptionShift):INDEX($FK$325:$ID$396,HU$169,SwaptionMonthsToGo+SwaptionShift))))))</f>
        <v/>
      </c>
      <c r="HV237" s="479" t="str">
        <f ca="1">IF(OR(HV$169&lt;SwaptionFirstMonthPosition+1,$FJ237&lt;SwaptionFirstMonthPosition+1,HV$169&gt;SwaptionFirstMonthPosition+SwaptionNumOfMonths+1,$FJ237&gt;SwaptionFirstMonthPosition+SwaptionNumOfMonths+1),"",IF($FJ237=HV$169,1,IF($FJ237&lt;HV$169,INDEX($FK$170:$ID$241,HV$169,$FJ237),SUMPRODUCT(INDEX($FK$325:$ID$396,HV$169,1+SwaptionShift):INDEX($FK$325:$ID$396,HV$169,SwaptionMonthsToGo+SwaptionShift),INDEX($FK$245:$ID$316,$FJ237-HV$169,73-HV$169+SwaptionShift):INDEX($FK$245:$ID$316,$FJ237-HV$169,72-HV$169+SwaptionMonthsToGo+SwaptionShift))/SQRT(SUM(INDEX($FK392:$ID392,1+SwaptionShift):INDEX($FK392:$ID392,SwaptionMonthsToGo+SwaptionShift))*SUM(INDEX($FK$325:$ID$396,HV$169,1+SwaptionShift):INDEX($FK$325:$ID$396,HV$169,SwaptionMonthsToGo+SwaptionShift))))))</f>
        <v/>
      </c>
      <c r="HW237" s="479" t="str">
        <f ca="1">IF(OR(HW$169&lt;SwaptionFirstMonthPosition+1,$FJ237&lt;SwaptionFirstMonthPosition+1,HW$169&gt;SwaptionFirstMonthPosition+SwaptionNumOfMonths+1,$FJ237&gt;SwaptionFirstMonthPosition+SwaptionNumOfMonths+1),"",IF($FJ237=HW$169,1,IF($FJ237&lt;HW$169,INDEX($FK$170:$ID$241,HW$169,$FJ237),SUMPRODUCT(INDEX($FK$325:$ID$396,HW$169,1+SwaptionShift):INDEX($FK$325:$ID$396,HW$169,SwaptionMonthsToGo+SwaptionShift),INDEX($FK$245:$ID$316,$FJ237-HW$169,73-HW$169+SwaptionShift):INDEX($FK$245:$ID$316,$FJ237-HW$169,72-HW$169+SwaptionMonthsToGo+SwaptionShift))/SQRT(SUM(INDEX($FK392:$ID392,1+SwaptionShift):INDEX($FK392:$ID392,SwaptionMonthsToGo+SwaptionShift))*SUM(INDEX($FK$325:$ID$396,HW$169,1+SwaptionShift):INDEX($FK$325:$ID$396,HW$169,SwaptionMonthsToGo+SwaptionShift))))))</f>
        <v/>
      </c>
      <c r="HX237" s="479" t="str">
        <f ca="1">IF(OR(HX$169&lt;SwaptionFirstMonthPosition+1,$FJ237&lt;SwaptionFirstMonthPosition+1,HX$169&gt;SwaptionFirstMonthPosition+SwaptionNumOfMonths+1,$FJ237&gt;SwaptionFirstMonthPosition+SwaptionNumOfMonths+1),"",IF($FJ237=HX$169,1,IF($FJ237&lt;HX$169,INDEX($FK$170:$ID$241,HX$169,$FJ237),SUMPRODUCT(INDEX($FK$325:$ID$396,HX$169,1+SwaptionShift):INDEX($FK$325:$ID$396,HX$169,SwaptionMonthsToGo+SwaptionShift),INDEX($FK$245:$ID$316,$FJ237-HX$169,73-HX$169+SwaptionShift):INDEX($FK$245:$ID$316,$FJ237-HX$169,72-HX$169+SwaptionMonthsToGo+SwaptionShift))/SQRT(SUM(INDEX($FK392:$ID392,1+SwaptionShift):INDEX($FK392:$ID392,SwaptionMonthsToGo+SwaptionShift))*SUM(INDEX($FK$325:$ID$396,HX$169,1+SwaptionShift):INDEX($FK$325:$ID$396,HX$169,SwaptionMonthsToGo+SwaptionShift))))))</f>
        <v/>
      </c>
      <c r="HY237" s="479" t="str">
        <f ca="1">IF(OR(HY$169&lt;SwaptionFirstMonthPosition+1,$FJ237&lt;SwaptionFirstMonthPosition+1,HY$169&gt;SwaptionFirstMonthPosition+SwaptionNumOfMonths+1,$FJ237&gt;SwaptionFirstMonthPosition+SwaptionNumOfMonths+1),"",IF($FJ237=HY$169,1,IF($FJ237&lt;HY$169,INDEX($FK$170:$ID$241,HY$169,$FJ237),SUMPRODUCT(INDEX($FK$325:$ID$396,HY$169,1+SwaptionShift):INDEX($FK$325:$ID$396,HY$169,SwaptionMonthsToGo+SwaptionShift),INDEX($FK$245:$ID$316,$FJ237-HY$169,73-HY$169+SwaptionShift):INDEX($FK$245:$ID$316,$FJ237-HY$169,72-HY$169+SwaptionMonthsToGo+SwaptionShift))/SQRT(SUM(INDEX($FK392:$ID392,1+SwaptionShift):INDEX($FK392:$ID392,SwaptionMonthsToGo+SwaptionShift))*SUM(INDEX($FK$325:$ID$396,HY$169,1+SwaptionShift):INDEX($FK$325:$ID$396,HY$169,SwaptionMonthsToGo+SwaptionShift))))))</f>
        <v/>
      </c>
      <c r="HZ237" s="479" t="str">
        <f ca="1">IF(OR(HZ$169&lt;SwaptionFirstMonthPosition+1,$FJ237&lt;SwaptionFirstMonthPosition+1,HZ$169&gt;SwaptionFirstMonthPosition+SwaptionNumOfMonths+1,$FJ237&gt;SwaptionFirstMonthPosition+SwaptionNumOfMonths+1),"",IF($FJ237=HZ$169,1,IF($FJ237&lt;HZ$169,INDEX($FK$170:$ID$241,HZ$169,$FJ237),SUMPRODUCT(INDEX($FK$325:$ID$396,HZ$169,1+SwaptionShift):INDEX($FK$325:$ID$396,HZ$169,SwaptionMonthsToGo+SwaptionShift),INDEX($FK$245:$ID$316,$FJ237-HZ$169,73-HZ$169+SwaptionShift):INDEX($FK$245:$ID$316,$FJ237-HZ$169,72-HZ$169+SwaptionMonthsToGo+SwaptionShift))/SQRT(SUM(INDEX($FK392:$ID392,1+SwaptionShift):INDEX($FK392:$ID392,SwaptionMonthsToGo+SwaptionShift))*SUM(INDEX($FK$325:$ID$396,HZ$169,1+SwaptionShift):INDEX($FK$325:$ID$396,HZ$169,SwaptionMonthsToGo+SwaptionShift))))))</f>
        <v/>
      </c>
      <c r="IA237" s="479" t="str">
        <f ca="1">IF(OR(IA$169&lt;SwaptionFirstMonthPosition+1,$FJ237&lt;SwaptionFirstMonthPosition+1,IA$169&gt;SwaptionFirstMonthPosition+SwaptionNumOfMonths+1,$FJ237&gt;SwaptionFirstMonthPosition+SwaptionNumOfMonths+1),"",IF($FJ237=IA$169,1,IF($FJ237&lt;IA$169,INDEX($FK$170:$ID$241,IA$169,$FJ237),SUMPRODUCT(INDEX($FK$325:$ID$396,IA$169,1+SwaptionShift):INDEX($FK$325:$ID$396,IA$169,SwaptionMonthsToGo+SwaptionShift),INDEX($FK$245:$ID$316,$FJ237-IA$169,73-IA$169+SwaptionShift):INDEX($FK$245:$ID$316,$FJ237-IA$169,72-IA$169+SwaptionMonthsToGo+SwaptionShift))/SQRT(SUM(INDEX($FK392:$ID392,1+SwaptionShift):INDEX($FK392:$ID392,SwaptionMonthsToGo+SwaptionShift))*SUM(INDEX($FK$325:$ID$396,IA$169,1+SwaptionShift):INDEX($FK$325:$ID$396,IA$169,SwaptionMonthsToGo+SwaptionShift))))))</f>
        <v/>
      </c>
      <c r="IB237" s="479" t="str">
        <f ca="1">IF(OR(IB$169&lt;SwaptionFirstMonthPosition+1,$FJ237&lt;SwaptionFirstMonthPosition+1,IB$169&gt;SwaptionFirstMonthPosition+SwaptionNumOfMonths+1,$FJ237&gt;SwaptionFirstMonthPosition+SwaptionNumOfMonths+1),"",IF($FJ237=IB$169,1,IF($FJ237&lt;IB$169,INDEX($FK$170:$ID$241,IB$169,$FJ237),SUMPRODUCT(INDEX($FK$325:$ID$396,IB$169,1+SwaptionShift):INDEX($FK$325:$ID$396,IB$169,SwaptionMonthsToGo+SwaptionShift),INDEX($FK$245:$ID$316,$FJ237-IB$169,73-IB$169+SwaptionShift):INDEX($FK$245:$ID$316,$FJ237-IB$169,72-IB$169+SwaptionMonthsToGo+SwaptionShift))/SQRT(SUM(INDEX($FK392:$ID392,1+SwaptionShift):INDEX($FK392:$ID392,SwaptionMonthsToGo+SwaptionShift))*SUM(INDEX($FK$325:$ID$396,IB$169,1+SwaptionShift):INDEX($FK$325:$ID$396,IB$169,SwaptionMonthsToGo+SwaptionShift))))))</f>
        <v/>
      </c>
      <c r="IC237" s="479" t="str">
        <f ca="1">IF(OR(IC$169&lt;SwaptionFirstMonthPosition+1,$FJ237&lt;SwaptionFirstMonthPosition+1,IC$169&gt;SwaptionFirstMonthPosition+SwaptionNumOfMonths+1,$FJ237&gt;SwaptionFirstMonthPosition+SwaptionNumOfMonths+1),"",IF($FJ237=IC$169,1,IF($FJ237&lt;IC$169,INDEX($FK$170:$ID$241,IC$169,$FJ237),SUMPRODUCT(INDEX($FK$325:$ID$396,IC$169,1+SwaptionShift):INDEX($FK$325:$ID$396,IC$169,SwaptionMonthsToGo+SwaptionShift),INDEX($FK$245:$ID$316,$FJ237-IC$169,73-IC$169+SwaptionShift):INDEX($FK$245:$ID$316,$FJ237-IC$169,72-IC$169+SwaptionMonthsToGo+SwaptionShift))/SQRT(SUM(INDEX($FK392:$ID392,1+SwaptionShift):INDEX($FK392:$ID392,SwaptionMonthsToGo+SwaptionShift))*SUM(INDEX($FK$325:$ID$396,IC$169,1+SwaptionShift):INDEX($FK$325:$ID$396,IC$169,SwaptionMonthsToGo+SwaptionShift))))))</f>
        <v/>
      </c>
      <c r="ID237" s="678" t="str">
        <f ca="1">IF(OR(ID$169&lt;SwaptionFirstMonthPosition+1,$FJ237&lt;SwaptionFirstMonthPosition+1,ID$169&gt;SwaptionFirstMonthPosition+SwaptionNumOfMonths+1,$FJ237&gt;SwaptionFirstMonthPosition+SwaptionNumOfMonths+1),"",IF($FJ237=ID$169,1,IF($FJ237&lt;ID$169,INDEX($FK$170:$ID$241,ID$169,$FJ237),SUMPRODUCT(INDEX($FK$325:$ID$396,ID$169,1+SwaptionShift):INDEX($FK$325:$ID$396,ID$169,SwaptionMonthsToGo+SwaptionShift),INDEX($FK$245:$ID$316,$FJ237-ID$169,73-ID$169+SwaptionShift):INDEX($FK$245:$ID$316,$FJ237-ID$169,72-ID$169+SwaptionMonthsToGo+SwaptionShift))/SQRT(SUM(INDEX($FK392:$ID392,1+SwaptionShift):INDEX($FK392:$ID392,SwaptionMonthsToGo+SwaptionShift))*SUM(INDEX($FK$325:$ID$396,ID$169,1+SwaptionShift):INDEX($FK$325:$ID$396,ID$169,SwaptionMonthsToGo+SwaptionShift))))))</f>
        <v/>
      </c>
      <c r="IE237" s="250"/>
    </row>
    <row r="238" spans="8:239">
      <c r="H238" s="51">
        <f t="shared" ca="1" si="646"/>
        <v>0</v>
      </c>
      <c r="I238" s="379">
        <f t="shared" si="647"/>
        <v>43405</v>
      </c>
      <c r="J238" s="377"/>
      <c r="K238" s="104" t="s">
        <v>268</v>
      </c>
      <c r="L238" s="392">
        <f t="shared" si="648"/>
        <v>5.324999999999994</v>
      </c>
      <c r="M238" s="171"/>
      <c r="N238" s="382">
        <v>0</v>
      </c>
      <c r="O238" s="171">
        <f t="shared" si="596"/>
        <v>0</v>
      </c>
      <c r="P238" s="377"/>
      <c r="Q238" s="104" t="s">
        <v>268</v>
      </c>
      <c r="R238" s="377">
        <f t="shared" ca="1" si="597"/>
        <v>4.121637036907229</v>
      </c>
      <c r="S238" s="832">
        <f t="shared" si="671"/>
        <v>0.3600000000000001</v>
      </c>
      <c r="T238" s="831">
        <f t="shared" si="661"/>
        <v>0.99999999999999933</v>
      </c>
      <c r="U238" s="545">
        <f t="shared" si="662"/>
        <v>0.99999999999999978</v>
      </c>
      <c r="V238" s="389">
        <v>0</v>
      </c>
      <c r="W238" s="434">
        <f t="shared" si="598"/>
        <v>0</v>
      </c>
      <c r="X238" s="415">
        <f t="shared" si="599"/>
        <v>5.3761363636363564</v>
      </c>
      <c r="Y238" s="322">
        <f t="shared" si="600"/>
        <v>-1.1931</v>
      </c>
      <c r="Z238" s="322">
        <f t="shared" ca="1" si="601"/>
        <v>4.1830363636363561</v>
      </c>
      <c r="AA238" s="429">
        <f t="shared" si="628"/>
        <v>1.1931</v>
      </c>
      <c r="AB238" s="433">
        <f t="shared" ca="1" si="629"/>
        <v>1.1931</v>
      </c>
      <c r="AC238" s="229">
        <v>43393</v>
      </c>
      <c r="AD238" s="229">
        <v>43389</v>
      </c>
      <c r="AE238" s="229">
        <v>43388</v>
      </c>
      <c r="AF238" s="229">
        <v>43384</v>
      </c>
      <c r="AG238" s="249" t="s">
        <v>499</v>
      </c>
      <c r="AH238" s="247" t="s">
        <v>499</v>
      </c>
      <c r="AI238" s="146">
        <v>22</v>
      </c>
      <c r="AJ238" s="41">
        <v>14</v>
      </c>
      <c r="AK238" s="41">
        <v>8</v>
      </c>
      <c r="AL238" s="293">
        <v>22</v>
      </c>
      <c r="AM238" s="41">
        <v>10</v>
      </c>
      <c r="AN238" s="147">
        <v>12</v>
      </c>
      <c r="AO238" s="374"/>
      <c r="AP238" s="153">
        <f t="shared" ca="1" si="649"/>
        <v>1</v>
      </c>
      <c r="AQ238" s="374"/>
      <c r="AR238" s="153">
        <f t="shared" ca="1" si="663"/>
        <v>1</v>
      </c>
      <c r="AS238" s="272">
        <f t="shared" si="602"/>
        <v>0</v>
      </c>
      <c r="AT238" s="157">
        <f t="shared" si="650"/>
        <v>0</v>
      </c>
      <c r="AU238" s="157">
        <f t="shared" si="630"/>
        <v>0</v>
      </c>
      <c r="AV238" s="271">
        <f t="shared" ca="1" si="670"/>
        <v>9.9999999999999995E-7</v>
      </c>
      <c r="AW238" s="158" t="str">
        <f t="shared" ca="1" si="583"/>
        <v/>
      </c>
      <c r="AX238" s="157">
        <f t="shared" ca="1" si="664"/>
        <v>1.6195071354527254E-5</v>
      </c>
      <c r="AY238" s="157">
        <f t="shared" ca="1" si="665"/>
        <v>2.9293133857775197E-6</v>
      </c>
      <c r="AZ238" s="157">
        <f t="shared" ca="1" si="666"/>
        <v>4.9671497854846017E-8</v>
      </c>
      <c r="BA238" s="157">
        <f t="shared" ca="1" si="667"/>
        <v>6.2089372318557521E-9</v>
      </c>
      <c r="BB238" s="157">
        <f t="shared" ca="1" si="668"/>
        <v>8.3795151254727643E-12</v>
      </c>
      <c r="BC238" s="157">
        <f t="shared" ca="1" si="669"/>
        <v>7.7101803098238835E-14</v>
      </c>
      <c r="BD238" s="151">
        <f t="shared" ca="1" si="603"/>
        <v>0</v>
      </c>
      <c r="BE238" s="152">
        <f t="shared" ca="1" si="604"/>
        <v>0</v>
      </c>
      <c r="BF238" s="40">
        <f t="shared" si="605"/>
        <v>2018</v>
      </c>
      <c r="BG238" s="144">
        <f t="shared" si="606"/>
        <v>11</v>
      </c>
      <c r="BH238" s="145">
        <f t="shared" ca="1" si="607"/>
        <v>6644</v>
      </c>
      <c r="BI238" s="313">
        <f t="shared" ca="1" si="608"/>
        <v>18.234086242299796</v>
      </c>
      <c r="BJ238" s="42">
        <f t="shared" ca="1" si="631"/>
        <v>18.284612034098686</v>
      </c>
      <c r="BK238" s="42">
        <f t="shared" ca="1" si="632"/>
        <v>18.287349884885817</v>
      </c>
      <c r="BL238" s="42">
        <f t="shared" ca="1" si="609"/>
        <v>18.313483915126625</v>
      </c>
      <c r="BM238" s="150" t="e">
        <f t="shared" ca="1" si="633"/>
        <v>#DIV/0!</v>
      </c>
      <c r="BN238" s="42" t="e">
        <f t="shared" ca="1" si="634"/>
        <v>#DIV/0!</v>
      </c>
      <c r="BO238" s="293">
        <f t="shared" si="610"/>
        <v>22</v>
      </c>
      <c r="BP238" s="41">
        <f t="shared" si="611"/>
        <v>14</v>
      </c>
      <c r="BQ238" s="41">
        <f t="shared" si="612"/>
        <v>8</v>
      </c>
      <c r="BR238" s="305" t="str">
        <f t="shared" ca="1" si="635"/>
        <v/>
      </c>
      <c r="BS238" s="305" t="str">
        <f t="shared" ca="1" si="613"/>
        <v/>
      </c>
      <c r="BT238" s="307" t="str">
        <f t="shared" ca="1" si="614"/>
        <v/>
      </c>
      <c r="BU238" s="161" t="str">
        <f t="shared" ca="1" si="636"/>
        <v/>
      </c>
      <c r="BV238" s="161" t="str">
        <f t="shared" ca="1" si="637"/>
        <v/>
      </c>
      <c r="BW238" s="308" t="str">
        <f t="shared" ca="1" si="638"/>
        <v/>
      </c>
      <c r="BX238" s="309" t="str">
        <f t="shared" ca="1" si="639"/>
        <v/>
      </c>
      <c r="BY238" s="308" t="str">
        <f t="shared" ca="1" si="615"/>
        <v/>
      </c>
      <c r="BZ238" s="309" t="str">
        <f t="shared" ca="1" si="616"/>
        <v/>
      </c>
      <c r="CA238" s="154" t="str">
        <f t="shared" ca="1" si="640"/>
        <v/>
      </c>
      <c r="CB238" s="154" t="str">
        <f t="shared" ca="1" si="641"/>
        <v/>
      </c>
      <c r="CC238" s="154" t="str">
        <f t="shared" ca="1" si="642"/>
        <v/>
      </c>
      <c r="CD238" s="154" t="str">
        <f t="shared" ca="1" si="643"/>
        <v/>
      </c>
      <c r="CE238" s="310">
        <v>1</v>
      </c>
      <c r="CF238" s="162">
        <f ca="1">IF(BD238,_xll.xCrudeAPO(BU238,BV238,CA238,CB238,S239,S240,BI238,BL238,BP238,BQ238,0,Strike1,AO238,CE238,0,BL238,IF(OptControl=4,0,1),0,1),0)</f>
        <v>0</v>
      </c>
      <c r="CG238" s="163">
        <f ca="1">IF(BD238,_xll.xCrudeAPO(BU238,BV238,CA238,CB238,S239,S240,BI238,BL238,BP238,BQ238,0,Strike1,AO238,CE238,0,BL238,IF(OptControl=4,0,1),1,1)+_xll.xCrudeAPO(BU238,BV238,CA238,CB238,S239,S240,BI238,BL238,BP238,BQ238,0,Strike1,AO238,CE238,0,BL238,IF(OptControl=4,0,1),1,2)+IF(OR(VolSkewFlag=2,ABS(BS238)&lt;0.0001),0,IF(BS238&gt;0,-1,1)*CH238*Strike1/BR238^2*BY238/10%),0)</f>
        <v>0</v>
      </c>
      <c r="CH238" s="163">
        <f ca="1">IF(BD238,(_xll.xCrudeAPO(BU238,BV238,CA238,CB238,S239,S240,BI238,BL238,BP238,BQ238,0,Strike1,AO238,CE238,0,BL238,IF(OptControl=4,0,1),3,1)+_xll.xCrudeAPO(BU238,BV238,CA238,CB238,S239,S240,BI238,BL238,BP238,BQ238,0,Strike1,AO238,CE238,0,BL238,IF(OptControl=4,0,1),3,2))/100,0)</f>
        <v>0</v>
      </c>
      <c r="CI238" s="163">
        <f ca="1">IF(BD238,_xll.xCrudeAPO(BU238,BV238,CA238,CB238,S239,S240,BI238-DaysForThetaCalculation/365.25,BL238-DaysForThetaCalculation/365.25,BP238,BQ238,0,Strike1,AO238,CE238,0,BL238,IF(OptControl=4,0,1),0,1)-_xll.xCrudeAPO(BU238,BV238,CA238,CB238,S239,S240,BI238,BL238,BP238,BQ238,0,Strike1,AO238,CE238,0,BL238,IF(OptControl=4,0,1),0,1),0)</f>
        <v>0</v>
      </c>
      <c r="CJ238" s="311">
        <f ca="1">IF(BD238,_xll.xCrudeAPO(BU238,BV238,CC238,CD238,S239,S240,BI238,BL238,BP238,BQ238,0,Strike2,AO238,CE238,0,BL238,IF(OptControl=3,1,0),0,1),0)</f>
        <v>0</v>
      </c>
      <c r="CK238" s="163">
        <f ca="1">IF(BD238,_xll.xCrudeAPO(BU238,BV238,CC238,CD238,S239,S240,BI238,BL238,BP238,BQ238,0,Strike2,AO238,CE238,0,BL238,IF(OptControl=3,1,0),1,1)+_xll.xCrudeAPO(BU238,BV238,CC238,CD238,S239,S240,BI238,BL238,BP238,BQ238,0,Strike2,AO238,CE238,0,BL238,IF(OptControl=3,1,0),1,2)+IF(OR(VolSkewFlag=2,ABS(BT238)&lt;0.0001),0,IF(BT238&gt;0,-1,1)*CL238*Strike2/BR238^2*BZ238/10%),0)</f>
        <v>0</v>
      </c>
      <c r="CL238" s="163">
        <f ca="1">IF(BD238,(_xll.xCrudeAPO(BU238,BV238,CC238,CD238,S239,S240,BI238,BL238,BP238,BQ238,0,Strike2,AO238,CE238,0,BL238,IF(OptControl=3,1,0),3,1)+_xll.xCrudeAPO(BU238,BV238,CC238,CD238,S239,S240,BI238,BL238,BP238,BQ238,0,Strike2,AO238,CE238,0,BL238,IF(OptControl=3,1,0),3,2))/100,0)</f>
        <v>0</v>
      </c>
      <c r="CM238" s="164">
        <f ca="1">IF(BD238,_xll.xCrudeAPO(BU238,BV238,CC238,CD238,S239,S240,BI238-DaysForThetaCalculation/365.25,BL238-DaysForThetaCalculation/365.25,BP238,BQ238,0,Strike2,AO238,CE238,0,BL238,IF(OptControl=3,1,0),0,1)-_xll.xCrudeAPO(BU238,BV238,CC238,CD238,S239,S240,BI238,BL238,BP238,BQ238,0,Strike2,AO238,CE238,0,BL238,IF(OptControl=3,1,0),0,1),0)</f>
        <v>0</v>
      </c>
      <c r="CN238" s="53"/>
      <c r="CO238" s="796" t="str">
        <f t="shared" ca="1" si="651"/>
        <v/>
      </c>
      <c r="CP238" s="800" t="str">
        <f t="shared" ca="1" si="652"/>
        <v/>
      </c>
      <c r="CQ238" s="797" t="str">
        <f t="shared" ca="1" si="653"/>
        <v/>
      </c>
      <c r="CR238" s="797" t="str">
        <f t="shared" ca="1" si="654"/>
        <v/>
      </c>
      <c r="CS238" s="797" t="str">
        <f t="shared" ca="1" si="655"/>
        <v/>
      </c>
      <c r="CT238" s="797" t="str">
        <f t="shared" ca="1" si="656"/>
        <v/>
      </c>
      <c r="CU238" s="798" t="str">
        <f t="shared" ca="1" si="657"/>
        <v/>
      </c>
      <c r="CV238" s="799" t="str">
        <f t="shared" ca="1" si="658"/>
        <v/>
      </c>
      <c r="CW238" s="799" t="str">
        <f t="shared" ca="1" si="659"/>
        <v/>
      </c>
      <c r="CX238" s="163">
        <f ca="1">IF(BD238,_xll.EURO(CP238,Strike1,AO238,AO238,CV238,CO238,IF(OptControl=4,0,1),0),0)</f>
        <v>0</v>
      </c>
      <c r="CY238" s="163">
        <f ca="1">IF(BD238,_xll.EURO(CP238,Strike1,AO238,AO238,CV238,CO238,IF(OptControl=4,0,1),1)+IF(OR(VolSkewFlag=2,ABS(CQ238)&lt;0.0001),0,IF(CQ238&gt;0,-1,1)*CZ238*100*Strike1/CP238^2*CS238/10%),0)</f>
        <v>0</v>
      </c>
      <c r="CZ238" s="163">
        <f ca="1">IF(BD238,_xll.EURO(CP238,Strike1,AO238,AO238,CV238,CO238,IF(OptControl=4,0,1),3)/100,0)</f>
        <v>0</v>
      </c>
      <c r="DA238" s="163">
        <f ca="1">IF(BD238,_xll.EURO(CP238,Strike1,AO238,AO238,CV238,CO238,IF(OptControl=4,0,1),0)-_xll.EURO(CP238,Strike1,AO238,AO238,CV238,CO238-1,IF(OptControl=4,0,1),0),0)</f>
        <v>0</v>
      </c>
      <c r="DB238" s="163">
        <f ca="1">IF(BD238,_xll.EURO(CP238,Strike2,AO238,AO238,CW238,CO238,IF(OptControl=3,1,0),0),0)</f>
        <v>0</v>
      </c>
      <c r="DC238" s="163">
        <f ca="1">IF(BD238,_xll.EURO(CP238,Strike2,AO238,AO238,CW238,CO238,IF(OptControl=3,1,0),1)+IF(OR(VolSkewFlag=2,ABS(CR238)&lt;0.0001),0,IF(CR238&gt;0,-1,1)*DD238*100*Strike2/CP238^2*CT238/10%),0)</f>
        <v>0</v>
      </c>
      <c r="DD238" s="163">
        <f ca="1">IF(BD238,_xll.EURO(CP238,Strike2,AO238,AO238,CW238,CO238,IF(OptControl=3,1,0),3)/100,0)</f>
        <v>0</v>
      </c>
      <c r="DE238" s="164">
        <f ca="1">IF(BD238,_xll.EURO(CP238,Strike2,AO238,AO238,CW238,CO238,IF(OptControl=3,1,0),0)-_xll.EURO(CP238,Strike2,AO238,AO238,CW238,CO238-1,IF(OptControl=3,1,0),0),0)</f>
        <v>0</v>
      </c>
      <c r="DG238" s="667">
        <f t="shared" ca="1" si="660"/>
        <v>43191</v>
      </c>
      <c r="DH238" s="475">
        <v>25.060000000000102</v>
      </c>
      <c r="DI238" s="665">
        <v>25.124285714285818</v>
      </c>
      <c r="DJ238" s="666">
        <f t="shared" ca="1" si="617"/>
        <v>43191</v>
      </c>
      <c r="DK238" s="475">
        <v>23.86618395923437</v>
      </c>
      <c r="DL238" s="665">
        <v>23.832785714285819</v>
      </c>
      <c r="DM238" s="667">
        <f t="shared" ca="1" si="618"/>
        <v>43191</v>
      </c>
      <c r="DN238" s="668">
        <f t="shared" si="619"/>
        <v>23.91618395923437</v>
      </c>
      <c r="DO238" s="667">
        <f t="shared" ca="1" si="620"/>
        <v>43191</v>
      </c>
      <c r="DP238" s="579">
        <f t="shared" si="621"/>
        <v>23.832785714285819</v>
      </c>
      <c r="DQ238" s="821">
        <v>0</v>
      </c>
      <c r="DR238" s="666">
        <f t="shared" ca="1" si="622"/>
        <v>43191</v>
      </c>
      <c r="DS238" s="669">
        <v>9.3799999999997011E-2</v>
      </c>
      <c r="DT238" s="606">
        <v>9.3028571428568435E-2</v>
      </c>
      <c r="DU238" s="666">
        <f t="shared" ca="1" si="623"/>
        <v>43191</v>
      </c>
      <c r="DV238" s="669">
        <v>9.3799999999997011E-2</v>
      </c>
      <c r="DW238" s="606">
        <v>9.3028571428568435E-2</v>
      </c>
      <c r="DX238" s="667">
        <f t="shared" ca="1" si="624"/>
        <v>43191</v>
      </c>
      <c r="DY238" s="606">
        <v>0.35</v>
      </c>
      <c r="DZ238" s="667">
        <f t="shared" ca="1" si="625"/>
        <v>43191</v>
      </c>
      <c r="EA238" s="606">
        <f t="shared" si="626"/>
        <v>9.3028571428568435E-2</v>
      </c>
      <c r="EB238" s="1"/>
      <c r="EC238" s="118" t="str">
        <f t="shared" ca="1" si="627"/>
        <v/>
      </c>
      <c r="ED238" s="119" t="str">
        <f t="shared" ca="1" si="644"/>
        <v/>
      </c>
      <c r="EE238" s="112" t="str">
        <f t="shared" ca="1" si="645"/>
        <v/>
      </c>
      <c r="EF238" s="120">
        <f ca="1">IF(BD238,_xll.xASN(BR238,Strike1,AO238,ED238,0,BO238,0,BI238,BL238,IF(OptControl=4,0,1),0),0)</f>
        <v>0</v>
      </c>
      <c r="EG238" s="111">
        <f ca="1">IF(BD238,_xll.xASN(BR238,Strike2,AO238,EE238,0,BO238,0,BI238,BL238,IF(OptControl=3,1,0),0),0)</f>
        <v>0</v>
      </c>
      <c r="EL238" s="55"/>
      <c r="EM238" s="1"/>
      <c r="EN238" s="106"/>
      <c r="EO238" s="106"/>
      <c r="EP238" s="1"/>
      <c r="EQ238" s="683" t="s">
        <v>452</v>
      </c>
      <c r="ES238" s="55"/>
      <c r="EU238" s="107"/>
      <c r="FJ238" s="673">
        <v>69</v>
      </c>
      <c r="FK238" s="479" t="str">
        <f ca="1">IF(OR(FK$169&lt;SwaptionFirstMonthPosition+1,$FJ238&lt;SwaptionFirstMonthPosition+1,FK$169&gt;SwaptionFirstMonthPosition+SwaptionNumOfMonths+1,$FJ238&gt;SwaptionFirstMonthPosition+SwaptionNumOfMonths+1),"",IF($FJ238=FK$169,1,IF($FJ238&lt;FK$169,INDEX($FK$170:$ID$241,FK$169,$FJ238),SUMPRODUCT(INDEX($FK$325:$ID$396,FK$169,1+SwaptionShift):INDEX($FK$325:$ID$396,FK$169,SwaptionMonthsToGo+SwaptionShift),INDEX($FK$245:$ID$316,$FJ238-FK$169,73-FK$169+SwaptionShift):INDEX($FK$245:$ID$316,$FJ238-FK$169,72-FK$169+SwaptionMonthsToGo+SwaptionShift))/SQRT(SUM(INDEX($FK393:$ID393,1+SwaptionShift):INDEX($FK393:$ID393,SwaptionMonthsToGo+SwaptionShift))*SUM(INDEX($FK$325:$ID$396,FK$169,1+SwaptionShift):INDEX($FK$325:$ID$396,FK$169,SwaptionMonthsToGo+SwaptionShift))))))</f>
        <v/>
      </c>
      <c r="FL238" s="479" t="str">
        <f ca="1">IF(OR(FL$169&lt;SwaptionFirstMonthPosition+1,$FJ238&lt;SwaptionFirstMonthPosition+1,FL$169&gt;SwaptionFirstMonthPosition+SwaptionNumOfMonths+1,$FJ238&gt;SwaptionFirstMonthPosition+SwaptionNumOfMonths+1),"",IF($FJ238=FL$169,1,IF($FJ238&lt;FL$169,INDEX($FK$170:$ID$241,FL$169,$FJ238),SUMPRODUCT(INDEX($FK$325:$ID$396,FL$169,1+SwaptionShift):INDEX($FK$325:$ID$396,FL$169,SwaptionMonthsToGo+SwaptionShift),INDEX($FK$245:$ID$316,$FJ238-FL$169,73-FL$169+SwaptionShift):INDEX($FK$245:$ID$316,$FJ238-FL$169,72-FL$169+SwaptionMonthsToGo+SwaptionShift))/SQRT(SUM(INDEX($FK393:$ID393,1+SwaptionShift):INDEX($FK393:$ID393,SwaptionMonthsToGo+SwaptionShift))*SUM(INDEX($FK$325:$ID$396,FL$169,1+SwaptionShift):INDEX($FK$325:$ID$396,FL$169,SwaptionMonthsToGo+SwaptionShift))))))</f>
        <v/>
      </c>
      <c r="FM238" s="479" t="str">
        <f ca="1">IF(OR(FM$169&lt;SwaptionFirstMonthPosition+1,$FJ238&lt;SwaptionFirstMonthPosition+1,FM$169&gt;SwaptionFirstMonthPosition+SwaptionNumOfMonths+1,$FJ238&gt;SwaptionFirstMonthPosition+SwaptionNumOfMonths+1),"",IF($FJ238=FM$169,1,IF($FJ238&lt;FM$169,INDEX($FK$170:$ID$241,FM$169,$FJ238),SUMPRODUCT(INDEX($FK$325:$ID$396,FM$169,1+SwaptionShift):INDEX($FK$325:$ID$396,FM$169,SwaptionMonthsToGo+SwaptionShift),INDEX($FK$245:$ID$316,$FJ238-FM$169,73-FM$169+SwaptionShift):INDEX($FK$245:$ID$316,$FJ238-FM$169,72-FM$169+SwaptionMonthsToGo+SwaptionShift))/SQRT(SUM(INDEX($FK393:$ID393,1+SwaptionShift):INDEX($FK393:$ID393,SwaptionMonthsToGo+SwaptionShift))*SUM(INDEX($FK$325:$ID$396,FM$169,1+SwaptionShift):INDEX($FK$325:$ID$396,FM$169,SwaptionMonthsToGo+SwaptionShift))))))</f>
        <v/>
      </c>
      <c r="FN238" s="479" t="str">
        <f ca="1">IF(OR(FN$169&lt;SwaptionFirstMonthPosition+1,$FJ238&lt;SwaptionFirstMonthPosition+1,FN$169&gt;SwaptionFirstMonthPosition+SwaptionNumOfMonths+1,$FJ238&gt;SwaptionFirstMonthPosition+SwaptionNumOfMonths+1),"",IF($FJ238=FN$169,1,IF($FJ238&lt;FN$169,INDEX($FK$170:$ID$241,FN$169,$FJ238),SUMPRODUCT(INDEX($FK$325:$ID$396,FN$169,1+SwaptionShift):INDEX($FK$325:$ID$396,FN$169,SwaptionMonthsToGo+SwaptionShift),INDEX($FK$245:$ID$316,$FJ238-FN$169,73-FN$169+SwaptionShift):INDEX($FK$245:$ID$316,$FJ238-FN$169,72-FN$169+SwaptionMonthsToGo+SwaptionShift))/SQRT(SUM(INDEX($FK393:$ID393,1+SwaptionShift):INDEX($FK393:$ID393,SwaptionMonthsToGo+SwaptionShift))*SUM(INDEX($FK$325:$ID$396,FN$169,1+SwaptionShift):INDEX($FK$325:$ID$396,FN$169,SwaptionMonthsToGo+SwaptionShift))))))</f>
        <v/>
      </c>
      <c r="FO238" s="479" t="str">
        <f ca="1">IF(OR(FO$169&lt;SwaptionFirstMonthPosition+1,$FJ238&lt;SwaptionFirstMonthPosition+1,FO$169&gt;SwaptionFirstMonthPosition+SwaptionNumOfMonths+1,$FJ238&gt;SwaptionFirstMonthPosition+SwaptionNumOfMonths+1),"",IF($FJ238=FO$169,1,IF($FJ238&lt;FO$169,INDEX($FK$170:$ID$241,FO$169,$FJ238),SUMPRODUCT(INDEX($FK$325:$ID$396,FO$169,1+SwaptionShift):INDEX($FK$325:$ID$396,FO$169,SwaptionMonthsToGo+SwaptionShift),INDEX($FK$245:$ID$316,$FJ238-FO$169,73-FO$169+SwaptionShift):INDEX($FK$245:$ID$316,$FJ238-FO$169,72-FO$169+SwaptionMonthsToGo+SwaptionShift))/SQRT(SUM(INDEX($FK393:$ID393,1+SwaptionShift):INDEX($FK393:$ID393,SwaptionMonthsToGo+SwaptionShift))*SUM(INDEX($FK$325:$ID$396,FO$169,1+SwaptionShift):INDEX($FK$325:$ID$396,FO$169,SwaptionMonthsToGo+SwaptionShift))))))</f>
        <v/>
      </c>
      <c r="FP238" s="479" t="str">
        <f ca="1">IF(OR(FP$169&lt;SwaptionFirstMonthPosition+1,$FJ238&lt;SwaptionFirstMonthPosition+1,FP$169&gt;SwaptionFirstMonthPosition+SwaptionNumOfMonths+1,$FJ238&gt;SwaptionFirstMonthPosition+SwaptionNumOfMonths+1),"",IF($FJ238=FP$169,1,IF($FJ238&lt;FP$169,INDEX($FK$170:$ID$241,FP$169,$FJ238),SUMPRODUCT(INDEX($FK$325:$ID$396,FP$169,1+SwaptionShift):INDEX($FK$325:$ID$396,FP$169,SwaptionMonthsToGo+SwaptionShift),INDEX($FK$245:$ID$316,$FJ238-FP$169,73-FP$169+SwaptionShift):INDEX($FK$245:$ID$316,$FJ238-FP$169,72-FP$169+SwaptionMonthsToGo+SwaptionShift))/SQRT(SUM(INDEX($FK393:$ID393,1+SwaptionShift):INDEX($FK393:$ID393,SwaptionMonthsToGo+SwaptionShift))*SUM(INDEX($FK$325:$ID$396,FP$169,1+SwaptionShift):INDEX($FK$325:$ID$396,FP$169,SwaptionMonthsToGo+SwaptionShift))))))</f>
        <v/>
      </c>
      <c r="FQ238" s="479" t="str">
        <f ca="1">IF(OR(FQ$169&lt;SwaptionFirstMonthPosition+1,$FJ238&lt;SwaptionFirstMonthPosition+1,FQ$169&gt;SwaptionFirstMonthPosition+SwaptionNumOfMonths+1,$FJ238&gt;SwaptionFirstMonthPosition+SwaptionNumOfMonths+1),"",IF($FJ238=FQ$169,1,IF($FJ238&lt;FQ$169,INDEX($FK$170:$ID$241,FQ$169,$FJ238),SUMPRODUCT(INDEX($FK$325:$ID$396,FQ$169,1+SwaptionShift):INDEX($FK$325:$ID$396,FQ$169,SwaptionMonthsToGo+SwaptionShift),INDEX($FK$245:$ID$316,$FJ238-FQ$169,73-FQ$169+SwaptionShift):INDEX($FK$245:$ID$316,$FJ238-FQ$169,72-FQ$169+SwaptionMonthsToGo+SwaptionShift))/SQRT(SUM(INDEX($FK393:$ID393,1+SwaptionShift):INDEX($FK393:$ID393,SwaptionMonthsToGo+SwaptionShift))*SUM(INDEX($FK$325:$ID$396,FQ$169,1+SwaptionShift):INDEX($FK$325:$ID$396,FQ$169,SwaptionMonthsToGo+SwaptionShift))))))</f>
        <v/>
      </c>
      <c r="FR238" s="479" t="str">
        <f ca="1">IF(OR(FR$169&lt;SwaptionFirstMonthPosition+1,$FJ238&lt;SwaptionFirstMonthPosition+1,FR$169&gt;SwaptionFirstMonthPosition+SwaptionNumOfMonths+1,$FJ238&gt;SwaptionFirstMonthPosition+SwaptionNumOfMonths+1),"",IF($FJ238=FR$169,1,IF($FJ238&lt;FR$169,INDEX($FK$170:$ID$241,FR$169,$FJ238),SUMPRODUCT(INDEX($FK$325:$ID$396,FR$169,1+SwaptionShift):INDEX($FK$325:$ID$396,FR$169,SwaptionMonthsToGo+SwaptionShift),INDEX($FK$245:$ID$316,$FJ238-FR$169,73-FR$169+SwaptionShift):INDEX($FK$245:$ID$316,$FJ238-FR$169,72-FR$169+SwaptionMonthsToGo+SwaptionShift))/SQRT(SUM(INDEX($FK393:$ID393,1+SwaptionShift):INDEX($FK393:$ID393,SwaptionMonthsToGo+SwaptionShift))*SUM(INDEX($FK$325:$ID$396,FR$169,1+SwaptionShift):INDEX($FK$325:$ID$396,FR$169,SwaptionMonthsToGo+SwaptionShift))))))</f>
        <v/>
      </c>
      <c r="FS238" s="479" t="str">
        <f ca="1">IF(OR(FS$169&lt;SwaptionFirstMonthPosition+1,$FJ238&lt;SwaptionFirstMonthPosition+1,FS$169&gt;SwaptionFirstMonthPosition+SwaptionNumOfMonths+1,$FJ238&gt;SwaptionFirstMonthPosition+SwaptionNumOfMonths+1),"",IF($FJ238=FS$169,1,IF($FJ238&lt;FS$169,INDEX($FK$170:$ID$241,FS$169,$FJ238),SUMPRODUCT(INDEX($FK$325:$ID$396,FS$169,1+SwaptionShift):INDEX($FK$325:$ID$396,FS$169,SwaptionMonthsToGo+SwaptionShift),INDEX($FK$245:$ID$316,$FJ238-FS$169,73-FS$169+SwaptionShift):INDEX($FK$245:$ID$316,$FJ238-FS$169,72-FS$169+SwaptionMonthsToGo+SwaptionShift))/SQRT(SUM(INDEX($FK393:$ID393,1+SwaptionShift):INDEX($FK393:$ID393,SwaptionMonthsToGo+SwaptionShift))*SUM(INDEX($FK$325:$ID$396,FS$169,1+SwaptionShift):INDEX($FK$325:$ID$396,FS$169,SwaptionMonthsToGo+SwaptionShift))))))</f>
        <v/>
      </c>
      <c r="FT238" s="479" t="str">
        <f ca="1">IF(OR(FT$169&lt;SwaptionFirstMonthPosition+1,$FJ238&lt;SwaptionFirstMonthPosition+1,FT$169&gt;SwaptionFirstMonthPosition+SwaptionNumOfMonths+1,$FJ238&gt;SwaptionFirstMonthPosition+SwaptionNumOfMonths+1),"",IF($FJ238=FT$169,1,IF($FJ238&lt;FT$169,INDEX($FK$170:$ID$241,FT$169,$FJ238),SUMPRODUCT(INDEX($FK$325:$ID$396,FT$169,1+SwaptionShift):INDEX($FK$325:$ID$396,FT$169,SwaptionMonthsToGo+SwaptionShift),INDEX($FK$245:$ID$316,$FJ238-FT$169,73-FT$169+SwaptionShift):INDEX($FK$245:$ID$316,$FJ238-FT$169,72-FT$169+SwaptionMonthsToGo+SwaptionShift))/SQRT(SUM(INDEX($FK393:$ID393,1+SwaptionShift):INDEX($FK393:$ID393,SwaptionMonthsToGo+SwaptionShift))*SUM(INDEX($FK$325:$ID$396,FT$169,1+SwaptionShift):INDEX($FK$325:$ID$396,FT$169,SwaptionMonthsToGo+SwaptionShift))))))</f>
        <v/>
      </c>
      <c r="FU238" s="479" t="str">
        <f ca="1">IF(OR(FU$169&lt;SwaptionFirstMonthPosition+1,$FJ238&lt;SwaptionFirstMonthPosition+1,FU$169&gt;SwaptionFirstMonthPosition+SwaptionNumOfMonths+1,$FJ238&gt;SwaptionFirstMonthPosition+SwaptionNumOfMonths+1),"",IF($FJ238=FU$169,1,IF($FJ238&lt;FU$169,INDEX($FK$170:$ID$241,FU$169,$FJ238),SUMPRODUCT(INDEX($FK$325:$ID$396,FU$169,1+SwaptionShift):INDEX($FK$325:$ID$396,FU$169,SwaptionMonthsToGo+SwaptionShift),INDEX($FK$245:$ID$316,$FJ238-FU$169,73-FU$169+SwaptionShift):INDEX($FK$245:$ID$316,$FJ238-FU$169,72-FU$169+SwaptionMonthsToGo+SwaptionShift))/SQRT(SUM(INDEX($FK393:$ID393,1+SwaptionShift):INDEX($FK393:$ID393,SwaptionMonthsToGo+SwaptionShift))*SUM(INDEX($FK$325:$ID$396,FU$169,1+SwaptionShift):INDEX($FK$325:$ID$396,FU$169,SwaptionMonthsToGo+SwaptionShift))))))</f>
        <v/>
      </c>
      <c r="FV238" s="479" t="str">
        <f ca="1">IF(OR(FV$169&lt;SwaptionFirstMonthPosition+1,$FJ238&lt;SwaptionFirstMonthPosition+1,FV$169&gt;SwaptionFirstMonthPosition+SwaptionNumOfMonths+1,$FJ238&gt;SwaptionFirstMonthPosition+SwaptionNumOfMonths+1),"",IF($FJ238=FV$169,1,IF($FJ238&lt;FV$169,INDEX($FK$170:$ID$241,FV$169,$FJ238),SUMPRODUCT(INDEX($FK$325:$ID$396,FV$169,1+SwaptionShift):INDEX($FK$325:$ID$396,FV$169,SwaptionMonthsToGo+SwaptionShift),INDEX($FK$245:$ID$316,$FJ238-FV$169,73-FV$169+SwaptionShift):INDEX($FK$245:$ID$316,$FJ238-FV$169,72-FV$169+SwaptionMonthsToGo+SwaptionShift))/SQRT(SUM(INDEX($FK393:$ID393,1+SwaptionShift):INDEX($FK393:$ID393,SwaptionMonthsToGo+SwaptionShift))*SUM(INDEX($FK$325:$ID$396,FV$169,1+SwaptionShift):INDEX($FK$325:$ID$396,FV$169,SwaptionMonthsToGo+SwaptionShift))))))</f>
        <v/>
      </c>
      <c r="FW238" s="479" t="str">
        <f ca="1">IF(OR(FW$169&lt;SwaptionFirstMonthPosition+1,$FJ238&lt;SwaptionFirstMonthPosition+1,FW$169&gt;SwaptionFirstMonthPosition+SwaptionNumOfMonths+1,$FJ238&gt;SwaptionFirstMonthPosition+SwaptionNumOfMonths+1),"",IF($FJ238=FW$169,1,IF($FJ238&lt;FW$169,INDEX($FK$170:$ID$241,FW$169,$FJ238),SUMPRODUCT(INDEX($FK$325:$ID$396,FW$169,1+SwaptionShift):INDEX($FK$325:$ID$396,FW$169,SwaptionMonthsToGo+SwaptionShift),INDEX($FK$245:$ID$316,$FJ238-FW$169,73-FW$169+SwaptionShift):INDEX($FK$245:$ID$316,$FJ238-FW$169,72-FW$169+SwaptionMonthsToGo+SwaptionShift))/SQRT(SUM(INDEX($FK393:$ID393,1+SwaptionShift):INDEX($FK393:$ID393,SwaptionMonthsToGo+SwaptionShift))*SUM(INDEX($FK$325:$ID$396,FW$169,1+SwaptionShift):INDEX($FK$325:$ID$396,FW$169,SwaptionMonthsToGo+SwaptionShift))))))</f>
        <v/>
      </c>
      <c r="FX238" s="479" t="str">
        <f ca="1">IF(OR(FX$169&lt;SwaptionFirstMonthPosition+1,$FJ238&lt;SwaptionFirstMonthPosition+1,FX$169&gt;SwaptionFirstMonthPosition+SwaptionNumOfMonths+1,$FJ238&gt;SwaptionFirstMonthPosition+SwaptionNumOfMonths+1),"",IF($FJ238=FX$169,1,IF($FJ238&lt;FX$169,INDEX($FK$170:$ID$241,FX$169,$FJ238),SUMPRODUCT(INDEX($FK$325:$ID$396,FX$169,1+SwaptionShift):INDEX($FK$325:$ID$396,FX$169,SwaptionMonthsToGo+SwaptionShift),INDEX($FK$245:$ID$316,$FJ238-FX$169,73-FX$169+SwaptionShift):INDEX($FK$245:$ID$316,$FJ238-FX$169,72-FX$169+SwaptionMonthsToGo+SwaptionShift))/SQRT(SUM(INDEX($FK393:$ID393,1+SwaptionShift):INDEX($FK393:$ID393,SwaptionMonthsToGo+SwaptionShift))*SUM(INDEX($FK$325:$ID$396,FX$169,1+SwaptionShift):INDEX($FK$325:$ID$396,FX$169,SwaptionMonthsToGo+SwaptionShift))))))</f>
        <v/>
      </c>
      <c r="FY238" s="479" t="str">
        <f ca="1">IF(OR(FY$169&lt;SwaptionFirstMonthPosition+1,$FJ238&lt;SwaptionFirstMonthPosition+1,FY$169&gt;SwaptionFirstMonthPosition+SwaptionNumOfMonths+1,$FJ238&gt;SwaptionFirstMonthPosition+SwaptionNumOfMonths+1),"",IF($FJ238=FY$169,1,IF($FJ238&lt;FY$169,INDEX($FK$170:$ID$241,FY$169,$FJ238),SUMPRODUCT(INDEX($FK$325:$ID$396,FY$169,1+SwaptionShift):INDEX($FK$325:$ID$396,FY$169,SwaptionMonthsToGo+SwaptionShift),INDEX($FK$245:$ID$316,$FJ238-FY$169,73-FY$169+SwaptionShift):INDEX($FK$245:$ID$316,$FJ238-FY$169,72-FY$169+SwaptionMonthsToGo+SwaptionShift))/SQRT(SUM(INDEX($FK393:$ID393,1+SwaptionShift):INDEX($FK393:$ID393,SwaptionMonthsToGo+SwaptionShift))*SUM(INDEX($FK$325:$ID$396,FY$169,1+SwaptionShift):INDEX($FK$325:$ID$396,FY$169,SwaptionMonthsToGo+SwaptionShift))))))</f>
        <v/>
      </c>
      <c r="FZ238" s="479" t="str">
        <f ca="1">IF(OR(FZ$169&lt;SwaptionFirstMonthPosition+1,$FJ238&lt;SwaptionFirstMonthPosition+1,FZ$169&gt;SwaptionFirstMonthPosition+SwaptionNumOfMonths+1,$FJ238&gt;SwaptionFirstMonthPosition+SwaptionNumOfMonths+1),"",IF($FJ238=FZ$169,1,IF($FJ238&lt;FZ$169,INDEX($FK$170:$ID$241,FZ$169,$FJ238),SUMPRODUCT(INDEX($FK$325:$ID$396,FZ$169,1+SwaptionShift):INDEX($FK$325:$ID$396,FZ$169,SwaptionMonthsToGo+SwaptionShift),INDEX($FK$245:$ID$316,$FJ238-FZ$169,73-FZ$169+SwaptionShift):INDEX($FK$245:$ID$316,$FJ238-FZ$169,72-FZ$169+SwaptionMonthsToGo+SwaptionShift))/SQRT(SUM(INDEX($FK393:$ID393,1+SwaptionShift):INDEX($FK393:$ID393,SwaptionMonthsToGo+SwaptionShift))*SUM(INDEX($FK$325:$ID$396,FZ$169,1+SwaptionShift):INDEX($FK$325:$ID$396,FZ$169,SwaptionMonthsToGo+SwaptionShift))))))</f>
        <v/>
      </c>
      <c r="GA238" s="479" t="str">
        <f ca="1">IF(OR(GA$169&lt;SwaptionFirstMonthPosition+1,$FJ238&lt;SwaptionFirstMonthPosition+1,GA$169&gt;SwaptionFirstMonthPosition+SwaptionNumOfMonths+1,$FJ238&gt;SwaptionFirstMonthPosition+SwaptionNumOfMonths+1),"",IF($FJ238=GA$169,1,IF($FJ238&lt;GA$169,INDEX($FK$170:$ID$241,GA$169,$FJ238),SUMPRODUCT(INDEX($FK$325:$ID$396,GA$169,1+SwaptionShift):INDEX($FK$325:$ID$396,GA$169,SwaptionMonthsToGo+SwaptionShift),INDEX($FK$245:$ID$316,$FJ238-GA$169,73-GA$169+SwaptionShift):INDEX($FK$245:$ID$316,$FJ238-GA$169,72-GA$169+SwaptionMonthsToGo+SwaptionShift))/SQRT(SUM(INDEX($FK393:$ID393,1+SwaptionShift):INDEX($FK393:$ID393,SwaptionMonthsToGo+SwaptionShift))*SUM(INDEX($FK$325:$ID$396,GA$169,1+SwaptionShift):INDEX($FK$325:$ID$396,GA$169,SwaptionMonthsToGo+SwaptionShift))))))</f>
        <v/>
      </c>
      <c r="GB238" s="479" t="str">
        <f ca="1">IF(OR(GB$169&lt;SwaptionFirstMonthPosition+1,$FJ238&lt;SwaptionFirstMonthPosition+1,GB$169&gt;SwaptionFirstMonthPosition+SwaptionNumOfMonths+1,$FJ238&gt;SwaptionFirstMonthPosition+SwaptionNumOfMonths+1),"",IF($FJ238=GB$169,1,IF($FJ238&lt;GB$169,INDEX($FK$170:$ID$241,GB$169,$FJ238),SUMPRODUCT(INDEX($FK$325:$ID$396,GB$169,1+SwaptionShift):INDEX($FK$325:$ID$396,GB$169,SwaptionMonthsToGo+SwaptionShift),INDEX($FK$245:$ID$316,$FJ238-GB$169,73-GB$169+SwaptionShift):INDEX($FK$245:$ID$316,$FJ238-GB$169,72-GB$169+SwaptionMonthsToGo+SwaptionShift))/SQRT(SUM(INDEX($FK393:$ID393,1+SwaptionShift):INDEX($FK393:$ID393,SwaptionMonthsToGo+SwaptionShift))*SUM(INDEX($FK$325:$ID$396,GB$169,1+SwaptionShift):INDEX($FK$325:$ID$396,GB$169,SwaptionMonthsToGo+SwaptionShift))))))</f>
        <v/>
      </c>
      <c r="GC238" s="479" t="str">
        <f ca="1">IF(OR(GC$169&lt;SwaptionFirstMonthPosition+1,$FJ238&lt;SwaptionFirstMonthPosition+1,GC$169&gt;SwaptionFirstMonthPosition+SwaptionNumOfMonths+1,$FJ238&gt;SwaptionFirstMonthPosition+SwaptionNumOfMonths+1),"",IF($FJ238=GC$169,1,IF($FJ238&lt;GC$169,INDEX($FK$170:$ID$241,GC$169,$FJ238),SUMPRODUCT(INDEX($FK$325:$ID$396,GC$169,1+SwaptionShift):INDEX($FK$325:$ID$396,GC$169,SwaptionMonthsToGo+SwaptionShift),INDEX($FK$245:$ID$316,$FJ238-GC$169,73-GC$169+SwaptionShift):INDEX($FK$245:$ID$316,$FJ238-GC$169,72-GC$169+SwaptionMonthsToGo+SwaptionShift))/SQRT(SUM(INDEX($FK393:$ID393,1+SwaptionShift):INDEX($FK393:$ID393,SwaptionMonthsToGo+SwaptionShift))*SUM(INDEX($FK$325:$ID$396,GC$169,1+SwaptionShift):INDEX($FK$325:$ID$396,GC$169,SwaptionMonthsToGo+SwaptionShift))))))</f>
        <v/>
      </c>
      <c r="GD238" s="479" t="str">
        <f ca="1">IF(OR(GD$169&lt;SwaptionFirstMonthPosition+1,$FJ238&lt;SwaptionFirstMonthPosition+1,GD$169&gt;SwaptionFirstMonthPosition+SwaptionNumOfMonths+1,$FJ238&gt;SwaptionFirstMonthPosition+SwaptionNumOfMonths+1),"",IF($FJ238=GD$169,1,IF($FJ238&lt;GD$169,INDEX($FK$170:$ID$241,GD$169,$FJ238),SUMPRODUCT(INDEX($FK$325:$ID$396,GD$169,1+SwaptionShift):INDEX($FK$325:$ID$396,GD$169,SwaptionMonthsToGo+SwaptionShift),INDEX($FK$245:$ID$316,$FJ238-GD$169,73-GD$169+SwaptionShift):INDEX($FK$245:$ID$316,$FJ238-GD$169,72-GD$169+SwaptionMonthsToGo+SwaptionShift))/SQRT(SUM(INDEX($FK393:$ID393,1+SwaptionShift):INDEX($FK393:$ID393,SwaptionMonthsToGo+SwaptionShift))*SUM(INDEX($FK$325:$ID$396,GD$169,1+SwaptionShift):INDEX($FK$325:$ID$396,GD$169,SwaptionMonthsToGo+SwaptionShift))))))</f>
        <v/>
      </c>
      <c r="GE238" s="479" t="str">
        <f ca="1">IF(OR(GE$169&lt;SwaptionFirstMonthPosition+1,$FJ238&lt;SwaptionFirstMonthPosition+1,GE$169&gt;SwaptionFirstMonthPosition+SwaptionNumOfMonths+1,$FJ238&gt;SwaptionFirstMonthPosition+SwaptionNumOfMonths+1),"",IF($FJ238=GE$169,1,IF($FJ238&lt;GE$169,INDEX($FK$170:$ID$241,GE$169,$FJ238),SUMPRODUCT(INDEX($FK$325:$ID$396,GE$169,1+SwaptionShift):INDEX($FK$325:$ID$396,GE$169,SwaptionMonthsToGo+SwaptionShift),INDEX($FK$245:$ID$316,$FJ238-GE$169,73-GE$169+SwaptionShift):INDEX($FK$245:$ID$316,$FJ238-GE$169,72-GE$169+SwaptionMonthsToGo+SwaptionShift))/SQRT(SUM(INDEX($FK393:$ID393,1+SwaptionShift):INDEX($FK393:$ID393,SwaptionMonthsToGo+SwaptionShift))*SUM(INDEX($FK$325:$ID$396,GE$169,1+SwaptionShift):INDEX($FK$325:$ID$396,GE$169,SwaptionMonthsToGo+SwaptionShift))))))</f>
        <v/>
      </c>
      <c r="GF238" s="479" t="str">
        <f ca="1">IF(OR(GF$169&lt;SwaptionFirstMonthPosition+1,$FJ238&lt;SwaptionFirstMonthPosition+1,GF$169&gt;SwaptionFirstMonthPosition+SwaptionNumOfMonths+1,$FJ238&gt;SwaptionFirstMonthPosition+SwaptionNumOfMonths+1),"",IF($FJ238=GF$169,1,IF($FJ238&lt;GF$169,INDEX($FK$170:$ID$241,GF$169,$FJ238),SUMPRODUCT(INDEX($FK$325:$ID$396,GF$169,1+SwaptionShift):INDEX($FK$325:$ID$396,GF$169,SwaptionMonthsToGo+SwaptionShift),INDEX($FK$245:$ID$316,$FJ238-GF$169,73-GF$169+SwaptionShift):INDEX($FK$245:$ID$316,$FJ238-GF$169,72-GF$169+SwaptionMonthsToGo+SwaptionShift))/SQRT(SUM(INDEX($FK393:$ID393,1+SwaptionShift):INDEX($FK393:$ID393,SwaptionMonthsToGo+SwaptionShift))*SUM(INDEX($FK$325:$ID$396,GF$169,1+SwaptionShift):INDEX($FK$325:$ID$396,GF$169,SwaptionMonthsToGo+SwaptionShift))))))</f>
        <v/>
      </c>
      <c r="GG238" s="479" t="str">
        <f ca="1">IF(OR(GG$169&lt;SwaptionFirstMonthPosition+1,$FJ238&lt;SwaptionFirstMonthPosition+1,GG$169&gt;SwaptionFirstMonthPosition+SwaptionNumOfMonths+1,$FJ238&gt;SwaptionFirstMonthPosition+SwaptionNumOfMonths+1),"",IF($FJ238=GG$169,1,IF($FJ238&lt;GG$169,INDEX($FK$170:$ID$241,GG$169,$FJ238),SUMPRODUCT(INDEX($FK$325:$ID$396,GG$169,1+SwaptionShift):INDEX($FK$325:$ID$396,GG$169,SwaptionMonthsToGo+SwaptionShift),INDEX($FK$245:$ID$316,$FJ238-GG$169,73-GG$169+SwaptionShift):INDEX($FK$245:$ID$316,$FJ238-GG$169,72-GG$169+SwaptionMonthsToGo+SwaptionShift))/SQRT(SUM(INDEX($FK393:$ID393,1+SwaptionShift):INDEX($FK393:$ID393,SwaptionMonthsToGo+SwaptionShift))*SUM(INDEX($FK$325:$ID$396,GG$169,1+SwaptionShift):INDEX($FK$325:$ID$396,GG$169,SwaptionMonthsToGo+SwaptionShift))))))</f>
        <v/>
      </c>
      <c r="GH238" s="479" t="str">
        <f ca="1">IF(OR(GH$169&lt;SwaptionFirstMonthPosition+1,$FJ238&lt;SwaptionFirstMonthPosition+1,GH$169&gt;SwaptionFirstMonthPosition+SwaptionNumOfMonths+1,$FJ238&gt;SwaptionFirstMonthPosition+SwaptionNumOfMonths+1),"",IF($FJ238=GH$169,1,IF($FJ238&lt;GH$169,INDEX($FK$170:$ID$241,GH$169,$FJ238),SUMPRODUCT(INDEX($FK$325:$ID$396,GH$169,1+SwaptionShift):INDEX($FK$325:$ID$396,GH$169,SwaptionMonthsToGo+SwaptionShift),INDEX($FK$245:$ID$316,$FJ238-GH$169,73-GH$169+SwaptionShift):INDEX($FK$245:$ID$316,$FJ238-GH$169,72-GH$169+SwaptionMonthsToGo+SwaptionShift))/SQRT(SUM(INDEX($FK393:$ID393,1+SwaptionShift):INDEX($FK393:$ID393,SwaptionMonthsToGo+SwaptionShift))*SUM(INDEX($FK$325:$ID$396,GH$169,1+SwaptionShift):INDEX($FK$325:$ID$396,GH$169,SwaptionMonthsToGo+SwaptionShift))))))</f>
        <v/>
      </c>
      <c r="GI238" s="479" t="str">
        <f ca="1">IF(OR(GI$169&lt;SwaptionFirstMonthPosition+1,$FJ238&lt;SwaptionFirstMonthPosition+1,GI$169&gt;SwaptionFirstMonthPosition+SwaptionNumOfMonths+1,$FJ238&gt;SwaptionFirstMonthPosition+SwaptionNumOfMonths+1),"",IF($FJ238=GI$169,1,IF($FJ238&lt;GI$169,INDEX($FK$170:$ID$241,GI$169,$FJ238),SUMPRODUCT(INDEX($FK$325:$ID$396,GI$169,1+SwaptionShift):INDEX($FK$325:$ID$396,GI$169,SwaptionMonthsToGo+SwaptionShift),INDEX($FK$245:$ID$316,$FJ238-GI$169,73-GI$169+SwaptionShift):INDEX($FK$245:$ID$316,$FJ238-GI$169,72-GI$169+SwaptionMonthsToGo+SwaptionShift))/SQRT(SUM(INDEX($FK393:$ID393,1+SwaptionShift):INDEX($FK393:$ID393,SwaptionMonthsToGo+SwaptionShift))*SUM(INDEX($FK$325:$ID$396,GI$169,1+SwaptionShift):INDEX($FK$325:$ID$396,GI$169,SwaptionMonthsToGo+SwaptionShift))))))</f>
        <v/>
      </c>
      <c r="GJ238" s="479" t="str">
        <f ca="1">IF(OR(GJ$169&lt;SwaptionFirstMonthPosition+1,$FJ238&lt;SwaptionFirstMonthPosition+1,GJ$169&gt;SwaptionFirstMonthPosition+SwaptionNumOfMonths+1,$FJ238&gt;SwaptionFirstMonthPosition+SwaptionNumOfMonths+1),"",IF($FJ238=GJ$169,1,IF($FJ238&lt;GJ$169,INDEX($FK$170:$ID$241,GJ$169,$FJ238),SUMPRODUCT(INDEX($FK$325:$ID$396,GJ$169,1+SwaptionShift):INDEX($FK$325:$ID$396,GJ$169,SwaptionMonthsToGo+SwaptionShift),INDEX($FK$245:$ID$316,$FJ238-GJ$169,73-GJ$169+SwaptionShift):INDEX($FK$245:$ID$316,$FJ238-GJ$169,72-GJ$169+SwaptionMonthsToGo+SwaptionShift))/SQRT(SUM(INDEX($FK393:$ID393,1+SwaptionShift):INDEX($FK393:$ID393,SwaptionMonthsToGo+SwaptionShift))*SUM(INDEX($FK$325:$ID$396,GJ$169,1+SwaptionShift):INDEX($FK$325:$ID$396,GJ$169,SwaptionMonthsToGo+SwaptionShift))))))</f>
        <v/>
      </c>
      <c r="GK238" s="479" t="str">
        <f ca="1">IF(OR(GK$169&lt;SwaptionFirstMonthPosition+1,$FJ238&lt;SwaptionFirstMonthPosition+1,GK$169&gt;SwaptionFirstMonthPosition+SwaptionNumOfMonths+1,$FJ238&gt;SwaptionFirstMonthPosition+SwaptionNumOfMonths+1),"",IF($FJ238=GK$169,1,IF($FJ238&lt;GK$169,INDEX($FK$170:$ID$241,GK$169,$FJ238),SUMPRODUCT(INDEX($FK$325:$ID$396,GK$169,1+SwaptionShift):INDEX($FK$325:$ID$396,GK$169,SwaptionMonthsToGo+SwaptionShift),INDEX($FK$245:$ID$316,$FJ238-GK$169,73-GK$169+SwaptionShift):INDEX($FK$245:$ID$316,$FJ238-GK$169,72-GK$169+SwaptionMonthsToGo+SwaptionShift))/SQRT(SUM(INDEX($FK393:$ID393,1+SwaptionShift):INDEX($FK393:$ID393,SwaptionMonthsToGo+SwaptionShift))*SUM(INDEX($FK$325:$ID$396,GK$169,1+SwaptionShift):INDEX($FK$325:$ID$396,GK$169,SwaptionMonthsToGo+SwaptionShift))))))</f>
        <v/>
      </c>
      <c r="GL238" s="479" t="str">
        <f ca="1">IF(OR(GL$169&lt;SwaptionFirstMonthPosition+1,$FJ238&lt;SwaptionFirstMonthPosition+1,GL$169&gt;SwaptionFirstMonthPosition+SwaptionNumOfMonths+1,$FJ238&gt;SwaptionFirstMonthPosition+SwaptionNumOfMonths+1),"",IF($FJ238=GL$169,1,IF($FJ238&lt;GL$169,INDEX($FK$170:$ID$241,GL$169,$FJ238),SUMPRODUCT(INDEX($FK$325:$ID$396,GL$169,1+SwaptionShift):INDEX($FK$325:$ID$396,GL$169,SwaptionMonthsToGo+SwaptionShift),INDEX($FK$245:$ID$316,$FJ238-GL$169,73-GL$169+SwaptionShift):INDEX($FK$245:$ID$316,$FJ238-GL$169,72-GL$169+SwaptionMonthsToGo+SwaptionShift))/SQRT(SUM(INDEX($FK393:$ID393,1+SwaptionShift):INDEX($FK393:$ID393,SwaptionMonthsToGo+SwaptionShift))*SUM(INDEX($FK$325:$ID$396,GL$169,1+SwaptionShift):INDEX($FK$325:$ID$396,GL$169,SwaptionMonthsToGo+SwaptionShift))))))</f>
        <v/>
      </c>
      <c r="GM238" s="479" t="str">
        <f ca="1">IF(OR(GM$169&lt;SwaptionFirstMonthPosition+1,$FJ238&lt;SwaptionFirstMonthPosition+1,GM$169&gt;SwaptionFirstMonthPosition+SwaptionNumOfMonths+1,$FJ238&gt;SwaptionFirstMonthPosition+SwaptionNumOfMonths+1),"",IF($FJ238=GM$169,1,IF($FJ238&lt;GM$169,INDEX($FK$170:$ID$241,GM$169,$FJ238),SUMPRODUCT(INDEX($FK$325:$ID$396,GM$169,1+SwaptionShift):INDEX($FK$325:$ID$396,GM$169,SwaptionMonthsToGo+SwaptionShift),INDEX($FK$245:$ID$316,$FJ238-GM$169,73-GM$169+SwaptionShift):INDEX($FK$245:$ID$316,$FJ238-GM$169,72-GM$169+SwaptionMonthsToGo+SwaptionShift))/SQRT(SUM(INDEX($FK393:$ID393,1+SwaptionShift):INDEX($FK393:$ID393,SwaptionMonthsToGo+SwaptionShift))*SUM(INDEX($FK$325:$ID$396,GM$169,1+SwaptionShift):INDEX($FK$325:$ID$396,GM$169,SwaptionMonthsToGo+SwaptionShift))))))</f>
        <v/>
      </c>
      <c r="GN238" s="479" t="str">
        <f ca="1">IF(OR(GN$169&lt;SwaptionFirstMonthPosition+1,$FJ238&lt;SwaptionFirstMonthPosition+1,GN$169&gt;SwaptionFirstMonthPosition+SwaptionNumOfMonths+1,$FJ238&gt;SwaptionFirstMonthPosition+SwaptionNumOfMonths+1),"",IF($FJ238=GN$169,1,IF($FJ238&lt;GN$169,INDEX($FK$170:$ID$241,GN$169,$FJ238),SUMPRODUCT(INDEX($FK$325:$ID$396,GN$169,1+SwaptionShift):INDEX($FK$325:$ID$396,GN$169,SwaptionMonthsToGo+SwaptionShift),INDEX($FK$245:$ID$316,$FJ238-GN$169,73-GN$169+SwaptionShift):INDEX($FK$245:$ID$316,$FJ238-GN$169,72-GN$169+SwaptionMonthsToGo+SwaptionShift))/SQRT(SUM(INDEX($FK393:$ID393,1+SwaptionShift):INDEX($FK393:$ID393,SwaptionMonthsToGo+SwaptionShift))*SUM(INDEX($FK$325:$ID$396,GN$169,1+SwaptionShift):INDEX($FK$325:$ID$396,GN$169,SwaptionMonthsToGo+SwaptionShift))))))</f>
        <v/>
      </c>
      <c r="GO238" s="479" t="str">
        <f ca="1">IF(OR(GO$169&lt;SwaptionFirstMonthPosition+1,$FJ238&lt;SwaptionFirstMonthPosition+1,GO$169&gt;SwaptionFirstMonthPosition+SwaptionNumOfMonths+1,$FJ238&gt;SwaptionFirstMonthPosition+SwaptionNumOfMonths+1),"",IF($FJ238=GO$169,1,IF($FJ238&lt;GO$169,INDEX($FK$170:$ID$241,GO$169,$FJ238),SUMPRODUCT(INDEX($FK$325:$ID$396,GO$169,1+SwaptionShift):INDEX($FK$325:$ID$396,GO$169,SwaptionMonthsToGo+SwaptionShift),INDEX($FK$245:$ID$316,$FJ238-GO$169,73-GO$169+SwaptionShift):INDEX($FK$245:$ID$316,$FJ238-GO$169,72-GO$169+SwaptionMonthsToGo+SwaptionShift))/SQRT(SUM(INDEX($FK393:$ID393,1+SwaptionShift):INDEX($FK393:$ID393,SwaptionMonthsToGo+SwaptionShift))*SUM(INDEX($FK$325:$ID$396,GO$169,1+SwaptionShift):INDEX($FK$325:$ID$396,GO$169,SwaptionMonthsToGo+SwaptionShift))))))</f>
        <v/>
      </c>
      <c r="GP238" s="479" t="str">
        <f ca="1">IF(OR(GP$169&lt;SwaptionFirstMonthPosition+1,$FJ238&lt;SwaptionFirstMonthPosition+1,GP$169&gt;SwaptionFirstMonthPosition+SwaptionNumOfMonths+1,$FJ238&gt;SwaptionFirstMonthPosition+SwaptionNumOfMonths+1),"",IF($FJ238=GP$169,1,IF($FJ238&lt;GP$169,INDEX($FK$170:$ID$241,GP$169,$FJ238),SUMPRODUCT(INDEX($FK$325:$ID$396,GP$169,1+SwaptionShift):INDEX($FK$325:$ID$396,GP$169,SwaptionMonthsToGo+SwaptionShift),INDEX($FK$245:$ID$316,$FJ238-GP$169,73-GP$169+SwaptionShift):INDEX($FK$245:$ID$316,$FJ238-GP$169,72-GP$169+SwaptionMonthsToGo+SwaptionShift))/SQRT(SUM(INDEX($FK393:$ID393,1+SwaptionShift):INDEX($FK393:$ID393,SwaptionMonthsToGo+SwaptionShift))*SUM(INDEX($FK$325:$ID$396,GP$169,1+SwaptionShift):INDEX($FK$325:$ID$396,GP$169,SwaptionMonthsToGo+SwaptionShift))))))</f>
        <v/>
      </c>
      <c r="GQ238" s="479" t="str">
        <f ca="1">IF(OR(GQ$169&lt;SwaptionFirstMonthPosition+1,$FJ238&lt;SwaptionFirstMonthPosition+1,GQ$169&gt;SwaptionFirstMonthPosition+SwaptionNumOfMonths+1,$FJ238&gt;SwaptionFirstMonthPosition+SwaptionNumOfMonths+1),"",IF($FJ238=GQ$169,1,IF($FJ238&lt;GQ$169,INDEX($FK$170:$ID$241,GQ$169,$FJ238),SUMPRODUCT(INDEX($FK$325:$ID$396,GQ$169,1+SwaptionShift):INDEX($FK$325:$ID$396,GQ$169,SwaptionMonthsToGo+SwaptionShift),INDEX($FK$245:$ID$316,$FJ238-GQ$169,73-GQ$169+SwaptionShift):INDEX($FK$245:$ID$316,$FJ238-GQ$169,72-GQ$169+SwaptionMonthsToGo+SwaptionShift))/SQRT(SUM(INDEX($FK393:$ID393,1+SwaptionShift):INDEX($FK393:$ID393,SwaptionMonthsToGo+SwaptionShift))*SUM(INDEX($FK$325:$ID$396,GQ$169,1+SwaptionShift):INDEX($FK$325:$ID$396,GQ$169,SwaptionMonthsToGo+SwaptionShift))))))</f>
        <v/>
      </c>
      <c r="GR238" s="479" t="str">
        <f ca="1">IF(OR(GR$169&lt;SwaptionFirstMonthPosition+1,$FJ238&lt;SwaptionFirstMonthPosition+1,GR$169&gt;SwaptionFirstMonthPosition+SwaptionNumOfMonths+1,$FJ238&gt;SwaptionFirstMonthPosition+SwaptionNumOfMonths+1),"",IF($FJ238=GR$169,1,IF($FJ238&lt;GR$169,INDEX($FK$170:$ID$241,GR$169,$FJ238),SUMPRODUCT(INDEX($FK$325:$ID$396,GR$169,1+SwaptionShift):INDEX($FK$325:$ID$396,GR$169,SwaptionMonthsToGo+SwaptionShift),INDEX($FK$245:$ID$316,$FJ238-GR$169,73-GR$169+SwaptionShift):INDEX($FK$245:$ID$316,$FJ238-GR$169,72-GR$169+SwaptionMonthsToGo+SwaptionShift))/SQRT(SUM(INDEX($FK393:$ID393,1+SwaptionShift):INDEX($FK393:$ID393,SwaptionMonthsToGo+SwaptionShift))*SUM(INDEX($FK$325:$ID$396,GR$169,1+SwaptionShift):INDEX($FK$325:$ID$396,GR$169,SwaptionMonthsToGo+SwaptionShift))))))</f>
        <v/>
      </c>
      <c r="GS238" s="479" t="str">
        <f ca="1">IF(OR(GS$169&lt;SwaptionFirstMonthPosition+1,$FJ238&lt;SwaptionFirstMonthPosition+1,GS$169&gt;SwaptionFirstMonthPosition+SwaptionNumOfMonths+1,$FJ238&gt;SwaptionFirstMonthPosition+SwaptionNumOfMonths+1),"",IF($FJ238=GS$169,1,IF($FJ238&lt;GS$169,INDEX($FK$170:$ID$241,GS$169,$FJ238),SUMPRODUCT(INDEX($FK$325:$ID$396,GS$169,1+SwaptionShift):INDEX($FK$325:$ID$396,GS$169,SwaptionMonthsToGo+SwaptionShift),INDEX($FK$245:$ID$316,$FJ238-GS$169,73-GS$169+SwaptionShift):INDEX($FK$245:$ID$316,$FJ238-GS$169,72-GS$169+SwaptionMonthsToGo+SwaptionShift))/SQRT(SUM(INDEX($FK393:$ID393,1+SwaptionShift):INDEX($FK393:$ID393,SwaptionMonthsToGo+SwaptionShift))*SUM(INDEX($FK$325:$ID$396,GS$169,1+SwaptionShift):INDEX($FK$325:$ID$396,GS$169,SwaptionMonthsToGo+SwaptionShift))))))</f>
        <v/>
      </c>
      <c r="GT238" s="479" t="str">
        <f ca="1">IF(OR(GT$169&lt;SwaptionFirstMonthPosition+1,$FJ238&lt;SwaptionFirstMonthPosition+1,GT$169&gt;SwaptionFirstMonthPosition+SwaptionNumOfMonths+1,$FJ238&gt;SwaptionFirstMonthPosition+SwaptionNumOfMonths+1),"",IF($FJ238=GT$169,1,IF($FJ238&lt;GT$169,INDEX($FK$170:$ID$241,GT$169,$FJ238),SUMPRODUCT(INDEX($FK$325:$ID$396,GT$169,1+SwaptionShift):INDEX($FK$325:$ID$396,GT$169,SwaptionMonthsToGo+SwaptionShift),INDEX($FK$245:$ID$316,$FJ238-GT$169,73-GT$169+SwaptionShift):INDEX($FK$245:$ID$316,$FJ238-GT$169,72-GT$169+SwaptionMonthsToGo+SwaptionShift))/SQRT(SUM(INDEX($FK393:$ID393,1+SwaptionShift):INDEX($FK393:$ID393,SwaptionMonthsToGo+SwaptionShift))*SUM(INDEX($FK$325:$ID$396,GT$169,1+SwaptionShift):INDEX($FK$325:$ID$396,GT$169,SwaptionMonthsToGo+SwaptionShift))))))</f>
        <v/>
      </c>
      <c r="GU238" s="479" t="str">
        <f ca="1">IF(OR(GU$169&lt;SwaptionFirstMonthPosition+1,$FJ238&lt;SwaptionFirstMonthPosition+1,GU$169&gt;SwaptionFirstMonthPosition+SwaptionNumOfMonths+1,$FJ238&gt;SwaptionFirstMonthPosition+SwaptionNumOfMonths+1),"",IF($FJ238=GU$169,1,IF($FJ238&lt;GU$169,INDEX($FK$170:$ID$241,GU$169,$FJ238),SUMPRODUCT(INDEX($FK$325:$ID$396,GU$169,1+SwaptionShift):INDEX($FK$325:$ID$396,GU$169,SwaptionMonthsToGo+SwaptionShift),INDEX($FK$245:$ID$316,$FJ238-GU$169,73-GU$169+SwaptionShift):INDEX($FK$245:$ID$316,$FJ238-GU$169,72-GU$169+SwaptionMonthsToGo+SwaptionShift))/SQRT(SUM(INDEX($FK393:$ID393,1+SwaptionShift):INDEX($FK393:$ID393,SwaptionMonthsToGo+SwaptionShift))*SUM(INDEX($FK$325:$ID$396,GU$169,1+SwaptionShift):INDEX($FK$325:$ID$396,GU$169,SwaptionMonthsToGo+SwaptionShift))))))</f>
        <v/>
      </c>
      <c r="GV238" s="479" t="str">
        <f ca="1">IF(OR(GV$169&lt;SwaptionFirstMonthPosition+1,$FJ238&lt;SwaptionFirstMonthPosition+1,GV$169&gt;SwaptionFirstMonthPosition+SwaptionNumOfMonths+1,$FJ238&gt;SwaptionFirstMonthPosition+SwaptionNumOfMonths+1),"",IF($FJ238=GV$169,1,IF($FJ238&lt;GV$169,INDEX($FK$170:$ID$241,GV$169,$FJ238),SUMPRODUCT(INDEX($FK$325:$ID$396,GV$169,1+SwaptionShift):INDEX($FK$325:$ID$396,GV$169,SwaptionMonthsToGo+SwaptionShift),INDEX($FK$245:$ID$316,$FJ238-GV$169,73-GV$169+SwaptionShift):INDEX($FK$245:$ID$316,$FJ238-GV$169,72-GV$169+SwaptionMonthsToGo+SwaptionShift))/SQRT(SUM(INDEX($FK393:$ID393,1+SwaptionShift):INDEX($FK393:$ID393,SwaptionMonthsToGo+SwaptionShift))*SUM(INDEX($FK$325:$ID$396,GV$169,1+SwaptionShift):INDEX($FK$325:$ID$396,GV$169,SwaptionMonthsToGo+SwaptionShift))))))</f>
        <v/>
      </c>
      <c r="GW238" s="479" t="str">
        <f ca="1">IF(OR(GW$169&lt;SwaptionFirstMonthPosition+1,$FJ238&lt;SwaptionFirstMonthPosition+1,GW$169&gt;SwaptionFirstMonthPosition+SwaptionNumOfMonths+1,$FJ238&gt;SwaptionFirstMonthPosition+SwaptionNumOfMonths+1),"",IF($FJ238=GW$169,1,IF($FJ238&lt;GW$169,INDEX($FK$170:$ID$241,GW$169,$FJ238),SUMPRODUCT(INDEX($FK$325:$ID$396,GW$169,1+SwaptionShift):INDEX($FK$325:$ID$396,GW$169,SwaptionMonthsToGo+SwaptionShift),INDEX($FK$245:$ID$316,$FJ238-GW$169,73-GW$169+SwaptionShift):INDEX($FK$245:$ID$316,$FJ238-GW$169,72-GW$169+SwaptionMonthsToGo+SwaptionShift))/SQRT(SUM(INDEX($FK393:$ID393,1+SwaptionShift):INDEX($FK393:$ID393,SwaptionMonthsToGo+SwaptionShift))*SUM(INDEX($FK$325:$ID$396,GW$169,1+SwaptionShift):INDEX($FK$325:$ID$396,GW$169,SwaptionMonthsToGo+SwaptionShift))))))</f>
        <v/>
      </c>
      <c r="GX238" s="479" t="str">
        <f ca="1">IF(OR(GX$169&lt;SwaptionFirstMonthPosition+1,$FJ238&lt;SwaptionFirstMonthPosition+1,GX$169&gt;SwaptionFirstMonthPosition+SwaptionNumOfMonths+1,$FJ238&gt;SwaptionFirstMonthPosition+SwaptionNumOfMonths+1),"",IF($FJ238=GX$169,1,IF($FJ238&lt;GX$169,INDEX($FK$170:$ID$241,GX$169,$FJ238),SUMPRODUCT(INDEX($FK$325:$ID$396,GX$169,1+SwaptionShift):INDEX($FK$325:$ID$396,GX$169,SwaptionMonthsToGo+SwaptionShift),INDEX($FK$245:$ID$316,$FJ238-GX$169,73-GX$169+SwaptionShift):INDEX($FK$245:$ID$316,$FJ238-GX$169,72-GX$169+SwaptionMonthsToGo+SwaptionShift))/SQRT(SUM(INDEX($FK393:$ID393,1+SwaptionShift):INDEX($FK393:$ID393,SwaptionMonthsToGo+SwaptionShift))*SUM(INDEX($FK$325:$ID$396,GX$169,1+SwaptionShift):INDEX($FK$325:$ID$396,GX$169,SwaptionMonthsToGo+SwaptionShift))))))</f>
        <v/>
      </c>
      <c r="GY238" s="479" t="str">
        <f ca="1">IF(OR(GY$169&lt;SwaptionFirstMonthPosition+1,$FJ238&lt;SwaptionFirstMonthPosition+1,GY$169&gt;SwaptionFirstMonthPosition+SwaptionNumOfMonths+1,$FJ238&gt;SwaptionFirstMonthPosition+SwaptionNumOfMonths+1),"",IF($FJ238=GY$169,1,IF($FJ238&lt;GY$169,INDEX($FK$170:$ID$241,GY$169,$FJ238),SUMPRODUCT(INDEX($FK$325:$ID$396,GY$169,1+SwaptionShift):INDEX($FK$325:$ID$396,GY$169,SwaptionMonthsToGo+SwaptionShift),INDEX($FK$245:$ID$316,$FJ238-GY$169,73-GY$169+SwaptionShift):INDEX($FK$245:$ID$316,$FJ238-GY$169,72-GY$169+SwaptionMonthsToGo+SwaptionShift))/SQRT(SUM(INDEX($FK393:$ID393,1+SwaptionShift):INDEX($FK393:$ID393,SwaptionMonthsToGo+SwaptionShift))*SUM(INDEX($FK$325:$ID$396,GY$169,1+SwaptionShift):INDEX($FK$325:$ID$396,GY$169,SwaptionMonthsToGo+SwaptionShift))))))</f>
        <v/>
      </c>
      <c r="GZ238" s="479" t="str">
        <f ca="1">IF(OR(GZ$169&lt;SwaptionFirstMonthPosition+1,$FJ238&lt;SwaptionFirstMonthPosition+1,GZ$169&gt;SwaptionFirstMonthPosition+SwaptionNumOfMonths+1,$FJ238&gt;SwaptionFirstMonthPosition+SwaptionNumOfMonths+1),"",IF($FJ238=GZ$169,1,IF($FJ238&lt;GZ$169,INDEX($FK$170:$ID$241,GZ$169,$FJ238),SUMPRODUCT(INDEX($FK$325:$ID$396,GZ$169,1+SwaptionShift):INDEX($FK$325:$ID$396,GZ$169,SwaptionMonthsToGo+SwaptionShift),INDEX($FK$245:$ID$316,$FJ238-GZ$169,73-GZ$169+SwaptionShift):INDEX($FK$245:$ID$316,$FJ238-GZ$169,72-GZ$169+SwaptionMonthsToGo+SwaptionShift))/SQRT(SUM(INDEX($FK393:$ID393,1+SwaptionShift):INDEX($FK393:$ID393,SwaptionMonthsToGo+SwaptionShift))*SUM(INDEX($FK$325:$ID$396,GZ$169,1+SwaptionShift):INDEX($FK$325:$ID$396,GZ$169,SwaptionMonthsToGo+SwaptionShift))))))</f>
        <v/>
      </c>
      <c r="HA238" s="479" t="str">
        <f ca="1">IF(OR(HA$169&lt;SwaptionFirstMonthPosition+1,$FJ238&lt;SwaptionFirstMonthPosition+1,HA$169&gt;SwaptionFirstMonthPosition+SwaptionNumOfMonths+1,$FJ238&gt;SwaptionFirstMonthPosition+SwaptionNumOfMonths+1),"",IF($FJ238=HA$169,1,IF($FJ238&lt;HA$169,INDEX($FK$170:$ID$241,HA$169,$FJ238),SUMPRODUCT(INDEX($FK$325:$ID$396,HA$169,1+SwaptionShift):INDEX($FK$325:$ID$396,HA$169,SwaptionMonthsToGo+SwaptionShift),INDEX($FK$245:$ID$316,$FJ238-HA$169,73-HA$169+SwaptionShift):INDEX($FK$245:$ID$316,$FJ238-HA$169,72-HA$169+SwaptionMonthsToGo+SwaptionShift))/SQRT(SUM(INDEX($FK393:$ID393,1+SwaptionShift):INDEX($FK393:$ID393,SwaptionMonthsToGo+SwaptionShift))*SUM(INDEX($FK$325:$ID$396,HA$169,1+SwaptionShift):INDEX($FK$325:$ID$396,HA$169,SwaptionMonthsToGo+SwaptionShift))))))</f>
        <v/>
      </c>
      <c r="HB238" s="479" t="str">
        <f ca="1">IF(OR(HB$169&lt;SwaptionFirstMonthPosition+1,$FJ238&lt;SwaptionFirstMonthPosition+1,HB$169&gt;SwaptionFirstMonthPosition+SwaptionNumOfMonths+1,$FJ238&gt;SwaptionFirstMonthPosition+SwaptionNumOfMonths+1),"",IF($FJ238=HB$169,1,IF($FJ238&lt;HB$169,INDEX($FK$170:$ID$241,HB$169,$FJ238),SUMPRODUCT(INDEX($FK$325:$ID$396,HB$169,1+SwaptionShift):INDEX($FK$325:$ID$396,HB$169,SwaptionMonthsToGo+SwaptionShift),INDEX($FK$245:$ID$316,$FJ238-HB$169,73-HB$169+SwaptionShift):INDEX($FK$245:$ID$316,$FJ238-HB$169,72-HB$169+SwaptionMonthsToGo+SwaptionShift))/SQRT(SUM(INDEX($FK393:$ID393,1+SwaptionShift):INDEX($FK393:$ID393,SwaptionMonthsToGo+SwaptionShift))*SUM(INDEX($FK$325:$ID$396,HB$169,1+SwaptionShift):INDEX($FK$325:$ID$396,HB$169,SwaptionMonthsToGo+SwaptionShift))))))</f>
        <v/>
      </c>
      <c r="HC238" s="479" t="str">
        <f ca="1">IF(OR(HC$169&lt;SwaptionFirstMonthPosition+1,$FJ238&lt;SwaptionFirstMonthPosition+1,HC$169&gt;SwaptionFirstMonthPosition+SwaptionNumOfMonths+1,$FJ238&gt;SwaptionFirstMonthPosition+SwaptionNumOfMonths+1),"",IF($FJ238=HC$169,1,IF($FJ238&lt;HC$169,INDEX($FK$170:$ID$241,HC$169,$FJ238),SUMPRODUCT(INDEX($FK$325:$ID$396,HC$169,1+SwaptionShift):INDEX($FK$325:$ID$396,HC$169,SwaptionMonthsToGo+SwaptionShift),INDEX($FK$245:$ID$316,$FJ238-HC$169,73-HC$169+SwaptionShift):INDEX($FK$245:$ID$316,$FJ238-HC$169,72-HC$169+SwaptionMonthsToGo+SwaptionShift))/SQRT(SUM(INDEX($FK393:$ID393,1+SwaptionShift):INDEX($FK393:$ID393,SwaptionMonthsToGo+SwaptionShift))*SUM(INDEX($FK$325:$ID$396,HC$169,1+SwaptionShift):INDEX($FK$325:$ID$396,HC$169,SwaptionMonthsToGo+SwaptionShift))))))</f>
        <v/>
      </c>
      <c r="HD238" s="479" t="str">
        <f ca="1">IF(OR(HD$169&lt;SwaptionFirstMonthPosition+1,$FJ238&lt;SwaptionFirstMonthPosition+1,HD$169&gt;SwaptionFirstMonthPosition+SwaptionNumOfMonths+1,$FJ238&gt;SwaptionFirstMonthPosition+SwaptionNumOfMonths+1),"",IF($FJ238=HD$169,1,IF($FJ238&lt;HD$169,INDEX($FK$170:$ID$241,HD$169,$FJ238),SUMPRODUCT(INDEX($FK$325:$ID$396,HD$169,1+SwaptionShift):INDEX($FK$325:$ID$396,HD$169,SwaptionMonthsToGo+SwaptionShift),INDEX($FK$245:$ID$316,$FJ238-HD$169,73-HD$169+SwaptionShift):INDEX($FK$245:$ID$316,$FJ238-HD$169,72-HD$169+SwaptionMonthsToGo+SwaptionShift))/SQRT(SUM(INDEX($FK393:$ID393,1+SwaptionShift):INDEX($FK393:$ID393,SwaptionMonthsToGo+SwaptionShift))*SUM(INDEX($FK$325:$ID$396,HD$169,1+SwaptionShift):INDEX($FK$325:$ID$396,HD$169,SwaptionMonthsToGo+SwaptionShift))))))</f>
        <v/>
      </c>
      <c r="HE238" s="479" t="str">
        <f ca="1">IF(OR(HE$169&lt;SwaptionFirstMonthPosition+1,$FJ238&lt;SwaptionFirstMonthPosition+1,HE$169&gt;SwaptionFirstMonthPosition+SwaptionNumOfMonths+1,$FJ238&gt;SwaptionFirstMonthPosition+SwaptionNumOfMonths+1),"",IF($FJ238=HE$169,1,IF($FJ238&lt;HE$169,INDEX($FK$170:$ID$241,HE$169,$FJ238),SUMPRODUCT(INDEX($FK$325:$ID$396,HE$169,1+SwaptionShift):INDEX($FK$325:$ID$396,HE$169,SwaptionMonthsToGo+SwaptionShift),INDEX($FK$245:$ID$316,$FJ238-HE$169,73-HE$169+SwaptionShift):INDEX($FK$245:$ID$316,$FJ238-HE$169,72-HE$169+SwaptionMonthsToGo+SwaptionShift))/SQRT(SUM(INDEX($FK393:$ID393,1+SwaptionShift):INDEX($FK393:$ID393,SwaptionMonthsToGo+SwaptionShift))*SUM(INDEX($FK$325:$ID$396,HE$169,1+SwaptionShift):INDEX($FK$325:$ID$396,HE$169,SwaptionMonthsToGo+SwaptionShift))))))</f>
        <v/>
      </c>
      <c r="HF238" s="479" t="str">
        <f ca="1">IF(OR(HF$169&lt;SwaptionFirstMonthPosition+1,$FJ238&lt;SwaptionFirstMonthPosition+1,HF$169&gt;SwaptionFirstMonthPosition+SwaptionNumOfMonths+1,$FJ238&gt;SwaptionFirstMonthPosition+SwaptionNumOfMonths+1),"",IF($FJ238=HF$169,1,IF($FJ238&lt;HF$169,INDEX($FK$170:$ID$241,HF$169,$FJ238),SUMPRODUCT(INDEX($FK$325:$ID$396,HF$169,1+SwaptionShift):INDEX($FK$325:$ID$396,HF$169,SwaptionMonthsToGo+SwaptionShift),INDEX($FK$245:$ID$316,$FJ238-HF$169,73-HF$169+SwaptionShift):INDEX($FK$245:$ID$316,$FJ238-HF$169,72-HF$169+SwaptionMonthsToGo+SwaptionShift))/SQRT(SUM(INDEX($FK393:$ID393,1+SwaptionShift):INDEX($FK393:$ID393,SwaptionMonthsToGo+SwaptionShift))*SUM(INDEX($FK$325:$ID$396,HF$169,1+SwaptionShift):INDEX($FK$325:$ID$396,HF$169,SwaptionMonthsToGo+SwaptionShift))))))</f>
        <v/>
      </c>
      <c r="HG238" s="479" t="str">
        <f ca="1">IF(OR(HG$169&lt;SwaptionFirstMonthPosition+1,$FJ238&lt;SwaptionFirstMonthPosition+1,HG$169&gt;SwaptionFirstMonthPosition+SwaptionNumOfMonths+1,$FJ238&gt;SwaptionFirstMonthPosition+SwaptionNumOfMonths+1),"",IF($FJ238=HG$169,1,IF($FJ238&lt;HG$169,INDEX($FK$170:$ID$241,HG$169,$FJ238),SUMPRODUCT(INDEX($FK$325:$ID$396,HG$169,1+SwaptionShift):INDEX($FK$325:$ID$396,HG$169,SwaptionMonthsToGo+SwaptionShift),INDEX($FK$245:$ID$316,$FJ238-HG$169,73-HG$169+SwaptionShift):INDEX($FK$245:$ID$316,$FJ238-HG$169,72-HG$169+SwaptionMonthsToGo+SwaptionShift))/SQRT(SUM(INDEX($FK393:$ID393,1+SwaptionShift):INDEX($FK393:$ID393,SwaptionMonthsToGo+SwaptionShift))*SUM(INDEX($FK$325:$ID$396,HG$169,1+SwaptionShift):INDEX($FK$325:$ID$396,HG$169,SwaptionMonthsToGo+SwaptionShift))))))</f>
        <v/>
      </c>
      <c r="HH238" s="479" t="str">
        <f ca="1">IF(OR(HH$169&lt;SwaptionFirstMonthPosition+1,$FJ238&lt;SwaptionFirstMonthPosition+1,HH$169&gt;SwaptionFirstMonthPosition+SwaptionNumOfMonths+1,$FJ238&gt;SwaptionFirstMonthPosition+SwaptionNumOfMonths+1),"",IF($FJ238=HH$169,1,IF($FJ238&lt;HH$169,INDEX($FK$170:$ID$241,HH$169,$FJ238),SUMPRODUCT(INDEX($FK$325:$ID$396,HH$169,1+SwaptionShift):INDEX($FK$325:$ID$396,HH$169,SwaptionMonthsToGo+SwaptionShift),INDEX($FK$245:$ID$316,$FJ238-HH$169,73-HH$169+SwaptionShift):INDEX($FK$245:$ID$316,$FJ238-HH$169,72-HH$169+SwaptionMonthsToGo+SwaptionShift))/SQRT(SUM(INDEX($FK393:$ID393,1+SwaptionShift):INDEX($FK393:$ID393,SwaptionMonthsToGo+SwaptionShift))*SUM(INDEX($FK$325:$ID$396,HH$169,1+SwaptionShift):INDEX($FK$325:$ID$396,HH$169,SwaptionMonthsToGo+SwaptionShift))))))</f>
        <v/>
      </c>
      <c r="HI238" s="479" t="str">
        <f ca="1">IF(OR(HI$169&lt;SwaptionFirstMonthPosition+1,$FJ238&lt;SwaptionFirstMonthPosition+1,HI$169&gt;SwaptionFirstMonthPosition+SwaptionNumOfMonths+1,$FJ238&gt;SwaptionFirstMonthPosition+SwaptionNumOfMonths+1),"",IF($FJ238=HI$169,1,IF($FJ238&lt;HI$169,INDEX($FK$170:$ID$241,HI$169,$FJ238),SUMPRODUCT(INDEX($FK$325:$ID$396,HI$169,1+SwaptionShift):INDEX($FK$325:$ID$396,HI$169,SwaptionMonthsToGo+SwaptionShift),INDEX($FK$245:$ID$316,$FJ238-HI$169,73-HI$169+SwaptionShift):INDEX($FK$245:$ID$316,$FJ238-HI$169,72-HI$169+SwaptionMonthsToGo+SwaptionShift))/SQRT(SUM(INDEX($FK393:$ID393,1+SwaptionShift):INDEX($FK393:$ID393,SwaptionMonthsToGo+SwaptionShift))*SUM(INDEX($FK$325:$ID$396,HI$169,1+SwaptionShift):INDEX($FK$325:$ID$396,HI$169,SwaptionMonthsToGo+SwaptionShift))))))</f>
        <v/>
      </c>
      <c r="HJ238" s="479" t="str">
        <f ca="1">IF(OR(HJ$169&lt;SwaptionFirstMonthPosition+1,$FJ238&lt;SwaptionFirstMonthPosition+1,HJ$169&gt;SwaptionFirstMonthPosition+SwaptionNumOfMonths+1,$FJ238&gt;SwaptionFirstMonthPosition+SwaptionNumOfMonths+1),"",IF($FJ238=HJ$169,1,IF($FJ238&lt;HJ$169,INDEX($FK$170:$ID$241,HJ$169,$FJ238),SUMPRODUCT(INDEX($FK$325:$ID$396,HJ$169,1+SwaptionShift):INDEX($FK$325:$ID$396,HJ$169,SwaptionMonthsToGo+SwaptionShift),INDEX($FK$245:$ID$316,$FJ238-HJ$169,73-HJ$169+SwaptionShift):INDEX($FK$245:$ID$316,$FJ238-HJ$169,72-HJ$169+SwaptionMonthsToGo+SwaptionShift))/SQRT(SUM(INDEX($FK393:$ID393,1+SwaptionShift):INDEX($FK393:$ID393,SwaptionMonthsToGo+SwaptionShift))*SUM(INDEX($FK$325:$ID$396,HJ$169,1+SwaptionShift):INDEX($FK$325:$ID$396,HJ$169,SwaptionMonthsToGo+SwaptionShift))))))</f>
        <v/>
      </c>
      <c r="HK238" s="479" t="str">
        <f ca="1">IF(OR(HK$169&lt;SwaptionFirstMonthPosition+1,$FJ238&lt;SwaptionFirstMonthPosition+1,HK$169&gt;SwaptionFirstMonthPosition+SwaptionNumOfMonths+1,$FJ238&gt;SwaptionFirstMonthPosition+SwaptionNumOfMonths+1),"",IF($FJ238=HK$169,1,IF($FJ238&lt;HK$169,INDEX($FK$170:$ID$241,HK$169,$FJ238),SUMPRODUCT(INDEX($FK$325:$ID$396,HK$169,1+SwaptionShift):INDEX($FK$325:$ID$396,HK$169,SwaptionMonthsToGo+SwaptionShift),INDEX($FK$245:$ID$316,$FJ238-HK$169,73-HK$169+SwaptionShift):INDEX($FK$245:$ID$316,$FJ238-HK$169,72-HK$169+SwaptionMonthsToGo+SwaptionShift))/SQRT(SUM(INDEX($FK393:$ID393,1+SwaptionShift):INDEX($FK393:$ID393,SwaptionMonthsToGo+SwaptionShift))*SUM(INDEX($FK$325:$ID$396,HK$169,1+SwaptionShift):INDEX($FK$325:$ID$396,HK$169,SwaptionMonthsToGo+SwaptionShift))))))</f>
        <v/>
      </c>
      <c r="HL238" s="479" t="str">
        <f ca="1">IF(OR(HL$169&lt;SwaptionFirstMonthPosition+1,$FJ238&lt;SwaptionFirstMonthPosition+1,HL$169&gt;SwaptionFirstMonthPosition+SwaptionNumOfMonths+1,$FJ238&gt;SwaptionFirstMonthPosition+SwaptionNumOfMonths+1),"",IF($FJ238=HL$169,1,IF($FJ238&lt;HL$169,INDEX($FK$170:$ID$241,HL$169,$FJ238),SUMPRODUCT(INDEX($FK$325:$ID$396,HL$169,1+SwaptionShift):INDEX($FK$325:$ID$396,HL$169,SwaptionMonthsToGo+SwaptionShift),INDEX($FK$245:$ID$316,$FJ238-HL$169,73-HL$169+SwaptionShift):INDEX($FK$245:$ID$316,$FJ238-HL$169,72-HL$169+SwaptionMonthsToGo+SwaptionShift))/SQRT(SUM(INDEX($FK393:$ID393,1+SwaptionShift):INDEX($FK393:$ID393,SwaptionMonthsToGo+SwaptionShift))*SUM(INDEX($FK$325:$ID$396,HL$169,1+SwaptionShift):INDEX($FK$325:$ID$396,HL$169,SwaptionMonthsToGo+SwaptionShift))))))</f>
        <v/>
      </c>
      <c r="HM238" s="479" t="str">
        <f ca="1">IF(OR(HM$169&lt;SwaptionFirstMonthPosition+1,$FJ238&lt;SwaptionFirstMonthPosition+1,HM$169&gt;SwaptionFirstMonthPosition+SwaptionNumOfMonths+1,$FJ238&gt;SwaptionFirstMonthPosition+SwaptionNumOfMonths+1),"",IF($FJ238=HM$169,1,IF($FJ238&lt;HM$169,INDEX($FK$170:$ID$241,HM$169,$FJ238),SUMPRODUCT(INDEX($FK$325:$ID$396,HM$169,1+SwaptionShift):INDEX($FK$325:$ID$396,HM$169,SwaptionMonthsToGo+SwaptionShift),INDEX($FK$245:$ID$316,$FJ238-HM$169,73-HM$169+SwaptionShift):INDEX($FK$245:$ID$316,$FJ238-HM$169,72-HM$169+SwaptionMonthsToGo+SwaptionShift))/SQRT(SUM(INDEX($FK393:$ID393,1+SwaptionShift):INDEX($FK393:$ID393,SwaptionMonthsToGo+SwaptionShift))*SUM(INDEX($FK$325:$ID$396,HM$169,1+SwaptionShift):INDEX($FK$325:$ID$396,HM$169,SwaptionMonthsToGo+SwaptionShift))))))</f>
        <v/>
      </c>
      <c r="HN238" s="479" t="str">
        <f ca="1">IF(OR(HN$169&lt;SwaptionFirstMonthPosition+1,$FJ238&lt;SwaptionFirstMonthPosition+1,HN$169&gt;SwaptionFirstMonthPosition+SwaptionNumOfMonths+1,$FJ238&gt;SwaptionFirstMonthPosition+SwaptionNumOfMonths+1),"",IF($FJ238=HN$169,1,IF($FJ238&lt;HN$169,INDEX($FK$170:$ID$241,HN$169,$FJ238),SUMPRODUCT(INDEX($FK$325:$ID$396,HN$169,1+SwaptionShift):INDEX($FK$325:$ID$396,HN$169,SwaptionMonthsToGo+SwaptionShift),INDEX($FK$245:$ID$316,$FJ238-HN$169,73-HN$169+SwaptionShift):INDEX($FK$245:$ID$316,$FJ238-HN$169,72-HN$169+SwaptionMonthsToGo+SwaptionShift))/SQRT(SUM(INDEX($FK393:$ID393,1+SwaptionShift):INDEX($FK393:$ID393,SwaptionMonthsToGo+SwaptionShift))*SUM(INDEX($FK$325:$ID$396,HN$169,1+SwaptionShift):INDEX($FK$325:$ID$396,HN$169,SwaptionMonthsToGo+SwaptionShift))))))</f>
        <v/>
      </c>
      <c r="HO238" s="479" t="str">
        <f ca="1">IF(OR(HO$169&lt;SwaptionFirstMonthPosition+1,$FJ238&lt;SwaptionFirstMonthPosition+1,HO$169&gt;SwaptionFirstMonthPosition+SwaptionNumOfMonths+1,$FJ238&gt;SwaptionFirstMonthPosition+SwaptionNumOfMonths+1),"",IF($FJ238=HO$169,1,IF($FJ238&lt;HO$169,INDEX($FK$170:$ID$241,HO$169,$FJ238),SUMPRODUCT(INDEX($FK$325:$ID$396,HO$169,1+SwaptionShift):INDEX($FK$325:$ID$396,HO$169,SwaptionMonthsToGo+SwaptionShift),INDEX($FK$245:$ID$316,$FJ238-HO$169,73-HO$169+SwaptionShift):INDEX($FK$245:$ID$316,$FJ238-HO$169,72-HO$169+SwaptionMonthsToGo+SwaptionShift))/SQRT(SUM(INDEX($FK393:$ID393,1+SwaptionShift):INDEX($FK393:$ID393,SwaptionMonthsToGo+SwaptionShift))*SUM(INDEX($FK$325:$ID$396,HO$169,1+SwaptionShift):INDEX($FK$325:$ID$396,HO$169,SwaptionMonthsToGo+SwaptionShift))))))</f>
        <v/>
      </c>
      <c r="HP238" s="479" t="str">
        <f ca="1">IF(OR(HP$169&lt;SwaptionFirstMonthPosition+1,$FJ238&lt;SwaptionFirstMonthPosition+1,HP$169&gt;SwaptionFirstMonthPosition+SwaptionNumOfMonths+1,$FJ238&gt;SwaptionFirstMonthPosition+SwaptionNumOfMonths+1),"",IF($FJ238=HP$169,1,IF($FJ238&lt;HP$169,INDEX($FK$170:$ID$241,HP$169,$FJ238),SUMPRODUCT(INDEX($FK$325:$ID$396,HP$169,1+SwaptionShift):INDEX($FK$325:$ID$396,HP$169,SwaptionMonthsToGo+SwaptionShift),INDEX($FK$245:$ID$316,$FJ238-HP$169,73-HP$169+SwaptionShift):INDEX($FK$245:$ID$316,$FJ238-HP$169,72-HP$169+SwaptionMonthsToGo+SwaptionShift))/SQRT(SUM(INDEX($FK393:$ID393,1+SwaptionShift):INDEX($FK393:$ID393,SwaptionMonthsToGo+SwaptionShift))*SUM(INDEX($FK$325:$ID$396,HP$169,1+SwaptionShift):INDEX($FK$325:$ID$396,HP$169,SwaptionMonthsToGo+SwaptionShift))))))</f>
        <v/>
      </c>
      <c r="HQ238" s="479" t="str">
        <f ca="1">IF(OR(HQ$169&lt;SwaptionFirstMonthPosition+1,$FJ238&lt;SwaptionFirstMonthPosition+1,HQ$169&gt;SwaptionFirstMonthPosition+SwaptionNumOfMonths+1,$FJ238&gt;SwaptionFirstMonthPosition+SwaptionNumOfMonths+1),"",IF($FJ238=HQ$169,1,IF($FJ238&lt;HQ$169,INDEX($FK$170:$ID$241,HQ$169,$FJ238),SUMPRODUCT(INDEX($FK$325:$ID$396,HQ$169,1+SwaptionShift):INDEX($FK$325:$ID$396,HQ$169,SwaptionMonthsToGo+SwaptionShift),INDEX($FK$245:$ID$316,$FJ238-HQ$169,73-HQ$169+SwaptionShift):INDEX($FK$245:$ID$316,$FJ238-HQ$169,72-HQ$169+SwaptionMonthsToGo+SwaptionShift))/SQRT(SUM(INDEX($FK393:$ID393,1+SwaptionShift):INDEX($FK393:$ID393,SwaptionMonthsToGo+SwaptionShift))*SUM(INDEX($FK$325:$ID$396,HQ$169,1+SwaptionShift):INDEX($FK$325:$ID$396,HQ$169,SwaptionMonthsToGo+SwaptionShift))))))</f>
        <v/>
      </c>
      <c r="HR238" s="479" t="str">
        <f ca="1">IF(OR(HR$169&lt;SwaptionFirstMonthPosition+1,$FJ238&lt;SwaptionFirstMonthPosition+1,HR$169&gt;SwaptionFirstMonthPosition+SwaptionNumOfMonths+1,$FJ238&gt;SwaptionFirstMonthPosition+SwaptionNumOfMonths+1),"",IF($FJ238=HR$169,1,IF($FJ238&lt;HR$169,INDEX($FK$170:$ID$241,HR$169,$FJ238),SUMPRODUCT(INDEX($FK$325:$ID$396,HR$169,1+SwaptionShift):INDEX($FK$325:$ID$396,HR$169,SwaptionMonthsToGo+SwaptionShift),INDEX($FK$245:$ID$316,$FJ238-HR$169,73-HR$169+SwaptionShift):INDEX($FK$245:$ID$316,$FJ238-HR$169,72-HR$169+SwaptionMonthsToGo+SwaptionShift))/SQRT(SUM(INDEX($FK393:$ID393,1+SwaptionShift):INDEX($FK393:$ID393,SwaptionMonthsToGo+SwaptionShift))*SUM(INDEX($FK$325:$ID$396,HR$169,1+SwaptionShift):INDEX($FK$325:$ID$396,HR$169,SwaptionMonthsToGo+SwaptionShift))))))</f>
        <v/>
      </c>
      <c r="HS238" s="479" t="str">
        <f ca="1">IF(OR(HS$169&lt;SwaptionFirstMonthPosition+1,$FJ238&lt;SwaptionFirstMonthPosition+1,HS$169&gt;SwaptionFirstMonthPosition+SwaptionNumOfMonths+1,$FJ238&gt;SwaptionFirstMonthPosition+SwaptionNumOfMonths+1),"",IF($FJ238=HS$169,1,IF($FJ238&lt;HS$169,INDEX($FK$170:$ID$241,HS$169,$FJ238),SUMPRODUCT(INDEX($FK$325:$ID$396,HS$169,1+SwaptionShift):INDEX($FK$325:$ID$396,HS$169,SwaptionMonthsToGo+SwaptionShift),INDEX($FK$245:$ID$316,$FJ238-HS$169,73-HS$169+SwaptionShift):INDEX($FK$245:$ID$316,$FJ238-HS$169,72-HS$169+SwaptionMonthsToGo+SwaptionShift))/SQRT(SUM(INDEX($FK393:$ID393,1+SwaptionShift):INDEX($FK393:$ID393,SwaptionMonthsToGo+SwaptionShift))*SUM(INDEX($FK$325:$ID$396,HS$169,1+SwaptionShift):INDEX($FK$325:$ID$396,HS$169,SwaptionMonthsToGo+SwaptionShift))))))</f>
        <v/>
      </c>
      <c r="HT238" s="479" t="str">
        <f ca="1">IF(OR(HT$169&lt;SwaptionFirstMonthPosition+1,$FJ238&lt;SwaptionFirstMonthPosition+1,HT$169&gt;SwaptionFirstMonthPosition+SwaptionNumOfMonths+1,$FJ238&gt;SwaptionFirstMonthPosition+SwaptionNumOfMonths+1),"",IF($FJ238=HT$169,1,IF($FJ238&lt;HT$169,INDEX($FK$170:$ID$241,HT$169,$FJ238),SUMPRODUCT(INDEX($FK$325:$ID$396,HT$169,1+SwaptionShift):INDEX($FK$325:$ID$396,HT$169,SwaptionMonthsToGo+SwaptionShift),INDEX($FK$245:$ID$316,$FJ238-HT$169,73-HT$169+SwaptionShift):INDEX($FK$245:$ID$316,$FJ238-HT$169,72-HT$169+SwaptionMonthsToGo+SwaptionShift))/SQRT(SUM(INDEX($FK393:$ID393,1+SwaptionShift):INDEX($FK393:$ID393,SwaptionMonthsToGo+SwaptionShift))*SUM(INDEX($FK$325:$ID$396,HT$169,1+SwaptionShift):INDEX($FK$325:$ID$396,HT$169,SwaptionMonthsToGo+SwaptionShift))))))</f>
        <v/>
      </c>
      <c r="HU238" s="479" t="str">
        <f ca="1">IF(OR(HU$169&lt;SwaptionFirstMonthPosition+1,$FJ238&lt;SwaptionFirstMonthPosition+1,HU$169&gt;SwaptionFirstMonthPosition+SwaptionNumOfMonths+1,$FJ238&gt;SwaptionFirstMonthPosition+SwaptionNumOfMonths+1),"",IF($FJ238=HU$169,1,IF($FJ238&lt;HU$169,INDEX($FK$170:$ID$241,HU$169,$FJ238),SUMPRODUCT(INDEX($FK$325:$ID$396,HU$169,1+SwaptionShift):INDEX($FK$325:$ID$396,HU$169,SwaptionMonthsToGo+SwaptionShift),INDEX($FK$245:$ID$316,$FJ238-HU$169,73-HU$169+SwaptionShift):INDEX($FK$245:$ID$316,$FJ238-HU$169,72-HU$169+SwaptionMonthsToGo+SwaptionShift))/SQRT(SUM(INDEX($FK393:$ID393,1+SwaptionShift):INDEX($FK393:$ID393,SwaptionMonthsToGo+SwaptionShift))*SUM(INDEX($FK$325:$ID$396,HU$169,1+SwaptionShift):INDEX($FK$325:$ID$396,HU$169,SwaptionMonthsToGo+SwaptionShift))))))</f>
        <v/>
      </c>
      <c r="HV238" s="479" t="str">
        <f ca="1">IF(OR(HV$169&lt;SwaptionFirstMonthPosition+1,$FJ238&lt;SwaptionFirstMonthPosition+1,HV$169&gt;SwaptionFirstMonthPosition+SwaptionNumOfMonths+1,$FJ238&gt;SwaptionFirstMonthPosition+SwaptionNumOfMonths+1),"",IF($FJ238=HV$169,1,IF($FJ238&lt;HV$169,INDEX($FK$170:$ID$241,HV$169,$FJ238),SUMPRODUCT(INDEX($FK$325:$ID$396,HV$169,1+SwaptionShift):INDEX($FK$325:$ID$396,HV$169,SwaptionMonthsToGo+SwaptionShift),INDEX($FK$245:$ID$316,$FJ238-HV$169,73-HV$169+SwaptionShift):INDEX($FK$245:$ID$316,$FJ238-HV$169,72-HV$169+SwaptionMonthsToGo+SwaptionShift))/SQRT(SUM(INDEX($FK393:$ID393,1+SwaptionShift):INDEX($FK393:$ID393,SwaptionMonthsToGo+SwaptionShift))*SUM(INDEX($FK$325:$ID$396,HV$169,1+SwaptionShift):INDEX($FK$325:$ID$396,HV$169,SwaptionMonthsToGo+SwaptionShift))))))</f>
        <v/>
      </c>
      <c r="HW238" s="479" t="str">
        <f ca="1">IF(OR(HW$169&lt;SwaptionFirstMonthPosition+1,$FJ238&lt;SwaptionFirstMonthPosition+1,HW$169&gt;SwaptionFirstMonthPosition+SwaptionNumOfMonths+1,$FJ238&gt;SwaptionFirstMonthPosition+SwaptionNumOfMonths+1),"",IF($FJ238=HW$169,1,IF($FJ238&lt;HW$169,INDEX($FK$170:$ID$241,HW$169,$FJ238),SUMPRODUCT(INDEX($FK$325:$ID$396,HW$169,1+SwaptionShift):INDEX($FK$325:$ID$396,HW$169,SwaptionMonthsToGo+SwaptionShift),INDEX($FK$245:$ID$316,$FJ238-HW$169,73-HW$169+SwaptionShift):INDEX($FK$245:$ID$316,$FJ238-HW$169,72-HW$169+SwaptionMonthsToGo+SwaptionShift))/SQRT(SUM(INDEX($FK393:$ID393,1+SwaptionShift):INDEX($FK393:$ID393,SwaptionMonthsToGo+SwaptionShift))*SUM(INDEX($FK$325:$ID$396,HW$169,1+SwaptionShift):INDEX($FK$325:$ID$396,HW$169,SwaptionMonthsToGo+SwaptionShift))))))</f>
        <v/>
      </c>
      <c r="HX238" s="479" t="str">
        <f ca="1">IF(OR(HX$169&lt;SwaptionFirstMonthPosition+1,$FJ238&lt;SwaptionFirstMonthPosition+1,HX$169&gt;SwaptionFirstMonthPosition+SwaptionNumOfMonths+1,$FJ238&gt;SwaptionFirstMonthPosition+SwaptionNumOfMonths+1),"",IF($FJ238=HX$169,1,IF($FJ238&lt;HX$169,INDEX($FK$170:$ID$241,HX$169,$FJ238),SUMPRODUCT(INDEX($FK$325:$ID$396,HX$169,1+SwaptionShift):INDEX($FK$325:$ID$396,HX$169,SwaptionMonthsToGo+SwaptionShift),INDEX($FK$245:$ID$316,$FJ238-HX$169,73-HX$169+SwaptionShift):INDEX($FK$245:$ID$316,$FJ238-HX$169,72-HX$169+SwaptionMonthsToGo+SwaptionShift))/SQRT(SUM(INDEX($FK393:$ID393,1+SwaptionShift):INDEX($FK393:$ID393,SwaptionMonthsToGo+SwaptionShift))*SUM(INDEX($FK$325:$ID$396,HX$169,1+SwaptionShift):INDEX($FK$325:$ID$396,HX$169,SwaptionMonthsToGo+SwaptionShift))))))</f>
        <v/>
      </c>
      <c r="HY238" s="479" t="str">
        <f ca="1">IF(OR(HY$169&lt;SwaptionFirstMonthPosition+1,$FJ238&lt;SwaptionFirstMonthPosition+1,HY$169&gt;SwaptionFirstMonthPosition+SwaptionNumOfMonths+1,$FJ238&gt;SwaptionFirstMonthPosition+SwaptionNumOfMonths+1),"",IF($FJ238=HY$169,1,IF($FJ238&lt;HY$169,INDEX($FK$170:$ID$241,HY$169,$FJ238),SUMPRODUCT(INDEX($FK$325:$ID$396,HY$169,1+SwaptionShift):INDEX($FK$325:$ID$396,HY$169,SwaptionMonthsToGo+SwaptionShift),INDEX($FK$245:$ID$316,$FJ238-HY$169,73-HY$169+SwaptionShift):INDEX($FK$245:$ID$316,$FJ238-HY$169,72-HY$169+SwaptionMonthsToGo+SwaptionShift))/SQRT(SUM(INDEX($FK393:$ID393,1+SwaptionShift):INDEX($FK393:$ID393,SwaptionMonthsToGo+SwaptionShift))*SUM(INDEX($FK$325:$ID$396,HY$169,1+SwaptionShift):INDEX($FK$325:$ID$396,HY$169,SwaptionMonthsToGo+SwaptionShift))))))</f>
        <v/>
      </c>
      <c r="HZ238" s="479" t="str">
        <f ca="1">IF(OR(HZ$169&lt;SwaptionFirstMonthPosition+1,$FJ238&lt;SwaptionFirstMonthPosition+1,HZ$169&gt;SwaptionFirstMonthPosition+SwaptionNumOfMonths+1,$FJ238&gt;SwaptionFirstMonthPosition+SwaptionNumOfMonths+1),"",IF($FJ238=HZ$169,1,IF($FJ238&lt;HZ$169,INDEX($FK$170:$ID$241,HZ$169,$FJ238),SUMPRODUCT(INDEX($FK$325:$ID$396,HZ$169,1+SwaptionShift):INDEX($FK$325:$ID$396,HZ$169,SwaptionMonthsToGo+SwaptionShift),INDEX($FK$245:$ID$316,$FJ238-HZ$169,73-HZ$169+SwaptionShift):INDEX($FK$245:$ID$316,$FJ238-HZ$169,72-HZ$169+SwaptionMonthsToGo+SwaptionShift))/SQRT(SUM(INDEX($FK393:$ID393,1+SwaptionShift):INDEX($FK393:$ID393,SwaptionMonthsToGo+SwaptionShift))*SUM(INDEX($FK$325:$ID$396,HZ$169,1+SwaptionShift):INDEX($FK$325:$ID$396,HZ$169,SwaptionMonthsToGo+SwaptionShift))))))</f>
        <v/>
      </c>
      <c r="IA238" s="479" t="str">
        <f ca="1">IF(OR(IA$169&lt;SwaptionFirstMonthPosition+1,$FJ238&lt;SwaptionFirstMonthPosition+1,IA$169&gt;SwaptionFirstMonthPosition+SwaptionNumOfMonths+1,$FJ238&gt;SwaptionFirstMonthPosition+SwaptionNumOfMonths+1),"",IF($FJ238=IA$169,1,IF($FJ238&lt;IA$169,INDEX($FK$170:$ID$241,IA$169,$FJ238),SUMPRODUCT(INDEX($FK$325:$ID$396,IA$169,1+SwaptionShift):INDEX($FK$325:$ID$396,IA$169,SwaptionMonthsToGo+SwaptionShift),INDEX($FK$245:$ID$316,$FJ238-IA$169,73-IA$169+SwaptionShift):INDEX($FK$245:$ID$316,$FJ238-IA$169,72-IA$169+SwaptionMonthsToGo+SwaptionShift))/SQRT(SUM(INDEX($FK393:$ID393,1+SwaptionShift):INDEX($FK393:$ID393,SwaptionMonthsToGo+SwaptionShift))*SUM(INDEX($FK$325:$ID$396,IA$169,1+SwaptionShift):INDEX($FK$325:$ID$396,IA$169,SwaptionMonthsToGo+SwaptionShift))))))</f>
        <v/>
      </c>
      <c r="IB238" s="479" t="str">
        <f ca="1">IF(OR(IB$169&lt;SwaptionFirstMonthPosition+1,$FJ238&lt;SwaptionFirstMonthPosition+1,IB$169&gt;SwaptionFirstMonthPosition+SwaptionNumOfMonths+1,$FJ238&gt;SwaptionFirstMonthPosition+SwaptionNumOfMonths+1),"",IF($FJ238=IB$169,1,IF($FJ238&lt;IB$169,INDEX($FK$170:$ID$241,IB$169,$FJ238),SUMPRODUCT(INDEX($FK$325:$ID$396,IB$169,1+SwaptionShift):INDEX($FK$325:$ID$396,IB$169,SwaptionMonthsToGo+SwaptionShift),INDEX($FK$245:$ID$316,$FJ238-IB$169,73-IB$169+SwaptionShift):INDEX($FK$245:$ID$316,$FJ238-IB$169,72-IB$169+SwaptionMonthsToGo+SwaptionShift))/SQRT(SUM(INDEX($FK393:$ID393,1+SwaptionShift):INDEX($FK393:$ID393,SwaptionMonthsToGo+SwaptionShift))*SUM(INDEX($FK$325:$ID$396,IB$169,1+SwaptionShift):INDEX($FK$325:$ID$396,IB$169,SwaptionMonthsToGo+SwaptionShift))))))</f>
        <v/>
      </c>
      <c r="IC238" s="479" t="str">
        <f ca="1">IF(OR(IC$169&lt;SwaptionFirstMonthPosition+1,$FJ238&lt;SwaptionFirstMonthPosition+1,IC$169&gt;SwaptionFirstMonthPosition+SwaptionNumOfMonths+1,$FJ238&gt;SwaptionFirstMonthPosition+SwaptionNumOfMonths+1),"",IF($FJ238=IC$169,1,IF($FJ238&lt;IC$169,INDEX($FK$170:$ID$241,IC$169,$FJ238),SUMPRODUCT(INDEX($FK$325:$ID$396,IC$169,1+SwaptionShift):INDEX($FK$325:$ID$396,IC$169,SwaptionMonthsToGo+SwaptionShift),INDEX($FK$245:$ID$316,$FJ238-IC$169,73-IC$169+SwaptionShift):INDEX($FK$245:$ID$316,$FJ238-IC$169,72-IC$169+SwaptionMonthsToGo+SwaptionShift))/SQRT(SUM(INDEX($FK393:$ID393,1+SwaptionShift):INDEX($FK393:$ID393,SwaptionMonthsToGo+SwaptionShift))*SUM(INDEX($FK$325:$ID$396,IC$169,1+SwaptionShift):INDEX($FK$325:$ID$396,IC$169,SwaptionMonthsToGo+SwaptionShift))))))</f>
        <v/>
      </c>
      <c r="ID238" s="678" t="str">
        <f ca="1">IF(OR(ID$169&lt;SwaptionFirstMonthPosition+1,$FJ238&lt;SwaptionFirstMonthPosition+1,ID$169&gt;SwaptionFirstMonthPosition+SwaptionNumOfMonths+1,$FJ238&gt;SwaptionFirstMonthPosition+SwaptionNumOfMonths+1),"",IF($FJ238=ID$169,1,IF($FJ238&lt;ID$169,INDEX($FK$170:$ID$241,ID$169,$FJ238),SUMPRODUCT(INDEX($FK$325:$ID$396,ID$169,1+SwaptionShift):INDEX($FK$325:$ID$396,ID$169,SwaptionMonthsToGo+SwaptionShift),INDEX($FK$245:$ID$316,$FJ238-ID$169,73-ID$169+SwaptionShift):INDEX($FK$245:$ID$316,$FJ238-ID$169,72-ID$169+SwaptionMonthsToGo+SwaptionShift))/SQRT(SUM(INDEX($FK393:$ID393,1+SwaptionShift):INDEX($FK393:$ID393,SwaptionMonthsToGo+SwaptionShift))*SUM(INDEX($FK$325:$ID$396,ID$169,1+SwaptionShift):INDEX($FK$325:$ID$396,ID$169,SwaptionMonthsToGo+SwaptionShift))))))</f>
        <v/>
      </c>
      <c r="IE238" s="250"/>
    </row>
    <row r="239" spans="8:239">
      <c r="H239" s="51">
        <f t="shared" ca="1" si="646"/>
        <v>0</v>
      </c>
      <c r="I239" s="379">
        <f t="shared" si="647"/>
        <v>43435</v>
      </c>
      <c r="J239" s="377"/>
      <c r="K239" s="104" t="s">
        <v>268</v>
      </c>
      <c r="L239" s="392">
        <f t="shared" si="648"/>
        <v>5.3624999999999936</v>
      </c>
      <c r="M239" s="171"/>
      <c r="N239" s="382">
        <v>0</v>
      </c>
      <c r="O239" s="171">
        <f t="shared" si="596"/>
        <v>0</v>
      </c>
      <c r="P239" s="377"/>
      <c r="Q239" s="104" t="s">
        <v>268</v>
      </c>
      <c r="R239" s="377">
        <f t="shared" ca="1" si="597"/>
        <v>4.1628715100713505</v>
      </c>
      <c r="S239" s="832">
        <f t="shared" si="671"/>
        <v>0.3600000000000001</v>
      </c>
      <c r="T239" s="831">
        <f t="shared" si="661"/>
        <v>0.99999999999999933</v>
      </c>
      <c r="U239" s="545">
        <f t="shared" si="662"/>
        <v>0.99999999999999978</v>
      </c>
      <c r="V239" s="389">
        <v>0</v>
      </c>
      <c r="W239" s="434">
        <f t="shared" si="598"/>
        <v>0</v>
      </c>
      <c r="X239" s="415">
        <f t="shared" si="599"/>
        <v>5.4112499999999937</v>
      </c>
      <c r="Y239" s="322">
        <f t="shared" si="600"/>
        <v>-1.1931</v>
      </c>
      <c r="Z239" s="322">
        <f t="shared" ca="1" si="601"/>
        <v>4.2181499999999934</v>
      </c>
      <c r="AA239" s="429">
        <f t="shared" si="628"/>
        <v>1.1931</v>
      </c>
      <c r="AB239" s="433">
        <f t="shared" ca="1" si="629"/>
        <v>1.1931</v>
      </c>
      <c r="AC239" s="229">
        <v>43424</v>
      </c>
      <c r="AD239" s="229">
        <v>43420</v>
      </c>
      <c r="AE239" s="229">
        <v>43419</v>
      </c>
      <c r="AF239" s="229">
        <v>43415</v>
      </c>
      <c r="AG239" s="249" t="s">
        <v>499</v>
      </c>
      <c r="AH239" s="247" t="s">
        <v>499</v>
      </c>
      <c r="AI239" s="146">
        <v>20</v>
      </c>
      <c r="AJ239" s="41">
        <v>14</v>
      </c>
      <c r="AK239" s="41">
        <v>6</v>
      </c>
      <c r="AL239" s="293">
        <v>20</v>
      </c>
      <c r="AM239" s="41">
        <v>10</v>
      </c>
      <c r="AN239" s="147">
        <v>10</v>
      </c>
      <c r="AO239" s="374"/>
      <c r="AP239" s="153">
        <f t="shared" ca="1" si="649"/>
        <v>1</v>
      </c>
      <c r="AQ239" s="374"/>
      <c r="AR239" s="153">
        <f t="shared" ca="1" si="663"/>
        <v>1</v>
      </c>
      <c r="AS239" s="272">
        <f t="shared" si="602"/>
        <v>0</v>
      </c>
      <c r="AT239" s="157">
        <f t="shared" si="650"/>
        <v>0</v>
      </c>
      <c r="AU239" s="157">
        <f t="shared" si="630"/>
        <v>0</v>
      </c>
      <c r="AV239" s="271">
        <f t="shared" ca="1" si="670"/>
        <v>9.9999999999999995E-7</v>
      </c>
      <c r="AW239" s="158" t="str">
        <f t="shared" ca="1" si="583"/>
        <v/>
      </c>
      <c r="AX239" s="157">
        <f t="shared" ca="1" si="664"/>
        <v>1.5657001538073281E-5</v>
      </c>
      <c r="AY239" s="157">
        <f t="shared" ca="1" si="665"/>
        <v>2.8131618705449297E-6</v>
      </c>
      <c r="AZ239" s="157">
        <f t="shared" ca="1" si="666"/>
        <v>4.6883650897612996E-8</v>
      </c>
      <c r="BA239" s="157">
        <f t="shared" ca="1" si="667"/>
        <v>5.8604563622016245E-9</v>
      </c>
      <c r="BB239" s="157">
        <f t="shared" ca="1" si="668"/>
        <v>7.6464311897326179E-12</v>
      </c>
      <c r="BC239" s="157">
        <f t="shared" ca="1" si="669"/>
        <v>6.868989754652981E-14</v>
      </c>
      <c r="BD239" s="151">
        <f t="shared" ca="1" si="603"/>
        <v>0</v>
      </c>
      <c r="BE239" s="152">
        <f t="shared" ca="1" si="604"/>
        <v>0</v>
      </c>
      <c r="BF239" s="40">
        <f t="shared" si="605"/>
        <v>2018</v>
      </c>
      <c r="BG239" s="144">
        <f t="shared" si="606"/>
        <v>12</v>
      </c>
      <c r="BH239" s="145">
        <f t="shared" ca="1" si="607"/>
        <v>6675</v>
      </c>
      <c r="BI239" s="313">
        <f t="shared" ca="1" si="608"/>
        <v>18.316221765913756</v>
      </c>
      <c r="BJ239" s="42">
        <f t="shared" ca="1" si="631"/>
        <v>18.373716632443532</v>
      </c>
      <c r="BK239" s="42">
        <f t="shared" ca="1" si="632"/>
        <v>18.376454483230663</v>
      </c>
      <c r="BL239" s="42">
        <f t="shared" ca="1" si="609"/>
        <v>18.39835728952772</v>
      </c>
      <c r="BM239" s="150" t="e">
        <f t="shared" ca="1" si="633"/>
        <v>#DIV/0!</v>
      </c>
      <c r="BN239" s="42" t="e">
        <f t="shared" ca="1" si="634"/>
        <v>#DIV/0!</v>
      </c>
      <c r="BO239" s="293">
        <f t="shared" si="610"/>
        <v>20</v>
      </c>
      <c r="BP239" s="41">
        <f t="shared" si="611"/>
        <v>14</v>
      </c>
      <c r="BQ239" s="41">
        <f t="shared" si="612"/>
        <v>6</v>
      </c>
      <c r="BR239" s="305" t="str">
        <f t="shared" ca="1" si="635"/>
        <v/>
      </c>
      <c r="BS239" s="305" t="str">
        <f t="shared" ca="1" si="613"/>
        <v/>
      </c>
      <c r="BT239" s="307" t="str">
        <f t="shared" ca="1" si="614"/>
        <v/>
      </c>
      <c r="BU239" s="161" t="str">
        <f t="shared" ca="1" si="636"/>
        <v/>
      </c>
      <c r="BV239" s="161" t="str">
        <f t="shared" ca="1" si="637"/>
        <v/>
      </c>
      <c r="BW239" s="308" t="str">
        <f t="shared" ca="1" si="638"/>
        <v/>
      </c>
      <c r="BX239" s="309" t="str">
        <f t="shared" ca="1" si="639"/>
        <v/>
      </c>
      <c r="BY239" s="308" t="str">
        <f t="shared" ca="1" si="615"/>
        <v/>
      </c>
      <c r="BZ239" s="309" t="str">
        <f t="shared" ca="1" si="616"/>
        <v/>
      </c>
      <c r="CA239" s="154" t="str">
        <f t="shared" ca="1" si="640"/>
        <v/>
      </c>
      <c r="CB239" s="154" t="str">
        <f t="shared" ca="1" si="641"/>
        <v/>
      </c>
      <c r="CC239" s="154" t="str">
        <f t="shared" ca="1" si="642"/>
        <v/>
      </c>
      <c r="CD239" s="154" t="str">
        <f t="shared" ca="1" si="643"/>
        <v/>
      </c>
      <c r="CE239" s="310">
        <v>1</v>
      </c>
      <c r="CF239" s="162">
        <f ca="1">IF(BD239,_xll.xCrudeAPO(BU239,BV239,CA239,CB239,S240,S241,BI239,BL239,BP239,BQ239,0,Strike1,AO239,CE239,0,BL239,IF(OptControl=4,0,1),0,1),0)</f>
        <v>0</v>
      </c>
      <c r="CG239" s="163">
        <f ca="1">IF(BD239,_xll.xCrudeAPO(BU239,BV239,CA239,CB239,S240,S241,BI239,BL239,BP239,BQ239,0,Strike1,AO239,CE239,0,BL239,IF(OptControl=4,0,1),1,1)+_xll.xCrudeAPO(BU239,BV239,CA239,CB239,S240,S241,BI239,BL239,BP239,BQ239,0,Strike1,AO239,CE239,0,BL239,IF(OptControl=4,0,1),1,2)+IF(OR(VolSkewFlag=2,ABS(BS239)&lt;0.0001),0,IF(BS239&gt;0,-1,1)*CH239*Strike1/BR239^2*BY239/10%),0)</f>
        <v>0</v>
      </c>
      <c r="CH239" s="163">
        <f ca="1">IF(BD239,(_xll.xCrudeAPO(BU239,BV239,CA239,CB239,S240,S241,BI239,BL239,BP239,BQ239,0,Strike1,AO239,CE239,0,BL239,IF(OptControl=4,0,1),3,1)+_xll.xCrudeAPO(BU239,BV239,CA239,CB239,S240,S241,BI239,BL239,BP239,BQ239,0,Strike1,AO239,CE239,0,BL239,IF(OptControl=4,0,1),3,2))/100,0)</f>
        <v>0</v>
      </c>
      <c r="CI239" s="163">
        <f ca="1">IF(BD239,_xll.xCrudeAPO(BU239,BV239,CA239,CB239,S240,S241,BI239-DaysForThetaCalculation/365.25,BL239-DaysForThetaCalculation/365.25,BP239,BQ239,0,Strike1,AO239,CE239,0,BL239,IF(OptControl=4,0,1),0,1)-_xll.xCrudeAPO(BU239,BV239,CA239,CB239,S240,S241,BI239,BL239,BP239,BQ239,0,Strike1,AO239,CE239,0,BL239,IF(OptControl=4,0,1),0,1),0)</f>
        <v>0</v>
      </c>
      <c r="CJ239" s="311">
        <f ca="1">IF(BD239,_xll.xCrudeAPO(BU239,BV239,CC239,CD239,S240,S241,BI239,BL239,BP239,BQ239,0,Strike2,AO239,CE239,0,BL239,IF(OptControl=3,1,0),0,1),0)</f>
        <v>0</v>
      </c>
      <c r="CK239" s="163">
        <f ca="1">IF(BD239,_xll.xCrudeAPO(BU239,BV239,CC239,CD239,S240,S241,BI239,BL239,BP239,BQ239,0,Strike2,AO239,CE239,0,BL239,IF(OptControl=3,1,0),1,1)+_xll.xCrudeAPO(BU239,BV239,CC239,CD239,S240,S241,BI239,BL239,BP239,BQ239,0,Strike2,AO239,CE239,0,BL239,IF(OptControl=3,1,0),1,2)+IF(OR(VolSkewFlag=2,ABS(BT239)&lt;0.0001),0,IF(BT239&gt;0,-1,1)*CL239*Strike2/BR239^2*BZ239/10%),0)</f>
        <v>0</v>
      </c>
      <c r="CL239" s="163">
        <f ca="1">IF(BD239,(_xll.xCrudeAPO(BU239,BV239,CC239,CD239,S240,S241,BI239,BL239,BP239,BQ239,0,Strike2,AO239,CE239,0,BL239,IF(OptControl=3,1,0),3,1)+_xll.xCrudeAPO(BU239,BV239,CC239,CD239,S240,S241,BI239,BL239,BP239,BQ239,0,Strike2,AO239,CE239,0,BL239,IF(OptControl=3,1,0),3,2))/100,0)</f>
        <v>0</v>
      </c>
      <c r="CM239" s="164">
        <f ca="1">IF(BD239,_xll.xCrudeAPO(BU239,BV239,CC239,CD239,S240,S241,BI239-DaysForThetaCalculation/365.25,BL239-DaysForThetaCalculation/365.25,BP239,BQ239,0,Strike2,AO239,CE239,0,BL239,IF(OptControl=3,1,0),0,1)-_xll.xCrudeAPO(BU239,BV239,CC239,CD239,S240,S241,BI239,BL239,BP239,BQ239,0,Strike2,AO239,CE239,0,BL239,IF(OptControl=3,1,0),0,1),0)</f>
        <v>0</v>
      </c>
      <c r="CN239" s="53"/>
      <c r="CO239" s="796" t="str">
        <f t="shared" ca="1" si="651"/>
        <v/>
      </c>
      <c r="CP239" s="800" t="str">
        <f t="shared" ca="1" si="652"/>
        <v/>
      </c>
      <c r="CQ239" s="797" t="str">
        <f t="shared" ca="1" si="653"/>
        <v/>
      </c>
      <c r="CR239" s="797" t="str">
        <f t="shared" ca="1" si="654"/>
        <v/>
      </c>
      <c r="CS239" s="797" t="str">
        <f t="shared" ca="1" si="655"/>
        <v/>
      </c>
      <c r="CT239" s="797" t="str">
        <f t="shared" ca="1" si="656"/>
        <v/>
      </c>
      <c r="CU239" s="798" t="str">
        <f t="shared" ca="1" si="657"/>
        <v/>
      </c>
      <c r="CV239" s="799" t="str">
        <f t="shared" ca="1" si="658"/>
        <v/>
      </c>
      <c r="CW239" s="799" t="str">
        <f t="shared" ca="1" si="659"/>
        <v/>
      </c>
      <c r="CX239" s="163">
        <f ca="1">IF(BD239,_xll.EURO(CP239,Strike1,AO239,AO239,CV239,CO239,IF(OptControl=4,0,1),0),0)</f>
        <v>0</v>
      </c>
      <c r="CY239" s="163">
        <f ca="1">IF(BD239,_xll.EURO(CP239,Strike1,AO239,AO239,CV239,CO239,IF(OptControl=4,0,1),1)+IF(OR(VolSkewFlag=2,ABS(CQ239)&lt;0.0001),0,IF(CQ239&gt;0,-1,1)*CZ239*100*Strike1/CP239^2*CS239/10%),0)</f>
        <v>0</v>
      </c>
      <c r="CZ239" s="163">
        <f ca="1">IF(BD239,_xll.EURO(CP239,Strike1,AO239,AO239,CV239,CO239,IF(OptControl=4,0,1),3)/100,0)</f>
        <v>0</v>
      </c>
      <c r="DA239" s="163">
        <f ca="1">IF(BD239,_xll.EURO(CP239,Strike1,AO239,AO239,CV239,CO239,IF(OptControl=4,0,1),0)-_xll.EURO(CP239,Strike1,AO239,AO239,CV239,CO239-1,IF(OptControl=4,0,1),0),0)</f>
        <v>0</v>
      </c>
      <c r="DB239" s="163">
        <f ca="1">IF(BD239,_xll.EURO(CP239,Strike2,AO239,AO239,CW239,CO239,IF(OptControl=3,1,0),0),0)</f>
        <v>0</v>
      </c>
      <c r="DC239" s="163">
        <f ca="1">IF(BD239,_xll.EURO(CP239,Strike2,AO239,AO239,CW239,CO239,IF(OptControl=3,1,0),1)+IF(OR(VolSkewFlag=2,ABS(CR239)&lt;0.0001),0,IF(CR239&gt;0,-1,1)*DD239*100*Strike2/CP239^2*CT239/10%),0)</f>
        <v>0</v>
      </c>
      <c r="DD239" s="163">
        <f ca="1">IF(BD239,_xll.EURO(CP239,Strike2,AO239,AO239,CW239,CO239,IF(OptControl=3,1,0),3)/100,0)</f>
        <v>0</v>
      </c>
      <c r="DE239" s="164">
        <f ca="1">IF(BD239,_xll.EURO(CP239,Strike2,AO239,AO239,CW239,CO239,IF(OptControl=3,1,0),0)-_xll.EURO(CP239,Strike2,AO239,AO239,CW239,CO239-1,IF(OptControl=3,1,0),0),0)</f>
        <v>0</v>
      </c>
      <c r="DG239" s="667">
        <f t="shared" ca="1" si="660"/>
        <v>43221</v>
      </c>
      <c r="DH239" s="475">
        <v>25.110000000000102</v>
      </c>
      <c r="DI239" s="665">
        <v>25.179565217391406</v>
      </c>
      <c r="DJ239" s="666">
        <f t="shared" ca="1" si="617"/>
        <v>43221</v>
      </c>
      <c r="DK239" s="475">
        <v>23.945930033971539</v>
      </c>
      <c r="DL239" s="665">
        <v>23.888065217391407</v>
      </c>
      <c r="DM239" s="667">
        <f t="shared" ca="1" si="618"/>
        <v>43221</v>
      </c>
      <c r="DN239" s="668">
        <f t="shared" si="619"/>
        <v>23.99593003397154</v>
      </c>
      <c r="DO239" s="667">
        <f t="shared" ca="1" si="620"/>
        <v>43221</v>
      </c>
      <c r="DP239" s="579">
        <f t="shared" si="621"/>
        <v>23.888065217391407</v>
      </c>
      <c r="DQ239" s="821">
        <v>0</v>
      </c>
      <c r="DR239" s="666">
        <f t="shared" ca="1" si="622"/>
        <v>43221</v>
      </c>
      <c r="DS239" s="669">
        <v>9.3199999999997007E-2</v>
      </c>
      <c r="DT239" s="606">
        <v>9.2365217391301352E-2</v>
      </c>
      <c r="DU239" s="666">
        <f t="shared" ca="1" si="623"/>
        <v>43221</v>
      </c>
      <c r="DV239" s="669">
        <v>9.3199999999997007E-2</v>
      </c>
      <c r="DW239" s="606">
        <v>9.2365217391301352E-2</v>
      </c>
      <c r="DX239" s="667">
        <f t="shared" ca="1" si="624"/>
        <v>43221</v>
      </c>
      <c r="DY239" s="606">
        <v>0.35</v>
      </c>
      <c r="DZ239" s="667">
        <f t="shared" ca="1" si="625"/>
        <v>43221</v>
      </c>
      <c r="EA239" s="606">
        <f t="shared" si="626"/>
        <v>9.2365217391301352E-2</v>
      </c>
      <c r="EB239" s="1"/>
      <c r="EC239" s="118" t="str">
        <f t="shared" ca="1" si="627"/>
        <v/>
      </c>
      <c r="ED239" s="119" t="str">
        <f t="shared" ca="1" si="644"/>
        <v/>
      </c>
      <c r="EE239" s="112" t="str">
        <f t="shared" ca="1" si="645"/>
        <v/>
      </c>
      <c r="EF239" s="120">
        <f ca="1">IF(BD239,_xll.xASN(BR239,Strike1,AO239,ED239,0,BO239,0,BI239,BL239,IF(OptControl=4,0,1),0),0)</f>
        <v>0</v>
      </c>
      <c r="EG239" s="111">
        <f ca="1">IF(BD239,_xll.xASN(BR239,Strike2,AO239,EE239,0,BO239,0,BI239,BL239,IF(OptControl=3,1,0),0),0)</f>
        <v>0</v>
      </c>
      <c r="EL239" s="55"/>
      <c r="EM239" s="1"/>
      <c r="EN239" s="106"/>
      <c r="EO239" s="106"/>
      <c r="EP239" s="1"/>
      <c r="EQ239" s="683" t="s">
        <v>453</v>
      </c>
      <c r="ES239" s="55"/>
      <c r="EU239" s="107"/>
      <c r="FJ239" s="673">
        <v>70</v>
      </c>
      <c r="FK239" s="479" t="str">
        <f ca="1">IF(OR(FK$169&lt;SwaptionFirstMonthPosition+1,$FJ239&lt;SwaptionFirstMonthPosition+1,FK$169&gt;SwaptionFirstMonthPosition+SwaptionNumOfMonths+1,$FJ239&gt;SwaptionFirstMonthPosition+SwaptionNumOfMonths+1),"",IF($FJ239=FK$169,1,IF($FJ239&lt;FK$169,INDEX($FK$170:$ID$241,FK$169,$FJ239),SUMPRODUCT(INDEX($FK$325:$ID$396,FK$169,1+SwaptionShift):INDEX($FK$325:$ID$396,FK$169,SwaptionMonthsToGo+SwaptionShift),INDEX($FK$245:$ID$316,$FJ239-FK$169,73-FK$169+SwaptionShift):INDEX($FK$245:$ID$316,$FJ239-FK$169,72-FK$169+SwaptionMonthsToGo+SwaptionShift))/SQRT(SUM(INDEX($FK394:$ID394,1+SwaptionShift):INDEX($FK394:$ID394,SwaptionMonthsToGo+SwaptionShift))*SUM(INDEX($FK$325:$ID$396,FK$169,1+SwaptionShift):INDEX($FK$325:$ID$396,FK$169,SwaptionMonthsToGo+SwaptionShift))))))</f>
        <v/>
      </c>
      <c r="FL239" s="479" t="str">
        <f ca="1">IF(OR(FL$169&lt;SwaptionFirstMonthPosition+1,$FJ239&lt;SwaptionFirstMonthPosition+1,FL$169&gt;SwaptionFirstMonthPosition+SwaptionNumOfMonths+1,$FJ239&gt;SwaptionFirstMonthPosition+SwaptionNumOfMonths+1),"",IF($FJ239=FL$169,1,IF($FJ239&lt;FL$169,INDEX($FK$170:$ID$241,FL$169,$FJ239),SUMPRODUCT(INDEX($FK$325:$ID$396,FL$169,1+SwaptionShift):INDEX($FK$325:$ID$396,FL$169,SwaptionMonthsToGo+SwaptionShift),INDEX($FK$245:$ID$316,$FJ239-FL$169,73-FL$169+SwaptionShift):INDEX($FK$245:$ID$316,$FJ239-FL$169,72-FL$169+SwaptionMonthsToGo+SwaptionShift))/SQRT(SUM(INDEX($FK394:$ID394,1+SwaptionShift):INDEX($FK394:$ID394,SwaptionMonthsToGo+SwaptionShift))*SUM(INDEX($FK$325:$ID$396,FL$169,1+SwaptionShift):INDEX($FK$325:$ID$396,FL$169,SwaptionMonthsToGo+SwaptionShift))))))</f>
        <v/>
      </c>
      <c r="FM239" s="479" t="str">
        <f ca="1">IF(OR(FM$169&lt;SwaptionFirstMonthPosition+1,$FJ239&lt;SwaptionFirstMonthPosition+1,FM$169&gt;SwaptionFirstMonthPosition+SwaptionNumOfMonths+1,$FJ239&gt;SwaptionFirstMonthPosition+SwaptionNumOfMonths+1),"",IF($FJ239=FM$169,1,IF($FJ239&lt;FM$169,INDEX($FK$170:$ID$241,FM$169,$FJ239),SUMPRODUCT(INDEX($FK$325:$ID$396,FM$169,1+SwaptionShift):INDEX($FK$325:$ID$396,FM$169,SwaptionMonthsToGo+SwaptionShift),INDEX($FK$245:$ID$316,$FJ239-FM$169,73-FM$169+SwaptionShift):INDEX($FK$245:$ID$316,$FJ239-FM$169,72-FM$169+SwaptionMonthsToGo+SwaptionShift))/SQRT(SUM(INDEX($FK394:$ID394,1+SwaptionShift):INDEX($FK394:$ID394,SwaptionMonthsToGo+SwaptionShift))*SUM(INDEX($FK$325:$ID$396,FM$169,1+SwaptionShift):INDEX($FK$325:$ID$396,FM$169,SwaptionMonthsToGo+SwaptionShift))))))</f>
        <v/>
      </c>
      <c r="FN239" s="479" t="str">
        <f ca="1">IF(OR(FN$169&lt;SwaptionFirstMonthPosition+1,$FJ239&lt;SwaptionFirstMonthPosition+1,FN$169&gt;SwaptionFirstMonthPosition+SwaptionNumOfMonths+1,$FJ239&gt;SwaptionFirstMonthPosition+SwaptionNumOfMonths+1),"",IF($FJ239=FN$169,1,IF($FJ239&lt;FN$169,INDEX($FK$170:$ID$241,FN$169,$FJ239),SUMPRODUCT(INDEX($FK$325:$ID$396,FN$169,1+SwaptionShift):INDEX($FK$325:$ID$396,FN$169,SwaptionMonthsToGo+SwaptionShift),INDEX($FK$245:$ID$316,$FJ239-FN$169,73-FN$169+SwaptionShift):INDEX($FK$245:$ID$316,$FJ239-FN$169,72-FN$169+SwaptionMonthsToGo+SwaptionShift))/SQRT(SUM(INDEX($FK394:$ID394,1+SwaptionShift):INDEX($FK394:$ID394,SwaptionMonthsToGo+SwaptionShift))*SUM(INDEX($FK$325:$ID$396,FN$169,1+SwaptionShift):INDEX($FK$325:$ID$396,FN$169,SwaptionMonthsToGo+SwaptionShift))))))</f>
        <v/>
      </c>
      <c r="FO239" s="479" t="str">
        <f ca="1">IF(OR(FO$169&lt;SwaptionFirstMonthPosition+1,$FJ239&lt;SwaptionFirstMonthPosition+1,FO$169&gt;SwaptionFirstMonthPosition+SwaptionNumOfMonths+1,$FJ239&gt;SwaptionFirstMonthPosition+SwaptionNumOfMonths+1),"",IF($FJ239=FO$169,1,IF($FJ239&lt;FO$169,INDEX($FK$170:$ID$241,FO$169,$FJ239),SUMPRODUCT(INDEX($FK$325:$ID$396,FO$169,1+SwaptionShift):INDEX($FK$325:$ID$396,FO$169,SwaptionMonthsToGo+SwaptionShift),INDEX($FK$245:$ID$316,$FJ239-FO$169,73-FO$169+SwaptionShift):INDEX($FK$245:$ID$316,$FJ239-FO$169,72-FO$169+SwaptionMonthsToGo+SwaptionShift))/SQRT(SUM(INDEX($FK394:$ID394,1+SwaptionShift):INDEX($FK394:$ID394,SwaptionMonthsToGo+SwaptionShift))*SUM(INDEX($FK$325:$ID$396,FO$169,1+SwaptionShift):INDEX($FK$325:$ID$396,FO$169,SwaptionMonthsToGo+SwaptionShift))))))</f>
        <v/>
      </c>
      <c r="FP239" s="479" t="str">
        <f ca="1">IF(OR(FP$169&lt;SwaptionFirstMonthPosition+1,$FJ239&lt;SwaptionFirstMonthPosition+1,FP$169&gt;SwaptionFirstMonthPosition+SwaptionNumOfMonths+1,$FJ239&gt;SwaptionFirstMonthPosition+SwaptionNumOfMonths+1),"",IF($FJ239=FP$169,1,IF($FJ239&lt;FP$169,INDEX($FK$170:$ID$241,FP$169,$FJ239),SUMPRODUCT(INDEX($FK$325:$ID$396,FP$169,1+SwaptionShift):INDEX($FK$325:$ID$396,FP$169,SwaptionMonthsToGo+SwaptionShift),INDEX($FK$245:$ID$316,$FJ239-FP$169,73-FP$169+SwaptionShift):INDEX($FK$245:$ID$316,$FJ239-FP$169,72-FP$169+SwaptionMonthsToGo+SwaptionShift))/SQRT(SUM(INDEX($FK394:$ID394,1+SwaptionShift):INDEX($FK394:$ID394,SwaptionMonthsToGo+SwaptionShift))*SUM(INDEX($FK$325:$ID$396,FP$169,1+SwaptionShift):INDEX($FK$325:$ID$396,FP$169,SwaptionMonthsToGo+SwaptionShift))))))</f>
        <v/>
      </c>
      <c r="FQ239" s="479" t="str">
        <f ca="1">IF(OR(FQ$169&lt;SwaptionFirstMonthPosition+1,$FJ239&lt;SwaptionFirstMonthPosition+1,FQ$169&gt;SwaptionFirstMonthPosition+SwaptionNumOfMonths+1,$FJ239&gt;SwaptionFirstMonthPosition+SwaptionNumOfMonths+1),"",IF($FJ239=FQ$169,1,IF($FJ239&lt;FQ$169,INDEX($FK$170:$ID$241,FQ$169,$FJ239),SUMPRODUCT(INDEX($FK$325:$ID$396,FQ$169,1+SwaptionShift):INDEX($FK$325:$ID$396,FQ$169,SwaptionMonthsToGo+SwaptionShift),INDEX($FK$245:$ID$316,$FJ239-FQ$169,73-FQ$169+SwaptionShift):INDEX($FK$245:$ID$316,$FJ239-FQ$169,72-FQ$169+SwaptionMonthsToGo+SwaptionShift))/SQRT(SUM(INDEX($FK394:$ID394,1+SwaptionShift):INDEX($FK394:$ID394,SwaptionMonthsToGo+SwaptionShift))*SUM(INDEX($FK$325:$ID$396,FQ$169,1+SwaptionShift):INDEX($FK$325:$ID$396,FQ$169,SwaptionMonthsToGo+SwaptionShift))))))</f>
        <v/>
      </c>
      <c r="FR239" s="479" t="str">
        <f ca="1">IF(OR(FR$169&lt;SwaptionFirstMonthPosition+1,$FJ239&lt;SwaptionFirstMonthPosition+1,FR$169&gt;SwaptionFirstMonthPosition+SwaptionNumOfMonths+1,$FJ239&gt;SwaptionFirstMonthPosition+SwaptionNumOfMonths+1),"",IF($FJ239=FR$169,1,IF($FJ239&lt;FR$169,INDEX($FK$170:$ID$241,FR$169,$FJ239),SUMPRODUCT(INDEX($FK$325:$ID$396,FR$169,1+SwaptionShift):INDEX($FK$325:$ID$396,FR$169,SwaptionMonthsToGo+SwaptionShift),INDEX($FK$245:$ID$316,$FJ239-FR$169,73-FR$169+SwaptionShift):INDEX($FK$245:$ID$316,$FJ239-FR$169,72-FR$169+SwaptionMonthsToGo+SwaptionShift))/SQRT(SUM(INDEX($FK394:$ID394,1+SwaptionShift):INDEX($FK394:$ID394,SwaptionMonthsToGo+SwaptionShift))*SUM(INDEX($FK$325:$ID$396,FR$169,1+SwaptionShift):INDEX($FK$325:$ID$396,FR$169,SwaptionMonthsToGo+SwaptionShift))))))</f>
        <v/>
      </c>
      <c r="FS239" s="479" t="str">
        <f ca="1">IF(OR(FS$169&lt;SwaptionFirstMonthPosition+1,$FJ239&lt;SwaptionFirstMonthPosition+1,FS$169&gt;SwaptionFirstMonthPosition+SwaptionNumOfMonths+1,$FJ239&gt;SwaptionFirstMonthPosition+SwaptionNumOfMonths+1),"",IF($FJ239=FS$169,1,IF($FJ239&lt;FS$169,INDEX($FK$170:$ID$241,FS$169,$FJ239),SUMPRODUCT(INDEX($FK$325:$ID$396,FS$169,1+SwaptionShift):INDEX($FK$325:$ID$396,FS$169,SwaptionMonthsToGo+SwaptionShift),INDEX($FK$245:$ID$316,$FJ239-FS$169,73-FS$169+SwaptionShift):INDEX($FK$245:$ID$316,$FJ239-FS$169,72-FS$169+SwaptionMonthsToGo+SwaptionShift))/SQRT(SUM(INDEX($FK394:$ID394,1+SwaptionShift):INDEX($FK394:$ID394,SwaptionMonthsToGo+SwaptionShift))*SUM(INDEX($FK$325:$ID$396,FS$169,1+SwaptionShift):INDEX($FK$325:$ID$396,FS$169,SwaptionMonthsToGo+SwaptionShift))))))</f>
        <v/>
      </c>
      <c r="FT239" s="479" t="str">
        <f ca="1">IF(OR(FT$169&lt;SwaptionFirstMonthPosition+1,$FJ239&lt;SwaptionFirstMonthPosition+1,FT$169&gt;SwaptionFirstMonthPosition+SwaptionNumOfMonths+1,$FJ239&gt;SwaptionFirstMonthPosition+SwaptionNumOfMonths+1),"",IF($FJ239=FT$169,1,IF($FJ239&lt;FT$169,INDEX($FK$170:$ID$241,FT$169,$FJ239),SUMPRODUCT(INDEX($FK$325:$ID$396,FT$169,1+SwaptionShift):INDEX($FK$325:$ID$396,FT$169,SwaptionMonthsToGo+SwaptionShift),INDEX($FK$245:$ID$316,$FJ239-FT$169,73-FT$169+SwaptionShift):INDEX($FK$245:$ID$316,$FJ239-FT$169,72-FT$169+SwaptionMonthsToGo+SwaptionShift))/SQRT(SUM(INDEX($FK394:$ID394,1+SwaptionShift):INDEX($FK394:$ID394,SwaptionMonthsToGo+SwaptionShift))*SUM(INDEX($FK$325:$ID$396,FT$169,1+SwaptionShift):INDEX($FK$325:$ID$396,FT$169,SwaptionMonthsToGo+SwaptionShift))))))</f>
        <v/>
      </c>
      <c r="FU239" s="479" t="str">
        <f ca="1">IF(OR(FU$169&lt;SwaptionFirstMonthPosition+1,$FJ239&lt;SwaptionFirstMonthPosition+1,FU$169&gt;SwaptionFirstMonthPosition+SwaptionNumOfMonths+1,$FJ239&gt;SwaptionFirstMonthPosition+SwaptionNumOfMonths+1),"",IF($FJ239=FU$169,1,IF($FJ239&lt;FU$169,INDEX($FK$170:$ID$241,FU$169,$FJ239),SUMPRODUCT(INDEX($FK$325:$ID$396,FU$169,1+SwaptionShift):INDEX($FK$325:$ID$396,FU$169,SwaptionMonthsToGo+SwaptionShift),INDEX($FK$245:$ID$316,$FJ239-FU$169,73-FU$169+SwaptionShift):INDEX($FK$245:$ID$316,$FJ239-FU$169,72-FU$169+SwaptionMonthsToGo+SwaptionShift))/SQRT(SUM(INDEX($FK394:$ID394,1+SwaptionShift):INDEX($FK394:$ID394,SwaptionMonthsToGo+SwaptionShift))*SUM(INDEX($FK$325:$ID$396,FU$169,1+SwaptionShift):INDEX($FK$325:$ID$396,FU$169,SwaptionMonthsToGo+SwaptionShift))))))</f>
        <v/>
      </c>
      <c r="FV239" s="479" t="str">
        <f ca="1">IF(OR(FV$169&lt;SwaptionFirstMonthPosition+1,$FJ239&lt;SwaptionFirstMonthPosition+1,FV$169&gt;SwaptionFirstMonthPosition+SwaptionNumOfMonths+1,$FJ239&gt;SwaptionFirstMonthPosition+SwaptionNumOfMonths+1),"",IF($FJ239=FV$169,1,IF($FJ239&lt;FV$169,INDEX($FK$170:$ID$241,FV$169,$FJ239),SUMPRODUCT(INDEX($FK$325:$ID$396,FV$169,1+SwaptionShift):INDEX($FK$325:$ID$396,FV$169,SwaptionMonthsToGo+SwaptionShift),INDEX($FK$245:$ID$316,$FJ239-FV$169,73-FV$169+SwaptionShift):INDEX($FK$245:$ID$316,$FJ239-FV$169,72-FV$169+SwaptionMonthsToGo+SwaptionShift))/SQRT(SUM(INDEX($FK394:$ID394,1+SwaptionShift):INDEX($FK394:$ID394,SwaptionMonthsToGo+SwaptionShift))*SUM(INDEX($FK$325:$ID$396,FV$169,1+SwaptionShift):INDEX($FK$325:$ID$396,FV$169,SwaptionMonthsToGo+SwaptionShift))))))</f>
        <v/>
      </c>
      <c r="FW239" s="479" t="str">
        <f ca="1">IF(OR(FW$169&lt;SwaptionFirstMonthPosition+1,$FJ239&lt;SwaptionFirstMonthPosition+1,FW$169&gt;SwaptionFirstMonthPosition+SwaptionNumOfMonths+1,$FJ239&gt;SwaptionFirstMonthPosition+SwaptionNumOfMonths+1),"",IF($FJ239=FW$169,1,IF($FJ239&lt;FW$169,INDEX($FK$170:$ID$241,FW$169,$FJ239),SUMPRODUCT(INDEX($FK$325:$ID$396,FW$169,1+SwaptionShift):INDEX($FK$325:$ID$396,FW$169,SwaptionMonthsToGo+SwaptionShift),INDEX($FK$245:$ID$316,$FJ239-FW$169,73-FW$169+SwaptionShift):INDEX($FK$245:$ID$316,$FJ239-FW$169,72-FW$169+SwaptionMonthsToGo+SwaptionShift))/SQRT(SUM(INDEX($FK394:$ID394,1+SwaptionShift):INDEX($FK394:$ID394,SwaptionMonthsToGo+SwaptionShift))*SUM(INDEX($FK$325:$ID$396,FW$169,1+SwaptionShift):INDEX($FK$325:$ID$396,FW$169,SwaptionMonthsToGo+SwaptionShift))))))</f>
        <v/>
      </c>
      <c r="FX239" s="479" t="str">
        <f ca="1">IF(OR(FX$169&lt;SwaptionFirstMonthPosition+1,$FJ239&lt;SwaptionFirstMonthPosition+1,FX$169&gt;SwaptionFirstMonthPosition+SwaptionNumOfMonths+1,$FJ239&gt;SwaptionFirstMonthPosition+SwaptionNumOfMonths+1),"",IF($FJ239=FX$169,1,IF($FJ239&lt;FX$169,INDEX($FK$170:$ID$241,FX$169,$FJ239),SUMPRODUCT(INDEX($FK$325:$ID$396,FX$169,1+SwaptionShift):INDEX($FK$325:$ID$396,FX$169,SwaptionMonthsToGo+SwaptionShift),INDEX($FK$245:$ID$316,$FJ239-FX$169,73-FX$169+SwaptionShift):INDEX($FK$245:$ID$316,$FJ239-FX$169,72-FX$169+SwaptionMonthsToGo+SwaptionShift))/SQRT(SUM(INDEX($FK394:$ID394,1+SwaptionShift):INDEX($FK394:$ID394,SwaptionMonthsToGo+SwaptionShift))*SUM(INDEX($FK$325:$ID$396,FX$169,1+SwaptionShift):INDEX($FK$325:$ID$396,FX$169,SwaptionMonthsToGo+SwaptionShift))))))</f>
        <v/>
      </c>
      <c r="FY239" s="479" t="str">
        <f ca="1">IF(OR(FY$169&lt;SwaptionFirstMonthPosition+1,$FJ239&lt;SwaptionFirstMonthPosition+1,FY$169&gt;SwaptionFirstMonthPosition+SwaptionNumOfMonths+1,$FJ239&gt;SwaptionFirstMonthPosition+SwaptionNumOfMonths+1),"",IF($FJ239=FY$169,1,IF($FJ239&lt;FY$169,INDEX($FK$170:$ID$241,FY$169,$FJ239),SUMPRODUCT(INDEX($FK$325:$ID$396,FY$169,1+SwaptionShift):INDEX($FK$325:$ID$396,FY$169,SwaptionMonthsToGo+SwaptionShift),INDEX($FK$245:$ID$316,$FJ239-FY$169,73-FY$169+SwaptionShift):INDEX($FK$245:$ID$316,$FJ239-FY$169,72-FY$169+SwaptionMonthsToGo+SwaptionShift))/SQRT(SUM(INDEX($FK394:$ID394,1+SwaptionShift):INDEX($FK394:$ID394,SwaptionMonthsToGo+SwaptionShift))*SUM(INDEX($FK$325:$ID$396,FY$169,1+SwaptionShift):INDEX($FK$325:$ID$396,FY$169,SwaptionMonthsToGo+SwaptionShift))))))</f>
        <v/>
      </c>
      <c r="FZ239" s="479" t="str">
        <f ca="1">IF(OR(FZ$169&lt;SwaptionFirstMonthPosition+1,$FJ239&lt;SwaptionFirstMonthPosition+1,FZ$169&gt;SwaptionFirstMonthPosition+SwaptionNumOfMonths+1,$FJ239&gt;SwaptionFirstMonthPosition+SwaptionNumOfMonths+1),"",IF($FJ239=FZ$169,1,IF($FJ239&lt;FZ$169,INDEX($FK$170:$ID$241,FZ$169,$FJ239),SUMPRODUCT(INDEX($FK$325:$ID$396,FZ$169,1+SwaptionShift):INDEX($FK$325:$ID$396,FZ$169,SwaptionMonthsToGo+SwaptionShift),INDEX($FK$245:$ID$316,$FJ239-FZ$169,73-FZ$169+SwaptionShift):INDEX($FK$245:$ID$316,$FJ239-FZ$169,72-FZ$169+SwaptionMonthsToGo+SwaptionShift))/SQRT(SUM(INDEX($FK394:$ID394,1+SwaptionShift):INDEX($FK394:$ID394,SwaptionMonthsToGo+SwaptionShift))*SUM(INDEX($FK$325:$ID$396,FZ$169,1+SwaptionShift):INDEX($FK$325:$ID$396,FZ$169,SwaptionMonthsToGo+SwaptionShift))))))</f>
        <v/>
      </c>
      <c r="GA239" s="479" t="str">
        <f ca="1">IF(OR(GA$169&lt;SwaptionFirstMonthPosition+1,$FJ239&lt;SwaptionFirstMonthPosition+1,GA$169&gt;SwaptionFirstMonthPosition+SwaptionNumOfMonths+1,$FJ239&gt;SwaptionFirstMonthPosition+SwaptionNumOfMonths+1),"",IF($FJ239=GA$169,1,IF($FJ239&lt;GA$169,INDEX($FK$170:$ID$241,GA$169,$FJ239),SUMPRODUCT(INDEX($FK$325:$ID$396,GA$169,1+SwaptionShift):INDEX($FK$325:$ID$396,GA$169,SwaptionMonthsToGo+SwaptionShift),INDEX($FK$245:$ID$316,$FJ239-GA$169,73-GA$169+SwaptionShift):INDEX($FK$245:$ID$316,$FJ239-GA$169,72-GA$169+SwaptionMonthsToGo+SwaptionShift))/SQRT(SUM(INDEX($FK394:$ID394,1+SwaptionShift):INDEX($FK394:$ID394,SwaptionMonthsToGo+SwaptionShift))*SUM(INDEX($FK$325:$ID$396,GA$169,1+SwaptionShift):INDEX($FK$325:$ID$396,GA$169,SwaptionMonthsToGo+SwaptionShift))))))</f>
        <v/>
      </c>
      <c r="GB239" s="479" t="str">
        <f ca="1">IF(OR(GB$169&lt;SwaptionFirstMonthPosition+1,$FJ239&lt;SwaptionFirstMonthPosition+1,GB$169&gt;SwaptionFirstMonthPosition+SwaptionNumOfMonths+1,$FJ239&gt;SwaptionFirstMonthPosition+SwaptionNumOfMonths+1),"",IF($FJ239=GB$169,1,IF($FJ239&lt;GB$169,INDEX($FK$170:$ID$241,GB$169,$FJ239),SUMPRODUCT(INDEX($FK$325:$ID$396,GB$169,1+SwaptionShift):INDEX($FK$325:$ID$396,GB$169,SwaptionMonthsToGo+SwaptionShift),INDEX($FK$245:$ID$316,$FJ239-GB$169,73-GB$169+SwaptionShift):INDEX($FK$245:$ID$316,$FJ239-GB$169,72-GB$169+SwaptionMonthsToGo+SwaptionShift))/SQRT(SUM(INDEX($FK394:$ID394,1+SwaptionShift):INDEX($FK394:$ID394,SwaptionMonthsToGo+SwaptionShift))*SUM(INDEX($FK$325:$ID$396,GB$169,1+SwaptionShift):INDEX($FK$325:$ID$396,GB$169,SwaptionMonthsToGo+SwaptionShift))))))</f>
        <v/>
      </c>
      <c r="GC239" s="479" t="str">
        <f ca="1">IF(OR(GC$169&lt;SwaptionFirstMonthPosition+1,$FJ239&lt;SwaptionFirstMonthPosition+1,GC$169&gt;SwaptionFirstMonthPosition+SwaptionNumOfMonths+1,$FJ239&gt;SwaptionFirstMonthPosition+SwaptionNumOfMonths+1),"",IF($FJ239=GC$169,1,IF($FJ239&lt;GC$169,INDEX($FK$170:$ID$241,GC$169,$FJ239),SUMPRODUCT(INDEX($FK$325:$ID$396,GC$169,1+SwaptionShift):INDEX($FK$325:$ID$396,GC$169,SwaptionMonthsToGo+SwaptionShift),INDEX($FK$245:$ID$316,$FJ239-GC$169,73-GC$169+SwaptionShift):INDEX($FK$245:$ID$316,$FJ239-GC$169,72-GC$169+SwaptionMonthsToGo+SwaptionShift))/SQRT(SUM(INDEX($FK394:$ID394,1+SwaptionShift):INDEX($FK394:$ID394,SwaptionMonthsToGo+SwaptionShift))*SUM(INDEX($FK$325:$ID$396,GC$169,1+SwaptionShift):INDEX($FK$325:$ID$396,GC$169,SwaptionMonthsToGo+SwaptionShift))))))</f>
        <v/>
      </c>
      <c r="GD239" s="479" t="str">
        <f ca="1">IF(OR(GD$169&lt;SwaptionFirstMonthPosition+1,$FJ239&lt;SwaptionFirstMonthPosition+1,GD$169&gt;SwaptionFirstMonthPosition+SwaptionNumOfMonths+1,$FJ239&gt;SwaptionFirstMonthPosition+SwaptionNumOfMonths+1),"",IF($FJ239=GD$169,1,IF($FJ239&lt;GD$169,INDEX($FK$170:$ID$241,GD$169,$FJ239),SUMPRODUCT(INDEX($FK$325:$ID$396,GD$169,1+SwaptionShift):INDEX($FK$325:$ID$396,GD$169,SwaptionMonthsToGo+SwaptionShift),INDEX($FK$245:$ID$316,$FJ239-GD$169,73-GD$169+SwaptionShift):INDEX($FK$245:$ID$316,$FJ239-GD$169,72-GD$169+SwaptionMonthsToGo+SwaptionShift))/SQRT(SUM(INDEX($FK394:$ID394,1+SwaptionShift):INDEX($FK394:$ID394,SwaptionMonthsToGo+SwaptionShift))*SUM(INDEX($FK$325:$ID$396,GD$169,1+SwaptionShift):INDEX($FK$325:$ID$396,GD$169,SwaptionMonthsToGo+SwaptionShift))))))</f>
        <v/>
      </c>
      <c r="GE239" s="479" t="str">
        <f ca="1">IF(OR(GE$169&lt;SwaptionFirstMonthPosition+1,$FJ239&lt;SwaptionFirstMonthPosition+1,GE$169&gt;SwaptionFirstMonthPosition+SwaptionNumOfMonths+1,$FJ239&gt;SwaptionFirstMonthPosition+SwaptionNumOfMonths+1),"",IF($FJ239=GE$169,1,IF($FJ239&lt;GE$169,INDEX($FK$170:$ID$241,GE$169,$FJ239),SUMPRODUCT(INDEX($FK$325:$ID$396,GE$169,1+SwaptionShift):INDEX($FK$325:$ID$396,GE$169,SwaptionMonthsToGo+SwaptionShift),INDEX($FK$245:$ID$316,$FJ239-GE$169,73-GE$169+SwaptionShift):INDEX($FK$245:$ID$316,$FJ239-GE$169,72-GE$169+SwaptionMonthsToGo+SwaptionShift))/SQRT(SUM(INDEX($FK394:$ID394,1+SwaptionShift):INDEX($FK394:$ID394,SwaptionMonthsToGo+SwaptionShift))*SUM(INDEX($FK$325:$ID$396,GE$169,1+SwaptionShift):INDEX($FK$325:$ID$396,GE$169,SwaptionMonthsToGo+SwaptionShift))))))</f>
        <v/>
      </c>
      <c r="GF239" s="479" t="str">
        <f ca="1">IF(OR(GF$169&lt;SwaptionFirstMonthPosition+1,$FJ239&lt;SwaptionFirstMonthPosition+1,GF$169&gt;SwaptionFirstMonthPosition+SwaptionNumOfMonths+1,$FJ239&gt;SwaptionFirstMonthPosition+SwaptionNumOfMonths+1),"",IF($FJ239=GF$169,1,IF($FJ239&lt;GF$169,INDEX($FK$170:$ID$241,GF$169,$FJ239),SUMPRODUCT(INDEX($FK$325:$ID$396,GF$169,1+SwaptionShift):INDEX($FK$325:$ID$396,GF$169,SwaptionMonthsToGo+SwaptionShift),INDEX($FK$245:$ID$316,$FJ239-GF$169,73-GF$169+SwaptionShift):INDEX($FK$245:$ID$316,$FJ239-GF$169,72-GF$169+SwaptionMonthsToGo+SwaptionShift))/SQRT(SUM(INDEX($FK394:$ID394,1+SwaptionShift):INDEX($FK394:$ID394,SwaptionMonthsToGo+SwaptionShift))*SUM(INDEX($FK$325:$ID$396,GF$169,1+SwaptionShift):INDEX($FK$325:$ID$396,GF$169,SwaptionMonthsToGo+SwaptionShift))))))</f>
        <v/>
      </c>
      <c r="GG239" s="479" t="str">
        <f ca="1">IF(OR(GG$169&lt;SwaptionFirstMonthPosition+1,$FJ239&lt;SwaptionFirstMonthPosition+1,GG$169&gt;SwaptionFirstMonthPosition+SwaptionNumOfMonths+1,$FJ239&gt;SwaptionFirstMonthPosition+SwaptionNumOfMonths+1),"",IF($FJ239=GG$169,1,IF($FJ239&lt;GG$169,INDEX($FK$170:$ID$241,GG$169,$FJ239),SUMPRODUCT(INDEX($FK$325:$ID$396,GG$169,1+SwaptionShift):INDEX($FK$325:$ID$396,GG$169,SwaptionMonthsToGo+SwaptionShift),INDEX($FK$245:$ID$316,$FJ239-GG$169,73-GG$169+SwaptionShift):INDEX($FK$245:$ID$316,$FJ239-GG$169,72-GG$169+SwaptionMonthsToGo+SwaptionShift))/SQRT(SUM(INDEX($FK394:$ID394,1+SwaptionShift):INDEX($FK394:$ID394,SwaptionMonthsToGo+SwaptionShift))*SUM(INDEX($FK$325:$ID$396,GG$169,1+SwaptionShift):INDEX($FK$325:$ID$396,GG$169,SwaptionMonthsToGo+SwaptionShift))))))</f>
        <v/>
      </c>
      <c r="GH239" s="479" t="str">
        <f ca="1">IF(OR(GH$169&lt;SwaptionFirstMonthPosition+1,$FJ239&lt;SwaptionFirstMonthPosition+1,GH$169&gt;SwaptionFirstMonthPosition+SwaptionNumOfMonths+1,$FJ239&gt;SwaptionFirstMonthPosition+SwaptionNumOfMonths+1),"",IF($FJ239=GH$169,1,IF($FJ239&lt;GH$169,INDEX($FK$170:$ID$241,GH$169,$FJ239),SUMPRODUCT(INDEX($FK$325:$ID$396,GH$169,1+SwaptionShift):INDEX($FK$325:$ID$396,GH$169,SwaptionMonthsToGo+SwaptionShift),INDEX($FK$245:$ID$316,$FJ239-GH$169,73-GH$169+SwaptionShift):INDEX($FK$245:$ID$316,$FJ239-GH$169,72-GH$169+SwaptionMonthsToGo+SwaptionShift))/SQRT(SUM(INDEX($FK394:$ID394,1+SwaptionShift):INDEX($FK394:$ID394,SwaptionMonthsToGo+SwaptionShift))*SUM(INDEX($FK$325:$ID$396,GH$169,1+SwaptionShift):INDEX($FK$325:$ID$396,GH$169,SwaptionMonthsToGo+SwaptionShift))))))</f>
        <v/>
      </c>
      <c r="GI239" s="479" t="str">
        <f ca="1">IF(OR(GI$169&lt;SwaptionFirstMonthPosition+1,$FJ239&lt;SwaptionFirstMonthPosition+1,GI$169&gt;SwaptionFirstMonthPosition+SwaptionNumOfMonths+1,$FJ239&gt;SwaptionFirstMonthPosition+SwaptionNumOfMonths+1),"",IF($FJ239=GI$169,1,IF($FJ239&lt;GI$169,INDEX($FK$170:$ID$241,GI$169,$FJ239),SUMPRODUCT(INDEX($FK$325:$ID$396,GI$169,1+SwaptionShift):INDEX($FK$325:$ID$396,GI$169,SwaptionMonthsToGo+SwaptionShift),INDEX($FK$245:$ID$316,$FJ239-GI$169,73-GI$169+SwaptionShift):INDEX($FK$245:$ID$316,$FJ239-GI$169,72-GI$169+SwaptionMonthsToGo+SwaptionShift))/SQRT(SUM(INDEX($FK394:$ID394,1+SwaptionShift):INDEX($FK394:$ID394,SwaptionMonthsToGo+SwaptionShift))*SUM(INDEX($FK$325:$ID$396,GI$169,1+SwaptionShift):INDEX($FK$325:$ID$396,GI$169,SwaptionMonthsToGo+SwaptionShift))))))</f>
        <v/>
      </c>
      <c r="GJ239" s="479" t="str">
        <f ca="1">IF(OR(GJ$169&lt;SwaptionFirstMonthPosition+1,$FJ239&lt;SwaptionFirstMonthPosition+1,GJ$169&gt;SwaptionFirstMonthPosition+SwaptionNumOfMonths+1,$FJ239&gt;SwaptionFirstMonthPosition+SwaptionNumOfMonths+1),"",IF($FJ239=GJ$169,1,IF($FJ239&lt;GJ$169,INDEX($FK$170:$ID$241,GJ$169,$FJ239),SUMPRODUCT(INDEX($FK$325:$ID$396,GJ$169,1+SwaptionShift):INDEX($FK$325:$ID$396,GJ$169,SwaptionMonthsToGo+SwaptionShift),INDEX($FK$245:$ID$316,$FJ239-GJ$169,73-GJ$169+SwaptionShift):INDEX($FK$245:$ID$316,$FJ239-GJ$169,72-GJ$169+SwaptionMonthsToGo+SwaptionShift))/SQRT(SUM(INDEX($FK394:$ID394,1+SwaptionShift):INDEX($FK394:$ID394,SwaptionMonthsToGo+SwaptionShift))*SUM(INDEX($FK$325:$ID$396,GJ$169,1+SwaptionShift):INDEX($FK$325:$ID$396,GJ$169,SwaptionMonthsToGo+SwaptionShift))))))</f>
        <v/>
      </c>
      <c r="GK239" s="479" t="str">
        <f ca="1">IF(OR(GK$169&lt;SwaptionFirstMonthPosition+1,$FJ239&lt;SwaptionFirstMonthPosition+1,GK$169&gt;SwaptionFirstMonthPosition+SwaptionNumOfMonths+1,$FJ239&gt;SwaptionFirstMonthPosition+SwaptionNumOfMonths+1),"",IF($FJ239=GK$169,1,IF($FJ239&lt;GK$169,INDEX($FK$170:$ID$241,GK$169,$FJ239),SUMPRODUCT(INDEX($FK$325:$ID$396,GK$169,1+SwaptionShift):INDEX($FK$325:$ID$396,GK$169,SwaptionMonthsToGo+SwaptionShift),INDEX($FK$245:$ID$316,$FJ239-GK$169,73-GK$169+SwaptionShift):INDEX($FK$245:$ID$316,$FJ239-GK$169,72-GK$169+SwaptionMonthsToGo+SwaptionShift))/SQRT(SUM(INDEX($FK394:$ID394,1+SwaptionShift):INDEX($FK394:$ID394,SwaptionMonthsToGo+SwaptionShift))*SUM(INDEX($FK$325:$ID$396,GK$169,1+SwaptionShift):INDEX($FK$325:$ID$396,GK$169,SwaptionMonthsToGo+SwaptionShift))))))</f>
        <v/>
      </c>
      <c r="GL239" s="479" t="str">
        <f ca="1">IF(OR(GL$169&lt;SwaptionFirstMonthPosition+1,$FJ239&lt;SwaptionFirstMonthPosition+1,GL$169&gt;SwaptionFirstMonthPosition+SwaptionNumOfMonths+1,$FJ239&gt;SwaptionFirstMonthPosition+SwaptionNumOfMonths+1),"",IF($FJ239=GL$169,1,IF($FJ239&lt;GL$169,INDEX($FK$170:$ID$241,GL$169,$FJ239),SUMPRODUCT(INDEX($FK$325:$ID$396,GL$169,1+SwaptionShift):INDEX($FK$325:$ID$396,GL$169,SwaptionMonthsToGo+SwaptionShift),INDEX($FK$245:$ID$316,$FJ239-GL$169,73-GL$169+SwaptionShift):INDEX($FK$245:$ID$316,$FJ239-GL$169,72-GL$169+SwaptionMonthsToGo+SwaptionShift))/SQRT(SUM(INDEX($FK394:$ID394,1+SwaptionShift):INDEX($FK394:$ID394,SwaptionMonthsToGo+SwaptionShift))*SUM(INDEX($FK$325:$ID$396,GL$169,1+SwaptionShift):INDEX($FK$325:$ID$396,GL$169,SwaptionMonthsToGo+SwaptionShift))))))</f>
        <v/>
      </c>
      <c r="GM239" s="479" t="str">
        <f ca="1">IF(OR(GM$169&lt;SwaptionFirstMonthPosition+1,$FJ239&lt;SwaptionFirstMonthPosition+1,GM$169&gt;SwaptionFirstMonthPosition+SwaptionNumOfMonths+1,$FJ239&gt;SwaptionFirstMonthPosition+SwaptionNumOfMonths+1),"",IF($FJ239=GM$169,1,IF($FJ239&lt;GM$169,INDEX($FK$170:$ID$241,GM$169,$FJ239),SUMPRODUCT(INDEX($FK$325:$ID$396,GM$169,1+SwaptionShift):INDEX($FK$325:$ID$396,GM$169,SwaptionMonthsToGo+SwaptionShift),INDEX($FK$245:$ID$316,$FJ239-GM$169,73-GM$169+SwaptionShift):INDEX($FK$245:$ID$316,$FJ239-GM$169,72-GM$169+SwaptionMonthsToGo+SwaptionShift))/SQRT(SUM(INDEX($FK394:$ID394,1+SwaptionShift):INDEX($FK394:$ID394,SwaptionMonthsToGo+SwaptionShift))*SUM(INDEX($FK$325:$ID$396,GM$169,1+SwaptionShift):INDEX($FK$325:$ID$396,GM$169,SwaptionMonthsToGo+SwaptionShift))))))</f>
        <v/>
      </c>
      <c r="GN239" s="479" t="str">
        <f ca="1">IF(OR(GN$169&lt;SwaptionFirstMonthPosition+1,$FJ239&lt;SwaptionFirstMonthPosition+1,GN$169&gt;SwaptionFirstMonthPosition+SwaptionNumOfMonths+1,$FJ239&gt;SwaptionFirstMonthPosition+SwaptionNumOfMonths+1),"",IF($FJ239=GN$169,1,IF($FJ239&lt;GN$169,INDEX($FK$170:$ID$241,GN$169,$FJ239),SUMPRODUCT(INDEX($FK$325:$ID$396,GN$169,1+SwaptionShift):INDEX($FK$325:$ID$396,GN$169,SwaptionMonthsToGo+SwaptionShift),INDEX($FK$245:$ID$316,$FJ239-GN$169,73-GN$169+SwaptionShift):INDEX($FK$245:$ID$316,$FJ239-GN$169,72-GN$169+SwaptionMonthsToGo+SwaptionShift))/SQRT(SUM(INDEX($FK394:$ID394,1+SwaptionShift):INDEX($FK394:$ID394,SwaptionMonthsToGo+SwaptionShift))*SUM(INDEX($FK$325:$ID$396,GN$169,1+SwaptionShift):INDEX($FK$325:$ID$396,GN$169,SwaptionMonthsToGo+SwaptionShift))))))</f>
        <v/>
      </c>
      <c r="GO239" s="479" t="str">
        <f ca="1">IF(OR(GO$169&lt;SwaptionFirstMonthPosition+1,$FJ239&lt;SwaptionFirstMonthPosition+1,GO$169&gt;SwaptionFirstMonthPosition+SwaptionNumOfMonths+1,$FJ239&gt;SwaptionFirstMonthPosition+SwaptionNumOfMonths+1),"",IF($FJ239=GO$169,1,IF($FJ239&lt;GO$169,INDEX($FK$170:$ID$241,GO$169,$FJ239),SUMPRODUCT(INDEX($FK$325:$ID$396,GO$169,1+SwaptionShift):INDEX($FK$325:$ID$396,GO$169,SwaptionMonthsToGo+SwaptionShift),INDEX($FK$245:$ID$316,$FJ239-GO$169,73-GO$169+SwaptionShift):INDEX($FK$245:$ID$316,$FJ239-GO$169,72-GO$169+SwaptionMonthsToGo+SwaptionShift))/SQRT(SUM(INDEX($FK394:$ID394,1+SwaptionShift):INDEX($FK394:$ID394,SwaptionMonthsToGo+SwaptionShift))*SUM(INDEX($FK$325:$ID$396,GO$169,1+SwaptionShift):INDEX($FK$325:$ID$396,GO$169,SwaptionMonthsToGo+SwaptionShift))))))</f>
        <v/>
      </c>
      <c r="GP239" s="479" t="str">
        <f ca="1">IF(OR(GP$169&lt;SwaptionFirstMonthPosition+1,$FJ239&lt;SwaptionFirstMonthPosition+1,GP$169&gt;SwaptionFirstMonthPosition+SwaptionNumOfMonths+1,$FJ239&gt;SwaptionFirstMonthPosition+SwaptionNumOfMonths+1),"",IF($FJ239=GP$169,1,IF($FJ239&lt;GP$169,INDEX($FK$170:$ID$241,GP$169,$FJ239),SUMPRODUCT(INDEX($FK$325:$ID$396,GP$169,1+SwaptionShift):INDEX($FK$325:$ID$396,GP$169,SwaptionMonthsToGo+SwaptionShift),INDEX($FK$245:$ID$316,$FJ239-GP$169,73-GP$169+SwaptionShift):INDEX($FK$245:$ID$316,$FJ239-GP$169,72-GP$169+SwaptionMonthsToGo+SwaptionShift))/SQRT(SUM(INDEX($FK394:$ID394,1+SwaptionShift):INDEX($FK394:$ID394,SwaptionMonthsToGo+SwaptionShift))*SUM(INDEX($FK$325:$ID$396,GP$169,1+SwaptionShift):INDEX($FK$325:$ID$396,GP$169,SwaptionMonthsToGo+SwaptionShift))))))</f>
        <v/>
      </c>
      <c r="GQ239" s="479" t="str">
        <f ca="1">IF(OR(GQ$169&lt;SwaptionFirstMonthPosition+1,$FJ239&lt;SwaptionFirstMonthPosition+1,GQ$169&gt;SwaptionFirstMonthPosition+SwaptionNumOfMonths+1,$FJ239&gt;SwaptionFirstMonthPosition+SwaptionNumOfMonths+1),"",IF($FJ239=GQ$169,1,IF($FJ239&lt;GQ$169,INDEX($FK$170:$ID$241,GQ$169,$FJ239),SUMPRODUCT(INDEX($FK$325:$ID$396,GQ$169,1+SwaptionShift):INDEX($FK$325:$ID$396,GQ$169,SwaptionMonthsToGo+SwaptionShift),INDEX($FK$245:$ID$316,$FJ239-GQ$169,73-GQ$169+SwaptionShift):INDEX($FK$245:$ID$316,$FJ239-GQ$169,72-GQ$169+SwaptionMonthsToGo+SwaptionShift))/SQRT(SUM(INDEX($FK394:$ID394,1+SwaptionShift):INDEX($FK394:$ID394,SwaptionMonthsToGo+SwaptionShift))*SUM(INDEX($FK$325:$ID$396,GQ$169,1+SwaptionShift):INDEX($FK$325:$ID$396,GQ$169,SwaptionMonthsToGo+SwaptionShift))))))</f>
        <v/>
      </c>
      <c r="GR239" s="479" t="str">
        <f ca="1">IF(OR(GR$169&lt;SwaptionFirstMonthPosition+1,$FJ239&lt;SwaptionFirstMonthPosition+1,GR$169&gt;SwaptionFirstMonthPosition+SwaptionNumOfMonths+1,$FJ239&gt;SwaptionFirstMonthPosition+SwaptionNumOfMonths+1),"",IF($FJ239=GR$169,1,IF($FJ239&lt;GR$169,INDEX($FK$170:$ID$241,GR$169,$FJ239),SUMPRODUCT(INDEX($FK$325:$ID$396,GR$169,1+SwaptionShift):INDEX($FK$325:$ID$396,GR$169,SwaptionMonthsToGo+SwaptionShift),INDEX($FK$245:$ID$316,$FJ239-GR$169,73-GR$169+SwaptionShift):INDEX($FK$245:$ID$316,$FJ239-GR$169,72-GR$169+SwaptionMonthsToGo+SwaptionShift))/SQRT(SUM(INDEX($FK394:$ID394,1+SwaptionShift):INDEX($FK394:$ID394,SwaptionMonthsToGo+SwaptionShift))*SUM(INDEX($FK$325:$ID$396,GR$169,1+SwaptionShift):INDEX($FK$325:$ID$396,GR$169,SwaptionMonthsToGo+SwaptionShift))))))</f>
        <v/>
      </c>
      <c r="GS239" s="479" t="str">
        <f ca="1">IF(OR(GS$169&lt;SwaptionFirstMonthPosition+1,$FJ239&lt;SwaptionFirstMonthPosition+1,GS$169&gt;SwaptionFirstMonthPosition+SwaptionNumOfMonths+1,$FJ239&gt;SwaptionFirstMonthPosition+SwaptionNumOfMonths+1),"",IF($FJ239=GS$169,1,IF($FJ239&lt;GS$169,INDEX($FK$170:$ID$241,GS$169,$FJ239),SUMPRODUCT(INDEX($FK$325:$ID$396,GS$169,1+SwaptionShift):INDEX($FK$325:$ID$396,GS$169,SwaptionMonthsToGo+SwaptionShift),INDEX($FK$245:$ID$316,$FJ239-GS$169,73-GS$169+SwaptionShift):INDEX($FK$245:$ID$316,$FJ239-GS$169,72-GS$169+SwaptionMonthsToGo+SwaptionShift))/SQRT(SUM(INDEX($FK394:$ID394,1+SwaptionShift):INDEX($FK394:$ID394,SwaptionMonthsToGo+SwaptionShift))*SUM(INDEX($FK$325:$ID$396,GS$169,1+SwaptionShift):INDEX($FK$325:$ID$396,GS$169,SwaptionMonthsToGo+SwaptionShift))))))</f>
        <v/>
      </c>
      <c r="GT239" s="479" t="str">
        <f ca="1">IF(OR(GT$169&lt;SwaptionFirstMonthPosition+1,$FJ239&lt;SwaptionFirstMonthPosition+1,GT$169&gt;SwaptionFirstMonthPosition+SwaptionNumOfMonths+1,$FJ239&gt;SwaptionFirstMonthPosition+SwaptionNumOfMonths+1),"",IF($FJ239=GT$169,1,IF($FJ239&lt;GT$169,INDEX($FK$170:$ID$241,GT$169,$FJ239),SUMPRODUCT(INDEX($FK$325:$ID$396,GT$169,1+SwaptionShift):INDEX($FK$325:$ID$396,GT$169,SwaptionMonthsToGo+SwaptionShift),INDEX($FK$245:$ID$316,$FJ239-GT$169,73-GT$169+SwaptionShift):INDEX($FK$245:$ID$316,$FJ239-GT$169,72-GT$169+SwaptionMonthsToGo+SwaptionShift))/SQRT(SUM(INDEX($FK394:$ID394,1+SwaptionShift):INDEX($FK394:$ID394,SwaptionMonthsToGo+SwaptionShift))*SUM(INDEX($FK$325:$ID$396,GT$169,1+SwaptionShift):INDEX($FK$325:$ID$396,GT$169,SwaptionMonthsToGo+SwaptionShift))))))</f>
        <v/>
      </c>
      <c r="GU239" s="479" t="str">
        <f ca="1">IF(OR(GU$169&lt;SwaptionFirstMonthPosition+1,$FJ239&lt;SwaptionFirstMonthPosition+1,GU$169&gt;SwaptionFirstMonthPosition+SwaptionNumOfMonths+1,$FJ239&gt;SwaptionFirstMonthPosition+SwaptionNumOfMonths+1),"",IF($FJ239=GU$169,1,IF($FJ239&lt;GU$169,INDEX($FK$170:$ID$241,GU$169,$FJ239),SUMPRODUCT(INDEX($FK$325:$ID$396,GU$169,1+SwaptionShift):INDEX($FK$325:$ID$396,GU$169,SwaptionMonthsToGo+SwaptionShift),INDEX($FK$245:$ID$316,$FJ239-GU$169,73-GU$169+SwaptionShift):INDEX($FK$245:$ID$316,$FJ239-GU$169,72-GU$169+SwaptionMonthsToGo+SwaptionShift))/SQRT(SUM(INDEX($FK394:$ID394,1+SwaptionShift):INDEX($FK394:$ID394,SwaptionMonthsToGo+SwaptionShift))*SUM(INDEX($FK$325:$ID$396,GU$169,1+SwaptionShift):INDEX($FK$325:$ID$396,GU$169,SwaptionMonthsToGo+SwaptionShift))))))</f>
        <v/>
      </c>
      <c r="GV239" s="479" t="str">
        <f ca="1">IF(OR(GV$169&lt;SwaptionFirstMonthPosition+1,$FJ239&lt;SwaptionFirstMonthPosition+1,GV$169&gt;SwaptionFirstMonthPosition+SwaptionNumOfMonths+1,$FJ239&gt;SwaptionFirstMonthPosition+SwaptionNumOfMonths+1),"",IF($FJ239=GV$169,1,IF($FJ239&lt;GV$169,INDEX($FK$170:$ID$241,GV$169,$FJ239),SUMPRODUCT(INDEX($FK$325:$ID$396,GV$169,1+SwaptionShift):INDEX($FK$325:$ID$396,GV$169,SwaptionMonthsToGo+SwaptionShift),INDEX($FK$245:$ID$316,$FJ239-GV$169,73-GV$169+SwaptionShift):INDEX($FK$245:$ID$316,$FJ239-GV$169,72-GV$169+SwaptionMonthsToGo+SwaptionShift))/SQRT(SUM(INDEX($FK394:$ID394,1+SwaptionShift):INDEX($FK394:$ID394,SwaptionMonthsToGo+SwaptionShift))*SUM(INDEX($FK$325:$ID$396,GV$169,1+SwaptionShift):INDEX($FK$325:$ID$396,GV$169,SwaptionMonthsToGo+SwaptionShift))))))</f>
        <v/>
      </c>
      <c r="GW239" s="479" t="str">
        <f ca="1">IF(OR(GW$169&lt;SwaptionFirstMonthPosition+1,$FJ239&lt;SwaptionFirstMonthPosition+1,GW$169&gt;SwaptionFirstMonthPosition+SwaptionNumOfMonths+1,$FJ239&gt;SwaptionFirstMonthPosition+SwaptionNumOfMonths+1),"",IF($FJ239=GW$169,1,IF($FJ239&lt;GW$169,INDEX($FK$170:$ID$241,GW$169,$FJ239),SUMPRODUCT(INDEX($FK$325:$ID$396,GW$169,1+SwaptionShift):INDEX($FK$325:$ID$396,GW$169,SwaptionMonthsToGo+SwaptionShift),INDEX($FK$245:$ID$316,$FJ239-GW$169,73-GW$169+SwaptionShift):INDEX($FK$245:$ID$316,$FJ239-GW$169,72-GW$169+SwaptionMonthsToGo+SwaptionShift))/SQRT(SUM(INDEX($FK394:$ID394,1+SwaptionShift):INDEX($FK394:$ID394,SwaptionMonthsToGo+SwaptionShift))*SUM(INDEX($FK$325:$ID$396,GW$169,1+SwaptionShift):INDEX($FK$325:$ID$396,GW$169,SwaptionMonthsToGo+SwaptionShift))))))</f>
        <v/>
      </c>
      <c r="GX239" s="479" t="str">
        <f ca="1">IF(OR(GX$169&lt;SwaptionFirstMonthPosition+1,$FJ239&lt;SwaptionFirstMonthPosition+1,GX$169&gt;SwaptionFirstMonthPosition+SwaptionNumOfMonths+1,$FJ239&gt;SwaptionFirstMonthPosition+SwaptionNumOfMonths+1),"",IF($FJ239=GX$169,1,IF($FJ239&lt;GX$169,INDEX($FK$170:$ID$241,GX$169,$FJ239),SUMPRODUCT(INDEX($FK$325:$ID$396,GX$169,1+SwaptionShift):INDEX($FK$325:$ID$396,GX$169,SwaptionMonthsToGo+SwaptionShift),INDEX($FK$245:$ID$316,$FJ239-GX$169,73-GX$169+SwaptionShift):INDEX($FK$245:$ID$316,$FJ239-GX$169,72-GX$169+SwaptionMonthsToGo+SwaptionShift))/SQRT(SUM(INDEX($FK394:$ID394,1+SwaptionShift):INDEX($FK394:$ID394,SwaptionMonthsToGo+SwaptionShift))*SUM(INDEX($FK$325:$ID$396,GX$169,1+SwaptionShift):INDEX($FK$325:$ID$396,GX$169,SwaptionMonthsToGo+SwaptionShift))))))</f>
        <v/>
      </c>
      <c r="GY239" s="479" t="str">
        <f ca="1">IF(OR(GY$169&lt;SwaptionFirstMonthPosition+1,$FJ239&lt;SwaptionFirstMonthPosition+1,GY$169&gt;SwaptionFirstMonthPosition+SwaptionNumOfMonths+1,$FJ239&gt;SwaptionFirstMonthPosition+SwaptionNumOfMonths+1),"",IF($FJ239=GY$169,1,IF($FJ239&lt;GY$169,INDEX($FK$170:$ID$241,GY$169,$FJ239),SUMPRODUCT(INDEX($FK$325:$ID$396,GY$169,1+SwaptionShift):INDEX($FK$325:$ID$396,GY$169,SwaptionMonthsToGo+SwaptionShift),INDEX($FK$245:$ID$316,$FJ239-GY$169,73-GY$169+SwaptionShift):INDEX($FK$245:$ID$316,$FJ239-GY$169,72-GY$169+SwaptionMonthsToGo+SwaptionShift))/SQRT(SUM(INDEX($FK394:$ID394,1+SwaptionShift):INDEX($FK394:$ID394,SwaptionMonthsToGo+SwaptionShift))*SUM(INDEX($FK$325:$ID$396,GY$169,1+SwaptionShift):INDEX($FK$325:$ID$396,GY$169,SwaptionMonthsToGo+SwaptionShift))))))</f>
        <v/>
      </c>
      <c r="GZ239" s="479" t="str">
        <f ca="1">IF(OR(GZ$169&lt;SwaptionFirstMonthPosition+1,$FJ239&lt;SwaptionFirstMonthPosition+1,GZ$169&gt;SwaptionFirstMonthPosition+SwaptionNumOfMonths+1,$FJ239&gt;SwaptionFirstMonthPosition+SwaptionNumOfMonths+1),"",IF($FJ239=GZ$169,1,IF($FJ239&lt;GZ$169,INDEX($FK$170:$ID$241,GZ$169,$FJ239),SUMPRODUCT(INDEX($FK$325:$ID$396,GZ$169,1+SwaptionShift):INDEX($FK$325:$ID$396,GZ$169,SwaptionMonthsToGo+SwaptionShift),INDEX($FK$245:$ID$316,$FJ239-GZ$169,73-GZ$169+SwaptionShift):INDEX($FK$245:$ID$316,$FJ239-GZ$169,72-GZ$169+SwaptionMonthsToGo+SwaptionShift))/SQRT(SUM(INDEX($FK394:$ID394,1+SwaptionShift):INDEX($FK394:$ID394,SwaptionMonthsToGo+SwaptionShift))*SUM(INDEX($FK$325:$ID$396,GZ$169,1+SwaptionShift):INDEX($FK$325:$ID$396,GZ$169,SwaptionMonthsToGo+SwaptionShift))))))</f>
        <v/>
      </c>
      <c r="HA239" s="479" t="str">
        <f ca="1">IF(OR(HA$169&lt;SwaptionFirstMonthPosition+1,$FJ239&lt;SwaptionFirstMonthPosition+1,HA$169&gt;SwaptionFirstMonthPosition+SwaptionNumOfMonths+1,$FJ239&gt;SwaptionFirstMonthPosition+SwaptionNumOfMonths+1),"",IF($FJ239=HA$169,1,IF($FJ239&lt;HA$169,INDEX($FK$170:$ID$241,HA$169,$FJ239),SUMPRODUCT(INDEX($FK$325:$ID$396,HA$169,1+SwaptionShift):INDEX($FK$325:$ID$396,HA$169,SwaptionMonthsToGo+SwaptionShift),INDEX($FK$245:$ID$316,$FJ239-HA$169,73-HA$169+SwaptionShift):INDEX($FK$245:$ID$316,$FJ239-HA$169,72-HA$169+SwaptionMonthsToGo+SwaptionShift))/SQRT(SUM(INDEX($FK394:$ID394,1+SwaptionShift):INDEX($FK394:$ID394,SwaptionMonthsToGo+SwaptionShift))*SUM(INDEX($FK$325:$ID$396,HA$169,1+SwaptionShift):INDEX($FK$325:$ID$396,HA$169,SwaptionMonthsToGo+SwaptionShift))))))</f>
        <v/>
      </c>
      <c r="HB239" s="479" t="str">
        <f ca="1">IF(OR(HB$169&lt;SwaptionFirstMonthPosition+1,$FJ239&lt;SwaptionFirstMonthPosition+1,HB$169&gt;SwaptionFirstMonthPosition+SwaptionNumOfMonths+1,$FJ239&gt;SwaptionFirstMonthPosition+SwaptionNumOfMonths+1),"",IF($FJ239=HB$169,1,IF($FJ239&lt;HB$169,INDEX($FK$170:$ID$241,HB$169,$FJ239),SUMPRODUCT(INDEX($FK$325:$ID$396,HB$169,1+SwaptionShift):INDEX($FK$325:$ID$396,HB$169,SwaptionMonthsToGo+SwaptionShift),INDEX($FK$245:$ID$316,$FJ239-HB$169,73-HB$169+SwaptionShift):INDEX($FK$245:$ID$316,$FJ239-HB$169,72-HB$169+SwaptionMonthsToGo+SwaptionShift))/SQRT(SUM(INDEX($FK394:$ID394,1+SwaptionShift):INDEX($FK394:$ID394,SwaptionMonthsToGo+SwaptionShift))*SUM(INDEX($FK$325:$ID$396,HB$169,1+SwaptionShift):INDEX($FK$325:$ID$396,HB$169,SwaptionMonthsToGo+SwaptionShift))))))</f>
        <v/>
      </c>
      <c r="HC239" s="479" t="str">
        <f ca="1">IF(OR(HC$169&lt;SwaptionFirstMonthPosition+1,$FJ239&lt;SwaptionFirstMonthPosition+1,HC$169&gt;SwaptionFirstMonthPosition+SwaptionNumOfMonths+1,$FJ239&gt;SwaptionFirstMonthPosition+SwaptionNumOfMonths+1),"",IF($FJ239=HC$169,1,IF($FJ239&lt;HC$169,INDEX($FK$170:$ID$241,HC$169,$FJ239),SUMPRODUCT(INDEX($FK$325:$ID$396,HC$169,1+SwaptionShift):INDEX($FK$325:$ID$396,HC$169,SwaptionMonthsToGo+SwaptionShift),INDEX($FK$245:$ID$316,$FJ239-HC$169,73-HC$169+SwaptionShift):INDEX($FK$245:$ID$316,$FJ239-HC$169,72-HC$169+SwaptionMonthsToGo+SwaptionShift))/SQRT(SUM(INDEX($FK394:$ID394,1+SwaptionShift):INDEX($FK394:$ID394,SwaptionMonthsToGo+SwaptionShift))*SUM(INDEX($FK$325:$ID$396,HC$169,1+SwaptionShift):INDEX($FK$325:$ID$396,HC$169,SwaptionMonthsToGo+SwaptionShift))))))</f>
        <v/>
      </c>
      <c r="HD239" s="479" t="str">
        <f ca="1">IF(OR(HD$169&lt;SwaptionFirstMonthPosition+1,$FJ239&lt;SwaptionFirstMonthPosition+1,HD$169&gt;SwaptionFirstMonthPosition+SwaptionNumOfMonths+1,$FJ239&gt;SwaptionFirstMonthPosition+SwaptionNumOfMonths+1),"",IF($FJ239=HD$169,1,IF($FJ239&lt;HD$169,INDEX($FK$170:$ID$241,HD$169,$FJ239),SUMPRODUCT(INDEX($FK$325:$ID$396,HD$169,1+SwaptionShift):INDEX($FK$325:$ID$396,HD$169,SwaptionMonthsToGo+SwaptionShift),INDEX($FK$245:$ID$316,$FJ239-HD$169,73-HD$169+SwaptionShift):INDEX($FK$245:$ID$316,$FJ239-HD$169,72-HD$169+SwaptionMonthsToGo+SwaptionShift))/SQRT(SUM(INDEX($FK394:$ID394,1+SwaptionShift):INDEX($FK394:$ID394,SwaptionMonthsToGo+SwaptionShift))*SUM(INDEX($FK$325:$ID$396,HD$169,1+SwaptionShift):INDEX($FK$325:$ID$396,HD$169,SwaptionMonthsToGo+SwaptionShift))))))</f>
        <v/>
      </c>
      <c r="HE239" s="479" t="str">
        <f ca="1">IF(OR(HE$169&lt;SwaptionFirstMonthPosition+1,$FJ239&lt;SwaptionFirstMonthPosition+1,HE$169&gt;SwaptionFirstMonthPosition+SwaptionNumOfMonths+1,$FJ239&gt;SwaptionFirstMonthPosition+SwaptionNumOfMonths+1),"",IF($FJ239=HE$169,1,IF($FJ239&lt;HE$169,INDEX($FK$170:$ID$241,HE$169,$FJ239),SUMPRODUCT(INDEX($FK$325:$ID$396,HE$169,1+SwaptionShift):INDEX($FK$325:$ID$396,HE$169,SwaptionMonthsToGo+SwaptionShift),INDEX($FK$245:$ID$316,$FJ239-HE$169,73-HE$169+SwaptionShift):INDEX($FK$245:$ID$316,$FJ239-HE$169,72-HE$169+SwaptionMonthsToGo+SwaptionShift))/SQRT(SUM(INDEX($FK394:$ID394,1+SwaptionShift):INDEX($FK394:$ID394,SwaptionMonthsToGo+SwaptionShift))*SUM(INDEX($FK$325:$ID$396,HE$169,1+SwaptionShift):INDEX($FK$325:$ID$396,HE$169,SwaptionMonthsToGo+SwaptionShift))))))</f>
        <v/>
      </c>
      <c r="HF239" s="479" t="str">
        <f ca="1">IF(OR(HF$169&lt;SwaptionFirstMonthPosition+1,$FJ239&lt;SwaptionFirstMonthPosition+1,HF$169&gt;SwaptionFirstMonthPosition+SwaptionNumOfMonths+1,$FJ239&gt;SwaptionFirstMonthPosition+SwaptionNumOfMonths+1),"",IF($FJ239=HF$169,1,IF($FJ239&lt;HF$169,INDEX($FK$170:$ID$241,HF$169,$FJ239),SUMPRODUCT(INDEX($FK$325:$ID$396,HF$169,1+SwaptionShift):INDEX($FK$325:$ID$396,HF$169,SwaptionMonthsToGo+SwaptionShift),INDEX($FK$245:$ID$316,$FJ239-HF$169,73-HF$169+SwaptionShift):INDEX($FK$245:$ID$316,$FJ239-HF$169,72-HF$169+SwaptionMonthsToGo+SwaptionShift))/SQRT(SUM(INDEX($FK394:$ID394,1+SwaptionShift):INDEX($FK394:$ID394,SwaptionMonthsToGo+SwaptionShift))*SUM(INDEX($FK$325:$ID$396,HF$169,1+SwaptionShift):INDEX($FK$325:$ID$396,HF$169,SwaptionMonthsToGo+SwaptionShift))))))</f>
        <v/>
      </c>
      <c r="HG239" s="479" t="str">
        <f ca="1">IF(OR(HG$169&lt;SwaptionFirstMonthPosition+1,$FJ239&lt;SwaptionFirstMonthPosition+1,HG$169&gt;SwaptionFirstMonthPosition+SwaptionNumOfMonths+1,$FJ239&gt;SwaptionFirstMonthPosition+SwaptionNumOfMonths+1),"",IF($FJ239=HG$169,1,IF($FJ239&lt;HG$169,INDEX($FK$170:$ID$241,HG$169,$FJ239),SUMPRODUCT(INDEX($FK$325:$ID$396,HG$169,1+SwaptionShift):INDEX($FK$325:$ID$396,HG$169,SwaptionMonthsToGo+SwaptionShift),INDEX($FK$245:$ID$316,$FJ239-HG$169,73-HG$169+SwaptionShift):INDEX($FK$245:$ID$316,$FJ239-HG$169,72-HG$169+SwaptionMonthsToGo+SwaptionShift))/SQRT(SUM(INDEX($FK394:$ID394,1+SwaptionShift):INDEX($FK394:$ID394,SwaptionMonthsToGo+SwaptionShift))*SUM(INDEX($FK$325:$ID$396,HG$169,1+SwaptionShift):INDEX($FK$325:$ID$396,HG$169,SwaptionMonthsToGo+SwaptionShift))))))</f>
        <v/>
      </c>
      <c r="HH239" s="479" t="str">
        <f ca="1">IF(OR(HH$169&lt;SwaptionFirstMonthPosition+1,$FJ239&lt;SwaptionFirstMonthPosition+1,HH$169&gt;SwaptionFirstMonthPosition+SwaptionNumOfMonths+1,$FJ239&gt;SwaptionFirstMonthPosition+SwaptionNumOfMonths+1),"",IF($FJ239=HH$169,1,IF($FJ239&lt;HH$169,INDEX($FK$170:$ID$241,HH$169,$FJ239),SUMPRODUCT(INDEX($FK$325:$ID$396,HH$169,1+SwaptionShift):INDEX($FK$325:$ID$396,HH$169,SwaptionMonthsToGo+SwaptionShift),INDEX($FK$245:$ID$316,$FJ239-HH$169,73-HH$169+SwaptionShift):INDEX($FK$245:$ID$316,$FJ239-HH$169,72-HH$169+SwaptionMonthsToGo+SwaptionShift))/SQRT(SUM(INDEX($FK394:$ID394,1+SwaptionShift):INDEX($FK394:$ID394,SwaptionMonthsToGo+SwaptionShift))*SUM(INDEX($FK$325:$ID$396,HH$169,1+SwaptionShift):INDEX($FK$325:$ID$396,HH$169,SwaptionMonthsToGo+SwaptionShift))))))</f>
        <v/>
      </c>
      <c r="HI239" s="479" t="str">
        <f ca="1">IF(OR(HI$169&lt;SwaptionFirstMonthPosition+1,$FJ239&lt;SwaptionFirstMonthPosition+1,HI$169&gt;SwaptionFirstMonthPosition+SwaptionNumOfMonths+1,$FJ239&gt;SwaptionFirstMonthPosition+SwaptionNumOfMonths+1),"",IF($FJ239=HI$169,1,IF($FJ239&lt;HI$169,INDEX($FK$170:$ID$241,HI$169,$FJ239),SUMPRODUCT(INDEX($FK$325:$ID$396,HI$169,1+SwaptionShift):INDEX($FK$325:$ID$396,HI$169,SwaptionMonthsToGo+SwaptionShift),INDEX($FK$245:$ID$316,$FJ239-HI$169,73-HI$169+SwaptionShift):INDEX($FK$245:$ID$316,$FJ239-HI$169,72-HI$169+SwaptionMonthsToGo+SwaptionShift))/SQRT(SUM(INDEX($FK394:$ID394,1+SwaptionShift):INDEX($FK394:$ID394,SwaptionMonthsToGo+SwaptionShift))*SUM(INDEX($FK$325:$ID$396,HI$169,1+SwaptionShift):INDEX($FK$325:$ID$396,HI$169,SwaptionMonthsToGo+SwaptionShift))))))</f>
        <v/>
      </c>
      <c r="HJ239" s="479" t="str">
        <f ca="1">IF(OR(HJ$169&lt;SwaptionFirstMonthPosition+1,$FJ239&lt;SwaptionFirstMonthPosition+1,HJ$169&gt;SwaptionFirstMonthPosition+SwaptionNumOfMonths+1,$FJ239&gt;SwaptionFirstMonthPosition+SwaptionNumOfMonths+1),"",IF($FJ239=HJ$169,1,IF($FJ239&lt;HJ$169,INDEX($FK$170:$ID$241,HJ$169,$FJ239),SUMPRODUCT(INDEX($FK$325:$ID$396,HJ$169,1+SwaptionShift):INDEX($FK$325:$ID$396,HJ$169,SwaptionMonthsToGo+SwaptionShift),INDEX($FK$245:$ID$316,$FJ239-HJ$169,73-HJ$169+SwaptionShift):INDEX($FK$245:$ID$316,$FJ239-HJ$169,72-HJ$169+SwaptionMonthsToGo+SwaptionShift))/SQRT(SUM(INDEX($FK394:$ID394,1+SwaptionShift):INDEX($FK394:$ID394,SwaptionMonthsToGo+SwaptionShift))*SUM(INDEX($FK$325:$ID$396,HJ$169,1+SwaptionShift):INDEX($FK$325:$ID$396,HJ$169,SwaptionMonthsToGo+SwaptionShift))))))</f>
        <v/>
      </c>
      <c r="HK239" s="479" t="str">
        <f ca="1">IF(OR(HK$169&lt;SwaptionFirstMonthPosition+1,$FJ239&lt;SwaptionFirstMonthPosition+1,HK$169&gt;SwaptionFirstMonthPosition+SwaptionNumOfMonths+1,$FJ239&gt;SwaptionFirstMonthPosition+SwaptionNumOfMonths+1),"",IF($FJ239=HK$169,1,IF($FJ239&lt;HK$169,INDEX($FK$170:$ID$241,HK$169,$FJ239),SUMPRODUCT(INDEX($FK$325:$ID$396,HK$169,1+SwaptionShift):INDEX($FK$325:$ID$396,HK$169,SwaptionMonthsToGo+SwaptionShift),INDEX($FK$245:$ID$316,$FJ239-HK$169,73-HK$169+SwaptionShift):INDEX($FK$245:$ID$316,$FJ239-HK$169,72-HK$169+SwaptionMonthsToGo+SwaptionShift))/SQRT(SUM(INDEX($FK394:$ID394,1+SwaptionShift):INDEX($FK394:$ID394,SwaptionMonthsToGo+SwaptionShift))*SUM(INDEX($FK$325:$ID$396,HK$169,1+SwaptionShift):INDEX($FK$325:$ID$396,HK$169,SwaptionMonthsToGo+SwaptionShift))))))</f>
        <v/>
      </c>
      <c r="HL239" s="479" t="str">
        <f ca="1">IF(OR(HL$169&lt;SwaptionFirstMonthPosition+1,$FJ239&lt;SwaptionFirstMonthPosition+1,HL$169&gt;SwaptionFirstMonthPosition+SwaptionNumOfMonths+1,$FJ239&gt;SwaptionFirstMonthPosition+SwaptionNumOfMonths+1),"",IF($FJ239=HL$169,1,IF($FJ239&lt;HL$169,INDEX($FK$170:$ID$241,HL$169,$FJ239),SUMPRODUCT(INDEX($FK$325:$ID$396,HL$169,1+SwaptionShift):INDEX($FK$325:$ID$396,HL$169,SwaptionMonthsToGo+SwaptionShift),INDEX($FK$245:$ID$316,$FJ239-HL$169,73-HL$169+SwaptionShift):INDEX($FK$245:$ID$316,$FJ239-HL$169,72-HL$169+SwaptionMonthsToGo+SwaptionShift))/SQRT(SUM(INDEX($FK394:$ID394,1+SwaptionShift):INDEX($FK394:$ID394,SwaptionMonthsToGo+SwaptionShift))*SUM(INDEX($FK$325:$ID$396,HL$169,1+SwaptionShift):INDEX($FK$325:$ID$396,HL$169,SwaptionMonthsToGo+SwaptionShift))))))</f>
        <v/>
      </c>
      <c r="HM239" s="479" t="str">
        <f ca="1">IF(OR(HM$169&lt;SwaptionFirstMonthPosition+1,$FJ239&lt;SwaptionFirstMonthPosition+1,HM$169&gt;SwaptionFirstMonthPosition+SwaptionNumOfMonths+1,$FJ239&gt;SwaptionFirstMonthPosition+SwaptionNumOfMonths+1),"",IF($FJ239=HM$169,1,IF($FJ239&lt;HM$169,INDEX($FK$170:$ID$241,HM$169,$FJ239),SUMPRODUCT(INDEX($FK$325:$ID$396,HM$169,1+SwaptionShift):INDEX($FK$325:$ID$396,HM$169,SwaptionMonthsToGo+SwaptionShift),INDEX($FK$245:$ID$316,$FJ239-HM$169,73-HM$169+SwaptionShift):INDEX($FK$245:$ID$316,$FJ239-HM$169,72-HM$169+SwaptionMonthsToGo+SwaptionShift))/SQRT(SUM(INDEX($FK394:$ID394,1+SwaptionShift):INDEX($FK394:$ID394,SwaptionMonthsToGo+SwaptionShift))*SUM(INDEX($FK$325:$ID$396,HM$169,1+SwaptionShift):INDEX($FK$325:$ID$396,HM$169,SwaptionMonthsToGo+SwaptionShift))))))</f>
        <v/>
      </c>
      <c r="HN239" s="479" t="str">
        <f ca="1">IF(OR(HN$169&lt;SwaptionFirstMonthPosition+1,$FJ239&lt;SwaptionFirstMonthPosition+1,HN$169&gt;SwaptionFirstMonthPosition+SwaptionNumOfMonths+1,$FJ239&gt;SwaptionFirstMonthPosition+SwaptionNumOfMonths+1),"",IF($FJ239=HN$169,1,IF($FJ239&lt;HN$169,INDEX($FK$170:$ID$241,HN$169,$FJ239),SUMPRODUCT(INDEX($FK$325:$ID$396,HN$169,1+SwaptionShift):INDEX($FK$325:$ID$396,HN$169,SwaptionMonthsToGo+SwaptionShift),INDEX($FK$245:$ID$316,$FJ239-HN$169,73-HN$169+SwaptionShift):INDEX($FK$245:$ID$316,$FJ239-HN$169,72-HN$169+SwaptionMonthsToGo+SwaptionShift))/SQRT(SUM(INDEX($FK394:$ID394,1+SwaptionShift):INDEX($FK394:$ID394,SwaptionMonthsToGo+SwaptionShift))*SUM(INDEX($FK$325:$ID$396,HN$169,1+SwaptionShift):INDEX($FK$325:$ID$396,HN$169,SwaptionMonthsToGo+SwaptionShift))))))</f>
        <v/>
      </c>
      <c r="HO239" s="479" t="str">
        <f ca="1">IF(OR(HO$169&lt;SwaptionFirstMonthPosition+1,$FJ239&lt;SwaptionFirstMonthPosition+1,HO$169&gt;SwaptionFirstMonthPosition+SwaptionNumOfMonths+1,$FJ239&gt;SwaptionFirstMonthPosition+SwaptionNumOfMonths+1),"",IF($FJ239=HO$169,1,IF($FJ239&lt;HO$169,INDEX($FK$170:$ID$241,HO$169,$FJ239),SUMPRODUCT(INDEX($FK$325:$ID$396,HO$169,1+SwaptionShift):INDEX($FK$325:$ID$396,HO$169,SwaptionMonthsToGo+SwaptionShift),INDEX($FK$245:$ID$316,$FJ239-HO$169,73-HO$169+SwaptionShift):INDEX($FK$245:$ID$316,$FJ239-HO$169,72-HO$169+SwaptionMonthsToGo+SwaptionShift))/SQRT(SUM(INDEX($FK394:$ID394,1+SwaptionShift):INDEX($FK394:$ID394,SwaptionMonthsToGo+SwaptionShift))*SUM(INDEX($FK$325:$ID$396,HO$169,1+SwaptionShift):INDEX($FK$325:$ID$396,HO$169,SwaptionMonthsToGo+SwaptionShift))))))</f>
        <v/>
      </c>
      <c r="HP239" s="479" t="str">
        <f ca="1">IF(OR(HP$169&lt;SwaptionFirstMonthPosition+1,$FJ239&lt;SwaptionFirstMonthPosition+1,HP$169&gt;SwaptionFirstMonthPosition+SwaptionNumOfMonths+1,$FJ239&gt;SwaptionFirstMonthPosition+SwaptionNumOfMonths+1),"",IF($FJ239=HP$169,1,IF($FJ239&lt;HP$169,INDEX($FK$170:$ID$241,HP$169,$FJ239),SUMPRODUCT(INDEX($FK$325:$ID$396,HP$169,1+SwaptionShift):INDEX($FK$325:$ID$396,HP$169,SwaptionMonthsToGo+SwaptionShift),INDEX($FK$245:$ID$316,$FJ239-HP$169,73-HP$169+SwaptionShift):INDEX($FK$245:$ID$316,$FJ239-HP$169,72-HP$169+SwaptionMonthsToGo+SwaptionShift))/SQRT(SUM(INDEX($FK394:$ID394,1+SwaptionShift):INDEX($FK394:$ID394,SwaptionMonthsToGo+SwaptionShift))*SUM(INDEX($FK$325:$ID$396,HP$169,1+SwaptionShift):INDEX($FK$325:$ID$396,HP$169,SwaptionMonthsToGo+SwaptionShift))))))</f>
        <v/>
      </c>
      <c r="HQ239" s="479" t="str">
        <f ca="1">IF(OR(HQ$169&lt;SwaptionFirstMonthPosition+1,$FJ239&lt;SwaptionFirstMonthPosition+1,HQ$169&gt;SwaptionFirstMonthPosition+SwaptionNumOfMonths+1,$FJ239&gt;SwaptionFirstMonthPosition+SwaptionNumOfMonths+1),"",IF($FJ239=HQ$169,1,IF($FJ239&lt;HQ$169,INDEX($FK$170:$ID$241,HQ$169,$FJ239),SUMPRODUCT(INDEX($FK$325:$ID$396,HQ$169,1+SwaptionShift):INDEX($FK$325:$ID$396,HQ$169,SwaptionMonthsToGo+SwaptionShift),INDEX($FK$245:$ID$316,$FJ239-HQ$169,73-HQ$169+SwaptionShift):INDEX($FK$245:$ID$316,$FJ239-HQ$169,72-HQ$169+SwaptionMonthsToGo+SwaptionShift))/SQRT(SUM(INDEX($FK394:$ID394,1+SwaptionShift):INDEX($FK394:$ID394,SwaptionMonthsToGo+SwaptionShift))*SUM(INDEX($FK$325:$ID$396,HQ$169,1+SwaptionShift):INDEX($FK$325:$ID$396,HQ$169,SwaptionMonthsToGo+SwaptionShift))))))</f>
        <v/>
      </c>
      <c r="HR239" s="479" t="str">
        <f ca="1">IF(OR(HR$169&lt;SwaptionFirstMonthPosition+1,$FJ239&lt;SwaptionFirstMonthPosition+1,HR$169&gt;SwaptionFirstMonthPosition+SwaptionNumOfMonths+1,$FJ239&gt;SwaptionFirstMonthPosition+SwaptionNumOfMonths+1),"",IF($FJ239=HR$169,1,IF($FJ239&lt;HR$169,INDEX($FK$170:$ID$241,HR$169,$FJ239),SUMPRODUCT(INDEX($FK$325:$ID$396,HR$169,1+SwaptionShift):INDEX($FK$325:$ID$396,HR$169,SwaptionMonthsToGo+SwaptionShift),INDEX($FK$245:$ID$316,$FJ239-HR$169,73-HR$169+SwaptionShift):INDEX($FK$245:$ID$316,$FJ239-HR$169,72-HR$169+SwaptionMonthsToGo+SwaptionShift))/SQRT(SUM(INDEX($FK394:$ID394,1+SwaptionShift):INDEX($FK394:$ID394,SwaptionMonthsToGo+SwaptionShift))*SUM(INDEX($FK$325:$ID$396,HR$169,1+SwaptionShift):INDEX($FK$325:$ID$396,HR$169,SwaptionMonthsToGo+SwaptionShift))))))</f>
        <v/>
      </c>
      <c r="HS239" s="479" t="str">
        <f ca="1">IF(OR(HS$169&lt;SwaptionFirstMonthPosition+1,$FJ239&lt;SwaptionFirstMonthPosition+1,HS$169&gt;SwaptionFirstMonthPosition+SwaptionNumOfMonths+1,$FJ239&gt;SwaptionFirstMonthPosition+SwaptionNumOfMonths+1),"",IF($FJ239=HS$169,1,IF($FJ239&lt;HS$169,INDEX($FK$170:$ID$241,HS$169,$FJ239),SUMPRODUCT(INDEX($FK$325:$ID$396,HS$169,1+SwaptionShift):INDEX($FK$325:$ID$396,HS$169,SwaptionMonthsToGo+SwaptionShift),INDEX($FK$245:$ID$316,$FJ239-HS$169,73-HS$169+SwaptionShift):INDEX($FK$245:$ID$316,$FJ239-HS$169,72-HS$169+SwaptionMonthsToGo+SwaptionShift))/SQRT(SUM(INDEX($FK394:$ID394,1+SwaptionShift):INDEX($FK394:$ID394,SwaptionMonthsToGo+SwaptionShift))*SUM(INDEX($FK$325:$ID$396,HS$169,1+SwaptionShift):INDEX($FK$325:$ID$396,HS$169,SwaptionMonthsToGo+SwaptionShift))))))</f>
        <v/>
      </c>
      <c r="HT239" s="479" t="str">
        <f ca="1">IF(OR(HT$169&lt;SwaptionFirstMonthPosition+1,$FJ239&lt;SwaptionFirstMonthPosition+1,HT$169&gt;SwaptionFirstMonthPosition+SwaptionNumOfMonths+1,$FJ239&gt;SwaptionFirstMonthPosition+SwaptionNumOfMonths+1),"",IF($FJ239=HT$169,1,IF($FJ239&lt;HT$169,INDEX($FK$170:$ID$241,HT$169,$FJ239),SUMPRODUCT(INDEX($FK$325:$ID$396,HT$169,1+SwaptionShift):INDEX($FK$325:$ID$396,HT$169,SwaptionMonthsToGo+SwaptionShift),INDEX($FK$245:$ID$316,$FJ239-HT$169,73-HT$169+SwaptionShift):INDEX($FK$245:$ID$316,$FJ239-HT$169,72-HT$169+SwaptionMonthsToGo+SwaptionShift))/SQRT(SUM(INDEX($FK394:$ID394,1+SwaptionShift):INDEX($FK394:$ID394,SwaptionMonthsToGo+SwaptionShift))*SUM(INDEX($FK$325:$ID$396,HT$169,1+SwaptionShift):INDEX($FK$325:$ID$396,HT$169,SwaptionMonthsToGo+SwaptionShift))))))</f>
        <v/>
      </c>
      <c r="HU239" s="479" t="str">
        <f ca="1">IF(OR(HU$169&lt;SwaptionFirstMonthPosition+1,$FJ239&lt;SwaptionFirstMonthPosition+1,HU$169&gt;SwaptionFirstMonthPosition+SwaptionNumOfMonths+1,$FJ239&gt;SwaptionFirstMonthPosition+SwaptionNumOfMonths+1),"",IF($FJ239=HU$169,1,IF($FJ239&lt;HU$169,INDEX($FK$170:$ID$241,HU$169,$FJ239),SUMPRODUCT(INDEX($FK$325:$ID$396,HU$169,1+SwaptionShift):INDEX($FK$325:$ID$396,HU$169,SwaptionMonthsToGo+SwaptionShift),INDEX($FK$245:$ID$316,$FJ239-HU$169,73-HU$169+SwaptionShift):INDEX($FK$245:$ID$316,$FJ239-HU$169,72-HU$169+SwaptionMonthsToGo+SwaptionShift))/SQRT(SUM(INDEX($FK394:$ID394,1+SwaptionShift):INDEX($FK394:$ID394,SwaptionMonthsToGo+SwaptionShift))*SUM(INDEX($FK$325:$ID$396,HU$169,1+SwaptionShift):INDEX($FK$325:$ID$396,HU$169,SwaptionMonthsToGo+SwaptionShift))))))</f>
        <v/>
      </c>
      <c r="HV239" s="479" t="str">
        <f ca="1">IF(OR(HV$169&lt;SwaptionFirstMonthPosition+1,$FJ239&lt;SwaptionFirstMonthPosition+1,HV$169&gt;SwaptionFirstMonthPosition+SwaptionNumOfMonths+1,$FJ239&gt;SwaptionFirstMonthPosition+SwaptionNumOfMonths+1),"",IF($FJ239=HV$169,1,IF($FJ239&lt;HV$169,INDEX($FK$170:$ID$241,HV$169,$FJ239),SUMPRODUCT(INDEX($FK$325:$ID$396,HV$169,1+SwaptionShift):INDEX($FK$325:$ID$396,HV$169,SwaptionMonthsToGo+SwaptionShift),INDEX($FK$245:$ID$316,$FJ239-HV$169,73-HV$169+SwaptionShift):INDEX($FK$245:$ID$316,$FJ239-HV$169,72-HV$169+SwaptionMonthsToGo+SwaptionShift))/SQRT(SUM(INDEX($FK394:$ID394,1+SwaptionShift):INDEX($FK394:$ID394,SwaptionMonthsToGo+SwaptionShift))*SUM(INDEX($FK$325:$ID$396,HV$169,1+SwaptionShift):INDEX($FK$325:$ID$396,HV$169,SwaptionMonthsToGo+SwaptionShift))))))</f>
        <v/>
      </c>
      <c r="HW239" s="479" t="str">
        <f ca="1">IF(OR(HW$169&lt;SwaptionFirstMonthPosition+1,$FJ239&lt;SwaptionFirstMonthPosition+1,HW$169&gt;SwaptionFirstMonthPosition+SwaptionNumOfMonths+1,$FJ239&gt;SwaptionFirstMonthPosition+SwaptionNumOfMonths+1),"",IF($FJ239=HW$169,1,IF($FJ239&lt;HW$169,INDEX($FK$170:$ID$241,HW$169,$FJ239),SUMPRODUCT(INDEX($FK$325:$ID$396,HW$169,1+SwaptionShift):INDEX($FK$325:$ID$396,HW$169,SwaptionMonthsToGo+SwaptionShift),INDEX($FK$245:$ID$316,$FJ239-HW$169,73-HW$169+SwaptionShift):INDEX($FK$245:$ID$316,$FJ239-HW$169,72-HW$169+SwaptionMonthsToGo+SwaptionShift))/SQRT(SUM(INDEX($FK394:$ID394,1+SwaptionShift):INDEX($FK394:$ID394,SwaptionMonthsToGo+SwaptionShift))*SUM(INDEX($FK$325:$ID$396,HW$169,1+SwaptionShift):INDEX($FK$325:$ID$396,HW$169,SwaptionMonthsToGo+SwaptionShift))))))</f>
        <v/>
      </c>
      <c r="HX239" s="479" t="str">
        <f ca="1">IF(OR(HX$169&lt;SwaptionFirstMonthPosition+1,$FJ239&lt;SwaptionFirstMonthPosition+1,HX$169&gt;SwaptionFirstMonthPosition+SwaptionNumOfMonths+1,$FJ239&gt;SwaptionFirstMonthPosition+SwaptionNumOfMonths+1),"",IF($FJ239=HX$169,1,IF($FJ239&lt;HX$169,INDEX($FK$170:$ID$241,HX$169,$FJ239),SUMPRODUCT(INDEX($FK$325:$ID$396,HX$169,1+SwaptionShift):INDEX($FK$325:$ID$396,HX$169,SwaptionMonthsToGo+SwaptionShift),INDEX($FK$245:$ID$316,$FJ239-HX$169,73-HX$169+SwaptionShift):INDEX($FK$245:$ID$316,$FJ239-HX$169,72-HX$169+SwaptionMonthsToGo+SwaptionShift))/SQRT(SUM(INDEX($FK394:$ID394,1+SwaptionShift):INDEX($FK394:$ID394,SwaptionMonthsToGo+SwaptionShift))*SUM(INDEX($FK$325:$ID$396,HX$169,1+SwaptionShift):INDEX($FK$325:$ID$396,HX$169,SwaptionMonthsToGo+SwaptionShift))))))</f>
        <v/>
      </c>
      <c r="HY239" s="479" t="str">
        <f ca="1">IF(OR(HY$169&lt;SwaptionFirstMonthPosition+1,$FJ239&lt;SwaptionFirstMonthPosition+1,HY$169&gt;SwaptionFirstMonthPosition+SwaptionNumOfMonths+1,$FJ239&gt;SwaptionFirstMonthPosition+SwaptionNumOfMonths+1),"",IF($FJ239=HY$169,1,IF($FJ239&lt;HY$169,INDEX($FK$170:$ID$241,HY$169,$FJ239),SUMPRODUCT(INDEX($FK$325:$ID$396,HY$169,1+SwaptionShift):INDEX($FK$325:$ID$396,HY$169,SwaptionMonthsToGo+SwaptionShift),INDEX($FK$245:$ID$316,$FJ239-HY$169,73-HY$169+SwaptionShift):INDEX($FK$245:$ID$316,$FJ239-HY$169,72-HY$169+SwaptionMonthsToGo+SwaptionShift))/SQRT(SUM(INDEX($FK394:$ID394,1+SwaptionShift):INDEX($FK394:$ID394,SwaptionMonthsToGo+SwaptionShift))*SUM(INDEX($FK$325:$ID$396,HY$169,1+SwaptionShift):INDEX($FK$325:$ID$396,HY$169,SwaptionMonthsToGo+SwaptionShift))))))</f>
        <v/>
      </c>
      <c r="HZ239" s="479" t="str">
        <f ca="1">IF(OR(HZ$169&lt;SwaptionFirstMonthPosition+1,$FJ239&lt;SwaptionFirstMonthPosition+1,HZ$169&gt;SwaptionFirstMonthPosition+SwaptionNumOfMonths+1,$FJ239&gt;SwaptionFirstMonthPosition+SwaptionNumOfMonths+1),"",IF($FJ239=HZ$169,1,IF($FJ239&lt;HZ$169,INDEX($FK$170:$ID$241,HZ$169,$FJ239),SUMPRODUCT(INDEX($FK$325:$ID$396,HZ$169,1+SwaptionShift):INDEX($FK$325:$ID$396,HZ$169,SwaptionMonthsToGo+SwaptionShift),INDEX($FK$245:$ID$316,$FJ239-HZ$169,73-HZ$169+SwaptionShift):INDEX($FK$245:$ID$316,$FJ239-HZ$169,72-HZ$169+SwaptionMonthsToGo+SwaptionShift))/SQRT(SUM(INDEX($FK394:$ID394,1+SwaptionShift):INDEX($FK394:$ID394,SwaptionMonthsToGo+SwaptionShift))*SUM(INDEX($FK$325:$ID$396,HZ$169,1+SwaptionShift):INDEX($FK$325:$ID$396,HZ$169,SwaptionMonthsToGo+SwaptionShift))))))</f>
        <v/>
      </c>
      <c r="IA239" s="479" t="str">
        <f ca="1">IF(OR(IA$169&lt;SwaptionFirstMonthPosition+1,$FJ239&lt;SwaptionFirstMonthPosition+1,IA$169&gt;SwaptionFirstMonthPosition+SwaptionNumOfMonths+1,$FJ239&gt;SwaptionFirstMonthPosition+SwaptionNumOfMonths+1),"",IF($FJ239=IA$169,1,IF($FJ239&lt;IA$169,INDEX($FK$170:$ID$241,IA$169,$FJ239),SUMPRODUCT(INDEX($FK$325:$ID$396,IA$169,1+SwaptionShift):INDEX($FK$325:$ID$396,IA$169,SwaptionMonthsToGo+SwaptionShift),INDEX($FK$245:$ID$316,$FJ239-IA$169,73-IA$169+SwaptionShift):INDEX($FK$245:$ID$316,$FJ239-IA$169,72-IA$169+SwaptionMonthsToGo+SwaptionShift))/SQRT(SUM(INDEX($FK394:$ID394,1+SwaptionShift):INDEX($FK394:$ID394,SwaptionMonthsToGo+SwaptionShift))*SUM(INDEX($FK$325:$ID$396,IA$169,1+SwaptionShift):INDEX($FK$325:$ID$396,IA$169,SwaptionMonthsToGo+SwaptionShift))))))</f>
        <v/>
      </c>
      <c r="IB239" s="479" t="str">
        <f ca="1">IF(OR(IB$169&lt;SwaptionFirstMonthPosition+1,$FJ239&lt;SwaptionFirstMonthPosition+1,IB$169&gt;SwaptionFirstMonthPosition+SwaptionNumOfMonths+1,$FJ239&gt;SwaptionFirstMonthPosition+SwaptionNumOfMonths+1),"",IF($FJ239=IB$169,1,IF($FJ239&lt;IB$169,INDEX($FK$170:$ID$241,IB$169,$FJ239),SUMPRODUCT(INDEX($FK$325:$ID$396,IB$169,1+SwaptionShift):INDEX($FK$325:$ID$396,IB$169,SwaptionMonthsToGo+SwaptionShift),INDEX($FK$245:$ID$316,$FJ239-IB$169,73-IB$169+SwaptionShift):INDEX($FK$245:$ID$316,$FJ239-IB$169,72-IB$169+SwaptionMonthsToGo+SwaptionShift))/SQRT(SUM(INDEX($FK394:$ID394,1+SwaptionShift):INDEX($FK394:$ID394,SwaptionMonthsToGo+SwaptionShift))*SUM(INDEX($FK$325:$ID$396,IB$169,1+SwaptionShift):INDEX($FK$325:$ID$396,IB$169,SwaptionMonthsToGo+SwaptionShift))))))</f>
        <v/>
      </c>
      <c r="IC239" s="479" t="str">
        <f ca="1">IF(OR(IC$169&lt;SwaptionFirstMonthPosition+1,$FJ239&lt;SwaptionFirstMonthPosition+1,IC$169&gt;SwaptionFirstMonthPosition+SwaptionNumOfMonths+1,$FJ239&gt;SwaptionFirstMonthPosition+SwaptionNumOfMonths+1),"",IF($FJ239=IC$169,1,IF($FJ239&lt;IC$169,INDEX($FK$170:$ID$241,IC$169,$FJ239),SUMPRODUCT(INDEX($FK$325:$ID$396,IC$169,1+SwaptionShift):INDEX($FK$325:$ID$396,IC$169,SwaptionMonthsToGo+SwaptionShift),INDEX($FK$245:$ID$316,$FJ239-IC$169,73-IC$169+SwaptionShift):INDEX($FK$245:$ID$316,$FJ239-IC$169,72-IC$169+SwaptionMonthsToGo+SwaptionShift))/SQRT(SUM(INDEX($FK394:$ID394,1+SwaptionShift):INDEX($FK394:$ID394,SwaptionMonthsToGo+SwaptionShift))*SUM(INDEX($FK$325:$ID$396,IC$169,1+SwaptionShift):INDEX($FK$325:$ID$396,IC$169,SwaptionMonthsToGo+SwaptionShift))))))</f>
        <v/>
      </c>
      <c r="ID239" s="678" t="str">
        <f ca="1">IF(OR(ID$169&lt;SwaptionFirstMonthPosition+1,$FJ239&lt;SwaptionFirstMonthPosition+1,ID$169&gt;SwaptionFirstMonthPosition+SwaptionNumOfMonths+1,$FJ239&gt;SwaptionFirstMonthPosition+SwaptionNumOfMonths+1),"",IF($FJ239=ID$169,1,IF($FJ239&lt;ID$169,INDEX($FK$170:$ID$241,ID$169,$FJ239),SUMPRODUCT(INDEX($FK$325:$ID$396,ID$169,1+SwaptionShift):INDEX($FK$325:$ID$396,ID$169,SwaptionMonthsToGo+SwaptionShift),INDEX($FK$245:$ID$316,$FJ239-ID$169,73-ID$169+SwaptionShift):INDEX($FK$245:$ID$316,$FJ239-ID$169,72-ID$169+SwaptionMonthsToGo+SwaptionShift))/SQRT(SUM(INDEX($FK394:$ID394,1+SwaptionShift):INDEX($FK394:$ID394,SwaptionMonthsToGo+SwaptionShift))*SUM(INDEX($FK$325:$ID$396,ID$169,1+SwaptionShift):INDEX($FK$325:$ID$396,ID$169,SwaptionMonthsToGo+SwaptionShift))))))</f>
        <v/>
      </c>
      <c r="IE239" s="250"/>
    </row>
    <row r="240" spans="8:239">
      <c r="H240" s="51">
        <f t="shared" ca="1" si="646"/>
        <v>0</v>
      </c>
      <c r="I240" s="379">
        <f t="shared" si="647"/>
        <v>43466</v>
      </c>
      <c r="J240" s="377"/>
      <c r="K240" s="104" t="s">
        <v>268</v>
      </c>
      <c r="L240" s="392">
        <f t="shared" si="648"/>
        <v>5.3999999999999932</v>
      </c>
      <c r="M240" s="171"/>
      <c r="N240" s="382">
        <v>0</v>
      </c>
      <c r="O240" s="171">
        <f t="shared" si="596"/>
        <v>0</v>
      </c>
      <c r="P240" s="377"/>
      <c r="Q240" s="104" t="s">
        <v>268</v>
      </c>
      <c r="R240" s="377">
        <f t="shared" ca="1" si="597"/>
        <v>4.199840408273861</v>
      </c>
      <c r="S240" s="832">
        <f t="shared" si="671"/>
        <v>0.3600000000000001</v>
      </c>
      <c r="T240" s="831">
        <f t="shared" si="661"/>
        <v>0.99999999999999933</v>
      </c>
      <c r="U240" s="545">
        <f t="shared" si="662"/>
        <v>0.99999999999999978</v>
      </c>
      <c r="V240" s="389">
        <v>0</v>
      </c>
      <c r="W240" s="434">
        <f t="shared" si="598"/>
        <v>0</v>
      </c>
      <c r="X240" s="415">
        <f t="shared" si="599"/>
        <v>5.4528409090909022</v>
      </c>
      <c r="Y240" s="322">
        <f t="shared" si="600"/>
        <v>-1.1684999999999999</v>
      </c>
      <c r="Z240" s="322">
        <f t="shared" ca="1" si="601"/>
        <v>4.2843409090909024</v>
      </c>
      <c r="AA240" s="429">
        <f t="shared" si="628"/>
        <v>1.1684999999999999</v>
      </c>
      <c r="AB240" s="433">
        <f t="shared" ca="1" si="629"/>
        <v>1.1684999999999999</v>
      </c>
      <c r="AC240" s="229">
        <v>43454</v>
      </c>
      <c r="AD240" s="229">
        <v>43450</v>
      </c>
      <c r="AE240" s="229">
        <v>43449</v>
      </c>
      <c r="AF240" s="229">
        <v>43445</v>
      </c>
      <c r="AG240" s="249" t="s">
        <v>499</v>
      </c>
      <c r="AH240" s="247" t="s">
        <v>499</v>
      </c>
      <c r="AI240" s="146">
        <v>22</v>
      </c>
      <c r="AJ240" s="41">
        <v>13</v>
      </c>
      <c r="AK240" s="41">
        <v>9</v>
      </c>
      <c r="AL240" s="293">
        <v>22</v>
      </c>
      <c r="AM240" s="41">
        <v>9</v>
      </c>
      <c r="AN240" s="147">
        <v>13</v>
      </c>
      <c r="AO240" s="374"/>
      <c r="AP240" s="153">
        <f t="shared" ca="1" si="649"/>
        <v>1</v>
      </c>
      <c r="AQ240" s="374"/>
      <c r="AR240" s="153">
        <f t="shared" ca="1" si="663"/>
        <v>1</v>
      </c>
      <c r="AS240" s="272">
        <f t="shared" si="602"/>
        <v>0</v>
      </c>
      <c r="AT240" s="157">
        <f t="shared" si="650"/>
        <v>0</v>
      </c>
      <c r="AU240" s="157">
        <f t="shared" si="630"/>
        <v>0</v>
      </c>
      <c r="AV240" s="271">
        <f t="shared" ca="1" si="670"/>
        <v>9.9999999999999995E-7</v>
      </c>
      <c r="AW240" s="158" t="str">
        <f t="shared" ca="1" si="583"/>
        <v/>
      </c>
      <c r="AX240" s="157">
        <f t="shared" ca="1" si="664"/>
        <v>1.5136808711540558E-5</v>
      </c>
      <c r="AY240" s="157">
        <f t="shared" ca="1" si="665"/>
        <v>2.7016159309930878E-6</v>
      </c>
      <c r="AZ240" s="157">
        <f t="shared" ca="1" si="666"/>
        <v>4.4252273766992922E-8</v>
      </c>
      <c r="BA240" s="157">
        <f t="shared" ca="1" si="667"/>
        <v>5.5315342208741153E-9</v>
      </c>
      <c r="BB240" s="157">
        <f t="shared" ca="1" si="668"/>
        <v>6.9774812818918417E-12</v>
      </c>
      <c r="BC240" s="157">
        <f t="shared" ca="1" si="669"/>
        <v>6.1195741673394638E-14</v>
      </c>
      <c r="BD240" s="151">
        <f t="shared" ca="1" si="603"/>
        <v>0</v>
      </c>
      <c r="BE240" s="152">
        <f t="shared" ca="1" si="604"/>
        <v>0</v>
      </c>
      <c r="BF240" s="40">
        <f t="shared" si="605"/>
        <v>2019</v>
      </c>
      <c r="BG240" s="144">
        <f t="shared" si="606"/>
        <v>1</v>
      </c>
      <c r="BH240" s="145">
        <f t="shared" ca="1" si="607"/>
        <v>6705</v>
      </c>
      <c r="BI240" s="313">
        <f t="shared" ca="1" si="608"/>
        <v>18.401095140314855</v>
      </c>
      <c r="BJ240" s="42">
        <f t="shared" ca="1" si="631"/>
        <v>18.449629767904923</v>
      </c>
      <c r="BK240" s="42">
        <f t="shared" ca="1" si="632"/>
        <v>18.452367618692055</v>
      </c>
      <c r="BL240" s="42">
        <f t="shared" ca="1" si="609"/>
        <v>18.483230663928815</v>
      </c>
      <c r="BM240" s="150" t="e">
        <f t="shared" ca="1" si="633"/>
        <v>#DIV/0!</v>
      </c>
      <c r="BN240" s="42" t="e">
        <f t="shared" ca="1" si="634"/>
        <v>#DIV/0!</v>
      </c>
      <c r="BO240" s="293">
        <f t="shared" si="610"/>
        <v>22</v>
      </c>
      <c r="BP240" s="41">
        <f t="shared" si="611"/>
        <v>13</v>
      </c>
      <c r="BQ240" s="41">
        <f t="shared" si="612"/>
        <v>9</v>
      </c>
      <c r="BR240" s="305" t="str">
        <f t="shared" ca="1" si="635"/>
        <v/>
      </c>
      <c r="BS240" s="305" t="str">
        <f t="shared" ca="1" si="613"/>
        <v/>
      </c>
      <c r="BT240" s="307" t="str">
        <f t="shared" ca="1" si="614"/>
        <v/>
      </c>
      <c r="BU240" s="161" t="str">
        <f t="shared" ca="1" si="636"/>
        <v/>
      </c>
      <c r="BV240" s="161" t="str">
        <f t="shared" ca="1" si="637"/>
        <v/>
      </c>
      <c r="BW240" s="308" t="str">
        <f t="shared" ca="1" si="638"/>
        <v/>
      </c>
      <c r="BX240" s="309" t="str">
        <f t="shared" ca="1" si="639"/>
        <v/>
      </c>
      <c r="BY240" s="308" t="str">
        <f t="shared" ca="1" si="615"/>
        <v/>
      </c>
      <c r="BZ240" s="309" t="str">
        <f t="shared" ca="1" si="616"/>
        <v/>
      </c>
      <c r="CA240" s="154" t="str">
        <f t="shared" ca="1" si="640"/>
        <v/>
      </c>
      <c r="CB240" s="154" t="str">
        <f t="shared" ca="1" si="641"/>
        <v/>
      </c>
      <c r="CC240" s="154" t="str">
        <f t="shared" ca="1" si="642"/>
        <v/>
      </c>
      <c r="CD240" s="154" t="str">
        <f t="shared" ca="1" si="643"/>
        <v/>
      </c>
      <c r="CE240" s="310">
        <v>1</v>
      </c>
      <c r="CF240" s="162">
        <f ca="1">IF(BD240,_xll.xCrudeAPO(BU240,BV240,CA240,CB240,S241,S242,BI240,BL240,BP240,BQ240,0,Strike1,AO240,CE240,0,BL240,IF(OptControl=4,0,1),0,1),0)</f>
        <v>0</v>
      </c>
      <c r="CG240" s="163">
        <f ca="1">IF(BD240,_xll.xCrudeAPO(BU240,BV240,CA240,CB240,S241,S242,BI240,BL240,BP240,BQ240,0,Strike1,AO240,CE240,0,BL240,IF(OptControl=4,0,1),1,1)+_xll.xCrudeAPO(BU240,BV240,CA240,CB240,S241,S242,BI240,BL240,BP240,BQ240,0,Strike1,AO240,CE240,0,BL240,IF(OptControl=4,0,1),1,2)+IF(OR(VolSkewFlag=2,ABS(BS240)&lt;0.0001),0,IF(BS240&gt;0,-1,1)*CH240*Strike1/BR240^2*BY240/10%),0)</f>
        <v>0</v>
      </c>
      <c r="CH240" s="163">
        <f ca="1">IF(BD240,(_xll.xCrudeAPO(BU240,BV240,CA240,CB240,S241,S242,BI240,BL240,BP240,BQ240,0,Strike1,AO240,CE240,0,BL240,IF(OptControl=4,0,1),3,1)+_xll.xCrudeAPO(BU240,BV240,CA240,CB240,S241,S242,BI240,BL240,BP240,BQ240,0,Strike1,AO240,CE240,0,BL240,IF(OptControl=4,0,1),3,2))/100,0)</f>
        <v>0</v>
      </c>
      <c r="CI240" s="163">
        <f ca="1">IF(BD240,_xll.xCrudeAPO(BU240,BV240,CA240,CB240,S241,S242,BI240-DaysForThetaCalculation/365.25,BL240-DaysForThetaCalculation/365.25,BP240,BQ240,0,Strike1,AO240,CE240,0,BL240,IF(OptControl=4,0,1),0,1)-_xll.xCrudeAPO(BU240,BV240,CA240,CB240,S241,S242,BI240,BL240,BP240,BQ240,0,Strike1,AO240,CE240,0,BL240,IF(OptControl=4,0,1),0,1),0)</f>
        <v>0</v>
      </c>
      <c r="CJ240" s="311">
        <f ca="1">IF(BD240,_xll.xCrudeAPO(BU240,BV240,CC240,CD240,S241,S242,BI240,BL240,BP240,BQ240,0,Strike2,AO240,CE240,0,BL240,IF(OptControl=3,1,0),0,1),0)</f>
        <v>0</v>
      </c>
      <c r="CK240" s="163">
        <f ca="1">IF(BD240,_xll.xCrudeAPO(BU240,BV240,CC240,CD240,S241,S242,BI240,BL240,BP240,BQ240,0,Strike2,AO240,CE240,0,BL240,IF(OptControl=3,1,0),1,1)+_xll.xCrudeAPO(BU240,BV240,CC240,CD240,S241,S242,BI240,BL240,BP240,BQ240,0,Strike2,AO240,CE240,0,BL240,IF(OptControl=3,1,0),1,2)+IF(OR(VolSkewFlag=2,ABS(BT240)&lt;0.0001),0,IF(BT240&gt;0,-1,1)*CL240*Strike2/BR240^2*BZ240/10%),0)</f>
        <v>0</v>
      </c>
      <c r="CL240" s="163">
        <f ca="1">IF(BD240,(_xll.xCrudeAPO(BU240,BV240,CC240,CD240,S241,S242,BI240,BL240,BP240,BQ240,0,Strike2,AO240,CE240,0,BL240,IF(OptControl=3,1,0),3,1)+_xll.xCrudeAPO(BU240,BV240,CC240,CD240,S241,S242,BI240,BL240,BP240,BQ240,0,Strike2,AO240,CE240,0,BL240,IF(OptControl=3,1,0),3,2))/100,0)</f>
        <v>0</v>
      </c>
      <c r="CM240" s="164">
        <f ca="1">IF(BD240,_xll.xCrudeAPO(BU240,BV240,CC240,CD240,S241,S242,BI240-DaysForThetaCalculation/365.25,BL240-DaysForThetaCalculation/365.25,BP240,BQ240,0,Strike2,AO240,CE240,0,BL240,IF(OptControl=3,1,0),0,1)-_xll.xCrudeAPO(BU240,BV240,CC240,CD240,S241,S242,BI240,BL240,BP240,BQ240,0,Strike2,AO240,CE240,0,BL240,IF(OptControl=3,1,0),0,1),0)</f>
        <v>0</v>
      </c>
      <c r="CN240" s="53"/>
      <c r="CO240" s="796" t="str">
        <f t="shared" ca="1" si="651"/>
        <v/>
      </c>
      <c r="CP240" s="800" t="str">
        <f t="shared" ca="1" si="652"/>
        <v/>
      </c>
      <c r="CQ240" s="797" t="str">
        <f t="shared" ca="1" si="653"/>
        <v/>
      </c>
      <c r="CR240" s="797" t="str">
        <f t="shared" ca="1" si="654"/>
        <v/>
      </c>
      <c r="CS240" s="797" t="str">
        <f t="shared" ca="1" si="655"/>
        <v/>
      </c>
      <c r="CT240" s="797" t="str">
        <f t="shared" ca="1" si="656"/>
        <v/>
      </c>
      <c r="CU240" s="798" t="str">
        <f t="shared" ca="1" si="657"/>
        <v/>
      </c>
      <c r="CV240" s="799" t="str">
        <f t="shared" ca="1" si="658"/>
        <v/>
      </c>
      <c r="CW240" s="799" t="str">
        <f t="shared" ca="1" si="659"/>
        <v/>
      </c>
      <c r="CX240" s="163">
        <f ca="1">IF(BD240,_xll.EURO(CP240,Strike1,AO240,AO240,CV240,CO240,IF(OptControl=4,0,1),0),0)</f>
        <v>0</v>
      </c>
      <c r="CY240" s="163">
        <f ca="1">IF(BD240,_xll.EURO(CP240,Strike1,AO240,AO240,CV240,CO240,IF(OptControl=4,0,1),1)+IF(OR(VolSkewFlag=2,ABS(CQ240)&lt;0.0001),0,IF(CQ240&gt;0,-1,1)*CZ240*100*Strike1/CP240^2*CS240/10%),0)</f>
        <v>0</v>
      </c>
      <c r="CZ240" s="163">
        <f ca="1">IF(BD240,_xll.EURO(CP240,Strike1,AO240,AO240,CV240,CO240,IF(OptControl=4,0,1),3)/100,0)</f>
        <v>0</v>
      </c>
      <c r="DA240" s="163">
        <f ca="1">IF(BD240,_xll.EURO(CP240,Strike1,AO240,AO240,CV240,CO240,IF(OptControl=4,0,1),0)-_xll.EURO(CP240,Strike1,AO240,AO240,CV240,CO240-1,IF(OptControl=4,0,1),0),0)</f>
        <v>0</v>
      </c>
      <c r="DB240" s="163">
        <f ca="1">IF(BD240,_xll.EURO(CP240,Strike2,AO240,AO240,CW240,CO240,IF(OptControl=3,1,0),0),0)</f>
        <v>0</v>
      </c>
      <c r="DC240" s="163">
        <f ca="1">IF(BD240,_xll.EURO(CP240,Strike2,AO240,AO240,CW240,CO240,IF(OptControl=3,1,0),1)+IF(OR(VolSkewFlag=2,ABS(CR240)&lt;0.0001),0,IF(CR240&gt;0,-1,1)*DD240*100*Strike2/CP240^2*CT240/10%),0)</f>
        <v>0</v>
      </c>
      <c r="DD240" s="163">
        <f ca="1">IF(BD240,_xll.EURO(CP240,Strike2,AO240,AO240,CW240,CO240,IF(OptControl=3,1,0),3)/100,0)</f>
        <v>0</v>
      </c>
      <c r="DE240" s="164">
        <f ca="1">IF(BD240,_xll.EURO(CP240,Strike2,AO240,AO240,CW240,CO240,IF(OptControl=3,1,0),0)-_xll.EURO(CP240,Strike2,AO240,AO240,CW240,CO240-1,IF(OptControl=3,1,0),0),0)</f>
        <v>0</v>
      </c>
      <c r="DG240" s="667">
        <f t="shared" ca="1" si="660"/>
        <v>43252</v>
      </c>
      <c r="DH240" s="475">
        <v>25.160000000000103</v>
      </c>
      <c r="DI240" s="665">
        <v>25.226666666666773</v>
      </c>
      <c r="DJ240" s="666">
        <f t="shared" ca="1" si="617"/>
        <v>43252</v>
      </c>
      <c r="DK240" s="475">
        <v>23.729927241844258</v>
      </c>
      <c r="DL240" s="665">
        <v>23.935166666666774</v>
      </c>
      <c r="DM240" s="667">
        <f t="shared" ca="1" si="618"/>
        <v>43252</v>
      </c>
      <c r="DN240" s="668">
        <f t="shared" si="619"/>
        <v>23.779927241844259</v>
      </c>
      <c r="DO240" s="667">
        <f t="shared" ca="1" si="620"/>
        <v>43252</v>
      </c>
      <c r="DP240" s="579">
        <f t="shared" si="621"/>
        <v>23.935166666666774</v>
      </c>
      <c r="DQ240" s="821">
        <v>0</v>
      </c>
      <c r="DR240" s="666">
        <f t="shared" ca="1" si="622"/>
        <v>43252</v>
      </c>
      <c r="DS240" s="669">
        <v>9.2599999999997004E-2</v>
      </c>
      <c r="DT240" s="606">
        <v>9.1799999999997023E-2</v>
      </c>
      <c r="DU240" s="666">
        <f t="shared" ca="1" si="623"/>
        <v>43252</v>
      </c>
      <c r="DV240" s="669">
        <v>9.2599999999997004E-2</v>
      </c>
      <c r="DW240" s="606">
        <v>9.1799999999997023E-2</v>
      </c>
      <c r="DX240" s="667">
        <f t="shared" ca="1" si="624"/>
        <v>43252</v>
      </c>
      <c r="DY240" s="606">
        <v>0.35</v>
      </c>
      <c r="DZ240" s="667">
        <f t="shared" ca="1" si="625"/>
        <v>43252</v>
      </c>
      <c r="EA240" s="606">
        <f t="shared" si="626"/>
        <v>9.1799999999997023E-2</v>
      </c>
      <c r="EB240" s="1"/>
      <c r="EC240" s="118" t="str">
        <f t="shared" ca="1" si="627"/>
        <v/>
      </c>
      <c r="ED240" s="119" t="str">
        <f t="shared" ca="1" si="644"/>
        <v/>
      </c>
      <c r="EE240" s="112" t="str">
        <f t="shared" ca="1" si="645"/>
        <v/>
      </c>
      <c r="EF240" s="120">
        <f ca="1">IF(BD240,_xll.xASN(BR240,Strike1,AO240,ED240,0,BO240,0,BI240,BL240,IF(OptControl=4,0,1),0),0)</f>
        <v>0</v>
      </c>
      <c r="EG240" s="111">
        <f ca="1">IF(BD240,_xll.xASN(BR240,Strike2,AO240,EE240,0,BO240,0,BI240,BL240,IF(OptControl=3,1,0),0),0)</f>
        <v>0</v>
      </c>
      <c r="EL240" s="55"/>
      <c r="EM240" s="1"/>
      <c r="EN240" s="106"/>
      <c r="EO240" s="106"/>
      <c r="EP240" s="1"/>
      <c r="EQ240" s="683" t="s">
        <v>454</v>
      </c>
      <c r="ES240" s="55"/>
      <c r="EU240" s="107"/>
      <c r="FJ240" s="673">
        <v>71</v>
      </c>
      <c r="FK240" s="479" t="str">
        <f ca="1">IF(OR(FK$169&lt;SwaptionFirstMonthPosition+1,$FJ240&lt;SwaptionFirstMonthPosition+1,FK$169&gt;SwaptionFirstMonthPosition+SwaptionNumOfMonths+1,$FJ240&gt;SwaptionFirstMonthPosition+SwaptionNumOfMonths+1),"",IF($FJ240=FK$169,1,IF($FJ240&lt;FK$169,INDEX($FK$170:$ID$241,FK$169,$FJ240),SUMPRODUCT(INDEX($FK$325:$ID$396,FK$169,1+SwaptionShift):INDEX($FK$325:$ID$396,FK$169,SwaptionMonthsToGo+SwaptionShift),INDEX($FK$245:$ID$316,$FJ240-FK$169,73-FK$169+SwaptionShift):INDEX($FK$245:$ID$316,$FJ240-FK$169,72-FK$169+SwaptionMonthsToGo+SwaptionShift))/SQRT(SUM(INDEX($FK395:$ID395,1+SwaptionShift):INDEX($FK395:$ID395,SwaptionMonthsToGo+SwaptionShift))*SUM(INDEX($FK$325:$ID$396,FK$169,1+SwaptionShift):INDEX($FK$325:$ID$396,FK$169,SwaptionMonthsToGo+SwaptionShift))))))</f>
        <v/>
      </c>
      <c r="FL240" s="479" t="str">
        <f ca="1">IF(OR(FL$169&lt;SwaptionFirstMonthPosition+1,$FJ240&lt;SwaptionFirstMonthPosition+1,FL$169&gt;SwaptionFirstMonthPosition+SwaptionNumOfMonths+1,$FJ240&gt;SwaptionFirstMonthPosition+SwaptionNumOfMonths+1),"",IF($FJ240=FL$169,1,IF($FJ240&lt;FL$169,INDEX($FK$170:$ID$241,FL$169,$FJ240),SUMPRODUCT(INDEX($FK$325:$ID$396,FL$169,1+SwaptionShift):INDEX($FK$325:$ID$396,FL$169,SwaptionMonthsToGo+SwaptionShift),INDEX($FK$245:$ID$316,$FJ240-FL$169,73-FL$169+SwaptionShift):INDEX($FK$245:$ID$316,$FJ240-FL$169,72-FL$169+SwaptionMonthsToGo+SwaptionShift))/SQRT(SUM(INDEX($FK395:$ID395,1+SwaptionShift):INDEX($FK395:$ID395,SwaptionMonthsToGo+SwaptionShift))*SUM(INDEX($FK$325:$ID$396,FL$169,1+SwaptionShift):INDEX($FK$325:$ID$396,FL$169,SwaptionMonthsToGo+SwaptionShift))))))</f>
        <v/>
      </c>
      <c r="FM240" s="479" t="str">
        <f ca="1">IF(OR(FM$169&lt;SwaptionFirstMonthPosition+1,$FJ240&lt;SwaptionFirstMonthPosition+1,FM$169&gt;SwaptionFirstMonthPosition+SwaptionNumOfMonths+1,$FJ240&gt;SwaptionFirstMonthPosition+SwaptionNumOfMonths+1),"",IF($FJ240=FM$169,1,IF($FJ240&lt;FM$169,INDEX($FK$170:$ID$241,FM$169,$FJ240),SUMPRODUCT(INDEX($FK$325:$ID$396,FM$169,1+SwaptionShift):INDEX($FK$325:$ID$396,FM$169,SwaptionMonthsToGo+SwaptionShift),INDEX($FK$245:$ID$316,$FJ240-FM$169,73-FM$169+SwaptionShift):INDEX($FK$245:$ID$316,$FJ240-FM$169,72-FM$169+SwaptionMonthsToGo+SwaptionShift))/SQRT(SUM(INDEX($FK395:$ID395,1+SwaptionShift):INDEX($FK395:$ID395,SwaptionMonthsToGo+SwaptionShift))*SUM(INDEX($FK$325:$ID$396,FM$169,1+SwaptionShift):INDEX($FK$325:$ID$396,FM$169,SwaptionMonthsToGo+SwaptionShift))))))</f>
        <v/>
      </c>
      <c r="FN240" s="479" t="str">
        <f ca="1">IF(OR(FN$169&lt;SwaptionFirstMonthPosition+1,$FJ240&lt;SwaptionFirstMonthPosition+1,FN$169&gt;SwaptionFirstMonthPosition+SwaptionNumOfMonths+1,$FJ240&gt;SwaptionFirstMonthPosition+SwaptionNumOfMonths+1),"",IF($FJ240=FN$169,1,IF($FJ240&lt;FN$169,INDEX($FK$170:$ID$241,FN$169,$FJ240),SUMPRODUCT(INDEX($FK$325:$ID$396,FN$169,1+SwaptionShift):INDEX($FK$325:$ID$396,FN$169,SwaptionMonthsToGo+SwaptionShift),INDEX($FK$245:$ID$316,$FJ240-FN$169,73-FN$169+SwaptionShift):INDEX($FK$245:$ID$316,$FJ240-FN$169,72-FN$169+SwaptionMonthsToGo+SwaptionShift))/SQRT(SUM(INDEX($FK395:$ID395,1+SwaptionShift):INDEX($FK395:$ID395,SwaptionMonthsToGo+SwaptionShift))*SUM(INDEX($FK$325:$ID$396,FN$169,1+SwaptionShift):INDEX($FK$325:$ID$396,FN$169,SwaptionMonthsToGo+SwaptionShift))))))</f>
        <v/>
      </c>
      <c r="FO240" s="479" t="str">
        <f ca="1">IF(OR(FO$169&lt;SwaptionFirstMonthPosition+1,$FJ240&lt;SwaptionFirstMonthPosition+1,FO$169&gt;SwaptionFirstMonthPosition+SwaptionNumOfMonths+1,$FJ240&gt;SwaptionFirstMonthPosition+SwaptionNumOfMonths+1),"",IF($FJ240=FO$169,1,IF($FJ240&lt;FO$169,INDEX($FK$170:$ID$241,FO$169,$FJ240),SUMPRODUCT(INDEX($FK$325:$ID$396,FO$169,1+SwaptionShift):INDEX($FK$325:$ID$396,FO$169,SwaptionMonthsToGo+SwaptionShift),INDEX($FK$245:$ID$316,$FJ240-FO$169,73-FO$169+SwaptionShift):INDEX($FK$245:$ID$316,$FJ240-FO$169,72-FO$169+SwaptionMonthsToGo+SwaptionShift))/SQRT(SUM(INDEX($FK395:$ID395,1+SwaptionShift):INDEX($FK395:$ID395,SwaptionMonthsToGo+SwaptionShift))*SUM(INDEX($FK$325:$ID$396,FO$169,1+SwaptionShift):INDEX($FK$325:$ID$396,FO$169,SwaptionMonthsToGo+SwaptionShift))))))</f>
        <v/>
      </c>
      <c r="FP240" s="479" t="str">
        <f ca="1">IF(OR(FP$169&lt;SwaptionFirstMonthPosition+1,$FJ240&lt;SwaptionFirstMonthPosition+1,FP$169&gt;SwaptionFirstMonthPosition+SwaptionNumOfMonths+1,$FJ240&gt;SwaptionFirstMonthPosition+SwaptionNumOfMonths+1),"",IF($FJ240=FP$169,1,IF($FJ240&lt;FP$169,INDEX($FK$170:$ID$241,FP$169,$FJ240),SUMPRODUCT(INDEX($FK$325:$ID$396,FP$169,1+SwaptionShift):INDEX($FK$325:$ID$396,FP$169,SwaptionMonthsToGo+SwaptionShift),INDEX($FK$245:$ID$316,$FJ240-FP$169,73-FP$169+SwaptionShift):INDEX($FK$245:$ID$316,$FJ240-FP$169,72-FP$169+SwaptionMonthsToGo+SwaptionShift))/SQRT(SUM(INDEX($FK395:$ID395,1+SwaptionShift):INDEX($FK395:$ID395,SwaptionMonthsToGo+SwaptionShift))*SUM(INDEX($FK$325:$ID$396,FP$169,1+SwaptionShift):INDEX($FK$325:$ID$396,FP$169,SwaptionMonthsToGo+SwaptionShift))))))</f>
        <v/>
      </c>
      <c r="FQ240" s="479" t="str">
        <f ca="1">IF(OR(FQ$169&lt;SwaptionFirstMonthPosition+1,$FJ240&lt;SwaptionFirstMonthPosition+1,FQ$169&gt;SwaptionFirstMonthPosition+SwaptionNumOfMonths+1,$FJ240&gt;SwaptionFirstMonthPosition+SwaptionNumOfMonths+1),"",IF($FJ240=FQ$169,1,IF($FJ240&lt;FQ$169,INDEX($FK$170:$ID$241,FQ$169,$FJ240),SUMPRODUCT(INDEX($FK$325:$ID$396,FQ$169,1+SwaptionShift):INDEX($FK$325:$ID$396,FQ$169,SwaptionMonthsToGo+SwaptionShift),INDEX($FK$245:$ID$316,$FJ240-FQ$169,73-FQ$169+SwaptionShift):INDEX($FK$245:$ID$316,$FJ240-FQ$169,72-FQ$169+SwaptionMonthsToGo+SwaptionShift))/SQRT(SUM(INDEX($FK395:$ID395,1+SwaptionShift):INDEX($FK395:$ID395,SwaptionMonthsToGo+SwaptionShift))*SUM(INDEX($FK$325:$ID$396,FQ$169,1+SwaptionShift):INDEX($FK$325:$ID$396,FQ$169,SwaptionMonthsToGo+SwaptionShift))))))</f>
        <v/>
      </c>
      <c r="FR240" s="479" t="str">
        <f ca="1">IF(OR(FR$169&lt;SwaptionFirstMonthPosition+1,$FJ240&lt;SwaptionFirstMonthPosition+1,FR$169&gt;SwaptionFirstMonthPosition+SwaptionNumOfMonths+1,$FJ240&gt;SwaptionFirstMonthPosition+SwaptionNumOfMonths+1),"",IF($FJ240=FR$169,1,IF($FJ240&lt;FR$169,INDEX($FK$170:$ID$241,FR$169,$FJ240),SUMPRODUCT(INDEX($FK$325:$ID$396,FR$169,1+SwaptionShift):INDEX($FK$325:$ID$396,FR$169,SwaptionMonthsToGo+SwaptionShift),INDEX($FK$245:$ID$316,$FJ240-FR$169,73-FR$169+SwaptionShift):INDEX($FK$245:$ID$316,$FJ240-FR$169,72-FR$169+SwaptionMonthsToGo+SwaptionShift))/SQRT(SUM(INDEX($FK395:$ID395,1+SwaptionShift):INDEX($FK395:$ID395,SwaptionMonthsToGo+SwaptionShift))*SUM(INDEX($FK$325:$ID$396,FR$169,1+SwaptionShift):INDEX($FK$325:$ID$396,FR$169,SwaptionMonthsToGo+SwaptionShift))))))</f>
        <v/>
      </c>
      <c r="FS240" s="479" t="str">
        <f ca="1">IF(OR(FS$169&lt;SwaptionFirstMonthPosition+1,$FJ240&lt;SwaptionFirstMonthPosition+1,FS$169&gt;SwaptionFirstMonthPosition+SwaptionNumOfMonths+1,$FJ240&gt;SwaptionFirstMonthPosition+SwaptionNumOfMonths+1),"",IF($FJ240=FS$169,1,IF($FJ240&lt;FS$169,INDEX($FK$170:$ID$241,FS$169,$FJ240),SUMPRODUCT(INDEX($FK$325:$ID$396,FS$169,1+SwaptionShift):INDEX($FK$325:$ID$396,FS$169,SwaptionMonthsToGo+SwaptionShift),INDEX($FK$245:$ID$316,$FJ240-FS$169,73-FS$169+SwaptionShift):INDEX($FK$245:$ID$316,$FJ240-FS$169,72-FS$169+SwaptionMonthsToGo+SwaptionShift))/SQRT(SUM(INDEX($FK395:$ID395,1+SwaptionShift):INDEX($FK395:$ID395,SwaptionMonthsToGo+SwaptionShift))*SUM(INDEX($FK$325:$ID$396,FS$169,1+SwaptionShift):INDEX($FK$325:$ID$396,FS$169,SwaptionMonthsToGo+SwaptionShift))))))</f>
        <v/>
      </c>
      <c r="FT240" s="479" t="str">
        <f ca="1">IF(OR(FT$169&lt;SwaptionFirstMonthPosition+1,$FJ240&lt;SwaptionFirstMonthPosition+1,FT$169&gt;SwaptionFirstMonthPosition+SwaptionNumOfMonths+1,$FJ240&gt;SwaptionFirstMonthPosition+SwaptionNumOfMonths+1),"",IF($FJ240=FT$169,1,IF($FJ240&lt;FT$169,INDEX($FK$170:$ID$241,FT$169,$FJ240),SUMPRODUCT(INDEX($FK$325:$ID$396,FT$169,1+SwaptionShift):INDEX($FK$325:$ID$396,FT$169,SwaptionMonthsToGo+SwaptionShift),INDEX($FK$245:$ID$316,$FJ240-FT$169,73-FT$169+SwaptionShift):INDEX($FK$245:$ID$316,$FJ240-FT$169,72-FT$169+SwaptionMonthsToGo+SwaptionShift))/SQRT(SUM(INDEX($FK395:$ID395,1+SwaptionShift):INDEX($FK395:$ID395,SwaptionMonthsToGo+SwaptionShift))*SUM(INDEX($FK$325:$ID$396,FT$169,1+SwaptionShift):INDEX($FK$325:$ID$396,FT$169,SwaptionMonthsToGo+SwaptionShift))))))</f>
        <v/>
      </c>
      <c r="FU240" s="479" t="str">
        <f ca="1">IF(OR(FU$169&lt;SwaptionFirstMonthPosition+1,$FJ240&lt;SwaptionFirstMonthPosition+1,FU$169&gt;SwaptionFirstMonthPosition+SwaptionNumOfMonths+1,$FJ240&gt;SwaptionFirstMonthPosition+SwaptionNumOfMonths+1),"",IF($FJ240=FU$169,1,IF($FJ240&lt;FU$169,INDEX($FK$170:$ID$241,FU$169,$FJ240),SUMPRODUCT(INDEX($FK$325:$ID$396,FU$169,1+SwaptionShift):INDEX($FK$325:$ID$396,FU$169,SwaptionMonthsToGo+SwaptionShift),INDEX($FK$245:$ID$316,$FJ240-FU$169,73-FU$169+SwaptionShift):INDEX($FK$245:$ID$316,$FJ240-FU$169,72-FU$169+SwaptionMonthsToGo+SwaptionShift))/SQRT(SUM(INDEX($FK395:$ID395,1+SwaptionShift):INDEX($FK395:$ID395,SwaptionMonthsToGo+SwaptionShift))*SUM(INDEX($FK$325:$ID$396,FU$169,1+SwaptionShift):INDEX($FK$325:$ID$396,FU$169,SwaptionMonthsToGo+SwaptionShift))))))</f>
        <v/>
      </c>
      <c r="FV240" s="479" t="str">
        <f ca="1">IF(OR(FV$169&lt;SwaptionFirstMonthPosition+1,$FJ240&lt;SwaptionFirstMonthPosition+1,FV$169&gt;SwaptionFirstMonthPosition+SwaptionNumOfMonths+1,$FJ240&gt;SwaptionFirstMonthPosition+SwaptionNumOfMonths+1),"",IF($FJ240=FV$169,1,IF($FJ240&lt;FV$169,INDEX($FK$170:$ID$241,FV$169,$FJ240),SUMPRODUCT(INDEX($FK$325:$ID$396,FV$169,1+SwaptionShift):INDEX($FK$325:$ID$396,FV$169,SwaptionMonthsToGo+SwaptionShift),INDEX($FK$245:$ID$316,$FJ240-FV$169,73-FV$169+SwaptionShift):INDEX($FK$245:$ID$316,$FJ240-FV$169,72-FV$169+SwaptionMonthsToGo+SwaptionShift))/SQRT(SUM(INDEX($FK395:$ID395,1+SwaptionShift):INDEX($FK395:$ID395,SwaptionMonthsToGo+SwaptionShift))*SUM(INDEX($FK$325:$ID$396,FV$169,1+SwaptionShift):INDEX($FK$325:$ID$396,FV$169,SwaptionMonthsToGo+SwaptionShift))))))</f>
        <v/>
      </c>
      <c r="FW240" s="479" t="str">
        <f ca="1">IF(OR(FW$169&lt;SwaptionFirstMonthPosition+1,$FJ240&lt;SwaptionFirstMonthPosition+1,FW$169&gt;SwaptionFirstMonthPosition+SwaptionNumOfMonths+1,$FJ240&gt;SwaptionFirstMonthPosition+SwaptionNumOfMonths+1),"",IF($FJ240=FW$169,1,IF($FJ240&lt;FW$169,INDEX($FK$170:$ID$241,FW$169,$FJ240),SUMPRODUCT(INDEX($FK$325:$ID$396,FW$169,1+SwaptionShift):INDEX($FK$325:$ID$396,FW$169,SwaptionMonthsToGo+SwaptionShift),INDEX($FK$245:$ID$316,$FJ240-FW$169,73-FW$169+SwaptionShift):INDEX($FK$245:$ID$316,$FJ240-FW$169,72-FW$169+SwaptionMonthsToGo+SwaptionShift))/SQRT(SUM(INDEX($FK395:$ID395,1+SwaptionShift):INDEX($FK395:$ID395,SwaptionMonthsToGo+SwaptionShift))*SUM(INDEX($FK$325:$ID$396,FW$169,1+SwaptionShift):INDEX($FK$325:$ID$396,FW$169,SwaptionMonthsToGo+SwaptionShift))))))</f>
        <v/>
      </c>
      <c r="FX240" s="479" t="str">
        <f ca="1">IF(OR(FX$169&lt;SwaptionFirstMonthPosition+1,$FJ240&lt;SwaptionFirstMonthPosition+1,FX$169&gt;SwaptionFirstMonthPosition+SwaptionNumOfMonths+1,$FJ240&gt;SwaptionFirstMonthPosition+SwaptionNumOfMonths+1),"",IF($FJ240=FX$169,1,IF($FJ240&lt;FX$169,INDEX($FK$170:$ID$241,FX$169,$FJ240),SUMPRODUCT(INDEX($FK$325:$ID$396,FX$169,1+SwaptionShift):INDEX($FK$325:$ID$396,FX$169,SwaptionMonthsToGo+SwaptionShift),INDEX($FK$245:$ID$316,$FJ240-FX$169,73-FX$169+SwaptionShift):INDEX($FK$245:$ID$316,$FJ240-FX$169,72-FX$169+SwaptionMonthsToGo+SwaptionShift))/SQRT(SUM(INDEX($FK395:$ID395,1+SwaptionShift):INDEX($FK395:$ID395,SwaptionMonthsToGo+SwaptionShift))*SUM(INDEX($FK$325:$ID$396,FX$169,1+SwaptionShift):INDEX($FK$325:$ID$396,FX$169,SwaptionMonthsToGo+SwaptionShift))))))</f>
        <v/>
      </c>
      <c r="FY240" s="479" t="str">
        <f ca="1">IF(OR(FY$169&lt;SwaptionFirstMonthPosition+1,$FJ240&lt;SwaptionFirstMonthPosition+1,FY$169&gt;SwaptionFirstMonthPosition+SwaptionNumOfMonths+1,$FJ240&gt;SwaptionFirstMonthPosition+SwaptionNumOfMonths+1),"",IF($FJ240=FY$169,1,IF($FJ240&lt;FY$169,INDEX($FK$170:$ID$241,FY$169,$FJ240),SUMPRODUCT(INDEX($FK$325:$ID$396,FY$169,1+SwaptionShift):INDEX($FK$325:$ID$396,FY$169,SwaptionMonthsToGo+SwaptionShift),INDEX($FK$245:$ID$316,$FJ240-FY$169,73-FY$169+SwaptionShift):INDEX($FK$245:$ID$316,$FJ240-FY$169,72-FY$169+SwaptionMonthsToGo+SwaptionShift))/SQRT(SUM(INDEX($FK395:$ID395,1+SwaptionShift):INDEX($FK395:$ID395,SwaptionMonthsToGo+SwaptionShift))*SUM(INDEX($FK$325:$ID$396,FY$169,1+SwaptionShift):INDEX($FK$325:$ID$396,FY$169,SwaptionMonthsToGo+SwaptionShift))))))</f>
        <v/>
      </c>
      <c r="FZ240" s="479" t="str">
        <f ca="1">IF(OR(FZ$169&lt;SwaptionFirstMonthPosition+1,$FJ240&lt;SwaptionFirstMonthPosition+1,FZ$169&gt;SwaptionFirstMonthPosition+SwaptionNumOfMonths+1,$FJ240&gt;SwaptionFirstMonthPosition+SwaptionNumOfMonths+1),"",IF($FJ240=FZ$169,1,IF($FJ240&lt;FZ$169,INDEX($FK$170:$ID$241,FZ$169,$FJ240),SUMPRODUCT(INDEX($FK$325:$ID$396,FZ$169,1+SwaptionShift):INDEX($FK$325:$ID$396,FZ$169,SwaptionMonthsToGo+SwaptionShift),INDEX($FK$245:$ID$316,$FJ240-FZ$169,73-FZ$169+SwaptionShift):INDEX($FK$245:$ID$316,$FJ240-FZ$169,72-FZ$169+SwaptionMonthsToGo+SwaptionShift))/SQRT(SUM(INDEX($FK395:$ID395,1+SwaptionShift):INDEX($FK395:$ID395,SwaptionMonthsToGo+SwaptionShift))*SUM(INDEX($FK$325:$ID$396,FZ$169,1+SwaptionShift):INDEX($FK$325:$ID$396,FZ$169,SwaptionMonthsToGo+SwaptionShift))))))</f>
        <v/>
      </c>
      <c r="GA240" s="479" t="str">
        <f ca="1">IF(OR(GA$169&lt;SwaptionFirstMonthPosition+1,$FJ240&lt;SwaptionFirstMonthPosition+1,GA$169&gt;SwaptionFirstMonthPosition+SwaptionNumOfMonths+1,$FJ240&gt;SwaptionFirstMonthPosition+SwaptionNumOfMonths+1),"",IF($FJ240=GA$169,1,IF($FJ240&lt;GA$169,INDEX($FK$170:$ID$241,GA$169,$FJ240),SUMPRODUCT(INDEX($FK$325:$ID$396,GA$169,1+SwaptionShift):INDEX($FK$325:$ID$396,GA$169,SwaptionMonthsToGo+SwaptionShift),INDEX($FK$245:$ID$316,$FJ240-GA$169,73-GA$169+SwaptionShift):INDEX($FK$245:$ID$316,$FJ240-GA$169,72-GA$169+SwaptionMonthsToGo+SwaptionShift))/SQRT(SUM(INDEX($FK395:$ID395,1+SwaptionShift):INDEX($FK395:$ID395,SwaptionMonthsToGo+SwaptionShift))*SUM(INDEX($FK$325:$ID$396,GA$169,1+SwaptionShift):INDEX($FK$325:$ID$396,GA$169,SwaptionMonthsToGo+SwaptionShift))))))</f>
        <v/>
      </c>
      <c r="GB240" s="479" t="str">
        <f ca="1">IF(OR(GB$169&lt;SwaptionFirstMonthPosition+1,$FJ240&lt;SwaptionFirstMonthPosition+1,GB$169&gt;SwaptionFirstMonthPosition+SwaptionNumOfMonths+1,$FJ240&gt;SwaptionFirstMonthPosition+SwaptionNumOfMonths+1),"",IF($FJ240=GB$169,1,IF($FJ240&lt;GB$169,INDEX($FK$170:$ID$241,GB$169,$FJ240),SUMPRODUCT(INDEX($FK$325:$ID$396,GB$169,1+SwaptionShift):INDEX($FK$325:$ID$396,GB$169,SwaptionMonthsToGo+SwaptionShift),INDEX($FK$245:$ID$316,$FJ240-GB$169,73-GB$169+SwaptionShift):INDEX($FK$245:$ID$316,$FJ240-GB$169,72-GB$169+SwaptionMonthsToGo+SwaptionShift))/SQRT(SUM(INDEX($FK395:$ID395,1+SwaptionShift):INDEX($FK395:$ID395,SwaptionMonthsToGo+SwaptionShift))*SUM(INDEX($FK$325:$ID$396,GB$169,1+SwaptionShift):INDEX($FK$325:$ID$396,GB$169,SwaptionMonthsToGo+SwaptionShift))))))</f>
        <v/>
      </c>
      <c r="GC240" s="479" t="str">
        <f ca="1">IF(OR(GC$169&lt;SwaptionFirstMonthPosition+1,$FJ240&lt;SwaptionFirstMonthPosition+1,GC$169&gt;SwaptionFirstMonthPosition+SwaptionNumOfMonths+1,$FJ240&gt;SwaptionFirstMonthPosition+SwaptionNumOfMonths+1),"",IF($FJ240=GC$169,1,IF($FJ240&lt;GC$169,INDEX($FK$170:$ID$241,GC$169,$FJ240),SUMPRODUCT(INDEX($FK$325:$ID$396,GC$169,1+SwaptionShift):INDEX($FK$325:$ID$396,GC$169,SwaptionMonthsToGo+SwaptionShift),INDEX($FK$245:$ID$316,$FJ240-GC$169,73-GC$169+SwaptionShift):INDEX($FK$245:$ID$316,$FJ240-GC$169,72-GC$169+SwaptionMonthsToGo+SwaptionShift))/SQRT(SUM(INDEX($FK395:$ID395,1+SwaptionShift):INDEX($FK395:$ID395,SwaptionMonthsToGo+SwaptionShift))*SUM(INDEX($FK$325:$ID$396,GC$169,1+SwaptionShift):INDEX($FK$325:$ID$396,GC$169,SwaptionMonthsToGo+SwaptionShift))))))</f>
        <v/>
      </c>
      <c r="GD240" s="479" t="str">
        <f ca="1">IF(OR(GD$169&lt;SwaptionFirstMonthPosition+1,$FJ240&lt;SwaptionFirstMonthPosition+1,GD$169&gt;SwaptionFirstMonthPosition+SwaptionNumOfMonths+1,$FJ240&gt;SwaptionFirstMonthPosition+SwaptionNumOfMonths+1),"",IF($FJ240=GD$169,1,IF($FJ240&lt;GD$169,INDEX($FK$170:$ID$241,GD$169,$FJ240),SUMPRODUCT(INDEX($FK$325:$ID$396,GD$169,1+SwaptionShift):INDEX($FK$325:$ID$396,GD$169,SwaptionMonthsToGo+SwaptionShift),INDEX($FK$245:$ID$316,$FJ240-GD$169,73-GD$169+SwaptionShift):INDEX($FK$245:$ID$316,$FJ240-GD$169,72-GD$169+SwaptionMonthsToGo+SwaptionShift))/SQRT(SUM(INDEX($FK395:$ID395,1+SwaptionShift):INDEX($FK395:$ID395,SwaptionMonthsToGo+SwaptionShift))*SUM(INDEX($FK$325:$ID$396,GD$169,1+SwaptionShift):INDEX($FK$325:$ID$396,GD$169,SwaptionMonthsToGo+SwaptionShift))))))</f>
        <v/>
      </c>
      <c r="GE240" s="479" t="str">
        <f ca="1">IF(OR(GE$169&lt;SwaptionFirstMonthPosition+1,$FJ240&lt;SwaptionFirstMonthPosition+1,GE$169&gt;SwaptionFirstMonthPosition+SwaptionNumOfMonths+1,$FJ240&gt;SwaptionFirstMonthPosition+SwaptionNumOfMonths+1),"",IF($FJ240=GE$169,1,IF($FJ240&lt;GE$169,INDEX($FK$170:$ID$241,GE$169,$FJ240),SUMPRODUCT(INDEX($FK$325:$ID$396,GE$169,1+SwaptionShift):INDEX($FK$325:$ID$396,GE$169,SwaptionMonthsToGo+SwaptionShift),INDEX($FK$245:$ID$316,$FJ240-GE$169,73-GE$169+SwaptionShift):INDEX($FK$245:$ID$316,$FJ240-GE$169,72-GE$169+SwaptionMonthsToGo+SwaptionShift))/SQRT(SUM(INDEX($FK395:$ID395,1+SwaptionShift):INDEX($FK395:$ID395,SwaptionMonthsToGo+SwaptionShift))*SUM(INDEX($FK$325:$ID$396,GE$169,1+SwaptionShift):INDEX($FK$325:$ID$396,GE$169,SwaptionMonthsToGo+SwaptionShift))))))</f>
        <v/>
      </c>
      <c r="GF240" s="479" t="str">
        <f ca="1">IF(OR(GF$169&lt;SwaptionFirstMonthPosition+1,$FJ240&lt;SwaptionFirstMonthPosition+1,GF$169&gt;SwaptionFirstMonthPosition+SwaptionNumOfMonths+1,$FJ240&gt;SwaptionFirstMonthPosition+SwaptionNumOfMonths+1),"",IF($FJ240=GF$169,1,IF($FJ240&lt;GF$169,INDEX($FK$170:$ID$241,GF$169,$FJ240),SUMPRODUCT(INDEX($FK$325:$ID$396,GF$169,1+SwaptionShift):INDEX($FK$325:$ID$396,GF$169,SwaptionMonthsToGo+SwaptionShift),INDEX($FK$245:$ID$316,$FJ240-GF$169,73-GF$169+SwaptionShift):INDEX($FK$245:$ID$316,$FJ240-GF$169,72-GF$169+SwaptionMonthsToGo+SwaptionShift))/SQRT(SUM(INDEX($FK395:$ID395,1+SwaptionShift):INDEX($FK395:$ID395,SwaptionMonthsToGo+SwaptionShift))*SUM(INDEX($FK$325:$ID$396,GF$169,1+SwaptionShift):INDEX($FK$325:$ID$396,GF$169,SwaptionMonthsToGo+SwaptionShift))))))</f>
        <v/>
      </c>
      <c r="GG240" s="479" t="str">
        <f ca="1">IF(OR(GG$169&lt;SwaptionFirstMonthPosition+1,$FJ240&lt;SwaptionFirstMonthPosition+1,GG$169&gt;SwaptionFirstMonthPosition+SwaptionNumOfMonths+1,$FJ240&gt;SwaptionFirstMonthPosition+SwaptionNumOfMonths+1),"",IF($FJ240=GG$169,1,IF($FJ240&lt;GG$169,INDEX($FK$170:$ID$241,GG$169,$FJ240),SUMPRODUCT(INDEX($FK$325:$ID$396,GG$169,1+SwaptionShift):INDEX($FK$325:$ID$396,GG$169,SwaptionMonthsToGo+SwaptionShift),INDEX($FK$245:$ID$316,$FJ240-GG$169,73-GG$169+SwaptionShift):INDEX($FK$245:$ID$316,$FJ240-GG$169,72-GG$169+SwaptionMonthsToGo+SwaptionShift))/SQRT(SUM(INDEX($FK395:$ID395,1+SwaptionShift):INDEX($FK395:$ID395,SwaptionMonthsToGo+SwaptionShift))*SUM(INDEX($FK$325:$ID$396,GG$169,1+SwaptionShift):INDEX($FK$325:$ID$396,GG$169,SwaptionMonthsToGo+SwaptionShift))))))</f>
        <v/>
      </c>
      <c r="GH240" s="479" t="str">
        <f ca="1">IF(OR(GH$169&lt;SwaptionFirstMonthPosition+1,$FJ240&lt;SwaptionFirstMonthPosition+1,GH$169&gt;SwaptionFirstMonthPosition+SwaptionNumOfMonths+1,$FJ240&gt;SwaptionFirstMonthPosition+SwaptionNumOfMonths+1),"",IF($FJ240=GH$169,1,IF($FJ240&lt;GH$169,INDEX($FK$170:$ID$241,GH$169,$FJ240),SUMPRODUCT(INDEX($FK$325:$ID$396,GH$169,1+SwaptionShift):INDEX($FK$325:$ID$396,GH$169,SwaptionMonthsToGo+SwaptionShift),INDEX($FK$245:$ID$316,$FJ240-GH$169,73-GH$169+SwaptionShift):INDEX($FK$245:$ID$316,$FJ240-GH$169,72-GH$169+SwaptionMonthsToGo+SwaptionShift))/SQRT(SUM(INDEX($FK395:$ID395,1+SwaptionShift):INDEX($FK395:$ID395,SwaptionMonthsToGo+SwaptionShift))*SUM(INDEX($FK$325:$ID$396,GH$169,1+SwaptionShift):INDEX($FK$325:$ID$396,GH$169,SwaptionMonthsToGo+SwaptionShift))))))</f>
        <v/>
      </c>
      <c r="GI240" s="479" t="str">
        <f ca="1">IF(OR(GI$169&lt;SwaptionFirstMonthPosition+1,$FJ240&lt;SwaptionFirstMonthPosition+1,GI$169&gt;SwaptionFirstMonthPosition+SwaptionNumOfMonths+1,$FJ240&gt;SwaptionFirstMonthPosition+SwaptionNumOfMonths+1),"",IF($FJ240=GI$169,1,IF($FJ240&lt;GI$169,INDEX($FK$170:$ID$241,GI$169,$FJ240),SUMPRODUCT(INDEX($FK$325:$ID$396,GI$169,1+SwaptionShift):INDEX($FK$325:$ID$396,GI$169,SwaptionMonthsToGo+SwaptionShift),INDEX($FK$245:$ID$316,$FJ240-GI$169,73-GI$169+SwaptionShift):INDEX($FK$245:$ID$316,$FJ240-GI$169,72-GI$169+SwaptionMonthsToGo+SwaptionShift))/SQRT(SUM(INDEX($FK395:$ID395,1+SwaptionShift):INDEX($FK395:$ID395,SwaptionMonthsToGo+SwaptionShift))*SUM(INDEX($FK$325:$ID$396,GI$169,1+SwaptionShift):INDEX($FK$325:$ID$396,GI$169,SwaptionMonthsToGo+SwaptionShift))))))</f>
        <v/>
      </c>
      <c r="GJ240" s="479" t="str">
        <f ca="1">IF(OR(GJ$169&lt;SwaptionFirstMonthPosition+1,$FJ240&lt;SwaptionFirstMonthPosition+1,GJ$169&gt;SwaptionFirstMonthPosition+SwaptionNumOfMonths+1,$FJ240&gt;SwaptionFirstMonthPosition+SwaptionNumOfMonths+1),"",IF($FJ240=GJ$169,1,IF($FJ240&lt;GJ$169,INDEX($FK$170:$ID$241,GJ$169,$FJ240),SUMPRODUCT(INDEX($FK$325:$ID$396,GJ$169,1+SwaptionShift):INDEX($FK$325:$ID$396,GJ$169,SwaptionMonthsToGo+SwaptionShift),INDEX($FK$245:$ID$316,$FJ240-GJ$169,73-GJ$169+SwaptionShift):INDEX($FK$245:$ID$316,$FJ240-GJ$169,72-GJ$169+SwaptionMonthsToGo+SwaptionShift))/SQRT(SUM(INDEX($FK395:$ID395,1+SwaptionShift):INDEX($FK395:$ID395,SwaptionMonthsToGo+SwaptionShift))*SUM(INDEX($FK$325:$ID$396,GJ$169,1+SwaptionShift):INDEX($FK$325:$ID$396,GJ$169,SwaptionMonthsToGo+SwaptionShift))))))</f>
        <v/>
      </c>
      <c r="GK240" s="479" t="str">
        <f ca="1">IF(OR(GK$169&lt;SwaptionFirstMonthPosition+1,$FJ240&lt;SwaptionFirstMonthPosition+1,GK$169&gt;SwaptionFirstMonthPosition+SwaptionNumOfMonths+1,$FJ240&gt;SwaptionFirstMonthPosition+SwaptionNumOfMonths+1),"",IF($FJ240=GK$169,1,IF($FJ240&lt;GK$169,INDEX($FK$170:$ID$241,GK$169,$FJ240),SUMPRODUCT(INDEX($FK$325:$ID$396,GK$169,1+SwaptionShift):INDEX($FK$325:$ID$396,GK$169,SwaptionMonthsToGo+SwaptionShift),INDEX($FK$245:$ID$316,$FJ240-GK$169,73-GK$169+SwaptionShift):INDEX($FK$245:$ID$316,$FJ240-GK$169,72-GK$169+SwaptionMonthsToGo+SwaptionShift))/SQRT(SUM(INDEX($FK395:$ID395,1+SwaptionShift):INDEX($FK395:$ID395,SwaptionMonthsToGo+SwaptionShift))*SUM(INDEX($FK$325:$ID$396,GK$169,1+SwaptionShift):INDEX($FK$325:$ID$396,GK$169,SwaptionMonthsToGo+SwaptionShift))))))</f>
        <v/>
      </c>
      <c r="GL240" s="479" t="str">
        <f ca="1">IF(OR(GL$169&lt;SwaptionFirstMonthPosition+1,$FJ240&lt;SwaptionFirstMonthPosition+1,GL$169&gt;SwaptionFirstMonthPosition+SwaptionNumOfMonths+1,$FJ240&gt;SwaptionFirstMonthPosition+SwaptionNumOfMonths+1),"",IF($FJ240=GL$169,1,IF($FJ240&lt;GL$169,INDEX($FK$170:$ID$241,GL$169,$FJ240),SUMPRODUCT(INDEX($FK$325:$ID$396,GL$169,1+SwaptionShift):INDEX($FK$325:$ID$396,GL$169,SwaptionMonthsToGo+SwaptionShift),INDEX($FK$245:$ID$316,$FJ240-GL$169,73-GL$169+SwaptionShift):INDEX($FK$245:$ID$316,$FJ240-GL$169,72-GL$169+SwaptionMonthsToGo+SwaptionShift))/SQRT(SUM(INDEX($FK395:$ID395,1+SwaptionShift):INDEX($FK395:$ID395,SwaptionMonthsToGo+SwaptionShift))*SUM(INDEX($FK$325:$ID$396,GL$169,1+SwaptionShift):INDEX($FK$325:$ID$396,GL$169,SwaptionMonthsToGo+SwaptionShift))))))</f>
        <v/>
      </c>
      <c r="GM240" s="479" t="str">
        <f ca="1">IF(OR(GM$169&lt;SwaptionFirstMonthPosition+1,$FJ240&lt;SwaptionFirstMonthPosition+1,GM$169&gt;SwaptionFirstMonthPosition+SwaptionNumOfMonths+1,$FJ240&gt;SwaptionFirstMonthPosition+SwaptionNumOfMonths+1),"",IF($FJ240=GM$169,1,IF($FJ240&lt;GM$169,INDEX($FK$170:$ID$241,GM$169,$FJ240),SUMPRODUCT(INDEX($FK$325:$ID$396,GM$169,1+SwaptionShift):INDEX($FK$325:$ID$396,GM$169,SwaptionMonthsToGo+SwaptionShift),INDEX($FK$245:$ID$316,$FJ240-GM$169,73-GM$169+SwaptionShift):INDEX($FK$245:$ID$316,$FJ240-GM$169,72-GM$169+SwaptionMonthsToGo+SwaptionShift))/SQRT(SUM(INDEX($FK395:$ID395,1+SwaptionShift):INDEX($FK395:$ID395,SwaptionMonthsToGo+SwaptionShift))*SUM(INDEX($FK$325:$ID$396,GM$169,1+SwaptionShift):INDEX($FK$325:$ID$396,GM$169,SwaptionMonthsToGo+SwaptionShift))))))</f>
        <v/>
      </c>
      <c r="GN240" s="479" t="str">
        <f ca="1">IF(OR(GN$169&lt;SwaptionFirstMonthPosition+1,$FJ240&lt;SwaptionFirstMonthPosition+1,GN$169&gt;SwaptionFirstMonthPosition+SwaptionNumOfMonths+1,$FJ240&gt;SwaptionFirstMonthPosition+SwaptionNumOfMonths+1),"",IF($FJ240=GN$169,1,IF($FJ240&lt;GN$169,INDEX($FK$170:$ID$241,GN$169,$FJ240),SUMPRODUCT(INDEX($FK$325:$ID$396,GN$169,1+SwaptionShift):INDEX($FK$325:$ID$396,GN$169,SwaptionMonthsToGo+SwaptionShift),INDEX($FK$245:$ID$316,$FJ240-GN$169,73-GN$169+SwaptionShift):INDEX($FK$245:$ID$316,$FJ240-GN$169,72-GN$169+SwaptionMonthsToGo+SwaptionShift))/SQRT(SUM(INDEX($FK395:$ID395,1+SwaptionShift):INDEX($FK395:$ID395,SwaptionMonthsToGo+SwaptionShift))*SUM(INDEX($FK$325:$ID$396,GN$169,1+SwaptionShift):INDEX($FK$325:$ID$396,GN$169,SwaptionMonthsToGo+SwaptionShift))))))</f>
        <v/>
      </c>
      <c r="GO240" s="479" t="str">
        <f ca="1">IF(OR(GO$169&lt;SwaptionFirstMonthPosition+1,$FJ240&lt;SwaptionFirstMonthPosition+1,GO$169&gt;SwaptionFirstMonthPosition+SwaptionNumOfMonths+1,$FJ240&gt;SwaptionFirstMonthPosition+SwaptionNumOfMonths+1),"",IF($FJ240=GO$169,1,IF($FJ240&lt;GO$169,INDEX($FK$170:$ID$241,GO$169,$FJ240),SUMPRODUCT(INDEX($FK$325:$ID$396,GO$169,1+SwaptionShift):INDEX($FK$325:$ID$396,GO$169,SwaptionMonthsToGo+SwaptionShift),INDEX($FK$245:$ID$316,$FJ240-GO$169,73-GO$169+SwaptionShift):INDEX($FK$245:$ID$316,$FJ240-GO$169,72-GO$169+SwaptionMonthsToGo+SwaptionShift))/SQRT(SUM(INDEX($FK395:$ID395,1+SwaptionShift):INDEX($FK395:$ID395,SwaptionMonthsToGo+SwaptionShift))*SUM(INDEX($FK$325:$ID$396,GO$169,1+SwaptionShift):INDEX($FK$325:$ID$396,GO$169,SwaptionMonthsToGo+SwaptionShift))))))</f>
        <v/>
      </c>
      <c r="GP240" s="479" t="str">
        <f ca="1">IF(OR(GP$169&lt;SwaptionFirstMonthPosition+1,$FJ240&lt;SwaptionFirstMonthPosition+1,GP$169&gt;SwaptionFirstMonthPosition+SwaptionNumOfMonths+1,$FJ240&gt;SwaptionFirstMonthPosition+SwaptionNumOfMonths+1),"",IF($FJ240=GP$169,1,IF($FJ240&lt;GP$169,INDEX($FK$170:$ID$241,GP$169,$FJ240),SUMPRODUCT(INDEX($FK$325:$ID$396,GP$169,1+SwaptionShift):INDEX($FK$325:$ID$396,GP$169,SwaptionMonthsToGo+SwaptionShift),INDEX($FK$245:$ID$316,$FJ240-GP$169,73-GP$169+SwaptionShift):INDEX($FK$245:$ID$316,$FJ240-GP$169,72-GP$169+SwaptionMonthsToGo+SwaptionShift))/SQRT(SUM(INDEX($FK395:$ID395,1+SwaptionShift):INDEX($FK395:$ID395,SwaptionMonthsToGo+SwaptionShift))*SUM(INDEX($FK$325:$ID$396,GP$169,1+SwaptionShift):INDEX($FK$325:$ID$396,GP$169,SwaptionMonthsToGo+SwaptionShift))))))</f>
        <v/>
      </c>
      <c r="GQ240" s="479" t="str">
        <f ca="1">IF(OR(GQ$169&lt;SwaptionFirstMonthPosition+1,$FJ240&lt;SwaptionFirstMonthPosition+1,GQ$169&gt;SwaptionFirstMonthPosition+SwaptionNumOfMonths+1,$FJ240&gt;SwaptionFirstMonthPosition+SwaptionNumOfMonths+1),"",IF($FJ240=GQ$169,1,IF($FJ240&lt;GQ$169,INDEX($FK$170:$ID$241,GQ$169,$FJ240),SUMPRODUCT(INDEX($FK$325:$ID$396,GQ$169,1+SwaptionShift):INDEX($FK$325:$ID$396,GQ$169,SwaptionMonthsToGo+SwaptionShift),INDEX($FK$245:$ID$316,$FJ240-GQ$169,73-GQ$169+SwaptionShift):INDEX($FK$245:$ID$316,$FJ240-GQ$169,72-GQ$169+SwaptionMonthsToGo+SwaptionShift))/SQRT(SUM(INDEX($FK395:$ID395,1+SwaptionShift):INDEX($FK395:$ID395,SwaptionMonthsToGo+SwaptionShift))*SUM(INDEX($FK$325:$ID$396,GQ$169,1+SwaptionShift):INDEX($FK$325:$ID$396,GQ$169,SwaptionMonthsToGo+SwaptionShift))))))</f>
        <v/>
      </c>
      <c r="GR240" s="479" t="str">
        <f ca="1">IF(OR(GR$169&lt;SwaptionFirstMonthPosition+1,$FJ240&lt;SwaptionFirstMonthPosition+1,GR$169&gt;SwaptionFirstMonthPosition+SwaptionNumOfMonths+1,$FJ240&gt;SwaptionFirstMonthPosition+SwaptionNumOfMonths+1),"",IF($FJ240=GR$169,1,IF($FJ240&lt;GR$169,INDEX($FK$170:$ID$241,GR$169,$FJ240),SUMPRODUCT(INDEX($FK$325:$ID$396,GR$169,1+SwaptionShift):INDEX($FK$325:$ID$396,GR$169,SwaptionMonthsToGo+SwaptionShift),INDEX($FK$245:$ID$316,$FJ240-GR$169,73-GR$169+SwaptionShift):INDEX($FK$245:$ID$316,$FJ240-GR$169,72-GR$169+SwaptionMonthsToGo+SwaptionShift))/SQRT(SUM(INDEX($FK395:$ID395,1+SwaptionShift):INDEX($FK395:$ID395,SwaptionMonthsToGo+SwaptionShift))*SUM(INDEX($FK$325:$ID$396,GR$169,1+SwaptionShift):INDEX($FK$325:$ID$396,GR$169,SwaptionMonthsToGo+SwaptionShift))))))</f>
        <v/>
      </c>
      <c r="GS240" s="479" t="str">
        <f ca="1">IF(OR(GS$169&lt;SwaptionFirstMonthPosition+1,$FJ240&lt;SwaptionFirstMonthPosition+1,GS$169&gt;SwaptionFirstMonthPosition+SwaptionNumOfMonths+1,$FJ240&gt;SwaptionFirstMonthPosition+SwaptionNumOfMonths+1),"",IF($FJ240=GS$169,1,IF($FJ240&lt;GS$169,INDEX($FK$170:$ID$241,GS$169,$FJ240),SUMPRODUCT(INDEX($FK$325:$ID$396,GS$169,1+SwaptionShift):INDEX($FK$325:$ID$396,GS$169,SwaptionMonthsToGo+SwaptionShift),INDEX($FK$245:$ID$316,$FJ240-GS$169,73-GS$169+SwaptionShift):INDEX($FK$245:$ID$316,$FJ240-GS$169,72-GS$169+SwaptionMonthsToGo+SwaptionShift))/SQRT(SUM(INDEX($FK395:$ID395,1+SwaptionShift):INDEX($FK395:$ID395,SwaptionMonthsToGo+SwaptionShift))*SUM(INDEX($FK$325:$ID$396,GS$169,1+SwaptionShift):INDEX($FK$325:$ID$396,GS$169,SwaptionMonthsToGo+SwaptionShift))))))</f>
        <v/>
      </c>
      <c r="GT240" s="479" t="str">
        <f ca="1">IF(OR(GT$169&lt;SwaptionFirstMonthPosition+1,$FJ240&lt;SwaptionFirstMonthPosition+1,GT$169&gt;SwaptionFirstMonthPosition+SwaptionNumOfMonths+1,$FJ240&gt;SwaptionFirstMonthPosition+SwaptionNumOfMonths+1),"",IF($FJ240=GT$169,1,IF($FJ240&lt;GT$169,INDEX($FK$170:$ID$241,GT$169,$FJ240),SUMPRODUCT(INDEX($FK$325:$ID$396,GT$169,1+SwaptionShift):INDEX($FK$325:$ID$396,GT$169,SwaptionMonthsToGo+SwaptionShift),INDEX($FK$245:$ID$316,$FJ240-GT$169,73-GT$169+SwaptionShift):INDEX($FK$245:$ID$316,$FJ240-GT$169,72-GT$169+SwaptionMonthsToGo+SwaptionShift))/SQRT(SUM(INDEX($FK395:$ID395,1+SwaptionShift):INDEX($FK395:$ID395,SwaptionMonthsToGo+SwaptionShift))*SUM(INDEX($FK$325:$ID$396,GT$169,1+SwaptionShift):INDEX($FK$325:$ID$396,GT$169,SwaptionMonthsToGo+SwaptionShift))))))</f>
        <v/>
      </c>
      <c r="GU240" s="479" t="str">
        <f ca="1">IF(OR(GU$169&lt;SwaptionFirstMonthPosition+1,$FJ240&lt;SwaptionFirstMonthPosition+1,GU$169&gt;SwaptionFirstMonthPosition+SwaptionNumOfMonths+1,$FJ240&gt;SwaptionFirstMonthPosition+SwaptionNumOfMonths+1),"",IF($FJ240=GU$169,1,IF($FJ240&lt;GU$169,INDEX($FK$170:$ID$241,GU$169,$FJ240),SUMPRODUCT(INDEX($FK$325:$ID$396,GU$169,1+SwaptionShift):INDEX($FK$325:$ID$396,GU$169,SwaptionMonthsToGo+SwaptionShift),INDEX($FK$245:$ID$316,$FJ240-GU$169,73-GU$169+SwaptionShift):INDEX($FK$245:$ID$316,$FJ240-GU$169,72-GU$169+SwaptionMonthsToGo+SwaptionShift))/SQRT(SUM(INDEX($FK395:$ID395,1+SwaptionShift):INDEX($FK395:$ID395,SwaptionMonthsToGo+SwaptionShift))*SUM(INDEX($FK$325:$ID$396,GU$169,1+SwaptionShift):INDEX($FK$325:$ID$396,GU$169,SwaptionMonthsToGo+SwaptionShift))))))</f>
        <v/>
      </c>
      <c r="GV240" s="479" t="str">
        <f ca="1">IF(OR(GV$169&lt;SwaptionFirstMonthPosition+1,$FJ240&lt;SwaptionFirstMonthPosition+1,GV$169&gt;SwaptionFirstMonthPosition+SwaptionNumOfMonths+1,$FJ240&gt;SwaptionFirstMonthPosition+SwaptionNumOfMonths+1),"",IF($FJ240=GV$169,1,IF($FJ240&lt;GV$169,INDEX($FK$170:$ID$241,GV$169,$FJ240),SUMPRODUCT(INDEX($FK$325:$ID$396,GV$169,1+SwaptionShift):INDEX($FK$325:$ID$396,GV$169,SwaptionMonthsToGo+SwaptionShift),INDEX($FK$245:$ID$316,$FJ240-GV$169,73-GV$169+SwaptionShift):INDEX($FK$245:$ID$316,$FJ240-GV$169,72-GV$169+SwaptionMonthsToGo+SwaptionShift))/SQRT(SUM(INDEX($FK395:$ID395,1+SwaptionShift):INDEX($FK395:$ID395,SwaptionMonthsToGo+SwaptionShift))*SUM(INDEX($FK$325:$ID$396,GV$169,1+SwaptionShift):INDEX($FK$325:$ID$396,GV$169,SwaptionMonthsToGo+SwaptionShift))))))</f>
        <v/>
      </c>
      <c r="GW240" s="479" t="str">
        <f ca="1">IF(OR(GW$169&lt;SwaptionFirstMonthPosition+1,$FJ240&lt;SwaptionFirstMonthPosition+1,GW$169&gt;SwaptionFirstMonthPosition+SwaptionNumOfMonths+1,$FJ240&gt;SwaptionFirstMonthPosition+SwaptionNumOfMonths+1),"",IF($FJ240=GW$169,1,IF($FJ240&lt;GW$169,INDEX($FK$170:$ID$241,GW$169,$FJ240),SUMPRODUCT(INDEX($FK$325:$ID$396,GW$169,1+SwaptionShift):INDEX($FK$325:$ID$396,GW$169,SwaptionMonthsToGo+SwaptionShift),INDEX($FK$245:$ID$316,$FJ240-GW$169,73-GW$169+SwaptionShift):INDEX($FK$245:$ID$316,$FJ240-GW$169,72-GW$169+SwaptionMonthsToGo+SwaptionShift))/SQRT(SUM(INDEX($FK395:$ID395,1+SwaptionShift):INDEX($FK395:$ID395,SwaptionMonthsToGo+SwaptionShift))*SUM(INDEX($FK$325:$ID$396,GW$169,1+SwaptionShift):INDEX($FK$325:$ID$396,GW$169,SwaptionMonthsToGo+SwaptionShift))))))</f>
        <v/>
      </c>
      <c r="GX240" s="479" t="str">
        <f ca="1">IF(OR(GX$169&lt;SwaptionFirstMonthPosition+1,$FJ240&lt;SwaptionFirstMonthPosition+1,GX$169&gt;SwaptionFirstMonthPosition+SwaptionNumOfMonths+1,$FJ240&gt;SwaptionFirstMonthPosition+SwaptionNumOfMonths+1),"",IF($FJ240=GX$169,1,IF($FJ240&lt;GX$169,INDEX($FK$170:$ID$241,GX$169,$FJ240),SUMPRODUCT(INDEX($FK$325:$ID$396,GX$169,1+SwaptionShift):INDEX($FK$325:$ID$396,GX$169,SwaptionMonthsToGo+SwaptionShift),INDEX($FK$245:$ID$316,$FJ240-GX$169,73-GX$169+SwaptionShift):INDEX($FK$245:$ID$316,$FJ240-GX$169,72-GX$169+SwaptionMonthsToGo+SwaptionShift))/SQRT(SUM(INDEX($FK395:$ID395,1+SwaptionShift):INDEX($FK395:$ID395,SwaptionMonthsToGo+SwaptionShift))*SUM(INDEX($FK$325:$ID$396,GX$169,1+SwaptionShift):INDEX($FK$325:$ID$396,GX$169,SwaptionMonthsToGo+SwaptionShift))))))</f>
        <v/>
      </c>
      <c r="GY240" s="479" t="str">
        <f ca="1">IF(OR(GY$169&lt;SwaptionFirstMonthPosition+1,$FJ240&lt;SwaptionFirstMonthPosition+1,GY$169&gt;SwaptionFirstMonthPosition+SwaptionNumOfMonths+1,$FJ240&gt;SwaptionFirstMonthPosition+SwaptionNumOfMonths+1),"",IF($FJ240=GY$169,1,IF($FJ240&lt;GY$169,INDEX($FK$170:$ID$241,GY$169,$FJ240),SUMPRODUCT(INDEX($FK$325:$ID$396,GY$169,1+SwaptionShift):INDEX($FK$325:$ID$396,GY$169,SwaptionMonthsToGo+SwaptionShift),INDEX($FK$245:$ID$316,$FJ240-GY$169,73-GY$169+SwaptionShift):INDEX($FK$245:$ID$316,$FJ240-GY$169,72-GY$169+SwaptionMonthsToGo+SwaptionShift))/SQRT(SUM(INDEX($FK395:$ID395,1+SwaptionShift):INDEX($FK395:$ID395,SwaptionMonthsToGo+SwaptionShift))*SUM(INDEX($FK$325:$ID$396,GY$169,1+SwaptionShift):INDEX($FK$325:$ID$396,GY$169,SwaptionMonthsToGo+SwaptionShift))))))</f>
        <v/>
      </c>
      <c r="GZ240" s="479" t="str">
        <f ca="1">IF(OR(GZ$169&lt;SwaptionFirstMonthPosition+1,$FJ240&lt;SwaptionFirstMonthPosition+1,GZ$169&gt;SwaptionFirstMonthPosition+SwaptionNumOfMonths+1,$FJ240&gt;SwaptionFirstMonthPosition+SwaptionNumOfMonths+1),"",IF($FJ240=GZ$169,1,IF($FJ240&lt;GZ$169,INDEX($FK$170:$ID$241,GZ$169,$FJ240),SUMPRODUCT(INDEX($FK$325:$ID$396,GZ$169,1+SwaptionShift):INDEX($FK$325:$ID$396,GZ$169,SwaptionMonthsToGo+SwaptionShift),INDEX($FK$245:$ID$316,$FJ240-GZ$169,73-GZ$169+SwaptionShift):INDEX($FK$245:$ID$316,$FJ240-GZ$169,72-GZ$169+SwaptionMonthsToGo+SwaptionShift))/SQRT(SUM(INDEX($FK395:$ID395,1+SwaptionShift):INDEX($FK395:$ID395,SwaptionMonthsToGo+SwaptionShift))*SUM(INDEX($FK$325:$ID$396,GZ$169,1+SwaptionShift):INDEX($FK$325:$ID$396,GZ$169,SwaptionMonthsToGo+SwaptionShift))))))</f>
        <v/>
      </c>
      <c r="HA240" s="479" t="str">
        <f ca="1">IF(OR(HA$169&lt;SwaptionFirstMonthPosition+1,$FJ240&lt;SwaptionFirstMonthPosition+1,HA$169&gt;SwaptionFirstMonthPosition+SwaptionNumOfMonths+1,$FJ240&gt;SwaptionFirstMonthPosition+SwaptionNumOfMonths+1),"",IF($FJ240=HA$169,1,IF($FJ240&lt;HA$169,INDEX($FK$170:$ID$241,HA$169,$FJ240),SUMPRODUCT(INDEX($FK$325:$ID$396,HA$169,1+SwaptionShift):INDEX($FK$325:$ID$396,HA$169,SwaptionMonthsToGo+SwaptionShift),INDEX($FK$245:$ID$316,$FJ240-HA$169,73-HA$169+SwaptionShift):INDEX($FK$245:$ID$316,$FJ240-HA$169,72-HA$169+SwaptionMonthsToGo+SwaptionShift))/SQRT(SUM(INDEX($FK395:$ID395,1+SwaptionShift):INDEX($FK395:$ID395,SwaptionMonthsToGo+SwaptionShift))*SUM(INDEX($FK$325:$ID$396,HA$169,1+SwaptionShift):INDEX($FK$325:$ID$396,HA$169,SwaptionMonthsToGo+SwaptionShift))))))</f>
        <v/>
      </c>
      <c r="HB240" s="479" t="str">
        <f ca="1">IF(OR(HB$169&lt;SwaptionFirstMonthPosition+1,$FJ240&lt;SwaptionFirstMonthPosition+1,HB$169&gt;SwaptionFirstMonthPosition+SwaptionNumOfMonths+1,$FJ240&gt;SwaptionFirstMonthPosition+SwaptionNumOfMonths+1),"",IF($FJ240=HB$169,1,IF($FJ240&lt;HB$169,INDEX($FK$170:$ID$241,HB$169,$FJ240),SUMPRODUCT(INDEX($FK$325:$ID$396,HB$169,1+SwaptionShift):INDEX($FK$325:$ID$396,HB$169,SwaptionMonthsToGo+SwaptionShift),INDEX($FK$245:$ID$316,$FJ240-HB$169,73-HB$169+SwaptionShift):INDEX($FK$245:$ID$316,$FJ240-HB$169,72-HB$169+SwaptionMonthsToGo+SwaptionShift))/SQRT(SUM(INDEX($FK395:$ID395,1+SwaptionShift):INDEX($FK395:$ID395,SwaptionMonthsToGo+SwaptionShift))*SUM(INDEX($FK$325:$ID$396,HB$169,1+SwaptionShift):INDEX($FK$325:$ID$396,HB$169,SwaptionMonthsToGo+SwaptionShift))))))</f>
        <v/>
      </c>
      <c r="HC240" s="479" t="str">
        <f ca="1">IF(OR(HC$169&lt;SwaptionFirstMonthPosition+1,$FJ240&lt;SwaptionFirstMonthPosition+1,HC$169&gt;SwaptionFirstMonthPosition+SwaptionNumOfMonths+1,$FJ240&gt;SwaptionFirstMonthPosition+SwaptionNumOfMonths+1),"",IF($FJ240=HC$169,1,IF($FJ240&lt;HC$169,INDEX($FK$170:$ID$241,HC$169,$FJ240),SUMPRODUCT(INDEX($FK$325:$ID$396,HC$169,1+SwaptionShift):INDEX($FK$325:$ID$396,HC$169,SwaptionMonthsToGo+SwaptionShift),INDEX($FK$245:$ID$316,$FJ240-HC$169,73-HC$169+SwaptionShift):INDEX($FK$245:$ID$316,$FJ240-HC$169,72-HC$169+SwaptionMonthsToGo+SwaptionShift))/SQRT(SUM(INDEX($FK395:$ID395,1+SwaptionShift):INDEX($FK395:$ID395,SwaptionMonthsToGo+SwaptionShift))*SUM(INDEX($FK$325:$ID$396,HC$169,1+SwaptionShift):INDEX($FK$325:$ID$396,HC$169,SwaptionMonthsToGo+SwaptionShift))))))</f>
        <v/>
      </c>
      <c r="HD240" s="479" t="str">
        <f ca="1">IF(OR(HD$169&lt;SwaptionFirstMonthPosition+1,$FJ240&lt;SwaptionFirstMonthPosition+1,HD$169&gt;SwaptionFirstMonthPosition+SwaptionNumOfMonths+1,$FJ240&gt;SwaptionFirstMonthPosition+SwaptionNumOfMonths+1),"",IF($FJ240=HD$169,1,IF($FJ240&lt;HD$169,INDEX($FK$170:$ID$241,HD$169,$FJ240),SUMPRODUCT(INDEX($FK$325:$ID$396,HD$169,1+SwaptionShift):INDEX($FK$325:$ID$396,HD$169,SwaptionMonthsToGo+SwaptionShift),INDEX($FK$245:$ID$316,$FJ240-HD$169,73-HD$169+SwaptionShift):INDEX($FK$245:$ID$316,$FJ240-HD$169,72-HD$169+SwaptionMonthsToGo+SwaptionShift))/SQRT(SUM(INDEX($FK395:$ID395,1+SwaptionShift):INDEX($FK395:$ID395,SwaptionMonthsToGo+SwaptionShift))*SUM(INDEX($FK$325:$ID$396,HD$169,1+SwaptionShift):INDEX($FK$325:$ID$396,HD$169,SwaptionMonthsToGo+SwaptionShift))))))</f>
        <v/>
      </c>
      <c r="HE240" s="479" t="str">
        <f ca="1">IF(OR(HE$169&lt;SwaptionFirstMonthPosition+1,$FJ240&lt;SwaptionFirstMonthPosition+1,HE$169&gt;SwaptionFirstMonthPosition+SwaptionNumOfMonths+1,$FJ240&gt;SwaptionFirstMonthPosition+SwaptionNumOfMonths+1),"",IF($FJ240=HE$169,1,IF($FJ240&lt;HE$169,INDEX($FK$170:$ID$241,HE$169,$FJ240),SUMPRODUCT(INDEX($FK$325:$ID$396,HE$169,1+SwaptionShift):INDEX($FK$325:$ID$396,HE$169,SwaptionMonthsToGo+SwaptionShift),INDEX($FK$245:$ID$316,$FJ240-HE$169,73-HE$169+SwaptionShift):INDEX($FK$245:$ID$316,$FJ240-HE$169,72-HE$169+SwaptionMonthsToGo+SwaptionShift))/SQRT(SUM(INDEX($FK395:$ID395,1+SwaptionShift):INDEX($FK395:$ID395,SwaptionMonthsToGo+SwaptionShift))*SUM(INDEX($FK$325:$ID$396,HE$169,1+SwaptionShift):INDEX($FK$325:$ID$396,HE$169,SwaptionMonthsToGo+SwaptionShift))))))</f>
        <v/>
      </c>
      <c r="HF240" s="479" t="str">
        <f ca="1">IF(OR(HF$169&lt;SwaptionFirstMonthPosition+1,$FJ240&lt;SwaptionFirstMonthPosition+1,HF$169&gt;SwaptionFirstMonthPosition+SwaptionNumOfMonths+1,$FJ240&gt;SwaptionFirstMonthPosition+SwaptionNumOfMonths+1),"",IF($FJ240=HF$169,1,IF($FJ240&lt;HF$169,INDEX($FK$170:$ID$241,HF$169,$FJ240),SUMPRODUCT(INDEX($FK$325:$ID$396,HF$169,1+SwaptionShift):INDEX($FK$325:$ID$396,HF$169,SwaptionMonthsToGo+SwaptionShift),INDEX($FK$245:$ID$316,$FJ240-HF$169,73-HF$169+SwaptionShift):INDEX($FK$245:$ID$316,$FJ240-HF$169,72-HF$169+SwaptionMonthsToGo+SwaptionShift))/SQRT(SUM(INDEX($FK395:$ID395,1+SwaptionShift):INDEX($FK395:$ID395,SwaptionMonthsToGo+SwaptionShift))*SUM(INDEX($FK$325:$ID$396,HF$169,1+SwaptionShift):INDEX($FK$325:$ID$396,HF$169,SwaptionMonthsToGo+SwaptionShift))))))</f>
        <v/>
      </c>
      <c r="HG240" s="479" t="str">
        <f ca="1">IF(OR(HG$169&lt;SwaptionFirstMonthPosition+1,$FJ240&lt;SwaptionFirstMonthPosition+1,HG$169&gt;SwaptionFirstMonthPosition+SwaptionNumOfMonths+1,$FJ240&gt;SwaptionFirstMonthPosition+SwaptionNumOfMonths+1),"",IF($FJ240=HG$169,1,IF($FJ240&lt;HG$169,INDEX($FK$170:$ID$241,HG$169,$FJ240),SUMPRODUCT(INDEX($FK$325:$ID$396,HG$169,1+SwaptionShift):INDEX($FK$325:$ID$396,HG$169,SwaptionMonthsToGo+SwaptionShift),INDEX($FK$245:$ID$316,$FJ240-HG$169,73-HG$169+SwaptionShift):INDEX($FK$245:$ID$316,$FJ240-HG$169,72-HG$169+SwaptionMonthsToGo+SwaptionShift))/SQRT(SUM(INDEX($FK395:$ID395,1+SwaptionShift):INDEX($FK395:$ID395,SwaptionMonthsToGo+SwaptionShift))*SUM(INDEX($FK$325:$ID$396,HG$169,1+SwaptionShift):INDEX($FK$325:$ID$396,HG$169,SwaptionMonthsToGo+SwaptionShift))))))</f>
        <v/>
      </c>
      <c r="HH240" s="479" t="str">
        <f ca="1">IF(OR(HH$169&lt;SwaptionFirstMonthPosition+1,$FJ240&lt;SwaptionFirstMonthPosition+1,HH$169&gt;SwaptionFirstMonthPosition+SwaptionNumOfMonths+1,$FJ240&gt;SwaptionFirstMonthPosition+SwaptionNumOfMonths+1),"",IF($FJ240=HH$169,1,IF($FJ240&lt;HH$169,INDEX($FK$170:$ID$241,HH$169,$FJ240),SUMPRODUCT(INDEX($FK$325:$ID$396,HH$169,1+SwaptionShift):INDEX($FK$325:$ID$396,HH$169,SwaptionMonthsToGo+SwaptionShift),INDEX($FK$245:$ID$316,$FJ240-HH$169,73-HH$169+SwaptionShift):INDEX($FK$245:$ID$316,$FJ240-HH$169,72-HH$169+SwaptionMonthsToGo+SwaptionShift))/SQRT(SUM(INDEX($FK395:$ID395,1+SwaptionShift):INDEX($FK395:$ID395,SwaptionMonthsToGo+SwaptionShift))*SUM(INDEX($FK$325:$ID$396,HH$169,1+SwaptionShift):INDEX($FK$325:$ID$396,HH$169,SwaptionMonthsToGo+SwaptionShift))))))</f>
        <v/>
      </c>
      <c r="HI240" s="479" t="str">
        <f ca="1">IF(OR(HI$169&lt;SwaptionFirstMonthPosition+1,$FJ240&lt;SwaptionFirstMonthPosition+1,HI$169&gt;SwaptionFirstMonthPosition+SwaptionNumOfMonths+1,$FJ240&gt;SwaptionFirstMonthPosition+SwaptionNumOfMonths+1),"",IF($FJ240=HI$169,1,IF($FJ240&lt;HI$169,INDEX($FK$170:$ID$241,HI$169,$FJ240),SUMPRODUCT(INDEX($FK$325:$ID$396,HI$169,1+SwaptionShift):INDEX($FK$325:$ID$396,HI$169,SwaptionMonthsToGo+SwaptionShift),INDEX($FK$245:$ID$316,$FJ240-HI$169,73-HI$169+SwaptionShift):INDEX($FK$245:$ID$316,$FJ240-HI$169,72-HI$169+SwaptionMonthsToGo+SwaptionShift))/SQRT(SUM(INDEX($FK395:$ID395,1+SwaptionShift):INDEX($FK395:$ID395,SwaptionMonthsToGo+SwaptionShift))*SUM(INDEX($FK$325:$ID$396,HI$169,1+SwaptionShift):INDEX($FK$325:$ID$396,HI$169,SwaptionMonthsToGo+SwaptionShift))))))</f>
        <v/>
      </c>
      <c r="HJ240" s="479" t="str">
        <f ca="1">IF(OR(HJ$169&lt;SwaptionFirstMonthPosition+1,$FJ240&lt;SwaptionFirstMonthPosition+1,HJ$169&gt;SwaptionFirstMonthPosition+SwaptionNumOfMonths+1,$FJ240&gt;SwaptionFirstMonthPosition+SwaptionNumOfMonths+1),"",IF($FJ240=HJ$169,1,IF($FJ240&lt;HJ$169,INDEX($FK$170:$ID$241,HJ$169,$FJ240),SUMPRODUCT(INDEX($FK$325:$ID$396,HJ$169,1+SwaptionShift):INDEX($FK$325:$ID$396,HJ$169,SwaptionMonthsToGo+SwaptionShift),INDEX($FK$245:$ID$316,$FJ240-HJ$169,73-HJ$169+SwaptionShift):INDEX($FK$245:$ID$316,$FJ240-HJ$169,72-HJ$169+SwaptionMonthsToGo+SwaptionShift))/SQRT(SUM(INDEX($FK395:$ID395,1+SwaptionShift):INDEX($FK395:$ID395,SwaptionMonthsToGo+SwaptionShift))*SUM(INDEX($FK$325:$ID$396,HJ$169,1+SwaptionShift):INDEX($FK$325:$ID$396,HJ$169,SwaptionMonthsToGo+SwaptionShift))))))</f>
        <v/>
      </c>
      <c r="HK240" s="479" t="str">
        <f ca="1">IF(OR(HK$169&lt;SwaptionFirstMonthPosition+1,$FJ240&lt;SwaptionFirstMonthPosition+1,HK$169&gt;SwaptionFirstMonthPosition+SwaptionNumOfMonths+1,$FJ240&gt;SwaptionFirstMonthPosition+SwaptionNumOfMonths+1),"",IF($FJ240=HK$169,1,IF($FJ240&lt;HK$169,INDEX($FK$170:$ID$241,HK$169,$FJ240),SUMPRODUCT(INDEX($FK$325:$ID$396,HK$169,1+SwaptionShift):INDEX($FK$325:$ID$396,HK$169,SwaptionMonthsToGo+SwaptionShift),INDEX($FK$245:$ID$316,$FJ240-HK$169,73-HK$169+SwaptionShift):INDEX($FK$245:$ID$316,$FJ240-HK$169,72-HK$169+SwaptionMonthsToGo+SwaptionShift))/SQRT(SUM(INDEX($FK395:$ID395,1+SwaptionShift):INDEX($FK395:$ID395,SwaptionMonthsToGo+SwaptionShift))*SUM(INDEX($FK$325:$ID$396,HK$169,1+SwaptionShift):INDEX($FK$325:$ID$396,HK$169,SwaptionMonthsToGo+SwaptionShift))))))</f>
        <v/>
      </c>
      <c r="HL240" s="479" t="str">
        <f ca="1">IF(OR(HL$169&lt;SwaptionFirstMonthPosition+1,$FJ240&lt;SwaptionFirstMonthPosition+1,HL$169&gt;SwaptionFirstMonthPosition+SwaptionNumOfMonths+1,$FJ240&gt;SwaptionFirstMonthPosition+SwaptionNumOfMonths+1),"",IF($FJ240=HL$169,1,IF($FJ240&lt;HL$169,INDEX($FK$170:$ID$241,HL$169,$FJ240),SUMPRODUCT(INDEX($FK$325:$ID$396,HL$169,1+SwaptionShift):INDEX($FK$325:$ID$396,HL$169,SwaptionMonthsToGo+SwaptionShift),INDEX($FK$245:$ID$316,$FJ240-HL$169,73-HL$169+SwaptionShift):INDEX($FK$245:$ID$316,$FJ240-HL$169,72-HL$169+SwaptionMonthsToGo+SwaptionShift))/SQRT(SUM(INDEX($FK395:$ID395,1+SwaptionShift):INDEX($FK395:$ID395,SwaptionMonthsToGo+SwaptionShift))*SUM(INDEX($FK$325:$ID$396,HL$169,1+SwaptionShift):INDEX($FK$325:$ID$396,HL$169,SwaptionMonthsToGo+SwaptionShift))))))</f>
        <v/>
      </c>
      <c r="HM240" s="479" t="str">
        <f ca="1">IF(OR(HM$169&lt;SwaptionFirstMonthPosition+1,$FJ240&lt;SwaptionFirstMonthPosition+1,HM$169&gt;SwaptionFirstMonthPosition+SwaptionNumOfMonths+1,$FJ240&gt;SwaptionFirstMonthPosition+SwaptionNumOfMonths+1),"",IF($FJ240=HM$169,1,IF($FJ240&lt;HM$169,INDEX($FK$170:$ID$241,HM$169,$FJ240),SUMPRODUCT(INDEX($FK$325:$ID$396,HM$169,1+SwaptionShift):INDEX($FK$325:$ID$396,HM$169,SwaptionMonthsToGo+SwaptionShift),INDEX($FK$245:$ID$316,$FJ240-HM$169,73-HM$169+SwaptionShift):INDEX($FK$245:$ID$316,$FJ240-HM$169,72-HM$169+SwaptionMonthsToGo+SwaptionShift))/SQRT(SUM(INDEX($FK395:$ID395,1+SwaptionShift):INDEX($FK395:$ID395,SwaptionMonthsToGo+SwaptionShift))*SUM(INDEX($FK$325:$ID$396,HM$169,1+SwaptionShift):INDEX($FK$325:$ID$396,HM$169,SwaptionMonthsToGo+SwaptionShift))))))</f>
        <v/>
      </c>
      <c r="HN240" s="479" t="str">
        <f ca="1">IF(OR(HN$169&lt;SwaptionFirstMonthPosition+1,$FJ240&lt;SwaptionFirstMonthPosition+1,HN$169&gt;SwaptionFirstMonthPosition+SwaptionNumOfMonths+1,$FJ240&gt;SwaptionFirstMonthPosition+SwaptionNumOfMonths+1),"",IF($FJ240=HN$169,1,IF($FJ240&lt;HN$169,INDEX($FK$170:$ID$241,HN$169,$FJ240),SUMPRODUCT(INDEX($FK$325:$ID$396,HN$169,1+SwaptionShift):INDEX($FK$325:$ID$396,HN$169,SwaptionMonthsToGo+SwaptionShift),INDEX($FK$245:$ID$316,$FJ240-HN$169,73-HN$169+SwaptionShift):INDEX($FK$245:$ID$316,$FJ240-HN$169,72-HN$169+SwaptionMonthsToGo+SwaptionShift))/SQRT(SUM(INDEX($FK395:$ID395,1+SwaptionShift):INDEX($FK395:$ID395,SwaptionMonthsToGo+SwaptionShift))*SUM(INDEX($FK$325:$ID$396,HN$169,1+SwaptionShift):INDEX($FK$325:$ID$396,HN$169,SwaptionMonthsToGo+SwaptionShift))))))</f>
        <v/>
      </c>
      <c r="HO240" s="479" t="str">
        <f ca="1">IF(OR(HO$169&lt;SwaptionFirstMonthPosition+1,$FJ240&lt;SwaptionFirstMonthPosition+1,HO$169&gt;SwaptionFirstMonthPosition+SwaptionNumOfMonths+1,$FJ240&gt;SwaptionFirstMonthPosition+SwaptionNumOfMonths+1),"",IF($FJ240=HO$169,1,IF($FJ240&lt;HO$169,INDEX($FK$170:$ID$241,HO$169,$FJ240),SUMPRODUCT(INDEX($FK$325:$ID$396,HO$169,1+SwaptionShift):INDEX($FK$325:$ID$396,HO$169,SwaptionMonthsToGo+SwaptionShift),INDEX($FK$245:$ID$316,$FJ240-HO$169,73-HO$169+SwaptionShift):INDEX($FK$245:$ID$316,$FJ240-HO$169,72-HO$169+SwaptionMonthsToGo+SwaptionShift))/SQRT(SUM(INDEX($FK395:$ID395,1+SwaptionShift):INDEX($FK395:$ID395,SwaptionMonthsToGo+SwaptionShift))*SUM(INDEX($FK$325:$ID$396,HO$169,1+SwaptionShift):INDEX($FK$325:$ID$396,HO$169,SwaptionMonthsToGo+SwaptionShift))))))</f>
        <v/>
      </c>
      <c r="HP240" s="479" t="str">
        <f ca="1">IF(OR(HP$169&lt;SwaptionFirstMonthPosition+1,$FJ240&lt;SwaptionFirstMonthPosition+1,HP$169&gt;SwaptionFirstMonthPosition+SwaptionNumOfMonths+1,$FJ240&gt;SwaptionFirstMonthPosition+SwaptionNumOfMonths+1),"",IF($FJ240=HP$169,1,IF($FJ240&lt;HP$169,INDEX($FK$170:$ID$241,HP$169,$FJ240),SUMPRODUCT(INDEX($FK$325:$ID$396,HP$169,1+SwaptionShift):INDEX($FK$325:$ID$396,HP$169,SwaptionMonthsToGo+SwaptionShift),INDEX($FK$245:$ID$316,$FJ240-HP$169,73-HP$169+SwaptionShift):INDEX($FK$245:$ID$316,$FJ240-HP$169,72-HP$169+SwaptionMonthsToGo+SwaptionShift))/SQRT(SUM(INDEX($FK395:$ID395,1+SwaptionShift):INDEX($FK395:$ID395,SwaptionMonthsToGo+SwaptionShift))*SUM(INDEX($FK$325:$ID$396,HP$169,1+SwaptionShift):INDEX($FK$325:$ID$396,HP$169,SwaptionMonthsToGo+SwaptionShift))))))</f>
        <v/>
      </c>
      <c r="HQ240" s="479" t="str">
        <f ca="1">IF(OR(HQ$169&lt;SwaptionFirstMonthPosition+1,$FJ240&lt;SwaptionFirstMonthPosition+1,HQ$169&gt;SwaptionFirstMonthPosition+SwaptionNumOfMonths+1,$FJ240&gt;SwaptionFirstMonthPosition+SwaptionNumOfMonths+1),"",IF($FJ240=HQ$169,1,IF($FJ240&lt;HQ$169,INDEX($FK$170:$ID$241,HQ$169,$FJ240),SUMPRODUCT(INDEX($FK$325:$ID$396,HQ$169,1+SwaptionShift):INDEX($FK$325:$ID$396,HQ$169,SwaptionMonthsToGo+SwaptionShift),INDEX($FK$245:$ID$316,$FJ240-HQ$169,73-HQ$169+SwaptionShift):INDEX($FK$245:$ID$316,$FJ240-HQ$169,72-HQ$169+SwaptionMonthsToGo+SwaptionShift))/SQRT(SUM(INDEX($FK395:$ID395,1+SwaptionShift):INDEX($FK395:$ID395,SwaptionMonthsToGo+SwaptionShift))*SUM(INDEX($FK$325:$ID$396,HQ$169,1+SwaptionShift):INDEX($FK$325:$ID$396,HQ$169,SwaptionMonthsToGo+SwaptionShift))))))</f>
        <v/>
      </c>
      <c r="HR240" s="479" t="str">
        <f ca="1">IF(OR(HR$169&lt;SwaptionFirstMonthPosition+1,$FJ240&lt;SwaptionFirstMonthPosition+1,HR$169&gt;SwaptionFirstMonthPosition+SwaptionNumOfMonths+1,$FJ240&gt;SwaptionFirstMonthPosition+SwaptionNumOfMonths+1),"",IF($FJ240=HR$169,1,IF($FJ240&lt;HR$169,INDEX($FK$170:$ID$241,HR$169,$FJ240),SUMPRODUCT(INDEX($FK$325:$ID$396,HR$169,1+SwaptionShift):INDEX($FK$325:$ID$396,HR$169,SwaptionMonthsToGo+SwaptionShift),INDEX($FK$245:$ID$316,$FJ240-HR$169,73-HR$169+SwaptionShift):INDEX($FK$245:$ID$316,$FJ240-HR$169,72-HR$169+SwaptionMonthsToGo+SwaptionShift))/SQRT(SUM(INDEX($FK395:$ID395,1+SwaptionShift):INDEX($FK395:$ID395,SwaptionMonthsToGo+SwaptionShift))*SUM(INDEX($FK$325:$ID$396,HR$169,1+SwaptionShift):INDEX($FK$325:$ID$396,HR$169,SwaptionMonthsToGo+SwaptionShift))))))</f>
        <v/>
      </c>
      <c r="HS240" s="479" t="str">
        <f ca="1">IF(OR(HS$169&lt;SwaptionFirstMonthPosition+1,$FJ240&lt;SwaptionFirstMonthPosition+1,HS$169&gt;SwaptionFirstMonthPosition+SwaptionNumOfMonths+1,$FJ240&gt;SwaptionFirstMonthPosition+SwaptionNumOfMonths+1),"",IF($FJ240=HS$169,1,IF($FJ240&lt;HS$169,INDEX($FK$170:$ID$241,HS$169,$FJ240),SUMPRODUCT(INDEX($FK$325:$ID$396,HS$169,1+SwaptionShift):INDEX($FK$325:$ID$396,HS$169,SwaptionMonthsToGo+SwaptionShift),INDEX($FK$245:$ID$316,$FJ240-HS$169,73-HS$169+SwaptionShift):INDEX($FK$245:$ID$316,$FJ240-HS$169,72-HS$169+SwaptionMonthsToGo+SwaptionShift))/SQRT(SUM(INDEX($FK395:$ID395,1+SwaptionShift):INDEX($FK395:$ID395,SwaptionMonthsToGo+SwaptionShift))*SUM(INDEX($FK$325:$ID$396,HS$169,1+SwaptionShift):INDEX($FK$325:$ID$396,HS$169,SwaptionMonthsToGo+SwaptionShift))))))</f>
        <v/>
      </c>
      <c r="HT240" s="479" t="str">
        <f ca="1">IF(OR(HT$169&lt;SwaptionFirstMonthPosition+1,$FJ240&lt;SwaptionFirstMonthPosition+1,HT$169&gt;SwaptionFirstMonthPosition+SwaptionNumOfMonths+1,$FJ240&gt;SwaptionFirstMonthPosition+SwaptionNumOfMonths+1),"",IF($FJ240=HT$169,1,IF($FJ240&lt;HT$169,INDEX($FK$170:$ID$241,HT$169,$FJ240),SUMPRODUCT(INDEX($FK$325:$ID$396,HT$169,1+SwaptionShift):INDEX($FK$325:$ID$396,HT$169,SwaptionMonthsToGo+SwaptionShift),INDEX($FK$245:$ID$316,$FJ240-HT$169,73-HT$169+SwaptionShift):INDEX($FK$245:$ID$316,$FJ240-HT$169,72-HT$169+SwaptionMonthsToGo+SwaptionShift))/SQRT(SUM(INDEX($FK395:$ID395,1+SwaptionShift):INDEX($FK395:$ID395,SwaptionMonthsToGo+SwaptionShift))*SUM(INDEX($FK$325:$ID$396,HT$169,1+SwaptionShift):INDEX($FK$325:$ID$396,HT$169,SwaptionMonthsToGo+SwaptionShift))))))</f>
        <v/>
      </c>
      <c r="HU240" s="479" t="str">
        <f ca="1">IF(OR(HU$169&lt;SwaptionFirstMonthPosition+1,$FJ240&lt;SwaptionFirstMonthPosition+1,HU$169&gt;SwaptionFirstMonthPosition+SwaptionNumOfMonths+1,$FJ240&gt;SwaptionFirstMonthPosition+SwaptionNumOfMonths+1),"",IF($FJ240=HU$169,1,IF($FJ240&lt;HU$169,INDEX($FK$170:$ID$241,HU$169,$FJ240),SUMPRODUCT(INDEX($FK$325:$ID$396,HU$169,1+SwaptionShift):INDEX($FK$325:$ID$396,HU$169,SwaptionMonthsToGo+SwaptionShift),INDEX($FK$245:$ID$316,$FJ240-HU$169,73-HU$169+SwaptionShift):INDEX($FK$245:$ID$316,$FJ240-HU$169,72-HU$169+SwaptionMonthsToGo+SwaptionShift))/SQRT(SUM(INDEX($FK395:$ID395,1+SwaptionShift):INDEX($FK395:$ID395,SwaptionMonthsToGo+SwaptionShift))*SUM(INDEX($FK$325:$ID$396,HU$169,1+SwaptionShift):INDEX($FK$325:$ID$396,HU$169,SwaptionMonthsToGo+SwaptionShift))))))</f>
        <v/>
      </c>
      <c r="HV240" s="479" t="str">
        <f ca="1">IF(OR(HV$169&lt;SwaptionFirstMonthPosition+1,$FJ240&lt;SwaptionFirstMonthPosition+1,HV$169&gt;SwaptionFirstMonthPosition+SwaptionNumOfMonths+1,$FJ240&gt;SwaptionFirstMonthPosition+SwaptionNumOfMonths+1),"",IF($FJ240=HV$169,1,IF($FJ240&lt;HV$169,INDEX($FK$170:$ID$241,HV$169,$FJ240),SUMPRODUCT(INDEX($FK$325:$ID$396,HV$169,1+SwaptionShift):INDEX($FK$325:$ID$396,HV$169,SwaptionMonthsToGo+SwaptionShift),INDEX($FK$245:$ID$316,$FJ240-HV$169,73-HV$169+SwaptionShift):INDEX($FK$245:$ID$316,$FJ240-HV$169,72-HV$169+SwaptionMonthsToGo+SwaptionShift))/SQRT(SUM(INDEX($FK395:$ID395,1+SwaptionShift):INDEX($FK395:$ID395,SwaptionMonthsToGo+SwaptionShift))*SUM(INDEX($FK$325:$ID$396,HV$169,1+SwaptionShift):INDEX($FK$325:$ID$396,HV$169,SwaptionMonthsToGo+SwaptionShift))))))</f>
        <v/>
      </c>
      <c r="HW240" s="479" t="str">
        <f ca="1">IF(OR(HW$169&lt;SwaptionFirstMonthPosition+1,$FJ240&lt;SwaptionFirstMonthPosition+1,HW$169&gt;SwaptionFirstMonthPosition+SwaptionNumOfMonths+1,$FJ240&gt;SwaptionFirstMonthPosition+SwaptionNumOfMonths+1),"",IF($FJ240=HW$169,1,IF($FJ240&lt;HW$169,INDEX($FK$170:$ID$241,HW$169,$FJ240),SUMPRODUCT(INDEX($FK$325:$ID$396,HW$169,1+SwaptionShift):INDEX($FK$325:$ID$396,HW$169,SwaptionMonthsToGo+SwaptionShift),INDEX($FK$245:$ID$316,$FJ240-HW$169,73-HW$169+SwaptionShift):INDEX($FK$245:$ID$316,$FJ240-HW$169,72-HW$169+SwaptionMonthsToGo+SwaptionShift))/SQRT(SUM(INDEX($FK395:$ID395,1+SwaptionShift):INDEX($FK395:$ID395,SwaptionMonthsToGo+SwaptionShift))*SUM(INDEX($FK$325:$ID$396,HW$169,1+SwaptionShift):INDEX($FK$325:$ID$396,HW$169,SwaptionMonthsToGo+SwaptionShift))))))</f>
        <v/>
      </c>
      <c r="HX240" s="479" t="str">
        <f ca="1">IF(OR(HX$169&lt;SwaptionFirstMonthPosition+1,$FJ240&lt;SwaptionFirstMonthPosition+1,HX$169&gt;SwaptionFirstMonthPosition+SwaptionNumOfMonths+1,$FJ240&gt;SwaptionFirstMonthPosition+SwaptionNumOfMonths+1),"",IF($FJ240=HX$169,1,IF($FJ240&lt;HX$169,INDEX($FK$170:$ID$241,HX$169,$FJ240),SUMPRODUCT(INDEX($FK$325:$ID$396,HX$169,1+SwaptionShift):INDEX($FK$325:$ID$396,HX$169,SwaptionMonthsToGo+SwaptionShift),INDEX($FK$245:$ID$316,$FJ240-HX$169,73-HX$169+SwaptionShift):INDEX($FK$245:$ID$316,$FJ240-HX$169,72-HX$169+SwaptionMonthsToGo+SwaptionShift))/SQRT(SUM(INDEX($FK395:$ID395,1+SwaptionShift):INDEX($FK395:$ID395,SwaptionMonthsToGo+SwaptionShift))*SUM(INDEX($FK$325:$ID$396,HX$169,1+SwaptionShift):INDEX($FK$325:$ID$396,HX$169,SwaptionMonthsToGo+SwaptionShift))))))</f>
        <v/>
      </c>
      <c r="HY240" s="479" t="str">
        <f ca="1">IF(OR(HY$169&lt;SwaptionFirstMonthPosition+1,$FJ240&lt;SwaptionFirstMonthPosition+1,HY$169&gt;SwaptionFirstMonthPosition+SwaptionNumOfMonths+1,$FJ240&gt;SwaptionFirstMonthPosition+SwaptionNumOfMonths+1),"",IF($FJ240=HY$169,1,IF($FJ240&lt;HY$169,INDEX($FK$170:$ID$241,HY$169,$FJ240),SUMPRODUCT(INDEX($FK$325:$ID$396,HY$169,1+SwaptionShift):INDEX($FK$325:$ID$396,HY$169,SwaptionMonthsToGo+SwaptionShift),INDEX($FK$245:$ID$316,$FJ240-HY$169,73-HY$169+SwaptionShift):INDEX($FK$245:$ID$316,$FJ240-HY$169,72-HY$169+SwaptionMonthsToGo+SwaptionShift))/SQRT(SUM(INDEX($FK395:$ID395,1+SwaptionShift):INDEX($FK395:$ID395,SwaptionMonthsToGo+SwaptionShift))*SUM(INDEX($FK$325:$ID$396,HY$169,1+SwaptionShift):INDEX($FK$325:$ID$396,HY$169,SwaptionMonthsToGo+SwaptionShift))))))</f>
        <v/>
      </c>
      <c r="HZ240" s="479" t="str">
        <f ca="1">IF(OR(HZ$169&lt;SwaptionFirstMonthPosition+1,$FJ240&lt;SwaptionFirstMonthPosition+1,HZ$169&gt;SwaptionFirstMonthPosition+SwaptionNumOfMonths+1,$FJ240&gt;SwaptionFirstMonthPosition+SwaptionNumOfMonths+1),"",IF($FJ240=HZ$169,1,IF($FJ240&lt;HZ$169,INDEX($FK$170:$ID$241,HZ$169,$FJ240),SUMPRODUCT(INDEX($FK$325:$ID$396,HZ$169,1+SwaptionShift):INDEX($FK$325:$ID$396,HZ$169,SwaptionMonthsToGo+SwaptionShift),INDEX($FK$245:$ID$316,$FJ240-HZ$169,73-HZ$169+SwaptionShift):INDEX($FK$245:$ID$316,$FJ240-HZ$169,72-HZ$169+SwaptionMonthsToGo+SwaptionShift))/SQRT(SUM(INDEX($FK395:$ID395,1+SwaptionShift):INDEX($FK395:$ID395,SwaptionMonthsToGo+SwaptionShift))*SUM(INDEX($FK$325:$ID$396,HZ$169,1+SwaptionShift):INDEX($FK$325:$ID$396,HZ$169,SwaptionMonthsToGo+SwaptionShift))))))</f>
        <v/>
      </c>
      <c r="IA240" s="479" t="str">
        <f ca="1">IF(OR(IA$169&lt;SwaptionFirstMonthPosition+1,$FJ240&lt;SwaptionFirstMonthPosition+1,IA$169&gt;SwaptionFirstMonthPosition+SwaptionNumOfMonths+1,$FJ240&gt;SwaptionFirstMonthPosition+SwaptionNumOfMonths+1),"",IF($FJ240=IA$169,1,IF($FJ240&lt;IA$169,INDEX($FK$170:$ID$241,IA$169,$FJ240),SUMPRODUCT(INDEX($FK$325:$ID$396,IA$169,1+SwaptionShift):INDEX($FK$325:$ID$396,IA$169,SwaptionMonthsToGo+SwaptionShift),INDEX($FK$245:$ID$316,$FJ240-IA$169,73-IA$169+SwaptionShift):INDEX($FK$245:$ID$316,$FJ240-IA$169,72-IA$169+SwaptionMonthsToGo+SwaptionShift))/SQRT(SUM(INDEX($FK395:$ID395,1+SwaptionShift):INDEX($FK395:$ID395,SwaptionMonthsToGo+SwaptionShift))*SUM(INDEX($FK$325:$ID$396,IA$169,1+SwaptionShift):INDEX($FK$325:$ID$396,IA$169,SwaptionMonthsToGo+SwaptionShift))))))</f>
        <v/>
      </c>
      <c r="IB240" s="479" t="str">
        <f ca="1">IF(OR(IB$169&lt;SwaptionFirstMonthPosition+1,$FJ240&lt;SwaptionFirstMonthPosition+1,IB$169&gt;SwaptionFirstMonthPosition+SwaptionNumOfMonths+1,$FJ240&gt;SwaptionFirstMonthPosition+SwaptionNumOfMonths+1),"",IF($FJ240=IB$169,1,IF($FJ240&lt;IB$169,INDEX($FK$170:$ID$241,IB$169,$FJ240),SUMPRODUCT(INDEX($FK$325:$ID$396,IB$169,1+SwaptionShift):INDEX($FK$325:$ID$396,IB$169,SwaptionMonthsToGo+SwaptionShift),INDEX($FK$245:$ID$316,$FJ240-IB$169,73-IB$169+SwaptionShift):INDEX($FK$245:$ID$316,$FJ240-IB$169,72-IB$169+SwaptionMonthsToGo+SwaptionShift))/SQRT(SUM(INDEX($FK395:$ID395,1+SwaptionShift):INDEX($FK395:$ID395,SwaptionMonthsToGo+SwaptionShift))*SUM(INDEX($FK$325:$ID$396,IB$169,1+SwaptionShift):INDEX($FK$325:$ID$396,IB$169,SwaptionMonthsToGo+SwaptionShift))))))</f>
        <v/>
      </c>
      <c r="IC240" s="479" t="str">
        <f ca="1">IF(OR(IC$169&lt;SwaptionFirstMonthPosition+1,$FJ240&lt;SwaptionFirstMonthPosition+1,IC$169&gt;SwaptionFirstMonthPosition+SwaptionNumOfMonths+1,$FJ240&gt;SwaptionFirstMonthPosition+SwaptionNumOfMonths+1),"",IF($FJ240=IC$169,1,IF($FJ240&lt;IC$169,INDEX($FK$170:$ID$241,IC$169,$FJ240),SUMPRODUCT(INDEX($FK$325:$ID$396,IC$169,1+SwaptionShift):INDEX($FK$325:$ID$396,IC$169,SwaptionMonthsToGo+SwaptionShift),INDEX($FK$245:$ID$316,$FJ240-IC$169,73-IC$169+SwaptionShift):INDEX($FK$245:$ID$316,$FJ240-IC$169,72-IC$169+SwaptionMonthsToGo+SwaptionShift))/SQRT(SUM(INDEX($FK395:$ID395,1+SwaptionShift):INDEX($FK395:$ID395,SwaptionMonthsToGo+SwaptionShift))*SUM(INDEX($FK$325:$ID$396,IC$169,1+SwaptionShift):INDEX($FK$325:$ID$396,IC$169,SwaptionMonthsToGo+SwaptionShift))))))</f>
        <v/>
      </c>
      <c r="ID240" s="678" t="str">
        <f ca="1">IF(OR(ID$169&lt;SwaptionFirstMonthPosition+1,$FJ240&lt;SwaptionFirstMonthPosition+1,ID$169&gt;SwaptionFirstMonthPosition+SwaptionNumOfMonths+1,$FJ240&gt;SwaptionFirstMonthPosition+SwaptionNumOfMonths+1),"",IF($FJ240=ID$169,1,IF($FJ240&lt;ID$169,INDEX($FK$170:$ID$241,ID$169,$FJ240),SUMPRODUCT(INDEX($FK$325:$ID$396,ID$169,1+SwaptionShift):INDEX($FK$325:$ID$396,ID$169,SwaptionMonthsToGo+SwaptionShift),INDEX($FK$245:$ID$316,$FJ240-ID$169,73-ID$169+SwaptionShift):INDEX($FK$245:$ID$316,$FJ240-ID$169,72-ID$169+SwaptionMonthsToGo+SwaptionShift))/SQRT(SUM(INDEX($FK395:$ID395,1+SwaptionShift):INDEX($FK395:$ID395,SwaptionMonthsToGo+SwaptionShift))*SUM(INDEX($FK$325:$ID$396,ID$169,1+SwaptionShift):INDEX($FK$325:$ID$396,ID$169,SwaptionMonthsToGo+SwaptionShift))))))</f>
        <v/>
      </c>
      <c r="IE240" s="250"/>
    </row>
    <row r="241" spans="8:239">
      <c r="H241" s="51">
        <f t="shared" ca="1" si="646"/>
        <v>0</v>
      </c>
      <c r="I241" s="379">
        <f t="shared" si="647"/>
        <v>43497</v>
      </c>
      <c r="J241" s="377"/>
      <c r="K241" s="104" t="s">
        <v>268</v>
      </c>
      <c r="L241" s="392">
        <f t="shared" si="648"/>
        <v>5.4374999999999929</v>
      </c>
      <c r="M241" s="171"/>
      <c r="N241" s="382">
        <v>0</v>
      </c>
      <c r="O241" s="171">
        <f t="shared" si="596"/>
        <v>0</v>
      </c>
      <c r="P241" s="377"/>
      <c r="Q241" s="104" t="s">
        <v>268</v>
      </c>
      <c r="R241" s="377">
        <f t="shared" ca="1" si="597"/>
        <v>4.2364595917261259</v>
      </c>
      <c r="S241" s="832">
        <f t="shared" si="671"/>
        <v>0.3600000000000001</v>
      </c>
      <c r="T241" s="831">
        <f t="shared" si="661"/>
        <v>0.99999999999999933</v>
      </c>
      <c r="U241" s="545">
        <f t="shared" si="662"/>
        <v>0.99999999999999978</v>
      </c>
      <c r="V241" s="389">
        <v>0</v>
      </c>
      <c r="W241" s="434">
        <f t="shared" si="598"/>
        <v>0</v>
      </c>
      <c r="X241" s="415">
        <f t="shared" si="599"/>
        <v>5.486249999999993</v>
      </c>
      <c r="Y241" s="322">
        <f t="shared" si="600"/>
        <v>-1.1684999999999999</v>
      </c>
      <c r="Z241" s="322">
        <f t="shared" ca="1" si="601"/>
        <v>4.3177499999999931</v>
      </c>
      <c r="AA241" s="429">
        <f t="shared" si="628"/>
        <v>1.1684999999999999</v>
      </c>
      <c r="AB241" s="433">
        <f t="shared" ca="1" si="629"/>
        <v>1.1684999999999999</v>
      </c>
      <c r="AC241" s="229">
        <v>43485</v>
      </c>
      <c r="AD241" s="229">
        <v>43481</v>
      </c>
      <c r="AE241" s="229">
        <v>43480</v>
      </c>
      <c r="AF241" s="229">
        <v>43476</v>
      </c>
      <c r="AG241" s="249" t="s">
        <v>499</v>
      </c>
      <c r="AH241" s="247" t="s">
        <v>499</v>
      </c>
      <c r="AI241" s="146">
        <v>20</v>
      </c>
      <c r="AJ241" s="41">
        <v>14</v>
      </c>
      <c r="AK241" s="41">
        <v>6</v>
      </c>
      <c r="AL241" s="293">
        <v>20</v>
      </c>
      <c r="AM241" s="41">
        <v>10</v>
      </c>
      <c r="AN241" s="147">
        <v>10</v>
      </c>
      <c r="AO241" s="374"/>
      <c r="AP241" s="153">
        <f t="shared" ca="1" si="649"/>
        <v>1</v>
      </c>
      <c r="AQ241" s="374"/>
      <c r="AR241" s="153">
        <f t="shared" ca="1" si="663"/>
        <v>1</v>
      </c>
      <c r="AS241" s="272">
        <f t="shared" si="602"/>
        <v>0</v>
      </c>
      <c r="AT241" s="157">
        <f t="shared" si="650"/>
        <v>0</v>
      </c>
      <c r="AU241" s="157">
        <f t="shared" si="630"/>
        <v>0</v>
      </c>
      <c r="AV241" s="271">
        <f t="shared" ca="1" si="670"/>
        <v>9.9999999999999995E-7</v>
      </c>
      <c r="AW241" s="158" t="str">
        <f t="shared" ca="1" si="583"/>
        <v/>
      </c>
      <c r="AX241" s="157">
        <f t="shared" ca="1" si="664"/>
        <v>1.4633898924555227E-5</v>
      </c>
      <c r="AY241" s="157">
        <f t="shared" ca="1" si="665"/>
        <v>2.5944929493807735E-6</v>
      </c>
      <c r="AZ241" s="157">
        <f t="shared" ca="1" si="666"/>
        <v>4.1768584486422575E-8</v>
      </c>
      <c r="BA241" s="157">
        <f t="shared" ca="1" si="667"/>
        <v>5.2210730608028218E-9</v>
      </c>
      <c r="BB241" s="157">
        <f t="shared" ca="1" si="668"/>
        <v>6.3670546207914616E-12</v>
      </c>
      <c r="BC241" s="157">
        <f t="shared" ca="1" si="669"/>
        <v>5.4519207812474612E-14</v>
      </c>
      <c r="BD241" s="151">
        <f t="shared" ca="1" si="603"/>
        <v>0</v>
      </c>
      <c r="BE241" s="152">
        <f t="shared" ca="1" si="604"/>
        <v>0</v>
      </c>
      <c r="BF241" s="40">
        <f t="shared" si="605"/>
        <v>2019</v>
      </c>
      <c r="BG241" s="144">
        <f t="shared" si="606"/>
        <v>2</v>
      </c>
      <c r="BH241" s="145">
        <f t="shared" ca="1" si="607"/>
        <v>6736</v>
      </c>
      <c r="BI241" s="313">
        <f t="shared" ca="1" si="608"/>
        <v>18.48596851471595</v>
      </c>
      <c r="BJ241" s="42">
        <f t="shared" ca="1" si="631"/>
        <v>18.537713894592745</v>
      </c>
      <c r="BK241" s="42">
        <f t="shared" ca="1" si="632"/>
        <v>18.540451745379876</v>
      </c>
      <c r="BL241" s="42">
        <f t="shared" ca="1" si="609"/>
        <v>18.559890485968516</v>
      </c>
      <c r="BM241" s="150" t="e">
        <f t="shared" ca="1" si="633"/>
        <v>#DIV/0!</v>
      </c>
      <c r="BN241" s="42" t="e">
        <f t="shared" ca="1" si="634"/>
        <v>#DIV/0!</v>
      </c>
      <c r="BO241" s="293">
        <f t="shared" si="610"/>
        <v>20</v>
      </c>
      <c r="BP241" s="41">
        <f t="shared" si="611"/>
        <v>14</v>
      </c>
      <c r="BQ241" s="41">
        <f t="shared" si="612"/>
        <v>6</v>
      </c>
      <c r="BR241" s="305" t="str">
        <f t="shared" ca="1" si="635"/>
        <v/>
      </c>
      <c r="BS241" s="305" t="str">
        <f t="shared" ca="1" si="613"/>
        <v/>
      </c>
      <c r="BT241" s="307" t="str">
        <f t="shared" ca="1" si="614"/>
        <v/>
      </c>
      <c r="BU241" s="161" t="str">
        <f t="shared" ca="1" si="636"/>
        <v/>
      </c>
      <c r="BV241" s="161" t="str">
        <f t="shared" ca="1" si="637"/>
        <v/>
      </c>
      <c r="BW241" s="308" t="str">
        <f t="shared" ca="1" si="638"/>
        <v/>
      </c>
      <c r="BX241" s="309" t="str">
        <f t="shared" ca="1" si="639"/>
        <v/>
      </c>
      <c r="BY241" s="308" t="str">
        <f t="shared" ca="1" si="615"/>
        <v/>
      </c>
      <c r="BZ241" s="309" t="str">
        <f t="shared" ca="1" si="616"/>
        <v/>
      </c>
      <c r="CA241" s="154" t="str">
        <f t="shared" ca="1" si="640"/>
        <v/>
      </c>
      <c r="CB241" s="154" t="str">
        <f t="shared" ca="1" si="641"/>
        <v/>
      </c>
      <c r="CC241" s="154" t="str">
        <f t="shared" ca="1" si="642"/>
        <v/>
      </c>
      <c r="CD241" s="154" t="str">
        <f t="shared" ca="1" si="643"/>
        <v/>
      </c>
      <c r="CE241" s="310">
        <v>1</v>
      </c>
      <c r="CF241" s="162">
        <f ca="1">IF(BD241,_xll.xCrudeAPO(BU241,BV241,CA241,CB241,S242,S243,BI241,BL241,BP241,BQ241,0,Strike1,AO241,CE241,0,BL241,IF(OptControl=4,0,1),0,1),0)</f>
        <v>0</v>
      </c>
      <c r="CG241" s="163">
        <f ca="1">IF(BD241,_xll.xCrudeAPO(BU241,BV241,CA241,CB241,S242,S243,BI241,BL241,BP241,BQ241,0,Strike1,AO241,CE241,0,BL241,IF(OptControl=4,0,1),1,1)+_xll.xCrudeAPO(BU241,BV241,CA241,CB241,S242,S243,BI241,BL241,BP241,BQ241,0,Strike1,AO241,CE241,0,BL241,IF(OptControl=4,0,1),1,2)+IF(OR(VolSkewFlag=2,ABS(BS241)&lt;0.0001),0,IF(BS241&gt;0,-1,1)*CH241*Strike1/BR241^2*BY241/10%),0)</f>
        <v>0</v>
      </c>
      <c r="CH241" s="163">
        <f ca="1">IF(BD241,(_xll.xCrudeAPO(BU241,BV241,CA241,CB241,S242,S243,BI241,BL241,BP241,BQ241,0,Strike1,AO241,CE241,0,BL241,IF(OptControl=4,0,1),3,1)+_xll.xCrudeAPO(BU241,BV241,CA241,CB241,S242,S243,BI241,BL241,BP241,BQ241,0,Strike1,AO241,CE241,0,BL241,IF(OptControl=4,0,1),3,2))/100,0)</f>
        <v>0</v>
      </c>
      <c r="CI241" s="163">
        <f ca="1">IF(BD241,_xll.xCrudeAPO(BU241,BV241,CA241,CB241,S242,S243,BI241-DaysForThetaCalculation/365.25,BL241-DaysForThetaCalculation/365.25,BP241,BQ241,0,Strike1,AO241,CE241,0,BL241,IF(OptControl=4,0,1),0,1)-_xll.xCrudeAPO(BU241,BV241,CA241,CB241,S242,S243,BI241,BL241,BP241,BQ241,0,Strike1,AO241,CE241,0,BL241,IF(OptControl=4,0,1),0,1),0)</f>
        <v>0</v>
      </c>
      <c r="CJ241" s="311">
        <f ca="1">IF(BD241,_xll.xCrudeAPO(BU241,BV241,CC241,CD241,S242,S243,BI241,BL241,BP241,BQ241,0,Strike2,AO241,CE241,0,BL241,IF(OptControl=3,1,0),0,1),0)</f>
        <v>0</v>
      </c>
      <c r="CK241" s="163">
        <f ca="1">IF(BD241,_xll.xCrudeAPO(BU241,BV241,CC241,CD241,S242,S243,BI241,BL241,BP241,BQ241,0,Strike2,AO241,CE241,0,BL241,IF(OptControl=3,1,0),1,1)+_xll.xCrudeAPO(BU241,BV241,CC241,CD241,S242,S243,BI241,BL241,BP241,BQ241,0,Strike2,AO241,CE241,0,BL241,IF(OptControl=3,1,0),1,2)+IF(OR(VolSkewFlag=2,ABS(BT241)&lt;0.0001),0,IF(BT241&gt;0,-1,1)*CL241*Strike2/BR241^2*BZ241/10%),0)</f>
        <v>0</v>
      </c>
      <c r="CL241" s="163">
        <f ca="1">IF(BD241,(_xll.xCrudeAPO(BU241,BV241,CC241,CD241,S242,S243,BI241,BL241,BP241,BQ241,0,Strike2,AO241,CE241,0,BL241,IF(OptControl=3,1,0),3,1)+_xll.xCrudeAPO(BU241,BV241,CC241,CD241,S242,S243,BI241,BL241,BP241,BQ241,0,Strike2,AO241,CE241,0,BL241,IF(OptControl=3,1,0),3,2))/100,0)</f>
        <v>0</v>
      </c>
      <c r="CM241" s="164">
        <f ca="1">IF(BD241,_xll.xCrudeAPO(BU241,BV241,CC241,CD241,S242,S243,BI241-DaysForThetaCalculation/365.25,BL241-DaysForThetaCalculation/365.25,BP241,BQ241,0,Strike2,AO241,CE241,0,BL241,IF(OptControl=3,1,0),0,1)-_xll.xCrudeAPO(BU241,BV241,CC241,CD241,S242,S243,BI241,BL241,BP241,BQ241,0,Strike2,AO241,CE241,0,BL241,IF(OptControl=3,1,0),0,1),0)</f>
        <v>0</v>
      </c>
      <c r="CN241" s="53"/>
      <c r="CO241" s="796" t="str">
        <f t="shared" ca="1" si="651"/>
        <v/>
      </c>
      <c r="CP241" s="800" t="str">
        <f t="shared" ca="1" si="652"/>
        <v/>
      </c>
      <c r="CQ241" s="797" t="str">
        <f t="shared" ca="1" si="653"/>
        <v/>
      </c>
      <c r="CR241" s="797" t="str">
        <f t="shared" ca="1" si="654"/>
        <v/>
      </c>
      <c r="CS241" s="797" t="str">
        <f t="shared" ca="1" si="655"/>
        <v/>
      </c>
      <c r="CT241" s="797" t="str">
        <f t="shared" ca="1" si="656"/>
        <v/>
      </c>
      <c r="CU241" s="798" t="str">
        <f t="shared" ca="1" si="657"/>
        <v/>
      </c>
      <c r="CV241" s="799" t="str">
        <f t="shared" ca="1" si="658"/>
        <v/>
      </c>
      <c r="CW241" s="799" t="str">
        <f t="shared" ca="1" si="659"/>
        <v/>
      </c>
      <c r="CX241" s="163">
        <f ca="1">IF(BD241,_xll.EURO(CP241,Strike1,AO241,AO241,CV241,CO241,IF(OptControl=4,0,1),0),0)</f>
        <v>0</v>
      </c>
      <c r="CY241" s="163">
        <f ca="1">IF(BD241,_xll.EURO(CP241,Strike1,AO241,AO241,CV241,CO241,IF(OptControl=4,0,1),1)+IF(OR(VolSkewFlag=2,ABS(CQ241)&lt;0.0001),0,IF(CQ241&gt;0,-1,1)*CZ241*100*Strike1/CP241^2*CS241/10%),0)</f>
        <v>0</v>
      </c>
      <c r="CZ241" s="163">
        <f ca="1">IF(BD241,_xll.EURO(CP241,Strike1,AO241,AO241,CV241,CO241,IF(OptControl=4,0,1),3)/100,0)</f>
        <v>0</v>
      </c>
      <c r="DA241" s="163">
        <f ca="1">IF(BD241,_xll.EURO(CP241,Strike1,AO241,AO241,CV241,CO241,IF(OptControl=4,0,1),0)-_xll.EURO(CP241,Strike1,AO241,AO241,CV241,CO241-1,IF(OptControl=4,0,1),0),0)</f>
        <v>0</v>
      </c>
      <c r="DB241" s="163">
        <f ca="1">IF(BD241,_xll.EURO(CP241,Strike2,AO241,AO241,CW241,CO241,IF(OptControl=3,1,0),0),0)</f>
        <v>0</v>
      </c>
      <c r="DC241" s="163">
        <f ca="1">IF(BD241,_xll.EURO(CP241,Strike2,AO241,AO241,CW241,CO241,IF(OptControl=3,1,0),1)+IF(OR(VolSkewFlag=2,ABS(CR241)&lt;0.0001),0,IF(CR241&gt;0,-1,1)*DD241*100*Strike2/CP241^2*CT241/10%),0)</f>
        <v>0</v>
      </c>
      <c r="DD241" s="163">
        <f ca="1">IF(BD241,_xll.EURO(CP241,Strike2,AO241,AO241,CW241,CO241,IF(OptControl=3,1,0),3)/100,0)</f>
        <v>0</v>
      </c>
      <c r="DE241" s="164">
        <f ca="1">IF(BD241,_xll.EURO(CP241,Strike2,AO241,AO241,CW241,CO241,IF(OptControl=3,1,0),0)-_xll.EURO(CP241,Strike2,AO241,AO241,CW241,CO241-1,IF(OptControl=3,1,0),0),0)</f>
        <v>0</v>
      </c>
      <c r="DG241" s="667">
        <f t="shared" ca="1" si="660"/>
        <v>43282</v>
      </c>
      <c r="DH241" s="475">
        <v>25.210000000000104</v>
      </c>
      <c r="DI241" s="665">
        <v>25.276666666666774</v>
      </c>
      <c r="DJ241" s="666">
        <f t="shared" ca="1" si="617"/>
        <v>43282</v>
      </c>
      <c r="DK241" s="475">
        <v>24.009709813966136</v>
      </c>
      <c r="DL241" s="665">
        <v>24.009766666666774</v>
      </c>
      <c r="DM241" s="667">
        <f t="shared" ca="1" si="618"/>
        <v>43282</v>
      </c>
      <c r="DN241" s="668">
        <f t="shared" si="619"/>
        <v>24.059709813966137</v>
      </c>
      <c r="DO241" s="667">
        <f t="shared" ca="1" si="620"/>
        <v>43282</v>
      </c>
      <c r="DP241" s="579">
        <f t="shared" si="621"/>
        <v>24.009766666666774</v>
      </c>
      <c r="DQ241" s="821">
        <v>0</v>
      </c>
      <c r="DR241" s="666">
        <f t="shared" ca="1" si="622"/>
        <v>43282</v>
      </c>
      <c r="DS241" s="669">
        <v>9.1999999999997015E-2</v>
      </c>
      <c r="DT241" s="606">
        <v>9.1199999999996992E-2</v>
      </c>
      <c r="DU241" s="666">
        <f t="shared" ca="1" si="623"/>
        <v>43282</v>
      </c>
      <c r="DV241" s="669">
        <v>9.1999999999997015E-2</v>
      </c>
      <c r="DW241" s="606">
        <v>9.1199999999996992E-2</v>
      </c>
      <c r="DX241" s="667">
        <f t="shared" ca="1" si="624"/>
        <v>43282</v>
      </c>
      <c r="DY241" s="606">
        <v>0.35</v>
      </c>
      <c r="DZ241" s="667">
        <f t="shared" ca="1" si="625"/>
        <v>43282</v>
      </c>
      <c r="EA241" s="606">
        <f t="shared" si="626"/>
        <v>9.1199999999996992E-2</v>
      </c>
      <c r="EB241" s="1"/>
      <c r="EC241" s="118" t="str">
        <f t="shared" ca="1" si="627"/>
        <v/>
      </c>
      <c r="ED241" s="119" t="str">
        <f t="shared" ca="1" si="644"/>
        <v/>
      </c>
      <c r="EE241" s="112" t="str">
        <f t="shared" ca="1" si="645"/>
        <v/>
      </c>
      <c r="EF241" s="120">
        <f ca="1">IF(BD241,_xll.xASN(BR241,Strike1,AO241,ED241,0,BO241,0,BI241,BL241,IF(OptControl=4,0,1),0),0)</f>
        <v>0</v>
      </c>
      <c r="EG241" s="111">
        <f ca="1">IF(BD241,_xll.xASN(BR241,Strike2,AO241,EE241,0,BO241,0,BI241,BL241,IF(OptControl=3,1,0),0),0)</f>
        <v>0</v>
      </c>
      <c r="EL241" s="55"/>
      <c r="EM241" s="1"/>
      <c r="EN241" s="106"/>
      <c r="EO241" s="106"/>
      <c r="EP241" s="1"/>
      <c r="EQ241" s="683" t="s">
        <v>455</v>
      </c>
      <c r="ES241" s="55"/>
      <c r="EU241" s="107"/>
      <c r="FJ241" s="675">
        <v>72</v>
      </c>
      <c r="FK241" s="679" t="str">
        <f ca="1">IF(OR(FK$169&lt;SwaptionFirstMonthPosition+1,$FJ241&lt;SwaptionFirstMonthPosition+1,FK$169&gt;SwaptionFirstMonthPosition+SwaptionNumOfMonths+1,$FJ241&gt;SwaptionFirstMonthPosition+SwaptionNumOfMonths+1),"",IF($FJ241=FK$169,1,IF($FJ241&lt;FK$169,INDEX($FK$170:$ID$241,FK$169,$FJ241),SUMPRODUCT(INDEX($FK$325:$ID$396,FK$169,1+SwaptionShift):INDEX($FK$325:$ID$396,FK$169,SwaptionMonthsToGo+SwaptionShift),INDEX($FK$245:$ID$316,$FJ241-FK$169,73-FK$169+SwaptionShift):INDEX($FK$245:$ID$316,$FJ241-FK$169,72-FK$169+SwaptionMonthsToGo+SwaptionShift))/SQRT(SUM(INDEX($FK396:$ID396,1+SwaptionShift):INDEX($FK396:$ID396,SwaptionMonthsToGo+SwaptionShift))*SUM(INDEX($FK$325:$ID$396,FK$169,1+SwaptionShift):INDEX($FK$325:$ID$396,FK$169,SwaptionMonthsToGo+SwaptionShift))))))</f>
        <v/>
      </c>
      <c r="FL241" s="679" t="str">
        <f ca="1">IF(OR(FL$169&lt;SwaptionFirstMonthPosition+1,$FJ241&lt;SwaptionFirstMonthPosition+1,FL$169&gt;SwaptionFirstMonthPosition+SwaptionNumOfMonths+1,$FJ241&gt;SwaptionFirstMonthPosition+SwaptionNumOfMonths+1),"",IF($FJ241=FL$169,1,IF($FJ241&lt;FL$169,INDEX($FK$170:$ID$241,FL$169,$FJ241),SUMPRODUCT(INDEX($FK$325:$ID$396,FL$169,1+SwaptionShift):INDEX($FK$325:$ID$396,FL$169,SwaptionMonthsToGo+SwaptionShift),INDEX($FK$245:$ID$316,$FJ241-FL$169,73-FL$169+SwaptionShift):INDEX($FK$245:$ID$316,$FJ241-FL$169,72-FL$169+SwaptionMonthsToGo+SwaptionShift))/SQRT(SUM(INDEX($FK396:$ID396,1+SwaptionShift):INDEX($FK396:$ID396,SwaptionMonthsToGo+SwaptionShift))*SUM(INDEX($FK$325:$ID$396,FL$169,1+SwaptionShift):INDEX($FK$325:$ID$396,FL$169,SwaptionMonthsToGo+SwaptionShift))))))</f>
        <v/>
      </c>
      <c r="FM241" s="679" t="str">
        <f ca="1">IF(OR(FM$169&lt;SwaptionFirstMonthPosition+1,$FJ241&lt;SwaptionFirstMonthPosition+1,FM$169&gt;SwaptionFirstMonthPosition+SwaptionNumOfMonths+1,$FJ241&gt;SwaptionFirstMonthPosition+SwaptionNumOfMonths+1),"",IF($FJ241=FM$169,1,IF($FJ241&lt;FM$169,INDEX($FK$170:$ID$241,FM$169,$FJ241),SUMPRODUCT(INDEX($FK$325:$ID$396,FM$169,1+SwaptionShift):INDEX($FK$325:$ID$396,FM$169,SwaptionMonthsToGo+SwaptionShift),INDEX($FK$245:$ID$316,$FJ241-FM$169,73-FM$169+SwaptionShift):INDEX($FK$245:$ID$316,$FJ241-FM$169,72-FM$169+SwaptionMonthsToGo+SwaptionShift))/SQRT(SUM(INDEX($FK396:$ID396,1+SwaptionShift):INDEX($FK396:$ID396,SwaptionMonthsToGo+SwaptionShift))*SUM(INDEX($FK$325:$ID$396,FM$169,1+SwaptionShift):INDEX($FK$325:$ID$396,FM$169,SwaptionMonthsToGo+SwaptionShift))))))</f>
        <v/>
      </c>
      <c r="FN241" s="679" t="str">
        <f ca="1">IF(OR(FN$169&lt;SwaptionFirstMonthPosition+1,$FJ241&lt;SwaptionFirstMonthPosition+1,FN$169&gt;SwaptionFirstMonthPosition+SwaptionNumOfMonths+1,$FJ241&gt;SwaptionFirstMonthPosition+SwaptionNumOfMonths+1),"",IF($FJ241=FN$169,1,IF($FJ241&lt;FN$169,INDEX($FK$170:$ID$241,FN$169,$FJ241),SUMPRODUCT(INDEX($FK$325:$ID$396,FN$169,1+SwaptionShift):INDEX($FK$325:$ID$396,FN$169,SwaptionMonthsToGo+SwaptionShift),INDEX($FK$245:$ID$316,$FJ241-FN$169,73-FN$169+SwaptionShift):INDEX($FK$245:$ID$316,$FJ241-FN$169,72-FN$169+SwaptionMonthsToGo+SwaptionShift))/SQRT(SUM(INDEX($FK396:$ID396,1+SwaptionShift):INDEX($FK396:$ID396,SwaptionMonthsToGo+SwaptionShift))*SUM(INDEX($FK$325:$ID$396,FN$169,1+SwaptionShift):INDEX($FK$325:$ID$396,FN$169,SwaptionMonthsToGo+SwaptionShift))))))</f>
        <v/>
      </c>
      <c r="FO241" s="679" t="str">
        <f ca="1">IF(OR(FO$169&lt;SwaptionFirstMonthPosition+1,$FJ241&lt;SwaptionFirstMonthPosition+1,FO$169&gt;SwaptionFirstMonthPosition+SwaptionNumOfMonths+1,$FJ241&gt;SwaptionFirstMonthPosition+SwaptionNumOfMonths+1),"",IF($FJ241=FO$169,1,IF($FJ241&lt;FO$169,INDEX($FK$170:$ID$241,FO$169,$FJ241),SUMPRODUCT(INDEX($FK$325:$ID$396,FO$169,1+SwaptionShift):INDEX($FK$325:$ID$396,FO$169,SwaptionMonthsToGo+SwaptionShift),INDEX($FK$245:$ID$316,$FJ241-FO$169,73-FO$169+SwaptionShift):INDEX($FK$245:$ID$316,$FJ241-FO$169,72-FO$169+SwaptionMonthsToGo+SwaptionShift))/SQRT(SUM(INDEX($FK396:$ID396,1+SwaptionShift):INDEX($FK396:$ID396,SwaptionMonthsToGo+SwaptionShift))*SUM(INDEX($FK$325:$ID$396,FO$169,1+SwaptionShift):INDEX($FK$325:$ID$396,FO$169,SwaptionMonthsToGo+SwaptionShift))))))</f>
        <v/>
      </c>
      <c r="FP241" s="679" t="str">
        <f ca="1">IF(OR(FP$169&lt;SwaptionFirstMonthPosition+1,$FJ241&lt;SwaptionFirstMonthPosition+1,FP$169&gt;SwaptionFirstMonthPosition+SwaptionNumOfMonths+1,$FJ241&gt;SwaptionFirstMonthPosition+SwaptionNumOfMonths+1),"",IF($FJ241=FP$169,1,IF($FJ241&lt;FP$169,INDEX($FK$170:$ID$241,FP$169,$FJ241),SUMPRODUCT(INDEX($FK$325:$ID$396,FP$169,1+SwaptionShift):INDEX($FK$325:$ID$396,FP$169,SwaptionMonthsToGo+SwaptionShift),INDEX($FK$245:$ID$316,$FJ241-FP$169,73-FP$169+SwaptionShift):INDEX($FK$245:$ID$316,$FJ241-FP$169,72-FP$169+SwaptionMonthsToGo+SwaptionShift))/SQRT(SUM(INDEX($FK396:$ID396,1+SwaptionShift):INDEX($FK396:$ID396,SwaptionMonthsToGo+SwaptionShift))*SUM(INDEX($FK$325:$ID$396,FP$169,1+SwaptionShift):INDEX($FK$325:$ID$396,FP$169,SwaptionMonthsToGo+SwaptionShift))))))</f>
        <v/>
      </c>
      <c r="FQ241" s="679" t="str">
        <f ca="1">IF(OR(FQ$169&lt;SwaptionFirstMonthPosition+1,$FJ241&lt;SwaptionFirstMonthPosition+1,FQ$169&gt;SwaptionFirstMonthPosition+SwaptionNumOfMonths+1,$FJ241&gt;SwaptionFirstMonthPosition+SwaptionNumOfMonths+1),"",IF($FJ241=FQ$169,1,IF($FJ241&lt;FQ$169,INDEX($FK$170:$ID$241,FQ$169,$FJ241),SUMPRODUCT(INDEX($FK$325:$ID$396,FQ$169,1+SwaptionShift):INDEX($FK$325:$ID$396,FQ$169,SwaptionMonthsToGo+SwaptionShift),INDEX($FK$245:$ID$316,$FJ241-FQ$169,73-FQ$169+SwaptionShift):INDEX($FK$245:$ID$316,$FJ241-FQ$169,72-FQ$169+SwaptionMonthsToGo+SwaptionShift))/SQRT(SUM(INDEX($FK396:$ID396,1+SwaptionShift):INDEX($FK396:$ID396,SwaptionMonthsToGo+SwaptionShift))*SUM(INDEX($FK$325:$ID$396,FQ$169,1+SwaptionShift):INDEX($FK$325:$ID$396,FQ$169,SwaptionMonthsToGo+SwaptionShift))))))</f>
        <v/>
      </c>
      <c r="FR241" s="679" t="str">
        <f ca="1">IF(OR(FR$169&lt;SwaptionFirstMonthPosition+1,$FJ241&lt;SwaptionFirstMonthPosition+1,FR$169&gt;SwaptionFirstMonthPosition+SwaptionNumOfMonths+1,$FJ241&gt;SwaptionFirstMonthPosition+SwaptionNumOfMonths+1),"",IF($FJ241=FR$169,1,IF($FJ241&lt;FR$169,INDEX($FK$170:$ID$241,FR$169,$FJ241),SUMPRODUCT(INDEX($FK$325:$ID$396,FR$169,1+SwaptionShift):INDEX($FK$325:$ID$396,FR$169,SwaptionMonthsToGo+SwaptionShift),INDEX($FK$245:$ID$316,$FJ241-FR$169,73-FR$169+SwaptionShift):INDEX($FK$245:$ID$316,$FJ241-FR$169,72-FR$169+SwaptionMonthsToGo+SwaptionShift))/SQRT(SUM(INDEX($FK396:$ID396,1+SwaptionShift):INDEX($FK396:$ID396,SwaptionMonthsToGo+SwaptionShift))*SUM(INDEX($FK$325:$ID$396,FR$169,1+SwaptionShift):INDEX($FK$325:$ID$396,FR$169,SwaptionMonthsToGo+SwaptionShift))))))</f>
        <v/>
      </c>
      <c r="FS241" s="679" t="str">
        <f ca="1">IF(OR(FS$169&lt;SwaptionFirstMonthPosition+1,$FJ241&lt;SwaptionFirstMonthPosition+1,FS$169&gt;SwaptionFirstMonthPosition+SwaptionNumOfMonths+1,$FJ241&gt;SwaptionFirstMonthPosition+SwaptionNumOfMonths+1),"",IF($FJ241=FS$169,1,IF($FJ241&lt;FS$169,INDEX($FK$170:$ID$241,FS$169,$FJ241),SUMPRODUCT(INDEX($FK$325:$ID$396,FS$169,1+SwaptionShift):INDEX($FK$325:$ID$396,FS$169,SwaptionMonthsToGo+SwaptionShift),INDEX($FK$245:$ID$316,$FJ241-FS$169,73-FS$169+SwaptionShift):INDEX($FK$245:$ID$316,$FJ241-FS$169,72-FS$169+SwaptionMonthsToGo+SwaptionShift))/SQRT(SUM(INDEX($FK396:$ID396,1+SwaptionShift):INDEX($FK396:$ID396,SwaptionMonthsToGo+SwaptionShift))*SUM(INDEX($FK$325:$ID$396,FS$169,1+SwaptionShift):INDEX($FK$325:$ID$396,FS$169,SwaptionMonthsToGo+SwaptionShift))))))</f>
        <v/>
      </c>
      <c r="FT241" s="679" t="str">
        <f ca="1">IF(OR(FT$169&lt;SwaptionFirstMonthPosition+1,$FJ241&lt;SwaptionFirstMonthPosition+1,FT$169&gt;SwaptionFirstMonthPosition+SwaptionNumOfMonths+1,$FJ241&gt;SwaptionFirstMonthPosition+SwaptionNumOfMonths+1),"",IF($FJ241=FT$169,1,IF($FJ241&lt;FT$169,INDEX($FK$170:$ID$241,FT$169,$FJ241),SUMPRODUCT(INDEX($FK$325:$ID$396,FT$169,1+SwaptionShift):INDEX($FK$325:$ID$396,FT$169,SwaptionMonthsToGo+SwaptionShift),INDEX($FK$245:$ID$316,$FJ241-FT$169,73-FT$169+SwaptionShift):INDEX($FK$245:$ID$316,$FJ241-FT$169,72-FT$169+SwaptionMonthsToGo+SwaptionShift))/SQRT(SUM(INDEX($FK396:$ID396,1+SwaptionShift):INDEX($FK396:$ID396,SwaptionMonthsToGo+SwaptionShift))*SUM(INDEX($FK$325:$ID$396,FT$169,1+SwaptionShift):INDEX($FK$325:$ID$396,FT$169,SwaptionMonthsToGo+SwaptionShift))))))</f>
        <v/>
      </c>
      <c r="FU241" s="679" t="str">
        <f ca="1">IF(OR(FU$169&lt;SwaptionFirstMonthPosition+1,$FJ241&lt;SwaptionFirstMonthPosition+1,FU$169&gt;SwaptionFirstMonthPosition+SwaptionNumOfMonths+1,$FJ241&gt;SwaptionFirstMonthPosition+SwaptionNumOfMonths+1),"",IF($FJ241=FU$169,1,IF($FJ241&lt;FU$169,INDEX($FK$170:$ID$241,FU$169,$FJ241),SUMPRODUCT(INDEX($FK$325:$ID$396,FU$169,1+SwaptionShift):INDEX($FK$325:$ID$396,FU$169,SwaptionMonthsToGo+SwaptionShift),INDEX($FK$245:$ID$316,$FJ241-FU$169,73-FU$169+SwaptionShift):INDEX($FK$245:$ID$316,$FJ241-FU$169,72-FU$169+SwaptionMonthsToGo+SwaptionShift))/SQRT(SUM(INDEX($FK396:$ID396,1+SwaptionShift):INDEX($FK396:$ID396,SwaptionMonthsToGo+SwaptionShift))*SUM(INDEX($FK$325:$ID$396,FU$169,1+SwaptionShift):INDEX($FK$325:$ID$396,FU$169,SwaptionMonthsToGo+SwaptionShift))))))</f>
        <v/>
      </c>
      <c r="FV241" s="679" t="str">
        <f ca="1">IF(OR(FV$169&lt;SwaptionFirstMonthPosition+1,$FJ241&lt;SwaptionFirstMonthPosition+1,FV$169&gt;SwaptionFirstMonthPosition+SwaptionNumOfMonths+1,$FJ241&gt;SwaptionFirstMonthPosition+SwaptionNumOfMonths+1),"",IF($FJ241=FV$169,1,IF($FJ241&lt;FV$169,INDEX($FK$170:$ID$241,FV$169,$FJ241),SUMPRODUCT(INDEX($FK$325:$ID$396,FV$169,1+SwaptionShift):INDEX($FK$325:$ID$396,FV$169,SwaptionMonthsToGo+SwaptionShift),INDEX($FK$245:$ID$316,$FJ241-FV$169,73-FV$169+SwaptionShift):INDEX($FK$245:$ID$316,$FJ241-FV$169,72-FV$169+SwaptionMonthsToGo+SwaptionShift))/SQRT(SUM(INDEX($FK396:$ID396,1+SwaptionShift):INDEX($FK396:$ID396,SwaptionMonthsToGo+SwaptionShift))*SUM(INDEX($FK$325:$ID$396,FV$169,1+SwaptionShift):INDEX($FK$325:$ID$396,FV$169,SwaptionMonthsToGo+SwaptionShift))))))</f>
        <v/>
      </c>
      <c r="FW241" s="679" t="str">
        <f ca="1">IF(OR(FW$169&lt;SwaptionFirstMonthPosition+1,$FJ241&lt;SwaptionFirstMonthPosition+1,FW$169&gt;SwaptionFirstMonthPosition+SwaptionNumOfMonths+1,$FJ241&gt;SwaptionFirstMonthPosition+SwaptionNumOfMonths+1),"",IF($FJ241=FW$169,1,IF($FJ241&lt;FW$169,INDEX($FK$170:$ID$241,FW$169,$FJ241),SUMPRODUCT(INDEX($FK$325:$ID$396,FW$169,1+SwaptionShift):INDEX($FK$325:$ID$396,FW$169,SwaptionMonthsToGo+SwaptionShift),INDEX($FK$245:$ID$316,$FJ241-FW$169,73-FW$169+SwaptionShift):INDEX($FK$245:$ID$316,$FJ241-FW$169,72-FW$169+SwaptionMonthsToGo+SwaptionShift))/SQRT(SUM(INDEX($FK396:$ID396,1+SwaptionShift):INDEX($FK396:$ID396,SwaptionMonthsToGo+SwaptionShift))*SUM(INDEX($FK$325:$ID$396,FW$169,1+SwaptionShift):INDEX($FK$325:$ID$396,FW$169,SwaptionMonthsToGo+SwaptionShift))))))</f>
        <v/>
      </c>
      <c r="FX241" s="679" t="str">
        <f ca="1">IF(OR(FX$169&lt;SwaptionFirstMonthPosition+1,$FJ241&lt;SwaptionFirstMonthPosition+1,FX$169&gt;SwaptionFirstMonthPosition+SwaptionNumOfMonths+1,$FJ241&gt;SwaptionFirstMonthPosition+SwaptionNumOfMonths+1),"",IF($FJ241=FX$169,1,IF($FJ241&lt;FX$169,INDEX($FK$170:$ID$241,FX$169,$FJ241),SUMPRODUCT(INDEX($FK$325:$ID$396,FX$169,1+SwaptionShift):INDEX($FK$325:$ID$396,FX$169,SwaptionMonthsToGo+SwaptionShift),INDEX($FK$245:$ID$316,$FJ241-FX$169,73-FX$169+SwaptionShift):INDEX($FK$245:$ID$316,$FJ241-FX$169,72-FX$169+SwaptionMonthsToGo+SwaptionShift))/SQRT(SUM(INDEX($FK396:$ID396,1+SwaptionShift):INDEX($FK396:$ID396,SwaptionMonthsToGo+SwaptionShift))*SUM(INDEX($FK$325:$ID$396,FX$169,1+SwaptionShift):INDEX($FK$325:$ID$396,FX$169,SwaptionMonthsToGo+SwaptionShift))))))</f>
        <v/>
      </c>
      <c r="FY241" s="679" t="str">
        <f ca="1">IF(OR(FY$169&lt;SwaptionFirstMonthPosition+1,$FJ241&lt;SwaptionFirstMonthPosition+1,FY$169&gt;SwaptionFirstMonthPosition+SwaptionNumOfMonths+1,$FJ241&gt;SwaptionFirstMonthPosition+SwaptionNumOfMonths+1),"",IF($FJ241=FY$169,1,IF($FJ241&lt;FY$169,INDEX($FK$170:$ID$241,FY$169,$FJ241),SUMPRODUCT(INDEX($FK$325:$ID$396,FY$169,1+SwaptionShift):INDEX($FK$325:$ID$396,FY$169,SwaptionMonthsToGo+SwaptionShift),INDEX($FK$245:$ID$316,$FJ241-FY$169,73-FY$169+SwaptionShift):INDEX($FK$245:$ID$316,$FJ241-FY$169,72-FY$169+SwaptionMonthsToGo+SwaptionShift))/SQRT(SUM(INDEX($FK396:$ID396,1+SwaptionShift):INDEX($FK396:$ID396,SwaptionMonthsToGo+SwaptionShift))*SUM(INDEX($FK$325:$ID$396,FY$169,1+SwaptionShift):INDEX($FK$325:$ID$396,FY$169,SwaptionMonthsToGo+SwaptionShift))))))</f>
        <v/>
      </c>
      <c r="FZ241" s="679" t="str">
        <f ca="1">IF(OR(FZ$169&lt;SwaptionFirstMonthPosition+1,$FJ241&lt;SwaptionFirstMonthPosition+1,FZ$169&gt;SwaptionFirstMonthPosition+SwaptionNumOfMonths+1,$FJ241&gt;SwaptionFirstMonthPosition+SwaptionNumOfMonths+1),"",IF($FJ241=FZ$169,1,IF($FJ241&lt;FZ$169,INDEX($FK$170:$ID$241,FZ$169,$FJ241),SUMPRODUCT(INDEX($FK$325:$ID$396,FZ$169,1+SwaptionShift):INDEX($FK$325:$ID$396,FZ$169,SwaptionMonthsToGo+SwaptionShift),INDEX($FK$245:$ID$316,$FJ241-FZ$169,73-FZ$169+SwaptionShift):INDEX($FK$245:$ID$316,$FJ241-FZ$169,72-FZ$169+SwaptionMonthsToGo+SwaptionShift))/SQRT(SUM(INDEX($FK396:$ID396,1+SwaptionShift):INDEX($FK396:$ID396,SwaptionMonthsToGo+SwaptionShift))*SUM(INDEX($FK$325:$ID$396,FZ$169,1+SwaptionShift):INDEX($FK$325:$ID$396,FZ$169,SwaptionMonthsToGo+SwaptionShift))))))</f>
        <v/>
      </c>
      <c r="GA241" s="679" t="str">
        <f ca="1">IF(OR(GA$169&lt;SwaptionFirstMonthPosition+1,$FJ241&lt;SwaptionFirstMonthPosition+1,GA$169&gt;SwaptionFirstMonthPosition+SwaptionNumOfMonths+1,$FJ241&gt;SwaptionFirstMonthPosition+SwaptionNumOfMonths+1),"",IF($FJ241=GA$169,1,IF($FJ241&lt;GA$169,INDEX($FK$170:$ID$241,GA$169,$FJ241),SUMPRODUCT(INDEX($FK$325:$ID$396,GA$169,1+SwaptionShift):INDEX($FK$325:$ID$396,GA$169,SwaptionMonthsToGo+SwaptionShift),INDEX($FK$245:$ID$316,$FJ241-GA$169,73-GA$169+SwaptionShift):INDEX($FK$245:$ID$316,$FJ241-GA$169,72-GA$169+SwaptionMonthsToGo+SwaptionShift))/SQRT(SUM(INDEX($FK396:$ID396,1+SwaptionShift):INDEX($FK396:$ID396,SwaptionMonthsToGo+SwaptionShift))*SUM(INDEX($FK$325:$ID$396,GA$169,1+SwaptionShift):INDEX($FK$325:$ID$396,GA$169,SwaptionMonthsToGo+SwaptionShift))))))</f>
        <v/>
      </c>
      <c r="GB241" s="679" t="str">
        <f ca="1">IF(OR(GB$169&lt;SwaptionFirstMonthPosition+1,$FJ241&lt;SwaptionFirstMonthPosition+1,GB$169&gt;SwaptionFirstMonthPosition+SwaptionNumOfMonths+1,$FJ241&gt;SwaptionFirstMonthPosition+SwaptionNumOfMonths+1),"",IF($FJ241=GB$169,1,IF($FJ241&lt;GB$169,INDEX($FK$170:$ID$241,GB$169,$FJ241),SUMPRODUCT(INDEX($FK$325:$ID$396,GB$169,1+SwaptionShift):INDEX($FK$325:$ID$396,GB$169,SwaptionMonthsToGo+SwaptionShift),INDEX($FK$245:$ID$316,$FJ241-GB$169,73-GB$169+SwaptionShift):INDEX($FK$245:$ID$316,$FJ241-GB$169,72-GB$169+SwaptionMonthsToGo+SwaptionShift))/SQRT(SUM(INDEX($FK396:$ID396,1+SwaptionShift):INDEX($FK396:$ID396,SwaptionMonthsToGo+SwaptionShift))*SUM(INDEX($FK$325:$ID$396,GB$169,1+SwaptionShift):INDEX($FK$325:$ID$396,GB$169,SwaptionMonthsToGo+SwaptionShift))))))</f>
        <v/>
      </c>
      <c r="GC241" s="679" t="str">
        <f ca="1">IF(OR(GC$169&lt;SwaptionFirstMonthPosition+1,$FJ241&lt;SwaptionFirstMonthPosition+1,GC$169&gt;SwaptionFirstMonthPosition+SwaptionNumOfMonths+1,$FJ241&gt;SwaptionFirstMonthPosition+SwaptionNumOfMonths+1),"",IF($FJ241=GC$169,1,IF($FJ241&lt;GC$169,INDEX($FK$170:$ID$241,GC$169,$FJ241),SUMPRODUCT(INDEX($FK$325:$ID$396,GC$169,1+SwaptionShift):INDEX($FK$325:$ID$396,GC$169,SwaptionMonthsToGo+SwaptionShift),INDEX($FK$245:$ID$316,$FJ241-GC$169,73-GC$169+SwaptionShift):INDEX($FK$245:$ID$316,$FJ241-GC$169,72-GC$169+SwaptionMonthsToGo+SwaptionShift))/SQRT(SUM(INDEX($FK396:$ID396,1+SwaptionShift):INDEX($FK396:$ID396,SwaptionMonthsToGo+SwaptionShift))*SUM(INDEX($FK$325:$ID$396,GC$169,1+SwaptionShift):INDEX($FK$325:$ID$396,GC$169,SwaptionMonthsToGo+SwaptionShift))))))</f>
        <v/>
      </c>
      <c r="GD241" s="679" t="str">
        <f ca="1">IF(OR(GD$169&lt;SwaptionFirstMonthPosition+1,$FJ241&lt;SwaptionFirstMonthPosition+1,GD$169&gt;SwaptionFirstMonthPosition+SwaptionNumOfMonths+1,$FJ241&gt;SwaptionFirstMonthPosition+SwaptionNumOfMonths+1),"",IF($FJ241=GD$169,1,IF($FJ241&lt;GD$169,INDEX($FK$170:$ID$241,GD$169,$FJ241),SUMPRODUCT(INDEX($FK$325:$ID$396,GD$169,1+SwaptionShift):INDEX($FK$325:$ID$396,GD$169,SwaptionMonthsToGo+SwaptionShift),INDEX($FK$245:$ID$316,$FJ241-GD$169,73-GD$169+SwaptionShift):INDEX($FK$245:$ID$316,$FJ241-GD$169,72-GD$169+SwaptionMonthsToGo+SwaptionShift))/SQRT(SUM(INDEX($FK396:$ID396,1+SwaptionShift):INDEX($FK396:$ID396,SwaptionMonthsToGo+SwaptionShift))*SUM(INDEX($FK$325:$ID$396,GD$169,1+SwaptionShift):INDEX($FK$325:$ID$396,GD$169,SwaptionMonthsToGo+SwaptionShift))))))</f>
        <v/>
      </c>
      <c r="GE241" s="679" t="str">
        <f ca="1">IF(OR(GE$169&lt;SwaptionFirstMonthPosition+1,$FJ241&lt;SwaptionFirstMonthPosition+1,GE$169&gt;SwaptionFirstMonthPosition+SwaptionNumOfMonths+1,$FJ241&gt;SwaptionFirstMonthPosition+SwaptionNumOfMonths+1),"",IF($FJ241=GE$169,1,IF($FJ241&lt;GE$169,INDEX($FK$170:$ID$241,GE$169,$FJ241),SUMPRODUCT(INDEX($FK$325:$ID$396,GE$169,1+SwaptionShift):INDEX($FK$325:$ID$396,GE$169,SwaptionMonthsToGo+SwaptionShift),INDEX($FK$245:$ID$316,$FJ241-GE$169,73-GE$169+SwaptionShift):INDEX($FK$245:$ID$316,$FJ241-GE$169,72-GE$169+SwaptionMonthsToGo+SwaptionShift))/SQRT(SUM(INDEX($FK396:$ID396,1+SwaptionShift):INDEX($FK396:$ID396,SwaptionMonthsToGo+SwaptionShift))*SUM(INDEX($FK$325:$ID$396,GE$169,1+SwaptionShift):INDEX($FK$325:$ID$396,GE$169,SwaptionMonthsToGo+SwaptionShift))))))</f>
        <v/>
      </c>
      <c r="GF241" s="679" t="str">
        <f ca="1">IF(OR(GF$169&lt;SwaptionFirstMonthPosition+1,$FJ241&lt;SwaptionFirstMonthPosition+1,GF$169&gt;SwaptionFirstMonthPosition+SwaptionNumOfMonths+1,$FJ241&gt;SwaptionFirstMonthPosition+SwaptionNumOfMonths+1),"",IF($FJ241=GF$169,1,IF($FJ241&lt;GF$169,INDEX($FK$170:$ID$241,GF$169,$FJ241),SUMPRODUCT(INDEX($FK$325:$ID$396,GF$169,1+SwaptionShift):INDEX($FK$325:$ID$396,GF$169,SwaptionMonthsToGo+SwaptionShift),INDEX($FK$245:$ID$316,$FJ241-GF$169,73-GF$169+SwaptionShift):INDEX($FK$245:$ID$316,$FJ241-GF$169,72-GF$169+SwaptionMonthsToGo+SwaptionShift))/SQRT(SUM(INDEX($FK396:$ID396,1+SwaptionShift):INDEX($FK396:$ID396,SwaptionMonthsToGo+SwaptionShift))*SUM(INDEX($FK$325:$ID$396,GF$169,1+SwaptionShift):INDEX($FK$325:$ID$396,GF$169,SwaptionMonthsToGo+SwaptionShift))))))</f>
        <v/>
      </c>
      <c r="GG241" s="679" t="str">
        <f ca="1">IF(OR(GG$169&lt;SwaptionFirstMonthPosition+1,$FJ241&lt;SwaptionFirstMonthPosition+1,GG$169&gt;SwaptionFirstMonthPosition+SwaptionNumOfMonths+1,$FJ241&gt;SwaptionFirstMonthPosition+SwaptionNumOfMonths+1),"",IF($FJ241=GG$169,1,IF($FJ241&lt;GG$169,INDEX($FK$170:$ID$241,GG$169,$FJ241),SUMPRODUCT(INDEX($FK$325:$ID$396,GG$169,1+SwaptionShift):INDEX($FK$325:$ID$396,GG$169,SwaptionMonthsToGo+SwaptionShift),INDEX($FK$245:$ID$316,$FJ241-GG$169,73-GG$169+SwaptionShift):INDEX($FK$245:$ID$316,$FJ241-GG$169,72-GG$169+SwaptionMonthsToGo+SwaptionShift))/SQRT(SUM(INDEX($FK396:$ID396,1+SwaptionShift):INDEX($FK396:$ID396,SwaptionMonthsToGo+SwaptionShift))*SUM(INDEX($FK$325:$ID$396,GG$169,1+SwaptionShift):INDEX($FK$325:$ID$396,GG$169,SwaptionMonthsToGo+SwaptionShift))))))</f>
        <v/>
      </c>
      <c r="GH241" s="679" t="str">
        <f ca="1">IF(OR(GH$169&lt;SwaptionFirstMonthPosition+1,$FJ241&lt;SwaptionFirstMonthPosition+1,GH$169&gt;SwaptionFirstMonthPosition+SwaptionNumOfMonths+1,$FJ241&gt;SwaptionFirstMonthPosition+SwaptionNumOfMonths+1),"",IF($FJ241=GH$169,1,IF($FJ241&lt;GH$169,INDEX($FK$170:$ID$241,GH$169,$FJ241),SUMPRODUCT(INDEX($FK$325:$ID$396,GH$169,1+SwaptionShift):INDEX($FK$325:$ID$396,GH$169,SwaptionMonthsToGo+SwaptionShift),INDEX($FK$245:$ID$316,$FJ241-GH$169,73-GH$169+SwaptionShift):INDEX($FK$245:$ID$316,$FJ241-GH$169,72-GH$169+SwaptionMonthsToGo+SwaptionShift))/SQRT(SUM(INDEX($FK396:$ID396,1+SwaptionShift):INDEX($FK396:$ID396,SwaptionMonthsToGo+SwaptionShift))*SUM(INDEX($FK$325:$ID$396,GH$169,1+SwaptionShift):INDEX($FK$325:$ID$396,GH$169,SwaptionMonthsToGo+SwaptionShift))))))</f>
        <v/>
      </c>
      <c r="GI241" s="679" t="str">
        <f ca="1">IF(OR(GI$169&lt;SwaptionFirstMonthPosition+1,$FJ241&lt;SwaptionFirstMonthPosition+1,GI$169&gt;SwaptionFirstMonthPosition+SwaptionNumOfMonths+1,$FJ241&gt;SwaptionFirstMonthPosition+SwaptionNumOfMonths+1),"",IF($FJ241=GI$169,1,IF($FJ241&lt;GI$169,INDEX($FK$170:$ID$241,GI$169,$FJ241),SUMPRODUCT(INDEX($FK$325:$ID$396,GI$169,1+SwaptionShift):INDEX($FK$325:$ID$396,GI$169,SwaptionMonthsToGo+SwaptionShift),INDEX($FK$245:$ID$316,$FJ241-GI$169,73-GI$169+SwaptionShift):INDEX($FK$245:$ID$316,$FJ241-GI$169,72-GI$169+SwaptionMonthsToGo+SwaptionShift))/SQRT(SUM(INDEX($FK396:$ID396,1+SwaptionShift):INDEX($FK396:$ID396,SwaptionMonthsToGo+SwaptionShift))*SUM(INDEX($FK$325:$ID$396,GI$169,1+SwaptionShift):INDEX($FK$325:$ID$396,GI$169,SwaptionMonthsToGo+SwaptionShift))))))</f>
        <v/>
      </c>
      <c r="GJ241" s="679" t="str">
        <f ca="1">IF(OR(GJ$169&lt;SwaptionFirstMonthPosition+1,$FJ241&lt;SwaptionFirstMonthPosition+1,GJ$169&gt;SwaptionFirstMonthPosition+SwaptionNumOfMonths+1,$FJ241&gt;SwaptionFirstMonthPosition+SwaptionNumOfMonths+1),"",IF($FJ241=GJ$169,1,IF($FJ241&lt;GJ$169,INDEX($FK$170:$ID$241,GJ$169,$FJ241),SUMPRODUCT(INDEX($FK$325:$ID$396,GJ$169,1+SwaptionShift):INDEX($FK$325:$ID$396,GJ$169,SwaptionMonthsToGo+SwaptionShift),INDEX($FK$245:$ID$316,$FJ241-GJ$169,73-GJ$169+SwaptionShift):INDEX($FK$245:$ID$316,$FJ241-GJ$169,72-GJ$169+SwaptionMonthsToGo+SwaptionShift))/SQRT(SUM(INDEX($FK396:$ID396,1+SwaptionShift):INDEX($FK396:$ID396,SwaptionMonthsToGo+SwaptionShift))*SUM(INDEX($FK$325:$ID$396,GJ$169,1+SwaptionShift):INDEX($FK$325:$ID$396,GJ$169,SwaptionMonthsToGo+SwaptionShift))))))</f>
        <v/>
      </c>
      <c r="GK241" s="679" t="str">
        <f ca="1">IF(OR(GK$169&lt;SwaptionFirstMonthPosition+1,$FJ241&lt;SwaptionFirstMonthPosition+1,GK$169&gt;SwaptionFirstMonthPosition+SwaptionNumOfMonths+1,$FJ241&gt;SwaptionFirstMonthPosition+SwaptionNumOfMonths+1),"",IF($FJ241=GK$169,1,IF($FJ241&lt;GK$169,INDEX($FK$170:$ID$241,GK$169,$FJ241),SUMPRODUCT(INDEX($FK$325:$ID$396,GK$169,1+SwaptionShift):INDEX($FK$325:$ID$396,GK$169,SwaptionMonthsToGo+SwaptionShift),INDEX($FK$245:$ID$316,$FJ241-GK$169,73-GK$169+SwaptionShift):INDEX($FK$245:$ID$316,$FJ241-GK$169,72-GK$169+SwaptionMonthsToGo+SwaptionShift))/SQRT(SUM(INDEX($FK396:$ID396,1+SwaptionShift):INDEX($FK396:$ID396,SwaptionMonthsToGo+SwaptionShift))*SUM(INDEX($FK$325:$ID$396,GK$169,1+SwaptionShift):INDEX($FK$325:$ID$396,GK$169,SwaptionMonthsToGo+SwaptionShift))))))</f>
        <v/>
      </c>
      <c r="GL241" s="679" t="str">
        <f ca="1">IF(OR(GL$169&lt;SwaptionFirstMonthPosition+1,$FJ241&lt;SwaptionFirstMonthPosition+1,GL$169&gt;SwaptionFirstMonthPosition+SwaptionNumOfMonths+1,$FJ241&gt;SwaptionFirstMonthPosition+SwaptionNumOfMonths+1),"",IF($FJ241=GL$169,1,IF($FJ241&lt;GL$169,INDEX($FK$170:$ID$241,GL$169,$FJ241),SUMPRODUCT(INDEX($FK$325:$ID$396,GL$169,1+SwaptionShift):INDEX($FK$325:$ID$396,GL$169,SwaptionMonthsToGo+SwaptionShift),INDEX($FK$245:$ID$316,$FJ241-GL$169,73-GL$169+SwaptionShift):INDEX($FK$245:$ID$316,$FJ241-GL$169,72-GL$169+SwaptionMonthsToGo+SwaptionShift))/SQRT(SUM(INDEX($FK396:$ID396,1+SwaptionShift):INDEX($FK396:$ID396,SwaptionMonthsToGo+SwaptionShift))*SUM(INDEX($FK$325:$ID$396,GL$169,1+SwaptionShift):INDEX($FK$325:$ID$396,GL$169,SwaptionMonthsToGo+SwaptionShift))))))</f>
        <v/>
      </c>
      <c r="GM241" s="679" t="str">
        <f ca="1">IF(OR(GM$169&lt;SwaptionFirstMonthPosition+1,$FJ241&lt;SwaptionFirstMonthPosition+1,GM$169&gt;SwaptionFirstMonthPosition+SwaptionNumOfMonths+1,$FJ241&gt;SwaptionFirstMonthPosition+SwaptionNumOfMonths+1),"",IF($FJ241=GM$169,1,IF($FJ241&lt;GM$169,INDEX($FK$170:$ID$241,GM$169,$FJ241),SUMPRODUCT(INDEX($FK$325:$ID$396,GM$169,1+SwaptionShift):INDEX($FK$325:$ID$396,GM$169,SwaptionMonthsToGo+SwaptionShift),INDEX($FK$245:$ID$316,$FJ241-GM$169,73-GM$169+SwaptionShift):INDEX($FK$245:$ID$316,$FJ241-GM$169,72-GM$169+SwaptionMonthsToGo+SwaptionShift))/SQRT(SUM(INDEX($FK396:$ID396,1+SwaptionShift):INDEX($FK396:$ID396,SwaptionMonthsToGo+SwaptionShift))*SUM(INDEX($FK$325:$ID$396,GM$169,1+SwaptionShift):INDEX($FK$325:$ID$396,GM$169,SwaptionMonthsToGo+SwaptionShift))))))</f>
        <v/>
      </c>
      <c r="GN241" s="679" t="str">
        <f ca="1">IF(OR(GN$169&lt;SwaptionFirstMonthPosition+1,$FJ241&lt;SwaptionFirstMonthPosition+1,GN$169&gt;SwaptionFirstMonthPosition+SwaptionNumOfMonths+1,$FJ241&gt;SwaptionFirstMonthPosition+SwaptionNumOfMonths+1),"",IF($FJ241=GN$169,1,IF($FJ241&lt;GN$169,INDEX($FK$170:$ID$241,GN$169,$FJ241),SUMPRODUCT(INDEX($FK$325:$ID$396,GN$169,1+SwaptionShift):INDEX($FK$325:$ID$396,GN$169,SwaptionMonthsToGo+SwaptionShift),INDEX($FK$245:$ID$316,$FJ241-GN$169,73-GN$169+SwaptionShift):INDEX($FK$245:$ID$316,$FJ241-GN$169,72-GN$169+SwaptionMonthsToGo+SwaptionShift))/SQRT(SUM(INDEX($FK396:$ID396,1+SwaptionShift):INDEX($FK396:$ID396,SwaptionMonthsToGo+SwaptionShift))*SUM(INDEX($FK$325:$ID$396,GN$169,1+SwaptionShift):INDEX($FK$325:$ID$396,GN$169,SwaptionMonthsToGo+SwaptionShift))))))</f>
        <v/>
      </c>
      <c r="GO241" s="679" t="str">
        <f ca="1">IF(OR(GO$169&lt;SwaptionFirstMonthPosition+1,$FJ241&lt;SwaptionFirstMonthPosition+1,GO$169&gt;SwaptionFirstMonthPosition+SwaptionNumOfMonths+1,$FJ241&gt;SwaptionFirstMonthPosition+SwaptionNumOfMonths+1),"",IF($FJ241=GO$169,1,IF($FJ241&lt;GO$169,INDEX($FK$170:$ID$241,GO$169,$FJ241),SUMPRODUCT(INDEX($FK$325:$ID$396,GO$169,1+SwaptionShift):INDEX($FK$325:$ID$396,GO$169,SwaptionMonthsToGo+SwaptionShift),INDEX($FK$245:$ID$316,$FJ241-GO$169,73-GO$169+SwaptionShift):INDEX($FK$245:$ID$316,$FJ241-GO$169,72-GO$169+SwaptionMonthsToGo+SwaptionShift))/SQRT(SUM(INDEX($FK396:$ID396,1+SwaptionShift):INDEX($FK396:$ID396,SwaptionMonthsToGo+SwaptionShift))*SUM(INDEX($FK$325:$ID$396,GO$169,1+SwaptionShift):INDEX($FK$325:$ID$396,GO$169,SwaptionMonthsToGo+SwaptionShift))))))</f>
        <v/>
      </c>
      <c r="GP241" s="679" t="str">
        <f ca="1">IF(OR(GP$169&lt;SwaptionFirstMonthPosition+1,$FJ241&lt;SwaptionFirstMonthPosition+1,GP$169&gt;SwaptionFirstMonthPosition+SwaptionNumOfMonths+1,$FJ241&gt;SwaptionFirstMonthPosition+SwaptionNumOfMonths+1),"",IF($FJ241=GP$169,1,IF($FJ241&lt;GP$169,INDEX($FK$170:$ID$241,GP$169,$FJ241),SUMPRODUCT(INDEX($FK$325:$ID$396,GP$169,1+SwaptionShift):INDEX($FK$325:$ID$396,GP$169,SwaptionMonthsToGo+SwaptionShift),INDEX($FK$245:$ID$316,$FJ241-GP$169,73-GP$169+SwaptionShift):INDEX($FK$245:$ID$316,$FJ241-GP$169,72-GP$169+SwaptionMonthsToGo+SwaptionShift))/SQRT(SUM(INDEX($FK396:$ID396,1+SwaptionShift):INDEX($FK396:$ID396,SwaptionMonthsToGo+SwaptionShift))*SUM(INDEX($FK$325:$ID$396,GP$169,1+SwaptionShift):INDEX($FK$325:$ID$396,GP$169,SwaptionMonthsToGo+SwaptionShift))))))</f>
        <v/>
      </c>
      <c r="GQ241" s="679" t="str">
        <f ca="1">IF(OR(GQ$169&lt;SwaptionFirstMonthPosition+1,$FJ241&lt;SwaptionFirstMonthPosition+1,GQ$169&gt;SwaptionFirstMonthPosition+SwaptionNumOfMonths+1,$FJ241&gt;SwaptionFirstMonthPosition+SwaptionNumOfMonths+1),"",IF($FJ241=GQ$169,1,IF($FJ241&lt;GQ$169,INDEX($FK$170:$ID$241,GQ$169,$FJ241),SUMPRODUCT(INDEX($FK$325:$ID$396,GQ$169,1+SwaptionShift):INDEX($FK$325:$ID$396,GQ$169,SwaptionMonthsToGo+SwaptionShift),INDEX($FK$245:$ID$316,$FJ241-GQ$169,73-GQ$169+SwaptionShift):INDEX($FK$245:$ID$316,$FJ241-GQ$169,72-GQ$169+SwaptionMonthsToGo+SwaptionShift))/SQRT(SUM(INDEX($FK396:$ID396,1+SwaptionShift):INDEX($FK396:$ID396,SwaptionMonthsToGo+SwaptionShift))*SUM(INDEX($FK$325:$ID$396,GQ$169,1+SwaptionShift):INDEX($FK$325:$ID$396,GQ$169,SwaptionMonthsToGo+SwaptionShift))))))</f>
        <v/>
      </c>
      <c r="GR241" s="679" t="str">
        <f ca="1">IF(OR(GR$169&lt;SwaptionFirstMonthPosition+1,$FJ241&lt;SwaptionFirstMonthPosition+1,GR$169&gt;SwaptionFirstMonthPosition+SwaptionNumOfMonths+1,$FJ241&gt;SwaptionFirstMonthPosition+SwaptionNumOfMonths+1),"",IF($FJ241=GR$169,1,IF($FJ241&lt;GR$169,INDEX($FK$170:$ID$241,GR$169,$FJ241),SUMPRODUCT(INDEX($FK$325:$ID$396,GR$169,1+SwaptionShift):INDEX($FK$325:$ID$396,GR$169,SwaptionMonthsToGo+SwaptionShift),INDEX($FK$245:$ID$316,$FJ241-GR$169,73-GR$169+SwaptionShift):INDEX($FK$245:$ID$316,$FJ241-GR$169,72-GR$169+SwaptionMonthsToGo+SwaptionShift))/SQRT(SUM(INDEX($FK396:$ID396,1+SwaptionShift):INDEX($FK396:$ID396,SwaptionMonthsToGo+SwaptionShift))*SUM(INDEX($FK$325:$ID$396,GR$169,1+SwaptionShift):INDEX($FK$325:$ID$396,GR$169,SwaptionMonthsToGo+SwaptionShift))))))</f>
        <v/>
      </c>
      <c r="GS241" s="679" t="str">
        <f ca="1">IF(OR(GS$169&lt;SwaptionFirstMonthPosition+1,$FJ241&lt;SwaptionFirstMonthPosition+1,GS$169&gt;SwaptionFirstMonthPosition+SwaptionNumOfMonths+1,$FJ241&gt;SwaptionFirstMonthPosition+SwaptionNumOfMonths+1),"",IF($FJ241=GS$169,1,IF($FJ241&lt;GS$169,INDEX($FK$170:$ID$241,GS$169,$FJ241),SUMPRODUCT(INDEX($FK$325:$ID$396,GS$169,1+SwaptionShift):INDEX($FK$325:$ID$396,GS$169,SwaptionMonthsToGo+SwaptionShift),INDEX($FK$245:$ID$316,$FJ241-GS$169,73-GS$169+SwaptionShift):INDEX($FK$245:$ID$316,$FJ241-GS$169,72-GS$169+SwaptionMonthsToGo+SwaptionShift))/SQRT(SUM(INDEX($FK396:$ID396,1+SwaptionShift):INDEX($FK396:$ID396,SwaptionMonthsToGo+SwaptionShift))*SUM(INDEX($FK$325:$ID$396,GS$169,1+SwaptionShift):INDEX($FK$325:$ID$396,GS$169,SwaptionMonthsToGo+SwaptionShift))))))</f>
        <v/>
      </c>
      <c r="GT241" s="679" t="str">
        <f ca="1">IF(OR(GT$169&lt;SwaptionFirstMonthPosition+1,$FJ241&lt;SwaptionFirstMonthPosition+1,GT$169&gt;SwaptionFirstMonthPosition+SwaptionNumOfMonths+1,$FJ241&gt;SwaptionFirstMonthPosition+SwaptionNumOfMonths+1),"",IF($FJ241=GT$169,1,IF($FJ241&lt;GT$169,INDEX($FK$170:$ID$241,GT$169,$FJ241),SUMPRODUCT(INDEX($FK$325:$ID$396,GT$169,1+SwaptionShift):INDEX($FK$325:$ID$396,GT$169,SwaptionMonthsToGo+SwaptionShift),INDEX($FK$245:$ID$316,$FJ241-GT$169,73-GT$169+SwaptionShift):INDEX($FK$245:$ID$316,$FJ241-GT$169,72-GT$169+SwaptionMonthsToGo+SwaptionShift))/SQRT(SUM(INDEX($FK396:$ID396,1+SwaptionShift):INDEX($FK396:$ID396,SwaptionMonthsToGo+SwaptionShift))*SUM(INDEX($FK$325:$ID$396,GT$169,1+SwaptionShift):INDEX($FK$325:$ID$396,GT$169,SwaptionMonthsToGo+SwaptionShift))))))</f>
        <v/>
      </c>
      <c r="GU241" s="679" t="str">
        <f ca="1">IF(OR(GU$169&lt;SwaptionFirstMonthPosition+1,$FJ241&lt;SwaptionFirstMonthPosition+1,GU$169&gt;SwaptionFirstMonthPosition+SwaptionNumOfMonths+1,$FJ241&gt;SwaptionFirstMonthPosition+SwaptionNumOfMonths+1),"",IF($FJ241=GU$169,1,IF($FJ241&lt;GU$169,INDEX($FK$170:$ID$241,GU$169,$FJ241),SUMPRODUCT(INDEX($FK$325:$ID$396,GU$169,1+SwaptionShift):INDEX($FK$325:$ID$396,GU$169,SwaptionMonthsToGo+SwaptionShift),INDEX($FK$245:$ID$316,$FJ241-GU$169,73-GU$169+SwaptionShift):INDEX($FK$245:$ID$316,$FJ241-GU$169,72-GU$169+SwaptionMonthsToGo+SwaptionShift))/SQRT(SUM(INDEX($FK396:$ID396,1+SwaptionShift):INDEX($FK396:$ID396,SwaptionMonthsToGo+SwaptionShift))*SUM(INDEX($FK$325:$ID$396,GU$169,1+SwaptionShift):INDEX($FK$325:$ID$396,GU$169,SwaptionMonthsToGo+SwaptionShift))))))</f>
        <v/>
      </c>
      <c r="GV241" s="679" t="str">
        <f ca="1">IF(OR(GV$169&lt;SwaptionFirstMonthPosition+1,$FJ241&lt;SwaptionFirstMonthPosition+1,GV$169&gt;SwaptionFirstMonthPosition+SwaptionNumOfMonths+1,$FJ241&gt;SwaptionFirstMonthPosition+SwaptionNumOfMonths+1),"",IF($FJ241=GV$169,1,IF($FJ241&lt;GV$169,INDEX($FK$170:$ID$241,GV$169,$FJ241),SUMPRODUCT(INDEX($FK$325:$ID$396,GV$169,1+SwaptionShift):INDEX($FK$325:$ID$396,GV$169,SwaptionMonthsToGo+SwaptionShift),INDEX($FK$245:$ID$316,$FJ241-GV$169,73-GV$169+SwaptionShift):INDEX($FK$245:$ID$316,$FJ241-GV$169,72-GV$169+SwaptionMonthsToGo+SwaptionShift))/SQRT(SUM(INDEX($FK396:$ID396,1+SwaptionShift):INDEX($FK396:$ID396,SwaptionMonthsToGo+SwaptionShift))*SUM(INDEX($FK$325:$ID$396,GV$169,1+SwaptionShift):INDEX($FK$325:$ID$396,GV$169,SwaptionMonthsToGo+SwaptionShift))))))</f>
        <v/>
      </c>
      <c r="GW241" s="679" t="str">
        <f ca="1">IF(OR(GW$169&lt;SwaptionFirstMonthPosition+1,$FJ241&lt;SwaptionFirstMonthPosition+1,GW$169&gt;SwaptionFirstMonthPosition+SwaptionNumOfMonths+1,$FJ241&gt;SwaptionFirstMonthPosition+SwaptionNumOfMonths+1),"",IF($FJ241=GW$169,1,IF($FJ241&lt;GW$169,INDEX($FK$170:$ID$241,GW$169,$FJ241),SUMPRODUCT(INDEX($FK$325:$ID$396,GW$169,1+SwaptionShift):INDEX($FK$325:$ID$396,GW$169,SwaptionMonthsToGo+SwaptionShift),INDEX($FK$245:$ID$316,$FJ241-GW$169,73-GW$169+SwaptionShift):INDEX($FK$245:$ID$316,$FJ241-GW$169,72-GW$169+SwaptionMonthsToGo+SwaptionShift))/SQRT(SUM(INDEX($FK396:$ID396,1+SwaptionShift):INDEX($FK396:$ID396,SwaptionMonthsToGo+SwaptionShift))*SUM(INDEX($FK$325:$ID$396,GW$169,1+SwaptionShift):INDEX($FK$325:$ID$396,GW$169,SwaptionMonthsToGo+SwaptionShift))))))</f>
        <v/>
      </c>
      <c r="GX241" s="679" t="str">
        <f ca="1">IF(OR(GX$169&lt;SwaptionFirstMonthPosition+1,$FJ241&lt;SwaptionFirstMonthPosition+1,GX$169&gt;SwaptionFirstMonthPosition+SwaptionNumOfMonths+1,$FJ241&gt;SwaptionFirstMonthPosition+SwaptionNumOfMonths+1),"",IF($FJ241=GX$169,1,IF($FJ241&lt;GX$169,INDEX($FK$170:$ID$241,GX$169,$FJ241),SUMPRODUCT(INDEX($FK$325:$ID$396,GX$169,1+SwaptionShift):INDEX($FK$325:$ID$396,GX$169,SwaptionMonthsToGo+SwaptionShift),INDEX($FK$245:$ID$316,$FJ241-GX$169,73-GX$169+SwaptionShift):INDEX($FK$245:$ID$316,$FJ241-GX$169,72-GX$169+SwaptionMonthsToGo+SwaptionShift))/SQRT(SUM(INDEX($FK396:$ID396,1+SwaptionShift):INDEX($FK396:$ID396,SwaptionMonthsToGo+SwaptionShift))*SUM(INDEX($FK$325:$ID$396,GX$169,1+SwaptionShift):INDEX($FK$325:$ID$396,GX$169,SwaptionMonthsToGo+SwaptionShift))))))</f>
        <v/>
      </c>
      <c r="GY241" s="679" t="str">
        <f ca="1">IF(OR(GY$169&lt;SwaptionFirstMonthPosition+1,$FJ241&lt;SwaptionFirstMonthPosition+1,GY$169&gt;SwaptionFirstMonthPosition+SwaptionNumOfMonths+1,$FJ241&gt;SwaptionFirstMonthPosition+SwaptionNumOfMonths+1),"",IF($FJ241=GY$169,1,IF($FJ241&lt;GY$169,INDEX($FK$170:$ID$241,GY$169,$FJ241),SUMPRODUCT(INDEX($FK$325:$ID$396,GY$169,1+SwaptionShift):INDEX($FK$325:$ID$396,GY$169,SwaptionMonthsToGo+SwaptionShift),INDEX($FK$245:$ID$316,$FJ241-GY$169,73-GY$169+SwaptionShift):INDEX($FK$245:$ID$316,$FJ241-GY$169,72-GY$169+SwaptionMonthsToGo+SwaptionShift))/SQRT(SUM(INDEX($FK396:$ID396,1+SwaptionShift):INDEX($FK396:$ID396,SwaptionMonthsToGo+SwaptionShift))*SUM(INDEX($FK$325:$ID$396,GY$169,1+SwaptionShift):INDEX($FK$325:$ID$396,GY$169,SwaptionMonthsToGo+SwaptionShift))))))</f>
        <v/>
      </c>
      <c r="GZ241" s="679" t="str">
        <f ca="1">IF(OR(GZ$169&lt;SwaptionFirstMonthPosition+1,$FJ241&lt;SwaptionFirstMonthPosition+1,GZ$169&gt;SwaptionFirstMonthPosition+SwaptionNumOfMonths+1,$FJ241&gt;SwaptionFirstMonthPosition+SwaptionNumOfMonths+1),"",IF($FJ241=GZ$169,1,IF($FJ241&lt;GZ$169,INDEX($FK$170:$ID$241,GZ$169,$FJ241),SUMPRODUCT(INDEX($FK$325:$ID$396,GZ$169,1+SwaptionShift):INDEX($FK$325:$ID$396,GZ$169,SwaptionMonthsToGo+SwaptionShift),INDEX($FK$245:$ID$316,$FJ241-GZ$169,73-GZ$169+SwaptionShift):INDEX($FK$245:$ID$316,$FJ241-GZ$169,72-GZ$169+SwaptionMonthsToGo+SwaptionShift))/SQRT(SUM(INDEX($FK396:$ID396,1+SwaptionShift):INDEX($FK396:$ID396,SwaptionMonthsToGo+SwaptionShift))*SUM(INDEX($FK$325:$ID$396,GZ$169,1+SwaptionShift):INDEX($FK$325:$ID$396,GZ$169,SwaptionMonthsToGo+SwaptionShift))))))</f>
        <v/>
      </c>
      <c r="HA241" s="679" t="str">
        <f ca="1">IF(OR(HA$169&lt;SwaptionFirstMonthPosition+1,$FJ241&lt;SwaptionFirstMonthPosition+1,HA$169&gt;SwaptionFirstMonthPosition+SwaptionNumOfMonths+1,$FJ241&gt;SwaptionFirstMonthPosition+SwaptionNumOfMonths+1),"",IF($FJ241=HA$169,1,IF($FJ241&lt;HA$169,INDEX($FK$170:$ID$241,HA$169,$FJ241),SUMPRODUCT(INDEX($FK$325:$ID$396,HA$169,1+SwaptionShift):INDEX($FK$325:$ID$396,HA$169,SwaptionMonthsToGo+SwaptionShift),INDEX($FK$245:$ID$316,$FJ241-HA$169,73-HA$169+SwaptionShift):INDEX($FK$245:$ID$316,$FJ241-HA$169,72-HA$169+SwaptionMonthsToGo+SwaptionShift))/SQRT(SUM(INDEX($FK396:$ID396,1+SwaptionShift):INDEX($FK396:$ID396,SwaptionMonthsToGo+SwaptionShift))*SUM(INDEX($FK$325:$ID$396,HA$169,1+SwaptionShift):INDEX($FK$325:$ID$396,HA$169,SwaptionMonthsToGo+SwaptionShift))))))</f>
        <v/>
      </c>
      <c r="HB241" s="679" t="str">
        <f ca="1">IF(OR(HB$169&lt;SwaptionFirstMonthPosition+1,$FJ241&lt;SwaptionFirstMonthPosition+1,HB$169&gt;SwaptionFirstMonthPosition+SwaptionNumOfMonths+1,$FJ241&gt;SwaptionFirstMonthPosition+SwaptionNumOfMonths+1),"",IF($FJ241=HB$169,1,IF($FJ241&lt;HB$169,INDEX($FK$170:$ID$241,HB$169,$FJ241),SUMPRODUCT(INDEX($FK$325:$ID$396,HB$169,1+SwaptionShift):INDEX($FK$325:$ID$396,HB$169,SwaptionMonthsToGo+SwaptionShift),INDEX($FK$245:$ID$316,$FJ241-HB$169,73-HB$169+SwaptionShift):INDEX($FK$245:$ID$316,$FJ241-HB$169,72-HB$169+SwaptionMonthsToGo+SwaptionShift))/SQRT(SUM(INDEX($FK396:$ID396,1+SwaptionShift):INDEX($FK396:$ID396,SwaptionMonthsToGo+SwaptionShift))*SUM(INDEX($FK$325:$ID$396,HB$169,1+SwaptionShift):INDEX($FK$325:$ID$396,HB$169,SwaptionMonthsToGo+SwaptionShift))))))</f>
        <v/>
      </c>
      <c r="HC241" s="679" t="str">
        <f ca="1">IF(OR(HC$169&lt;SwaptionFirstMonthPosition+1,$FJ241&lt;SwaptionFirstMonthPosition+1,HC$169&gt;SwaptionFirstMonthPosition+SwaptionNumOfMonths+1,$FJ241&gt;SwaptionFirstMonthPosition+SwaptionNumOfMonths+1),"",IF($FJ241=HC$169,1,IF($FJ241&lt;HC$169,INDEX($FK$170:$ID$241,HC$169,$FJ241),SUMPRODUCT(INDEX($FK$325:$ID$396,HC$169,1+SwaptionShift):INDEX($FK$325:$ID$396,HC$169,SwaptionMonthsToGo+SwaptionShift),INDEX($FK$245:$ID$316,$FJ241-HC$169,73-HC$169+SwaptionShift):INDEX($FK$245:$ID$316,$FJ241-HC$169,72-HC$169+SwaptionMonthsToGo+SwaptionShift))/SQRT(SUM(INDEX($FK396:$ID396,1+SwaptionShift):INDEX($FK396:$ID396,SwaptionMonthsToGo+SwaptionShift))*SUM(INDEX($FK$325:$ID$396,HC$169,1+SwaptionShift):INDEX($FK$325:$ID$396,HC$169,SwaptionMonthsToGo+SwaptionShift))))))</f>
        <v/>
      </c>
      <c r="HD241" s="679" t="str">
        <f ca="1">IF(OR(HD$169&lt;SwaptionFirstMonthPosition+1,$FJ241&lt;SwaptionFirstMonthPosition+1,HD$169&gt;SwaptionFirstMonthPosition+SwaptionNumOfMonths+1,$FJ241&gt;SwaptionFirstMonthPosition+SwaptionNumOfMonths+1),"",IF($FJ241=HD$169,1,IF($FJ241&lt;HD$169,INDEX($FK$170:$ID$241,HD$169,$FJ241),SUMPRODUCT(INDEX($FK$325:$ID$396,HD$169,1+SwaptionShift):INDEX($FK$325:$ID$396,HD$169,SwaptionMonthsToGo+SwaptionShift),INDEX($FK$245:$ID$316,$FJ241-HD$169,73-HD$169+SwaptionShift):INDEX($FK$245:$ID$316,$FJ241-HD$169,72-HD$169+SwaptionMonthsToGo+SwaptionShift))/SQRT(SUM(INDEX($FK396:$ID396,1+SwaptionShift):INDEX($FK396:$ID396,SwaptionMonthsToGo+SwaptionShift))*SUM(INDEX($FK$325:$ID$396,HD$169,1+SwaptionShift):INDEX($FK$325:$ID$396,HD$169,SwaptionMonthsToGo+SwaptionShift))))))</f>
        <v/>
      </c>
      <c r="HE241" s="679" t="str">
        <f ca="1">IF(OR(HE$169&lt;SwaptionFirstMonthPosition+1,$FJ241&lt;SwaptionFirstMonthPosition+1,HE$169&gt;SwaptionFirstMonthPosition+SwaptionNumOfMonths+1,$FJ241&gt;SwaptionFirstMonthPosition+SwaptionNumOfMonths+1),"",IF($FJ241=HE$169,1,IF($FJ241&lt;HE$169,INDEX($FK$170:$ID$241,HE$169,$FJ241),SUMPRODUCT(INDEX($FK$325:$ID$396,HE$169,1+SwaptionShift):INDEX($FK$325:$ID$396,HE$169,SwaptionMonthsToGo+SwaptionShift),INDEX($FK$245:$ID$316,$FJ241-HE$169,73-HE$169+SwaptionShift):INDEX($FK$245:$ID$316,$FJ241-HE$169,72-HE$169+SwaptionMonthsToGo+SwaptionShift))/SQRT(SUM(INDEX($FK396:$ID396,1+SwaptionShift):INDEX($FK396:$ID396,SwaptionMonthsToGo+SwaptionShift))*SUM(INDEX($FK$325:$ID$396,HE$169,1+SwaptionShift):INDEX($FK$325:$ID$396,HE$169,SwaptionMonthsToGo+SwaptionShift))))))</f>
        <v/>
      </c>
      <c r="HF241" s="679" t="str">
        <f ca="1">IF(OR(HF$169&lt;SwaptionFirstMonthPosition+1,$FJ241&lt;SwaptionFirstMonthPosition+1,HF$169&gt;SwaptionFirstMonthPosition+SwaptionNumOfMonths+1,$FJ241&gt;SwaptionFirstMonthPosition+SwaptionNumOfMonths+1),"",IF($FJ241=HF$169,1,IF($FJ241&lt;HF$169,INDEX($FK$170:$ID$241,HF$169,$FJ241),SUMPRODUCT(INDEX($FK$325:$ID$396,HF$169,1+SwaptionShift):INDEX($FK$325:$ID$396,HF$169,SwaptionMonthsToGo+SwaptionShift),INDEX($FK$245:$ID$316,$FJ241-HF$169,73-HF$169+SwaptionShift):INDEX($FK$245:$ID$316,$FJ241-HF$169,72-HF$169+SwaptionMonthsToGo+SwaptionShift))/SQRT(SUM(INDEX($FK396:$ID396,1+SwaptionShift):INDEX($FK396:$ID396,SwaptionMonthsToGo+SwaptionShift))*SUM(INDEX($FK$325:$ID$396,HF$169,1+SwaptionShift):INDEX($FK$325:$ID$396,HF$169,SwaptionMonthsToGo+SwaptionShift))))))</f>
        <v/>
      </c>
      <c r="HG241" s="679" t="str">
        <f ca="1">IF(OR(HG$169&lt;SwaptionFirstMonthPosition+1,$FJ241&lt;SwaptionFirstMonthPosition+1,HG$169&gt;SwaptionFirstMonthPosition+SwaptionNumOfMonths+1,$FJ241&gt;SwaptionFirstMonthPosition+SwaptionNumOfMonths+1),"",IF($FJ241=HG$169,1,IF($FJ241&lt;HG$169,INDEX($FK$170:$ID$241,HG$169,$FJ241),SUMPRODUCT(INDEX($FK$325:$ID$396,HG$169,1+SwaptionShift):INDEX($FK$325:$ID$396,HG$169,SwaptionMonthsToGo+SwaptionShift),INDEX($FK$245:$ID$316,$FJ241-HG$169,73-HG$169+SwaptionShift):INDEX($FK$245:$ID$316,$FJ241-HG$169,72-HG$169+SwaptionMonthsToGo+SwaptionShift))/SQRT(SUM(INDEX($FK396:$ID396,1+SwaptionShift):INDEX($FK396:$ID396,SwaptionMonthsToGo+SwaptionShift))*SUM(INDEX($FK$325:$ID$396,HG$169,1+SwaptionShift):INDEX($FK$325:$ID$396,HG$169,SwaptionMonthsToGo+SwaptionShift))))))</f>
        <v/>
      </c>
      <c r="HH241" s="679" t="str">
        <f ca="1">IF(OR(HH$169&lt;SwaptionFirstMonthPosition+1,$FJ241&lt;SwaptionFirstMonthPosition+1,HH$169&gt;SwaptionFirstMonthPosition+SwaptionNumOfMonths+1,$FJ241&gt;SwaptionFirstMonthPosition+SwaptionNumOfMonths+1),"",IF($FJ241=HH$169,1,IF($FJ241&lt;HH$169,INDEX($FK$170:$ID$241,HH$169,$FJ241),SUMPRODUCT(INDEX($FK$325:$ID$396,HH$169,1+SwaptionShift):INDEX($FK$325:$ID$396,HH$169,SwaptionMonthsToGo+SwaptionShift),INDEX($FK$245:$ID$316,$FJ241-HH$169,73-HH$169+SwaptionShift):INDEX($FK$245:$ID$316,$FJ241-HH$169,72-HH$169+SwaptionMonthsToGo+SwaptionShift))/SQRT(SUM(INDEX($FK396:$ID396,1+SwaptionShift):INDEX($FK396:$ID396,SwaptionMonthsToGo+SwaptionShift))*SUM(INDEX($FK$325:$ID$396,HH$169,1+SwaptionShift):INDEX($FK$325:$ID$396,HH$169,SwaptionMonthsToGo+SwaptionShift))))))</f>
        <v/>
      </c>
      <c r="HI241" s="679" t="str">
        <f ca="1">IF(OR(HI$169&lt;SwaptionFirstMonthPosition+1,$FJ241&lt;SwaptionFirstMonthPosition+1,HI$169&gt;SwaptionFirstMonthPosition+SwaptionNumOfMonths+1,$FJ241&gt;SwaptionFirstMonthPosition+SwaptionNumOfMonths+1),"",IF($FJ241=HI$169,1,IF($FJ241&lt;HI$169,INDEX($FK$170:$ID$241,HI$169,$FJ241),SUMPRODUCT(INDEX($FK$325:$ID$396,HI$169,1+SwaptionShift):INDEX($FK$325:$ID$396,HI$169,SwaptionMonthsToGo+SwaptionShift),INDEX($FK$245:$ID$316,$FJ241-HI$169,73-HI$169+SwaptionShift):INDEX($FK$245:$ID$316,$FJ241-HI$169,72-HI$169+SwaptionMonthsToGo+SwaptionShift))/SQRT(SUM(INDEX($FK396:$ID396,1+SwaptionShift):INDEX($FK396:$ID396,SwaptionMonthsToGo+SwaptionShift))*SUM(INDEX($FK$325:$ID$396,HI$169,1+SwaptionShift):INDEX($FK$325:$ID$396,HI$169,SwaptionMonthsToGo+SwaptionShift))))))</f>
        <v/>
      </c>
      <c r="HJ241" s="679" t="str">
        <f ca="1">IF(OR(HJ$169&lt;SwaptionFirstMonthPosition+1,$FJ241&lt;SwaptionFirstMonthPosition+1,HJ$169&gt;SwaptionFirstMonthPosition+SwaptionNumOfMonths+1,$FJ241&gt;SwaptionFirstMonthPosition+SwaptionNumOfMonths+1),"",IF($FJ241=HJ$169,1,IF($FJ241&lt;HJ$169,INDEX($FK$170:$ID$241,HJ$169,$FJ241),SUMPRODUCT(INDEX($FK$325:$ID$396,HJ$169,1+SwaptionShift):INDEX($FK$325:$ID$396,HJ$169,SwaptionMonthsToGo+SwaptionShift),INDEX($FK$245:$ID$316,$FJ241-HJ$169,73-HJ$169+SwaptionShift):INDEX($FK$245:$ID$316,$FJ241-HJ$169,72-HJ$169+SwaptionMonthsToGo+SwaptionShift))/SQRT(SUM(INDEX($FK396:$ID396,1+SwaptionShift):INDEX($FK396:$ID396,SwaptionMonthsToGo+SwaptionShift))*SUM(INDEX($FK$325:$ID$396,HJ$169,1+SwaptionShift):INDEX($FK$325:$ID$396,HJ$169,SwaptionMonthsToGo+SwaptionShift))))))</f>
        <v/>
      </c>
      <c r="HK241" s="679" t="str">
        <f ca="1">IF(OR(HK$169&lt;SwaptionFirstMonthPosition+1,$FJ241&lt;SwaptionFirstMonthPosition+1,HK$169&gt;SwaptionFirstMonthPosition+SwaptionNumOfMonths+1,$FJ241&gt;SwaptionFirstMonthPosition+SwaptionNumOfMonths+1),"",IF($FJ241=HK$169,1,IF($FJ241&lt;HK$169,INDEX($FK$170:$ID$241,HK$169,$FJ241),SUMPRODUCT(INDEX($FK$325:$ID$396,HK$169,1+SwaptionShift):INDEX($FK$325:$ID$396,HK$169,SwaptionMonthsToGo+SwaptionShift),INDEX($FK$245:$ID$316,$FJ241-HK$169,73-HK$169+SwaptionShift):INDEX($FK$245:$ID$316,$FJ241-HK$169,72-HK$169+SwaptionMonthsToGo+SwaptionShift))/SQRT(SUM(INDEX($FK396:$ID396,1+SwaptionShift):INDEX($FK396:$ID396,SwaptionMonthsToGo+SwaptionShift))*SUM(INDEX($FK$325:$ID$396,HK$169,1+SwaptionShift):INDEX($FK$325:$ID$396,HK$169,SwaptionMonthsToGo+SwaptionShift))))))</f>
        <v/>
      </c>
      <c r="HL241" s="679" t="str">
        <f ca="1">IF(OR(HL$169&lt;SwaptionFirstMonthPosition+1,$FJ241&lt;SwaptionFirstMonthPosition+1,HL$169&gt;SwaptionFirstMonthPosition+SwaptionNumOfMonths+1,$FJ241&gt;SwaptionFirstMonthPosition+SwaptionNumOfMonths+1),"",IF($FJ241=HL$169,1,IF($FJ241&lt;HL$169,INDEX($FK$170:$ID$241,HL$169,$FJ241),SUMPRODUCT(INDEX($FK$325:$ID$396,HL$169,1+SwaptionShift):INDEX($FK$325:$ID$396,HL$169,SwaptionMonthsToGo+SwaptionShift),INDEX($FK$245:$ID$316,$FJ241-HL$169,73-HL$169+SwaptionShift):INDEX($FK$245:$ID$316,$FJ241-HL$169,72-HL$169+SwaptionMonthsToGo+SwaptionShift))/SQRT(SUM(INDEX($FK396:$ID396,1+SwaptionShift):INDEX($FK396:$ID396,SwaptionMonthsToGo+SwaptionShift))*SUM(INDEX($FK$325:$ID$396,HL$169,1+SwaptionShift):INDEX($FK$325:$ID$396,HL$169,SwaptionMonthsToGo+SwaptionShift))))))</f>
        <v/>
      </c>
      <c r="HM241" s="679" t="str">
        <f ca="1">IF(OR(HM$169&lt;SwaptionFirstMonthPosition+1,$FJ241&lt;SwaptionFirstMonthPosition+1,HM$169&gt;SwaptionFirstMonthPosition+SwaptionNumOfMonths+1,$FJ241&gt;SwaptionFirstMonthPosition+SwaptionNumOfMonths+1),"",IF($FJ241=HM$169,1,IF($FJ241&lt;HM$169,INDEX($FK$170:$ID$241,HM$169,$FJ241),SUMPRODUCT(INDEX($FK$325:$ID$396,HM$169,1+SwaptionShift):INDEX($FK$325:$ID$396,HM$169,SwaptionMonthsToGo+SwaptionShift),INDEX($FK$245:$ID$316,$FJ241-HM$169,73-HM$169+SwaptionShift):INDEX($FK$245:$ID$316,$FJ241-HM$169,72-HM$169+SwaptionMonthsToGo+SwaptionShift))/SQRT(SUM(INDEX($FK396:$ID396,1+SwaptionShift):INDEX($FK396:$ID396,SwaptionMonthsToGo+SwaptionShift))*SUM(INDEX($FK$325:$ID$396,HM$169,1+SwaptionShift):INDEX($FK$325:$ID$396,HM$169,SwaptionMonthsToGo+SwaptionShift))))))</f>
        <v/>
      </c>
      <c r="HN241" s="679" t="str">
        <f ca="1">IF(OR(HN$169&lt;SwaptionFirstMonthPosition+1,$FJ241&lt;SwaptionFirstMonthPosition+1,HN$169&gt;SwaptionFirstMonthPosition+SwaptionNumOfMonths+1,$FJ241&gt;SwaptionFirstMonthPosition+SwaptionNumOfMonths+1),"",IF($FJ241=HN$169,1,IF($FJ241&lt;HN$169,INDEX($FK$170:$ID$241,HN$169,$FJ241),SUMPRODUCT(INDEX($FK$325:$ID$396,HN$169,1+SwaptionShift):INDEX($FK$325:$ID$396,HN$169,SwaptionMonthsToGo+SwaptionShift),INDEX($FK$245:$ID$316,$FJ241-HN$169,73-HN$169+SwaptionShift):INDEX($FK$245:$ID$316,$FJ241-HN$169,72-HN$169+SwaptionMonthsToGo+SwaptionShift))/SQRT(SUM(INDEX($FK396:$ID396,1+SwaptionShift):INDEX($FK396:$ID396,SwaptionMonthsToGo+SwaptionShift))*SUM(INDEX($FK$325:$ID$396,HN$169,1+SwaptionShift):INDEX($FK$325:$ID$396,HN$169,SwaptionMonthsToGo+SwaptionShift))))))</f>
        <v/>
      </c>
      <c r="HO241" s="679" t="str">
        <f ca="1">IF(OR(HO$169&lt;SwaptionFirstMonthPosition+1,$FJ241&lt;SwaptionFirstMonthPosition+1,HO$169&gt;SwaptionFirstMonthPosition+SwaptionNumOfMonths+1,$FJ241&gt;SwaptionFirstMonthPosition+SwaptionNumOfMonths+1),"",IF($FJ241=HO$169,1,IF($FJ241&lt;HO$169,INDEX($FK$170:$ID$241,HO$169,$FJ241),SUMPRODUCT(INDEX($FK$325:$ID$396,HO$169,1+SwaptionShift):INDEX($FK$325:$ID$396,HO$169,SwaptionMonthsToGo+SwaptionShift),INDEX($FK$245:$ID$316,$FJ241-HO$169,73-HO$169+SwaptionShift):INDEX($FK$245:$ID$316,$FJ241-HO$169,72-HO$169+SwaptionMonthsToGo+SwaptionShift))/SQRT(SUM(INDEX($FK396:$ID396,1+SwaptionShift):INDEX($FK396:$ID396,SwaptionMonthsToGo+SwaptionShift))*SUM(INDEX($FK$325:$ID$396,HO$169,1+SwaptionShift):INDEX($FK$325:$ID$396,HO$169,SwaptionMonthsToGo+SwaptionShift))))))</f>
        <v/>
      </c>
      <c r="HP241" s="679" t="str">
        <f ca="1">IF(OR(HP$169&lt;SwaptionFirstMonthPosition+1,$FJ241&lt;SwaptionFirstMonthPosition+1,HP$169&gt;SwaptionFirstMonthPosition+SwaptionNumOfMonths+1,$FJ241&gt;SwaptionFirstMonthPosition+SwaptionNumOfMonths+1),"",IF($FJ241=HP$169,1,IF($FJ241&lt;HP$169,INDEX($FK$170:$ID$241,HP$169,$FJ241),SUMPRODUCT(INDEX($FK$325:$ID$396,HP$169,1+SwaptionShift):INDEX($FK$325:$ID$396,HP$169,SwaptionMonthsToGo+SwaptionShift),INDEX($FK$245:$ID$316,$FJ241-HP$169,73-HP$169+SwaptionShift):INDEX($FK$245:$ID$316,$FJ241-HP$169,72-HP$169+SwaptionMonthsToGo+SwaptionShift))/SQRT(SUM(INDEX($FK396:$ID396,1+SwaptionShift):INDEX($FK396:$ID396,SwaptionMonthsToGo+SwaptionShift))*SUM(INDEX($FK$325:$ID$396,HP$169,1+SwaptionShift):INDEX($FK$325:$ID$396,HP$169,SwaptionMonthsToGo+SwaptionShift))))))</f>
        <v/>
      </c>
      <c r="HQ241" s="679" t="str">
        <f ca="1">IF(OR(HQ$169&lt;SwaptionFirstMonthPosition+1,$FJ241&lt;SwaptionFirstMonthPosition+1,HQ$169&gt;SwaptionFirstMonthPosition+SwaptionNumOfMonths+1,$FJ241&gt;SwaptionFirstMonthPosition+SwaptionNumOfMonths+1),"",IF($FJ241=HQ$169,1,IF($FJ241&lt;HQ$169,INDEX($FK$170:$ID$241,HQ$169,$FJ241),SUMPRODUCT(INDEX($FK$325:$ID$396,HQ$169,1+SwaptionShift):INDEX($FK$325:$ID$396,HQ$169,SwaptionMonthsToGo+SwaptionShift),INDEX($FK$245:$ID$316,$FJ241-HQ$169,73-HQ$169+SwaptionShift):INDEX($FK$245:$ID$316,$FJ241-HQ$169,72-HQ$169+SwaptionMonthsToGo+SwaptionShift))/SQRT(SUM(INDEX($FK396:$ID396,1+SwaptionShift):INDEX($FK396:$ID396,SwaptionMonthsToGo+SwaptionShift))*SUM(INDEX($FK$325:$ID$396,HQ$169,1+SwaptionShift):INDEX($FK$325:$ID$396,HQ$169,SwaptionMonthsToGo+SwaptionShift))))))</f>
        <v/>
      </c>
      <c r="HR241" s="679" t="str">
        <f ca="1">IF(OR(HR$169&lt;SwaptionFirstMonthPosition+1,$FJ241&lt;SwaptionFirstMonthPosition+1,HR$169&gt;SwaptionFirstMonthPosition+SwaptionNumOfMonths+1,$FJ241&gt;SwaptionFirstMonthPosition+SwaptionNumOfMonths+1),"",IF($FJ241=HR$169,1,IF($FJ241&lt;HR$169,INDEX($FK$170:$ID$241,HR$169,$FJ241),SUMPRODUCT(INDEX($FK$325:$ID$396,HR$169,1+SwaptionShift):INDEX($FK$325:$ID$396,HR$169,SwaptionMonthsToGo+SwaptionShift),INDEX($FK$245:$ID$316,$FJ241-HR$169,73-HR$169+SwaptionShift):INDEX($FK$245:$ID$316,$FJ241-HR$169,72-HR$169+SwaptionMonthsToGo+SwaptionShift))/SQRT(SUM(INDEX($FK396:$ID396,1+SwaptionShift):INDEX($FK396:$ID396,SwaptionMonthsToGo+SwaptionShift))*SUM(INDEX($FK$325:$ID$396,HR$169,1+SwaptionShift):INDEX($FK$325:$ID$396,HR$169,SwaptionMonthsToGo+SwaptionShift))))))</f>
        <v/>
      </c>
      <c r="HS241" s="679" t="str">
        <f ca="1">IF(OR(HS$169&lt;SwaptionFirstMonthPosition+1,$FJ241&lt;SwaptionFirstMonthPosition+1,HS$169&gt;SwaptionFirstMonthPosition+SwaptionNumOfMonths+1,$FJ241&gt;SwaptionFirstMonthPosition+SwaptionNumOfMonths+1),"",IF($FJ241=HS$169,1,IF($FJ241&lt;HS$169,INDEX($FK$170:$ID$241,HS$169,$FJ241),SUMPRODUCT(INDEX($FK$325:$ID$396,HS$169,1+SwaptionShift):INDEX($FK$325:$ID$396,HS$169,SwaptionMonthsToGo+SwaptionShift),INDEX($FK$245:$ID$316,$FJ241-HS$169,73-HS$169+SwaptionShift):INDEX($FK$245:$ID$316,$FJ241-HS$169,72-HS$169+SwaptionMonthsToGo+SwaptionShift))/SQRT(SUM(INDEX($FK396:$ID396,1+SwaptionShift):INDEX($FK396:$ID396,SwaptionMonthsToGo+SwaptionShift))*SUM(INDEX($FK$325:$ID$396,HS$169,1+SwaptionShift):INDEX($FK$325:$ID$396,HS$169,SwaptionMonthsToGo+SwaptionShift))))))</f>
        <v/>
      </c>
      <c r="HT241" s="679" t="str">
        <f ca="1">IF(OR(HT$169&lt;SwaptionFirstMonthPosition+1,$FJ241&lt;SwaptionFirstMonthPosition+1,HT$169&gt;SwaptionFirstMonthPosition+SwaptionNumOfMonths+1,$FJ241&gt;SwaptionFirstMonthPosition+SwaptionNumOfMonths+1),"",IF($FJ241=HT$169,1,IF($FJ241&lt;HT$169,INDEX($FK$170:$ID$241,HT$169,$FJ241),SUMPRODUCT(INDEX($FK$325:$ID$396,HT$169,1+SwaptionShift):INDEX($FK$325:$ID$396,HT$169,SwaptionMonthsToGo+SwaptionShift),INDEX($FK$245:$ID$316,$FJ241-HT$169,73-HT$169+SwaptionShift):INDEX($FK$245:$ID$316,$FJ241-HT$169,72-HT$169+SwaptionMonthsToGo+SwaptionShift))/SQRT(SUM(INDEX($FK396:$ID396,1+SwaptionShift):INDEX($FK396:$ID396,SwaptionMonthsToGo+SwaptionShift))*SUM(INDEX($FK$325:$ID$396,HT$169,1+SwaptionShift):INDEX($FK$325:$ID$396,HT$169,SwaptionMonthsToGo+SwaptionShift))))))</f>
        <v/>
      </c>
      <c r="HU241" s="679" t="str">
        <f ca="1">IF(OR(HU$169&lt;SwaptionFirstMonthPosition+1,$FJ241&lt;SwaptionFirstMonthPosition+1,HU$169&gt;SwaptionFirstMonthPosition+SwaptionNumOfMonths+1,$FJ241&gt;SwaptionFirstMonthPosition+SwaptionNumOfMonths+1),"",IF($FJ241=HU$169,1,IF($FJ241&lt;HU$169,INDEX($FK$170:$ID$241,HU$169,$FJ241),SUMPRODUCT(INDEX($FK$325:$ID$396,HU$169,1+SwaptionShift):INDEX($FK$325:$ID$396,HU$169,SwaptionMonthsToGo+SwaptionShift),INDEX($FK$245:$ID$316,$FJ241-HU$169,73-HU$169+SwaptionShift):INDEX($FK$245:$ID$316,$FJ241-HU$169,72-HU$169+SwaptionMonthsToGo+SwaptionShift))/SQRT(SUM(INDEX($FK396:$ID396,1+SwaptionShift):INDEX($FK396:$ID396,SwaptionMonthsToGo+SwaptionShift))*SUM(INDEX($FK$325:$ID$396,HU$169,1+SwaptionShift):INDEX($FK$325:$ID$396,HU$169,SwaptionMonthsToGo+SwaptionShift))))))</f>
        <v/>
      </c>
      <c r="HV241" s="679" t="str">
        <f ca="1">IF(OR(HV$169&lt;SwaptionFirstMonthPosition+1,$FJ241&lt;SwaptionFirstMonthPosition+1,HV$169&gt;SwaptionFirstMonthPosition+SwaptionNumOfMonths+1,$FJ241&gt;SwaptionFirstMonthPosition+SwaptionNumOfMonths+1),"",IF($FJ241=HV$169,1,IF($FJ241&lt;HV$169,INDEX($FK$170:$ID$241,HV$169,$FJ241),SUMPRODUCT(INDEX($FK$325:$ID$396,HV$169,1+SwaptionShift):INDEX($FK$325:$ID$396,HV$169,SwaptionMonthsToGo+SwaptionShift),INDEX($FK$245:$ID$316,$FJ241-HV$169,73-HV$169+SwaptionShift):INDEX($FK$245:$ID$316,$FJ241-HV$169,72-HV$169+SwaptionMonthsToGo+SwaptionShift))/SQRT(SUM(INDEX($FK396:$ID396,1+SwaptionShift):INDEX($FK396:$ID396,SwaptionMonthsToGo+SwaptionShift))*SUM(INDEX($FK$325:$ID$396,HV$169,1+SwaptionShift):INDEX($FK$325:$ID$396,HV$169,SwaptionMonthsToGo+SwaptionShift))))))</f>
        <v/>
      </c>
      <c r="HW241" s="679" t="str">
        <f ca="1">IF(OR(HW$169&lt;SwaptionFirstMonthPosition+1,$FJ241&lt;SwaptionFirstMonthPosition+1,HW$169&gt;SwaptionFirstMonthPosition+SwaptionNumOfMonths+1,$FJ241&gt;SwaptionFirstMonthPosition+SwaptionNumOfMonths+1),"",IF($FJ241=HW$169,1,IF($FJ241&lt;HW$169,INDEX($FK$170:$ID$241,HW$169,$FJ241),SUMPRODUCT(INDEX($FK$325:$ID$396,HW$169,1+SwaptionShift):INDEX($FK$325:$ID$396,HW$169,SwaptionMonthsToGo+SwaptionShift),INDEX($FK$245:$ID$316,$FJ241-HW$169,73-HW$169+SwaptionShift):INDEX($FK$245:$ID$316,$FJ241-HW$169,72-HW$169+SwaptionMonthsToGo+SwaptionShift))/SQRT(SUM(INDEX($FK396:$ID396,1+SwaptionShift):INDEX($FK396:$ID396,SwaptionMonthsToGo+SwaptionShift))*SUM(INDEX($FK$325:$ID$396,HW$169,1+SwaptionShift):INDEX($FK$325:$ID$396,HW$169,SwaptionMonthsToGo+SwaptionShift))))))</f>
        <v/>
      </c>
      <c r="HX241" s="679" t="str">
        <f ca="1">IF(OR(HX$169&lt;SwaptionFirstMonthPosition+1,$FJ241&lt;SwaptionFirstMonthPosition+1,HX$169&gt;SwaptionFirstMonthPosition+SwaptionNumOfMonths+1,$FJ241&gt;SwaptionFirstMonthPosition+SwaptionNumOfMonths+1),"",IF($FJ241=HX$169,1,IF($FJ241&lt;HX$169,INDEX($FK$170:$ID$241,HX$169,$FJ241),SUMPRODUCT(INDEX($FK$325:$ID$396,HX$169,1+SwaptionShift):INDEX($FK$325:$ID$396,HX$169,SwaptionMonthsToGo+SwaptionShift),INDEX($FK$245:$ID$316,$FJ241-HX$169,73-HX$169+SwaptionShift):INDEX($FK$245:$ID$316,$FJ241-HX$169,72-HX$169+SwaptionMonthsToGo+SwaptionShift))/SQRT(SUM(INDEX($FK396:$ID396,1+SwaptionShift):INDEX($FK396:$ID396,SwaptionMonthsToGo+SwaptionShift))*SUM(INDEX($FK$325:$ID$396,HX$169,1+SwaptionShift):INDEX($FK$325:$ID$396,HX$169,SwaptionMonthsToGo+SwaptionShift))))))</f>
        <v/>
      </c>
      <c r="HY241" s="679" t="str">
        <f ca="1">IF(OR(HY$169&lt;SwaptionFirstMonthPosition+1,$FJ241&lt;SwaptionFirstMonthPosition+1,HY$169&gt;SwaptionFirstMonthPosition+SwaptionNumOfMonths+1,$FJ241&gt;SwaptionFirstMonthPosition+SwaptionNumOfMonths+1),"",IF($FJ241=HY$169,1,IF($FJ241&lt;HY$169,INDEX($FK$170:$ID$241,HY$169,$FJ241),SUMPRODUCT(INDEX($FK$325:$ID$396,HY$169,1+SwaptionShift):INDEX($FK$325:$ID$396,HY$169,SwaptionMonthsToGo+SwaptionShift),INDEX($FK$245:$ID$316,$FJ241-HY$169,73-HY$169+SwaptionShift):INDEX($FK$245:$ID$316,$FJ241-HY$169,72-HY$169+SwaptionMonthsToGo+SwaptionShift))/SQRT(SUM(INDEX($FK396:$ID396,1+SwaptionShift):INDEX($FK396:$ID396,SwaptionMonthsToGo+SwaptionShift))*SUM(INDEX($FK$325:$ID$396,HY$169,1+SwaptionShift):INDEX($FK$325:$ID$396,HY$169,SwaptionMonthsToGo+SwaptionShift))))))</f>
        <v/>
      </c>
      <c r="HZ241" s="679" t="str">
        <f ca="1">IF(OR(HZ$169&lt;SwaptionFirstMonthPosition+1,$FJ241&lt;SwaptionFirstMonthPosition+1,HZ$169&gt;SwaptionFirstMonthPosition+SwaptionNumOfMonths+1,$FJ241&gt;SwaptionFirstMonthPosition+SwaptionNumOfMonths+1),"",IF($FJ241=HZ$169,1,IF($FJ241&lt;HZ$169,INDEX($FK$170:$ID$241,HZ$169,$FJ241),SUMPRODUCT(INDEX($FK$325:$ID$396,HZ$169,1+SwaptionShift):INDEX($FK$325:$ID$396,HZ$169,SwaptionMonthsToGo+SwaptionShift),INDEX($FK$245:$ID$316,$FJ241-HZ$169,73-HZ$169+SwaptionShift):INDEX($FK$245:$ID$316,$FJ241-HZ$169,72-HZ$169+SwaptionMonthsToGo+SwaptionShift))/SQRT(SUM(INDEX($FK396:$ID396,1+SwaptionShift):INDEX($FK396:$ID396,SwaptionMonthsToGo+SwaptionShift))*SUM(INDEX($FK$325:$ID$396,HZ$169,1+SwaptionShift):INDEX($FK$325:$ID$396,HZ$169,SwaptionMonthsToGo+SwaptionShift))))))</f>
        <v/>
      </c>
      <c r="IA241" s="679" t="str">
        <f ca="1">IF(OR(IA$169&lt;SwaptionFirstMonthPosition+1,$FJ241&lt;SwaptionFirstMonthPosition+1,IA$169&gt;SwaptionFirstMonthPosition+SwaptionNumOfMonths+1,$FJ241&gt;SwaptionFirstMonthPosition+SwaptionNumOfMonths+1),"",IF($FJ241=IA$169,1,IF($FJ241&lt;IA$169,INDEX($FK$170:$ID$241,IA$169,$FJ241),SUMPRODUCT(INDEX($FK$325:$ID$396,IA$169,1+SwaptionShift):INDEX($FK$325:$ID$396,IA$169,SwaptionMonthsToGo+SwaptionShift),INDEX($FK$245:$ID$316,$FJ241-IA$169,73-IA$169+SwaptionShift):INDEX($FK$245:$ID$316,$FJ241-IA$169,72-IA$169+SwaptionMonthsToGo+SwaptionShift))/SQRT(SUM(INDEX($FK396:$ID396,1+SwaptionShift):INDEX($FK396:$ID396,SwaptionMonthsToGo+SwaptionShift))*SUM(INDEX($FK$325:$ID$396,IA$169,1+SwaptionShift):INDEX($FK$325:$ID$396,IA$169,SwaptionMonthsToGo+SwaptionShift))))))</f>
        <v/>
      </c>
      <c r="IB241" s="679" t="str">
        <f ca="1">IF(OR(IB$169&lt;SwaptionFirstMonthPosition+1,$FJ241&lt;SwaptionFirstMonthPosition+1,IB$169&gt;SwaptionFirstMonthPosition+SwaptionNumOfMonths+1,$FJ241&gt;SwaptionFirstMonthPosition+SwaptionNumOfMonths+1),"",IF($FJ241=IB$169,1,IF($FJ241&lt;IB$169,INDEX($FK$170:$ID$241,IB$169,$FJ241),SUMPRODUCT(INDEX($FK$325:$ID$396,IB$169,1+SwaptionShift):INDEX($FK$325:$ID$396,IB$169,SwaptionMonthsToGo+SwaptionShift),INDEX($FK$245:$ID$316,$FJ241-IB$169,73-IB$169+SwaptionShift):INDEX($FK$245:$ID$316,$FJ241-IB$169,72-IB$169+SwaptionMonthsToGo+SwaptionShift))/SQRT(SUM(INDEX($FK396:$ID396,1+SwaptionShift):INDEX($FK396:$ID396,SwaptionMonthsToGo+SwaptionShift))*SUM(INDEX($FK$325:$ID$396,IB$169,1+SwaptionShift):INDEX($FK$325:$ID$396,IB$169,SwaptionMonthsToGo+SwaptionShift))))))</f>
        <v/>
      </c>
      <c r="IC241" s="679" t="str">
        <f ca="1">IF(OR(IC$169&lt;SwaptionFirstMonthPosition+1,$FJ241&lt;SwaptionFirstMonthPosition+1,IC$169&gt;SwaptionFirstMonthPosition+SwaptionNumOfMonths+1,$FJ241&gt;SwaptionFirstMonthPosition+SwaptionNumOfMonths+1),"",IF($FJ241=IC$169,1,IF($FJ241&lt;IC$169,INDEX($FK$170:$ID$241,IC$169,$FJ241),SUMPRODUCT(INDEX($FK$325:$ID$396,IC$169,1+SwaptionShift):INDEX($FK$325:$ID$396,IC$169,SwaptionMonthsToGo+SwaptionShift),INDEX($FK$245:$ID$316,$FJ241-IC$169,73-IC$169+SwaptionShift):INDEX($FK$245:$ID$316,$FJ241-IC$169,72-IC$169+SwaptionMonthsToGo+SwaptionShift))/SQRT(SUM(INDEX($FK396:$ID396,1+SwaptionShift):INDEX($FK396:$ID396,SwaptionMonthsToGo+SwaptionShift))*SUM(INDEX($FK$325:$ID$396,IC$169,1+SwaptionShift):INDEX($FK$325:$ID$396,IC$169,SwaptionMonthsToGo+SwaptionShift))))))</f>
        <v/>
      </c>
      <c r="ID241" s="680" t="str">
        <f ca="1">IF(OR(ID$169&lt;SwaptionFirstMonthPosition+1,$FJ241&lt;SwaptionFirstMonthPosition+1,ID$169&gt;SwaptionFirstMonthPosition+SwaptionNumOfMonths+1,$FJ241&gt;SwaptionFirstMonthPosition+SwaptionNumOfMonths+1),"",IF($FJ241=ID$169,1,IF($FJ241&lt;ID$169,INDEX($FK$170:$ID$241,ID$169,$FJ241),SUMPRODUCT(INDEX($FK$325:$ID$396,ID$169,1+SwaptionShift):INDEX($FK$325:$ID$396,ID$169,SwaptionMonthsToGo+SwaptionShift),INDEX($FK$245:$ID$316,$FJ241-ID$169,73-ID$169+SwaptionShift):INDEX($FK$245:$ID$316,$FJ241-ID$169,72-ID$169+SwaptionMonthsToGo+SwaptionShift))/SQRT(SUM(INDEX($FK396:$ID396,1+SwaptionShift):INDEX($FK396:$ID396,SwaptionMonthsToGo+SwaptionShift))*SUM(INDEX($FK$325:$ID$396,ID$169,1+SwaptionShift):INDEX($FK$325:$ID$396,ID$169,SwaptionMonthsToGo+SwaptionShift))))))</f>
        <v/>
      </c>
      <c r="IE241" s="250"/>
    </row>
    <row r="242" spans="8:239">
      <c r="H242" s="51">
        <f t="shared" ca="1" si="646"/>
        <v>0</v>
      </c>
      <c r="I242" s="379">
        <f t="shared" si="647"/>
        <v>43525</v>
      </c>
      <c r="J242" s="377"/>
      <c r="K242" s="104" t="s">
        <v>268</v>
      </c>
      <c r="L242" s="392">
        <f t="shared" si="648"/>
        <v>5.4749999999999925</v>
      </c>
      <c r="M242" s="171"/>
      <c r="N242" s="382">
        <v>0</v>
      </c>
      <c r="O242" s="171">
        <f t="shared" si="596"/>
        <v>0</v>
      </c>
      <c r="P242" s="377"/>
      <c r="Q242" s="104" t="s">
        <v>268</v>
      </c>
      <c r="R242" s="377">
        <f t="shared" ca="1" si="597"/>
        <v>4.3174895134203632</v>
      </c>
      <c r="S242" s="832">
        <f t="shared" si="671"/>
        <v>0.3600000000000001</v>
      </c>
      <c r="T242" s="831">
        <f t="shared" si="661"/>
        <v>0.99999999999999933</v>
      </c>
      <c r="U242" s="545">
        <f t="shared" si="662"/>
        <v>0.99999999999999978</v>
      </c>
      <c r="V242" s="389">
        <v>0</v>
      </c>
      <c r="W242" s="434">
        <f t="shared" si="598"/>
        <v>0</v>
      </c>
      <c r="X242" s="415">
        <f t="shared" si="599"/>
        <v>5.5249999999999924</v>
      </c>
      <c r="Y242" s="322">
        <f t="shared" si="600"/>
        <v>-1.1684999999999999</v>
      </c>
      <c r="Z242" s="322">
        <f t="shared" ca="1" si="601"/>
        <v>4.3564999999999925</v>
      </c>
      <c r="AA242" s="429">
        <f t="shared" si="628"/>
        <v>1.1684999999999999</v>
      </c>
      <c r="AB242" s="433">
        <f t="shared" ca="1" si="629"/>
        <v>1.1684999999999999</v>
      </c>
      <c r="AC242" s="229">
        <v>43516</v>
      </c>
      <c r="AD242" s="229">
        <v>43512</v>
      </c>
      <c r="AE242" s="229">
        <v>43511</v>
      </c>
      <c r="AF242" s="229">
        <v>43507</v>
      </c>
      <c r="AG242" s="249" t="s">
        <v>499</v>
      </c>
      <c r="AH242" s="247" t="s">
        <v>499</v>
      </c>
      <c r="AI242" s="146">
        <v>21</v>
      </c>
      <c r="AJ242" s="41">
        <v>14</v>
      </c>
      <c r="AK242" s="41">
        <v>7</v>
      </c>
      <c r="AL242" s="293">
        <v>21</v>
      </c>
      <c r="AM242" s="41">
        <v>10</v>
      </c>
      <c r="AN242" s="147">
        <v>11</v>
      </c>
      <c r="AO242" s="374"/>
      <c r="AP242" s="153">
        <f t="shared" ca="1" si="649"/>
        <v>1</v>
      </c>
      <c r="AQ242" s="374"/>
      <c r="AR242" s="153">
        <f t="shared" ca="1" si="663"/>
        <v>1</v>
      </c>
      <c r="AS242" s="272">
        <f t="shared" si="602"/>
        <v>0</v>
      </c>
      <c r="AT242" s="157">
        <f t="shared" si="650"/>
        <v>0</v>
      </c>
      <c r="AU242" s="157">
        <f t="shared" si="630"/>
        <v>0</v>
      </c>
      <c r="AV242" s="271">
        <f t="shared" ca="1" si="670"/>
        <v>9.9999999999999995E-7</v>
      </c>
      <c r="AW242" s="158" t="str">
        <f t="shared" ca="1" si="583"/>
        <v/>
      </c>
      <c r="AX242" s="157">
        <f t="shared" ca="1" si="664"/>
        <v>1.4147697960325435E-5</v>
      </c>
      <c r="AY242" s="157">
        <f t="shared" ca="1" si="665"/>
        <v>2.4916175490245021E-6</v>
      </c>
      <c r="AZ242" s="157">
        <f t="shared" ca="1" si="666"/>
        <v>3.9424293973809348E-8</v>
      </c>
      <c r="BA242" s="157">
        <f t="shared" ca="1" si="667"/>
        <v>4.9280367467261685E-9</v>
      </c>
      <c r="BB242" s="157">
        <f t="shared" ca="1" si="668"/>
        <v>5.8100312858381816E-12</v>
      </c>
      <c r="BC242" s="157">
        <f t="shared" ca="1" si="669"/>
        <v>4.8571092354160391E-14</v>
      </c>
      <c r="BD242" s="151">
        <f t="shared" ca="1" si="603"/>
        <v>0</v>
      </c>
      <c r="BE242" s="152">
        <f t="shared" ca="1" si="604"/>
        <v>0</v>
      </c>
      <c r="BF242" s="40">
        <f t="shared" si="605"/>
        <v>2019</v>
      </c>
      <c r="BG242" s="144">
        <f t="shared" si="606"/>
        <v>3</v>
      </c>
      <c r="BH242" s="145">
        <f t="shared" ca="1" si="607"/>
        <v>6767</v>
      </c>
      <c r="BI242" s="313">
        <f t="shared" ca="1" si="608"/>
        <v>18.562628336755647</v>
      </c>
      <c r="BJ242" s="42">
        <f t="shared" ca="1" si="631"/>
        <v>18.617385352498289</v>
      </c>
      <c r="BK242" s="42">
        <f t="shared" ca="1" si="632"/>
        <v>18.62012320328542</v>
      </c>
      <c r="BL242" s="42">
        <f t="shared" ca="1" si="609"/>
        <v>18.644763860369611</v>
      </c>
      <c r="BM242" s="150" t="e">
        <f t="shared" ca="1" si="633"/>
        <v>#DIV/0!</v>
      </c>
      <c r="BN242" s="42" t="e">
        <f t="shared" ca="1" si="634"/>
        <v>#DIV/0!</v>
      </c>
      <c r="BO242" s="293">
        <f t="shared" si="610"/>
        <v>21</v>
      </c>
      <c r="BP242" s="41">
        <f t="shared" si="611"/>
        <v>14</v>
      </c>
      <c r="BQ242" s="41">
        <f t="shared" si="612"/>
        <v>7</v>
      </c>
      <c r="BR242" s="305" t="str">
        <f t="shared" ca="1" si="635"/>
        <v/>
      </c>
      <c r="BS242" s="305" t="str">
        <f t="shared" ca="1" si="613"/>
        <v/>
      </c>
      <c r="BT242" s="307" t="str">
        <f t="shared" ca="1" si="614"/>
        <v/>
      </c>
      <c r="BU242" s="161" t="str">
        <f t="shared" ca="1" si="636"/>
        <v/>
      </c>
      <c r="BV242" s="161" t="str">
        <f t="shared" ca="1" si="637"/>
        <v/>
      </c>
      <c r="BW242" s="308" t="str">
        <f t="shared" ca="1" si="638"/>
        <v/>
      </c>
      <c r="BX242" s="309" t="str">
        <f t="shared" ca="1" si="639"/>
        <v/>
      </c>
      <c r="BY242" s="308" t="str">
        <f t="shared" ca="1" si="615"/>
        <v/>
      </c>
      <c r="BZ242" s="309" t="str">
        <f t="shared" ca="1" si="616"/>
        <v/>
      </c>
      <c r="CA242" s="154" t="str">
        <f t="shared" ca="1" si="640"/>
        <v/>
      </c>
      <c r="CB242" s="154" t="str">
        <f t="shared" ca="1" si="641"/>
        <v/>
      </c>
      <c r="CC242" s="154" t="str">
        <f t="shared" ca="1" si="642"/>
        <v/>
      </c>
      <c r="CD242" s="154" t="str">
        <f t="shared" ca="1" si="643"/>
        <v/>
      </c>
      <c r="CE242" s="310">
        <v>1</v>
      </c>
      <c r="CF242" s="162">
        <f ca="1">IF(BD242,_xll.xCrudeAPO(BU242,BV242,CA242,CB242,S243,S244,BI242,BL242,BP242,BQ242,0,Strike1,AO242,CE242,0,BL242,IF(OptControl=4,0,1),0,1),0)</f>
        <v>0</v>
      </c>
      <c r="CG242" s="163">
        <f ca="1">IF(BD242,_xll.xCrudeAPO(BU242,BV242,CA242,CB242,S243,S244,BI242,BL242,BP242,BQ242,0,Strike1,AO242,CE242,0,BL242,IF(OptControl=4,0,1),1,1)+_xll.xCrudeAPO(BU242,BV242,CA242,CB242,S243,S244,BI242,BL242,BP242,BQ242,0,Strike1,AO242,CE242,0,BL242,IF(OptControl=4,0,1),1,2)+IF(OR(VolSkewFlag=2,ABS(BS242)&lt;0.0001),0,IF(BS242&gt;0,-1,1)*CH242*Strike1/BR242^2*BY242/10%),0)</f>
        <v>0</v>
      </c>
      <c r="CH242" s="163">
        <f ca="1">IF(BD242,(_xll.xCrudeAPO(BU242,BV242,CA242,CB242,S243,S244,BI242,BL242,BP242,BQ242,0,Strike1,AO242,CE242,0,BL242,IF(OptControl=4,0,1),3,1)+_xll.xCrudeAPO(BU242,BV242,CA242,CB242,S243,S244,BI242,BL242,BP242,BQ242,0,Strike1,AO242,CE242,0,BL242,IF(OptControl=4,0,1),3,2))/100,0)</f>
        <v>0</v>
      </c>
      <c r="CI242" s="163">
        <f ca="1">IF(BD242,_xll.xCrudeAPO(BU242,BV242,CA242,CB242,S243,S244,BI242-DaysForThetaCalculation/365.25,BL242-DaysForThetaCalculation/365.25,BP242,BQ242,0,Strike1,AO242,CE242,0,BL242,IF(OptControl=4,0,1),0,1)-_xll.xCrudeAPO(BU242,BV242,CA242,CB242,S243,S244,BI242,BL242,BP242,BQ242,0,Strike1,AO242,CE242,0,BL242,IF(OptControl=4,0,1),0,1),0)</f>
        <v>0</v>
      </c>
      <c r="CJ242" s="311">
        <f ca="1">IF(BD242,_xll.xCrudeAPO(BU242,BV242,CC242,CD242,S243,S244,BI242,BL242,BP242,BQ242,0,Strike2,AO242,CE242,0,BL242,IF(OptControl=3,1,0),0,1),0)</f>
        <v>0</v>
      </c>
      <c r="CK242" s="163">
        <f ca="1">IF(BD242,_xll.xCrudeAPO(BU242,BV242,CC242,CD242,S243,S244,BI242,BL242,BP242,BQ242,0,Strike2,AO242,CE242,0,BL242,IF(OptControl=3,1,0),1,1)+_xll.xCrudeAPO(BU242,BV242,CC242,CD242,S243,S244,BI242,BL242,BP242,BQ242,0,Strike2,AO242,CE242,0,BL242,IF(OptControl=3,1,0),1,2)+IF(OR(VolSkewFlag=2,ABS(BT242)&lt;0.0001),0,IF(BT242&gt;0,-1,1)*CL242*Strike2/BR242^2*BZ242/10%),0)</f>
        <v>0</v>
      </c>
      <c r="CL242" s="163">
        <f ca="1">IF(BD242,(_xll.xCrudeAPO(BU242,BV242,CC242,CD242,S243,S244,BI242,BL242,BP242,BQ242,0,Strike2,AO242,CE242,0,BL242,IF(OptControl=3,1,0),3,1)+_xll.xCrudeAPO(BU242,BV242,CC242,CD242,S243,S244,BI242,BL242,BP242,BQ242,0,Strike2,AO242,CE242,0,BL242,IF(OptControl=3,1,0),3,2))/100,0)</f>
        <v>0</v>
      </c>
      <c r="CM242" s="164">
        <f ca="1">IF(BD242,_xll.xCrudeAPO(BU242,BV242,CC242,CD242,S243,S244,BI242-DaysForThetaCalculation/365.25,BL242-DaysForThetaCalculation/365.25,BP242,BQ242,0,Strike2,AO242,CE242,0,BL242,IF(OptControl=3,1,0),0,1)-_xll.xCrudeAPO(BU242,BV242,CC242,CD242,S243,S244,BI242,BL242,BP242,BQ242,0,Strike2,AO242,CE242,0,BL242,IF(OptControl=3,1,0),0,1),0)</f>
        <v>0</v>
      </c>
      <c r="CN242" s="53"/>
      <c r="CO242" s="796" t="str">
        <f t="shared" ca="1" si="651"/>
        <v/>
      </c>
      <c r="CP242" s="800" t="str">
        <f t="shared" ca="1" si="652"/>
        <v/>
      </c>
      <c r="CQ242" s="797" t="str">
        <f t="shared" ca="1" si="653"/>
        <v/>
      </c>
      <c r="CR242" s="797" t="str">
        <f t="shared" ca="1" si="654"/>
        <v/>
      </c>
      <c r="CS242" s="797" t="str">
        <f t="shared" ca="1" si="655"/>
        <v/>
      </c>
      <c r="CT242" s="797" t="str">
        <f t="shared" ca="1" si="656"/>
        <v/>
      </c>
      <c r="CU242" s="798" t="str">
        <f t="shared" ca="1" si="657"/>
        <v/>
      </c>
      <c r="CV242" s="799" t="str">
        <f t="shared" ca="1" si="658"/>
        <v/>
      </c>
      <c r="CW242" s="799" t="str">
        <f t="shared" ca="1" si="659"/>
        <v/>
      </c>
      <c r="CX242" s="163">
        <f ca="1">IF(BD242,_xll.EURO(CP242,Strike1,AO242,AO242,CV242,CO242,IF(OptControl=4,0,1),0),0)</f>
        <v>0</v>
      </c>
      <c r="CY242" s="163">
        <f ca="1">IF(BD242,_xll.EURO(CP242,Strike1,AO242,AO242,CV242,CO242,IF(OptControl=4,0,1),1)+IF(OR(VolSkewFlag=2,ABS(CQ242)&lt;0.0001),0,IF(CQ242&gt;0,-1,1)*CZ242*100*Strike1/CP242^2*CS242/10%),0)</f>
        <v>0</v>
      </c>
      <c r="CZ242" s="163">
        <f ca="1">IF(BD242,_xll.EURO(CP242,Strike1,AO242,AO242,CV242,CO242,IF(OptControl=4,0,1),3)/100,0)</f>
        <v>0</v>
      </c>
      <c r="DA242" s="163">
        <f ca="1">IF(BD242,_xll.EURO(CP242,Strike1,AO242,AO242,CV242,CO242,IF(OptControl=4,0,1),0)-_xll.EURO(CP242,Strike1,AO242,AO242,CV242,CO242-1,IF(OptControl=4,0,1),0),0)</f>
        <v>0</v>
      </c>
      <c r="DB242" s="163">
        <f ca="1">IF(BD242,_xll.EURO(CP242,Strike2,AO242,AO242,CW242,CO242,IF(OptControl=3,1,0),0),0)</f>
        <v>0</v>
      </c>
      <c r="DC242" s="163">
        <f ca="1">IF(BD242,_xll.EURO(CP242,Strike2,AO242,AO242,CW242,CO242,IF(OptControl=3,1,0),1)+IF(OR(VolSkewFlag=2,ABS(CR242)&lt;0.0001),0,IF(CR242&gt;0,-1,1)*DD242*100*Strike2/CP242^2*CT242/10%),0)</f>
        <v>0</v>
      </c>
      <c r="DD242" s="163">
        <f ca="1">IF(BD242,_xll.EURO(CP242,Strike2,AO242,AO242,CW242,CO242,IF(OptControl=3,1,0),3)/100,0)</f>
        <v>0</v>
      </c>
      <c r="DE242" s="164">
        <f ca="1">IF(BD242,_xll.EURO(CP242,Strike2,AO242,AO242,CW242,CO242,IF(OptControl=3,1,0),0)-_xll.EURO(CP242,Strike2,AO242,AO242,CW242,CO242-1,IF(OptControl=3,1,0),0),0)</f>
        <v>0</v>
      </c>
      <c r="DG242" s="667">
        <f t="shared" ca="1" si="660"/>
        <v>43313</v>
      </c>
      <c r="DH242" s="475">
        <v>25.260000000000105</v>
      </c>
      <c r="DI242" s="665">
        <v>25.329565217391409</v>
      </c>
      <c r="DJ242" s="666">
        <f t="shared" ca="1" si="617"/>
        <v>43313</v>
      </c>
      <c r="DK242" s="475">
        <v>23.8674001691219</v>
      </c>
      <c r="DL242" s="665">
        <v>24.062665217391409</v>
      </c>
      <c r="DM242" s="667">
        <f t="shared" ca="1" si="618"/>
        <v>43313</v>
      </c>
      <c r="DN242" s="668">
        <f t="shared" si="619"/>
        <v>23.917400169121901</v>
      </c>
      <c r="DO242" s="667">
        <f t="shared" ca="1" si="620"/>
        <v>43313</v>
      </c>
      <c r="DP242" s="579">
        <f t="shared" si="621"/>
        <v>24.062665217391409</v>
      </c>
      <c r="DQ242" s="821">
        <v>0</v>
      </c>
      <c r="DR242" s="666">
        <f t="shared" ca="1" si="622"/>
        <v>43313</v>
      </c>
      <c r="DS242" s="669">
        <v>9.1399999999997011E-2</v>
      </c>
      <c r="DT242" s="606">
        <v>9.0565217391301342E-2</v>
      </c>
      <c r="DU242" s="666">
        <f t="shared" ca="1" si="623"/>
        <v>43313</v>
      </c>
      <c r="DV242" s="669">
        <v>9.1399999999997011E-2</v>
      </c>
      <c r="DW242" s="606">
        <v>9.0565217391301342E-2</v>
      </c>
      <c r="DX242" s="667">
        <f t="shared" ca="1" si="624"/>
        <v>43313</v>
      </c>
      <c r="DY242" s="606">
        <v>0.35</v>
      </c>
      <c r="DZ242" s="667">
        <f t="shared" ca="1" si="625"/>
        <v>43313</v>
      </c>
      <c r="EA242" s="606">
        <f t="shared" si="626"/>
        <v>9.0565217391301342E-2</v>
      </c>
      <c r="EB242" s="1"/>
      <c r="EC242" s="118" t="str">
        <f t="shared" ca="1" si="627"/>
        <v/>
      </c>
      <c r="ED242" s="119" t="str">
        <f t="shared" ca="1" si="644"/>
        <v/>
      </c>
      <c r="EE242" s="112" t="str">
        <f t="shared" ca="1" si="645"/>
        <v/>
      </c>
      <c r="EF242" s="120">
        <f ca="1">IF(BD242,_xll.xASN(BR242,Strike1,AO242,ED242,0,BO242,0,BI242,BL242,IF(OptControl=4,0,1),0),0)</f>
        <v>0</v>
      </c>
      <c r="EG242" s="111">
        <f ca="1">IF(BD242,_xll.xASN(BR242,Strike2,AO242,EE242,0,BO242,0,BI242,BL242,IF(OptControl=3,1,0),0),0)</f>
        <v>0</v>
      </c>
      <c r="EL242" s="55"/>
      <c r="EM242" s="1"/>
      <c r="EN242" s="106"/>
      <c r="EO242" s="106"/>
      <c r="EP242" s="1"/>
      <c r="EQ242" s="683" t="s">
        <v>456</v>
      </c>
      <c r="ES242" s="55"/>
      <c r="EU242" s="107"/>
      <c r="FJ242" s="250"/>
      <c r="FK242" s="250"/>
      <c r="FL242" s="250"/>
      <c r="FM242" s="460"/>
      <c r="FN242" s="250"/>
      <c r="FO242" s="250"/>
      <c r="FP242" s="250"/>
      <c r="FQ242" s="250"/>
      <c r="FR242" s="250"/>
      <c r="FS242" s="250"/>
      <c r="FT242" s="250"/>
      <c r="FU242" s="250"/>
      <c r="FV242" s="250"/>
      <c r="FW242" s="250"/>
      <c r="FX242" s="250"/>
      <c r="FY242" s="250"/>
      <c r="FZ242" s="250"/>
      <c r="GA242" s="250"/>
      <c r="GB242" s="250"/>
      <c r="GC242" s="250"/>
      <c r="GD242" s="250"/>
      <c r="GE242" s="250"/>
      <c r="GF242" s="250"/>
      <c r="GG242" s="250"/>
      <c r="GH242" s="250"/>
      <c r="GI242" s="250"/>
      <c r="GJ242" s="250"/>
      <c r="GK242" s="250"/>
      <c r="GL242" s="250"/>
      <c r="GM242" s="250"/>
      <c r="GN242" s="250"/>
      <c r="GO242" s="250"/>
      <c r="GP242" s="250"/>
      <c r="GQ242" s="250"/>
      <c r="GR242" s="250"/>
      <c r="GS242" s="250"/>
      <c r="GT242" s="250"/>
      <c r="GU242" s="250"/>
      <c r="GV242" s="250"/>
      <c r="GW242" s="250"/>
      <c r="GX242" s="250"/>
      <c r="GY242" s="250"/>
      <c r="GZ242" s="250"/>
      <c r="HA242" s="250"/>
      <c r="HB242" s="250"/>
      <c r="HC242" s="250"/>
      <c r="HD242" s="250"/>
      <c r="HE242" s="250"/>
      <c r="HF242" s="250"/>
      <c r="HG242" s="250"/>
      <c r="HH242" s="250"/>
      <c r="HI242" s="250"/>
      <c r="HJ242" s="250"/>
      <c r="HK242" s="250"/>
      <c r="HL242" s="250"/>
      <c r="HM242" s="250"/>
      <c r="HN242" s="250"/>
      <c r="HO242" s="250"/>
      <c r="HP242" s="250"/>
      <c r="HQ242" s="250"/>
      <c r="HR242" s="250"/>
      <c r="HS242" s="250"/>
      <c r="HT242" s="250"/>
      <c r="HU242" s="250"/>
      <c r="HV242" s="250"/>
      <c r="HW242" s="250"/>
      <c r="HX242" s="250"/>
      <c r="HY242" s="250"/>
      <c r="HZ242" s="250"/>
      <c r="IA242" s="250"/>
      <c r="IB242" s="250"/>
      <c r="IC242" s="250"/>
      <c r="ID242" s="250"/>
      <c r="IE242" s="250"/>
    </row>
    <row r="243" spans="8:239">
      <c r="H243" s="51">
        <f t="shared" ca="1" si="646"/>
        <v>0</v>
      </c>
      <c r="I243" s="379">
        <f t="shared" si="647"/>
        <v>43556</v>
      </c>
      <c r="J243" s="377"/>
      <c r="K243" s="104" t="s">
        <v>268</v>
      </c>
      <c r="L243" s="392">
        <f t="shared" si="648"/>
        <v>5.5124999999999922</v>
      </c>
      <c r="M243" s="171"/>
      <c r="N243" s="382">
        <v>0</v>
      </c>
      <c r="O243" s="171">
        <f t="shared" si="596"/>
        <v>0</v>
      </c>
      <c r="P243" s="377"/>
      <c r="Q243" s="104" t="s">
        <v>268</v>
      </c>
      <c r="R243" s="377">
        <f t="shared" ca="1" si="597"/>
        <v>4.3180104865796229</v>
      </c>
      <c r="S243" s="832">
        <f t="shared" si="671"/>
        <v>0.3600000000000001</v>
      </c>
      <c r="T243" s="831">
        <f t="shared" si="661"/>
        <v>0.99999999999999933</v>
      </c>
      <c r="U243" s="545">
        <f t="shared" si="662"/>
        <v>0.99999999999999978</v>
      </c>
      <c r="V243" s="389">
        <v>0</v>
      </c>
      <c r="W243" s="434">
        <f t="shared" si="598"/>
        <v>0</v>
      </c>
      <c r="X243" s="415">
        <f t="shared" si="599"/>
        <v>5.5619318181818098</v>
      </c>
      <c r="Y243" s="322">
        <f t="shared" si="600"/>
        <v>-1.2915000000000001</v>
      </c>
      <c r="Z243" s="322">
        <f t="shared" ca="1" si="601"/>
        <v>4.2704318181818097</v>
      </c>
      <c r="AA243" s="429">
        <f t="shared" si="628"/>
        <v>1.2915000000000001</v>
      </c>
      <c r="AB243" s="433">
        <f t="shared" ca="1" si="629"/>
        <v>1.2915000000000001</v>
      </c>
      <c r="AC243" s="229">
        <v>43544</v>
      </c>
      <c r="AD243" s="229">
        <v>43540</v>
      </c>
      <c r="AE243" s="229">
        <v>43539</v>
      </c>
      <c r="AF243" s="229">
        <v>43535</v>
      </c>
      <c r="AG243" s="249" t="s">
        <v>499</v>
      </c>
      <c r="AH243" s="247" t="s">
        <v>499</v>
      </c>
      <c r="AI243" s="146">
        <v>22</v>
      </c>
      <c r="AJ243" s="41">
        <v>15</v>
      </c>
      <c r="AK243" s="41">
        <v>7</v>
      </c>
      <c r="AL243" s="293">
        <v>22</v>
      </c>
      <c r="AM243" s="41">
        <v>10</v>
      </c>
      <c r="AN243" s="147">
        <v>12</v>
      </c>
      <c r="AO243" s="374"/>
      <c r="AP243" s="153">
        <f t="shared" ca="1" si="649"/>
        <v>1</v>
      </c>
      <c r="AQ243" s="374"/>
      <c r="AR243" s="153">
        <f t="shared" ca="1" si="663"/>
        <v>1</v>
      </c>
      <c r="AS243" s="272">
        <f t="shared" si="602"/>
        <v>0</v>
      </c>
      <c r="AT243" s="157">
        <f t="shared" si="650"/>
        <v>0</v>
      </c>
      <c r="AU243" s="157">
        <f t="shared" si="630"/>
        <v>0</v>
      </c>
      <c r="AV243" s="271">
        <f t="shared" ca="1" si="670"/>
        <v>9.9999999999999995E-7</v>
      </c>
      <c r="AW243" s="158" t="str">
        <f t="shared" ref="AW243:AW260" ca="1" si="672">IF($I243-DateToday+15&gt;=$T$8,"",IF($I243-DateToday+15&lt;$T$5,1,MATCH($I243-DateToday+15,$T$5:$T$8)))</f>
        <v/>
      </c>
      <c r="AX243" s="157">
        <f t="shared" ca="1" si="664"/>
        <v>1.3677650680006998E-5</v>
      </c>
      <c r="AY243" s="157">
        <f t="shared" ca="1" si="665"/>
        <v>2.3928213071801047E-6</v>
      </c>
      <c r="AZ243" s="157">
        <f t="shared" ca="1" si="666"/>
        <v>3.7211578377490325E-8</v>
      </c>
      <c r="BA243" s="157">
        <f t="shared" ca="1" si="667"/>
        <v>4.6514472971862906E-9</v>
      </c>
      <c r="BB243" s="157">
        <f t="shared" ca="1" si="668"/>
        <v>5.3017392739474179E-12</v>
      </c>
      <c r="BC243" s="157">
        <f t="shared" ca="1" si="669"/>
        <v>4.3271923916997515E-14</v>
      </c>
      <c r="BD243" s="151">
        <f t="shared" ca="1" si="603"/>
        <v>0</v>
      </c>
      <c r="BE243" s="152">
        <f t="shared" ca="1" si="604"/>
        <v>0</v>
      </c>
      <c r="BF243" s="40">
        <f t="shared" si="605"/>
        <v>2019</v>
      </c>
      <c r="BG243" s="144">
        <f t="shared" si="606"/>
        <v>4</v>
      </c>
      <c r="BH243" s="145">
        <f t="shared" ca="1" si="607"/>
        <v>6795</v>
      </c>
      <c r="BI243" s="313">
        <f t="shared" ca="1" si="608"/>
        <v>18.647501711156742</v>
      </c>
      <c r="BJ243" s="42">
        <f t="shared" ca="1" si="631"/>
        <v>18.701636488084127</v>
      </c>
      <c r="BK243" s="42">
        <f t="shared" ca="1" si="632"/>
        <v>18.704374338871258</v>
      </c>
      <c r="BL243" s="42">
        <f t="shared" ca="1" si="609"/>
        <v>18.726899383983572</v>
      </c>
      <c r="BM243" s="150" t="e">
        <f t="shared" ca="1" si="633"/>
        <v>#DIV/0!</v>
      </c>
      <c r="BN243" s="42" t="e">
        <f t="shared" ca="1" si="634"/>
        <v>#DIV/0!</v>
      </c>
      <c r="BO243" s="293">
        <f t="shared" si="610"/>
        <v>22</v>
      </c>
      <c r="BP243" s="41">
        <f t="shared" si="611"/>
        <v>15</v>
      </c>
      <c r="BQ243" s="41">
        <f t="shared" si="612"/>
        <v>7</v>
      </c>
      <c r="BR243" s="305" t="str">
        <f t="shared" ca="1" si="635"/>
        <v/>
      </c>
      <c r="BS243" s="305" t="str">
        <f t="shared" ca="1" si="613"/>
        <v/>
      </c>
      <c r="BT243" s="307" t="str">
        <f t="shared" ca="1" si="614"/>
        <v/>
      </c>
      <c r="BU243" s="161" t="str">
        <f t="shared" ca="1" si="636"/>
        <v/>
      </c>
      <c r="BV243" s="161" t="str">
        <f t="shared" ca="1" si="637"/>
        <v/>
      </c>
      <c r="BW243" s="308" t="str">
        <f t="shared" ca="1" si="638"/>
        <v/>
      </c>
      <c r="BX243" s="309" t="str">
        <f t="shared" ca="1" si="639"/>
        <v/>
      </c>
      <c r="BY243" s="308" t="str">
        <f t="shared" ca="1" si="615"/>
        <v/>
      </c>
      <c r="BZ243" s="309" t="str">
        <f t="shared" ca="1" si="616"/>
        <v/>
      </c>
      <c r="CA243" s="154" t="str">
        <f t="shared" ca="1" si="640"/>
        <v/>
      </c>
      <c r="CB243" s="154" t="str">
        <f t="shared" ca="1" si="641"/>
        <v/>
      </c>
      <c r="CC243" s="154" t="str">
        <f t="shared" ca="1" si="642"/>
        <v/>
      </c>
      <c r="CD243" s="154" t="str">
        <f t="shared" ca="1" si="643"/>
        <v/>
      </c>
      <c r="CE243" s="310">
        <v>1</v>
      </c>
      <c r="CF243" s="162">
        <f ca="1">IF(BD243,_xll.xCrudeAPO(BU243,BV243,CA243,CB243,S244,S245,BI243,BL243,BP243,BQ243,0,Strike1,AO243,CE243,0,BL243,IF(OptControl=4,0,1),0,1),0)</f>
        <v>0</v>
      </c>
      <c r="CG243" s="163">
        <f ca="1">IF(BD243,_xll.xCrudeAPO(BU243,BV243,CA243,CB243,S244,S245,BI243,BL243,BP243,BQ243,0,Strike1,AO243,CE243,0,BL243,IF(OptControl=4,0,1),1,1)+_xll.xCrudeAPO(BU243,BV243,CA243,CB243,S244,S245,BI243,BL243,BP243,BQ243,0,Strike1,AO243,CE243,0,BL243,IF(OptControl=4,0,1),1,2)+IF(OR(VolSkewFlag=2,ABS(BS243)&lt;0.0001),0,IF(BS243&gt;0,-1,1)*CH243*Strike1/BR243^2*BY243/10%),0)</f>
        <v>0</v>
      </c>
      <c r="CH243" s="163">
        <f ca="1">IF(BD243,(_xll.xCrudeAPO(BU243,BV243,CA243,CB243,S244,S245,BI243,BL243,BP243,BQ243,0,Strike1,AO243,CE243,0,BL243,IF(OptControl=4,0,1),3,1)+_xll.xCrudeAPO(BU243,BV243,CA243,CB243,S244,S245,BI243,BL243,BP243,BQ243,0,Strike1,AO243,CE243,0,BL243,IF(OptControl=4,0,1),3,2))/100,0)</f>
        <v>0</v>
      </c>
      <c r="CI243" s="163">
        <f ca="1">IF(BD243,_xll.xCrudeAPO(BU243,BV243,CA243,CB243,S244,S245,BI243-DaysForThetaCalculation/365.25,BL243-DaysForThetaCalculation/365.25,BP243,BQ243,0,Strike1,AO243,CE243,0,BL243,IF(OptControl=4,0,1),0,1)-_xll.xCrudeAPO(BU243,BV243,CA243,CB243,S244,S245,BI243,BL243,BP243,BQ243,0,Strike1,AO243,CE243,0,BL243,IF(OptControl=4,0,1),0,1),0)</f>
        <v>0</v>
      </c>
      <c r="CJ243" s="311">
        <f ca="1">IF(BD243,_xll.xCrudeAPO(BU243,BV243,CC243,CD243,S244,S245,BI243,BL243,BP243,BQ243,0,Strike2,AO243,CE243,0,BL243,IF(OptControl=3,1,0),0,1),0)</f>
        <v>0</v>
      </c>
      <c r="CK243" s="163">
        <f ca="1">IF(BD243,_xll.xCrudeAPO(BU243,BV243,CC243,CD243,S244,S245,BI243,BL243,BP243,BQ243,0,Strike2,AO243,CE243,0,BL243,IF(OptControl=3,1,0),1,1)+_xll.xCrudeAPO(BU243,BV243,CC243,CD243,S244,S245,BI243,BL243,BP243,BQ243,0,Strike2,AO243,CE243,0,BL243,IF(OptControl=3,1,0),1,2)+IF(OR(VolSkewFlag=2,ABS(BT243)&lt;0.0001),0,IF(BT243&gt;0,-1,1)*CL243*Strike2/BR243^2*BZ243/10%),0)</f>
        <v>0</v>
      </c>
      <c r="CL243" s="163">
        <f ca="1">IF(BD243,(_xll.xCrudeAPO(BU243,BV243,CC243,CD243,S244,S245,BI243,BL243,BP243,BQ243,0,Strike2,AO243,CE243,0,BL243,IF(OptControl=3,1,0),3,1)+_xll.xCrudeAPO(BU243,BV243,CC243,CD243,S244,S245,BI243,BL243,BP243,BQ243,0,Strike2,AO243,CE243,0,BL243,IF(OptControl=3,1,0),3,2))/100,0)</f>
        <v>0</v>
      </c>
      <c r="CM243" s="164">
        <f ca="1">IF(BD243,_xll.xCrudeAPO(BU243,BV243,CC243,CD243,S244,S245,BI243-DaysForThetaCalculation/365.25,BL243-DaysForThetaCalculation/365.25,BP243,BQ243,0,Strike2,AO243,CE243,0,BL243,IF(OptControl=3,1,0),0,1)-_xll.xCrudeAPO(BU243,BV243,CC243,CD243,S244,S245,BI243,BL243,BP243,BQ243,0,Strike2,AO243,CE243,0,BL243,IF(OptControl=3,1,0),0,1),0)</f>
        <v>0</v>
      </c>
      <c r="CN243" s="53"/>
      <c r="CO243" s="796" t="str">
        <f t="shared" ca="1" si="651"/>
        <v/>
      </c>
      <c r="CP243" s="800" t="str">
        <f t="shared" ca="1" si="652"/>
        <v/>
      </c>
      <c r="CQ243" s="797" t="str">
        <f t="shared" ca="1" si="653"/>
        <v/>
      </c>
      <c r="CR243" s="797" t="str">
        <f t="shared" ca="1" si="654"/>
        <v/>
      </c>
      <c r="CS243" s="797" t="str">
        <f t="shared" ca="1" si="655"/>
        <v/>
      </c>
      <c r="CT243" s="797" t="str">
        <f t="shared" ca="1" si="656"/>
        <v/>
      </c>
      <c r="CU243" s="798" t="str">
        <f t="shared" ca="1" si="657"/>
        <v/>
      </c>
      <c r="CV243" s="799" t="str">
        <f t="shared" ca="1" si="658"/>
        <v/>
      </c>
      <c r="CW243" s="799" t="str">
        <f t="shared" ca="1" si="659"/>
        <v/>
      </c>
      <c r="CX243" s="163">
        <f ca="1">IF(BD243,_xll.EURO(CP243,Strike1,AO243,AO243,CV243,CO243,IF(OptControl=4,0,1),0),0)</f>
        <v>0</v>
      </c>
      <c r="CY243" s="163">
        <f ca="1">IF(BD243,_xll.EURO(CP243,Strike1,AO243,AO243,CV243,CO243,IF(OptControl=4,0,1),1)+IF(OR(VolSkewFlag=2,ABS(CQ243)&lt;0.0001),0,IF(CQ243&gt;0,-1,1)*CZ243*100*Strike1/CP243^2*CS243/10%),0)</f>
        <v>0</v>
      </c>
      <c r="CZ243" s="163">
        <f ca="1">IF(BD243,_xll.EURO(CP243,Strike1,AO243,AO243,CV243,CO243,IF(OptControl=4,0,1),3)/100,0)</f>
        <v>0</v>
      </c>
      <c r="DA243" s="163">
        <f ca="1">IF(BD243,_xll.EURO(CP243,Strike1,AO243,AO243,CV243,CO243,IF(OptControl=4,0,1),0)-_xll.EURO(CP243,Strike1,AO243,AO243,CV243,CO243-1,IF(OptControl=4,0,1),0),0)</f>
        <v>0</v>
      </c>
      <c r="DB243" s="163">
        <f ca="1">IF(BD243,_xll.EURO(CP243,Strike2,AO243,AO243,CW243,CO243,IF(OptControl=3,1,0),0),0)</f>
        <v>0</v>
      </c>
      <c r="DC243" s="163">
        <f ca="1">IF(BD243,_xll.EURO(CP243,Strike2,AO243,AO243,CW243,CO243,IF(OptControl=3,1,0),1)+IF(OR(VolSkewFlag=2,ABS(CR243)&lt;0.0001),0,IF(CR243&gt;0,-1,1)*DD243*100*Strike2/CP243^2*CT243/10%),0)</f>
        <v>0</v>
      </c>
      <c r="DD243" s="163">
        <f ca="1">IF(BD243,_xll.EURO(CP243,Strike2,AO243,AO243,CW243,CO243,IF(OptControl=3,1,0),3)/100,0)</f>
        <v>0</v>
      </c>
      <c r="DE243" s="164">
        <f ca="1">IF(BD243,_xll.EURO(CP243,Strike2,AO243,AO243,CW243,CO243,IF(OptControl=3,1,0),0)-_xll.EURO(CP243,Strike2,AO243,AO243,CW243,CO243-1,IF(OptControl=3,1,0),0),0)</f>
        <v>0</v>
      </c>
      <c r="DG243" s="667">
        <f t="shared" ca="1" si="660"/>
        <v>43344</v>
      </c>
      <c r="DH243" s="475">
        <v>25.310000000000105</v>
      </c>
      <c r="DI243" s="665">
        <v>25.375000000000107</v>
      </c>
      <c r="DJ243" s="666">
        <f t="shared" ca="1" si="617"/>
        <v>43344</v>
      </c>
      <c r="DK243" s="475">
        <v>24.12840541462084</v>
      </c>
      <c r="DL243" s="665">
        <v>24.108100000000107</v>
      </c>
      <c r="DM243" s="667">
        <f t="shared" ca="1" si="618"/>
        <v>43344</v>
      </c>
      <c r="DN243" s="668">
        <f t="shared" si="619"/>
        <v>24.17840541462084</v>
      </c>
      <c r="DO243" s="667">
        <f t="shared" ca="1" si="620"/>
        <v>43344</v>
      </c>
      <c r="DP243" s="579">
        <f t="shared" si="621"/>
        <v>24.108100000000107</v>
      </c>
      <c r="DQ243" s="821">
        <v>0</v>
      </c>
      <c r="DR243" s="666">
        <f t="shared" ca="1" si="622"/>
        <v>43344</v>
      </c>
      <c r="DS243" s="669">
        <v>9.0799999999996994E-2</v>
      </c>
      <c r="DT243" s="606">
        <v>9.0019999999997088E-2</v>
      </c>
      <c r="DU243" s="666">
        <f t="shared" ca="1" si="623"/>
        <v>43344</v>
      </c>
      <c r="DV243" s="669">
        <v>9.0799999999996994E-2</v>
      </c>
      <c r="DW243" s="606">
        <v>9.0019999999997088E-2</v>
      </c>
      <c r="DX243" s="667">
        <f t="shared" ca="1" si="624"/>
        <v>43344</v>
      </c>
      <c r="DY243" s="606">
        <v>0.35</v>
      </c>
      <c r="DZ243" s="667">
        <f t="shared" ca="1" si="625"/>
        <v>43344</v>
      </c>
      <c r="EA243" s="606">
        <f t="shared" si="626"/>
        <v>9.0019999999997088E-2</v>
      </c>
      <c r="EB243" s="1"/>
      <c r="EC243" s="118" t="str">
        <f t="shared" ca="1" si="627"/>
        <v/>
      </c>
      <c r="ED243" s="119" t="str">
        <f t="shared" ca="1" si="644"/>
        <v/>
      </c>
      <c r="EE243" s="112" t="str">
        <f t="shared" ca="1" si="645"/>
        <v/>
      </c>
      <c r="EF243" s="120">
        <f ca="1">IF(BD243,_xll.xASN(BR243,Strike1,AO243,ED243,0,BO243,0,BI243,BL243,IF(OptControl=4,0,1),0),0)</f>
        <v>0</v>
      </c>
      <c r="EG243" s="111">
        <f ca="1">IF(BD243,_xll.xASN(BR243,Strike2,AO243,EE243,0,BO243,0,BI243,BL243,IF(OptControl=3,1,0),0),0)</f>
        <v>0</v>
      </c>
      <c r="EL243" s="55"/>
      <c r="EM243" s="1"/>
      <c r="EN243" s="106"/>
      <c r="EO243" s="106"/>
      <c r="EP243" s="1"/>
      <c r="EQ243" s="683" t="s">
        <v>457</v>
      </c>
      <c r="ES243" s="55"/>
      <c r="EU243" s="107"/>
      <c r="FJ243" s="467" t="s">
        <v>239</v>
      </c>
      <c r="FK243" s="250"/>
      <c r="FL243" s="250"/>
      <c r="FM243" s="250"/>
      <c r="FN243" s="250"/>
      <c r="FO243" s="250"/>
      <c r="FP243" s="250"/>
      <c r="FQ243" s="250"/>
      <c r="FR243" s="250"/>
      <c r="FS243" s="250"/>
      <c r="FT243" s="250"/>
      <c r="FU243" s="250"/>
      <c r="FV243" s="250"/>
      <c r="FW243" s="250"/>
      <c r="FX243" s="250"/>
      <c r="FY243" s="250"/>
      <c r="FZ243" s="250"/>
      <c r="GA243" s="250"/>
      <c r="GB243" s="250"/>
      <c r="GC243" s="250"/>
      <c r="GD243" s="250"/>
      <c r="GE243" s="250"/>
      <c r="GF243" s="250"/>
      <c r="GG243" s="250"/>
      <c r="GH243" s="250"/>
      <c r="GI243" s="250"/>
      <c r="GJ243" s="250"/>
      <c r="GK243" s="250"/>
      <c r="GL243" s="250"/>
      <c r="GM243" s="250"/>
      <c r="GN243" s="250"/>
      <c r="GO243" s="250"/>
      <c r="GP243" s="250"/>
      <c r="GQ243" s="250"/>
      <c r="GR243" s="250"/>
      <c r="GS243" s="250"/>
      <c r="GT243" s="250"/>
      <c r="GU243" s="250"/>
      <c r="GV243" s="250"/>
      <c r="GW243" s="250"/>
      <c r="GX243" s="250"/>
      <c r="GY243" s="250"/>
      <c r="GZ243" s="250"/>
      <c r="HA243" s="250"/>
      <c r="HB243" s="250"/>
      <c r="HC243" s="250"/>
      <c r="HD243" s="250"/>
      <c r="HE243" s="250"/>
      <c r="HF243" s="250"/>
      <c r="HG243" s="250"/>
      <c r="HH243" s="250"/>
      <c r="HI243" s="250"/>
      <c r="HJ243" s="250"/>
      <c r="HK243" s="250"/>
      <c r="HL243" s="250"/>
      <c r="HM243" s="250"/>
      <c r="HN243" s="250"/>
      <c r="HO243" s="250"/>
      <c r="HP243" s="250"/>
      <c r="HQ243" s="250"/>
      <c r="HR243" s="250"/>
      <c r="HS243" s="250"/>
      <c r="HT243" s="250"/>
      <c r="HU243" s="250"/>
      <c r="HV243" s="250"/>
      <c r="HW243" s="250"/>
      <c r="HX243" s="250"/>
      <c r="HY243" s="250"/>
      <c r="HZ243" s="250"/>
      <c r="IA243" s="250"/>
      <c r="IB243" s="250"/>
      <c r="IC243" s="250"/>
      <c r="ID243" s="250"/>
      <c r="IE243" s="250"/>
    </row>
    <row r="244" spans="8:239">
      <c r="H244" s="51">
        <f t="shared" ca="1" si="646"/>
        <v>0</v>
      </c>
      <c r="I244" s="379">
        <f t="shared" si="647"/>
        <v>43586</v>
      </c>
      <c r="J244" s="377"/>
      <c r="K244" s="104" t="s">
        <v>268</v>
      </c>
      <c r="L244" s="392">
        <f t="shared" si="648"/>
        <v>5.5499999999999918</v>
      </c>
      <c r="M244" s="171"/>
      <c r="N244" s="382">
        <v>0</v>
      </c>
      <c r="O244" s="171">
        <f t="shared" si="596"/>
        <v>0</v>
      </c>
      <c r="P244" s="377"/>
      <c r="Q244" s="104" t="s">
        <v>268</v>
      </c>
      <c r="R244" s="377">
        <f t="shared" ca="1" si="597"/>
        <v>4.3914904667457826</v>
      </c>
      <c r="S244" s="832">
        <f t="shared" si="671"/>
        <v>0.3600000000000001</v>
      </c>
      <c r="T244" s="831">
        <f t="shared" si="661"/>
        <v>0.99999999999999933</v>
      </c>
      <c r="U244" s="545">
        <f t="shared" si="662"/>
        <v>0.99999999999999978</v>
      </c>
      <c r="V244" s="389">
        <v>0</v>
      </c>
      <c r="W244" s="434">
        <f t="shared" si="598"/>
        <v>0</v>
      </c>
      <c r="X244" s="415">
        <f t="shared" si="599"/>
        <v>5.6021739130434698</v>
      </c>
      <c r="Y244" s="322">
        <f t="shared" si="600"/>
        <v>-1.2915000000000001</v>
      </c>
      <c r="Z244" s="322">
        <f t="shared" ca="1" si="601"/>
        <v>4.3106739130434697</v>
      </c>
      <c r="AA244" s="429">
        <f t="shared" si="628"/>
        <v>1.2915000000000001</v>
      </c>
      <c r="AB244" s="433">
        <f t="shared" ca="1" si="629"/>
        <v>1.2915000000000001</v>
      </c>
      <c r="AC244" s="229">
        <v>43575</v>
      </c>
      <c r="AD244" s="229">
        <v>43571</v>
      </c>
      <c r="AE244" s="229">
        <v>43570</v>
      </c>
      <c r="AF244" s="229">
        <v>43566</v>
      </c>
      <c r="AG244" s="249" t="s">
        <v>499</v>
      </c>
      <c r="AH244" s="247" t="s">
        <v>499</v>
      </c>
      <c r="AI244" s="146">
        <v>23</v>
      </c>
      <c r="AJ244" s="41">
        <v>14</v>
      </c>
      <c r="AK244" s="41">
        <v>9</v>
      </c>
      <c r="AL244" s="293">
        <v>23</v>
      </c>
      <c r="AM244" s="41">
        <v>10</v>
      </c>
      <c r="AN244" s="147">
        <v>13</v>
      </c>
      <c r="AO244" s="374"/>
      <c r="AP244" s="153">
        <f t="shared" ca="1" si="649"/>
        <v>1</v>
      </c>
      <c r="AQ244" s="374"/>
      <c r="AR244" s="153">
        <f t="shared" ca="1" si="663"/>
        <v>1</v>
      </c>
      <c r="AS244" s="272">
        <f t="shared" si="602"/>
        <v>0</v>
      </c>
      <c r="AT244" s="157">
        <f t="shared" si="650"/>
        <v>0</v>
      </c>
      <c r="AU244" s="157">
        <f t="shared" si="630"/>
        <v>0</v>
      </c>
      <c r="AV244" s="271">
        <f t="shared" ca="1" si="670"/>
        <v>9.9999999999999995E-7</v>
      </c>
      <c r="AW244" s="158" t="str">
        <f t="shared" ca="1" si="672"/>
        <v/>
      </c>
      <c r="AX244" s="157">
        <f t="shared" ca="1" si="664"/>
        <v>1.322322038885205E-5</v>
      </c>
      <c r="AY244" s="157">
        <f t="shared" ca="1" si="665"/>
        <v>2.2979424793089706E-6</v>
      </c>
      <c r="AZ244" s="157">
        <f t="shared" ca="1" si="666"/>
        <v>3.5123052964854647E-8</v>
      </c>
      <c r="BA244" s="157">
        <f t="shared" ca="1" si="667"/>
        <v>4.3903816206068309E-9</v>
      </c>
      <c r="BB244" s="157">
        <f t="shared" ca="1" si="668"/>
        <v>4.8379153133702006E-12</v>
      </c>
      <c r="BC244" s="157">
        <f t="shared" ca="1" si="669"/>
        <v>3.8550901549119367E-14</v>
      </c>
      <c r="BD244" s="151">
        <f t="shared" ca="1" si="603"/>
        <v>0</v>
      </c>
      <c r="BE244" s="152">
        <f t="shared" ca="1" si="604"/>
        <v>0</v>
      </c>
      <c r="BF244" s="40">
        <f t="shared" si="605"/>
        <v>2019</v>
      </c>
      <c r="BG244" s="144">
        <f t="shared" si="606"/>
        <v>5</v>
      </c>
      <c r="BH244" s="145">
        <f t="shared" ca="1" si="607"/>
        <v>6826</v>
      </c>
      <c r="BI244" s="313">
        <f t="shared" ca="1" si="608"/>
        <v>18.729637234770706</v>
      </c>
      <c r="BJ244" s="42">
        <f t="shared" ca="1" si="631"/>
        <v>18.779632770883552</v>
      </c>
      <c r="BK244" s="42">
        <f t="shared" ca="1" si="632"/>
        <v>18.782370621670683</v>
      </c>
      <c r="BL244" s="42">
        <f t="shared" ca="1" si="609"/>
        <v>18.811772758384667</v>
      </c>
      <c r="BM244" s="150" t="e">
        <f t="shared" ca="1" si="633"/>
        <v>#DIV/0!</v>
      </c>
      <c r="BN244" s="42" t="e">
        <f t="shared" ca="1" si="634"/>
        <v>#DIV/0!</v>
      </c>
      <c r="BO244" s="293">
        <f t="shared" si="610"/>
        <v>23</v>
      </c>
      <c r="BP244" s="41">
        <f t="shared" si="611"/>
        <v>14</v>
      </c>
      <c r="BQ244" s="41">
        <f t="shared" si="612"/>
        <v>9</v>
      </c>
      <c r="BR244" s="305" t="str">
        <f t="shared" ca="1" si="635"/>
        <v/>
      </c>
      <c r="BS244" s="305" t="str">
        <f t="shared" ca="1" si="613"/>
        <v/>
      </c>
      <c r="BT244" s="307" t="str">
        <f t="shared" ca="1" si="614"/>
        <v/>
      </c>
      <c r="BU244" s="161" t="str">
        <f t="shared" ca="1" si="636"/>
        <v/>
      </c>
      <c r="BV244" s="161" t="str">
        <f t="shared" ca="1" si="637"/>
        <v/>
      </c>
      <c r="BW244" s="308" t="str">
        <f t="shared" ca="1" si="638"/>
        <v/>
      </c>
      <c r="BX244" s="309" t="str">
        <f t="shared" ca="1" si="639"/>
        <v/>
      </c>
      <c r="BY244" s="308" t="str">
        <f t="shared" ca="1" si="615"/>
        <v/>
      </c>
      <c r="BZ244" s="309" t="str">
        <f t="shared" ca="1" si="616"/>
        <v/>
      </c>
      <c r="CA244" s="154" t="str">
        <f t="shared" ca="1" si="640"/>
        <v/>
      </c>
      <c r="CB244" s="154" t="str">
        <f t="shared" ca="1" si="641"/>
        <v/>
      </c>
      <c r="CC244" s="154" t="str">
        <f t="shared" ca="1" si="642"/>
        <v/>
      </c>
      <c r="CD244" s="154" t="str">
        <f t="shared" ca="1" si="643"/>
        <v/>
      </c>
      <c r="CE244" s="310">
        <v>1</v>
      </c>
      <c r="CF244" s="162">
        <f ca="1">IF(BD244,_xll.xCrudeAPO(BU244,BV244,CA244,CB244,S245,S246,BI244,BL244,BP244,BQ244,0,Strike1,AO244,CE244,0,BL244,IF(OptControl=4,0,1),0,1),0)</f>
        <v>0</v>
      </c>
      <c r="CG244" s="163">
        <f ca="1">IF(BD244,_xll.xCrudeAPO(BU244,BV244,CA244,CB244,S245,S246,BI244,BL244,BP244,BQ244,0,Strike1,AO244,CE244,0,BL244,IF(OptControl=4,0,1),1,1)+_xll.xCrudeAPO(BU244,BV244,CA244,CB244,S245,S246,BI244,BL244,BP244,BQ244,0,Strike1,AO244,CE244,0,BL244,IF(OptControl=4,0,1),1,2)+IF(OR(VolSkewFlag=2,ABS(BS244)&lt;0.0001),0,IF(BS244&gt;0,-1,1)*CH244*Strike1/BR244^2*BY244/10%),0)</f>
        <v>0</v>
      </c>
      <c r="CH244" s="163">
        <f ca="1">IF(BD244,(_xll.xCrudeAPO(BU244,BV244,CA244,CB244,S245,S246,BI244,BL244,BP244,BQ244,0,Strike1,AO244,CE244,0,BL244,IF(OptControl=4,0,1),3,1)+_xll.xCrudeAPO(BU244,BV244,CA244,CB244,S245,S246,BI244,BL244,BP244,BQ244,0,Strike1,AO244,CE244,0,BL244,IF(OptControl=4,0,1),3,2))/100,0)</f>
        <v>0</v>
      </c>
      <c r="CI244" s="163">
        <f ca="1">IF(BD244,_xll.xCrudeAPO(BU244,BV244,CA244,CB244,S245,S246,BI244-DaysForThetaCalculation/365.25,BL244-DaysForThetaCalculation/365.25,BP244,BQ244,0,Strike1,AO244,CE244,0,BL244,IF(OptControl=4,0,1),0,1)-_xll.xCrudeAPO(BU244,BV244,CA244,CB244,S245,S246,BI244,BL244,BP244,BQ244,0,Strike1,AO244,CE244,0,BL244,IF(OptControl=4,0,1),0,1),0)</f>
        <v>0</v>
      </c>
      <c r="CJ244" s="311">
        <f ca="1">IF(BD244,_xll.xCrudeAPO(BU244,BV244,CC244,CD244,S245,S246,BI244,BL244,BP244,BQ244,0,Strike2,AO244,CE244,0,BL244,IF(OptControl=3,1,0),0,1),0)</f>
        <v>0</v>
      </c>
      <c r="CK244" s="163">
        <f ca="1">IF(BD244,_xll.xCrudeAPO(BU244,BV244,CC244,CD244,S245,S246,BI244,BL244,BP244,BQ244,0,Strike2,AO244,CE244,0,BL244,IF(OptControl=3,1,0),1,1)+_xll.xCrudeAPO(BU244,BV244,CC244,CD244,S245,S246,BI244,BL244,BP244,BQ244,0,Strike2,AO244,CE244,0,BL244,IF(OptControl=3,1,0),1,2)+IF(OR(VolSkewFlag=2,ABS(BT244)&lt;0.0001),0,IF(BT244&gt;0,-1,1)*CL244*Strike2/BR244^2*BZ244/10%),0)</f>
        <v>0</v>
      </c>
      <c r="CL244" s="163">
        <f ca="1">IF(BD244,(_xll.xCrudeAPO(BU244,BV244,CC244,CD244,S245,S246,BI244,BL244,BP244,BQ244,0,Strike2,AO244,CE244,0,BL244,IF(OptControl=3,1,0),3,1)+_xll.xCrudeAPO(BU244,BV244,CC244,CD244,S245,S246,BI244,BL244,BP244,BQ244,0,Strike2,AO244,CE244,0,BL244,IF(OptControl=3,1,0),3,2))/100,0)</f>
        <v>0</v>
      </c>
      <c r="CM244" s="164">
        <f ca="1">IF(BD244,_xll.xCrudeAPO(BU244,BV244,CC244,CD244,S245,S246,BI244-DaysForThetaCalculation/365.25,BL244-DaysForThetaCalculation/365.25,BP244,BQ244,0,Strike2,AO244,CE244,0,BL244,IF(OptControl=3,1,0),0,1)-_xll.xCrudeAPO(BU244,BV244,CC244,CD244,S245,S246,BI244,BL244,BP244,BQ244,0,Strike2,AO244,CE244,0,BL244,IF(OptControl=3,1,0),0,1),0)</f>
        <v>0</v>
      </c>
      <c r="CN244" s="53"/>
      <c r="CO244" s="796" t="str">
        <f t="shared" ca="1" si="651"/>
        <v/>
      </c>
      <c r="CP244" s="800" t="str">
        <f t="shared" ca="1" si="652"/>
        <v/>
      </c>
      <c r="CQ244" s="797" t="str">
        <f t="shared" ca="1" si="653"/>
        <v/>
      </c>
      <c r="CR244" s="797" t="str">
        <f t="shared" ca="1" si="654"/>
        <v/>
      </c>
      <c r="CS244" s="797" t="str">
        <f t="shared" ca="1" si="655"/>
        <v/>
      </c>
      <c r="CT244" s="797" t="str">
        <f t="shared" ca="1" si="656"/>
        <v/>
      </c>
      <c r="CU244" s="798" t="str">
        <f t="shared" ca="1" si="657"/>
        <v/>
      </c>
      <c r="CV244" s="799" t="str">
        <f t="shared" ca="1" si="658"/>
        <v/>
      </c>
      <c r="CW244" s="799" t="str">
        <f t="shared" ca="1" si="659"/>
        <v/>
      </c>
      <c r="CX244" s="163">
        <f ca="1">IF(BD244,_xll.EURO(CP244,Strike1,AO244,AO244,CV244,CO244,IF(OptControl=4,0,1),0),0)</f>
        <v>0</v>
      </c>
      <c r="CY244" s="163">
        <f ca="1">IF(BD244,_xll.EURO(CP244,Strike1,AO244,AO244,CV244,CO244,IF(OptControl=4,0,1),1)+IF(OR(VolSkewFlag=2,ABS(CQ244)&lt;0.0001),0,IF(CQ244&gt;0,-1,1)*CZ244*100*Strike1/CP244^2*CS244/10%),0)</f>
        <v>0</v>
      </c>
      <c r="CZ244" s="163">
        <f ca="1">IF(BD244,_xll.EURO(CP244,Strike1,AO244,AO244,CV244,CO244,IF(OptControl=4,0,1),3)/100,0)</f>
        <v>0</v>
      </c>
      <c r="DA244" s="163">
        <f ca="1">IF(BD244,_xll.EURO(CP244,Strike1,AO244,AO244,CV244,CO244,IF(OptControl=4,0,1),0)-_xll.EURO(CP244,Strike1,AO244,AO244,CV244,CO244-1,IF(OptControl=4,0,1),0),0)</f>
        <v>0</v>
      </c>
      <c r="DB244" s="163">
        <f ca="1">IF(BD244,_xll.EURO(CP244,Strike2,AO244,AO244,CW244,CO244,IF(OptControl=3,1,0),0),0)</f>
        <v>0</v>
      </c>
      <c r="DC244" s="163">
        <f ca="1">IF(BD244,_xll.EURO(CP244,Strike2,AO244,AO244,CW244,CO244,IF(OptControl=3,1,0),1)+IF(OR(VolSkewFlag=2,ABS(CR244)&lt;0.0001),0,IF(CR244&gt;0,-1,1)*DD244*100*Strike2/CP244^2*CT244/10%),0)</f>
        <v>0</v>
      </c>
      <c r="DD244" s="163">
        <f ca="1">IF(BD244,_xll.EURO(CP244,Strike2,AO244,AO244,CW244,CO244,IF(OptControl=3,1,0),3)/100,0)</f>
        <v>0</v>
      </c>
      <c r="DE244" s="164">
        <f ca="1">IF(BD244,_xll.EURO(CP244,Strike2,AO244,AO244,CW244,CO244,IF(OptControl=3,1,0),0)-_xll.EURO(CP244,Strike2,AO244,AO244,CW244,CO244-1,IF(OptControl=3,1,0),0),0)</f>
        <v>0</v>
      </c>
      <c r="DG244" s="667">
        <f t="shared" ca="1" si="660"/>
        <v>43374</v>
      </c>
      <c r="DH244" s="475">
        <v>25.360000000000106</v>
      </c>
      <c r="DI244" s="665">
        <v>25.427391304347932</v>
      </c>
      <c r="DJ244" s="666">
        <f t="shared" ca="1" si="617"/>
        <v>43374</v>
      </c>
      <c r="DK244" s="475">
        <v>24.012095834907235</v>
      </c>
      <c r="DL244" s="665">
        <v>24.234291304347931</v>
      </c>
      <c r="DM244" s="667">
        <f t="shared" ca="1" si="618"/>
        <v>43374</v>
      </c>
      <c r="DN244" s="668">
        <f t="shared" si="619"/>
        <v>24.062095834907236</v>
      </c>
      <c r="DO244" s="667">
        <f t="shared" ca="1" si="620"/>
        <v>43374</v>
      </c>
      <c r="DP244" s="579">
        <f t="shared" si="621"/>
        <v>24.234291304347931</v>
      </c>
      <c r="DQ244" s="821">
        <v>0</v>
      </c>
      <c r="DR244" s="666">
        <f t="shared" ca="1" si="622"/>
        <v>43374</v>
      </c>
      <c r="DS244" s="669">
        <v>9.0199999999996991E-2</v>
      </c>
      <c r="DT244" s="606">
        <v>8.9391304347823386E-2</v>
      </c>
      <c r="DU244" s="666">
        <f t="shared" ca="1" si="623"/>
        <v>43374</v>
      </c>
      <c r="DV244" s="669">
        <v>9.0199999999996991E-2</v>
      </c>
      <c r="DW244" s="606">
        <v>8.9391304347823386E-2</v>
      </c>
      <c r="DX244" s="667">
        <f t="shared" ca="1" si="624"/>
        <v>43374</v>
      </c>
      <c r="DY244" s="606">
        <v>0.35</v>
      </c>
      <c r="DZ244" s="667">
        <f t="shared" ca="1" si="625"/>
        <v>43374</v>
      </c>
      <c r="EA244" s="606">
        <f t="shared" si="626"/>
        <v>8.9391304347823386E-2</v>
      </c>
      <c r="EB244" s="1"/>
      <c r="EC244" s="118" t="str">
        <f t="shared" ca="1" si="627"/>
        <v/>
      </c>
      <c r="ED244" s="119" t="str">
        <f t="shared" ca="1" si="644"/>
        <v/>
      </c>
      <c r="EE244" s="112" t="str">
        <f t="shared" ca="1" si="645"/>
        <v/>
      </c>
      <c r="EF244" s="120">
        <f ca="1">IF(BD244,_xll.xASN(BR244,Strike1,AO244,ED244,0,BO244,0,BI244,BL244,IF(OptControl=4,0,1),0),0)</f>
        <v>0</v>
      </c>
      <c r="EG244" s="111">
        <f ca="1">IF(BD244,_xll.xASN(BR244,Strike2,AO244,EE244,0,BO244,0,BI244,BL244,IF(OptControl=3,1,0),0),0)</f>
        <v>0</v>
      </c>
      <c r="EL244" s="55"/>
      <c r="EM244" s="1"/>
      <c r="EN244" s="106"/>
      <c r="EO244" s="106"/>
      <c r="EP244" s="1"/>
      <c r="EQ244" s="683" t="s">
        <v>458</v>
      </c>
      <c r="ES244" s="55"/>
      <c r="EU244" s="107"/>
      <c r="FJ244" s="670"/>
      <c r="FK244" s="671">
        <v>72</v>
      </c>
      <c r="FL244" s="671">
        <v>71</v>
      </c>
      <c r="FM244" s="671">
        <v>70</v>
      </c>
      <c r="FN244" s="671">
        <v>69</v>
      </c>
      <c r="FO244" s="671">
        <v>68</v>
      </c>
      <c r="FP244" s="671">
        <v>67</v>
      </c>
      <c r="FQ244" s="671">
        <v>66</v>
      </c>
      <c r="FR244" s="671">
        <v>65</v>
      </c>
      <c r="FS244" s="671">
        <v>64</v>
      </c>
      <c r="FT244" s="671">
        <v>63</v>
      </c>
      <c r="FU244" s="671">
        <v>62</v>
      </c>
      <c r="FV244" s="671">
        <v>61</v>
      </c>
      <c r="FW244" s="671">
        <v>60</v>
      </c>
      <c r="FX244" s="671">
        <v>59</v>
      </c>
      <c r="FY244" s="671">
        <v>58</v>
      </c>
      <c r="FZ244" s="671">
        <v>57</v>
      </c>
      <c r="GA244" s="671">
        <v>56</v>
      </c>
      <c r="GB244" s="671">
        <v>55</v>
      </c>
      <c r="GC244" s="671">
        <v>54</v>
      </c>
      <c r="GD244" s="671">
        <v>53</v>
      </c>
      <c r="GE244" s="671">
        <v>52</v>
      </c>
      <c r="GF244" s="671">
        <v>51</v>
      </c>
      <c r="GG244" s="671">
        <v>50</v>
      </c>
      <c r="GH244" s="671">
        <v>49</v>
      </c>
      <c r="GI244" s="671">
        <v>48</v>
      </c>
      <c r="GJ244" s="671">
        <v>47</v>
      </c>
      <c r="GK244" s="671">
        <v>46</v>
      </c>
      <c r="GL244" s="671">
        <v>45</v>
      </c>
      <c r="GM244" s="671">
        <v>44</v>
      </c>
      <c r="GN244" s="671">
        <v>43</v>
      </c>
      <c r="GO244" s="671">
        <v>42</v>
      </c>
      <c r="GP244" s="671">
        <v>41</v>
      </c>
      <c r="GQ244" s="671">
        <v>40</v>
      </c>
      <c r="GR244" s="671">
        <v>39</v>
      </c>
      <c r="GS244" s="671">
        <v>38</v>
      </c>
      <c r="GT244" s="671">
        <v>37</v>
      </c>
      <c r="GU244" s="671">
        <v>36</v>
      </c>
      <c r="GV244" s="671">
        <v>35</v>
      </c>
      <c r="GW244" s="671">
        <v>34</v>
      </c>
      <c r="GX244" s="671">
        <v>33</v>
      </c>
      <c r="GY244" s="671">
        <v>32</v>
      </c>
      <c r="GZ244" s="671">
        <v>31</v>
      </c>
      <c r="HA244" s="671">
        <v>30</v>
      </c>
      <c r="HB244" s="671">
        <v>29</v>
      </c>
      <c r="HC244" s="671">
        <v>28</v>
      </c>
      <c r="HD244" s="671">
        <v>27</v>
      </c>
      <c r="HE244" s="671">
        <v>26</v>
      </c>
      <c r="HF244" s="671">
        <v>25</v>
      </c>
      <c r="HG244" s="671">
        <v>24</v>
      </c>
      <c r="HH244" s="671">
        <v>23</v>
      </c>
      <c r="HI244" s="671">
        <v>22</v>
      </c>
      <c r="HJ244" s="671">
        <v>21</v>
      </c>
      <c r="HK244" s="671">
        <v>20</v>
      </c>
      <c r="HL244" s="671">
        <v>19</v>
      </c>
      <c r="HM244" s="671">
        <v>18</v>
      </c>
      <c r="HN244" s="671">
        <v>17</v>
      </c>
      <c r="HO244" s="671">
        <v>16</v>
      </c>
      <c r="HP244" s="671">
        <v>15</v>
      </c>
      <c r="HQ244" s="671">
        <v>14</v>
      </c>
      <c r="HR244" s="671">
        <v>13</v>
      </c>
      <c r="HS244" s="671">
        <v>12</v>
      </c>
      <c r="HT244" s="671">
        <v>11</v>
      </c>
      <c r="HU244" s="671">
        <v>10</v>
      </c>
      <c r="HV244" s="671">
        <v>9</v>
      </c>
      <c r="HW244" s="671">
        <v>8</v>
      </c>
      <c r="HX244" s="671">
        <v>7</v>
      </c>
      <c r="HY244" s="671">
        <v>6</v>
      </c>
      <c r="HZ244" s="671">
        <v>5</v>
      </c>
      <c r="IA244" s="671">
        <v>4</v>
      </c>
      <c r="IB244" s="671">
        <v>3</v>
      </c>
      <c r="IC244" s="671">
        <v>2</v>
      </c>
      <c r="ID244" s="672">
        <v>1</v>
      </c>
      <c r="IE244" s="250"/>
    </row>
    <row r="245" spans="8:239">
      <c r="H245" s="51">
        <f t="shared" ca="1" si="646"/>
        <v>0</v>
      </c>
      <c r="I245" s="379">
        <f t="shared" si="647"/>
        <v>43617</v>
      </c>
      <c r="J245" s="377"/>
      <c r="K245" s="104" t="s">
        <v>268</v>
      </c>
      <c r="L245" s="392">
        <f t="shared" si="648"/>
        <v>5.5874999999999915</v>
      </c>
      <c r="M245" s="171"/>
      <c r="N245" s="382">
        <v>0</v>
      </c>
      <c r="O245" s="171">
        <f t="shared" si="596"/>
        <v>0</v>
      </c>
      <c r="P245" s="377"/>
      <c r="Q245" s="104" t="s">
        <v>268</v>
      </c>
      <c r="R245" s="377">
        <f t="shared" ca="1" si="597"/>
        <v>4.1695496110451655</v>
      </c>
      <c r="S245" s="832">
        <f t="shared" si="671"/>
        <v>0.3600000000000001</v>
      </c>
      <c r="T245" s="831">
        <f t="shared" si="661"/>
        <v>0.99999999999999933</v>
      </c>
      <c r="U245" s="545">
        <f t="shared" si="662"/>
        <v>0.99999999999999978</v>
      </c>
      <c r="V245" s="389">
        <v>0</v>
      </c>
      <c r="W245" s="434">
        <f t="shared" si="598"/>
        <v>0</v>
      </c>
      <c r="X245" s="415">
        <f t="shared" si="599"/>
        <v>5.6362499999999915</v>
      </c>
      <c r="Y245" s="322">
        <f t="shared" si="600"/>
        <v>-1.2915000000000001</v>
      </c>
      <c r="Z245" s="322">
        <f t="shared" ca="1" si="601"/>
        <v>4.3447499999999915</v>
      </c>
      <c r="AA245" s="429">
        <f t="shared" si="628"/>
        <v>1.2915000000000001</v>
      </c>
      <c r="AB245" s="433">
        <f t="shared" ca="1" si="629"/>
        <v>1.2915000000000001</v>
      </c>
      <c r="AC245" s="229">
        <v>43605</v>
      </c>
      <c r="AD245" s="229">
        <v>43601</v>
      </c>
      <c r="AE245" s="229">
        <v>43600</v>
      </c>
      <c r="AF245" s="229">
        <v>43596</v>
      </c>
      <c r="AG245" s="249" t="s">
        <v>499</v>
      </c>
      <c r="AH245" s="247" t="s">
        <v>499</v>
      </c>
      <c r="AI245" s="146">
        <v>20</v>
      </c>
      <c r="AJ245" s="41">
        <v>14</v>
      </c>
      <c r="AK245" s="41">
        <v>6</v>
      </c>
      <c r="AL245" s="293">
        <v>20</v>
      </c>
      <c r="AM245" s="41">
        <v>10</v>
      </c>
      <c r="AN245" s="147">
        <v>10</v>
      </c>
      <c r="AO245" s="374"/>
      <c r="AP245" s="153">
        <f t="shared" ca="1" si="649"/>
        <v>1</v>
      </c>
      <c r="AQ245" s="374"/>
      <c r="AR245" s="153">
        <f t="shared" ca="1" si="663"/>
        <v>1</v>
      </c>
      <c r="AS245" s="272">
        <f t="shared" si="602"/>
        <v>0</v>
      </c>
      <c r="AT245" s="157">
        <f t="shared" si="650"/>
        <v>0</v>
      </c>
      <c r="AU245" s="157">
        <f t="shared" si="630"/>
        <v>0</v>
      </c>
      <c r="AV245" s="271">
        <f t="shared" ca="1" si="670"/>
        <v>9.9999999999999995E-7</v>
      </c>
      <c r="AW245" s="158" t="str">
        <f t="shared" ca="1" si="672"/>
        <v/>
      </c>
      <c r="AX245" s="157">
        <f t="shared" ca="1" si="664"/>
        <v>1.278388822341697E-5</v>
      </c>
      <c r="AY245" s="157">
        <f t="shared" ca="1" si="665"/>
        <v>2.2068257342775322E-6</v>
      </c>
      <c r="AZ245" s="157">
        <f t="shared" ca="1" si="666"/>
        <v>3.3151747476484898E-8</v>
      </c>
      <c r="BA245" s="157">
        <f t="shared" ca="1" si="667"/>
        <v>4.1439684345606123E-9</v>
      </c>
      <c r="BB245" s="157">
        <f t="shared" ca="1" si="668"/>
        <v>4.4146691057320406E-12</v>
      </c>
      <c r="BC245" s="157">
        <f t="shared" ca="1" si="669"/>
        <v>3.4344948773264855E-14</v>
      </c>
      <c r="BD245" s="151">
        <f t="shared" ca="1" si="603"/>
        <v>0</v>
      </c>
      <c r="BE245" s="152">
        <f t="shared" ca="1" si="604"/>
        <v>0</v>
      </c>
      <c r="BF245" s="40">
        <f t="shared" si="605"/>
        <v>2019</v>
      </c>
      <c r="BG245" s="144">
        <f t="shared" si="606"/>
        <v>6</v>
      </c>
      <c r="BH245" s="145">
        <f t="shared" ca="1" si="607"/>
        <v>6856</v>
      </c>
      <c r="BI245" s="313">
        <f t="shared" ca="1" si="608"/>
        <v>18.814510609171801</v>
      </c>
      <c r="BJ245" s="42">
        <f t="shared" ca="1" si="631"/>
        <v>18.87008898015058</v>
      </c>
      <c r="BK245" s="42">
        <f t="shared" ca="1" si="632"/>
        <v>18.872826830937711</v>
      </c>
      <c r="BL245" s="42">
        <f t="shared" ca="1" si="609"/>
        <v>18.89390828199863</v>
      </c>
      <c r="BM245" s="150" t="e">
        <f t="shared" ca="1" si="633"/>
        <v>#DIV/0!</v>
      </c>
      <c r="BN245" s="42" t="e">
        <f t="shared" ca="1" si="634"/>
        <v>#DIV/0!</v>
      </c>
      <c r="BO245" s="293">
        <f t="shared" si="610"/>
        <v>20</v>
      </c>
      <c r="BP245" s="41">
        <f t="shared" si="611"/>
        <v>14</v>
      </c>
      <c r="BQ245" s="41">
        <f t="shared" si="612"/>
        <v>6</v>
      </c>
      <c r="BR245" s="305" t="str">
        <f t="shared" ca="1" si="635"/>
        <v/>
      </c>
      <c r="BS245" s="305" t="str">
        <f t="shared" ca="1" si="613"/>
        <v/>
      </c>
      <c r="BT245" s="307" t="str">
        <f t="shared" ca="1" si="614"/>
        <v/>
      </c>
      <c r="BU245" s="161" t="str">
        <f t="shared" ca="1" si="636"/>
        <v/>
      </c>
      <c r="BV245" s="161" t="str">
        <f t="shared" ca="1" si="637"/>
        <v/>
      </c>
      <c r="BW245" s="308" t="str">
        <f t="shared" ca="1" si="638"/>
        <v/>
      </c>
      <c r="BX245" s="309" t="str">
        <f t="shared" ca="1" si="639"/>
        <v/>
      </c>
      <c r="BY245" s="308" t="str">
        <f t="shared" ca="1" si="615"/>
        <v/>
      </c>
      <c r="BZ245" s="309" t="str">
        <f t="shared" ca="1" si="616"/>
        <v/>
      </c>
      <c r="CA245" s="154" t="str">
        <f t="shared" ca="1" si="640"/>
        <v/>
      </c>
      <c r="CB245" s="154" t="str">
        <f t="shared" ca="1" si="641"/>
        <v/>
      </c>
      <c r="CC245" s="154" t="str">
        <f t="shared" ca="1" si="642"/>
        <v/>
      </c>
      <c r="CD245" s="154" t="str">
        <f t="shared" ca="1" si="643"/>
        <v/>
      </c>
      <c r="CE245" s="310">
        <v>1</v>
      </c>
      <c r="CF245" s="162">
        <f ca="1">IF(BD245,_xll.xCrudeAPO(BU245,BV245,CA245,CB245,S246,S247,BI245,BL245,BP245,BQ245,0,Strike1,AO245,CE245,0,BL245,IF(OptControl=4,0,1),0,1),0)</f>
        <v>0</v>
      </c>
      <c r="CG245" s="163">
        <f ca="1">IF(BD245,_xll.xCrudeAPO(BU245,BV245,CA245,CB245,S246,S247,BI245,BL245,BP245,BQ245,0,Strike1,AO245,CE245,0,BL245,IF(OptControl=4,0,1),1,1)+_xll.xCrudeAPO(BU245,BV245,CA245,CB245,S246,S247,BI245,BL245,BP245,BQ245,0,Strike1,AO245,CE245,0,BL245,IF(OptControl=4,0,1),1,2)+IF(OR(VolSkewFlag=2,ABS(BS245)&lt;0.0001),0,IF(BS245&gt;0,-1,1)*CH245*Strike1/BR245^2*BY245/10%),0)</f>
        <v>0</v>
      </c>
      <c r="CH245" s="163">
        <f ca="1">IF(BD245,(_xll.xCrudeAPO(BU245,BV245,CA245,CB245,S246,S247,BI245,BL245,BP245,BQ245,0,Strike1,AO245,CE245,0,BL245,IF(OptControl=4,0,1),3,1)+_xll.xCrudeAPO(BU245,BV245,CA245,CB245,S246,S247,BI245,BL245,BP245,BQ245,0,Strike1,AO245,CE245,0,BL245,IF(OptControl=4,0,1),3,2))/100,0)</f>
        <v>0</v>
      </c>
      <c r="CI245" s="163">
        <f ca="1">IF(BD245,_xll.xCrudeAPO(BU245,BV245,CA245,CB245,S246,S247,BI245-DaysForThetaCalculation/365.25,BL245-DaysForThetaCalculation/365.25,BP245,BQ245,0,Strike1,AO245,CE245,0,BL245,IF(OptControl=4,0,1),0,1)-_xll.xCrudeAPO(BU245,BV245,CA245,CB245,S246,S247,BI245,BL245,BP245,BQ245,0,Strike1,AO245,CE245,0,BL245,IF(OptControl=4,0,1),0,1),0)</f>
        <v>0</v>
      </c>
      <c r="CJ245" s="311">
        <f ca="1">IF(BD245,_xll.xCrudeAPO(BU245,BV245,CC245,CD245,S246,S247,BI245,BL245,BP245,BQ245,0,Strike2,AO245,CE245,0,BL245,IF(OptControl=3,1,0),0,1),0)</f>
        <v>0</v>
      </c>
      <c r="CK245" s="163">
        <f ca="1">IF(BD245,_xll.xCrudeAPO(BU245,BV245,CC245,CD245,S246,S247,BI245,BL245,BP245,BQ245,0,Strike2,AO245,CE245,0,BL245,IF(OptControl=3,1,0),1,1)+_xll.xCrudeAPO(BU245,BV245,CC245,CD245,S246,S247,BI245,BL245,BP245,BQ245,0,Strike2,AO245,CE245,0,BL245,IF(OptControl=3,1,0),1,2)+IF(OR(VolSkewFlag=2,ABS(BT245)&lt;0.0001),0,IF(BT245&gt;0,-1,1)*CL245*Strike2/BR245^2*BZ245/10%),0)</f>
        <v>0</v>
      </c>
      <c r="CL245" s="163">
        <f ca="1">IF(BD245,(_xll.xCrudeAPO(BU245,BV245,CC245,CD245,S246,S247,BI245,BL245,BP245,BQ245,0,Strike2,AO245,CE245,0,BL245,IF(OptControl=3,1,0),3,1)+_xll.xCrudeAPO(BU245,BV245,CC245,CD245,S246,S247,BI245,BL245,BP245,BQ245,0,Strike2,AO245,CE245,0,BL245,IF(OptControl=3,1,0),3,2))/100,0)</f>
        <v>0</v>
      </c>
      <c r="CM245" s="164">
        <f ca="1">IF(BD245,_xll.xCrudeAPO(BU245,BV245,CC245,CD245,S246,S247,BI245-DaysForThetaCalculation/365.25,BL245-DaysForThetaCalculation/365.25,BP245,BQ245,0,Strike2,AO245,CE245,0,BL245,IF(OptControl=3,1,0),0,1)-_xll.xCrudeAPO(BU245,BV245,CC245,CD245,S246,S247,BI245,BL245,BP245,BQ245,0,Strike2,AO245,CE245,0,BL245,IF(OptControl=3,1,0),0,1),0)</f>
        <v>0</v>
      </c>
      <c r="CN245" s="53"/>
      <c r="CO245" s="796" t="str">
        <f t="shared" ca="1" si="651"/>
        <v/>
      </c>
      <c r="CP245" s="800" t="str">
        <f t="shared" ca="1" si="652"/>
        <v/>
      </c>
      <c r="CQ245" s="797" t="str">
        <f t="shared" ca="1" si="653"/>
        <v/>
      </c>
      <c r="CR245" s="797" t="str">
        <f t="shared" ca="1" si="654"/>
        <v/>
      </c>
      <c r="CS245" s="797" t="str">
        <f t="shared" ca="1" si="655"/>
        <v/>
      </c>
      <c r="CT245" s="797" t="str">
        <f t="shared" ca="1" si="656"/>
        <v/>
      </c>
      <c r="CU245" s="798" t="str">
        <f t="shared" ca="1" si="657"/>
        <v/>
      </c>
      <c r="CV245" s="799" t="str">
        <f t="shared" ca="1" si="658"/>
        <v/>
      </c>
      <c r="CW245" s="799" t="str">
        <f t="shared" ca="1" si="659"/>
        <v/>
      </c>
      <c r="CX245" s="163">
        <f ca="1">IF(BD245,_xll.EURO(CP245,Strike1,AO245,AO245,CV245,CO245,IF(OptControl=4,0,1),0),0)</f>
        <v>0</v>
      </c>
      <c r="CY245" s="163">
        <f ca="1">IF(BD245,_xll.EURO(CP245,Strike1,AO245,AO245,CV245,CO245,IF(OptControl=4,0,1),1)+IF(OR(VolSkewFlag=2,ABS(CQ245)&lt;0.0001),0,IF(CQ245&gt;0,-1,1)*CZ245*100*Strike1/CP245^2*CS245/10%),0)</f>
        <v>0</v>
      </c>
      <c r="CZ245" s="163">
        <f ca="1">IF(BD245,_xll.EURO(CP245,Strike1,AO245,AO245,CV245,CO245,IF(OptControl=4,0,1),3)/100,0)</f>
        <v>0</v>
      </c>
      <c r="DA245" s="163">
        <f ca="1">IF(BD245,_xll.EURO(CP245,Strike1,AO245,AO245,CV245,CO245,IF(OptControl=4,0,1),0)-_xll.EURO(CP245,Strike1,AO245,AO245,CV245,CO245-1,IF(OptControl=4,0,1),0),0)</f>
        <v>0</v>
      </c>
      <c r="DB245" s="163">
        <f ca="1">IF(BD245,_xll.EURO(CP245,Strike2,AO245,AO245,CW245,CO245,IF(OptControl=3,1,0),0),0)</f>
        <v>0</v>
      </c>
      <c r="DC245" s="163">
        <f ca="1">IF(BD245,_xll.EURO(CP245,Strike2,AO245,AO245,CW245,CO245,IF(OptControl=3,1,0),1)+IF(OR(VolSkewFlag=2,ABS(CR245)&lt;0.0001),0,IF(CR245&gt;0,-1,1)*DD245*100*Strike2/CP245^2*CT245/10%),0)</f>
        <v>0</v>
      </c>
      <c r="DD245" s="163">
        <f ca="1">IF(BD245,_xll.EURO(CP245,Strike2,AO245,AO245,CW245,CO245,IF(OptControl=3,1,0),3)/100,0)</f>
        <v>0</v>
      </c>
      <c r="DE245" s="164">
        <f ca="1">IF(BD245,_xll.EURO(CP245,Strike2,AO245,AO245,CW245,CO245,IF(OptControl=3,1,0),0)-_xll.EURO(CP245,Strike2,AO245,AO245,CW245,CO245-1,IF(OptControl=3,1,0),0),0)</f>
        <v>0</v>
      </c>
      <c r="DG245" s="667">
        <f t="shared" ca="1" si="660"/>
        <v>43405</v>
      </c>
      <c r="DH245" s="475">
        <v>25.410000000000107</v>
      </c>
      <c r="DI245" s="665">
        <v>25.478181818181927</v>
      </c>
      <c r="DJ245" s="666">
        <f t="shared" ca="1" si="617"/>
        <v>43405</v>
      </c>
      <c r="DK245" s="475">
        <v>24.204104165092978</v>
      </c>
      <c r="DL245" s="665">
        <v>24.285081818181926</v>
      </c>
      <c r="DM245" s="667">
        <f t="shared" ca="1" si="618"/>
        <v>43405</v>
      </c>
      <c r="DN245" s="668">
        <f t="shared" si="619"/>
        <v>24.254104165092979</v>
      </c>
      <c r="DO245" s="667">
        <f t="shared" ca="1" si="620"/>
        <v>43405</v>
      </c>
      <c r="DP245" s="579">
        <f t="shared" si="621"/>
        <v>24.285081818181926</v>
      </c>
      <c r="DQ245" s="821">
        <v>0</v>
      </c>
      <c r="DR245" s="666">
        <f t="shared" ca="1" si="622"/>
        <v>43405</v>
      </c>
      <c r="DS245" s="669">
        <v>8.9599999999997307E-2</v>
      </c>
      <c r="DT245" s="606">
        <v>8.8781818181815492E-2</v>
      </c>
      <c r="DU245" s="666">
        <f t="shared" ca="1" si="623"/>
        <v>43405</v>
      </c>
      <c r="DV245" s="669">
        <v>8.9599999999997307E-2</v>
      </c>
      <c r="DW245" s="606">
        <v>8.8781818181815492E-2</v>
      </c>
      <c r="DX245" s="667">
        <f t="shared" ca="1" si="624"/>
        <v>43405</v>
      </c>
      <c r="DY245" s="606">
        <v>0.35</v>
      </c>
      <c r="DZ245" s="667">
        <f t="shared" ca="1" si="625"/>
        <v>43405</v>
      </c>
      <c r="EA245" s="606">
        <f t="shared" si="626"/>
        <v>8.8781818181815492E-2</v>
      </c>
      <c r="EB245" s="1"/>
      <c r="EC245" s="118" t="str">
        <f t="shared" ca="1" si="627"/>
        <v/>
      </c>
      <c r="ED245" s="119" t="str">
        <f t="shared" ca="1" si="644"/>
        <v/>
      </c>
      <c r="EE245" s="112" t="str">
        <f t="shared" ca="1" si="645"/>
        <v/>
      </c>
      <c r="EF245" s="120">
        <f ca="1">IF(BD245,_xll.xASN(BR245,Strike1,AO245,ED245,0,BO245,0,BI245,BL245,IF(OptControl=4,0,1),0),0)</f>
        <v>0</v>
      </c>
      <c r="EG245" s="111">
        <f ca="1">IF(BD245,_xll.xASN(BR245,Strike2,AO245,EE245,0,BO245,0,BI245,BL245,IF(OptControl=3,1,0),0),0)</f>
        <v>0</v>
      </c>
      <c r="EL245" s="55"/>
      <c r="EM245" s="1"/>
      <c r="EN245" s="106"/>
      <c r="EO245" s="106"/>
      <c r="EP245" s="1"/>
      <c r="EQ245" s="683" t="s">
        <v>459</v>
      </c>
      <c r="ES245" s="55"/>
      <c r="EU245" s="107"/>
      <c r="FJ245" s="673">
        <v>1</v>
      </c>
      <c r="FK245" s="479">
        <f ca="1">IF($FJ245+FK$244&gt;73,"",PRODUCT(INDEX($T$19:$T$93,FK$244):INDEX($T$19:$T$93,FK$244+$FJ245-1)))</f>
        <v>0.99999805858338342</v>
      </c>
      <c r="FL245" s="479">
        <f ca="1">IF($FJ245+FL$244&gt;73,"",PRODUCT(INDEX($T$19:$T$93,FL$244):INDEX($T$19:$T$93,FL$244+$FJ245-1)))</f>
        <v>0.99999772933471132</v>
      </c>
      <c r="FM245" s="479">
        <f ca="1">IF($FJ245+FM$244&gt;73,"",PRODUCT(INDEX($T$19:$T$93,FM$244):INDEX($T$19:$T$93,FM$244+$FJ245-1)))</f>
        <v>0.99999734424767239</v>
      </c>
      <c r="FN245" s="479">
        <f ca="1">IF($FJ245+FN$244&gt;73,"",PRODUCT(INDEX($T$19:$T$93,FN$244):INDEX($T$19:$T$93,FN$244+$FJ245-1)))</f>
        <v>0.99999689385230639</v>
      </c>
      <c r="FO245" s="479">
        <f ca="1">IF($FJ245+FO$244&gt;73,"",PRODUCT(INDEX($T$19:$T$93,FO$244):INDEX($T$19:$T$93,FO$244+$FJ245-1)))</f>
        <v>0.99999636707253625</v>
      </c>
      <c r="FP245" s="479">
        <f ca="1">IF($FJ245+FP$244&gt;73,"",PRODUCT(INDEX($T$19:$T$93,FP$244):INDEX($T$19:$T$93,FP$244+$FJ245-1)))</f>
        <v>0.99999575095375126</v>
      </c>
      <c r="FQ245" s="479">
        <f ca="1">IF($FJ245+FQ$244&gt;73,"",PRODUCT(INDEX($T$19:$T$93,FQ$244):INDEX($T$19:$T$93,FQ$244+$FJ245-1)))</f>
        <v>0.99999503034418014</v>
      </c>
      <c r="FR245" s="479">
        <f ca="1">IF($FJ245+FR$244&gt;73,"",PRODUCT(INDEX($T$19:$T$93,FR$244):INDEX($T$19:$T$93,FR$244+$FJ245-1)))</f>
        <v>0.99999418752221159</v>
      </c>
      <c r="FS245" s="479">
        <f ca="1">IF($FJ245+FS$244&gt;73,"",PRODUCT(INDEX($T$19:$T$93,FS$244):INDEX($T$19:$T$93,FS$244+$FJ245-1)))</f>
        <v>0.99999320176049133</v>
      </c>
      <c r="FT245" s="479">
        <f ca="1">IF($FJ245+FT$244&gt;73,"",PRODUCT(INDEX($T$19:$T$93,FT$244):INDEX($T$19:$T$93,FT$244+$FJ245-1)))</f>
        <v>0.99999204881606651</v>
      </c>
      <c r="FU245" s="479">
        <f ca="1">IF($FJ245+FU$244&gt;73,"",PRODUCT(INDEX($T$19:$T$93,FU$244):INDEX($T$19:$T$93,FU$244+$FJ245-1)))</f>
        <v>0.99999070033402537</v>
      </c>
      <c r="FV245" s="479">
        <f ca="1">IF($FJ245+FV$244&gt;73,"",PRODUCT(INDEX($T$19:$T$93,FV$244):INDEX($T$19:$T$93,FV$244+$FJ245-1)))</f>
        <v>0.99998912314994948</v>
      </c>
      <c r="FW245" s="479">
        <f ca="1">IF($FJ245+FW$244&gt;73,"",PRODUCT(INDEX($T$19:$T$93,FW$244):INDEX($T$19:$T$93,FW$244+$FJ245-1)))</f>
        <v>0.99998727847400137</v>
      </c>
      <c r="FX245" s="479">
        <f ca="1">IF($FJ245+FX$244&gt;73,"",PRODUCT(INDEX($T$19:$T$93,FX$244):INDEX($T$19:$T$93,FX$244+$FJ245-1)))</f>
        <v>0.99998512093654957</v>
      </c>
      <c r="FY245" s="479">
        <f ca="1">IF($FJ245+FY$244&gt;73,"",PRODUCT(INDEX($T$19:$T$93,FY$244):INDEX($T$19:$T$93,FY$244+$FJ245-1)))</f>
        <v>0.99998259747182028</v>
      </c>
      <c r="FZ245" s="479">
        <f ca="1">IF($FJ245+FZ$244&gt;73,"",PRODUCT(INDEX($T$19:$T$93,FZ$244):INDEX($T$19:$T$93,FZ$244+$FJ245-1)))</f>
        <v>0.99997964601206268</v>
      </c>
      <c r="GA245" s="479">
        <f ca="1">IF($FJ245+GA$244&gt;73,"",PRODUCT(INDEX($T$19:$T$93,GA$244):INDEX($T$19:$T$93,GA$244+$FJ245-1)))</f>
        <v>0.9999761939600379</v>
      </c>
      <c r="GB245" s="479">
        <f ca="1">IF($FJ245+GB$244&gt;73,"",PRODUCT(INDEX($T$19:$T$93,GB$244):INDEX($T$19:$T$93,GB$244+$FJ245-1)))</f>
        <v>0.9999721564021633</v>
      </c>
      <c r="GC245" s="479">
        <f ca="1">IF($FJ245+GC$244&gt;73,"",PRODUCT(INDEX($T$19:$T$93,GC$244):INDEX($T$19:$T$93,GC$244+$FJ245-1)))</f>
        <v>0.99996743401822752</v>
      </c>
      <c r="GD245" s="479">
        <f ca="1">IF($FJ245+GD$244&gt;73,"",PRODUCT(INDEX($T$19:$T$93,GD$244):INDEX($T$19:$T$93,GD$244+$FJ245-1)))</f>
        <v>0.99996191063608231</v>
      </c>
      <c r="GE245" s="479">
        <f ca="1">IF($FJ245+GE$244&gt;73,"",PRODUCT(INDEX($T$19:$T$93,GE$244):INDEX($T$19:$T$93,GE$244+$FJ245-1)))</f>
        <v>0.99995545037092226</v>
      </c>
      <c r="GF245" s="479">
        <f ca="1">IF($FJ245+GF$244&gt;73,"",PRODUCT(INDEX($T$19:$T$93,GF$244):INDEX($T$19:$T$93,GF$244+$FJ245-1)))</f>
        <v>0.99994789427845632</v>
      </c>
      <c r="GG245" s="479">
        <f ca="1">IF($FJ245+GG$244&gt;73,"",PRODUCT(INDEX($T$19:$T$93,GG$244):INDEX($T$19:$T$93,GG$244+$FJ245-1)))</f>
        <v>0.99993905643920533</v>
      </c>
      <c r="GH245" s="479">
        <f ca="1">IF($FJ245+GH$244&gt;73,"",PRODUCT(INDEX($T$19:$T$93,GH$244):INDEX($T$19:$T$93,GH$244+$FJ245-1)))</f>
        <v>0.99992871937700667</v>
      </c>
      <c r="GI245" s="479">
        <f ca="1">IF($FJ245+GI$244&gt;73,"",PRODUCT(INDEX($T$19:$T$93,GI$244):INDEX($T$19:$T$93,GI$244+$FJ245-1)))</f>
        <v>0.99991662869822351</v>
      </c>
      <c r="GJ245" s="479">
        <f ca="1">IF($FJ245+GJ$244&gt;73,"",PRODUCT(INDEX($T$19:$T$93,GJ$244):INDEX($T$19:$T$93,GJ$244+$FJ245-1)))</f>
        <v>0.99990248681869798</v>
      </c>
      <c r="GK245" s="479">
        <f ca="1">IF($FJ245+GK$244&gt;73,"",PRODUCT(INDEX($T$19:$T$93,GK$244):INDEX($T$19:$T$93,GK$244+$FJ245-1)))</f>
        <v>0.99988594562266853</v>
      </c>
      <c r="GL245" s="479">
        <f ca="1">IF($FJ245+GL$244&gt;73,"",PRODUCT(INDEX($T$19:$T$93,GL$244):INDEX($T$19:$T$93,GL$244+$FJ245-1)))</f>
        <v>0.99986659787108034</v>
      </c>
      <c r="GM245" s="479">
        <f ca="1">IF($FJ245+GM$244&gt;73,"",PRODUCT(INDEX($T$19:$T$93,GM$244):INDEX($T$19:$T$93,GM$244+$FJ245-1)))</f>
        <v>0.99984396714526047</v>
      </c>
      <c r="GN245" s="479">
        <f ca="1">IF($FJ245+GN$244&gt;73,"",PRODUCT(INDEX($T$19:$T$93,GN$244):INDEX($T$19:$T$93,GN$244+$FJ245-1)))</f>
        <v>0.99981749607496273</v>
      </c>
      <c r="GO245" s="479">
        <f ca="1">IF($FJ245+GO$244&gt;73,"",PRODUCT(INDEX($T$19:$T$93,GO$244):INDEX($T$19:$T$93,GO$244+$FJ245-1)))</f>
        <v>0.99978653255632011</v>
      </c>
      <c r="GP245" s="479">
        <f ca="1">IF($FJ245+GP$244&gt;73,"",PRODUCT(INDEX($T$19:$T$93,GP$244):INDEX($T$19:$T$93,GP$244+$FJ245-1)))</f>
        <v>0.99975031361409616</v>
      </c>
      <c r="GQ245" s="479">
        <f ca="1">IF($FJ245+GQ$244&gt;73,"",PRODUCT(INDEX($T$19:$T$93,GQ$244):INDEX($T$19:$T$93,GQ$244+$FJ245-1)))</f>
        <v>0.99970794650238159</v>
      </c>
      <c r="GR245" s="479">
        <f ca="1">IF($FJ245+GR$244&gt;73,"",PRODUCT(INDEX($T$19:$T$93,GR$244):INDEX($T$19:$T$93,GR$244+$FJ245-1)))</f>
        <v>0.99965838656686035</v>
      </c>
      <c r="GS245" s="479">
        <f ca="1">IF($FJ245+GS$244&gt;73,"",PRODUCT(INDEX($T$19:$T$93,GS$244):INDEX($T$19:$T$93,GS$244+$FJ245-1)))</f>
        <v>0.99960041130794108</v>
      </c>
      <c r="GT245" s="479">
        <f ca="1">IF($FJ245+GT$244&gt;73,"",PRODUCT(INDEX($T$19:$T$93,GT$244):INDEX($T$19:$T$93,GT$244+$FJ245-1)))</f>
        <v>0.99953258998497996</v>
      </c>
      <c r="GU245" s="479">
        <f ca="1">IF($FJ245+GU$244&gt;73,"",PRODUCT(INDEX($T$19:$T$93,GU$244):INDEX($T$19:$T$93,GU$244+$FJ245-1)))</f>
        <v>0.99945324798457358</v>
      </c>
      <c r="GV245" s="479">
        <f ca="1">IF($FJ245+GV$244&gt;73,"",PRODUCT(INDEX($T$19:$T$93,GV$244):INDEX($T$19:$T$93,GV$244+$FJ245-1)))</f>
        <v>0.99936042503690481</v>
      </c>
      <c r="GW245" s="479">
        <f ca="1">IF($FJ245+GW$244&gt;73,"",PRODUCT(INDEX($T$19:$T$93,GW$244):INDEX($T$19:$T$93,GW$244+$FJ245-1)))</f>
        <v>0.99925182619906061</v>
      </c>
      <c r="GX245" s="479">
        <f ca="1">IF($FJ245+GX$244&gt;73,"",PRODUCT(INDEX($T$19:$T$93,GX$244):INDEX($T$19:$T$93,GX$244+$FJ245-1)))</f>
        <v>0.9991247643278004</v>
      </c>
      <c r="GY245" s="479">
        <f ca="1">IF($FJ245+GY$244&gt;73,"",PRODUCT(INDEX($T$19:$T$93,GY$244):INDEX($T$19:$T$93,GY$244+$FJ245-1)))</f>
        <v>0.99897609252996</v>
      </c>
      <c r="GZ245" s="479">
        <f ca="1">IF($FJ245+GZ$244&gt;73,"",PRODUCT(INDEX($T$19:$T$93,GZ$244):INDEX($T$19:$T$93,GZ$244+$FJ245-1)))</f>
        <v>0.9988021247985126</v>
      </c>
      <c r="HA245" s="479">
        <f ca="1">IF($FJ245+HA$244&gt;73,"",PRODUCT(INDEX($T$19:$T$93,HA$244):INDEX($T$19:$T$93,HA$244+$FJ245-1)))</f>
        <v>0.99859854270637305</v>
      </c>
      <c r="HB245" s="479">
        <f ca="1">IF($FJ245+HB$244&gt;73,"",PRODUCT(INDEX($T$19:$T$93,HB$244):INDEX($T$19:$T$93,HB$244+$FJ245-1)))</f>
        <v>0.99836028562598955</v>
      </c>
      <c r="HC245" s="479">
        <f ca="1">IF($FJ245+HC$244&gt;73,"",PRODUCT(INDEX($T$19:$T$93,HC$244):INDEX($T$19:$T$93,HC$244+$FJ245-1)))</f>
        <v>0.99808142145518142</v>
      </c>
      <c r="HD245" s="479">
        <f ca="1">IF($FJ245+HD$244&gt;73,"",PRODUCT(INDEX($T$19:$T$93,HD$244):INDEX($T$19:$T$93,HD$244+$FJ245-1)))</f>
        <v>0.99775499423916558</v>
      </c>
      <c r="HE245" s="479">
        <f ca="1">IF($FJ245+HE$244&gt;73,"",PRODUCT(INDEX($T$19:$T$93,HE$244):INDEX($T$19:$T$93,HE$244+$FJ245-1)))</f>
        <v>0.99737284436073503</v>
      </c>
      <c r="HF245" s="479">
        <f ca="1">IF($FJ245+HF$244&gt;73,"",PRODUCT(INDEX($T$19:$T$93,HF$244):INDEX($T$19:$T$93,HF$244+$FJ245-1)))</f>
        <v>0.99692539609397746</v>
      </c>
      <c r="HG245" s="479">
        <f ca="1">IF($FJ245+HG$244&gt;73,"",PRODUCT(INDEX($T$19:$T$93,HG$244):INDEX($T$19:$T$93,HG$244+$FJ245-1)))</f>
        <v>0.99640140624197782</v>
      </c>
      <c r="HH245" s="479">
        <f ca="1">IF($FJ245+HH$244&gt;73,"",PRODUCT(INDEX($T$19:$T$93,HH$244):INDEX($T$19:$T$93,HH$244+$FJ245-1)))</f>
        <v>0.99578766625460968</v>
      </c>
      <c r="HI245" s="479">
        <f ca="1">IF($FJ245+HI$244&gt;73,"",PRODUCT(INDEX($T$19:$T$93,HI$244):INDEX($T$19:$T$93,HI$244+$FJ245-1)))</f>
        <v>0.99506864858297572</v>
      </c>
      <c r="HJ245" s="479">
        <f ca="1">IF($FJ245+HJ$244&gt;73,"",PRODUCT(INDEX($T$19:$T$93,HJ$244):INDEX($T$19:$T$93,HJ$244+$FJ245-1)))</f>
        <v>0.99422608598704254</v>
      </c>
      <c r="HK245" s="479">
        <f ca="1">IF($FJ245+HK$244&gt;73,"",PRODUCT(INDEX($T$19:$T$93,HK$244):INDEX($T$19:$T$93,HK$244+$FJ245-1)))</f>
        <v>0.99323846996147025</v>
      </c>
      <c r="HL245" s="479">
        <f ca="1">IF($FJ245+HL$244&gt;73,"",PRODUCT(INDEX($T$19:$T$93,HL$244):INDEX($T$19:$T$93,HL$244+$FJ245-1)))</f>
        <v>0.99208045123628574</v>
      </c>
      <c r="HM245" s="479">
        <f ca="1">IF($FJ245+HM$244&gt;73,"",PRODUCT(INDEX($T$19:$T$93,HM$244):INDEX($T$19:$T$93,HM$244+$FJ245-1)))</f>
        <v>0.9907221212528049</v>
      </c>
      <c r="HN245" s="479">
        <f ca="1">IF($FJ245+HN$244&gt;73,"",PRODUCT(INDEX($T$19:$T$93,HN$244):INDEX($T$19:$T$93,HN$244+$FJ245-1)))</f>
        <v>0.98912814835853169</v>
      </c>
      <c r="HO245" s="479">
        <f ca="1">IF($FJ245+HO$244&gt;73,"",PRODUCT(INDEX($T$19:$T$93,HO$244):INDEX($T$19:$T$93,HO$244+$FJ245-1)))</f>
        <v>0.9872567358719363</v>
      </c>
      <c r="HP245" s="479">
        <f ca="1">IF($FJ245+HP$244&gt;73,"",PRODUCT(INDEX($T$19:$T$93,HP$244):INDEX($T$19:$T$93,HP$244+$FJ245-1)))</f>
        <v>0.98505836069002539</v>
      </c>
      <c r="HQ245" s="479">
        <f ca="1">IF($FJ245+HQ$244&gt;73,"",PRODUCT(INDEX($T$19:$T$93,HQ$244):INDEX($T$19:$T$93,HQ$244+$FJ245-1)))</f>
        <v>0.98247424014355889</v>
      </c>
      <c r="HR245" s="479">
        <f ca="1">IF($FJ245+HR$244&gt;73,"",PRODUCT(INDEX($T$19:$T$93,HR$244):INDEX($T$19:$T$93,HR$244+$FJ245-1)))</f>
        <v>0.979434460524785</v>
      </c>
      <c r="HS245" s="479">
        <f ca="1">IF($FJ245+HS$244&gt;73,"",PRODUCT(INDEX($T$19:$T$93,HS$244):INDEX($T$19:$T$93,HS$244+$FJ245-1)))</f>
        <v>0.97585568199241801</v>
      </c>
      <c r="HT245" s="479">
        <f ca="1">IF($FJ245+HT$244&gt;73,"",PRODUCT(INDEX($T$19:$T$93,HT$244):INDEX($T$19:$T$93,HT$244+$FJ245-1)))</f>
        <v>0.97163830982953381</v>
      </c>
      <c r="HU245" s="479">
        <f ca="1">IF($FJ245+HU$244&gt;73,"",PRODUCT(INDEX($T$19:$T$93,HU$244):INDEX($T$19:$T$93,HU$244+$FJ245-1)))</f>
        <v>0.96666298907583459</v>
      </c>
      <c r="HV245" s="479">
        <f ca="1">IF($FJ245+HV$244&gt;73,"",PRODUCT(INDEX($T$19:$T$93,HV$244):INDEX($T$19:$T$93,HV$244+$FJ245-1)))</f>
        <v>0.96078623518249295</v>
      </c>
      <c r="HW245" s="479">
        <f ca="1">IF($FJ245+HW$244&gt;73,"",PRODUCT(INDEX($T$19:$T$93,HW$244):INDEX($T$19:$T$93,HW$244+$FJ245-1)))</f>
        <v>0.95383495282856312</v>
      </c>
      <c r="HX245" s="479">
        <f ca="1">IF($FJ245+HX$244&gt;73,"",PRODUCT(INDEX($T$19:$T$93,HX$244):INDEX($T$19:$T$93,HX$244+$FJ245-1)))</f>
        <v>0.94559951121504016</v>
      </c>
      <c r="HY245" s="479">
        <f ca="1">IF($FJ245+HY$244&gt;73,"",PRODUCT(INDEX($T$19:$T$93,HY$244):INDEX($T$19:$T$93,HY$244+$FJ245-1)))</f>
        <v>0.93582492569822329</v>
      </c>
      <c r="HZ245" s="479">
        <f ca="1">IF($FJ245+HZ$244&gt;73,"",PRODUCT(INDEX($T$19:$T$93,HZ$244):INDEX($T$19:$T$93,HZ$244+$FJ245-1)))</f>
        <v>0.92419952393885207</v>
      </c>
      <c r="IA245" s="479">
        <f ca="1">IF($FJ245+IA$244&gt;73,"",PRODUCT(INDEX($T$19:$T$93,IA$244):INDEX($T$19:$T$93,IA$244+$FJ245-1)))</f>
        <v>0.91034021779792074</v>
      </c>
      <c r="IB245" s="479">
        <f ca="1">IF($FJ245+IB$244&gt;73,"",PRODUCT(INDEX($T$19:$T$93,IB$244):INDEX($T$19:$T$93,IB$244+$FJ245-1)))</f>
        <v>0.8937731019117171</v>
      </c>
      <c r="IC245" s="479">
        <f ca="1">IF($FJ245+IC$244&gt;73,"",PRODUCT(INDEX($T$19:$T$93,IC$244):INDEX($T$19:$T$93,IC$244+$FJ245-1)))</f>
        <v>0.87390744472099291</v>
      </c>
      <c r="ID245" s="678">
        <f ca="1">IF($FJ245+ID$244&gt;73,"",PRODUCT(INDEX($T$19:$T$93,ID$244):INDEX($T$19:$T$93,ID$244+$FJ245-1)))</f>
        <v>0.85</v>
      </c>
      <c r="IE245" s="250"/>
    </row>
    <row r="246" spans="8:239">
      <c r="H246" s="51">
        <f t="shared" ca="1" si="646"/>
        <v>0</v>
      </c>
      <c r="I246" s="379">
        <f t="shared" si="647"/>
        <v>43647</v>
      </c>
      <c r="J246" s="377"/>
      <c r="K246" s="104" t="s">
        <v>268</v>
      </c>
      <c r="L246" s="392">
        <f t="shared" si="648"/>
        <v>5.6249999999999911</v>
      </c>
      <c r="M246" s="171"/>
      <c r="N246" s="382">
        <v>0</v>
      </c>
      <c r="O246" s="171">
        <f t="shared" si="596"/>
        <v>0</v>
      </c>
      <c r="P246" s="377"/>
      <c r="Q246" s="104" t="s">
        <v>268</v>
      </c>
      <c r="R246" s="377">
        <f t="shared" ca="1" si="597"/>
        <v>4.4192310684267806</v>
      </c>
      <c r="S246" s="832">
        <f t="shared" si="671"/>
        <v>0.3600000000000001</v>
      </c>
      <c r="T246" s="831">
        <f t="shared" si="661"/>
        <v>0.99999999999999933</v>
      </c>
      <c r="U246" s="545">
        <f t="shared" si="662"/>
        <v>0.99999999999999978</v>
      </c>
      <c r="V246" s="389">
        <v>0</v>
      </c>
      <c r="W246" s="434">
        <f t="shared" si="598"/>
        <v>0</v>
      </c>
      <c r="X246" s="415">
        <f t="shared" si="599"/>
        <v>5.6761363636363535</v>
      </c>
      <c r="Y246" s="322">
        <f t="shared" si="600"/>
        <v>-1.2668999999999999</v>
      </c>
      <c r="Z246" s="322">
        <f t="shared" ca="1" si="601"/>
        <v>4.4092363636363539</v>
      </c>
      <c r="AA246" s="429">
        <f t="shared" si="628"/>
        <v>1.2668999999999999</v>
      </c>
      <c r="AB246" s="433">
        <f t="shared" ca="1" si="629"/>
        <v>1.2668999999999999</v>
      </c>
      <c r="AC246" s="229">
        <v>43636</v>
      </c>
      <c r="AD246" s="229">
        <v>43632</v>
      </c>
      <c r="AE246" s="229">
        <v>43631</v>
      </c>
      <c r="AF246" s="229">
        <v>43627</v>
      </c>
      <c r="AG246" s="249" t="s">
        <v>499</v>
      </c>
      <c r="AH246" s="247" t="s">
        <v>499</v>
      </c>
      <c r="AI246" s="146">
        <v>22</v>
      </c>
      <c r="AJ246" s="41">
        <v>14</v>
      </c>
      <c r="AK246" s="41">
        <v>8</v>
      </c>
      <c r="AL246" s="293">
        <v>23</v>
      </c>
      <c r="AM246" s="41">
        <v>10</v>
      </c>
      <c r="AN246" s="147">
        <v>13</v>
      </c>
      <c r="AO246" s="374"/>
      <c r="AP246" s="153">
        <f t="shared" ca="1" si="649"/>
        <v>1</v>
      </c>
      <c r="AQ246" s="374"/>
      <c r="AR246" s="153">
        <f t="shared" ca="1" si="663"/>
        <v>1</v>
      </c>
      <c r="AS246" s="272">
        <f t="shared" si="602"/>
        <v>0</v>
      </c>
      <c r="AT246" s="157">
        <f t="shared" si="650"/>
        <v>0</v>
      </c>
      <c r="AU246" s="157">
        <f t="shared" si="630"/>
        <v>0</v>
      </c>
      <c r="AV246" s="271">
        <f t="shared" ca="1" si="670"/>
        <v>9.9999999999999995E-7</v>
      </c>
      <c r="AW246" s="158" t="str">
        <f t="shared" ca="1" si="672"/>
        <v/>
      </c>
      <c r="AX246" s="157">
        <f t="shared" ca="1" si="664"/>
        <v>1.2359152559129869E-5</v>
      </c>
      <c r="AY246" s="157">
        <f t="shared" ca="1" si="665"/>
        <v>2.1193219000564725E-6</v>
      </c>
      <c r="AZ246" s="157">
        <f t="shared" ca="1" si="666"/>
        <v>3.1291082863564249E-8</v>
      </c>
      <c r="BA246" s="157">
        <f t="shared" ca="1" si="667"/>
        <v>3.9113853579455312E-9</v>
      </c>
      <c r="BB246" s="157">
        <f t="shared" ca="1" si="668"/>
        <v>4.028450696365796E-12</v>
      </c>
      <c r="BC246" s="157">
        <f t="shared" ca="1" si="669"/>
        <v>3.0597870836697268E-14</v>
      </c>
      <c r="BD246" s="151">
        <f t="shared" ca="1" si="603"/>
        <v>0</v>
      </c>
      <c r="BE246" s="152">
        <f t="shared" ca="1" si="604"/>
        <v>0</v>
      </c>
      <c r="BF246" s="40">
        <f t="shared" si="605"/>
        <v>2019</v>
      </c>
      <c r="BG246" s="144">
        <f t="shared" si="606"/>
        <v>7</v>
      </c>
      <c r="BH246" s="145">
        <f t="shared" ca="1" si="607"/>
        <v>6887</v>
      </c>
      <c r="BI246" s="313">
        <f t="shared" ca="1" si="608"/>
        <v>18.896646132785762</v>
      </c>
      <c r="BJ246" s="42">
        <f t="shared" ca="1" si="631"/>
        <v>18.948914193267374</v>
      </c>
      <c r="BK246" s="42">
        <f t="shared" ca="1" si="632"/>
        <v>18.951652044054505</v>
      </c>
      <c r="BL246" s="42">
        <f t="shared" ca="1" si="609"/>
        <v>18.978781656399725</v>
      </c>
      <c r="BM246" s="150" t="e">
        <f t="shared" ca="1" si="633"/>
        <v>#DIV/0!</v>
      </c>
      <c r="BN246" s="42" t="e">
        <f t="shared" ca="1" si="634"/>
        <v>#DIV/0!</v>
      </c>
      <c r="BO246" s="293">
        <f t="shared" si="610"/>
        <v>22</v>
      </c>
      <c r="BP246" s="41">
        <f t="shared" si="611"/>
        <v>14</v>
      </c>
      <c r="BQ246" s="41">
        <f t="shared" si="612"/>
        <v>8</v>
      </c>
      <c r="BR246" s="305" t="str">
        <f t="shared" ca="1" si="635"/>
        <v/>
      </c>
      <c r="BS246" s="305" t="str">
        <f t="shared" ca="1" si="613"/>
        <v/>
      </c>
      <c r="BT246" s="307" t="str">
        <f t="shared" ca="1" si="614"/>
        <v/>
      </c>
      <c r="BU246" s="161" t="str">
        <f t="shared" ca="1" si="636"/>
        <v/>
      </c>
      <c r="BV246" s="161" t="str">
        <f t="shared" ca="1" si="637"/>
        <v/>
      </c>
      <c r="BW246" s="308" t="str">
        <f t="shared" ca="1" si="638"/>
        <v/>
      </c>
      <c r="BX246" s="309" t="str">
        <f t="shared" ca="1" si="639"/>
        <v/>
      </c>
      <c r="BY246" s="308" t="str">
        <f t="shared" ca="1" si="615"/>
        <v/>
      </c>
      <c r="BZ246" s="309" t="str">
        <f t="shared" ca="1" si="616"/>
        <v/>
      </c>
      <c r="CA246" s="154" t="str">
        <f t="shared" ca="1" si="640"/>
        <v/>
      </c>
      <c r="CB246" s="154" t="str">
        <f t="shared" ca="1" si="641"/>
        <v/>
      </c>
      <c r="CC246" s="154" t="str">
        <f t="shared" ca="1" si="642"/>
        <v/>
      </c>
      <c r="CD246" s="154" t="str">
        <f t="shared" ca="1" si="643"/>
        <v/>
      </c>
      <c r="CE246" s="310">
        <v>1</v>
      </c>
      <c r="CF246" s="162">
        <f ca="1">IF(BD246,_xll.xCrudeAPO(BU246,BV246,CA246,CB246,S247,S248,BI246,BL246,BP246,BQ246,0,Strike1,AO246,CE246,0,BL246,IF(OptControl=4,0,1),0,1),0)</f>
        <v>0</v>
      </c>
      <c r="CG246" s="163">
        <f ca="1">IF(BD246,_xll.xCrudeAPO(BU246,BV246,CA246,CB246,S247,S248,BI246,BL246,BP246,BQ246,0,Strike1,AO246,CE246,0,BL246,IF(OptControl=4,0,1),1,1)+_xll.xCrudeAPO(BU246,BV246,CA246,CB246,S247,S248,BI246,BL246,BP246,BQ246,0,Strike1,AO246,CE246,0,BL246,IF(OptControl=4,0,1),1,2)+IF(OR(VolSkewFlag=2,ABS(BS246)&lt;0.0001),0,IF(BS246&gt;0,-1,1)*CH246*Strike1/BR246^2*BY246/10%),0)</f>
        <v>0</v>
      </c>
      <c r="CH246" s="163">
        <f ca="1">IF(BD246,(_xll.xCrudeAPO(BU246,BV246,CA246,CB246,S247,S248,BI246,BL246,BP246,BQ246,0,Strike1,AO246,CE246,0,BL246,IF(OptControl=4,0,1),3,1)+_xll.xCrudeAPO(BU246,BV246,CA246,CB246,S247,S248,BI246,BL246,BP246,BQ246,0,Strike1,AO246,CE246,0,BL246,IF(OptControl=4,0,1),3,2))/100,0)</f>
        <v>0</v>
      </c>
      <c r="CI246" s="163">
        <f ca="1">IF(BD246,_xll.xCrudeAPO(BU246,BV246,CA246,CB246,S247,S248,BI246-DaysForThetaCalculation/365.25,BL246-DaysForThetaCalculation/365.25,BP246,BQ246,0,Strike1,AO246,CE246,0,BL246,IF(OptControl=4,0,1),0,1)-_xll.xCrudeAPO(BU246,BV246,CA246,CB246,S247,S248,BI246,BL246,BP246,BQ246,0,Strike1,AO246,CE246,0,BL246,IF(OptControl=4,0,1),0,1),0)</f>
        <v>0</v>
      </c>
      <c r="CJ246" s="311">
        <f ca="1">IF(BD246,_xll.xCrudeAPO(BU246,BV246,CC246,CD246,S247,S248,BI246,BL246,BP246,BQ246,0,Strike2,AO246,CE246,0,BL246,IF(OptControl=3,1,0),0,1),0)</f>
        <v>0</v>
      </c>
      <c r="CK246" s="163">
        <f ca="1">IF(BD246,_xll.xCrudeAPO(BU246,BV246,CC246,CD246,S247,S248,BI246,BL246,BP246,BQ246,0,Strike2,AO246,CE246,0,BL246,IF(OptControl=3,1,0),1,1)+_xll.xCrudeAPO(BU246,BV246,CC246,CD246,S247,S248,BI246,BL246,BP246,BQ246,0,Strike2,AO246,CE246,0,BL246,IF(OptControl=3,1,0),1,2)+IF(OR(VolSkewFlag=2,ABS(BT246)&lt;0.0001),0,IF(BT246&gt;0,-1,1)*CL246*Strike2/BR246^2*BZ246/10%),0)</f>
        <v>0</v>
      </c>
      <c r="CL246" s="163">
        <f ca="1">IF(BD246,(_xll.xCrudeAPO(BU246,BV246,CC246,CD246,S247,S248,BI246,BL246,BP246,BQ246,0,Strike2,AO246,CE246,0,BL246,IF(OptControl=3,1,0),3,1)+_xll.xCrudeAPO(BU246,BV246,CC246,CD246,S247,S248,BI246,BL246,BP246,BQ246,0,Strike2,AO246,CE246,0,BL246,IF(OptControl=3,1,0),3,2))/100,0)</f>
        <v>0</v>
      </c>
      <c r="CM246" s="164">
        <f ca="1">IF(BD246,_xll.xCrudeAPO(BU246,BV246,CC246,CD246,S247,S248,BI246-DaysForThetaCalculation/365.25,BL246-DaysForThetaCalculation/365.25,BP246,BQ246,0,Strike2,AO246,CE246,0,BL246,IF(OptControl=3,1,0),0,1)-_xll.xCrudeAPO(BU246,BV246,CC246,CD246,S247,S248,BI246,BL246,BP246,BQ246,0,Strike2,AO246,CE246,0,BL246,IF(OptControl=3,1,0),0,1),0)</f>
        <v>0</v>
      </c>
      <c r="CN246" s="53"/>
      <c r="CO246" s="796" t="str">
        <f t="shared" ca="1" si="651"/>
        <v/>
      </c>
      <c r="CP246" s="800" t="str">
        <f t="shared" ca="1" si="652"/>
        <v/>
      </c>
      <c r="CQ246" s="797" t="str">
        <f t="shared" ca="1" si="653"/>
        <v/>
      </c>
      <c r="CR246" s="797" t="str">
        <f t="shared" ca="1" si="654"/>
        <v/>
      </c>
      <c r="CS246" s="797" t="str">
        <f t="shared" ca="1" si="655"/>
        <v/>
      </c>
      <c r="CT246" s="797" t="str">
        <f t="shared" ca="1" si="656"/>
        <v/>
      </c>
      <c r="CU246" s="798" t="str">
        <f t="shared" ca="1" si="657"/>
        <v/>
      </c>
      <c r="CV246" s="799" t="str">
        <f t="shared" ca="1" si="658"/>
        <v/>
      </c>
      <c r="CW246" s="799" t="str">
        <f t="shared" ca="1" si="659"/>
        <v/>
      </c>
      <c r="CX246" s="163">
        <f ca="1">IF(BD246,_xll.EURO(CP246,Strike1,AO246,AO246,CV246,CO246,IF(OptControl=4,0,1),0),0)</f>
        <v>0</v>
      </c>
      <c r="CY246" s="163">
        <f ca="1">IF(BD246,_xll.EURO(CP246,Strike1,AO246,AO246,CV246,CO246,IF(OptControl=4,0,1),1)+IF(OR(VolSkewFlag=2,ABS(CQ246)&lt;0.0001),0,IF(CQ246&gt;0,-1,1)*CZ246*100*Strike1/CP246^2*CS246/10%),0)</f>
        <v>0</v>
      </c>
      <c r="CZ246" s="163">
        <f ca="1">IF(BD246,_xll.EURO(CP246,Strike1,AO246,AO246,CV246,CO246,IF(OptControl=4,0,1),3)/100,0)</f>
        <v>0</v>
      </c>
      <c r="DA246" s="163">
        <f ca="1">IF(BD246,_xll.EURO(CP246,Strike1,AO246,AO246,CV246,CO246,IF(OptControl=4,0,1),0)-_xll.EURO(CP246,Strike1,AO246,AO246,CV246,CO246-1,IF(OptControl=4,0,1),0),0)</f>
        <v>0</v>
      </c>
      <c r="DB246" s="163">
        <f ca="1">IF(BD246,_xll.EURO(CP246,Strike2,AO246,AO246,CW246,CO246,IF(OptControl=3,1,0),0),0)</f>
        <v>0</v>
      </c>
      <c r="DC246" s="163">
        <f ca="1">IF(BD246,_xll.EURO(CP246,Strike2,AO246,AO246,CW246,CO246,IF(OptControl=3,1,0),1)+IF(OR(VolSkewFlag=2,ABS(CR246)&lt;0.0001),0,IF(CR246&gt;0,-1,1)*DD246*100*Strike2/CP246^2*CT246/10%),0)</f>
        <v>0</v>
      </c>
      <c r="DD246" s="163">
        <f ca="1">IF(BD246,_xll.EURO(CP246,Strike2,AO246,AO246,CW246,CO246,IF(OptControl=3,1,0),3)/100,0)</f>
        <v>0</v>
      </c>
      <c r="DE246" s="164">
        <f ca="1">IF(BD246,_xll.EURO(CP246,Strike2,AO246,AO246,CW246,CO246,IF(OptControl=3,1,0),0)-_xll.EURO(CP246,Strike2,AO246,AO246,CW246,CO246-1,IF(OptControl=3,1,0),0),0)</f>
        <v>0</v>
      </c>
      <c r="DG246" s="667">
        <f t="shared" ca="1" si="660"/>
        <v>43435</v>
      </c>
      <c r="DH246" s="475">
        <v>25.460000000000107</v>
      </c>
      <c r="DI246" s="665">
        <v>25.525000000000109</v>
      </c>
      <c r="DJ246" s="666">
        <f t="shared" ca="1" si="617"/>
        <v>43435</v>
      </c>
      <c r="DK246" s="475">
        <v>24.257512180697891</v>
      </c>
      <c r="DL246" s="665">
        <v>24.331900000000108</v>
      </c>
      <c r="DM246" s="667">
        <f t="shared" ca="1" si="618"/>
        <v>43435</v>
      </c>
      <c r="DN246" s="668">
        <f t="shared" si="619"/>
        <v>24.307512180697891</v>
      </c>
      <c r="DO246" s="667">
        <f t="shared" ca="1" si="620"/>
        <v>43435</v>
      </c>
      <c r="DP246" s="579">
        <f t="shared" si="621"/>
        <v>24.331900000000108</v>
      </c>
      <c r="DQ246" s="821">
        <v>0</v>
      </c>
      <c r="DR246" s="666">
        <f t="shared" ca="1" si="622"/>
        <v>43435</v>
      </c>
      <c r="DS246" s="669">
        <v>8.8999999999997303E-2</v>
      </c>
      <c r="DT246" s="606">
        <v>8.8219999999997301E-2</v>
      </c>
      <c r="DU246" s="666">
        <f t="shared" ca="1" si="623"/>
        <v>43435</v>
      </c>
      <c r="DV246" s="669">
        <v>8.8999999999997303E-2</v>
      </c>
      <c r="DW246" s="606">
        <v>8.8219999999997301E-2</v>
      </c>
      <c r="DX246" s="667">
        <f t="shared" ca="1" si="624"/>
        <v>43435</v>
      </c>
      <c r="DY246" s="606">
        <v>0.35</v>
      </c>
      <c r="DZ246" s="667">
        <f t="shared" ca="1" si="625"/>
        <v>43435</v>
      </c>
      <c r="EA246" s="606">
        <f t="shared" si="626"/>
        <v>8.8219999999997301E-2</v>
      </c>
      <c r="EB246" s="1"/>
      <c r="EC246" s="118" t="str">
        <f t="shared" ca="1" si="627"/>
        <v/>
      </c>
      <c r="ED246" s="119" t="str">
        <f t="shared" ca="1" si="644"/>
        <v/>
      </c>
      <c r="EE246" s="112" t="str">
        <f t="shared" ca="1" si="645"/>
        <v/>
      </c>
      <c r="EF246" s="120">
        <f ca="1">IF(BD246,_xll.xASN(BR246,Strike1,AO246,ED246,0,BO246,0,BI246,BL246,IF(OptControl=4,0,1),0),0)</f>
        <v>0</v>
      </c>
      <c r="EG246" s="111">
        <f ca="1">IF(BD246,_xll.xASN(BR246,Strike2,AO246,EE246,0,BO246,0,BI246,BL246,IF(OptControl=3,1,0),0),0)</f>
        <v>0</v>
      </c>
      <c r="EL246" s="55"/>
      <c r="EM246" s="1"/>
      <c r="EN246" s="106"/>
      <c r="EO246" s="106"/>
      <c r="EP246" s="1"/>
      <c r="EQ246" s="683" t="s">
        <v>460</v>
      </c>
      <c r="ES246" s="55"/>
      <c r="EU246" s="107"/>
      <c r="FJ246" s="673">
        <v>2</v>
      </c>
      <c r="FK246" s="479" t="str">
        <f ca="1">IF($FJ246+FK$244&gt;73,"",PRODUCT(INDEX($T$19:$T$93,FK$244):INDEX($T$19:$T$93,FK$244+$FJ246-1)))</f>
        <v/>
      </c>
      <c r="FL246" s="479">
        <f ca="1">IF($FJ246+FL$244&gt;73,"",PRODUCT(INDEX($T$19:$T$93,FL$244):INDEX($T$19:$T$93,FL$244+$FJ246-1)))</f>
        <v>0.9999957879225031</v>
      </c>
      <c r="FM246" s="479">
        <f ca="1">IF($FJ246+FM$244&gt;73,"",PRODUCT(INDEX($T$19:$T$93,FM$244):INDEX($T$19:$T$93,FM$244+$FJ246-1)))</f>
        <v>0.999995073588414</v>
      </c>
      <c r="FN246" s="479">
        <f ca="1">IF($FJ246+FN$244&gt;73,"",PRODUCT(INDEX($T$19:$T$93,FN$244):INDEX($T$19:$T$93,FN$244+$FJ246-1)))</f>
        <v>0.99999423810822796</v>
      </c>
      <c r="FO246" s="479">
        <f ca="1">IF($FJ246+FO$244&gt;73,"",PRODUCT(INDEX($T$19:$T$93,FO$244):INDEX($T$19:$T$93,FO$244+$FJ246-1)))</f>
        <v>0.99999326093612706</v>
      </c>
      <c r="FP246" s="479">
        <f ca="1">IF($FJ246+FP$244&gt;73,"",PRODUCT(INDEX($T$19:$T$93,FP$244):INDEX($T$19:$T$93,FP$244+$FJ246-1)))</f>
        <v>0.99999211804172394</v>
      </c>
      <c r="FQ246" s="479">
        <f ca="1">IF($FJ246+FQ$244&gt;73,"",PRODUCT(INDEX($T$19:$T$93,FQ$244):INDEX($T$19:$T$93,FQ$244+$FJ246-1)))</f>
        <v>0.99999078131904773</v>
      </c>
      <c r="FR246" s="479">
        <f ca="1">IF($FJ246+FR$244&gt;73,"",PRODUCT(INDEX($T$19:$T$93,FR$244):INDEX($T$19:$T$93,FR$244+$FJ246-1)))</f>
        <v>0.99998921789527773</v>
      </c>
      <c r="FS246" s="479">
        <f ca="1">IF($FJ246+FS$244&gt;73,"",PRODUCT(INDEX($T$19:$T$93,FS$244):INDEX($T$19:$T$93,FS$244+$FJ246-1)))</f>
        <v>0.99998738932221753</v>
      </c>
      <c r="FT246" s="479">
        <f ca="1">IF($FJ246+FT$244&gt;73,"",PRODUCT(INDEX($T$19:$T$93,FT$244):INDEX($T$19:$T$93,FT$244+$FJ246-1)))</f>
        <v>0.99998525063061194</v>
      </c>
      <c r="FU246" s="479">
        <f ca="1">IF($FJ246+FU$244&gt;73,"",PRODUCT(INDEX($T$19:$T$93,FU$244):INDEX($T$19:$T$93,FU$244+$FJ246-1)))</f>
        <v>0.99998274922403529</v>
      </c>
      <c r="FV246" s="479">
        <f ca="1">IF($FJ246+FV$244&gt;73,"",PRODUCT(INDEX($T$19:$T$93,FV$244):INDEX($T$19:$T$93,FV$244+$FJ246-1)))</f>
        <v>0.99997982358512594</v>
      </c>
      <c r="FW246" s="479">
        <f ca="1">IF($FJ246+FW$244&gt;73,"",PRODUCT(INDEX($T$19:$T$93,FW$244):INDEX($T$19:$T$93,FW$244+$FJ246-1)))</f>
        <v>0.99997640176232094</v>
      </c>
      <c r="FX246" s="479">
        <f ca="1">IF($FJ246+FX$244&gt;73,"",PRODUCT(INDEX($T$19:$T$93,FX$244):INDEX($T$19:$T$93,FX$244+$FJ246-1)))</f>
        <v>0.9999723995998353</v>
      </c>
      <c r="FY246" s="479">
        <f ca="1">IF($FJ246+FY$244&gt;73,"",PRODUCT(INDEX($T$19:$T$93,FY$244):INDEX($T$19:$T$93,FY$244+$FJ246-1)))</f>
        <v>0.99996771866730316</v>
      </c>
      <c r="FZ246" s="479">
        <f ca="1">IF($FJ246+FZ$244&gt;73,"",PRODUCT(INDEX($T$19:$T$93,FZ$244):INDEX($T$19:$T$93,FZ$244+$FJ246-1)))</f>
        <v>0.99996224383809384</v>
      </c>
      <c r="GA246" s="479">
        <f ca="1">IF($FJ246+GA$244&gt;73,"",PRODUCT(INDEX($T$19:$T$93,GA$244):INDEX($T$19:$T$93,GA$244+$FJ246-1)))</f>
        <v>0.99995584045664843</v>
      </c>
      <c r="GB246" s="479">
        <f ca="1">IF($FJ246+GB$244&gt;73,"",PRODUCT(INDEX($T$19:$T$93,GB$244):INDEX($T$19:$T$93,GB$244+$FJ246-1)))</f>
        <v>0.99994835102504698</v>
      </c>
      <c r="GC246" s="479">
        <f ca="1">IF($FJ246+GC$244&gt;73,"",PRODUCT(INDEX($T$19:$T$93,GC$244):INDEX($T$19:$T$93,GC$244+$FJ246-1)))</f>
        <v>0.99993959132714494</v>
      </c>
      <c r="GD246" s="479">
        <f ca="1">IF($FJ246+GD$244&gt;73,"",PRODUCT(INDEX($T$19:$T$93,GD$244):INDEX($T$19:$T$93,GD$244+$FJ246-1)))</f>
        <v>0.99992934589472737</v>
      </c>
      <c r="GE246" s="479">
        <f ca="1">IF($FJ246+GE$244&gt;73,"",PRODUCT(INDEX($T$19:$T$93,GE$244):INDEX($T$19:$T$93,GE$244+$FJ246-1)))</f>
        <v>0.99991736270387155</v>
      </c>
      <c r="GF246" s="479">
        <f ca="1">IF($FJ246+GF$244&gt;73,"",PRODUCT(INDEX($T$19:$T$93,GF$244):INDEX($T$19:$T$93,GF$244+$FJ246-1)))</f>
        <v>0.99990334697066918</v>
      </c>
      <c r="GG246" s="479">
        <f ca="1">IF($FJ246+GG$244&gt;73,"",PRODUCT(INDEX($T$19:$T$93,GG$244):INDEX($T$19:$T$93,GG$244+$FJ246-1)))</f>
        <v>0.99988695389316984</v>
      </c>
      <c r="GH246" s="479">
        <f ca="1">IF($FJ246+GH$244&gt;73,"",PRODUCT(INDEX($T$19:$T$93,GH$244):INDEX($T$19:$T$93,GH$244+$FJ246-1)))</f>
        <v>0.99986778016030697</v>
      </c>
      <c r="GI246" s="479">
        <f ca="1">IF($FJ246+GI$244&gt;73,"",PRODUCT(INDEX($T$19:$T$93,GI$244):INDEX($T$19:$T$93,GI$244+$FJ246-1)))</f>
        <v>0.99984535401798846</v>
      </c>
      <c r="GJ246" s="479">
        <f ca="1">IF($FJ246+GJ$244&gt;73,"",PRODUCT(INDEX($T$19:$T$93,GJ$244):INDEX($T$19:$T$93,GJ$244+$FJ246-1)))</f>
        <v>0.99981912364672232</v>
      </c>
      <c r="GK246" s="479">
        <f ca="1">IF($FJ246+GK$244&gt;73,"",PRODUCT(INDEX($T$19:$T$93,GK$244):INDEX($T$19:$T$93,GK$244+$FJ246-1)))</f>
        <v>0.99978844356317165</v>
      </c>
      <c r="GL246" s="479">
        <f ca="1">IF($FJ246+GL$244&gt;73,"",PRODUCT(INDEX($T$19:$T$93,GL$244):INDEX($T$19:$T$93,GL$244+$FJ246-1)))</f>
        <v>0.99975255870884561</v>
      </c>
      <c r="GM246" s="479">
        <f ca="1">IF($FJ246+GM$244&gt;73,"",PRODUCT(INDEX($T$19:$T$93,GM$244):INDEX($T$19:$T$93,GM$244+$FJ246-1)))</f>
        <v>0.99971058583145578</v>
      </c>
      <c r="GN246" s="479">
        <f ca="1">IF($FJ246+GN$244&gt;73,"",PRODUCT(INDEX($T$19:$T$93,GN$244):INDEX($T$19:$T$93,GN$244+$FJ246-1)))</f>
        <v>0.99966149169683161</v>
      </c>
      <c r="GO246" s="479">
        <f ca="1">IF($FJ246+GO$244&gt;73,"",PRODUCT(INDEX($T$19:$T$93,GO$244):INDEX($T$19:$T$93,GO$244+$FJ246-1)))</f>
        <v>0.99960406758992915</v>
      </c>
      <c r="GP246" s="479">
        <f ca="1">IF($FJ246+GP$244&gt;73,"",PRODUCT(INDEX($T$19:$T$93,GP$244):INDEX($T$19:$T$93,GP$244+$FJ246-1)))</f>
        <v>0.99953689947033075</v>
      </c>
      <c r="GQ246" s="479">
        <f ca="1">IF($FJ246+GQ$244&gt;73,"",PRODUCT(INDEX($T$19:$T$93,GQ$244):INDEX($T$19:$T$93,GQ$244+$FJ246-1)))</f>
        <v>0.99945833303826004</v>
      </c>
      <c r="GR246" s="479">
        <f ca="1">IF($FJ246+GR$244&gt;73,"",PRODUCT(INDEX($T$19:$T$93,GR$244):INDEX($T$19:$T$93,GR$244+$FJ246-1)))</f>
        <v>0.99936643283863991</v>
      </c>
      <c r="GS246" s="479">
        <f ca="1">IF($FJ246+GS$244&gt;73,"",PRODUCT(INDEX($T$19:$T$93,GS$244):INDEX($T$19:$T$93,GS$244+$FJ246-1)))</f>
        <v>0.9992589343796664</v>
      </c>
      <c r="GT246" s="479">
        <f ca="1">IF($FJ246+GT$244&gt;73,"",PRODUCT(INDEX($T$19:$T$93,GT$244):INDEX($T$19:$T$93,GT$244+$FJ246-1)))</f>
        <v>0.99913318806467755</v>
      </c>
      <c r="GU246" s="479">
        <f ca="1">IF($FJ246+GU$244&gt;73,"",PRODUCT(INDEX($T$19:$T$93,GU$244):INDEX($T$19:$T$93,GU$244+$FJ246-1)))</f>
        <v>0.99898609352692125</v>
      </c>
      <c r="GV246" s="479">
        <f ca="1">IF($FJ246+GV$244&gt;73,"",PRODUCT(INDEX($T$19:$T$93,GV$244):INDEX($T$19:$T$93,GV$244+$FJ246-1)))</f>
        <v>0.99881402271037845</v>
      </c>
      <c r="GW246" s="479">
        <f ca="1">IF($FJ246+GW$244&gt;73,"",PRODUCT(INDEX($T$19:$T$93,GW$244):INDEX($T$19:$T$93,GW$244+$FJ246-1)))</f>
        <v>0.99861272974919657</v>
      </c>
      <c r="GX246" s="479">
        <f ca="1">IF($FJ246+GX$244&gt;73,"",PRODUCT(INDEX($T$19:$T$93,GX$244):INDEX($T$19:$T$93,GX$244+$FJ246-1)))</f>
        <v>0.99837724535526062</v>
      </c>
      <c r="GY246" s="479">
        <f ca="1">IF($FJ246+GY$244&gt;73,"",PRODUCT(INDEX($T$19:$T$93,GY$244):INDEX($T$19:$T$93,GY$244+$FJ246-1)))</f>
        <v>0.99810175301810322</v>
      </c>
      <c r="GZ246" s="479">
        <f ca="1">IF($FJ246+GZ$244&gt;73,"",PRODUCT(INDEX($T$19:$T$93,GZ$244):INDEX($T$19:$T$93,GZ$244+$FJ246-1)))</f>
        <v>0.99777944384183959</v>
      </c>
      <c r="HA246" s="479">
        <f ca="1">IF($FJ246+HA$244&gt;73,"",PRODUCT(INDEX($T$19:$T$93,HA$244):INDEX($T$19:$T$93,HA$244+$FJ246-1)))</f>
        <v>0.99740234627582358</v>
      </c>
      <c r="HB246" s="479">
        <f ca="1">IF($FJ246+HB$244&gt;73,"",PRODUCT(INDEX($T$19:$T$93,HB$244):INDEX($T$19:$T$93,HB$244+$FJ246-1)))</f>
        <v>0.99696112632203149</v>
      </c>
      <c r="HC246" s="479">
        <f ca="1">IF($FJ246+HC$244&gt;73,"",PRODUCT(INDEX($T$19:$T$93,HC$244):INDEX($T$19:$T$93,HC$244+$FJ246-1)))</f>
        <v>0.9964448530019886</v>
      </c>
      <c r="HD246" s="479">
        <f ca="1">IF($FJ246+HD$244&gt;73,"",PRODUCT(INDEX($T$19:$T$93,HD$244):INDEX($T$19:$T$93,HD$244+$FJ246-1)))</f>
        <v>0.99584072291423276</v>
      </c>
      <c r="HE246" s="479">
        <f ca="1">IF($FJ246+HE$244&gt;73,"",PRODUCT(INDEX($T$19:$T$93,HE$244):INDEX($T$19:$T$93,HE$244+$FJ246-1)))</f>
        <v>0.99513373657944537</v>
      </c>
      <c r="HF246" s="479">
        <f ca="1">IF($FJ246+HF$244&gt;73,"",PRODUCT(INDEX($T$19:$T$93,HF$244):INDEX($T$19:$T$93,HF$244+$FJ246-1)))</f>
        <v>0.99430631791770274</v>
      </c>
      <c r="HG246" s="479">
        <f ca="1">IF($FJ246+HG$244&gt;73,"",PRODUCT(INDEX($T$19:$T$93,HG$244):INDEX($T$19:$T$93,HG$244+$FJ246-1)))</f>
        <v>0.9933378665863799</v>
      </c>
      <c r="HH246" s="479">
        <f ca="1">IF($FJ246+HH$244&gt;73,"",PRODUCT(INDEX($T$19:$T$93,HH$244):INDEX($T$19:$T$93,HH$244+$FJ246-1)))</f>
        <v>0.99220423097451038</v>
      </c>
      <c r="HI246" s="479">
        <f ca="1">IF($FJ246+HI$244&gt;73,"",PRODUCT(INDEX($T$19:$T$93,HI$244):INDEX($T$19:$T$93,HI$244+$FJ246-1)))</f>
        <v>0.99087708733556967</v>
      </c>
      <c r="HJ246" s="479">
        <f ca="1">IF($FJ246+HJ$244&gt;73,"",PRODUCT(INDEX($T$19:$T$93,HJ$244):INDEX($T$19:$T$93,HJ$244+$FJ246-1)))</f>
        <v>0.98932320776906779</v>
      </c>
      <c r="HK246" s="479">
        <f ca="1">IF($FJ246+HK$244&gt;73,"",PRODUCT(INDEX($T$19:$T$93,HK$244):INDEX($T$19:$T$93,HK$244+$FJ246-1)))</f>
        <v>0.98750359644155128</v>
      </c>
      <c r="HL246" s="479">
        <f ca="1">IF($FJ246+HL$244&gt;73,"",PRODUCT(INDEX($T$19:$T$93,HL$244):INDEX($T$19:$T$93,HL$244+$FJ246-1)))</f>
        <v>0.98537246946461343</v>
      </c>
      <c r="HM246" s="479">
        <f ca="1">IF($FJ246+HM$244&gt;73,"",PRODUCT(INDEX($T$19:$T$93,HM$244):INDEX($T$19:$T$93,HM$244+$FJ246-1)))</f>
        <v>0.9828760491022529</v>
      </c>
      <c r="HN246" s="479">
        <f ca="1">IF($FJ246+HN$244&gt;73,"",PRODUCT(INDEX($T$19:$T$93,HN$244):INDEX($T$19:$T$93,HN$244+$FJ246-1)))</f>
        <v>0.97995113733262362</v>
      </c>
      <c r="HO246" s="479">
        <f ca="1">IF($FJ246+HO$244&gt;73,"",PRODUCT(INDEX($T$19:$T$93,HO$244):INDEX($T$19:$T$93,HO$244+$FJ246-1)))</f>
        <v>0.97652342710749629</v>
      </c>
      <c r="HP246" s="479">
        <f ca="1">IF($FJ246+HP$244&gt;73,"",PRODUCT(INDEX($T$19:$T$93,HP$244):INDEX($T$19:$T$93,HP$244+$FJ246-1)))</f>
        <v>0.97250550181819495</v>
      </c>
      <c r="HQ246" s="479">
        <f ca="1">IF($FJ246+HQ$244&gt;73,"",PRODUCT(INDEX($T$19:$T$93,HQ$244):INDEX($T$19:$T$93,HQ$244+$FJ246-1)))</f>
        <v>0.96779446441599248</v>
      </c>
      <c r="HR246" s="479">
        <f ca="1">IF($FJ246+HR$244&gt;73,"",PRODUCT(INDEX($T$19:$T$93,HR$244):INDEX($T$19:$T$93,HR$244+$FJ246-1)))</f>
        <v>0.96226912737450465</v>
      </c>
      <c r="HS246" s="479">
        <f ca="1">IF($FJ246+HS$244&gt;73,"",PRODUCT(INDEX($T$19:$T$93,HS$244):INDEX($T$19:$T$93,HS$244+$FJ246-1)))</f>
        <v>0.95578668344229012</v>
      </c>
      <c r="HT246" s="479">
        <f ca="1">IF($FJ246+HT$244&gt;73,"",PRODUCT(INDEX($T$19:$T$93,HT$244):INDEX($T$19:$T$93,HT$244+$FJ246-1)))</f>
        <v>0.94817876548866009</v>
      </c>
      <c r="HU246" s="479">
        <f ca="1">IF($FJ246+HU$244&gt;73,"",PRODUCT(INDEX($T$19:$T$93,HU$244):INDEX($T$19:$T$93,HU$244+$FJ246-1)))</f>
        <v>0.93924679288040902</v>
      </c>
      <c r="HV246" s="479">
        <f ca="1">IF($FJ246+HV$244&gt;73,"",PRODUCT(INDEX($T$19:$T$93,HV$244):INDEX($T$19:$T$93,HV$244+$FJ246-1)))</f>
        <v>0.92875649396442639</v>
      </c>
      <c r="HW246" s="479">
        <f ca="1">IF($FJ246+HW$244&gt;73,"",PRODUCT(INDEX($T$19:$T$93,HW$244):INDEX($T$19:$T$93,HW$244+$FJ246-1)))</f>
        <v>0.91643149331362594</v>
      </c>
      <c r="HX246" s="479">
        <f ca="1">IF($FJ246+HX$244&gt;73,"",PRODUCT(INDEX($T$19:$T$93,HX$244):INDEX($T$19:$T$93,HX$244+$FJ246-1)))</f>
        <v>0.90194586517451014</v>
      </c>
      <c r="HY246" s="479">
        <f ca="1">IF($FJ246+HY$244&gt;73,"",PRODUCT(INDEX($T$19:$T$93,HY$244):INDEX($T$19:$T$93,HY$244+$FJ246-1)))</f>
        <v>0.88491559232309125</v>
      </c>
      <c r="HZ246" s="479">
        <f ca="1">IF($FJ246+HZ$244&gt;73,"",PRODUCT(INDEX($T$19:$T$93,HZ$244):INDEX($T$19:$T$93,HZ$244+$FJ246-1)))</f>
        <v>0.86488895082040962</v>
      </c>
      <c r="IA246" s="479">
        <f ca="1">IF($FJ246+IA$244&gt;73,"",PRODUCT(INDEX($T$19:$T$93,IA$244):INDEX($T$19:$T$93,IA$244+$FJ246-1)))</f>
        <v>0.84133599591122921</v>
      </c>
      <c r="IB246" s="479">
        <f ca="1">IF($FJ246+IB$244&gt;73,"",PRODUCT(INDEX($T$19:$T$93,IB$244):INDEX($T$19:$T$93,IB$244+$FJ246-1)))</f>
        <v>0.81363760025623577</v>
      </c>
      <c r="IC246" s="479">
        <f ca="1">IF($FJ246+IC$244&gt;73,"",PRODUCT(INDEX($T$19:$T$93,IC$244):INDEX($T$19:$T$93,IC$244+$FJ246-1)))</f>
        <v>0.78107496765202433</v>
      </c>
      <c r="ID246" s="678">
        <f ca="1">IF($FJ246+ID$244&gt;73,"",PRODUCT(INDEX($T$19:$T$93,ID$244):INDEX($T$19:$T$93,ID$244+$FJ246-1)))</f>
        <v>0.74282132801284395</v>
      </c>
      <c r="IE246" s="250"/>
    </row>
    <row r="247" spans="8:239">
      <c r="H247" s="51">
        <f t="shared" ca="1" si="646"/>
        <v>0</v>
      </c>
      <c r="I247" s="379">
        <f t="shared" si="647"/>
        <v>43678</v>
      </c>
      <c r="J247" s="377"/>
      <c r="K247" s="104" t="s">
        <v>268</v>
      </c>
      <c r="L247" s="392">
        <f t="shared" si="648"/>
        <v>5.6624999999999908</v>
      </c>
      <c r="M247" s="171"/>
      <c r="N247" s="382">
        <v>0</v>
      </c>
      <c r="O247" s="171">
        <f t="shared" si="596"/>
        <v>0</v>
      </c>
      <c r="P247" s="377"/>
      <c r="Q247" s="104" t="s">
        <v>268</v>
      </c>
      <c r="R247" s="377">
        <f t="shared" ca="1" si="597"/>
        <v>4.2702689315732014</v>
      </c>
      <c r="S247" s="832">
        <f t="shared" si="671"/>
        <v>0.3600000000000001</v>
      </c>
      <c r="T247" s="831">
        <f t="shared" si="661"/>
        <v>0.99999999999999933</v>
      </c>
      <c r="U247" s="545">
        <f t="shared" si="662"/>
        <v>0.99999999999999978</v>
      </c>
      <c r="V247" s="389">
        <v>0</v>
      </c>
      <c r="W247" s="434">
        <f t="shared" si="598"/>
        <v>0</v>
      </c>
      <c r="X247" s="415">
        <f t="shared" si="599"/>
        <v>5.7136363636363541</v>
      </c>
      <c r="Y247" s="322">
        <f t="shared" si="600"/>
        <v>-1.2668999999999999</v>
      </c>
      <c r="Z247" s="322">
        <f t="shared" ca="1" si="601"/>
        <v>4.4467363636363544</v>
      </c>
      <c r="AA247" s="429">
        <f t="shared" si="628"/>
        <v>1.2668999999999999</v>
      </c>
      <c r="AB247" s="433">
        <f t="shared" ca="1" si="629"/>
        <v>1.2668999999999999</v>
      </c>
      <c r="AC247" s="229">
        <v>43666</v>
      </c>
      <c r="AD247" s="229">
        <v>43662</v>
      </c>
      <c r="AE247" s="229">
        <v>43661</v>
      </c>
      <c r="AF247" s="229">
        <v>43657</v>
      </c>
      <c r="AG247" s="249" t="s">
        <v>499</v>
      </c>
      <c r="AH247" s="247" t="s">
        <v>499</v>
      </c>
      <c r="AI247" s="146">
        <v>22</v>
      </c>
      <c r="AJ247" s="41">
        <v>14</v>
      </c>
      <c r="AK247" s="41">
        <v>8</v>
      </c>
      <c r="AL247" s="293">
        <v>22</v>
      </c>
      <c r="AM247" s="41">
        <v>10</v>
      </c>
      <c r="AN247" s="147">
        <v>12</v>
      </c>
      <c r="AO247" s="374"/>
      <c r="AP247" s="153">
        <f t="shared" ca="1" si="649"/>
        <v>1</v>
      </c>
      <c r="AQ247" s="374"/>
      <c r="AR247" s="153">
        <f t="shared" ca="1" si="663"/>
        <v>1</v>
      </c>
      <c r="AS247" s="272">
        <f t="shared" si="602"/>
        <v>0</v>
      </c>
      <c r="AT247" s="157">
        <f t="shared" si="650"/>
        <v>0</v>
      </c>
      <c r="AU247" s="157">
        <f t="shared" si="630"/>
        <v>0</v>
      </c>
      <c r="AV247" s="271">
        <f t="shared" ca="1" si="670"/>
        <v>9.9999999999999995E-7</v>
      </c>
      <c r="AW247" s="158" t="str">
        <f t="shared" ca="1" si="672"/>
        <v/>
      </c>
      <c r="AX247" s="157">
        <f t="shared" ca="1" si="664"/>
        <v>1.1948528437541255E-5</v>
      </c>
      <c r="AY247" s="157">
        <f t="shared" ca="1" si="665"/>
        <v>2.0352877195033284E-6</v>
      </c>
      <c r="AZ247" s="157">
        <f t="shared" ca="1" si="666"/>
        <v>2.9534849330912622E-8</v>
      </c>
      <c r="BA247" s="157">
        <f t="shared" ca="1" si="667"/>
        <v>3.6918561663640778E-9</v>
      </c>
      <c r="BB247" s="157">
        <f t="shared" ca="1" si="668"/>
        <v>3.6760206992589697E-12</v>
      </c>
      <c r="BC247" s="157">
        <f t="shared" ca="1" si="669"/>
        <v>2.7259603906237259E-14</v>
      </c>
      <c r="BD247" s="151">
        <f t="shared" ca="1" si="603"/>
        <v>0</v>
      </c>
      <c r="BE247" s="152">
        <f t="shared" ca="1" si="604"/>
        <v>0</v>
      </c>
      <c r="BF247" s="40">
        <f t="shared" si="605"/>
        <v>2019</v>
      </c>
      <c r="BG247" s="144">
        <f t="shared" si="606"/>
        <v>8</v>
      </c>
      <c r="BH247" s="145">
        <f t="shared" ca="1" si="607"/>
        <v>6917</v>
      </c>
      <c r="BI247" s="313">
        <f t="shared" ca="1" si="608"/>
        <v>18.981519507186857</v>
      </c>
      <c r="BJ247" s="42">
        <f t="shared" ca="1" si="631"/>
        <v>19.033787567668469</v>
      </c>
      <c r="BK247" s="42">
        <f t="shared" ca="1" si="632"/>
        <v>19.0365254184556</v>
      </c>
      <c r="BL247" s="42">
        <f t="shared" ca="1" si="609"/>
        <v>19.06365503080082</v>
      </c>
      <c r="BM247" s="150" t="e">
        <f t="shared" ca="1" si="633"/>
        <v>#DIV/0!</v>
      </c>
      <c r="BN247" s="42" t="e">
        <f t="shared" ca="1" si="634"/>
        <v>#DIV/0!</v>
      </c>
      <c r="BO247" s="293">
        <f t="shared" si="610"/>
        <v>22</v>
      </c>
      <c r="BP247" s="41">
        <f t="shared" si="611"/>
        <v>14</v>
      </c>
      <c r="BQ247" s="41">
        <f t="shared" si="612"/>
        <v>8</v>
      </c>
      <c r="BR247" s="305" t="str">
        <f t="shared" ca="1" si="635"/>
        <v/>
      </c>
      <c r="BS247" s="305" t="str">
        <f t="shared" ca="1" si="613"/>
        <v/>
      </c>
      <c r="BT247" s="307" t="str">
        <f t="shared" ca="1" si="614"/>
        <v/>
      </c>
      <c r="BU247" s="161" t="str">
        <f t="shared" ca="1" si="636"/>
        <v/>
      </c>
      <c r="BV247" s="161" t="str">
        <f t="shared" ca="1" si="637"/>
        <v/>
      </c>
      <c r="BW247" s="308" t="str">
        <f t="shared" ca="1" si="638"/>
        <v/>
      </c>
      <c r="BX247" s="309" t="str">
        <f t="shared" ca="1" si="639"/>
        <v/>
      </c>
      <c r="BY247" s="308" t="str">
        <f t="shared" ca="1" si="615"/>
        <v/>
      </c>
      <c r="BZ247" s="309" t="str">
        <f t="shared" ca="1" si="616"/>
        <v/>
      </c>
      <c r="CA247" s="154" t="str">
        <f t="shared" ca="1" si="640"/>
        <v/>
      </c>
      <c r="CB247" s="154" t="str">
        <f t="shared" ca="1" si="641"/>
        <v/>
      </c>
      <c r="CC247" s="154" t="str">
        <f t="shared" ca="1" si="642"/>
        <v/>
      </c>
      <c r="CD247" s="154" t="str">
        <f t="shared" ca="1" si="643"/>
        <v/>
      </c>
      <c r="CE247" s="310">
        <v>1</v>
      </c>
      <c r="CF247" s="162">
        <f ca="1">IF(BD247,_xll.xCrudeAPO(BU247,BV247,CA247,CB247,S248,S249,BI247,BL247,BP247,BQ247,0,Strike1,AO247,CE247,0,BL247,IF(OptControl=4,0,1),0,1),0)</f>
        <v>0</v>
      </c>
      <c r="CG247" s="163">
        <f ca="1">IF(BD247,_xll.xCrudeAPO(BU247,BV247,CA247,CB247,S248,S249,BI247,BL247,BP247,BQ247,0,Strike1,AO247,CE247,0,BL247,IF(OptControl=4,0,1),1,1)+_xll.xCrudeAPO(BU247,BV247,CA247,CB247,S248,S249,BI247,BL247,BP247,BQ247,0,Strike1,AO247,CE247,0,BL247,IF(OptControl=4,0,1),1,2)+IF(OR(VolSkewFlag=2,ABS(BS247)&lt;0.0001),0,IF(BS247&gt;0,-1,1)*CH247*Strike1/BR247^2*BY247/10%),0)</f>
        <v>0</v>
      </c>
      <c r="CH247" s="163">
        <f ca="1">IF(BD247,(_xll.xCrudeAPO(BU247,BV247,CA247,CB247,S248,S249,BI247,BL247,BP247,BQ247,0,Strike1,AO247,CE247,0,BL247,IF(OptControl=4,0,1),3,1)+_xll.xCrudeAPO(BU247,BV247,CA247,CB247,S248,S249,BI247,BL247,BP247,BQ247,0,Strike1,AO247,CE247,0,BL247,IF(OptControl=4,0,1),3,2))/100,0)</f>
        <v>0</v>
      </c>
      <c r="CI247" s="163">
        <f ca="1">IF(BD247,_xll.xCrudeAPO(BU247,BV247,CA247,CB247,S248,S249,BI247-DaysForThetaCalculation/365.25,BL247-DaysForThetaCalculation/365.25,BP247,BQ247,0,Strike1,AO247,CE247,0,BL247,IF(OptControl=4,0,1),0,1)-_xll.xCrudeAPO(BU247,BV247,CA247,CB247,S248,S249,BI247,BL247,BP247,BQ247,0,Strike1,AO247,CE247,0,BL247,IF(OptControl=4,0,1),0,1),0)</f>
        <v>0</v>
      </c>
      <c r="CJ247" s="311">
        <f ca="1">IF(BD247,_xll.xCrudeAPO(BU247,BV247,CC247,CD247,S248,S249,BI247,BL247,BP247,BQ247,0,Strike2,AO247,CE247,0,BL247,IF(OptControl=3,1,0),0,1),0)</f>
        <v>0</v>
      </c>
      <c r="CK247" s="163">
        <f ca="1">IF(BD247,_xll.xCrudeAPO(BU247,BV247,CC247,CD247,S248,S249,BI247,BL247,BP247,BQ247,0,Strike2,AO247,CE247,0,BL247,IF(OptControl=3,1,0),1,1)+_xll.xCrudeAPO(BU247,BV247,CC247,CD247,S248,S249,BI247,BL247,BP247,BQ247,0,Strike2,AO247,CE247,0,BL247,IF(OptControl=3,1,0),1,2)+IF(OR(VolSkewFlag=2,ABS(BT247)&lt;0.0001),0,IF(BT247&gt;0,-1,1)*CL247*Strike2/BR247^2*BZ247/10%),0)</f>
        <v>0</v>
      </c>
      <c r="CL247" s="163">
        <f ca="1">IF(BD247,(_xll.xCrudeAPO(BU247,BV247,CC247,CD247,S248,S249,BI247,BL247,BP247,BQ247,0,Strike2,AO247,CE247,0,BL247,IF(OptControl=3,1,0),3,1)+_xll.xCrudeAPO(BU247,BV247,CC247,CD247,S248,S249,BI247,BL247,BP247,BQ247,0,Strike2,AO247,CE247,0,BL247,IF(OptControl=3,1,0),3,2))/100,0)</f>
        <v>0</v>
      </c>
      <c r="CM247" s="164">
        <f ca="1">IF(BD247,_xll.xCrudeAPO(BU247,BV247,CC247,CD247,S248,S249,BI247-DaysForThetaCalculation/365.25,BL247-DaysForThetaCalculation/365.25,BP247,BQ247,0,Strike2,AO247,CE247,0,BL247,IF(OptControl=3,1,0),0,1)-_xll.xCrudeAPO(BU247,BV247,CC247,CD247,S248,S249,BI247,BL247,BP247,BQ247,0,Strike2,AO247,CE247,0,BL247,IF(OptControl=3,1,0),0,1),0)</f>
        <v>0</v>
      </c>
      <c r="CN247" s="53"/>
      <c r="CO247" s="796" t="str">
        <f t="shared" ca="1" si="651"/>
        <v/>
      </c>
      <c r="CP247" s="800" t="str">
        <f t="shared" ca="1" si="652"/>
        <v/>
      </c>
      <c r="CQ247" s="797" t="str">
        <f t="shared" ca="1" si="653"/>
        <v/>
      </c>
      <c r="CR247" s="797" t="str">
        <f t="shared" ca="1" si="654"/>
        <v/>
      </c>
      <c r="CS247" s="797" t="str">
        <f t="shared" ca="1" si="655"/>
        <v/>
      </c>
      <c r="CT247" s="797" t="str">
        <f t="shared" ca="1" si="656"/>
        <v/>
      </c>
      <c r="CU247" s="798" t="str">
        <f t="shared" ca="1" si="657"/>
        <v/>
      </c>
      <c r="CV247" s="799" t="str">
        <f t="shared" ca="1" si="658"/>
        <v/>
      </c>
      <c r="CW247" s="799" t="str">
        <f t="shared" ca="1" si="659"/>
        <v/>
      </c>
      <c r="CX247" s="163">
        <f ca="1">IF(BD247,_xll.EURO(CP247,Strike1,AO247,AO247,CV247,CO247,IF(OptControl=4,0,1),0),0)</f>
        <v>0</v>
      </c>
      <c r="CY247" s="163">
        <f ca="1">IF(BD247,_xll.EURO(CP247,Strike1,AO247,AO247,CV247,CO247,IF(OptControl=4,0,1),1)+IF(OR(VolSkewFlag=2,ABS(CQ247)&lt;0.0001),0,IF(CQ247&gt;0,-1,1)*CZ247*100*Strike1/CP247^2*CS247/10%),0)</f>
        <v>0</v>
      </c>
      <c r="CZ247" s="163">
        <f ca="1">IF(BD247,_xll.EURO(CP247,Strike1,AO247,AO247,CV247,CO247,IF(OptControl=4,0,1),3)/100,0)</f>
        <v>0</v>
      </c>
      <c r="DA247" s="163">
        <f ca="1">IF(BD247,_xll.EURO(CP247,Strike1,AO247,AO247,CV247,CO247,IF(OptControl=4,0,1),0)-_xll.EURO(CP247,Strike1,AO247,AO247,CV247,CO247-1,IF(OptControl=4,0,1),0),0)</f>
        <v>0</v>
      </c>
      <c r="DB247" s="163">
        <f ca="1">IF(BD247,_xll.EURO(CP247,Strike2,AO247,AO247,CW247,CO247,IF(OptControl=3,1,0),0),0)</f>
        <v>0</v>
      </c>
      <c r="DC247" s="163">
        <f ca="1">IF(BD247,_xll.EURO(CP247,Strike2,AO247,AO247,CW247,CO247,IF(OptControl=3,1,0),1)+IF(OR(VolSkewFlag=2,ABS(CR247)&lt;0.0001),0,IF(CR247&gt;0,-1,1)*DD247*100*Strike2/CP247^2*CT247/10%),0)</f>
        <v>0</v>
      </c>
      <c r="DD247" s="163">
        <f ca="1">IF(BD247,_xll.EURO(CP247,Strike2,AO247,AO247,CW247,CO247,IF(OptControl=3,1,0),3)/100,0)</f>
        <v>0</v>
      </c>
      <c r="DE247" s="164">
        <f ca="1">IF(BD247,_xll.EURO(CP247,Strike2,AO247,AO247,CW247,CO247,IF(OptControl=3,1,0),0)-_xll.EURO(CP247,Strike2,AO247,AO247,CW247,CO247-1,IF(OptControl=3,1,0),0),0)</f>
        <v>0</v>
      </c>
      <c r="DG247" s="667">
        <f t="shared" ca="1" si="660"/>
        <v>43466</v>
      </c>
      <c r="DH247" s="475">
        <v>25.510000000000108</v>
      </c>
      <c r="DI247" s="665">
        <v>25.580454545454653</v>
      </c>
      <c r="DJ247" s="666">
        <f t="shared" ca="1" si="617"/>
        <v>43466</v>
      </c>
      <c r="DK247" s="475">
        <v>24.308056516085287</v>
      </c>
      <c r="DL247" s="665">
        <v>24.411954545454655</v>
      </c>
      <c r="DM247" s="667">
        <f t="shared" ca="1" si="618"/>
        <v>43466</v>
      </c>
      <c r="DN247" s="668">
        <f t="shared" si="619"/>
        <v>24.358056516085288</v>
      </c>
      <c r="DO247" s="667">
        <f t="shared" ca="1" si="620"/>
        <v>43466</v>
      </c>
      <c r="DP247" s="579">
        <f t="shared" si="621"/>
        <v>24.411954545454655</v>
      </c>
      <c r="DQ247" s="821">
        <v>0</v>
      </c>
      <c r="DR247" s="666">
        <f t="shared" ca="1" si="622"/>
        <v>43466</v>
      </c>
      <c r="DS247" s="669">
        <v>8.8399999999997314E-2</v>
      </c>
      <c r="DT247" s="606">
        <v>8.7554545454542762E-2</v>
      </c>
      <c r="DU247" s="666">
        <f t="shared" ca="1" si="623"/>
        <v>43466</v>
      </c>
      <c r="DV247" s="669">
        <v>8.8399999999997314E-2</v>
      </c>
      <c r="DW247" s="606">
        <v>8.7554545454542762E-2</v>
      </c>
      <c r="DX247" s="667">
        <f t="shared" ca="1" si="624"/>
        <v>43466</v>
      </c>
      <c r="DY247" s="606">
        <v>0.35</v>
      </c>
      <c r="DZ247" s="667">
        <f t="shared" ca="1" si="625"/>
        <v>43466</v>
      </c>
      <c r="EA247" s="606">
        <f t="shared" si="626"/>
        <v>8.7554545454542762E-2</v>
      </c>
      <c r="EB247" s="1"/>
      <c r="EC247" s="118" t="str">
        <f t="shared" ca="1" si="627"/>
        <v/>
      </c>
      <c r="ED247" s="119" t="str">
        <f t="shared" ca="1" si="644"/>
        <v/>
      </c>
      <c r="EE247" s="112" t="str">
        <f t="shared" ca="1" si="645"/>
        <v/>
      </c>
      <c r="EF247" s="120">
        <f ca="1">IF(BD247,_xll.xASN(BR247,Strike1,AO247,ED247,0,BO247,0,BI247,BL247,IF(OptControl=4,0,1),0),0)</f>
        <v>0</v>
      </c>
      <c r="EG247" s="111">
        <f ca="1">IF(BD247,_xll.xASN(BR247,Strike2,AO247,EE247,0,BO247,0,BI247,BL247,IF(OptControl=3,1,0),0),0)</f>
        <v>0</v>
      </c>
      <c r="EL247" s="55"/>
      <c r="EM247" s="1"/>
      <c r="EN247" s="106"/>
      <c r="EO247" s="106"/>
      <c r="EP247" s="1"/>
      <c r="EQ247" s="683" t="s">
        <v>461</v>
      </c>
      <c r="ES247" s="55"/>
      <c r="EU247" s="107"/>
      <c r="FJ247" s="673">
        <v>3</v>
      </c>
      <c r="FK247" s="479" t="str">
        <f ca="1">IF($FJ247+FK$244&gt;73,"",PRODUCT(INDEX($T$19:$T$93,FK$244):INDEX($T$19:$T$93,FK$244+$FJ247-1)))</f>
        <v/>
      </c>
      <c r="FL247" s="479" t="str">
        <f ca="1">IF($FJ247+FL$244&gt;73,"",PRODUCT(INDEX($T$19:$T$93,FL$244):INDEX($T$19:$T$93,FL$244+$FJ247-1)))</f>
        <v/>
      </c>
      <c r="FM247" s="479">
        <f ca="1">IF($FJ247+FM$244&gt;73,"",PRODUCT(INDEX($T$19:$T$93,FM$244):INDEX($T$19:$T$93,FM$244+$FJ247-1)))</f>
        <v>0.99999313218136165</v>
      </c>
      <c r="FN247" s="479">
        <f ca="1">IF($FJ247+FN$244&gt;73,"",PRODUCT(INDEX($T$19:$T$93,FN$244):INDEX($T$19:$T$93,FN$244+$FJ247-1)))</f>
        <v>0.99999196745602259</v>
      </c>
      <c r="FO247" s="479">
        <f ca="1">IF($FJ247+FO$244&gt;73,"",PRODUCT(INDEX($T$19:$T$93,FO$244):INDEX($T$19:$T$93,FO$244+$FJ247-1)))</f>
        <v>0.99999060520169669</v>
      </c>
      <c r="FP247" s="479">
        <f ca="1">IF($FJ247+FP$244&gt;73,"",PRODUCT(INDEX($T$19:$T$93,FP$244):INDEX($T$19:$T$93,FP$244+$FJ247-1)))</f>
        <v>0.99998901191851286</v>
      </c>
      <c r="FQ247" s="479">
        <f ca="1">IF($FJ247+FQ$244&gt;73,"",PRODUCT(INDEX($T$19:$T$93,FQ$244):INDEX($T$19:$T$93,FQ$244+$FJ247-1)))</f>
        <v>0.99998714842507475</v>
      </c>
      <c r="FR247" s="479">
        <f ca="1">IF($FJ247+FR$244&gt;73,"",PRODUCT(INDEX($T$19:$T$93,FR$244):INDEX($T$19:$T$93,FR$244+$FJ247-1)))</f>
        <v>0.99998496889484267</v>
      </c>
      <c r="FS247" s="479">
        <f ca="1">IF($FJ247+FS$244&gt;73,"",PRODUCT(INDEX($T$19:$T$93,FS$244):INDEX($T$19:$T$93,FS$244+$FJ247-1)))</f>
        <v>0.99998241972906843</v>
      </c>
      <c r="FT247" s="479">
        <f ca="1">IF($FJ247+FT$244&gt;73,"",PRODUCT(INDEX($T$19:$T$93,FT$244):INDEX($T$19:$T$93,FT$244+$FJ247-1)))</f>
        <v>0.99997943823855395</v>
      </c>
      <c r="FU247" s="479">
        <f ca="1">IF($FJ247+FU$244&gt;73,"",PRODUCT(INDEX($T$19:$T$93,FU$244):INDEX($T$19:$T$93,FU$244+$FJ247-1)))</f>
        <v>0.99997595110180149</v>
      </c>
      <c r="FV247" s="479">
        <f ca="1">IF($FJ247+FV$244&gt;73,"",PRODUCT(INDEX($T$19:$T$93,FV$244):INDEX($T$19:$T$93,FV$244+$FJ247-1)))</f>
        <v>0.99997187256161879</v>
      </c>
      <c r="FW247" s="479">
        <f ca="1">IF($FJ247+FW$244&gt;73,"",PRODUCT(INDEX($T$19:$T$93,FW$244):INDEX($T$19:$T$93,FW$244+$FJ247-1)))</f>
        <v>0.99996710231580199</v>
      </c>
      <c r="FX247" s="479">
        <f ca="1">IF($FJ247+FX$244&gt;73,"",PRODUCT(INDEX($T$19:$T$93,FX$244):INDEX($T$19:$T$93,FX$244+$FJ247-1)))</f>
        <v>0.9999615230499902</v>
      </c>
      <c r="FY247" s="479">
        <f ca="1">IF($FJ247+FY$244&gt;73,"",PRODUCT(INDEX($T$19:$T$93,FY$244):INDEX($T$19:$T$93,FY$244+$FJ247-1)))</f>
        <v>0.99995499755197237</v>
      </c>
      <c r="FZ247" s="479">
        <f ca="1">IF($FJ247+FZ$244&gt;73,"",PRODUCT(INDEX($T$19:$T$93,FZ$244):INDEX($T$19:$T$93,FZ$244+$FJ247-1)))</f>
        <v>0.9999473653364197</v>
      </c>
      <c r="GA247" s="479">
        <f ca="1">IF($FJ247+GA$244&gt;73,"",PRODUCT(INDEX($T$19:$T$93,GA$244):INDEX($T$19:$T$93,GA$244+$FJ247-1)))</f>
        <v>0.99993843869695642</v>
      </c>
      <c r="GB247" s="479">
        <f ca="1">IF($FJ247+GB$244&gt;73,"",PRODUCT(INDEX($T$19:$T$93,GB$244):INDEX($T$19:$T$93,GB$244+$FJ247-1)))</f>
        <v>0.99992799808837229</v>
      </c>
      <c r="GC247" s="479">
        <f ca="1">IF($FJ247+GC$244&gt;73,"",PRODUCT(INDEX($T$19:$T$93,GC$244):INDEX($T$19:$T$93,GC$244+$FJ247-1)))</f>
        <v>0.99991578672527415</v>
      </c>
      <c r="GD247" s="479">
        <f ca="1">IF($FJ247+GD$244&gt;73,"",PRODUCT(INDEX($T$19:$T$93,GD$244):INDEX($T$19:$T$93,GD$244+$FJ247-1)))</f>
        <v>0.99990150426415514</v>
      </c>
      <c r="GE247" s="479">
        <f ca="1">IF($FJ247+GE$244&gt;73,"",PRODUCT(INDEX($T$19:$T$93,GE$244):INDEX($T$19:$T$93,GE$244+$FJ247-1)))</f>
        <v>0.99988479941326369</v>
      </c>
      <c r="GF247" s="479">
        <f ca="1">IF($FJ247+GF$244&gt;73,"",PRODUCT(INDEX($T$19:$T$93,GF$244):INDEX($T$19:$T$93,GF$244+$FJ247-1)))</f>
        <v>0.99986526128820385</v>
      </c>
      <c r="GG247" s="479">
        <f ca="1">IF($FJ247+GG$244&gt;73,"",PRODUCT(INDEX($T$19:$T$93,GG$244):INDEX($T$19:$T$93,GG$244+$FJ247-1)))</f>
        <v>0.99984240930025425</v>
      </c>
      <c r="GH247" s="479">
        <f ca="1">IF($FJ247+GH$244&gt;73,"",PRODUCT(INDEX($T$19:$T$93,GH$244):INDEX($T$19:$T$93,GH$244+$FJ247-1)))</f>
        <v>0.99981568132817344</v>
      </c>
      <c r="GI247" s="479">
        <f ca="1">IF($FJ247+GI$244&gt;73,"",PRODUCT(INDEX($T$19:$T$93,GI$244):INDEX($T$19:$T$93,GI$244+$FJ247-1)))</f>
        <v>0.99978441988187061</v>
      </c>
      <c r="GJ247" s="479">
        <f ca="1">IF($FJ247+GJ$244&gt;73,"",PRODUCT(INDEX($T$19:$T$93,GJ$244):INDEX($T$19:$T$93,GJ$244+$FJ247-1)))</f>
        <v>0.99974785591670812</v>
      </c>
      <c r="GK247" s="479">
        <f ca="1">IF($FJ247+GK$244&gt;73,"",PRODUCT(INDEX($T$19:$T$93,GK$244):INDEX($T$19:$T$93,GK$244+$FJ247-1)))</f>
        <v>0.99970508989913065</v>
      </c>
      <c r="GL247" s="479">
        <f ca="1">IF($FJ247+GL$244&gt;73,"",PRODUCT(INDEX($T$19:$T$93,GL$244):INDEX($T$19:$T$93,GL$244+$FJ247-1)))</f>
        <v>0.99965506965633111</v>
      </c>
      <c r="GM247" s="479">
        <f ca="1">IF($FJ247+GM$244&gt;73,"",PRODUCT(INDEX($T$19:$T$93,GM$244):INDEX($T$19:$T$93,GM$244+$FJ247-1)))</f>
        <v>0.9995965644630771</v>
      </c>
      <c r="GN247" s="479">
        <f ca="1">IF($FJ247+GN$244&gt;73,"",PRODUCT(INDEX($T$19:$T$93,GN$244):INDEX($T$19:$T$93,GN$244+$FJ247-1)))</f>
        <v>0.99952813472564028</v>
      </c>
      <c r="GO247" s="479">
        <f ca="1">IF($FJ247+GO$244&gt;73,"",PRODUCT(INDEX($T$19:$T$93,GO$244):INDEX($T$19:$T$93,GO$244+$FJ247-1)))</f>
        <v>0.99944809651365385</v>
      </c>
      <c r="GP247" s="479">
        <f ca="1">IF($FJ247+GP$244&gt;73,"",PRODUCT(INDEX($T$19:$T$93,GP$244):INDEX($T$19:$T$93,GP$244+$FJ247-1)))</f>
        <v>0.9993544800629578</v>
      </c>
      <c r="GQ247" s="479">
        <f ca="1">IF($FJ247+GQ$244&gt;73,"",PRODUCT(INDEX($T$19:$T$93,GQ$244):INDEX($T$19:$T$93,GQ$244+$FJ247-1)))</f>
        <v>0.99924498122284178</v>
      </c>
      <c r="GR247" s="479">
        <f ca="1">IF($FJ247+GR$244&gt;73,"",PRODUCT(INDEX($T$19:$T$93,GR$244):INDEX($T$19:$T$93,GR$244+$FJ247-1)))</f>
        <v>0.99911690464583081</v>
      </c>
      <c r="GS247" s="479">
        <f ca="1">IF($FJ247+GS$244&gt;73,"",PRODUCT(INDEX($T$19:$T$93,GS$244):INDEX($T$19:$T$93,GS$244+$FJ247-1)))</f>
        <v>0.99896709731285438</v>
      </c>
      <c r="GT247" s="479">
        <f ca="1">IF($FJ247+GT$244&gt;73,"",PRODUCT(INDEX($T$19:$T$93,GT$244):INDEX($T$19:$T$93,GT$244+$FJ247-1)))</f>
        <v>0.99879187074613895</v>
      </c>
      <c r="GU247" s="479">
        <f ca="1">IF($FJ247+GU$244&gt;73,"",PRODUCT(INDEX($T$19:$T$93,GU$244):INDEX($T$19:$T$93,GU$244+$FJ247-1)))</f>
        <v>0.99858690998042376</v>
      </c>
      <c r="GV247" s="479">
        <f ca="1">IF($FJ247+GV$244&gt;73,"",PRODUCT(INDEX($T$19:$T$93,GV$244):INDEX($T$19:$T$93,GV$244+$FJ247-1)))</f>
        <v>0.99834716703302118</v>
      </c>
      <c r="GW247" s="479">
        <f ca="1">IF($FJ247+GW$244&gt;73,"",PRODUCT(INDEX($T$19:$T$93,GW$244):INDEX($T$19:$T$93,GW$244+$FJ247-1)))</f>
        <v>0.99806673622657571</v>
      </c>
      <c r="GX247" s="479">
        <f ca="1">IF($FJ247+GX$244&gt;73,"",PRODUCT(INDEX($T$19:$T$93,GX$244):INDEX($T$19:$T$93,GX$244+$FJ247-1)))</f>
        <v>0.99773870826540745</v>
      </c>
      <c r="GY247" s="479">
        <f ca="1">IF($FJ247+GY$244&gt;73,"",PRODUCT(INDEX($T$19:$T$93,GY$244):INDEX($T$19:$T$93,GY$244+$FJ247-1)))</f>
        <v>0.9973549994358234</v>
      </c>
      <c r="GZ247" s="479">
        <f ca="1">IF($FJ247+GZ$244&gt;73,"",PRODUCT(INDEX($T$19:$T$93,GZ$244):INDEX($T$19:$T$93,GZ$244+$FJ247-1)))</f>
        <v>0.99690615167960173</v>
      </c>
      <c r="HA247" s="479">
        <f ca="1">IF($FJ247+HA$244&gt;73,"",PRODUCT(INDEX($T$19:$T$93,HA$244):INDEX($T$19:$T$93,HA$244+$FJ247-1)))</f>
        <v>0.9963810985628363</v>
      </c>
      <c r="HB247" s="479">
        <f ca="1">IF($FJ247+HB$244&gt;73,"",PRODUCT(INDEX($T$19:$T$93,HB$244):INDEX($T$19:$T$93,HB$244+$FJ247-1)))</f>
        <v>0.99576689131196339</v>
      </c>
      <c r="HC247" s="479">
        <f ca="1">IF($FJ247+HC$244&gt;73,"",PRODUCT(INDEX($T$19:$T$93,HC$244):INDEX($T$19:$T$93,HC$244+$FJ247-1)))</f>
        <v>0.99504837809505198</v>
      </c>
      <c r="HD247" s="479">
        <f ca="1">IF($FJ247+HD$244&gt;73,"",PRODUCT(INDEX($T$19:$T$93,HD$244):INDEX($T$19:$T$93,HD$244+$FJ247-1)))</f>
        <v>0.99420782856664536</v>
      </c>
      <c r="HE247" s="479">
        <f ca="1">IF($FJ247+HE$244&gt;73,"",PRODUCT(INDEX($T$19:$T$93,HE$244):INDEX($T$19:$T$93,HE$244+$FJ247-1)))</f>
        <v>0.99322449434321891</v>
      </c>
      <c r="HF247" s="479">
        <f ca="1">IF($FJ247+HF$244&gt;73,"",PRODUCT(INDEX($T$19:$T$93,HF$244):INDEX($T$19:$T$93,HF$244+$FJ247-1)))</f>
        <v>0.99207409450594342</v>
      </c>
      <c r="HG247" s="479">
        <f ca="1">IF($FJ247+HG$244&gt;73,"",PRODUCT(INDEX($T$19:$T$93,HG$244):INDEX($T$19:$T$93,HG$244+$FJ247-1)))</f>
        <v>0.99072821340848205</v>
      </c>
      <c r="HH247" s="479">
        <f ca="1">IF($FJ247+HH$244&gt;73,"",PRODUCT(INDEX($T$19:$T$93,HH$244):INDEX($T$19:$T$93,HH$244+$FJ247-1)))</f>
        <v>0.9891535959703841</v>
      </c>
      <c r="HI247" s="479">
        <f ca="1">IF($FJ247+HI$244&gt;73,"",PRODUCT(INDEX($T$19:$T$93,HI$244):INDEX($T$19:$T$93,HI$244+$FJ247-1)))</f>
        <v>0.98731132323411674</v>
      </c>
      <c r="HJ247" s="479">
        <f ca="1">IF($FJ247+HJ$244&gt;73,"",PRODUCT(INDEX($T$19:$T$93,HJ$244):INDEX($T$19:$T$93,HJ$244+$FJ247-1)))</f>
        <v>0.98515584823588431</v>
      </c>
      <c r="HK247" s="479">
        <f ca="1">IF($FJ247+HK$244&gt;73,"",PRODUCT(INDEX($T$19:$T$93,HK$244):INDEX($T$19:$T$93,HK$244+$FJ247-1)))</f>
        <v>0.98263386918192264</v>
      </c>
      <c r="HL247" s="479">
        <f ca="1">IF($FJ247+HL$244&gt;73,"",PRODUCT(INDEX($T$19:$T$93,HL$244):INDEX($T$19:$T$93,HL$244+$FJ247-1)))</f>
        <v>0.97968301355518916</v>
      </c>
      <c r="HM247" s="479">
        <f ca="1">IF($FJ247+HM$244&gt;73,"",PRODUCT(INDEX($T$19:$T$93,HM$244):INDEX($T$19:$T$93,HM$244+$FJ247-1)))</f>
        <v>0.97623030317209658</v>
      </c>
      <c r="HN247" s="479">
        <f ca="1">IF($FJ247+HN$244&gt;73,"",PRODUCT(INDEX($T$19:$T$93,HN$244):INDEX($T$19:$T$93,HN$244+$FJ247-1)))</f>
        <v>0.97219036651446067</v>
      </c>
      <c r="HO247" s="479">
        <f ca="1">IF($FJ247+HO$244&gt;73,"",PRODUCT(INDEX($T$19:$T$93,HO$244):INDEX($T$19:$T$93,HO$244+$FJ247-1)))</f>
        <v>0.96746336115699749</v>
      </c>
      <c r="HP247" s="479">
        <f ca="1">IF($FJ247+HP$244&gt;73,"",PRODUCT(INDEX($T$19:$T$93,HP$244):INDEX($T$19:$T$93,HP$244+$FJ247-1)))</f>
        <v>0.96193256628191581</v>
      </c>
      <c r="HQ247" s="479">
        <f ca="1">IF($FJ247+HQ$244&gt;73,"",PRODUCT(INDEX($T$19:$T$93,HQ$244):INDEX($T$19:$T$93,HQ$244+$FJ247-1)))</f>
        <v>0.95546160393426149</v>
      </c>
      <c r="HR247" s="479">
        <f ca="1">IF($FJ247+HR$244&gt;73,"",PRODUCT(INDEX($T$19:$T$93,HR$244):INDEX($T$19:$T$93,HR$244+$FJ247-1)))</f>
        <v>0.94789124915415079</v>
      </c>
      <c r="HS247" s="479">
        <f ca="1">IF($FJ247+HS$244&gt;73,"",PRODUCT(INDEX($T$19:$T$93,HS$244):INDEX($T$19:$T$93,HS$244+$FJ247-1)))</f>
        <v>0.93903579555429628</v>
      </c>
      <c r="HT247" s="479">
        <f ca="1">IF($FJ247+HT$244&gt;73,"",PRODUCT(INDEX($T$19:$T$93,HT$244):INDEX($T$19:$T$93,HT$244+$FJ247-1)))</f>
        <v>0.92867895765744246</v>
      </c>
      <c r="HU247" s="479">
        <f ca="1">IF($FJ247+HU$244&gt;73,"",PRODUCT(INDEX($T$19:$T$93,HU$244):INDEX($T$19:$T$93,HU$244+$FJ247-1)))</f>
        <v>0.91656931962550292</v>
      </c>
      <c r="HV247" s="479">
        <f ca="1">IF($FJ247+HV$244&gt;73,"",PRODUCT(INDEX($T$19:$T$93,HV$244):INDEX($T$19:$T$93,HV$244+$FJ247-1)))</f>
        <v>0.90241539003879889</v>
      </c>
      <c r="HW247" s="479">
        <f ca="1">IF($FJ247+HW$244&gt;73,"",PRODUCT(INDEX($T$19:$T$93,HW$244):INDEX($T$19:$T$93,HW$244+$FJ247-1)))</f>
        <v>0.8858804066097804</v>
      </c>
      <c r="HX247" s="479">
        <f ca="1">IF($FJ247+HX$244&gt;73,"",PRODUCT(INDEX($T$19:$T$93,HX$244):INDEX($T$19:$T$93,HX$244+$FJ247-1)))</f>
        <v>0.86657717213943397</v>
      </c>
      <c r="HY247" s="479">
        <f ca="1">IF($FJ247+HY$244&gt;73,"",PRODUCT(INDEX($T$19:$T$93,HY$244):INDEX($T$19:$T$93,HY$244+$FJ247-1)))</f>
        <v>0.8440634222607557</v>
      </c>
      <c r="HZ247" s="479">
        <f ca="1">IF($FJ247+HZ$244&gt;73,"",PRODUCT(INDEX($T$19:$T$93,HZ$244):INDEX($T$19:$T$93,HZ$244+$FJ247-1)))</f>
        <v>0.81783856915106823</v>
      </c>
      <c r="IA247" s="479">
        <f ca="1">IF($FJ247+IA$244&gt;73,"",PRODUCT(INDEX($T$19:$T$93,IA$244):INDEX($T$19:$T$93,IA$244+$FJ247-1)))</f>
        <v>0.78734319586086676</v>
      </c>
      <c r="IB247" s="479">
        <f ca="1">IF($FJ247+IB$244&gt;73,"",PRODUCT(INDEX($T$19:$T$93,IB$244):INDEX($T$19:$T$93,IB$244+$FJ247-1)))</f>
        <v>0.75196348281556313</v>
      </c>
      <c r="IC247" s="479">
        <f ca="1">IF($FJ247+IC$244&gt;73,"",PRODUCT(INDEX($T$19:$T$93,IC$244):INDEX($T$19:$T$93,IC$244+$FJ247-1)))</f>
        <v>0.71104395616884775</v>
      </c>
      <c r="ID247" s="678">
        <f ca="1">IF($FJ247+ID$244&gt;73,"",PRODUCT(INDEX($T$19:$T$93,ID$244):INDEX($T$19:$T$93,ID$244+$FJ247-1)))</f>
        <v>0.66391372250422065</v>
      </c>
      <c r="IE247" s="250"/>
    </row>
    <row r="248" spans="8:239">
      <c r="H248" s="51">
        <f t="shared" ca="1" si="646"/>
        <v>0</v>
      </c>
      <c r="I248" s="379">
        <f t="shared" si="647"/>
        <v>43709</v>
      </c>
      <c r="J248" s="377"/>
      <c r="K248" s="104" t="s">
        <v>268</v>
      </c>
      <c r="L248" s="392">
        <f t="shared" si="648"/>
        <v>5.6999999999999904</v>
      </c>
      <c r="M248" s="171"/>
      <c r="N248" s="382">
        <v>0</v>
      </c>
      <c r="O248" s="171">
        <f t="shared" si="596"/>
        <v>0</v>
      </c>
      <c r="P248" s="377"/>
      <c r="Q248" s="104" t="s">
        <v>268</v>
      </c>
      <c r="R248" s="377">
        <f t="shared" ca="1" si="597"/>
        <v>4.5161343883003164</v>
      </c>
      <c r="S248" s="832">
        <f t="shared" si="671"/>
        <v>0.3600000000000001</v>
      </c>
      <c r="T248" s="831">
        <f t="shared" si="661"/>
        <v>0.99999999999999933</v>
      </c>
      <c r="U248" s="545">
        <f t="shared" si="662"/>
        <v>0.99999999999999978</v>
      </c>
      <c r="V248" s="389">
        <v>0</v>
      </c>
      <c r="W248" s="434">
        <f t="shared" si="598"/>
        <v>0</v>
      </c>
      <c r="X248" s="415">
        <f t="shared" si="599"/>
        <v>5.7482142857142762</v>
      </c>
      <c r="Y248" s="322">
        <f t="shared" si="600"/>
        <v>-1.2668999999999999</v>
      </c>
      <c r="Z248" s="322">
        <f t="shared" ca="1" si="601"/>
        <v>4.4813142857142765</v>
      </c>
      <c r="AA248" s="429">
        <f t="shared" si="628"/>
        <v>1.2668999999999999</v>
      </c>
      <c r="AB248" s="433">
        <f t="shared" ca="1" si="629"/>
        <v>1.2668999999999999</v>
      </c>
      <c r="AC248" s="229">
        <v>43697</v>
      </c>
      <c r="AD248" s="229">
        <v>43693</v>
      </c>
      <c r="AE248" s="229">
        <v>43692</v>
      </c>
      <c r="AF248" s="229">
        <v>43688</v>
      </c>
      <c r="AG248" s="249" t="s">
        <v>499</v>
      </c>
      <c r="AH248" s="247" t="s">
        <v>499</v>
      </c>
      <c r="AI248" s="146">
        <v>21</v>
      </c>
      <c r="AJ248" s="41">
        <v>15</v>
      </c>
      <c r="AK248" s="41">
        <v>6</v>
      </c>
      <c r="AL248" s="293">
        <v>21</v>
      </c>
      <c r="AM248" s="41">
        <v>10</v>
      </c>
      <c r="AN248" s="147">
        <v>11</v>
      </c>
      <c r="AO248" s="374"/>
      <c r="AP248" s="153">
        <f t="shared" ca="1" si="649"/>
        <v>1</v>
      </c>
      <c r="AQ248" s="374"/>
      <c r="AR248" s="153">
        <f t="shared" ca="1" si="663"/>
        <v>1</v>
      </c>
      <c r="AS248" s="272">
        <f t="shared" si="602"/>
        <v>0</v>
      </c>
      <c r="AT248" s="157">
        <f t="shared" si="650"/>
        <v>0</v>
      </c>
      <c r="AU248" s="157">
        <f t="shared" si="630"/>
        <v>0</v>
      </c>
      <c r="AV248" s="271">
        <f t="shared" ca="1" si="670"/>
        <v>9.9999999999999995E-7</v>
      </c>
      <c r="AW248" s="158" t="str">
        <f t="shared" ca="1" si="672"/>
        <v/>
      </c>
      <c r="AX248" s="157">
        <f t="shared" ca="1" si="664"/>
        <v>1.1551547012603865E-5</v>
      </c>
      <c r="AY248" s="157">
        <f t="shared" ca="1" si="665"/>
        <v>1.9545856158286662E-6</v>
      </c>
      <c r="AZ248" s="157">
        <f t="shared" ca="1" si="666"/>
        <v>2.7877185612372526E-8</v>
      </c>
      <c r="BA248" s="157">
        <f t="shared" ca="1" si="667"/>
        <v>3.4846482015465657E-9</v>
      </c>
      <c r="BB248" s="157">
        <f t="shared" ca="1" si="668"/>
        <v>3.3544231268787933E-12</v>
      </c>
      <c r="BC248" s="157">
        <f t="shared" ca="1" si="669"/>
        <v>2.4285546177080155E-14</v>
      </c>
      <c r="BD248" s="151">
        <f t="shared" ca="1" si="603"/>
        <v>0</v>
      </c>
      <c r="BE248" s="152">
        <f t="shared" ca="1" si="604"/>
        <v>0</v>
      </c>
      <c r="BF248" s="40">
        <f t="shared" si="605"/>
        <v>2019</v>
      </c>
      <c r="BG248" s="144">
        <f t="shared" si="606"/>
        <v>9</v>
      </c>
      <c r="BH248" s="145">
        <f t="shared" ca="1" si="607"/>
        <v>6948</v>
      </c>
      <c r="BI248" s="313">
        <f t="shared" ca="1" si="608"/>
        <v>19.066392881587955</v>
      </c>
      <c r="BJ248" s="42">
        <f t="shared" ca="1" si="631"/>
        <v>19.123105505035689</v>
      </c>
      <c r="BK248" s="42">
        <f t="shared" ca="1" si="632"/>
        <v>19.12584335582282</v>
      </c>
      <c r="BL248" s="42">
        <f t="shared" ca="1" si="609"/>
        <v>19.145790554414784</v>
      </c>
      <c r="BM248" s="150" t="e">
        <f t="shared" ca="1" si="633"/>
        <v>#DIV/0!</v>
      </c>
      <c r="BN248" s="42" t="e">
        <f t="shared" ca="1" si="634"/>
        <v>#DIV/0!</v>
      </c>
      <c r="BO248" s="293">
        <f t="shared" si="610"/>
        <v>21</v>
      </c>
      <c r="BP248" s="41">
        <f t="shared" si="611"/>
        <v>15</v>
      </c>
      <c r="BQ248" s="41">
        <f t="shared" si="612"/>
        <v>6</v>
      </c>
      <c r="BR248" s="305" t="str">
        <f t="shared" ca="1" si="635"/>
        <v/>
      </c>
      <c r="BS248" s="305" t="str">
        <f t="shared" ca="1" si="613"/>
        <v/>
      </c>
      <c r="BT248" s="307" t="str">
        <f t="shared" ca="1" si="614"/>
        <v/>
      </c>
      <c r="BU248" s="161" t="str">
        <f t="shared" ca="1" si="636"/>
        <v/>
      </c>
      <c r="BV248" s="161" t="str">
        <f t="shared" ca="1" si="637"/>
        <v/>
      </c>
      <c r="BW248" s="308" t="str">
        <f t="shared" ca="1" si="638"/>
        <v/>
      </c>
      <c r="BX248" s="309" t="str">
        <f t="shared" ca="1" si="639"/>
        <v/>
      </c>
      <c r="BY248" s="308" t="str">
        <f t="shared" ca="1" si="615"/>
        <v/>
      </c>
      <c r="BZ248" s="309" t="str">
        <f t="shared" ca="1" si="616"/>
        <v/>
      </c>
      <c r="CA248" s="154" t="str">
        <f t="shared" ca="1" si="640"/>
        <v/>
      </c>
      <c r="CB248" s="154" t="str">
        <f t="shared" ca="1" si="641"/>
        <v/>
      </c>
      <c r="CC248" s="154" t="str">
        <f t="shared" ca="1" si="642"/>
        <v/>
      </c>
      <c r="CD248" s="154" t="str">
        <f t="shared" ca="1" si="643"/>
        <v/>
      </c>
      <c r="CE248" s="310">
        <v>1</v>
      </c>
      <c r="CF248" s="162">
        <f ca="1">IF(BD248,_xll.xCrudeAPO(BU248,BV248,CA248,CB248,S249,S250,BI248,BL248,BP248,BQ248,0,Strike1,AO248,CE248,0,BL248,IF(OptControl=4,0,1),0,1),0)</f>
        <v>0</v>
      </c>
      <c r="CG248" s="163">
        <f ca="1">IF(BD248,_xll.xCrudeAPO(BU248,BV248,CA248,CB248,S249,S250,BI248,BL248,BP248,BQ248,0,Strike1,AO248,CE248,0,BL248,IF(OptControl=4,0,1),1,1)+_xll.xCrudeAPO(BU248,BV248,CA248,CB248,S249,S250,BI248,BL248,BP248,BQ248,0,Strike1,AO248,CE248,0,BL248,IF(OptControl=4,0,1),1,2)+IF(OR(VolSkewFlag=2,ABS(BS248)&lt;0.0001),0,IF(BS248&gt;0,-1,1)*CH248*Strike1/BR248^2*BY248/10%),0)</f>
        <v>0</v>
      </c>
      <c r="CH248" s="163">
        <f ca="1">IF(BD248,(_xll.xCrudeAPO(BU248,BV248,CA248,CB248,S249,S250,BI248,BL248,BP248,BQ248,0,Strike1,AO248,CE248,0,BL248,IF(OptControl=4,0,1),3,1)+_xll.xCrudeAPO(BU248,BV248,CA248,CB248,S249,S250,BI248,BL248,BP248,BQ248,0,Strike1,AO248,CE248,0,BL248,IF(OptControl=4,0,1),3,2))/100,0)</f>
        <v>0</v>
      </c>
      <c r="CI248" s="163">
        <f ca="1">IF(BD248,_xll.xCrudeAPO(BU248,BV248,CA248,CB248,S249,S250,BI248-DaysForThetaCalculation/365.25,BL248-DaysForThetaCalculation/365.25,BP248,BQ248,0,Strike1,AO248,CE248,0,BL248,IF(OptControl=4,0,1),0,1)-_xll.xCrudeAPO(BU248,BV248,CA248,CB248,S249,S250,BI248,BL248,BP248,BQ248,0,Strike1,AO248,CE248,0,BL248,IF(OptControl=4,0,1),0,1),0)</f>
        <v>0</v>
      </c>
      <c r="CJ248" s="311">
        <f ca="1">IF(BD248,_xll.xCrudeAPO(BU248,BV248,CC248,CD248,S249,S250,BI248,BL248,BP248,BQ248,0,Strike2,AO248,CE248,0,BL248,IF(OptControl=3,1,0),0,1),0)</f>
        <v>0</v>
      </c>
      <c r="CK248" s="163">
        <f ca="1">IF(BD248,_xll.xCrudeAPO(BU248,BV248,CC248,CD248,S249,S250,BI248,BL248,BP248,BQ248,0,Strike2,AO248,CE248,0,BL248,IF(OptControl=3,1,0),1,1)+_xll.xCrudeAPO(BU248,BV248,CC248,CD248,S249,S250,BI248,BL248,BP248,BQ248,0,Strike2,AO248,CE248,0,BL248,IF(OptControl=3,1,0),1,2)+IF(OR(VolSkewFlag=2,ABS(BT248)&lt;0.0001),0,IF(BT248&gt;0,-1,1)*CL248*Strike2/BR248^2*BZ248/10%),0)</f>
        <v>0</v>
      </c>
      <c r="CL248" s="163">
        <f ca="1">IF(BD248,(_xll.xCrudeAPO(BU248,BV248,CC248,CD248,S249,S250,BI248,BL248,BP248,BQ248,0,Strike2,AO248,CE248,0,BL248,IF(OptControl=3,1,0),3,1)+_xll.xCrudeAPO(BU248,BV248,CC248,CD248,S249,S250,BI248,BL248,BP248,BQ248,0,Strike2,AO248,CE248,0,BL248,IF(OptControl=3,1,0),3,2))/100,0)</f>
        <v>0</v>
      </c>
      <c r="CM248" s="164">
        <f ca="1">IF(BD248,_xll.xCrudeAPO(BU248,BV248,CC248,CD248,S249,S250,BI248-DaysForThetaCalculation/365.25,BL248-DaysForThetaCalculation/365.25,BP248,BQ248,0,Strike2,AO248,CE248,0,BL248,IF(OptControl=3,1,0),0,1)-_xll.xCrudeAPO(BU248,BV248,CC248,CD248,S249,S250,BI248,BL248,BP248,BQ248,0,Strike2,AO248,CE248,0,BL248,IF(OptControl=3,1,0),0,1),0)</f>
        <v>0</v>
      </c>
      <c r="CN248" s="53"/>
      <c r="CO248" s="796" t="str">
        <f t="shared" ca="1" si="651"/>
        <v/>
      </c>
      <c r="CP248" s="800" t="str">
        <f t="shared" ca="1" si="652"/>
        <v/>
      </c>
      <c r="CQ248" s="797" t="str">
        <f t="shared" ca="1" si="653"/>
        <v/>
      </c>
      <c r="CR248" s="797" t="str">
        <f t="shared" ca="1" si="654"/>
        <v/>
      </c>
      <c r="CS248" s="797" t="str">
        <f t="shared" ca="1" si="655"/>
        <v/>
      </c>
      <c r="CT248" s="797" t="str">
        <f t="shared" ca="1" si="656"/>
        <v/>
      </c>
      <c r="CU248" s="798" t="str">
        <f t="shared" ca="1" si="657"/>
        <v/>
      </c>
      <c r="CV248" s="799" t="str">
        <f t="shared" ca="1" si="658"/>
        <v/>
      </c>
      <c r="CW248" s="799" t="str">
        <f t="shared" ca="1" si="659"/>
        <v/>
      </c>
      <c r="CX248" s="163">
        <f ca="1">IF(BD248,_xll.EURO(CP248,Strike1,AO248,AO248,CV248,CO248,IF(OptControl=4,0,1),0),0)</f>
        <v>0</v>
      </c>
      <c r="CY248" s="163">
        <f ca="1">IF(BD248,_xll.EURO(CP248,Strike1,AO248,AO248,CV248,CO248,IF(OptControl=4,0,1),1)+IF(OR(VolSkewFlag=2,ABS(CQ248)&lt;0.0001),0,IF(CQ248&gt;0,-1,1)*CZ248*100*Strike1/CP248^2*CS248/10%),0)</f>
        <v>0</v>
      </c>
      <c r="CZ248" s="163">
        <f ca="1">IF(BD248,_xll.EURO(CP248,Strike1,AO248,AO248,CV248,CO248,IF(OptControl=4,0,1),3)/100,0)</f>
        <v>0</v>
      </c>
      <c r="DA248" s="163">
        <f ca="1">IF(BD248,_xll.EURO(CP248,Strike1,AO248,AO248,CV248,CO248,IF(OptControl=4,0,1),0)-_xll.EURO(CP248,Strike1,AO248,AO248,CV248,CO248-1,IF(OptControl=4,0,1),0),0)</f>
        <v>0</v>
      </c>
      <c r="DB248" s="163">
        <f ca="1">IF(BD248,_xll.EURO(CP248,Strike2,AO248,AO248,CW248,CO248,IF(OptControl=3,1,0),0),0)</f>
        <v>0</v>
      </c>
      <c r="DC248" s="163">
        <f ca="1">IF(BD248,_xll.EURO(CP248,Strike2,AO248,AO248,CW248,CO248,IF(OptControl=3,1,0),1)+IF(OR(VolSkewFlag=2,ABS(CR248)&lt;0.0001),0,IF(CR248&gt;0,-1,1)*DD248*100*Strike2/CP248^2*CT248/10%),0)</f>
        <v>0</v>
      </c>
      <c r="DD248" s="163">
        <f ca="1">IF(BD248,_xll.EURO(CP248,Strike2,AO248,AO248,CW248,CO248,IF(OptControl=3,1,0),3)/100,0)</f>
        <v>0</v>
      </c>
      <c r="DE248" s="164">
        <f ca="1">IF(BD248,_xll.EURO(CP248,Strike2,AO248,AO248,CW248,CO248,IF(OptControl=3,1,0),0)-_xll.EURO(CP248,Strike2,AO248,AO248,CW248,CO248-1,IF(OptControl=3,1,0),0),0)</f>
        <v>0</v>
      </c>
      <c r="DG248" s="667">
        <f t="shared" ca="1" si="660"/>
        <v>43497</v>
      </c>
      <c r="DH248" s="475">
        <v>25.560000000000109</v>
      </c>
      <c r="DI248" s="665">
        <v>25.625000000000114</v>
      </c>
      <c r="DJ248" s="666">
        <f t="shared" ca="1" si="617"/>
        <v>43497</v>
      </c>
      <c r="DK248" s="475">
        <v>24.355743483914928</v>
      </c>
      <c r="DL248" s="665">
        <v>24.456500000000112</v>
      </c>
      <c r="DM248" s="667">
        <f t="shared" ca="1" si="618"/>
        <v>43497</v>
      </c>
      <c r="DN248" s="668">
        <f t="shared" si="619"/>
        <v>24.405743483914929</v>
      </c>
      <c r="DO248" s="667">
        <f t="shared" ca="1" si="620"/>
        <v>43497</v>
      </c>
      <c r="DP248" s="579">
        <f t="shared" si="621"/>
        <v>24.456500000000112</v>
      </c>
      <c r="DQ248" s="821">
        <v>0</v>
      </c>
      <c r="DR248" s="666">
        <f t="shared" ca="1" si="622"/>
        <v>43497</v>
      </c>
      <c r="DS248" s="669">
        <v>8.7799999999997311E-2</v>
      </c>
      <c r="DT248" s="606">
        <v>8.701999999999728E-2</v>
      </c>
      <c r="DU248" s="666">
        <f t="shared" ca="1" si="623"/>
        <v>43497</v>
      </c>
      <c r="DV248" s="669">
        <v>8.7799999999997311E-2</v>
      </c>
      <c r="DW248" s="606">
        <v>8.701999999999728E-2</v>
      </c>
      <c r="DX248" s="667">
        <f t="shared" ca="1" si="624"/>
        <v>43497</v>
      </c>
      <c r="DY248" s="606">
        <v>0.35</v>
      </c>
      <c r="DZ248" s="667">
        <f t="shared" ca="1" si="625"/>
        <v>43497</v>
      </c>
      <c r="EA248" s="606">
        <f t="shared" si="626"/>
        <v>8.701999999999728E-2</v>
      </c>
      <c r="EB248" s="1"/>
      <c r="EC248" s="118" t="str">
        <f t="shared" ca="1" si="627"/>
        <v/>
      </c>
      <c r="ED248" s="119" t="str">
        <f t="shared" ca="1" si="644"/>
        <v/>
      </c>
      <c r="EE248" s="112" t="str">
        <f t="shared" ca="1" si="645"/>
        <v/>
      </c>
      <c r="EF248" s="120">
        <f ca="1">IF(BD248,_xll.xASN(BR248,Strike1,AO248,ED248,0,BO248,0,BI248,BL248,IF(OptControl=4,0,1),0),0)</f>
        <v>0</v>
      </c>
      <c r="EG248" s="111">
        <f ca="1">IF(BD248,_xll.xASN(BR248,Strike2,AO248,EE248,0,BO248,0,BI248,BL248,IF(OptControl=3,1,0),0),0)</f>
        <v>0</v>
      </c>
      <c r="EL248" s="55"/>
      <c r="EM248" s="1"/>
      <c r="EN248" s="106"/>
      <c r="EO248" s="106"/>
      <c r="EP248" s="1"/>
      <c r="EQ248" s="683" t="s">
        <v>462</v>
      </c>
      <c r="ES248" s="55"/>
      <c r="EU248" s="107"/>
      <c r="FJ248" s="673">
        <v>4</v>
      </c>
      <c r="FK248" s="479" t="str">
        <f ca="1">IF($FJ248+FK$244&gt;73,"",PRODUCT(INDEX($T$19:$T$93,FK$244):INDEX($T$19:$T$93,FK$244+$FJ248-1)))</f>
        <v/>
      </c>
      <c r="FL248" s="479" t="str">
        <f ca="1">IF($FJ248+FL$244&gt;73,"",PRODUCT(INDEX($T$19:$T$93,FL$244):INDEX($T$19:$T$93,FL$244+$FJ248-1)))</f>
        <v/>
      </c>
      <c r="FM248" s="479" t="str">
        <f ca="1">IF($FJ248+FM$244&gt;73,"",PRODUCT(INDEX($T$19:$T$93,FM$244):INDEX($T$19:$T$93,FM$244+$FJ248-1)))</f>
        <v/>
      </c>
      <c r="FN248" s="479">
        <f ca="1">IF($FJ248+FN$244&gt;73,"",PRODUCT(INDEX($T$19:$T$93,FN$244):INDEX($T$19:$T$93,FN$244+$FJ248-1)))</f>
        <v>0.99999002605500054</v>
      </c>
      <c r="FO248" s="479">
        <f ca="1">IF($FJ248+FO$244&gt;73,"",PRODUCT(INDEX($T$19:$T$93,FO$244):INDEX($T$19:$T$93,FO$244+$FJ248-1)))</f>
        <v>0.9999883345577405</v>
      </c>
      <c r="FP248" s="479">
        <f ca="1">IF($FJ248+FP$244&gt;73,"",PRODUCT(INDEX($T$19:$T$93,FP$244):INDEX($T$19:$T$93,FP$244+$FJ248-1)))</f>
        <v>0.99998635619536691</v>
      </c>
      <c r="FQ248" s="479">
        <f ca="1">IF($FJ248+FQ$244&gt;73,"",PRODUCT(INDEX($T$19:$T$93,FQ$244):INDEX($T$19:$T$93,FQ$244+$FJ248-1)))</f>
        <v>0.99998404231729998</v>
      </c>
      <c r="FR248" s="479">
        <f ca="1">IF($FJ248+FR$244&gt;73,"",PRODUCT(INDEX($T$19:$T$93,FR$244):INDEX($T$19:$T$93,FR$244+$FJ248-1)))</f>
        <v>0.9999813360219858</v>
      </c>
      <c r="FS248" s="479">
        <f ca="1">IF($FJ248+FS$244&gt;73,"",PRODUCT(INDEX($T$19:$T$93,FS$244):INDEX($T$19:$T$93,FS$244+$FJ248-1)))</f>
        <v>0.99997817075751905</v>
      </c>
      <c r="FT248" s="479">
        <f ca="1">IF($FJ248+FT$244&gt;73,"",PRODUCT(INDEX($T$19:$T$93,FT$244):INDEX($T$19:$T$93,FT$244+$FJ248-1)))</f>
        <v>0.99997446868491902</v>
      </c>
      <c r="FU248" s="479">
        <f ca="1">IF($FJ248+FU$244&gt;73,"",PRODUCT(INDEX($T$19:$T$93,FU$244):INDEX($T$19:$T$93,FU$244+$FJ248-1)))</f>
        <v>0.99997013876379681</v>
      </c>
      <c r="FV248" s="479">
        <f ca="1">IF($FJ248+FV$244&gt;73,"",PRODUCT(INDEX($T$19:$T$93,FV$244):INDEX($T$19:$T$93,FV$244+$FJ248-1)))</f>
        <v>0.99996507451332717</v>
      </c>
      <c r="FW248" s="479">
        <f ca="1">IF($FJ248+FW$244&gt;73,"",PRODUCT(INDEX($T$19:$T$93,FW$244):INDEX($T$19:$T$93,FW$244+$FJ248-1)))</f>
        <v>0.99995915139344405</v>
      </c>
      <c r="FX248" s="479">
        <f ca="1">IF($FJ248+FX$244&gt;73,"",PRODUCT(INDEX($T$19:$T$93,FX$244):INDEX($T$19:$T$93,FX$244+$FJ248-1)))</f>
        <v>0.99995222374183834</v>
      </c>
      <c r="FY248" s="479">
        <f ca="1">IF($FJ248+FY$244&gt;73,"",PRODUCT(INDEX($T$19:$T$93,FY$244):INDEX($T$19:$T$93,FY$244+$FJ248-1)))</f>
        <v>0.99994412119140674</v>
      </c>
      <c r="FZ248" s="479">
        <f ca="1">IF($FJ248+FZ$244&gt;73,"",PRODUCT(INDEX($T$19:$T$93,FZ$244):INDEX($T$19:$T$93,FZ$244+$FJ248-1)))</f>
        <v>0.99993464448001435</v>
      </c>
      <c r="GA248" s="479">
        <f ca="1">IF($FJ248+GA$244&gt;73,"",PRODUCT(INDEX($T$19:$T$93,GA$244):INDEX($T$19:$T$93,GA$244+$FJ248-1)))</f>
        <v>0.99992356054948051</v>
      </c>
      <c r="GB248" s="479">
        <f ca="1">IF($FJ248+GB$244&gt;73,"",PRODUCT(INDEX($T$19:$T$93,GB$244):INDEX($T$19:$T$93,GB$244+$FJ248-1)))</f>
        <v>0.99991059681320782</v>
      </c>
      <c r="GC248" s="479">
        <f ca="1">IF($FJ248+GC$244&gt;73,"",PRODUCT(INDEX($T$19:$T$93,GC$244):INDEX($T$19:$T$93,GC$244+$FJ248-1)))</f>
        <v>0.99989543445141282</v>
      </c>
      <c r="GD248" s="479">
        <f ca="1">IF($FJ248+GD$244&gt;73,"",PRODUCT(INDEX($T$19:$T$93,GD$244):INDEX($T$19:$T$93,GD$244+$FJ248-1)))</f>
        <v>0.9998777005689865</v>
      </c>
      <c r="GE248" s="479">
        <f ca="1">IF($FJ248+GE$244&gt;73,"",PRODUCT(INDEX($T$19:$T$93,GE$244):INDEX($T$19:$T$93,GE$244+$FJ248-1)))</f>
        <v>0.99985695902302585</v>
      </c>
      <c r="GF248" s="479">
        <f ca="1">IF($FJ248+GF$244&gt;73,"",PRODUCT(INDEX($T$19:$T$93,GF$244):INDEX($T$19:$T$93,GF$244+$FJ248-1)))</f>
        <v>0.99983269969432975</v>
      </c>
      <c r="GG248" s="479">
        <f ca="1">IF($FJ248+GG$244&gt;73,"",PRODUCT(INDEX($T$19:$T$93,GG$244):INDEX($T$19:$T$93,GG$244+$FJ248-1)))</f>
        <v>0.99980432593886603</v>
      </c>
      <c r="GH248" s="479">
        <f ca="1">IF($FJ248+GH$244&gt;73,"",PRODUCT(INDEX($T$19:$T$93,GH$244):INDEX($T$19:$T$93,GH$244+$FJ248-1)))</f>
        <v>0.99977113991042421</v>
      </c>
      <c r="GI248" s="479">
        <f ca="1">IF($FJ248+GI$244&gt;73,"",PRODUCT(INDEX($T$19:$T$93,GI$244):INDEX($T$19:$T$93,GI$244+$FJ248-1)))</f>
        <v>0.99973232539328449</v>
      </c>
      <c r="GJ248" s="479">
        <f ca="1">IF($FJ248+GJ$244&gt;73,"",PRODUCT(INDEX($T$19:$T$93,GJ$244):INDEX($T$19:$T$93,GJ$244+$FJ248-1)))</f>
        <v>0.9996869277224717</v>
      </c>
      <c r="GK248" s="479">
        <f ca="1">IF($FJ248+GK$244&gt;73,"",PRODUCT(INDEX($T$19:$T$93,GK$244):INDEX($T$19:$T$93,GK$244+$FJ248-1)))</f>
        <v>0.99963383029751307</v>
      </c>
      <c r="GL248" s="479">
        <f ca="1">IF($FJ248+GL$244&gt;73,"",PRODUCT(INDEX($T$19:$T$93,GL$244):INDEX($T$19:$T$93,GL$244+$FJ248-1)))</f>
        <v>0.99957172711184639</v>
      </c>
      <c r="GM248" s="479">
        <f ca="1">IF($FJ248+GM$244&gt;73,"",PRODUCT(INDEX($T$19:$T$93,GM$244):INDEX($T$19:$T$93,GM$244+$FJ248-1)))</f>
        <v>0.99949909062205777</v>
      </c>
      <c r="GN248" s="479">
        <f ca="1">IF($FJ248+GN$244&gt;73,"",PRODUCT(INDEX($T$19:$T$93,GN$244):INDEX($T$19:$T$93,GN$244+$FJ248-1)))</f>
        <v>0.99941413416660885</v>
      </c>
      <c r="GO248" s="479">
        <f ca="1">IF($FJ248+GO$244&gt;73,"",PRODUCT(INDEX($T$19:$T$93,GO$244):INDEX($T$19:$T$93,GO$244+$FJ248-1)))</f>
        <v>0.99931476800983421</v>
      </c>
      <c r="GP248" s="479">
        <f ca="1">IF($FJ248+GP$244&gt;73,"",PRODUCT(INDEX($T$19:$T$93,GP$244):INDEX($T$19:$T$93,GP$244+$FJ248-1)))</f>
        <v>0.99919854793053686</v>
      </c>
      <c r="GQ248" s="479">
        <f ca="1">IF($FJ248+GQ$244&gt;73,"",PRODUCT(INDEX($T$19:$T$93,GQ$244):INDEX($T$19:$T$93,GQ$244+$FJ248-1)))</f>
        <v>0.99906261509169481</v>
      </c>
      <c r="GR248" s="479">
        <f ca="1">IF($FJ248+GR$244&gt;73,"",PRODUCT(INDEX($T$19:$T$93,GR$244):INDEX($T$19:$T$93,GR$244+$FJ248-1)))</f>
        <v>0.99890362571425872</v>
      </c>
      <c r="GS248" s="479">
        <f ca="1">IF($FJ248+GS$244&gt;73,"",PRODUCT(INDEX($T$19:$T$93,GS$244):INDEX($T$19:$T$93,GS$244+$FJ248-1)))</f>
        <v>0.99871766882868951</v>
      </c>
      <c r="GT248" s="479">
        <f ca="1">IF($FJ248+GT$244&gt;73,"",PRODUCT(INDEX($T$19:$T$93,GT$244):INDEX($T$19:$T$93,GT$244+$FJ248-1)))</f>
        <v>0.99850017008689473</v>
      </c>
      <c r="GU248" s="479">
        <f ca="1">IF($FJ248+GU$244&gt;73,"",PRODUCT(INDEX($T$19:$T$93,GU$244):INDEX($T$19:$T$93,GU$244+$FJ248-1)))</f>
        <v>0.99824577927781699</v>
      </c>
      <c r="GV248" s="479">
        <f ca="1">IF($FJ248+GV$244&gt;73,"",PRODUCT(INDEX($T$19:$T$93,GV$244):INDEX($T$19:$T$93,GV$244+$FJ248-1)))</f>
        <v>0.9979482387943257</v>
      </c>
      <c r="GW248" s="479">
        <f ca="1">IF($FJ248+GW$244&gt;73,"",PRODUCT(INDEX($T$19:$T$93,GW$244):INDEX($T$19:$T$93,GW$244+$FJ248-1)))</f>
        <v>0.99760022983840502</v>
      </c>
      <c r="GX248" s="479">
        <f ca="1">IF($FJ248+GX$244&gt;73,"",PRODUCT(INDEX($T$19:$T$93,GX$244):INDEX($T$19:$T$93,GX$244+$FJ248-1)))</f>
        <v>0.99719319261579442</v>
      </c>
      <c r="GY248" s="479">
        <f ca="1">IF($FJ248+GY$244&gt;73,"",PRODUCT(INDEX($T$19:$T$93,GY$244):INDEX($T$19:$T$93,GY$244+$FJ248-1)))</f>
        <v>0.99671711614886638</v>
      </c>
      <c r="GZ248" s="479">
        <f ca="1">IF($FJ248+GZ$244&gt;73,"",PRODUCT(INDEX($T$19:$T$93,GZ$244):INDEX($T$19:$T$93,GZ$244+$FJ248-1)))</f>
        <v>0.99616029261491978</v>
      </c>
      <c r="HA248" s="479">
        <f ca="1">IF($FJ248+HA$244&gt;73,"",PRODUCT(INDEX($T$19:$T$93,HA$244):INDEX($T$19:$T$93,HA$244+$FJ248-1)))</f>
        <v>0.99550903028226867</v>
      </c>
      <c r="HB248" s="479">
        <f ca="1">IF($FJ248+HB$244&gt;73,"",PRODUCT(INDEX($T$19:$T$93,HB$244):INDEX($T$19:$T$93,HB$244+$FJ248-1)))</f>
        <v>0.99474731815353057</v>
      </c>
      <c r="HC248" s="479">
        <f ca="1">IF($FJ248+HC$244&gt;73,"",PRODUCT(INDEX($T$19:$T$93,HC$244):INDEX($T$19:$T$93,HC$244+$FJ248-1)))</f>
        <v>0.99385643431865167</v>
      </c>
      <c r="HD248" s="479">
        <f ca="1">IF($FJ248+HD$244&gt;73,"",PRODUCT(INDEX($T$19:$T$93,HD$244):INDEX($T$19:$T$93,HD$244+$FJ248-1)))</f>
        <v>0.99281448875391964</v>
      </c>
      <c r="HE248" s="479">
        <f ca="1">IF($FJ248+HE$244&gt;73,"",PRODUCT(INDEX($T$19:$T$93,HE$244):INDEX($T$19:$T$93,HE$244+$FJ248-1)))</f>
        <v>0.99159588986322511</v>
      </c>
      <c r="HF248" s="479">
        <f ca="1">IF($FJ248+HF$244&gt;73,"",PRODUCT(INDEX($T$19:$T$93,HF$244):INDEX($T$19:$T$93,HF$244+$FJ248-1)))</f>
        <v>0.99017072243335402</v>
      </c>
      <c r="HG248" s="479">
        <f ca="1">IF($FJ248+HG$244&gt;73,"",PRODUCT(INDEX($T$19:$T$93,HG$244):INDEX($T$19:$T$93,HG$244+$FJ248-1)))</f>
        <v>0.98850402286195882</v>
      </c>
      <c r="HH248" s="479">
        <f ca="1">IF($FJ248+HH$244&gt;73,"",PRODUCT(INDEX($T$19:$T$93,HH$244):INDEX($T$19:$T$93,HH$244+$FJ248-1)))</f>
        <v>0.98655493552263129</v>
      </c>
      <c r="HI248" s="479">
        <f ca="1">IF($FJ248+HI$244&gt;73,"",PRODUCT(INDEX($T$19:$T$93,HI$244):INDEX($T$19:$T$93,HI$244+$FJ248-1)))</f>
        <v>0.98427573198324081</v>
      </c>
      <c r="HJ248" s="479">
        <f ca="1">IF($FJ248+HJ$244&gt;73,"",PRODUCT(INDEX($T$19:$T$93,HJ$244):INDEX($T$19:$T$93,HJ$244+$FJ248-1)))</f>
        <v>0.98161067254974366</v>
      </c>
      <c r="HK248" s="479">
        <f ca="1">IF($FJ248+HK$244&gt;73,"",PRODUCT(INDEX($T$19:$T$93,HK$244):INDEX($T$19:$T$93,HK$244+$FJ248-1)))</f>
        <v>0.97849468737540413</v>
      </c>
      <c r="HL248" s="479">
        <f ca="1">IF($FJ248+HL$244&gt;73,"",PRODUCT(INDEX($T$19:$T$93,HL$244):INDEX($T$19:$T$93,HL$244+$FJ248-1)))</f>
        <v>0.97485185233805915</v>
      </c>
      <c r="HM248" s="479">
        <f ca="1">IF($FJ248+HM$244&gt;73,"",PRODUCT(INDEX($T$19:$T$93,HM$244):INDEX($T$19:$T$93,HM$244+$FJ248-1)))</f>
        <v>0.97059363334473747</v>
      </c>
      <c r="HN248" s="479">
        <f ca="1">IF($FJ248+HN$244&gt;73,"",PRODUCT(INDEX($T$19:$T$93,HN$244):INDEX($T$19:$T$93,HN$244+$FJ248-1)))</f>
        <v>0.96561687214810388</v>
      </c>
      <c r="HO248" s="479">
        <f ca="1">IF($FJ248+HO$244&gt;73,"",PRODUCT(INDEX($T$19:$T$93,HO$244):INDEX($T$19:$T$93,HO$244+$FJ248-1)))</f>
        <v>0.95980148789120778</v>
      </c>
      <c r="HP248" s="479">
        <f ca="1">IF($FJ248+HP$244&gt;73,"",PRODUCT(INDEX($T$19:$T$93,HP$244):INDEX($T$19:$T$93,HP$244+$FJ248-1)))</f>
        <v>0.95300787256897401</v>
      </c>
      <c r="HQ248" s="479">
        <f ca="1">IF($FJ248+HQ$244&gt;73,"",PRODUCT(INDEX($T$19:$T$93,HQ$244):INDEX($T$19:$T$93,HQ$244+$FJ248-1)))</f>
        <v>0.94507396712716885</v>
      </c>
      <c r="HR248" s="479">
        <f ca="1">IF($FJ248+HR$244&gt;73,"",PRODUCT(INDEX($T$19:$T$93,HR$244):INDEX($T$19:$T$93,HR$244+$FJ248-1)))</f>
        <v>0.93581202060149926</v>
      </c>
      <c r="HS248" s="479">
        <f ca="1">IF($FJ248+HS$244&gt;73,"",PRODUCT(INDEX($T$19:$T$93,HS$244):INDEX($T$19:$T$93,HS$244+$FJ248-1)))</f>
        <v>0.9250050613979689</v>
      </c>
      <c r="HT248" s="479">
        <f ca="1">IF($FJ248+HT$244&gt;73,"",PRODUCT(INDEX($T$19:$T$93,HT$244):INDEX($T$19:$T$93,HT$244+$FJ248-1)))</f>
        <v>0.9124031532618081</v>
      </c>
      <c r="HU248" s="479">
        <f ca="1">IF($FJ248+HU$244&gt;73,"",PRODUCT(INDEX($T$19:$T$93,HU$244):INDEX($T$19:$T$93,HU$244+$FJ248-1)))</f>
        <v>0.89771957710097372</v>
      </c>
      <c r="HV248" s="479">
        <f ca="1">IF($FJ248+HV$244&gt;73,"",PRODUCT(INDEX($T$19:$T$93,HV$244):INDEX($T$19:$T$93,HV$244+$FJ248-1)))</f>
        <v>0.88062718588676603</v>
      </c>
      <c r="HW248" s="479">
        <f ca="1">IF($FJ248+HW$244&gt;73,"",PRODUCT(INDEX($T$19:$T$93,HW$244):INDEX($T$19:$T$93,HW$244+$FJ248-1)))</f>
        <v>0.86075534098942719</v>
      </c>
      <c r="HX248" s="479">
        <f ca="1">IF($FJ248+HX$244&gt;73,"",PRODUCT(INDEX($T$19:$T$93,HX$244):INDEX($T$19:$T$93,HX$244+$FJ248-1)))</f>
        <v>0.83768807948518931</v>
      </c>
      <c r="HY248" s="479">
        <f ca="1">IF($FJ248+HY$244&gt;73,"",PRODUCT(INDEX($T$19:$T$93,HY$244):INDEX($T$19:$T$93,HY$244+$FJ248-1)))</f>
        <v>0.81096451772916234</v>
      </c>
      <c r="HZ248" s="479">
        <f ca="1">IF($FJ248+HZ$244&gt;73,"",PRODUCT(INDEX($T$19:$T$93,HZ$244):INDEX($T$19:$T$93,HZ$244+$FJ248-1)))</f>
        <v>0.78008301302758876</v>
      </c>
      <c r="IA248" s="479">
        <f ca="1">IF($FJ248+IA$244&gt;73,"",PRODUCT(INDEX($T$19:$T$93,IA$244):INDEX($T$19:$T$93,IA$244+$FJ248-1)))</f>
        <v>0.74451134116452322</v>
      </c>
      <c r="IB248" s="479">
        <f ca="1">IF($FJ248+IB$244&gt;73,"",PRODUCT(INDEX($T$19:$T$93,IB$244):INDEX($T$19:$T$93,IB$244+$FJ248-1)))</f>
        <v>0.70370617043365158</v>
      </c>
      <c r="IC248" s="479">
        <f ca="1">IF($FJ248+IC$244&gt;73,"",PRODUCT(INDEX($T$19:$T$93,IC$244):INDEX($T$19:$T$93,IC$244+$FJ248-1)))</f>
        <v>0.65714648579084711</v>
      </c>
      <c r="ID248" s="678">
        <f ca="1">IF($FJ248+ID$244&gt;73,"",PRODUCT(INDEX($T$19:$T$93,ID$244):INDEX($T$19:$T$93,ID$244+$FJ248-1)))</f>
        <v>0.60438736274352056</v>
      </c>
      <c r="IE248" s="250"/>
    </row>
    <row r="249" spans="8:239">
      <c r="H249" s="51">
        <f t="shared" ca="1" si="646"/>
        <v>0</v>
      </c>
      <c r="I249" s="379">
        <f t="shared" si="647"/>
        <v>43739</v>
      </c>
      <c r="J249" s="377"/>
      <c r="K249" s="104" t="s">
        <v>268</v>
      </c>
      <c r="L249" s="392">
        <f t="shared" si="648"/>
        <v>5.7374999999999901</v>
      </c>
      <c r="M249" s="171"/>
      <c r="N249" s="382">
        <v>0</v>
      </c>
      <c r="O249" s="171">
        <f t="shared" si="596"/>
        <v>0</v>
      </c>
      <c r="P249" s="377"/>
      <c r="Q249" s="104" t="s">
        <v>268</v>
      </c>
      <c r="R249" s="377">
        <f t="shared" ca="1" si="597"/>
        <v>4.3889046764163862</v>
      </c>
      <c r="S249" s="832">
        <f t="shared" si="671"/>
        <v>0.3600000000000001</v>
      </c>
      <c r="T249" s="831">
        <f t="shared" si="661"/>
        <v>0.99999999999999933</v>
      </c>
      <c r="U249" s="545">
        <f t="shared" si="662"/>
        <v>0.99999999999999978</v>
      </c>
      <c r="V249" s="389">
        <v>0</v>
      </c>
      <c r="W249" s="434">
        <f t="shared" si="598"/>
        <v>0</v>
      </c>
      <c r="X249" s="415">
        <f t="shared" si="599"/>
        <v>5.7896739130434671</v>
      </c>
      <c r="Y249" s="322">
        <f t="shared" si="600"/>
        <v>-1.1931</v>
      </c>
      <c r="Z249" s="322">
        <f t="shared" ca="1" si="601"/>
        <v>4.5965739130434669</v>
      </c>
      <c r="AA249" s="429">
        <f t="shared" si="628"/>
        <v>1.1931</v>
      </c>
      <c r="AB249" s="433">
        <f t="shared" ca="1" si="629"/>
        <v>1.1931</v>
      </c>
      <c r="AC249" s="229">
        <v>43728</v>
      </c>
      <c r="AD249" s="229">
        <v>43724</v>
      </c>
      <c r="AE249" s="229">
        <v>43723</v>
      </c>
      <c r="AF249" s="229">
        <v>43719</v>
      </c>
      <c r="AG249" s="249" t="s">
        <v>499</v>
      </c>
      <c r="AH249" s="247" t="s">
        <v>499</v>
      </c>
      <c r="AI249" s="146">
        <v>23</v>
      </c>
      <c r="AJ249" s="41">
        <v>14</v>
      </c>
      <c r="AK249" s="41">
        <v>9</v>
      </c>
      <c r="AL249" s="293">
        <v>23</v>
      </c>
      <c r="AM249" s="41">
        <v>10</v>
      </c>
      <c r="AN249" s="147">
        <v>13</v>
      </c>
      <c r="AO249" s="374"/>
      <c r="AP249" s="153">
        <f t="shared" ca="1" si="649"/>
        <v>1</v>
      </c>
      <c r="AQ249" s="374"/>
      <c r="AR249" s="153">
        <f t="shared" ca="1" si="663"/>
        <v>1</v>
      </c>
      <c r="AS249" s="272">
        <f t="shared" si="602"/>
        <v>0</v>
      </c>
      <c r="AT249" s="157">
        <f t="shared" si="650"/>
        <v>0</v>
      </c>
      <c r="AU249" s="157">
        <f t="shared" si="630"/>
        <v>0</v>
      </c>
      <c r="AV249" s="271">
        <f t="shared" ca="1" si="670"/>
        <v>9.9999999999999995E-7</v>
      </c>
      <c r="AW249" s="158" t="str">
        <f t="shared" ca="1" si="672"/>
        <v/>
      </c>
      <c r="AX249" s="157">
        <f t="shared" ca="1" si="664"/>
        <v>1.1167755015349484E-5</v>
      </c>
      <c r="AY249" s="157">
        <f t="shared" ca="1" si="665"/>
        <v>1.8770834673618629E-6</v>
      </c>
      <c r="AZ249" s="157">
        <f t="shared" ca="1" si="666"/>
        <v>2.6312559409378111E-8</v>
      </c>
      <c r="BA249" s="157">
        <f t="shared" ca="1" si="667"/>
        <v>3.2890699261722639E-9</v>
      </c>
      <c r="BB249" s="157">
        <f t="shared" ca="1" si="668"/>
        <v>3.0609605969867267E-12</v>
      </c>
      <c r="BC249" s="157">
        <f t="shared" ca="1" si="669"/>
        <v>2.163596195849872E-14</v>
      </c>
      <c r="BD249" s="151">
        <f t="shared" ca="1" si="603"/>
        <v>0</v>
      </c>
      <c r="BE249" s="152">
        <f t="shared" ca="1" si="604"/>
        <v>0</v>
      </c>
      <c r="BF249" s="40">
        <f t="shared" si="605"/>
        <v>2019</v>
      </c>
      <c r="BG249" s="144">
        <f t="shared" si="606"/>
        <v>10</v>
      </c>
      <c r="BH249" s="145">
        <f t="shared" ca="1" si="607"/>
        <v>6979</v>
      </c>
      <c r="BI249" s="313">
        <f t="shared" ca="1" si="608"/>
        <v>19.148528405201915</v>
      </c>
      <c r="BJ249" s="42">
        <f t="shared" ca="1" si="631"/>
        <v>19.198523941314765</v>
      </c>
      <c r="BK249" s="42">
        <f t="shared" ca="1" si="632"/>
        <v>19.201261792101896</v>
      </c>
      <c r="BL249" s="42">
        <f t="shared" ca="1" si="609"/>
        <v>19.230663928815879</v>
      </c>
      <c r="BM249" s="150" t="e">
        <f t="shared" ca="1" si="633"/>
        <v>#DIV/0!</v>
      </c>
      <c r="BN249" s="42" t="e">
        <f t="shared" ca="1" si="634"/>
        <v>#DIV/0!</v>
      </c>
      <c r="BO249" s="293">
        <f t="shared" si="610"/>
        <v>23</v>
      </c>
      <c r="BP249" s="41">
        <f t="shared" si="611"/>
        <v>14</v>
      </c>
      <c r="BQ249" s="41">
        <f t="shared" si="612"/>
        <v>9</v>
      </c>
      <c r="BR249" s="305" t="str">
        <f t="shared" ca="1" si="635"/>
        <v/>
      </c>
      <c r="BS249" s="305" t="str">
        <f t="shared" ca="1" si="613"/>
        <v/>
      </c>
      <c r="BT249" s="307" t="str">
        <f t="shared" ca="1" si="614"/>
        <v/>
      </c>
      <c r="BU249" s="161" t="str">
        <f t="shared" ca="1" si="636"/>
        <v/>
      </c>
      <c r="BV249" s="161" t="str">
        <f t="shared" ca="1" si="637"/>
        <v/>
      </c>
      <c r="BW249" s="308" t="str">
        <f t="shared" ca="1" si="638"/>
        <v/>
      </c>
      <c r="BX249" s="309" t="str">
        <f t="shared" ca="1" si="639"/>
        <v/>
      </c>
      <c r="BY249" s="308" t="str">
        <f t="shared" ca="1" si="615"/>
        <v/>
      </c>
      <c r="BZ249" s="309" t="str">
        <f t="shared" ca="1" si="616"/>
        <v/>
      </c>
      <c r="CA249" s="154" t="str">
        <f t="shared" ca="1" si="640"/>
        <v/>
      </c>
      <c r="CB249" s="154" t="str">
        <f t="shared" ca="1" si="641"/>
        <v/>
      </c>
      <c r="CC249" s="154" t="str">
        <f t="shared" ca="1" si="642"/>
        <v/>
      </c>
      <c r="CD249" s="154" t="str">
        <f t="shared" ca="1" si="643"/>
        <v/>
      </c>
      <c r="CE249" s="310">
        <v>1</v>
      </c>
      <c r="CF249" s="162">
        <f ca="1">IF(BD249,_xll.xCrudeAPO(BU249,BV249,CA249,CB249,S250,S251,BI249,BL249,BP249,BQ249,0,Strike1,AO249,CE249,0,BL249,IF(OptControl=4,0,1),0,1),0)</f>
        <v>0</v>
      </c>
      <c r="CG249" s="163">
        <f ca="1">IF(BD249,_xll.xCrudeAPO(BU249,BV249,CA249,CB249,S250,S251,BI249,BL249,BP249,BQ249,0,Strike1,AO249,CE249,0,BL249,IF(OptControl=4,0,1),1,1)+_xll.xCrudeAPO(BU249,BV249,CA249,CB249,S250,S251,BI249,BL249,BP249,BQ249,0,Strike1,AO249,CE249,0,BL249,IF(OptControl=4,0,1),1,2)+IF(OR(VolSkewFlag=2,ABS(BS249)&lt;0.0001),0,IF(BS249&gt;0,-1,1)*CH249*Strike1/BR249^2*BY249/10%),0)</f>
        <v>0</v>
      </c>
      <c r="CH249" s="163">
        <f ca="1">IF(BD249,(_xll.xCrudeAPO(BU249,BV249,CA249,CB249,S250,S251,BI249,BL249,BP249,BQ249,0,Strike1,AO249,CE249,0,BL249,IF(OptControl=4,0,1),3,1)+_xll.xCrudeAPO(BU249,BV249,CA249,CB249,S250,S251,BI249,BL249,BP249,BQ249,0,Strike1,AO249,CE249,0,BL249,IF(OptControl=4,0,1),3,2))/100,0)</f>
        <v>0</v>
      </c>
      <c r="CI249" s="163">
        <f ca="1">IF(BD249,_xll.xCrudeAPO(BU249,BV249,CA249,CB249,S250,S251,BI249-DaysForThetaCalculation/365.25,BL249-DaysForThetaCalculation/365.25,BP249,BQ249,0,Strike1,AO249,CE249,0,BL249,IF(OptControl=4,0,1),0,1)-_xll.xCrudeAPO(BU249,BV249,CA249,CB249,S250,S251,BI249,BL249,BP249,BQ249,0,Strike1,AO249,CE249,0,BL249,IF(OptControl=4,0,1),0,1),0)</f>
        <v>0</v>
      </c>
      <c r="CJ249" s="311">
        <f ca="1">IF(BD249,_xll.xCrudeAPO(BU249,BV249,CC249,CD249,S250,S251,BI249,BL249,BP249,BQ249,0,Strike2,AO249,CE249,0,BL249,IF(OptControl=3,1,0),0,1),0)</f>
        <v>0</v>
      </c>
      <c r="CK249" s="163">
        <f ca="1">IF(BD249,_xll.xCrudeAPO(BU249,BV249,CC249,CD249,S250,S251,BI249,BL249,BP249,BQ249,0,Strike2,AO249,CE249,0,BL249,IF(OptControl=3,1,0),1,1)+_xll.xCrudeAPO(BU249,BV249,CC249,CD249,S250,S251,BI249,BL249,BP249,BQ249,0,Strike2,AO249,CE249,0,BL249,IF(OptControl=3,1,0),1,2)+IF(OR(VolSkewFlag=2,ABS(BT249)&lt;0.0001),0,IF(BT249&gt;0,-1,1)*CL249*Strike2/BR249^2*BZ249/10%),0)</f>
        <v>0</v>
      </c>
      <c r="CL249" s="163">
        <f ca="1">IF(BD249,(_xll.xCrudeAPO(BU249,BV249,CC249,CD249,S250,S251,BI249,BL249,BP249,BQ249,0,Strike2,AO249,CE249,0,BL249,IF(OptControl=3,1,0),3,1)+_xll.xCrudeAPO(BU249,BV249,CC249,CD249,S250,S251,BI249,BL249,BP249,BQ249,0,Strike2,AO249,CE249,0,BL249,IF(OptControl=3,1,0),3,2))/100,0)</f>
        <v>0</v>
      </c>
      <c r="CM249" s="164">
        <f ca="1">IF(BD249,_xll.xCrudeAPO(BU249,BV249,CC249,CD249,S250,S251,BI249-DaysForThetaCalculation/365.25,BL249-DaysForThetaCalculation/365.25,BP249,BQ249,0,Strike2,AO249,CE249,0,BL249,IF(OptControl=3,1,0),0,1)-_xll.xCrudeAPO(BU249,BV249,CC249,CD249,S250,S251,BI249,BL249,BP249,BQ249,0,Strike2,AO249,CE249,0,BL249,IF(OptControl=3,1,0),0,1),0)</f>
        <v>0</v>
      </c>
      <c r="CN249" s="53"/>
      <c r="CO249" s="796" t="str">
        <f t="shared" ca="1" si="651"/>
        <v/>
      </c>
      <c r="CP249" s="800" t="str">
        <f t="shared" ca="1" si="652"/>
        <v/>
      </c>
      <c r="CQ249" s="797" t="str">
        <f t="shared" ca="1" si="653"/>
        <v/>
      </c>
      <c r="CR249" s="797" t="str">
        <f t="shared" ca="1" si="654"/>
        <v/>
      </c>
      <c r="CS249" s="797" t="str">
        <f t="shared" ca="1" si="655"/>
        <v/>
      </c>
      <c r="CT249" s="797" t="str">
        <f t="shared" ca="1" si="656"/>
        <v/>
      </c>
      <c r="CU249" s="798" t="str">
        <f t="shared" ca="1" si="657"/>
        <v/>
      </c>
      <c r="CV249" s="799" t="str">
        <f t="shared" ca="1" si="658"/>
        <v/>
      </c>
      <c r="CW249" s="799" t="str">
        <f t="shared" ca="1" si="659"/>
        <v/>
      </c>
      <c r="CX249" s="163">
        <f ca="1">IF(BD249,_xll.EURO(CP249,Strike1,AO249,AO249,CV249,CO249,IF(OptControl=4,0,1),0),0)</f>
        <v>0</v>
      </c>
      <c r="CY249" s="163">
        <f ca="1">IF(BD249,_xll.EURO(CP249,Strike1,AO249,AO249,CV249,CO249,IF(OptControl=4,0,1),1)+IF(OR(VolSkewFlag=2,ABS(CQ249)&lt;0.0001),0,IF(CQ249&gt;0,-1,1)*CZ249*100*Strike1/CP249^2*CS249/10%),0)</f>
        <v>0</v>
      </c>
      <c r="CZ249" s="163">
        <f ca="1">IF(BD249,_xll.EURO(CP249,Strike1,AO249,AO249,CV249,CO249,IF(OptControl=4,0,1),3)/100,0)</f>
        <v>0</v>
      </c>
      <c r="DA249" s="163">
        <f ca="1">IF(BD249,_xll.EURO(CP249,Strike1,AO249,AO249,CV249,CO249,IF(OptControl=4,0,1),0)-_xll.EURO(CP249,Strike1,AO249,AO249,CV249,CO249-1,IF(OptControl=4,0,1),0),0)</f>
        <v>0</v>
      </c>
      <c r="DB249" s="163">
        <f ca="1">IF(BD249,_xll.EURO(CP249,Strike2,AO249,AO249,CW249,CO249,IF(OptControl=3,1,0),0),0)</f>
        <v>0</v>
      </c>
      <c r="DC249" s="163">
        <f ca="1">IF(BD249,_xll.EURO(CP249,Strike2,AO249,AO249,CW249,CO249,IF(OptControl=3,1,0),1)+IF(OR(VolSkewFlag=2,ABS(CR249)&lt;0.0001),0,IF(CR249&gt;0,-1,1)*DD249*100*Strike2/CP249^2*CT249/10%),0)</f>
        <v>0</v>
      </c>
      <c r="DD249" s="163">
        <f ca="1">IF(BD249,_xll.EURO(CP249,Strike2,AO249,AO249,CW249,CO249,IF(OptControl=3,1,0),3)/100,0)</f>
        <v>0</v>
      </c>
      <c r="DE249" s="164">
        <f ca="1">IF(BD249,_xll.EURO(CP249,Strike2,AO249,AO249,CW249,CO249,IF(OptControl=3,1,0),0)-_xll.EURO(CP249,Strike2,AO249,AO249,CW249,CO249-1,IF(OptControl=3,1,0),0),0)</f>
        <v>0</v>
      </c>
      <c r="DG249" s="667">
        <f t="shared" ca="1" si="660"/>
        <v>43525</v>
      </c>
      <c r="DH249" s="475">
        <v>25.61000000000011</v>
      </c>
      <c r="DI249" s="665">
        <v>25.676666666666776</v>
      </c>
      <c r="DJ249" s="666">
        <f t="shared" ca="1" si="617"/>
        <v>43525</v>
      </c>
      <c r="DK249" s="475">
        <v>24.450869895751389</v>
      </c>
      <c r="DL249" s="665">
        <v>24.508166666666774</v>
      </c>
      <c r="DM249" s="667">
        <f t="shared" ca="1" si="618"/>
        <v>43525</v>
      </c>
      <c r="DN249" s="668">
        <f t="shared" si="619"/>
        <v>24.500869895751389</v>
      </c>
      <c r="DO249" s="667">
        <f t="shared" ca="1" si="620"/>
        <v>43525</v>
      </c>
      <c r="DP249" s="579">
        <f t="shared" si="621"/>
        <v>24.508166666666774</v>
      </c>
      <c r="DQ249" s="821">
        <v>0</v>
      </c>
      <c r="DR249" s="666">
        <f t="shared" ca="1" si="622"/>
        <v>43525</v>
      </c>
      <c r="DS249" s="669">
        <v>8.7199999999997307E-2</v>
      </c>
      <c r="DT249" s="606">
        <v>8.6399999999997215E-2</v>
      </c>
      <c r="DU249" s="666">
        <f t="shared" ca="1" si="623"/>
        <v>43525</v>
      </c>
      <c r="DV249" s="669">
        <v>8.7199999999997307E-2</v>
      </c>
      <c r="DW249" s="606">
        <v>8.6399999999997215E-2</v>
      </c>
      <c r="DX249" s="667">
        <f t="shared" ca="1" si="624"/>
        <v>43525</v>
      </c>
      <c r="DY249" s="606">
        <v>0.35</v>
      </c>
      <c r="DZ249" s="667">
        <f t="shared" ca="1" si="625"/>
        <v>43525</v>
      </c>
      <c r="EA249" s="606">
        <f t="shared" si="626"/>
        <v>8.6399999999997215E-2</v>
      </c>
      <c r="EB249" s="1"/>
      <c r="EC249" s="118" t="str">
        <f t="shared" ca="1" si="627"/>
        <v/>
      </c>
      <c r="ED249" s="119" t="str">
        <f t="shared" ca="1" si="644"/>
        <v/>
      </c>
      <c r="EE249" s="112" t="str">
        <f t="shared" ca="1" si="645"/>
        <v/>
      </c>
      <c r="EF249" s="120">
        <f ca="1">IF(BD249,_xll.xASN(BR249,Strike1,AO249,ED249,0,BO249,0,BI249,BL249,IF(OptControl=4,0,1),0),0)</f>
        <v>0</v>
      </c>
      <c r="EG249" s="111">
        <f ca="1">IF(BD249,_xll.xASN(BR249,Strike2,AO249,EE249,0,BO249,0,BI249,BL249,IF(OptControl=3,1,0),0),0)</f>
        <v>0</v>
      </c>
      <c r="EL249" s="55"/>
      <c r="EM249" s="1"/>
      <c r="EN249" s="106"/>
      <c r="EO249" s="106"/>
      <c r="EP249" s="1"/>
      <c r="EQ249" s="683" t="s">
        <v>463</v>
      </c>
      <c r="ES249" s="55"/>
      <c r="EU249" s="107"/>
      <c r="FJ249" s="673">
        <v>5</v>
      </c>
      <c r="FK249" s="479" t="str">
        <f ca="1">IF($FJ249+FK$244&gt;73,"",PRODUCT(INDEX($T$19:$T$93,FK$244):INDEX($T$19:$T$93,FK$244+$FJ249-1)))</f>
        <v/>
      </c>
      <c r="FL249" s="479" t="str">
        <f ca="1">IF($FJ249+FL$244&gt;73,"",PRODUCT(INDEX($T$19:$T$93,FL$244):INDEX($T$19:$T$93,FL$244+$FJ249-1)))</f>
        <v/>
      </c>
      <c r="FM249" s="479" t="str">
        <f ca="1">IF($FJ249+FM$244&gt;73,"",PRODUCT(INDEX($T$19:$T$93,FM$244):INDEX($T$19:$T$93,FM$244+$FJ249-1)))</f>
        <v/>
      </c>
      <c r="FN249" s="479" t="str">
        <f ca="1">IF($FJ249+FN$244&gt;73,"",PRODUCT(INDEX($T$19:$T$93,FN$244):INDEX($T$19:$T$93,FN$244+$FJ249-1)))</f>
        <v/>
      </c>
      <c r="FO249" s="479">
        <f ca="1">IF($FJ249+FO$244&gt;73,"",PRODUCT(INDEX($T$19:$T$93,FO$244):INDEX($T$19:$T$93,FO$244+$FJ249-1)))</f>
        <v>0.99998639316377136</v>
      </c>
      <c r="FP249" s="479">
        <f ca="1">IF($FJ249+FP$244&gt;73,"",PRODUCT(INDEX($T$19:$T$93,FP$244):INDEX($T$19:$T$93,FP$244+$FJ249-1)))</f>
        <v>0.99998408556105878</v>
      </c>
      <c r="FQ249" s="479">
        <f ca="1">IF($FJ249+FQ$244&gt;73,"",PRODUCT(INDEX($T$19:$T$93,FQ$244):INDEX($T$19:$T$93,FQ$244+$FJ249-1)))</f>
        <v>0.99998138660735203</v>
      </c>
      <c r="FR249" s="479">
        <f ca="1">IF($FJ249+FR$244&gt;73,"",PRODUCT(INDEX($T$19:$T$93,FR$244):INDEX($T$19:$T$93,FR$244+$FJ249-1)))</f>
        <v>0.99997822993226526</v>
      </c>
      <c r="FS249" s="479">
        <f ca="1">IF($FJ249+FS$244&gt;73,"",PRODUCT(INDEX($T$19:$T$93,FS$244):INDEX($T$19:$T$93,FS$244+$FJ249-1)))</f>
        <v>0.99997453790935931</v>
      </c>
      <c r="FT249" s="479">
        <f ca="1">IF($FJ249+FT$244&gt;73,"",PRODUCT(INDEX($T$19:$T$93,FT$244):INDEX($T$19:$T$93,FT$244+$FJ249-1)))</f>
        <v>0.99997021974715405</v>
      </c>
      <c r="FU249" s="479">
        <f ca="1">IF($FJ249+FU$244&gt;73,"",PRODUCT(INDEX($T$19:$T$93,FU$244):INDEX($T$19:$T$93,FU$244+$FJ249-1)))</f>
        <v>0.99996516925637702</v>
      </c>
      <c r="FV249" s="479">
        <f ca="1">IF($FJ249+FV$244&gt;73,"",PRODUCT(INDEX($T$19:$T$93,FV$244):INDEX($T$19:$T$93,FV$244+$FJ249-1)))</f>
        <v>0.99995926223854237</v>
      </c>
      <c r="FW249" s="479">
        <f ca="1">IF($FJ249+FW$244&gt;73,"",PRODUCT(INDEX($T$19:$T$93,FW$244):INDEX($T$19:$T$93,FW$244+$FJ249-1)))</f>
        <v>0.99995235343163402</v>
      </c>
      <c r="FX249" s="479">
        <f ca="1">IF($FJ249+FX$244&gt;73,"",PRODUCT(INDEX($T$19:$T$93,FX$244):INDEX($T$19:$T$93,FX$244+$FJ249-1)))</f>
        <v>0.99994427293778265</v>
      </c>
      <c r="FY249" s="479">
        <f ca="1">IF($FJ249+FY$244&gt;73,"",PRODUCT(INDEX($T$19:$T$93,FY$244):INDEX($T$19:$T$93,FY$244+$FJ249-1)))</f>
        <v>0.99993482204508632</v>
      </c>
      <c r="FZ249" s="479">
        <f ca="1">IF($FJ249+FZ$244&gt;73,"",PRODUCT(INDEX($T$19:$T$93,FZ$244):INDEX($T$19:$T$93,FZ$244+$FJ249-1)))</f>
        <v>0.99992376834082597</v>
      </c>
      <c r="GA249" s="479">
        <f ca="1">IF($FJ249+GA$244&gt;73,"",PRODUCT(INDEX($T$19:$T$93,GA$244):INDEX($T$19:$T$93,GA$244+$FJ249-1)))</f>
        <v>0.99991083999590835</v>
      </c>
      <c r="GB249" s="479">
        <f ca="1">IF($FJ249+GB$244&gt;73,"",PRODUCT(INDEX($T$19:$T$93,GB$244):INDEX($T$19:$T$93,GB$244+$FJ249-1)))</f>
        <v>0.99989571907999308</v>
      </c>
      <c r="GC249" s="479">
        <f ca="1">IF($FJ249+GC$244&gt;73,"",PRODUCT(INDEX($T$19:$T$93,GC$244):INDEX($T$19:$T$93,GC$244+$FJ249-1)))</f>
        <v>0.99987803374293804</v>
      </c>
      <c r="GD249" s="479">
        <f ca="1">IF($FJ249+GD$244&gt;73,"",PRODUCT(INDEX($T$19:$T$93,GD$244):INDEX($T$19:$T$93,GD$244+$FJ249-1)))</f>
        <v>0.9998573490703303</v>
      </c>
      <c r="GE249" s="479">
        <f ca="1">IF($FJ249+GE$244&gt;73,"",PRODUCT(INDEX($T$19:$T$93,GE$244):INDEX($T$19:$T$93,GE$244+$FJ249-1)))</f>
        <v>0.99983315638830295</v>
      </c>
      <c r="GF249" s="479">
        <f ca="1">IF($FJ249+GF$244&gt;73,"",PRODUCT(INDEX($T$19:$T$93,GF$244):INDEX($T$19:$T$93,GF$244+$FJ249-1)))</f>
        <v>0.99980486075473551</v>
      </c>
      <c r="GG249" s="479">
        <f ca="1">IF($FJ249+GG$244&gt;73,"",PRODUCT(INDEX($T$19:$T$93,GG$244):INDEX($T$19:$T$93,GG$244+$FJ249-1)))</f>
        <v>0.99977176632941145</v>
      </c>
      <c r="GH249" s="479">
        <f ca="1">IF($FJ249+GH$244&gt;73,"",PRODUCT(INDEX($T$19:$T$93,GH$244):INDEX($T$19:$T$93,GH$244+$FJ249-1)))</f>
        <v>0.99973305926364175</v>
      </c>
      <c r="GI249" s="479">
        <f ca="1">IF($FJ249+GI$244&gt;73,"",PRODUCT(INDEX($T$19:$T$93,GI$244):INDEX($T$19:$T$93,GI$244+$FJ249-1)))</f>
        <v>0.99968778768901123</v>
      </c>
      <c r="GJ249" s="479">
        <f ca="1">IF($FJ249+GJ$244&gt;73,"",PRODUCT(INDEX($T$19:$T$93,GJ$244):INDEX($T$19:$T$93,GJ$244+$FJ249-1)))</f>
        <v>0.99963483831378497</v>
      </c>
      <c r="GK249" s="479">
        <f ca="1">IF($FJ249+GK$244&gt;73,"",PRODUCT(INDEX($T$19:$T$93,GK$244):INDEX($T$19:$T$93,GK$244+$FJ249-1)))</f>
        <v>0.99957290905240392</v>
      </c>
      <c r="GL249" s="479">
        <f ca="1">IF($FJ249+GL$244&gt;73,"",PRODUCT(INDEX($T$19:$T$93,GL$244):INDEX($T$19:$T$93,GL$244+$FJ249-1)))</f>
        <v>0.99950047701641132</v>
      </c>
      <c r="GM249" s="479">
        <f ca="1">IF($FJ249+GM$244&gt;73,"",PRODUCT(INDEX($T$19:$T$93,GM$244):INDEX($T$19:$T$93,GM$244+$FJ249-1)))</f>
        <v>0.99941576108174823</v>
      </c>
      <c r="GN249" s="479">
        <f ca="1">IF($FJ249+GN$244&gt;73,"",PRODUCT(INDEX($T$19:$T$93,GN$244):INDEX($T$19:$T$93,GN$244+$FJ249-1)))</f>
        <v>0.99931667811494806</v>
      </c>
      <c r="GO249" s="479">
        <f ca="1">IF($FJ249+GO$244&gt;73,"",PRODUCT(INDEX($T$19:$T$93,GO$244):INDEX($T$19:$T$93,GO$244+$FJ249-1)))</f>
        <v>0.99920079178621068</v>
      </c>
      <c r="GP249" s="479">
        <f ca="1">IF($FJ249+GP$244&gt;73,"",PRODUCT(INDEX($T$19:$T$93,GP$244):INDEX($T$19:$T$93,GP$244+$FJ249-1)))</f>
        <v>0.99906525271702951</v>
      </c>
      <c r="GQ249" s="479">
        <f ca="1">IF($FJ249+GQ$244&gt;73,"",PRODUCT(INDEX($T$19:$T$93,GQ$244):INDEX($T$19:$T$93,GQ$244+$FJ249-1)))</f>
        <v>0.99890672849979856</v>
      </c>
      <c r="GR249" s="479">
        <f ca="1">IF($FJ249+GR$244&gt;73,"",PRODUCT(INDEX($T$19:$T$93,GR$244):INDEX($T$19:$T$93,GR$244+$FJ249-1)))</f>
        <v>0.99872132188183194</v>
      </c>
      <c r="GS249" s="479">
        <f ca="1">IF($FJ249+GS$244&gt;73,"",PRODUCT(INDEX($T$19:$T$93,GS$244):INDEX($T$19:$T$93,GS$244+$FJ249-1)))</f>
        <v>0.99850447512096674</v>
      </c>
      <c r="GT249" s="479">
        <f ca="1">IF($FJ249+GT$244&gt;73,"",PRODUCT(INDEX($T$19:$T$93,GT$244):INDEX($T$19:$T$93,GT$244+$FJ249-1)))</f>
        <v>0.99825085818810133</v>
      </c>
      <c r="GU249" s="479">
        <f ca="1">IF($FJ249+GU$244&gt;73,"",PRODUCT(INDEX($T$19:$T$93,GU$244):INDEX($T$19:$T$93,GU$244+$FJ249-1)))</f>
        <v>0.99795423810649608</v>
      </c>
      <c r="GV249" s="479">
        <f ca="1">IF($FJ249+GV$244&gt;73,"",PRODUCT(INDEX($T$19:$T$93,GV$244):INDEX($T$19:$T$93,GV$244+$FJ249-1)))</f>
        <v>0.99760732627037552</v>
      </c>
      <c r="GW249" s="479">
        <f ca="1">IF($FJ249+GW$244&gt;73,"",PRODUCT(INDEX($T$19:$T$93,GW$244):INDEX($T$19:$T$93,GW$244+$FJ249-1)))</f>
        <v>0.99720160006736625</v>
      </c>
      <c r="GX249" s="479">
        <f ca="1">IF($FJ249+GX$244&gt;73,"",PRODUCT(INDEX($T$19:$T$93,GX$244):INDEX($T$19:$T$93,GX$244+$FJ249-1)))</f>
        <v>0.996727094530656</v>
      </c>
      <c r="GY249" s="479">
        <f ca="1">IF($FJ249+GY$244&gt;73,"",PRODUCT(INDEX($T$19:$T$93,GY$244):INDEX($T$19:$T$93,GY$244+$FJ249-1)))</f>
        <v>0.99617215905680201</v>
      </c>
      <c r="GZ249" s="479">
        <f ca="1">IF($FJ249+GZ$244&gt;73,"",PRODUCT(INDEX($T$19:$T$93,GZ$244):INDEX($T$19:$T$93,GZ$244+$FJ249-1)))</f>
        <v>0.99552317343253371</v>
      </c>
      <c r="HA249" s="479">
        <f ca="1">IF($FJ249+HA$244&gt;73,"",PRODUCT(INDEX($T$19:$T$93,HA$244):INDEX($T$19:$T$93,HA$244+$FJ249-1)))</f>
        <v>0.99476421650721292</v>
      </c>
      <c r="HB249" s="479">
        <f ca="1">IF($FJ249+HB$244&gt;73,"",PRODUCT(INDEX($T$19:$T$93,HB$244):INDEX($T$19:$T$93,HB$244+$FJ249-1)))</f>
        <v>0.9938766798158577</v>
      </c>
      <c r="HC249" s="479">
        <f ca="1">IF($FJ249+HC$244&gt;73,"",PRODUCT(INDEX($T$19:$T$93,HC$244):INDEX($T$19:$T$93,HC$244+$FJ249-1)))</f>
        <v>0.99283881729140544</v>
      </c>
      <c r="HD249" s="479">
        <f ca="1">IF($FJ249+HD$244&gt;73,"",PRODUCT(INDEX($T$19:$T$93,HD$244):INDEX($T$19:$T$93,HD$244+$FJ249-1)))</f>
        <v>0.99162522089816396</v>
      </c>
      <c r="HE249" s="479">
        <f ca="1">IF($FJ249+HE$244&gt;73,"",PRODUCT(INDEX($T$19:$T$93,HE$244):INDEX($T$19:$T$93,HE$244+$FJ249-1)))</f>
        <v>0.99020621057104574</v>
      </c>
      <c r="HF249" s="479">
        <f ca="1">IF($FJ249+HF$244&gt;73,"",PRODUCT(INDEX($T$19:$T$93,HF$244):INDEX($T$19:$T$93,HF$244+$FJ249-1)))</f>
        <v>0.98854712526705579</v>
      </c>
      <c r="HG249" s="479">
        <f ca="1">IF($FJ249+HG$244&gt;73,"",PRODUCT(INDEX($T$19:$T$93,HG$244):INDEX($T$19:$T$93,HG$244+$FJ249-1)))</f>
        <v>0.98660750025222899</v>
      </c>
      <c r="HH249" s="479">
        <f ca="1">IF($FJ249+HH$244&gt;73,"",PRODUCT(INDEX($T$19:$T$93,HH$244):INDEX($T$19:$T$93,HH$244+$FJ249-1)))</f>
        <v>0.98434011400900334</v>
      </c>
      <c r="HI249" s="479">
        <f ca="1">IF($FJ249+HI$244&gt;73,"",PRODUCT(INDEX($T$19:$T$93,HI$244):INDEX($T$19:$T$93,HI$244+$FJ249-1)))</f>
        <v>0.98168988644336941</v>
      </c>
      <c r="HJ249" s="479">
        <f ca="1">IF($FJ249+HJ$244&gt;73,"",PRODUCT(INDEX($T$19:$T$93,HJ$244):INDEX($T$19:$T$93,HJ$244+$FJ249-1)))</f>
        <v>0.9785926085417288</v>
      </c>
      <c r="HK249" s="479">
        <f ca="1">IF($FJ249+HK$244&gt;73,"",PRODUCT(INDEX($T$19:$T$93,HK$244):INDEX($T$19:$T$93,HK$244+$FJ249-1)))</f>
        <v>0.97497348250115712</v>
      </c>
      <c r="HL249" s="479">
        <f ca="1">IF($FJ249+HL$244&gt;73,"",PRODUCT(INDEX($T$19:$T$93,HL$244):INDEX($T$19:$T$93,HL$244+$FJ249-1)))</f>
        <v>0.97074545098369924</v>
      </c>
      <c r="HM249" s="479">
        <f ca="1">IF($FJ249+HM$244&gt;73,"",PRODUCT(INDEX($T$19:$T$93,HM$244):INDEX($T$19:$T$93,HM$244+$FJ249-1)))</f>
        <v>0.96580729505558816</v>
      </c>
      <c r="HN249" s="479">
        <f ca="1">IF($FJ249+HN$244&gt;73,"",PRODUCT(INDEX($T$19:$T$93,HN$244):INDEX($T$19:$T$93,HN$244+$FJ249-1)))</f>
        <v>0.96004148335885975</v>
      </c>
      <c r="HO249" s="479">
        <f ca="1">IF($FJ249+HO$244&gt;73,"",PRODUCT(INDEX($T$19:$T$93,HO$244):INDEX($T$19:$T$93,HO$244+$FJ249-1)))</f>
        <v>0.95331176129980588</v>
      </c>
      <c r="HP249" s="479">
        <f ca="1">IF($FJ249+HP$244&gt;73,"",PRODUCT(INDEX($T$19:$T$93,HP$244):INDEX($T$19:$T$93,HP$244+$FJ249-1)))</f>
        <v>0.94546048024996043</v>
      </c>
      <c r="HQ249" s="479">
        <f ca="1">IF($FJ249+HQ$244&gt;73,"",PRODUCT(INDEX($T$19:$T$93,HQ$244):INDEX($T$19:$T$93,HQ$244+$FJ249-1)))</f>
        <v>0.93630568545303228</v>
      </c>
      <c r="HR249" s="479">
        <f ca="1">IF($FJ249+HR$244&gt;73,"",PRODUCT(INDEX($T$19:$T$93,HR$244):INDEX($T$19:$T$93,HR$244+$FJ249-1)))</f>
        <v>0.92563801114921707</v>
      </c>
      <c r="HS249" s="479">
        <f ca="1">IF($FJ249+HS$244&gt;73,"",PRODUCT(INDEX($T$19:$T$93,HS$244):INDEX($T$19:$T$93,HS$244+$FJ249-1)))</f>
        <v>0.91321747758077876</v>
      </c>
      <c r="HT249" s="479">
        <f ca="1">IF($FJ249+HT$244&gt;73,"",PRODUCT(INDEX($T$19:$T$93,HT$244):INDEX($T$19:$T$93,HT$244+$FJ249-1)))</f>
        <v>0.8987703544404867</v>
      </c>
      <c r="HU249" s="479">
        <f ca="1">IF($FJ249+HU$244&gt;73,"",PRODUCT(INDEX($T$19:$T$93,HU$244):INDEX($T$19:$T$93,HU$244+$FJ249-1)))</f>
        <v>0.88198635937427616</v>
      </c>
      <c r="HV249" s="479">
        <f ca="1">IF($FJ249+HV$244&gt;73,"",PRODUCT(INDEX($T$19:$T$93,HV$244):INDEX($T$19:$T$93,HV$244+$FJ249-1)))</f>
        <v>0.86251661273246427</v>
      </c>
      <c r="HW249" s="479">
        <f ca="1">IF($FJ249+HW$244&gt;73,"",PRODUCT(INDEX($T$19:$T$93,HW$244):INDEX($T$19:$T$93,HW$244+$FJ249-1)))</f>
        <v>0.83997299030985384</v>
      </c>
      <c r="HX249" s="479">
        <f ca="1">IF($FJ249+HX$244&gt;73,"",PRODUCT(INDEX($T$19:$T$93,HX$244):INDEX($T$19:$T$93,HX$244+$FJ249-1)))</f>
        <v>0.81392982971533756</v>
      </c>
      <c r="HY249" s="479">
        <f ca="1">IF($FJ249+HY$244&gt;73,"",PRODUCT(INDEX($T$19:$T$93,HY$244):INDEX($T$19:$T$93,HY$244+$FJ249-1)))</f>
        <v>0.78392938474251472</v>
      </c>
      <c r="HZ249" s="479">
        <f ca="1">IF($FJ249+HZ$244&gt;73,"",PRODUCT(INDEX($T$19:$T$93,HZ$244):INDEX($T$19:$T$93,HZ$244+$FJ249-1)))</f>
        <v>0.74949302121659256</v>
      </c>
      <c r="IA249" s="479">
        <f ca="1">IF($FJ249+IA$244&gt;73,"",PRODUCT(INDEX($T$19:$T$93,IA$244):INDEX($T$19:$T$93,IA$244+$FJ249-1)))</f>
        <v>0.71014093997999328</v>
      </c>
      <c r="IB249" s="479">
        <f ca="1">IF($FJ249+IB$244&gt;73,"",PRODUCT(INDEX($T$19:$T$93,IB$244):INDEX($T$19:$T$93,IB$244+$FJ249-1)))</f>
        <v>0.66542421080106873</v>
      </c>
      <c r="IC249" s="479">
        <f ca="1">IF($FJ249+IC$244&gt;73,"",PRODUCT(INDEX($T$19:$T$93,IC$244):INDEX($T$19:$T$93,IC$244+$FJ249-1)))</f>
        <v>0.61497406123806808</v>
      </c>
      <c r="ID249" s="678">
        <f ca="1">IF($FJ249+ID$244&gt;73,"",PRODUCT(INDEX($T$19:$T$93,ID$244):INDEX($T$19:$T$93,ID$244+$FJ249-1)))</f>
        <v>0.55857451292222005</v>
      </c>
      <c r="IE249" s="250"/>
    </row>
    <row r="250" spans="8:239">
      <c r="H250" s="51">
        <f t="shared" ca="1" si="646"/>
        <v>0</v>
      </c>
      <c r="I250" s="379">
        <f t="shared" si="647"/>
        <v>43770</v>
      </c>
      <c r="J250" s="377"/>
      <c r="K250" s="104" t="s">
        <v>268</v>
      </c>
      <c r="L250" s="392">
        <f t="shared" si="648"/>
        <v>5.7749999999999897</v>
      </c>
      <c r="M250" s="171"/>
      <c r="N250" s="382">
        <v>0</v>
      </c>
      <c r="O250" s="171">
        <f t="shared" si="596"/>
        <v>0</v>
      </c>
      <c r="P250" s="377"/>
      <c r="Q250" s="104" t="s">
        <v>268</v>
      </c>
      <c r="R250" s="377">
        <f t="shared" ca="1" si="597"/>
        <v>4.5653230214396308</v>
      </c>
      <c r="S250" s="832">
        <f t="shared" si="671"/>
        <v>0.3600000000000001</v>
      </c>
      <c r="T250" s="831">
        <f t="shared" si="661"/>
        <v>0.99999999999999933</v>
      </c>
      <c r="U250" s="545">
        <f t="shared" si="662"/>
        <v>0.99999999999999978</v>
      </c>
      <c r="V250" s="389">
        <v>0</v>
      </c>
      <c r="W250" s="434">
        <f t="shared" si="598"/>
        <v>0</v>
      </c>
      <c r="X250" s="415">
        <f t="shared" si="599"/>
        <v>5.8249999999999904</v>
      </c>
      <c r="Y250" s="322">
        <f t="shared" si="600"/>
        <v>-1.1931</v>
      </c>
      <c r="Z250" s="322">
        <f t="shared" ca="1" si="601"/>
        <v>4.6318999999999901</v>
      </c>
      <c r="AA250" s="429">
        <f t="shared" si="628"/>
        <v>1.1931</v>
      </c>
      <c r="AB250" s="433">
        <f t="shared" ca="1" si="629"/>
        <v>1.1931</v>
      </c>
      <c r="AC250" s="229">
        <v>43758</v>
      </c>
      <c r="AD250" s="229">
        <v>43754</v>
      </c>
      <c r="AE250" s="229">
        <v>43753</v>
      </c>
      <c r="AF250" s="229">
        <v>43749</v>
      </c>
      <c r="AG250" s="249" t="s">
        <v>499</v>
      </c>
      <c r="AH250" s="247" t="s">
        <v>499</v>
      </c>
      <c r="AI250" s="146">
        <v>21</v>
      </c>
      <c r="AJ250" s="41">
        <v>14</v>
      </c>
      <c r="AK250" s="41">
        <v>7</v>
      </c>
      <c r="AL250" s="293">
        <v>21</v>
      </c>
      <c r="AM250" s="41">
        <v>10</v>
      </c>
      <c r="AN250" s="147">
        <v>11</v>
      </c>
      <c r="AO250" s="374"/>
      <c r="AP250" s="153">
        <f t="shared" ca="1" si="649"/>
        <v>1</v>
      </c>
      <c r="AQ250" s="374"/>
      <c r="AR250" s="153">
        <f t="shared" ca="1" si="663"/>
        <v>1</v>
      </c>
      <c r="AS250" s="272">
        <f t="shared" si="602"/>
        <v>0</v>
      </c>
      <c r="AT250" s="157">
        <f t="shared" si="650"/>
        <v>0</v>
      </c>
      <c r="AU250" s="157">
        <f t="shared" si="630"/>
        <v>0</v>
      </c>
      <c r="AV250" s="271">
        <f t="shared" ca="1" si="670"/>
        <v>9.9999999999999995E-7</v>
      </c>
      <c r="AW250" s="158" t="str">
        <f t="shared" ca="1" si="672"/>
        <v/>
      </c>
      <c r="AX250" s="157">
        <f t="shared" ca="1" si="664"/>
        <v>1.0796714236351479E-5</v>
      </c>
      <c r="AY250" s="157">
        <f t="shared" ca="1" si="665"/>
        <v>1.8026543912477503E-6</v>
      </c>
      <c r="AZ250" s="157">
        <f t="shared" ca="1" si="666"/>
        <v>2.4835748927422992E-8</v>
      </c>
      <c r="BA250" s="157">
        <f t="shared" ca="1" si="667"/>
        <v>3.104468615927874E-9</v>
      </c>
      <c r="BB250" s="157">
        <f t="shared" ca="1" si="668"/>
        <v>2.7931717084908738E-12</v>
      </c>
      <c r="BC250" s="157">
        <f t="shared" ca="1" si="669"/>
        <v>1.9275450774559649E-14</v>
      </c>
      <c r="BD250" s="151">
        <f t="shared" ca="1" si="603"/>
        <v>0</v>
      </c>
      <c r="BE250" s="152">
        <f t="shared" ca="1" si="604"/>
        <v>0</v>
      </c>
      <c r="BF250" s="40">
        <f t="shared" si="605"/>
        <v>2019</v>
      </c>
      <c r="BG250" s="144">
        <f t="shared" si="606"/>
        <v>11</v>
      </c>
      <c r="BH250" s="145">
        <f t="shared" ca="1" si="607"/>
        <v>7009</v>
      </c>
      <c r="BI250" s="313">
        <f t="shared" ca="1" si="608"/>
        <v>19.23340177960301</v>
      </c>
      <c r="BJ250" s="42">
        <f t="shared" ca="1" si="631"/>
        <v>19.286333561487567</v>
      </c>
      <c r="BK250" s="42">
        <f t="shared" ca="1" si="632"/>
        <v>19.289071412274698</v>
      </c>
      <c r="BL250" s="42">
        <f t="shared" ca="1" si="609"/>
        <v>19.312799452429843</v>
      </c>
      <c r="BM250" s="150" t="e">
        <f t="shared" ca="1" si="633"/>
        <v>#DIV/0!</v>
      </c>
      <c r="BN250" s="42" t="e">
        <f t="shared" ca="1" si="634"/>
        <v>#DIV/0!</v>
      </c>
      <c r="BO250" s="293">
        <f t="shared" si="610"/>
        <v>21</v>
      </c>
      <c r="BP250" s="41">
        <f t="shared" si="611"/>
        <v>14</v>
      </c>
      <c r="BQ250" s="41">
        <f t="shared" si="612"/>
        <v>7</v>
      </c>
      <c r="BR250" s="305" t="str">
        <f t="shared" ca="1" si="635"/>
        <v/>
      </c>
      <c r="BS250" s="305" t="str">
        <f t="shared" ca="1" si="613"/>
        <v/>
      </c>
      <c r="BT250" s="307" t="str">
        <f t="shared" ca="1" si="614"/>
        <v/>
      </c>
      <c r="BU250" s="161" t="str">
        <f t="shared" ca="1" si="636"/>
        <v/>
      </c>
      <c r="BV250" s="161" t="str">
        <f t="shared" ca="1" si="637"/>
        <v/>
      </c>
      <c r="BW250" s="308" t="str">
        <f t="shared" ca="1" si="638"/>
        <v/>
      </c>
      <c r="BX250" s="309" t="str">
        <f t="shared" ca="1" si="639"/>
        <v/>
      </c>
      <c r="BY250" s="308" t="str">
        <f t="shared" ca="1" si="615"/>
        <v/>
      </c>
      <c r="BZ250" s="309" t="str">
        <f t="shared" ca="1" si="616"/>
        <v/>
      </c>
      <c r="CA250" s="154" t="str">
        <f t="shared" ca="1" si="640"/>
        <v/>
      </c>
      <c r="CB250" s="154" t="str">
        <f t="shared" ca="1" si="641"/>
        <v/>
      </c>
      <c r="CC250" s="154" t="str">
        <f t="shared" ca="1" si="642"/>
        <v/>
      </c>
      <c r="CD250" s="154" t="str">
        <f t="shared" ca="1" si="643"/>
        <v/>
      </c>
      <c r="CE250" s="310">
        <v>1</v>
      </c>
      <c r="CF250" s="162">
        <f ca="1">IF(BD250,_xll.xCrudeAPO(BU250,BV250,CA250,CB250,S251,S252,BI250,BL250,BP250,BQ250,0,Strike1,AO250,CE250,0,BL250,IF(OptControl=4,0,1),0,1),0)</f>
        <v>0</v>
      </c>
      <c r="CG250" s="163">
        <f ca="1">IF(BD250,_xll.xCrudeAPO(BU250,BV250,CA250,CB250,S251,S252,BI250,BL250,BP250,BQ250,0,Strike1,AO250,CE250,0,BL250,IF(OptControl=4,0,1),1,1)+_xll.xCrudeAPO(BU250,BV250,CA250,CB250,S251,S252,BI250,BL250,BP250,BQ250,0,Strike1,AO250,CE250,0,BL250,IF(OptControl=4,0,1),1,2)+IF(OR(VolSkewFlag=2,ABS(BS250)&lt;0.0001),0,IF(BS250&gt;0,-1,1)*CH250*Strike1/BR250^2*BY250/10%),0)</f>
        <v>0</v>
      </c>
      <c r="CH250" s="163">
        <f ca="1">IF(BD250,(_xll.xCrudeAPO(BU250,BV250,CA250,CB250,S251,S252,BI250,BL250,BP250,BQ250,0,Strike1,AO250,CE250,0,BL250,IF(OptControl=4,0,1),3,1)+_xll.xCrudeAPO(BU250,BV250,CA250,CB250,S251,S252,BI250,BL250,BP250,BQ250,0,Strike1,AO250,CE250,0,BL250,IF(OptControl=4,0,1),3,2))/100,0)</f>
        <v>0</v>
      </c>
      <c r="CI250" s="163">
        <f ca="1">IF(BD250,_xll.xCrudeAPO(BU250,BV250,CA250,CB250,S251,S252,BI250-DaysForThetaCalculation/365.25,BL250-DaysForThetaCalculation/365.25,BP250,BQ250,0,Strike1,AO250,CE250,0,BL250,IF(OptControl=4,0,1),0,1)-_xll.xCrudeAPO(BU250,BV250,CA250,CB250,S251,S252,BI250,BL250,BP250,BQ250,0,Strike1,AO250,CE250,0,BL250,IF(OptControl=4,0,1),0,1),0)</f>
        <v>0</v>
      </c>
      <c r="CJ250" s="311">
        <f ca="1">IF(BD250,_xll.xCrudeAPO(BU250,BV250,CC250,CD250,S251,S252,BI250,BL250,BP250,BQ250,0,Strike2,AO250,CE250,0,BL250,IF(OptControl=3,1,0),0,1),0)</f>
        <v>0</v>
      </c>
      <c r="CK250" s="163">
        <f ca="1">IF(BD250,_xll.xCrudeAPO(BU250,BV250,CC250,CD250,S251,S252,BI250,BL250,BP250,BQ250,0,Strike2,AO250,CE250,0,BL250,IF(OptControl=3,1,0),1,1)+_xll.xCrudeAPO(BU250,BV250,CC250,CD250,S251,S252,BI250,BL250,BP250,BQ250,0,Strike2,AO250,CE250,0,BL250,IF(OptControl=3,1,0),1,2)+IF(OR(VolSkewFlag=2,ABS(BT250)&lt;0.0001),0,IF(BT250&gt;0,-1,1)*CL250*Strike2/BR250^2*BZ250/10%),0)</f>
        <v>0</v>
      </c>
      <c r="CL250" s="163">
        <f ca="1">IF(BD250,(_xll.xCrudeAPO(BU250,BV250,CC250,CD250,S251,S252,BI250,BL250,BP250,BQ250,0,Strike2,AO250,CE250,0,BL250,IF(OptControl=3,1,0),3,1)+_xll.xCrudeAPO(BU250,BV250,CC250,CD250,S251,S252,BI250,BL250,BP250,BQ250,0,Strike2,AO250,CE250,0,BL250,IF(OptControl=3,1,0),3,2))/100,0)</f>
        <v>0</v>
      </c>
      <c r="CM250" s="164">
        <f ca="1">IF(BD250,_xll.xCrudeAPO(BU250,BV250,CC250,CD250,S251,S252,BI250-DaysForThetaCalculation/365.25,BL250-DaysForThetaCalculation/365.25,BP250,BQ250,0,Strike2,AO250,CE250,0,BL250,IF(OptControl=3,1,0),0,1)-_xll.xCrudeAPO(BU250,BV250,CC250,CD250,S251,S252,BI250,BL250,BP250,BQ250,0,Strike2,AO250,CE250,0,BL250,IF(OptControl=3,1,0),0,1),0)</f>
        <v>0</v>
      </c>
      <c r="CN250" s="53"/>
      <c r="CO250" s="796" t="str">
        <f t="shared" ca="1" si="651"/>
        <v/>
      </c>
      <c r="CP250" s="800" t="str">
        <f t="shared" ca="1" si="652"/>
        <v/>
      </c>
      <c r="CQ250" s="797" t="str">
        <f t="shared" ca="1" si="653"/>
        <v/>
      </c>
      <c r="CR250" s="797" t="str">
        <f t="shared" ca="1" si="654"/>
        <v/>
      </c>
      <c r="CS250" s="797" t="str">
        <f t="shared" ca="1" si="655"/>
        <v/>
      </c>
      <c r="CT250" s="797" t="str">
        <f t="shared" ca="1" si="656"/>
        <v/>
      </c>
      <c r="CU250" s="798" t="str">
        <f t="shared" ca="1" si="657"/>
        <v/>
      </c>
      <c r="CV250" s="799" t="str">
        <f t="shared" ca="1" si="658"/>
        <v/>
      </c>
      <c r="CW250" s="799" t="str">
        <f t="shared" ca="1" si="659"/>
        <v/>
      </c>
      <c r="CX250" s="163">
        <f ca="1">IF(BD250,_xll.EURO(CP250,Strike1,AO250,AO250,CV250,CO250,IF(OptControl=4,0,1),0),0)</f>
        <v>0</v>
      </c>
      <c r="CY250" s="163">
        <f ca="1">IF(BD250,_xll.EURO(CP250,Strike1,AO250,AO250,CV250,CO250,IF(OptControl=4,0,1),1)+IF(OR(VolSkewFlag=2,ABS(CQ250)&lt;0.0001),0,IF(CQ250&gt;0,-1,1)*CZ250*100*Strike1/CP250^2*CS250/10%),0)</f>
        <v>0</v>
      </c>
      <c r="CZ250" s="163">
        <f ca="1">IF(BD250,_xll.EURO(CP250,Strike1,AO250,AO250,CV250,CO250,IF(OptControl=4,0,1),3)/100,0)</f>
        <v>0</v>
      </c>
      <c r="DA250" s="163">
        <f ca="1">IF(BD250,_xll.EURO(CP250,Strike1,AO250,AO250,CV250,CO250,IF(OptControl=4,0,1),0)-_xll.EURO(CP250,Strike1,AO250,AO250,CV250,CO250-1,IF(OptControl=4,0,1),0),0)</f>
        <v>0</v>
      </c>
      <c r="DB250" s="163">
        <f ca="1">IF(BD250,_xll.EURO(CP250,Strike2,AO250,AO250,CW250,CO250,IF(OptControl=3,1,0),0),0)</f>
        <v>0</v>
      </c>
      <c r="DC250" s="163">
        <f ca="1">IF(BD250,_xll.EURO(CP250,Strike2,AO250,AO250,CW250,CO250,IF(OptControl=3,1,0),1)+IF(OR(VolSkewFlag=2,ABS(CR250)&lt;0.0001),0,IF(CR250&gt;0,-1,1)*DD250*100*Strike2/CP250^2*CT250/10%),0)</f>
        <v>0</v>
      </c>
      <c r="DD250" s="163">
        <f ca="1">IF(BD250,_xll.EURO(CP250,Strike2,AO250,AO250,CW250,CO250,IF(OptControl=3,1,0),3)/100,0)</f>
        <v>0</v>
      </c>
      <c r="DE250" s="164">
        <f ca="1">IF(BD250,_xll.EURO(CP250,Strike2,AO250,AO250,CW250,CO250,IF(OptControl=3,1,0),0)-_xll.EURO(CP250,Strike2,AO250,AO250,CW250,CO250-1,IF(OptControl=3,1,0),0),0)</f>
        <v>0</v>
      </c>
      <c r="DG250" s="667">
        <f t="shared" ca="1" si="660"/>
        <v>43556</v>
      </c>
      <c r="DH250" s="475">
        <v>25.66000000000011</v>
      </c>
      <c r="DI250" s="665">
        <v>25.725909090909205</v>
      </c>
      <c r="DJ250" s="666">
        <f t="shared" ca="1" si="617"/>
        <v>43556</v>
      </c>
      <c r="DK250" s="475">
        <v>24.462130104248835</v>
      </c>
      <c r="DL250" s="665">
        <v>24.434409090909206</v>
      </c>
      <c r="DM250" s="667">
        <f t="shared" ca="1" si="618"/>
        <v>43556</v>
      </c>
      <c r="DN250" s="668">
        <f t="shared" si="619"/>
        <v>24.512130104248836</v>
      </c>
      <c r="DO250" s="667">
        <f t="shared" ca="1" si="620"/>
        <v>43556</v>
      </c>
      <c r="DP250" s="579">
        <f t="shared" si="621"/>
        <v>24.434409090909206</v>
      </c>
      <c r="DQ250" s="821">
        <v>0</v>
      </c>
      <c r="DR250" s="666">
        <f t="shared" ca="1" si="622"/>
        <v>43556</v>
      </c>
      <c r="DS250" s="669">
        <v>8.6599999999997221E-2</v>
      </c>
      <c r="DT250" s="606">
        <v>8.5809090909088115E-2</v>
      </c>
      <c r="DU250" s="666">
        <f t="shared" ca="1" si="623"/>
        <v>43556</v>
      </c>
      <c r="DV250" s="669">
        <v>8.6599999999997221E-2</v>
      </c>
      <c r="DW250" s="606">
        <v>8.5809090909088115E-2</v>
      </c>
      <c r="DX250" s="667">
        <f t="shared" ca="1" si="624"/>
        <v>43556</v>
      </c>
      <c r="DY250" s="606">
        <v>0.35</v>
      </c>
      <c r="DZ250" s="667">
        <f t="shared" ca="1" si="625"/>
        <v>43556</v>
      </c>
      <c r="EA250" s="606">
        <f t="shared" si="626"/>
        <v>8.5809090909088115E-2</v>
      </c>
      <c r="EB250" s="1"/>
      <c r="EC250" s="118" t="str">
        <f t="shared" ca="1" si="627"/>
        <v/>
      </c>
      <c r="ED250" s="119" t="str">
        <f t="shared" ca="1" si="644"/>
        <v/>
      </c>
      <c r="EE250" s="112" t="str">
        <f t="shared" ca="1" si="645"/>
        <v/>
      </c>
      <c r="EF250" s="120">
        <f ca="1">IF(BD250,_xll.xASN(BR250,Strike1,AO250,ED250,0,BO250,0,BI250,BL250,IF(OptControl=4,0,1),0),0)</f>
        <v>0</v>
      </c>
      <c r="EG250" s="111">
        <f ca="1">IF(BD250,_xll.xASN(BR250,Strike2,AO250,EE250,0,BO250,0,BI250,BL250,IF(OptControl=3,1,0),0),0)</f>
        <v>0</v>
      </c>
      <c r="EL250" s="55"/>
      <c r="EM250" s="1"/>
      <c r="EN250" s="106"/>
      <c r="EO250" s="106"/>
      <c r="EP250" s="1"/>
      <c r="EQ250" s="683" t="s">
        <v>464</v>
      </c>
      <c r="ES250" s="55"/>
      <c r="EU250" s="107"/>
      <c r="FJ250" s="673">
        <v>6</v>
      </c>
      <c r="FK250" s="479" t="str">
        <f ca="1">IF($FJ250+FK$244&gt;73,"",PRODUCT(INDEX($T$19:$T$93,FK$244):INDEX($T$19:$T$93,FK$244+$FJ250-1)))</f>
        <v/>
      </c>
      <c r="FL250" s="479" t="str">
        <f ca="1">IF($FJ250+FL$244&gt;73,"",PRODUCT(INDEX($T$19:$T$93,FL$244):INDEX($T$19:$T$93,FL$244+$FJ250-1)))</f>
        <v/>
      </c>
      <c r="FM250" s="479" t="str">
        <f ca="1">IF($FJ250+FM$244&gt;73,"",PRODUCT(INDEX($T$19:$T$93,FM$244):INDEX($T$19:$T$93,FM$244+$FJ250-1)))</f>
        <v/>
      </c>
      <c r="FN250" s="479" t="str">
        <f ca="1">IF($FJ250+FN$244&gt;73,"",PRODUCT(INDEX($T$19:$T$93,FN$244):INDEX($T$19:$T$93,FN$244+$FJ250-1)))</f>
        <v/>
      </c>
      <c r="FO250" s="479" t="str">
        <f ca="1">IF($FJ250+FO$244&gt;73,"",PRODUCT(INDEX($T$19:$T$93,FO$244):INDEX($T$19:$T$93,FO$244+$FJ250-1)))</f>
        <v/>
      </c>
      <c r="FP250" s="479">
        <f ca="1">IF($FJ250+FP$244&gt;73,"",PRODUCT(INDEX($T$19:$T$93,FP$244):INDEX($T$19:$T$93,FP$244+$FJ250-1)))</f>
        <v>0.99998214417533871</v>
      </c>
      <c r="FQ250" s="479">
        <f ca="1">IF($FJ250+FQ$244&gt;73,"",PRODUCT(INDEX($T$19:$T$93,FQ$244):INDEX($T$19:$T$93,FQ$244+$FJ250-1)))</f>
        <v>0.99997911598432809</v>
      </c>
      <c r="FR250" s="479">
        <f ca="1">IF($FJ250+FR$244&gt;73,"",PRODUCT(INDEX($T$19:$T$93,FR$244):INDEX($T$19:$T$93,FR$244+$FJ250-1)))</f>
        <v>0.99997557423775352</v>
      </c>
      <c r="FS250" s="479">
        <f ca="1">IF($FJ250+FS$244&gt;73,"",PRODUCT(INDEX($T$19:$T$93,FS$244):INDEX($T$19:$T$93,FS$244+$FJ250-1)))</f>
        <v>0.99997143184075477</v>
      </c>
      <c r="FT250" s="479">
        <f ca="1">IF($FJ250+FT$244&gt;73,"",PRODUCT(INDEX($T$19:$T$93,FT$244):INDEX($T$19:$T$93,FT$244+$FJ250-1)))</f>
        <v>0.99996658692787976</v>
      </c>
      <c r="FU250" s="479">
        <f ca="1">IF($FJ250+FU$244&gt;73,"",PRODUCT(INDEX($T$19:$T$93,FU$244):INDEX($T$19:$T$93,FU$244+$FJ250-1)))</f>
        <v>0.99996092035812567</v>
      </c>
      <c r="FV250" s="479">
        <f ca="1">IF($FJ250+FV$244&gt;73,"",PRODUCT(INDEX($T$19:$T$93,FV$244):INDEX($T$19:$T$93,FV$244+$FJ250-1)))</f>
        <v>0.99995429278517511</v>
      </c>
      <c r="FW250" s="479">
        <f ca="1">IF($FJ250+FW$244&gt;73,"",PRODUCT(INDEX($T$19:$T$93,FW$244):INDEX($T$19:$T$93,FW$244+$FJ250-1)))</f>
        <v>0.99994654123079019</v>
      </c>
      <c r="FX250" s="479">
        <f ca="1">IF($FJ250+FX$244&gt;73,"",PRODUCT(INDEX($T$19:$T$93,FX$244):INDEX($T$19:$T$93,FX$244+$FJ250-1)))</f>
        <v>0.99993747507711994</v>
      </c>
      <c r="FY250" s="479">
        <f ca="1">IF($FJ250+FY$244&gt;73,"",PRODUCT(INDEX($T$19:$T$93,FY$244):INDEX($T$19:$T$93,FY$244+$FJ250-1)))</f>
        <v>0.99992687137939473</v>
      </c>
      <c r="FZ250" s="479">
        <f ca="1">IF($FJ250+FZ$244&gt;73,"",PRODUCT(INDEX($T$19:$T$93,FZ$244):INDEX($T$19:$T$93,FZ$244+$FJ250-1)))</f>
        <v>0.99991446938378026</v>
      </c>
      <c r="GA250" s="479">
        <f ca="1">IF($FJ250+GA$244&gt;73,"",PRODUCT(INDEX($T$19:$T$93,GA$244):INDEX($T$19:$T$93,GA$244+$FJ250-1)))</f>
        <v>0.99989996411563786</v>
      </c>
      <c r="GB250" s="479">
        <f ca="1">IF($FJ250+GB$244&gt;73,"",PRODUCT(INDEX($T$19:$T$93,GB$244):INDEX($T$19:$T$93,GB$244+$FJ250-1)))</f>
        <v>0.99988299888060694</v>
      </c>
      <c r="GC250" s="479">
        <f ca="1">IF($FJ250+GC$244&gt;73,"",PRODUCT(INDEX($T$19:$T$93,GC$244):INDEX($T$19:$T$93,GC$244+$FJ250-1)))</f>
        <v>0.9998631564942313</v>
      </c>
      <c r="GD250" s="479">
        <f ca="1">IF($FJ250+GD$244&gt;73,"",PRODUCT(INDEX($T$19:$T$93,GD$244):INDEX($T$19:$T$93,GD$244+$FJ250-1)))</f>
        <v>0.99983994902463735</v>
      </c>
      <c r="GE250" s="479">
        <f ca="1">IF($FJ250+GE$244&gt;73,"",PRODUCT(INDEX($T$19:$T$93,GE$244):INDEX($T$19:$T$93,GE$244+$FJ250-1)))</f>
        <v>0.9998128057962985</v>
      </c>
      <c r="GF250" s="479">
        <f ca="1">IF($FJ250+GF$244&gt;73,"",PRODUCT(INDEX($T$19:$T$93,GF$244):INDEX($T$19:$T$93,GF$244+$FJ250-1)))</f>
        <v>0.99978105936026607</v>
      </c>
      <c r="GG250" s="479">
        <f ca="1">IF($FJ250+GG$244&gt;73,"",PRODUCT(INDEX($T$19:$T$93,GG$244):INDEX($T$19:$T$93,GG$244+$FJ250-1)))</f>
        <v>0.99974392908642129</v>
      </c>
      <c r="GH250" s="479">
        <f ca="1">IF($FJ250+GH$244&gt;73,"",PRODUCT(INDEX($T$19:$T$93,GH$244):INDEX($T$19:$T$93,GH$244+$FJ250-1)))</f>
        <v>0.99970050197505644</v>
      </c>
      <c r="GI250" s="479">
        <f ca="1">IF($FJ250+GI$244&gt;73,"",PRODUCT(INDEX($T$19:$T$93,GI$244):INDEX($T$19:$T$93,GI$244+$FJ250-1)))</f>
        <v>0.99964971021706184</v>
      </c>
      <c r="GJ250" s="479">
        <f ca="1">IF($FJ250+GJ$244&gt;73,"",PRODUCT(INDEX($T$19:$T$93,GJ$244):INDEX($T$19:$T$93,GJ$244+$FJ250-1)))</f>
        <v>0.99959030495252488</v>
      </c>
      <c r="GK250" s="479">
        <f ca="1">IF($FJ250+GK$244&gt;73,"",PRODUCT(INDEX($T$19:$T$93,GK$244):INDEX($T$19:$T$93,GK$244+$FJ250-1)))</f>
        <v>0.9995208255847422</v>
      </c>
      <c r="GL250" s="479">
        <f ca="1">IF($FJ250+GL$244&gt;73,"",PRODUCT(INDEX($T$19:$T$93,GL$244):INDEX($T$19:$T$93,GL$244+$FJ250-1)))</f>
        <v>0.999439563898326</v>
      </c>
      <c r="GM250" s="479">
        <f ca="1">IF($FJ250+GM$244&gt;73,"",PRODUCT(INDEX($T$19:$T$93,GM$244):INDEX($T$19:$T$93,GM$244+$FJ250-1)))</f>
        <v>0.99934452210366898</v>
      </c>
      <c r="GN250" s="479">
        <f ca="1">IF($FJ250+GN$244&gt;73,"",PRODUCT(INDEX($T$19:$T$93,GN$244):INDEX($T$19:$T$93,GN$244+$FJ250-1)))</f>
        <v>0.99923336378260663</v>
      </c>
      <c r="GO250" s="479">
        <f ca="1">IF($FJ250+GO$244&gt;73,"",PRODUCT(INDEX($T$19:$T$93,GO$244):INDEX($T$19:$T$93,GO$244+$FJ250-1)))</f>
        <v>0.99910335653824411</v>
      </c>
      <c r="GP250" s="479">
        <f ca="1">IF($FJ250+GP$244&gt;73,"",PRODUCT(INDEX($T$19:$T$93,GP$244):INDEX($T$19:$T$93,GP$244+$FJ250-1)))</f>
        <v>0.99895130495171736</v>
      </c>
      <c r="GQ250" s="479">
        <f ca="1">IF($FJ250+GQ$244&gt;73,"",PRODUCT(INDEX($T$19:$T$93,GQ$244):INDEX($T$19:$T$93,GQ$244+$FJ250-1)))</f>
        <v>0.99877347221562451</v>
      </c>
      <c r="GR250" s="479">
        <f ca="1">IF($FJ250+GR$244&gt;73,"",PRODUCT(INDEX($T$19:$T$93,GR$244):INDEX($T$19:$T$93,GR$244+$FJ250-1)))</f>
        <v>0.99856548854288951</v>
      </c>
      <c r="GS250" s="479">
        <f ca="1">IF($FJ250+GS$244&gt;73,"",PRODUCT(INDEX($T$19:$T$93,GS$244):INDEX($T$19:$T$93,GS$244+$FJ250-1)))</f>
        <v>0.99832224413508985</v>
      </c>
      <c r="GT250" s="479">
        <f ca="1">IF($FJ250+GT$244&gt;73,"",PRODUCT(INDEX($T$19:$T$93,GT$244):INDEX($T$19:$T$93,GT$244+$FJ250-1)))</f>
        <v>0.9980377641292526</v>
      </c>
      <c r="GU250" s="479">
        <f ca="1">IF($FJ250+GU$244&gt;73,"",PRODUCT(INDEX($T$19:$T$93,GU$244):INDEX($T$19:$T$93,GU$244+$FJ250-1)))</f>
        <v>0.99770506251948587</v>
      </c>
      <c r="GV250" s="479">
        <f ca="1">IF($FJ250+GV$244&gt;73,"",PRODUCT(INDEX($T$19:$T$93,GV$244):INDEX($T$19:$T$93,GV$244+$FJ250-1)))</f>
        <v>0.99731597156148855</v>
      </c>
      <c r="GW250" s="479">
        <f ca="1">IF($FJ250+GW$244&gt;73,"",PRODUCT(INDEX($T$19:$T$93,GW$244):INDEX($T$19:$T$93,GW$244+$FJ250-1)))</f>
        <v>0.99686094260523483</v>
      </c>
      <c r="GX250" s="479">
        <f ca="1">IF($FJ250+GX$244&gt;73,"",PRODUCT(INDEX($T$19:$T$93,GX$244):INDEX($T$19:$T$93,GX$244+$FJ250-1)))</f>
        <v>0.99632881365461279</v>
      </c>
      <c r="GY250" s="479">
        <f ca="1">IF($FJ250+GY$244&gt;73,"",PRODUCT(INDEX($T$19:$T$93,GY$244):INDEX($T$19:$T$93,GY$244+$FJ250-1)))</f>
        <v>0.99570653821297472</v>
      </c>
      <c r="GZ250" s="479">
        <f ca="1">IF($FJ250+GZ$244&gt;73,"",PRODUCT(INDEX($T$19:$T$93,GZ$244):INDEX($T$19:$T$93,GZ$244+$FJ250-1)))</f>
        <v>0.99497886913105582</v>
      </c>
      <c r="HA250" s="479">
        <f ca="1">IF($FJ250+HA$244&gt;73,"",PRODUCT(INDEX($T$19:$T$93,HA$244):INDEX($T$19:$T$93,HA$244+$FJ250-1)))</f>
        <v>0.99412799022015186</v>
      </c>
      <c r="HB250" s="479">
        <f ca="1">IF($FJ250+HB$244&gt;73,"",PRODUCT(INDEX($T$19:$T$93,HB$244):INDEX($T$19:$T$93,HB$244+$FJ250-1)))</f>
        <v>0.99313308732265482</v>
      </c>
      <c r="HC250" s="479">
        <f ca="1">IF($FJ250+HC$244&gt;73,"",PRODUCT(INDEX($T$19:$T$93,HC$244):INDEX($T$19:$T$93,HC$244+$FJ250-1)))</f>
        <v>0.99196984934176757</v>
      </c>
      <c r="HD250" s="479">
        <f ca="1">IF($FJ250+HD$244&gt;73,"",PRODUCT(INDEX($T$19:$T$93,HD$244):INDEX($T$19:$T$93,HD$244+$FJ250-1)))</f>
        <v>0.99060988842700626</v>
      </c>
      <c r="HE250" s="479">
        <f ca="1">IF($FJ250+HE$244&gt;73,"",PRODUCT(INDEX($T$19:$T$93,HE$244):INDEX($T$19:$T$93,HE$244+$FJ250-1)))</f>
        <v>0.98902006710704393</v>
      </c>
      <c r="HF250" s="479">
        <f ca="1">IF($FJ250+HF$244&gt;73,"",PRODUCT(INDEX($T$19:$T$93,HF$244):INDEX($T$19:$T$93,HF$244+$FJ250-1)))</f>
        <v>0.98716171868825631</v>
      </c>
      <c r="HG250" s="479">
        <f ca="1">IF($FJ250+HG$244&gt;73,"",PRODUCT(INDEX($T$19:$T$93,HG$244):INDEX($T$19:$T$93,HG$244+$FJ250-1)))</f>
        <v>0.98498974575255893</v>
      </c>
      <c r="HH250" s="479">
        <f ca="1">IF($FJ250+HH$244&gt;73,"",PRODUCT(INDEX($T$19:$T$93,HH$244):INDEX($T$19:$T$93,HH$244+$FJ250-1)))</f>
        <v>0.98245158018546141</v>
      </c>
      <c r="HI250" s="479">
        <f ca="1">IF($FJ250+HI$244&gt;73,"",PRODUCT(INDEX($T$19:$T$93,HI$244):INDEX($T$19:$T$93,HI$244+$FJ250-1)))</f>
        <v>0.9794859869929512</v>
      </c>
      <c r="HJ250" s="479">
        <f ca="1">IF($FJ250+HJ$244&gt;73,"",PRODUCT(INDEX($T$19:$T$93,HJ$244):INDEX($T$19:$T$93,HJ$244+$FJ250-1)))</f>
        <v>0.97602169345165535</v>
      </c>
      <c r="HK250" s="479">
        <f ca="1">IF($FJ250+HK$244&gt;73,"",PRODUCT(INDEX($T$19:$T$93,HK$244):INDEX($T$19:$T$93,HK$244+$FJ250-1)))</f>
        <v>0.97197582522359061</v>
      </c>
      <c r="HL250" s="479">
        <f ca="1">IF($FJ250+HL$244&gt;73,"",PRODUCT(INDEX($T$19:$T$93,HL$244):INDEX($T$19:$T$93,HL$244+$FJ250-1)))</f>
        <v>0.96725213246316089</v>
      </c>
      <c r="HM250" s="479">
        <f ca="1">IF($FJ250+HM$244&gt;73,"",PRODUCT(INDEX($T$19:$T$93,HM$244):INDEX($T$19:$T$93,HM$244+$FJ250-1)))</f>
        <v>0.96173899239508132</v>
      </c>
      <c r="HN250" s="479">
        <f ca="1">IF($FJ250+HN$244&gt;73,"",PRODUCT(INDEX($T$19:$T$93,HN$244):INDEX($T$19:$T$93,HN$244+$FJ250-1)))</f>
        <v>0.955307181429496</v>
      </c>
      <c r="HO250" s="479">
        <f ca="1">IF($FJ250+HO$244&gt;73,"",PRODUCT(INDEX($T$19:$T$93,HO$244):INDEX($T$19:$T$93,HO$244+$FJ250-1)))</f>
        <v>0.94780742116251981</v>
      </c>
      <c r="HP250" s="479">
        <f ca="1">IF($FJ250+HP$244&gt;73,"",PRODUCT(INDEX($T$19:$T$93,HP$244):INDEX($T$19:$T$93,HP$244+$FJ250-1)))</f>
        <v>0.93906772081250756</v>
      </c>
      <c r="HQ250" s="479">
        <f ca="1">IF($FJ250+HQ$244&gt;73,"",PRODUCT(INDEX($T$19:$T$93,HQ$244):INDEX($T$19:$T$93,HQ$244+$FJ250-1)))</f>
        <v>0.92889056691934413</v>
      </c>
      <c r="HR250" s="479">
        <f ca="1">IF($FJ250+HR$244&gt;73,"",PRODUCT(INDEX($T$19:$T$93,HR$244):INDEX($T$19:$T$93,HR$244+$FJ250-1)))</f>
        <v>0.91705005391797978</v>
      </c>
      <c r="HS250" s="479">
        <f ca="1">IF($FJ250+HS$244&gt;73,"",PRODUCT(INDEX($T$19:$T$93,HS$244):INDEX($T$19:$T$93,HS$244+$FJ250-1)))</f>
        <v>0.90328911264812461</v>
      </c>
      <c r="HT250" s="479">
        <f ca="1">IF($FJ250+HT$244&gt;73,"",PRODUCT(INDEX($T$19:$T$93,HT$244):INDEX($T$19:$T$93,HT$244+$FJ250-1)))</f>
        <v>0.88731708642337814</v>
      </c>
      <c r="HU250" s="479">
        <f ca="1">IF($FJ250+HU$244&gt;73,"",PRODUCT(INDEX($T$19:$T$93,HU$244):INDEX($T$19:$T$93,HU$244+$FJ250-1)))</f>
        <v>0.86880803731618805</v>
      </c>
      <c r="HV250" s="479">
        <f ca="1">IF($FJ250+HV$244&gt;73,"",PRODUCT(INDEX($T$19:$T$93,HV$244):INDEX($T$19:$T$93,HV$244+$FJ250-1)))</f>
        <v>0.84740035370552413</v>
      </c>
      <c r="HW250" s="479">
        <f ca="1">IF($FJ250+HW$244&gt;73,"",PRODUCT(INDEX($T$19:$T$93,HW$244):INDEX($T$19:$T$93,HW$244+$FJ250-1)))</f>
        <v>0.8226984926195221</v>
      </c>
      <c r="HX250" s="479">
        <f ca="1">IF($FJ250+HX$244&gt;73,"",PRODUCT(INDEX($T$19:$T$93,HX$244):INDEX($T$19:$T$93,HX$244+$FJ250-1)))</f>
        <v>0.79427804907083344</v>
      </c>
      <c r="HY250" s="479">
        <f ca="1">IF($FJ250+HY$244&gt;73,"",PRODUCT(INDEX($T$19:$T$93,HY$244):INDEX($T$19:$T$93,HY$244+$FJ250-1)))</f>
        <v>0.76169582241692335</v>
      </c>
      <c r="HZ250" s="479">
        <f ca="1">IF($FJ250+HZ$244&gt;73,"",PRODUCT(INDEX($T$19:$T$93,HZ$244):INDEX($T$19:$T$93,HZ$244+$FJ250-1)))</f>
        <v>0.72450716418070926</v>
      </c>
      <c r="IA250" s="479">
        <f ca="1">IF($FJ250+IA$244&gt;73,"",PRODUCT(INDEX($T$19:$T$93,IA$244):INDEX($T$19:$T$93,IA$244+$FJ250-1)))</f>
        <v>0.6822936401723344</v>
      </c>
      <c r="IB250" s="479">
        <f ca="1">IF($FJ250+IB$244&gt;73,"",PRODUCT(INDEX($T$19:$T$93,IB$244):INDEX($T$19:$T$93,IB$244+$FJ250-1)))</f>
        <v>0.63470487072042125</v>
      </c>
      <c r="IC250" s="479">
        <f ca="1">IF($FJ250+IC$244&gt;73,"",PRODUCT(INDEX($T$19:$T$93,IC$244):INDEX($T$19:$T$93,IC$244+$FJ250-1)))</f>
        <v>0.58151917171664536</v>
      </c>
      <c r="ID250" s="678">
        <f ca="1">IF($FJ250+ID$244&gt;73,"",PRODUCT(INDEX($T$19:$T$93,ID$244):INDEX($T$19:$T$93,ID$244+$FJ250-1)))</f>
        <v>0.52272795205235789</v>
      </c>
      <c r="IE250" s="250"/>
    </row>
    <row r="251" spans="8:239">
      <c r="H251" s="51">
        <f t="shared" ca="1" si="646"/>
        <v>0</v>
      </c>
      <c r="I251" s="379">
        <f t="shared" si="647"/>
        <v>43800</v>
      </c>
      <c r="J251" s="377"/>
      <c r="K251" s="104" t="s">
        <v>268</v>
      </c>
      <c r="L251" s="392">
        <f t="shared" si="648"/>
        <v>5.8124999999999893</v>
      </c>
      <c r="M251" s="171"/>
      <c r="N251" s="382">
        <v>0</v>
      </c>
      <c r="O251" s="171">
        <f t="shared" si="596"/>
        <v>0</v>
      </c>
      <c r="P251" s="377"/>
      <c r="Q251" s="104" t="s">
        <v>268</v>
      </c>
      <c r="R251" s="377">
        <f t="shared" ca="1" si="597"/>
        <v>4.6206130604310331</v>
      </c>
      <c r="S251" s="832">
        <f t="shared" si="671"/>
        <v>0.3600000000000001</v>
      </c>
      <c r="T251" s="831">
        <f t="shared" si="661"/>
        <v>0.99999999999999933</v>
      </c>
      <c r="U251" s="545">
        <f t="shared" si="662"/>
        <v>0.99999999999999978</v>
      </c>
      <c r="V251" s="389">
        <v>0</v>
      </c>
      <c r="W251" s="434">
        <f t="shared" si="598"/>
        <v>0</v>
      </c>
      <c r="X251" s="415">
        <f t="shared" si="599"/>
        <v>5.8607142857142742</v>
      </c>
      <c r="Y251" s="322">
        <f t="shared" si="600"/>
        <v>-1.1931</v>
      </c>
      <c r="Z251" s="322">
        <f t="shared" ca="1" si="601"/>
        <v>4.6676142857142739</v>
      </c>
      <c r="AA251" s="429">
        <f t="shared" si="628"/>
        <v>1.1931</v>
      </c>
      <c r="AB251" s="433">
        <f t="shared" ca="1" si="629"/>
        <v>1.1931</v>
      </c>
      <c r="AC251" s="229">
        <v>43789</v>
      </c>
      <c r="AD251" s="229">
        <v>43785</v>
      </c>
      <c r="AE251" s="229">
        <v>43784</v>
      </c>
      <c r="AF251" s="229">
        <v>43780</v>
      </c>
      <c r="AG251" s="249" t="s">
        <v>499</v>
      </c>
      <c r="AH251" s="247" t="s">
        <v>499</v>
      </c>
      <c r="AI251" s="146">
        <v>21</v>
      </c>
      <c r="AJ251" s="41">
        <v>15</v>
      </c>
      <c r="AK251" s="41">
        <v>6</v>
      </c>
      <c r="AL251" s="293">
        <v>21</v>
      </c>
      <c r="AM251" s="41">
        <v>10</v>
      </c>
      <c r="AN251" s="147">
        <v>11</v>
      </c>
      <c r="AO251" s="374"/>
      <c r="AP251" s="153">
        <f t="shared" ca="1" si="649"/>
        <v>1</v>
      </c>
      <c r="AQ251" s="374"/>
      <c r="AR251" s="153">
        <f t="shared" ca="1" si="663"/>
        <v>1</v>
      </c>
      <c r="AS251" s="272">
        <f t="shared" si="602"/>
        <v>0</v>
      </c>
      <c r="AT251" s="157">
        <f t="shared" si="650"/>
        <v>0</v>
      </c>
      <c r="AU251" s="157">
        <f t="shared" si="630"/>
        <v>0</v>
      </c>
      <c r="AV251" s="271">
        <f t="shared" ca="1" si="670"/>
        <v>9.9999999999999995E-7</v>
      </c>
      <c r="AW251" s="158" t="str">
        <f t="shared" ca="1" si="672"/>
        <v/>
      </c>
      <c r="AX251" s="157">
        <f t="shared" ca="1" si="664"/>
        <v>1.0438001025382161E-5</v>
      </c>
      <c r="AY251" s="157">
        <f t="shared" ca="1" si="665"/>
        <v>1.731176535720001E-6</v>
      </c>
      <c r="AZ251" s="157">
        <f t="shared" ca="1" si="666"/>
        <v>2.3441825448806485E-8</v>
      </c>
      <c r="BA251" s="157">
        <f t="shared" ca="1" si="667"/>
        <v>2.9302281811008106E-9</v>
      </c>
      <c r="BB251" s="157">
        <f t="shared" ca="1" si="668"/>
        <v>2.5488103965774955E-12</v>
      </c>
      <c r="BC251" s="157">
        <f t="shared" ca="1" si="669"/>
        <v>1.7172474386632396E-14</v>
      </c>
      <c r="BD251" s="151">
        <f t="shared" ca="1" si="603"/>
        <v>0</v>
      </c>
      <c r="BE251" s="152">
        <f t="shared" ca="1" si="604"/>
        <v>0</v>
      </c>
      <c r="BF251" s="40">
        <f t="shared" si="605"/>
        <v>2019</v>
      </c>
      <c r="BG251" s="144">
        <f t="shared" si="606"/>
        <v>12</v>
      </c>
      <c r="BH251" s="145">
        <f t="shared" ca="1" si="607"/>
        <v>7040</v>
      </c>
      <c r="BI251" s="313">
        <f t="shared" ca="1" si="608"/>
        <v>19.315537303216974</v>
      </c>
      <c r="BJ251" s="42">
        <f t="shared" ca="1" si="631"/>
        <v>19.374205534369807</v>
      </c>
      <c r="BK251" s="42">
        <f t="shared" ca="1" si="632"/>
        <v>19.376943385156938</v>
      </c>
      <c r="BL251" s="42">
        <f t="shared" ca="1" si="609"/>
        <v>19.397672826830938</v>
      </c>
      <c r="BM251" s="150" t="e">
        <f t="shared" ca="1" si="633"/>
        <v>#DIV/0!</v>
      </c>
      <c r="BN251" s="42" t="e">
        <f t="shared" ca="1" si="634"/>
        <v>#DIV/0!</v>
      </c>
      <c r="BO251" s="293">
        <f t="shared" si="610"/>
        <v>21</v>
      </c>
      <c r="BP251" s="41">
        <f t="shared" si="611"/>
        <v>15</v>
      </c>
      <c r="BQ251" s="41">
        <f t="shared" si="612"/>
        <v>6</v>
      </c>
      <c r="BR251" s="305" t="str">
        <f t="shared" ca="1" si="635"/>
        <v/>
      </c>
      <c r="BS251" s="305" t="str">
        <f t="shared" ca="1" si="613"/>
        <v/>
      </c>
      <c r="BT251" s="307" t="str">
        <f t="shared" ca="1" si="614"/>
        <v/>
      </c>
      <c r="BU251" s="161" t="str">
        <f t="shared" ca="1" si="636"/>
        <v/>
      </c>
      <c r="BV251" s="161" t="str">
        <f t="shared" ca="1" si="637"/>
        <v/>
      </c>
      <c r="BW251" s="308" t="str">
        <f t="shared" ca="1" si="638"/>
        <v/>
      </c>
      <c r="BX251" s="309" t="str">
        <f t="shared" ca="1" si="639"/>
        <v/>
      </c>
      <c r="BY251" s="308" t="str">
        <f t="shared" ca="1" si="615"/>
        <v/>
      </c>
      <c r="BZ251" s="309" t="str">
        <f t="shared" ca="1" si="616"/>
        <v/>
      </c>
      <c r="CA251" s="154" t="str">
        <f t="shared" ca="1" si="640"/>
        <v/>
      </c>
      <c r="CB251" s="154" t="str">
        <f t="shared" ca="1" si="641"/>
        <v/>
      </c>
      <c r="CC251" s="154" t="str">
        <f t="shared" ca="1" si="642"/>
        <v/>
      </c>
      <c r="CD251" s="154" t="str">
        <f t="shared" ca="1" si="643"/>
        <v/>
      </c>
      <c r="CE251" s="310">
        <v>1</v>
      </c>
      <c r="CF251" s="162">
        <f ca="1">IF(BD251,_xll.xCrudeAPO(BU251,BV251,CA251,CB251,S252,S253,BI251,BL251,BP251,BQ251,0,Strike1,AO251,CE251,0,BL251,IF(OptControl=4,0,1),0,1),0)</f>
        <v>0</v>
      </c>
      <c r="CG251" s="163">
        <f ca="1">IF(BD251,_xll.xCrudeAPO(BU251,BV251,CA251,CB251,S252,S253,BI251,BL251,BP251,BQ251,0,Strike1,AO251,CE251,0,BL251,IF(OptControl=4,0,1),1,1)+_xll.xCrudeAPO(BU251,BV251,CA251,CB251,S252,S253,BI251,BL251,BP251,BQ251,0,Strike1,AO251,CE251,0,BL251,IF(OptControl=4,0,1),1,2)+IF(OR(VolSkewFlag=2,ABS(BS251)&lt;0.0001),0,IF(BS251&gt;0,-1,1)*CH251*Strike1/BR251^2*BY251/10%),0)</f>
        <v>0</v>
      </c>
      <c r="CH251" s="163">
        <f ca="1">IF(BD251,(_xll.xCrudeAPO(BU251,BV251,CA251,CB251,S252,S253,BI251,BL251,BP251,BQ251,0,Strike1,AO251,CE251,0,BL251,IF(OptControl=4,0,1),3,1)+_xll.xCrudeAPO(BU251,BV251,CA251,CB251,S252,S253,BI251,BL251,BP251,BQ251,0,Strike1,AO251,CE251,0,BL251,IF(OptControl=4,0,1),3,2))/100,0)</f>
        <v>0</v>
      </c>
      <c r="CI251" s="163">
        <f ca="1">IF(BD251,_xll.xCrudeAPO(BU251,BV251,CA251,CB251,S252,S253,BI251-DaysForThetaCalculation/365.25,BL251-DaysForThetaCalculation/365.25,BP251,BQ251,0,Strike1,AO251,CE251,0,BL251,IF(OptControl=4,0,1),0,1)-_xll.xCrudeAPO(BU251,BV251,CA251,CB251,S252,S253,BI251,BL251,BP251,BQ251,0,Strike1,AO251,CE251,0,BL251,IF(OptControl=4,0,1),0,1),0)</f>
        <v>0</v>
      </c>
      <c r="CJ251" s="311">
        <f ca="1">IF(BD251,_xll.xCrudeAPO(BU251,BV251,CC251,CD251,S252,S253,BI251,BL251,BP251,BQ251,0,Strike2,AO251,CE251,0,BL251,IF(OptControl=3,1,0),0,1),0)</f>
        <v>0</v>
      </c>
      <c r="CK251" s="163">
        <f ca="1">IF(BD251,_xll.xCrudeAPO(BU251,BV251,CC251,CD251,S252,S253,BI251,BL251,BP251,BQ251,0,Strike2,AO251,CE251,0,BL251,IF(OptControl=3,1,0),1,1)+_xll.xCrudeAPO(BU251,BV251,CC251,CD251,S252,S253,BI251,BL251,BP251,BQ251,0,Strike2,AO251,CE251,0,BL251,IF(OptControl=3,1,0),1,2)+IF(OR(VolSkewFlag=2,ABS(BT251)&lt;0.0001),0,IF(BT251&gt;0,-1,1)*CL251*Strike2/BR251^2*BZ251/10%),0)</f>
        <v>0</v>
      </c>
      <c r="CL251" s="163">
        <f ca="1">IF(BD251,(_xll.xCrudeAPO(BU251,BV251,CC251,CD251,S252,S253,BI251,BL251,BP251,BQ251,0,Strike2,AO251,CE251,0,BL251,IF(OptControl=3,1,0),3,1)+_xll.xCrudeAPO(BU251,BV251,CC251,CD251,S252,S253,BI251,BL251,BP251,BQ251,0,Strike2,AO251,CE251,0,BL251,IF(OptControl=3,1,0),3,2))/100,0)</f>
        <v>0</v>
      </c>
      <c r="CM251" s="164">
        <f ca="1">IF(BD251,_xll.xCrudeAPO(BU251,BV251,CC251,CD251,S252,S253,BI251-DaysForThetaCalculation/365.25,BL251-DaysForThetaCalculation/365.25,BP251,BQ251,0,Strike2,AO251,CE251,0,BL251,IF(OptControl=3,1,0),0,1)-_xll.xCrudeAPO(BU251,BV251,CC251,CD251,S252,S253,BI251,BL251,BP251,BQ251,0,Strike2,AO251,CE251,0,BL251,IF(OptControl=3,1,0),0,1),0)</f>
        <v>0</v>
      </c>
      <c r="CN251" s="53"/>
      <c r="CO251" s="796" t="str">
        <f t="shared" ca="1" si="651"/>
        <v/>
      </c>
      <c r="CP251" s="800" t="str">
        <f t="shared" ca="1" si="652"/>
        <v/>
      </c>
      <c r="CQ251" s="797" t="str">
        <f t="shared" ca="1" si="653"/>
        <v/>
      </c>
      <c r="CR251" s="797" t="str">
        <f t="shared" ca="1" si="654"/>
        <v/>
      </c>
      <c r="CS251" s="797" t="str">
        <f t="shared" ca="1" si="655"/>
        <v/>
      </c>
      <c r="CT251" s="797" t="str">
        <f t="shared" ca="1" si="656"/>
        <v/>
      </c>
      <c r="CU251" s="798" t="str">
        <f t="shared" ca="1" si="657"/>
        <v/>
      </c>
      <c r="CV251" s="799" t="str">
        <f t="shared" ca="1" si="658"/>
        <v/>
      </c>
      <c r="CW251" s="799" t="str">
        <f t="shared" ca="1" si="659"/>
        <v/>
      </c>
      <c r="CX251" s="163">
        <f ca="1">IF(BD251,_xll.EURO(CP251,Strike1,AO251,AO251,CV251,CO251,IF(OptControl=4,0,1),0),0)</f>
        <v>0</v>
      </c>
      <c r="CY251" s="163">
        <f ca="1">IF(BD251,_xll.EURO(CP251,Strike1,AO251,AO251,CV251,CO251,IF(OptControl=4,0,1),1)+IF(OR(VolSkewFlag=2,ABS(CQ251)&lt;0.0001),0,IF(CQ251&gt;0,-1,1)*CZ251*100*Strike1/CP251^2*CS251/10%),0)</f>
        <v>0</v>
      </c>
      <c r="CZ251" s="163">
        <f ca="1">IF(BD251,_xll.EURO(CP251,Strike1,AO251,AO251,CV251,CO251,IF(OptControl=4,0,1),3)/100,0)</f>
        <v>0</v>
      </c>
      <c r="DA251" s="163">
        <f ca="1">IF(BD251,_xll.EURO(CP251,Strike1,AO251,AO251,CV251,CO251,IF(OptControl=4,0,1),0)-_xll.EURO(CP251,Strike1,AO251,AO251,CV251,CO251-1,IF(OptControl=4,0,1),0),0)</f>
        <v>0</v>
      </c>
      <c r="DB251" s="163">
        <f ca="1">IF(BD251,_xll.EURO(CP251,Strike2,AO251,AO251,CW251,CO251,IF(OptControl=3,1,0),0),0)</f>
        <v>0</v>
      </c>
      <c r="DC251" s="163">
        <f ca="1">IF(BD251,_xll.EURO(CP251,Strike2,AO251,AO251,CW251,CO251,IF(OptControl=3,1,0),1)+IF(OR(VolSkewFlag=2,ABS(CR251)&lt;0.0001),0,IF(CR251&gt;0,-1,1)*DD251*100*Strike2/CP251^2*CT251/10%),0)</f>
        <v>0</v>
      </c>
      <c r="DD251" s="163">
        <f ca="1">IF(BD251,_xll.EURO(CP251,Strike2,AO251,AO251,CW251,CO251,IF(OptControl=3,1,0),3)/100,0)</f>
        <v>0</v>
      </c>
      <c r="DE251" s="164">
        <f ca="1">IF(BD251,_xll.EURO(CP251,Strike2,AO251,AO251,CW251,CO251,IF(OptControl=3,1,0),0)-_xll.EURO(CP251,Strike2,AO251,AO251,CW251,CO251-1,IF(OptControl=3,1,0),0),0)</f>
        <v>0</v>
      </c>
      <c r="DG251" s="667">
        <f t="shared" ca="1" si="660"/>
        <v>43586</v>
      </c>
      <c r="DH251" s="475">
        <v>25.710000000000111</v>
      </c>
      <c r="DI251" s="665">
        <v>25.779565217391415</v>
      </c>
      <c r="DJ251" s="666">
        <f t="shared" ca="1" si="617"/>
        <v>43586</v>
      </c>
      <c r="DK251" s="475">
        <v>24.550018087046723</v>
      </c>
      <c r="DL251" s="665">
        <v>24.488065217391416</v>
      </c>
      <c r="DM251" s="667">
        <f t="shared" ca="1" si="618"/>
        <v>43586</v>
      </c>
      <c r="DN251" s="668">
        <f t="shared" si="619"/>
        <v>24.600018087046724</v>
      </c>
      <c r="DO251" s="667">
        <f t="shared" ca="1" si="620"/>
        <v>43586</v>
      </c>
      <c r="DP251" s="579">
        <f t="shared" si="621"/>
        <v>24.488065217391416</v>
      </c>
      <c r="DQ251" s="821">
        <v>0</v>
      </c>
      <c r="DR251" s="666">
        <f t="shared" ca="1" si="622"/>
        <v>43586</v>
      </c>
      <c r="DS251" s="669">
        <v>8.5999999999997204E-2</v>
      </c>
      <c r="DT251" s="606">
        <v>8.5165217391301548E-2</v>
      </c>
      <c r="DU251" s="666">
        <f t="shared" ca="1" si="623"/>
        <v>43586</v>
      </c>
      <c r="DV251" s="669">
        <v>8.5999999999997204E-2</v>
      </c>
      <c r="DW251" s="606">
        <v>8.5165217391301548E-2</v>
      </c>
      <c r="DX251" s="667">
        <f t="shared" ca="1" si="624"/>
        <v>43586</v>
      </c>
      <c r="DY251" s="606">
        <v>0.35</v>
      </c>
      <c r="DZ251" s="667">
        <f t="shared" ca="1" si="625"/>
        <v>43586</v>
      </c>
      <c r="EA251" s="606">
        <f t="shared" si="626"/>
        <v>8.5165217391301548E-2</v>
      </c>
      <c r="EB251" s="1"/>
      <c r="EC251" s="118" t="str">
        <f t="shared" ca="1" si="627"/>
        <v/>
      </c>
      <c r="ED251" s="119" t="str">
        <f t="shared" ca="1" si="644"/>
        <v/>
      </c>
      <c r="EE251" s="112" t="str">
        <f t="shared" ca="1" si="645"/>
        <v/>
      </c>
      <c r="EF251" s="120">
        <f ca="1">IF(BD251,_xll.xASN(BR251,Strike1,AO251,ED251,0,BO251,0,BI251,BL251,IF(OptControl=4,0,1),0),0)</f>
        <v>0</v>
      </c>
      <c r="EG251" s="111">
        <f ca="1">IF(BD251,_xll.xASN(BR251,Strike2,AO251,EE251,0,BO251,0,BI251,BL251,IF(OptControl=3,1,0),0),0)</f>
        <v>0</v>
      </c>
      <c r="EL251" s="55"/>
      <c r="EM251" s="1"/>
      <c r="EN251" s="106"/>
      <c r="EO251" s="106"/>
      <c r="EP251" s="1"/>
      <c r="EQ251" s="683" t="s">
        <v>465</v>
      </c>
      <c r="ES251" s="55"/>
      <c r="EU251" s="107"/>
      <c r="FJ251" s="673">
        <v>7</v>
      </c>
      <c r="FK251" s="479" t="str">
        <f ca="1">IF($FJ251+FK$244&gt;73,"",PRODUCT(INDEX($T$19:$T$93,FK$244):INDEX($T$19:$T$93,FK$244+$FJ251-1)))</f>
        <v/>
      </c>
      <c r="FL251" s="479" t="str">
        <f ca="1">IF($FJ251+FL$244&gt;73,"",PRODUCT(INDEX($T$19:$T$93,FL$244):INDEX($T$19:$T$93,FL$244+$FJ251-1)))</f>
        <v/>
      </c>
      <c r="FM251" s="479" t="str">
        <f ca="1">IF($FJ251+FM$244&gt;73,"",PRODUCT(INDEX($T$19:$T$93,FM$244):INDEX($T$19:$T$93,FM$244+$FJ251-1)))</f>
        <v/>
      </c>
      <c r="FN251" s="479" t="str">
        <f ca="1">IF($FJ251+FN$244&gt;73,"",PRODUCT(INDEX($T$19:$T$93,FN$244):INDEX($T$19:$T$93,FN$244+$FJ251-1)))</f>
        <v/>
      </c>
      <c r="FO251" s="479" t="str">
        <f ca="1">IF($FJ251+FO$244&gt;73,"",PRODUCT(INDEX($T$19:$T$93,FO$244):INDEX($T$19:$T$93,FO$244+$FJ251-1)))</f>
        <v/>
      </c>
      <c r="FP251" s="479" t="str">
        <f ca="1">IF($FJ251+FP$244&gt;73,"",PRODUCT(INDEX($T$19:$T$93,FP$244):INDEX($T$19:$T$93,FP$244+$FJ251-1)))</f>
        <v/>
      </c>
      <c r="FQ251" s="479">
        <f ca="1">IF($FJ251+FQ$244&gt;73,"",PRODUCT(INDEX($T$19:$T$93,FQ$244):INDEX($T$19:$T$93,FQ$244+$FJ251-1)))</f>
        <v>0.99997717460825608</v>
      </c>
      <c r="FR251" s="479">
        <f ca="1">IF($FJ251+FR$244&gt;73,"",PRODUCT(INDEX($T$19:$T$93,FR$244):INDEX($T$19:$T$93,FR$244+$FJ251-1)))</f>
        <v>0.99997330362792758</v>
      </c>
      <c r="FS251" s="479">
        <f ca="1">IF($FJ251+FS$244&gt;73,"",PRODUCT(INDEX($T$19:$T$93,FS$244):INDEX($T$19:$T$93,FS$244+$FJ251-1)))</f>
        <v>0.99996877616429714</v>
      </c>
      <c r="FT251" s="479">
        <f ca="1">IF($FJ251+FT$244&gt;73,"",PRODUCT(INDEX($T$19:$T$93,FT$244):INDEX($T$19:$T$93,FT$244+$FJ251-1)))</f>
        <v>0.99996348088397213</v>
      </c>
      <c r="FU251" s="479">
        <f ca="1">IF($FJ251+FU$244&gt;73,"",PRODUCT(INDEX($T$19:$T$93,FU$244):INDEX($T$19:$T$93,FU$244+$FJ251-1)))</f>
        <v>0.99995728757263547</v>
      </c>
      <c r="FV251" s="479">
        <f ca="1">IF($FJ251+FV$244&gt;73,"",PRODUCT(INDEX($T$19:$T$93,FV$244):INDEX($T$19:$T$93,FV$244+$FJ251-1)))</f>
        <v>0.99995004393313847</v>
      </c>
      <c r="FW251" s="479">
        <f ca="1">IF($FJ251+FW$244&gt;73,"",PRODUCT(INDEX($T$19:$T$93,FW$244):INDEX($T$19:$T$93,FW$244+$FJ251-1)))</f>
        <v>0.99994157184064203</v>
      </c>
      <c r="FX251" s="479">
        <f ca="1">IF($FJ251+FX$244&gt;73,"",PRODUCT(INDEX($T$19:$T$93,FX$244):INDEX($T$19:$T$93,FX$244+$FJ251-1)))</f>
        <v>0.99993166296275626</v>
      </c>
      <c r="FY251" s="479">
        <f ca="1">IF($FJ251+FY$244&gt;73,"",PRODUCT(INDEX($T$19:$T$93,FY$244):INDEX($T$19:$T$93,FY$244+$FJ251-1)))</f>
        <v>0.99992007363703195</v>
      </c>
      <c r="FZ251" s="479">
        <f ca="1">IF($FJ251+FZ$244&gt;73,"",PRODUCT(INDEX($T$19:$T$93,FZ$244):INDEX($T$19:$T$93,FZ$244+$FJ251-1)))</f>
        <v>0.99990651887991644</v>
      </c>
      <c r="GA251" s="479">
        <f ca="1">IF($FJ251+GA$244&gt;73,"",PRODUCT(INDEX($T$19:$T$93,GA$244):INDEX($T$19:$T$93,GA$244+$FJ251-1)))</f>
        <v>0.99989066537996352</v>
      </c>
      <c r="GB251" s="479">
        <f ca="1">IF($FJ251+GB$244&gt;73,"",PRODUCT(INDEX($T$19:$T$93,GB$244):INDEX($T$19:$T$93,GB$244+$FJ251-1)))</f>
        <v>0.99987212330316</v>
      </c>
      <c r="GC251" s="479">
        <f ca="1">IF($FJ251+GC$244&gt;73,"",PRODUCT(INDEX($T$19:$T$93,GC$244):INDEX($T$19:$T$93,GC$244+$FJ251-1)))</f>
        <v>0.99985043670909091</v>
      </c>
      <c r="GD251" s="479">
        <f ca="1">IF($FJ251+GD$244&gt;73,"",PRODUCT(INDEX($T$19:$T$93,GD$244):INDEX($T$19:$T$93,GD$244+$FJ251-1)))</f>
        <v>0.99982507234259554</v>
      </c>
      <c r="GE251" s="479">
        <f ca="1">IF($FJ251+GE$244&gt;73,"",PRODUCT(INDEX($T$19:$T$93,GE$244):INDEX($T$19:$T$93,GE$244+$FJ251-1)))</f>
        <v>0.99979540652577115</v>
      </c>
      <c r="GF251" s="479">
        <f ca="1">IF($FJ251+GF$244&gt;73,"",PRODUCT(INDEX($T$19:$T$93,GF$244):INDEX($T$19:$T$93,GF$244+$FJ251-1)))</f>
        <v>0.99976070982864385</v>
      </c>
      <c r="GG251" s="479">
        <f ca="1">IF($FJ251+GG$244&gt;73,"",PRODUCT(INDEX($T$19:$T$93,GG$244):INDEX($T$19:$T$93,GG$244+$FJ251-1)))</f>
        <v>0.99972012914249364</v>
      </c>
      <c r="GH251" s="479">
        <f ca="1">IF($FJ251+GH$244&gt;73,"",PRODUCT(INDEX($T$19:$T$93,GH$244):INDEX($T$19:$T$93,GH$244+$FJ251-1)))</f>
        <v>0.99967266671632227</v>
      </c>
      <c r="GI251" s="479">
        <f ca="1">IF($FJ251+GI$244&gt;73,"",PRODUCT(INDEX($T$19:$T$93,GI$244):INDEX($T$19:$T$93,GI$244+$FJ251-1)))</f>
        <v>0.99961715564282005</v>
      </c>
      <c r="GJ251" s="479">
        <f ca="1">IF($FJ251+GJ$244&gt;73,"",PRODUCT(INDEX($T$19:$T$93,GJ$244):INDEX($T$19:$T$93,GJ$244+$FJ251-1)))</f>
        <v>0.9995522311936309</v>
      </c>
      <c r="GK251" s="479">
        <f ca="1">IF($FJ251+GK$244&gt;73,"",PRODUCT(INDEX($T$19:$T$93,GK$244):INDEX($T$19:$T$93,GK$244+$FJ251-1)))</f>
        <v>0.99947629730270693</v>
      </c>
      <c r="GL251" s="479">
        <f ca="1">IF($FJ251+GL$244&gt;73,"",PRODUCT(INDEX($T$19:$T$93,GL$244):INDEX($T$19:$T$93,GL$244+$FJ251-1)))</f>
        <v>0.99938748737870975</v>
      </c>
      <c r="GM251" s="479">
        <f ca="1">IF($FJ251+GM$244&gt;73,"",PRODUCT(INDEX($T$19:$T$93,GM$244):INDEX($T$19:$T$93,GM$244+$FJ251-1)))</f>
        <v>0.99928361849003133</v>
      </c>
      <c r="GN251" s="479">
        <f ca="1">IF($FJ251+GN$244&gt;73,"",PRODUCT(INDEX($T$19:$T$93,GN$244):INDEX($T$19:$T$93,GN$244+$FJ251-1)))</f>
        <v>0.99916213780592045</v>
      </c>
      <c r="GO251" s="479">
        <f ca="1">IF($FJ251+GO$244&gt;73,"",PRODUCT(INDEX($T$19:$T$93,GO$244):INDEX($T$19:$T$93,GO$244+$FJ251-1)))</f>
        <v>0.99902005999080024</v>
      </c>
      <c r="GP251" s="479">
        <f ca="1">IF($FJ251+GP$244&gt;73,"",PRODUCT(INDEX($T$19:$T$93,GP$244):INDEX($T$19:$T$93,GP$244+$FJ251-1)))</f>
        <v>0.99885389403200575</v>
      </c>
      <c r="GQ251" s="479">
        <f ca="1">IF($FJ251+GQ$244&gt;73,"",PRODUCT(INDEX($T$19:$T$93,GQ$244):INDEX($T$19:$T$93,GQ$244+$FJ251-1)))</f>
        <v>0.99865955772915571</v>
      </c>
      <c r="GR251" s="479">
        <f ca="1">IF($FJ251+GR$244&gt;73,"",PRODUCT(INDEX($T$19:$T$93,GR$244):INDEX($T$19:$T$93,GR$244+$FJ251-1)))</f>
        <v>0.9984322777808522</v>
      </c>
      <c r="GS251" s="479">
        <f ca="1">IF($FJ251+GS$244&gt;73,"",PRODUCT(INDEX($T$19:$T$93,GS$244):INDEX($T$19:$T$93,GS$244+$FJ251-1)))</f>
        <v>0.99816647306538753</v>
      </c>
      <c r="GT251" s="479">
        <f ca="1">IF($FJ251+GT$244&gt;73,"",PRODUCT(INDEX($T$19:$T$93,GT$244):INDEX($T$19:$T$93,GT$244+$FJ251-1)))</f>
        <v>0.99785561831996361</v>
      </c>
      <c r="GU251" s="479">
        <f ca="1">IF($FJ251+GU$244&gt;73,"",PRODUCT(INDEX($T$19:$T$93,GU$244):INDEX($T$19:$T$93,GU$244+$FJ251-1)))</f>
        <v>0.99749208497024333</v>
      </c>
      <c r="GV251" s="479">
        <f ca="1">IF($FJ251+GV$244&gt;73,"",PRODUCT(INDEX($T$19:$T$93,GV$244):INDEX($T$19:$T$93,GV$244+$FJ251-1)))</f>
        <v>0.99706695534094514</v>
      </c>
      <c r="GW251" s="479">
        <f ca="1">IF($FJ251+GW$244&gt;73,"",PRODUCT(INDEX($T$19:$T$93,GW$244):INDEX($T$19:$T$93,GW$244+$FJ251-1)))</f>
        <v>0.99656980588030775</v>
      </c>
      <c r="GX251" s="479">
        <f ca="1">IF($FJ251+GX$244&gt;73,"",PRODUCT(INDEX($T$19:$T$93,GX$244):INDEX($T$19:$T$93,GX$244+$FJ251-1)))</f>
        <v>0.99598845434804428</v>
      </c>
      <c r="GY251" s="479">
        <f ca="1">IF($FJ251+GY$244&gt;73,"",PRODUCT(INDEX($T$19:$T$93,GY$244):INDEX($T$19:$T$93,GY$244+$FJ251-1)))</f>
        <v>0.99530866513969574</v>
      </c>
      <c r="GZ251" s="479">
        <f ca="1">IF($FJ251+GZ$244&gt;73,"",PRODUCT(INDEX($T$19:$T$93,GZ$244):INDEX($T$19:$T$93,GZ$244+$FJ251-1)))</f>
        <v>0.99451380604289064</v>
      </c>
      <c r="HA251" s="479">
        <f ca="1">IF($FJ251+HA$244&gt;73,"",PRODUCT(INDEX($T$19:$T$93,HA$244):INDEX($T$19:$T$93,HA$244+$FJ251-1)))</f>
        <v>0.99358444873790719</v>
      </c>
      <c r="HB251" s="479">
        <f ca="1">IF($FJ251+HB$244&gt;73,"",PRODUCT(INDEX($T$19:$T$93,HB$244):INDEX($T$19:$T$93,HB$244+$FJ251-1)))</f>
        <v>0.99249790426498186</v>
      </c>
      <c r="HC251" s="479">
        <f ca="1">IF($FJ251+HC$244&gt;73,"",PRODUCT(INDEX($T$19:$T$93,HC$244):INDEX($T$19:$T$93,HC$244+$FJ251-1)))</f>
        <v>0.99122768348916823</v>
      </c>
      <c r="HD251" s="479">
        <f ca="1">IF($FJ251+HD$244&gt;73,"",PRODUCT(INDEX($T$19:$T$93,HD$244):INDEX($T$19:$T$93,HD$244+$FJ251-1)))</f>
        <v>0.98974287131542127</v>
      </c>
      <c r="HE251" s="479">
        <f ca="1">IF($FJ251+HE$244&gt;73,"",PRODUCT(INDEX($T$19:$T$93,HE$244):INDEX($T$19:$T$93,HE$244+$FJ251-1)))</f>
        <v>0.98800740207231352</v>
      </c>
      <c r="HF251" s="479">
        <f ca="1">IF($FJ251+HF$244&gt;73,"",PRODUCT(INDEX($T$19:$T$93,HF$244):INDEX($T$19:$T$93,HF$244+$FJ251-1)))</f>
        <v>0.98597922214558198</v>
      </c>
      <c r="HG251" s="479">
        <f ca="1">IF($FJ251+HG$244&gt;73,"",PRODUCT(INDEX($T$19:$T$93,HG$244):INDEX($T$19:$T$93,HG$244+$FJ251-1)))</f>
        <v>0.98360932468922624</v>
      </c>
      <c r="HH251" s="479">
        <f ca="1">IF($FJ251+HH$244&gt;73,"",PRODUCT(INDEX($T$19:$T$93,HH$244):INDEX($T$19:$T$93,HH$244+$FJ251-1)))</f>
        <v>0.98084064020766204</v>
      </c>
      <c r="HI251" s="479">
        <f ca="1">IF($FJ251+HI$244&gt;73,"",PRODUCT(INDEX($T$19:$T$93,HI$244):INDEX($T$19:$T$93,HI$244+$FJ251-1)))</f>
        <v>0.97760676619335607</v>
      </c>
      <c r="HJ251" s="479">
        <f ca="1">IF($FJ251+HJ$244&gt;73,"",PRODUCT(INDEX($T$19:$T$93,HJ$244):INDEX($T$19:$T$93,HJ$244+$FJ251-1)))</f>
        <v>0.97383051912715701</v>
      </c>
      <c r="HK251" s="479">
        <f ca="1">IF($FJ251+HK$244&gt;73,"",PRODUCT(INDEX($T$19:$T$93,HK$244):INDEX($T$19:$T$93,HK$244+$FJ251-1)))</f>
        <v>0.96942229345312525</v>
      </c>
      <c r="HL251" s="479">
        <f ca="1">IF($FJ251+HL$244&gt;73,"",PRODUCT(INDEX($T$19:$T$93,HL$244):INDEX($T$19:$T$93,HL$244+$FJ251-1)))</f>
        <v>0.96427821527858104</v>
      </c>
      <c r="HM251" s="479">
        <f ca="1">IF($FJ251+HM$244&gt;73,"",PRODUCT(INDEX($T$19:$T$93,HM$244):INDEX($T$19:$T$93,HM$244+$FJ251-1)))</f>
        <v>0.9582780844602018</v>
      </c>
      <c r="HN251" s="479">
        <f ca="1">IF($FJ251+HN$244&gt;73,"",PRODUCT(INDEX($T$19:$T$93,HN$244):INDEX($T$19:$T$93,HN$244+$FJ251-1)))</f>
        <v>0.95128310875194677</v>
      </c>
      <c r="HO251" s="479">
        <f ca="1">IF($FJ251+HO$244&gt;73,"",PRODUCT(INDEX($T$19:$T$93,HO$244):INDEX($T$19:$T$93,HO$244+$FJ251-1)))</f>
        <v>0.94313344969310386</v>
      </c>
      <c r="HP251" s="479">
        <f ca="1">IF($FJ251+HP$244&gt;73,"",PRODUCT(INDEX($T$19:$T$93,HP$244):INDEX($T$19:$T$93,HP$244+$FJ251-1)))</f>
        <v>0.93364562454019218</v>
      </c>
      <c r="HQ251" s="479">
        <f ca="1">IF($FJ251+HQ$244&gt;73,"",PRODUCT(INDEX($T$19:$T$93,HQ$244):INDEX($T$19:$T$93,HQ$244+$FJ251-1)))</f>
        <v>0.92260984544861202</v>
      </c>
      <c r="HR251" s="479">
        <f ca="1">IF($FJ251+HR$244&gt;73,"",PRODUCT(INDEX($T$19:$T$93,HR$244):INDEX($T$19:$T$93,HR$244+$FJ251-1)))</f>
        <v>0.90978743129720951</v>
      </c>
      <c r="HS251" s="479">
        <f ca="1">IF($FJ251+HS$244&gt;73,"",PRODUCT(INDEX($T$19:$T$93,HS$244):INDEX($T$19:$T$93,HS$244+$FJ251-1)))</f>
        <v>0.89490850578731385</v>
      </c>
      <c r="HT251" s="479">
        <f ca="1">IF($FJ251+HT$244&gt;73,"",PRODUCT(INDEX($T$19:$T$93,HT$244):INDEX($T$19:$T$93,HT$244+$FJ251-1)))</f>
        <v>0.87767030670084323</v>
      </c>
      <c r="HU251" s="479">
        <f ca="1">IF($FJ251+HU$244&gt;73,"",PRODUCT(INDEX($T$19:$T$93,HU$244):INDEX($T$19:$T$93,HU$244+$FJ251-1)))</f>
        <v>0.85773658702008326</v>
      </c>
      <c r="HV251" s="479">
        <f ca="1">IF($FJ251+HV$244&gt;73,"",PRODUCT(INDEX($T$19:$T$93,HV$244):INDEX($T$19:$T$93,HV$244+$FJ251-1)))</f>
        <v>0.83473880326931127</v>
      </c>
      <c r="HW251" s="479">
        <f ca="1">IF($FJ251+HW$244&gt;73,"",PRODUCT(INDEX($T$19:$T$93,HW$244):INDEX($T$19:$T$93,HW$244+$FJ251-1)))</f>
        <v>0.80828007640361632</v>
      </c>
      <c r="HX251" s="479">
        <f ca="1">IF($FJ251+HX$244&gt;73,"",PRODUCT(INDEX($T$19:$T$93,HX$244):INDEX($T$19:$T$93,HX$244+$FJ251-1)))</f>
        <v>0.77794329249837046</v>
      </c>
      <c r="HY251" s="479">
        <f ca="1">IF($FJ251+HY$244&gt;73,"",PRODUCT(INDEX($T$19:$T$93,HY$244):INDEX($T$19:$T$93,HY$244+$FJ251-1)))</f>
        <v>0.74330519625544245</v>
      </c>
      <c r="HZ251" s="479">
        <f ca="1">IF($FJ251+HZ$244&gt;73,"",PRODUCT(INDEX($T$19:$T$93,HZ$244):INDEX($T$19:$T$93,HZ$244+$FJ251-1)))</f>
        <v>0.70395891646393294</v>
      </c>
      <c r="IA251" s="479">
        <f ca="1">IF($FJ251+IA$244&gt;73,"",PRODUCT(INDEX($T$19:$T$93,IA$244):INDEX($T$19:$T$93,IA$244+$FJ251-1)))</f>
        <v>0.65954800963642068</v>
      </c>
      <c r="IB251" s="479">
        <f ca="1">IF($FJ251+IB$244&gt;73,"",PRODUCT(INDEX($T$19:$T$93,IB$244):INDEX($T$19:$T$93,IB$244+$FJ251-1)))</f>
        <v>0.60981570319146439</v>
      </c>
      <c r="IC251" s="479">
        <f ca="1">IF($FJ251+IC$244&gt;73,"",PRODUCT(INDEX($T$19:$T$93,IC$244):INDEX($T$19:$T$93,IC$244+$FJ251-1)))</f>
        <v>0.55467331172325152</v>
      </c>
      <c r="ID251" s="678">
        <f ca="1">IF($FJ251+ID$244&gt;73,"",PRODUCT(INDEX($T$19:$T$93,ID$244):INDEX($T$19:$T$93,ID$244+$FJ251-1)))</f>
        <v>0.49429129595914856</v>
      </c>
      <c r="IE251" s="250"/>
    </row>
    <row r="252" spans="8:239">
      <c r="H252" s="51">
        <f t="shared" ca="1" si="646"/>
        <v>0</v>
      </c>
      <c r="I252" s="379">
        <f t="shared" si="647"/>
        <v>43831</v>
      </c>
      <c r="J252" s="377"/>
      <c r="K252" s="104" t="s">
        <v>268</v>
      </c>
      <c r="L252" s="392">
        <f t="shared" si="648"/>
        <v>5.849999999999989</v>
      </c>
      <c r="M252" s="171"/>
      <c r="N252" s="382">
        <v>0</v>
      </c>
      <c r="O252" s="171">
        <f t="shared" si="596"/>
        <v>0</v>
      </c>
      <c r="P252" s="377"/>
      <c r="Q252" s="104" t="s">
        <v>268</v>
      </c>
      <c r="R252" s="377">
        <f t="shared" ca="1" si="597"/>
        <v>4.6421608541535875</v>
      </c>
      <c r="S252" s="832">
        <f t="shared" si="671"/>
        <v>0.3600000000000001</v>
      </c>
      <c r="T252" s="831">
        <f t="shared" si="661"/>
        <v>0.99999999999999933</v>
      </c>
      <c r="U252" s="545">
        <f t="shared" si="662"/>
        <v>0.99999999999999978</v>
      </c>
      <c r="V252" s="389">
        <v>0</v>
      </c>
      <c r="W252" s="434">
        <f t="shared" si="598"/>
        <v>0</v>
      </c>
      <c r="X252" s="415">
        <f t="shared" si="599"/>
        <v>5.902840909090898</v>
      </c>
      <c r="Y252" s="322">
        <f t="shared" si="600"/>
        <v>-1.1684999999999999</v>
      </c>
      <c r="Z252" s="322">
        <f t="shared" ca="1" si="601"/>
        <v>4.7343409090908981</v>
      </c>
      <c r="AA252" s="429">
        <f t="shared" si="628"/>
        <v>1.1684999999999999</v>
      </c>
      <c r="AB252" s="433">
        <f t="shared" ca="1" si="629"/>
        <v>1.1684999999999999</v>
      </c>
      <c r="AC252" s="229">
        <v>43819</v>
      </c>
      <c r="AD252" s="229">
        <v>43815</v>
      </c>
      <c r="AE252" s="229">
        <v>43814</v>
      </c>
      <c r="AF252" s="229">
        <v>43810</v>
      </c>
      <c r="AG252" s="249" t="s">
        <v>499</v>
      </c>
      <c r="AH252" s="247" t="s">
        <v>499</v>
      </c>
      <c r="AI252" s="146">
        <v>22</v>
      </c>
      <c r="AJ252" s="41">
        <v>13</v>
      </c>
      <c r="AK252" s="41">
        <v>9</v>
      </c>
      <c r="AL252" s="293">
        <v>22</v>
      </c>
      <c r="AM252" s="41">
        <v>9</v>
      </c>
      <c r="AN252" s="147">
        <v>13</v>
      </c>
      <c r="AO252" s="374"/>
      <c r="AP252" s="153">
        <f t="shared" ca="1" si="649"/>
        <v>1</v>
      </c>
      <c r="AQ252" s="374"/>
      <c r="AR252" s="153">
        <f t="shared" ca="1" si="663"/>
        <v>1</v>
      </c>
      <c r="AS252" s="272">
        <f t="shared" si="602"/>
        <v>0</v>
      </c>
      <c r="AT252" s="157">
        <f t="shared" si="650"/>
        <v>0</v>
      </c>
      <c r="AU252" s="157">
        <f t="shared" si="630"/>
        <v>0</v>
      </c>
      <c r="AV252" s="271">
        <f t="shared" ca="1" si="670"/>
        <v>9.9999999999999995E-7</v>
      </c>
      <c r="AW252" s="158" t="str">
        <f t="shared" ca="1" si="672"/>
        <v/>
      </c>
      <c r="AX252" s="157">
        <f t="shared" ca="1" si="664"/>
        <v>1.0091205807693676E-5</v>
      </c>
      <c r="AY252" s="157">
        <f t="shared" ca="1" si="665"/>
        <v>1.6625328806111737E-6</v>
      </c>
      <c r="AZ252" s="157">
        <f t="shared" ca="1" si="666"/>
        <v>2.2126136883496454E-8</v>
      </c>
      <c r="BA252" s="157">
        <f t="shared" ca="1" si="667"/>
        <v>2.7657671104370568E-9</v>
      </c>
      <c r="BB252" s="157">
        <f t="shared" ca="1" si="668"/>
        <v>2.3258270939639067E-12</v>
      </c>
      <c r="BC252" s="157">
        <f t="shared" ca="1" si="669"/>
        <v>1.5298935418348606E-14</v>
      </c>
      <c r="BD252" s="151">
        <f t="shared" ca="1" si="603"/>
        <v>0</v>
      </c>
      <c r="BE252" s="152">
        <f t="shared" ca="1" si="604"/>
        <v>0</v>
      </c>
      <c r="BF252" s="40">
        <f t="shared" si="605"/>
        <v>2020</v>
      </c>
      <c r="BG252" s="144">
        <f t="shared" si="606"/>
        <v>1</v>
      </c>
      <c r="BH252" s="145">
        <f t="shared" ca="1" si="607"/>
        <v>7070</v>
      </c>
      <c r="BI252" s="313">
        <f t="shared" ca="1" si="608"/>
        <v>19.400410677618069</v>
      </c>
      <c r="BJ252" s="42">
        <f t="shared" ca="1" si="631"/>
        <v>19.448945305208138</v>
      </c>
      <c r="BK252" s="42">
        <f t="shared" ca="1" si="632"/>
        <v>19.451683155995269</v>
      </c>
      <c r="BL252" s="42">
        <f t="shared" ca="1" si="609"/>
        <v>19.482546201232033</v>
      </c>
      <c r="BM252" s="150" t="e">
        <f t="shared" ca="1" si="633"/>
        <v>#DIV/0!</v>
      </c>
      <c r="BN252" s="42" t="e">
        <f t="shared" ca="1" si="634"/>
        <v>#DIV/0!</v>
      </c>
      <c r="BO252" s="293">
        <f t="shared" si="610"/>
        <v>22</v>
      </c>
      <c r="BP252" s="41">
        <f t="shared" si="611"/>
        <v>13</v>
      </c>
      <c r="BQ252" s="41">
        <f t="shared" si="612"/>
        <v>9</v>
      </c>
      <c r="BR252" s="305" t="str">
        <f t="shared" ca="1" si="635"/>
        <v/>
      </c>
      <c r="BS252" s="305" t="str">
        <f t="shared" ca="1" si="613"/>
        <v/>
      </c>
      <c r="BT252" s="307" t="str">
        <f t="shared" ca="1" si="614"/>
        <v/>
      </c>
      <c r="BU252" s="161" t="str">
        <f t="shared" ca="1" si="636"/>
        <v/>
      </c>
      <c r="BV252" s="161" t="str">
        <f t="shared" ca="1" si="637"/>
        <v/>
      </c>
      <c r="BW252" s="308" t="str">
        <f t="shared" ca="1" si="638"/>
        <v/>
      </c>
      <c r="BX252" s="309" t="str">
        <f t="shared" ca="1" si="639"/>
        <v/>
      </c>
      <c r="BY252" s="308" t="str">
        <f t="shared" ca="1" si="615"/>
        <v/>
      </c>
      <c r="BZ252" s="309" t="str">
        <f t="shared" ca="1" si="616"/>
        <v/>
      </c>
      <c r="CA252" s="154" t="str">
        <f t="shared" ca="1" si="640"/>
        <v/>
      </c>
      <c r="CB252" s="154" t="str">
        <f t="shared" ca="1" si="641"/>
        <v/>
      </c>
      <c r="CC252" s="154" t="str">
        <f t="shared" ca="1" si="642"/>
        <v/>
      </c>
      <c r="CD252" s="154" t="str">
        <f t="shared" ca="1" si="643"/>
        <v/>
      </c>
      <c r="CE252" s="310">
        <v>1</v>
      </c>
      <c r="CF252" s="162">
        <f ca="1">IF(BD252,_xll.xCrudeAPO(BU252,BV252,CA252,CB252,S253,S254,BI252,BL252,BP252,BQ252,0,Strike1,AO252,CE252,0,BL252,IF(OptControl=4,0,1),0,1),0)</f>
        <v>0</v>
      </c>
      <c r="CG252" s="163">
        <f ca="1">IF(BD252,_xll.xCrudeAPO(BU252,BV252,CA252,CB252,S253,S254,BI252,BL252,BP252,BQ252,0,Strike1,AO252,CE252,0,BL252,IF(OptControl=4,0,1),1,1)+_xll.xCrudeAPO(BU252,BV252,CA252,CB252,S253,S254,BI252,BL252,BP252,BQ252,0,Strike1,AO252,CE252,0,BL252,IF(OptControl=4,0,1),1,2)+IF(OR(VolSkewFlag=2,ABS(BS252)&lt;0.0001),0,IF(BS252&gt;0,-1,1)*CH252*Strike1/BR252^2*BY252/10%),0)</f>
        <v>0</v>
      </c>
      <c r="CH252" s="163">
        <f ca="1">IF(BD252,(_xll.xCrudeAPO(BU252,BV252,CA252,CB252,S253,S254,BI252,BL252,BP252,BQ252,0,Strike1,AO252,CE252,0,BL252,IF(OptControl=4,0,1),3,1)+_xll.xCrudeAPO(BU252,BV252,CA252,CB252,S253,S254,BI252,BL252,BP252,BQ252,0,Strike1,AO252,CE252,0,BL252,IF(OptControl=4,0,1),3,2))/100,0)</f>
        <v>0</v>
      </c>
      <c r="CI252" s="163">
        <f ca="1">IF(BD252,_xll.xCrudeAPO(BU252,BV252,CA252,CB252,S253,S254,BI252-DaysForThetaCalculation/365.25,BL252-DaysForThetaCalculation/365.25,BP252,BQ252,0,Strike1,AO252,CE252,0,BL252,IF(OptControl=4,0,1),0,1)-_xll.xCrudeAPO(BU252,BV252,CA252,CB252,S253,S254,BI252,BL252,BP252,BQ252,0,Strike1,AO252,CE252,0,BL252,IF(OptControl=4,0,1),0,1),0)</f>
        <v>0</v>
      </c>
      <c r="CJ252" s="311">
        <f ca="1">IF(BD252,_xll.xCrudeAPO(BU252,BV252,CC252,CD252,S253,S254,BI252,BL252,BP252,BQ252,0,Strike2,AO252,CE252,0,BL252,IF(OptControl=3,1,0),0,1),0)</f>
        <v>0</v>
      </c>
      <c r="CK252" s="163">
        <f ca="1">IF(BD252,_xll.xCrudeAPO(BU252,BV252,CC252,CD252,S253,S254,BI252,BL252,BP252,BQ252,0,Strike2,AO252,CE252,0,BL252,IF(OptControl=3,1,0),1,1)+_xll.xCrudeAPO(BU252,BV252,CC252,CD252,S253,S254,BI252,BL252,BP252,BQ252,0,Strike2,AO252,CE252,0,BL252,IF(OptControl=3,1,0),1,2)+IF(OR(VolSkewFlag=2,ABS(BT252)&lt;0.0001),0,IF(BT252&gt;0,-1,1)*CL252*Strike2/BR252^2*BZ252/10%),0)</f>
        <v>0</v>
      </c>
      <c r="CL252" s="163">
        <f ca="1">IF(BD252,(_xll.xCrudeAPO(BU252,BV252,CC252,CD252,S253,S254,BI252,BL252,BP252,BQ252,0,Strike2,AO252,CE252,0,BL252,IF(OptControl=3,1,0),3,1)+_xll.xCrudeAPO(BU252,BV252,CC252,CD252,S253,S254,BI252,BL252,BP252,BQ252,0,Strike2,AO252,CE252,0,BL252,IF(OptControl=3,1,0),3,2))/100,0)</f>
        <v>0</v>
      </c>
      <c r="CM252" s="164">
        <f ca="1">IF(BD252,_xll.xCrudeAPO(BU252,BV252,CC252,CD252,S253,S254,BI252-DaysForThetaCalculation/365.25,BL252-DaysForThetaCalculation/365.25,BP252,BQ252,0,Strike2,AO252,CE252,0,BL252,IF(OptControl=3,1,0),0,1)-_xll.xCrudeAPO(BU252,BV252,CC252,CD252,S253,S254,BI252,BL252,BP252,BQ252,0,Strike2,AO252,CE252,0,BL252,IF(OptControl=3,1,0),0,1),0)</f>
        <v>0</v>
      </c>
      <c r="CN252" s="53"/>
      <c r="CO252" s="796" t="str">
        <f t="shared" ca="1" si="651"/>
        <v/>
      </c>
      <c r="CP252" s="800" t="str">
        <f t="shared" ca="1" si="652"/>
        <v/>
      </c>
      <c r="CQ252" s="797" t="str">
        <f t="shared" ca="1" si="653"/>
        <v/>
      </c>
      <c r="CR252" s="797" t="str">
        <f t="shared" ca="1" si="654"/>
        <v/>
      </c>
      <c r="CS252" s="797" t="str">
        <f t="shared" ca="1" si="655"/>
        <v/>
      </c>
      <c r="CT252" s="797" t="str">
        <f t="shared" ca="1" si="656"/>
        <v/>
      </c>
      <c r="CU252" s="798" t="str">
        <f t="shared" ca="1" si="657"/>
        <v/>
      </c>
      <c r="CV252" s="799" t="str">
        <f t="shared" ca="1" si="658"/>
        <v/>
      </c>
      <c r="CW252" s="799" t="str">
        <f t="shared" ca="1" si="659"/>
        <v/>
      </c>
      <c r="CX252" s="163">
        <f ca="1">IF(BD252,_xll.EURO(CP252,Strike1,AO252,AO252,CV252,CO252,IF(OptControl=4,0,1),0),0)</f>
        <v>0</v>
      </c>
      <c r="CY252" s="163">
        <f ca="1">IF(BD252,_xll.EURO(CP252,Strike1,AO252,AO252,CV252,CO252,IF(OptControl=4,0,1),1)+IF(OR(VolSkewFlag=2,ABS(CQ252)&lt;0.0001),0,IF(CQ252&gt;0,-1,1)*CZ252*100*Strike1/CP252^2*CS252/10%),0)</f>
        <v>0</v>
      </c>
      <c r="CZ252" s="163">
        <f ca="1">IF(BD252,_xll.EURO(CP252,Strike1,AO252,AO252,CV252,CO252,IF(OptControl=4,0,1),3)/100,0)</f>
        <v>0</v>
      </c>
      <c r="DA252" s="163">
        <f ca="1">IF(BD252,_xll.EURO(CP252,Strike1,AO252,AO252,CV252,CO252,IF(OptControl=4,0,1),0)-_xll.EURO(CP252,Strike1,AO252,AO252,CV252,CO252-1,IF(OptControl=4,0,1),0),0)</f>
        <v>0</v>
      </c>
      <c r="DB252" s="163">
        <f ca="1">IF(BD252,_xll.EURO(CP252,Strike2,AO252,AO252,CW252,CO252,IF(OptControl=3,1,0),0),0)</f>
        <v>0</v>
      </c>
      <c r="DC252" s="163">
        <f ca="1">IF(BD252,_xll.EURO(CP252,Strike2,AO252,AO252,CW252,CO252,IF(OptControl=3,1,0),1)+IF(OR(VolSkewFlag=2,ABS(CR252)&lt;0.0001),0,IF(CR252&gt;0,-1,1)*DD252*100*Strike2/CP252^2*CT252/10%),0)</f>
        <v>0</v>
      </c>
      <c r="DD252" s="163">
        <f ca="1">IF(BD252,_xll.EURO(CP252,Strike2,AO252,AO252,CW252,CO252,IF(OptControl=3,1,0),3)/100,0)</f>
        <v>0</v>
      </c>
      <c r="DE252" s="164">
        <f ca="1">IF(BD252,_xll.EURO(CP252,Strike2,AO252,AO252,CW252,CO252,IF(OptControl=3,1,0),0)-_xll.EURO(CP252,Strike2,AO252,AO252,CW252,CO252-1,IF(OptControl=3,1,0),0),0)</f>
        <v>0</v>
      </c>
      <c r="DG252" s="667">
        <f t="shared" ca="1" si="660"/>
        <v>43617</v>
      </c>
      <c r="DH252" s="475">
        <v>25.760000000000112</v>
      </c>
      <c r="DI252" s="665">
        <v>25.825000000000113</v>
      </c>
      <c r="DJ252" s="666">
        <f t="shared" ca="1" si="617"/>
        <v>43617</v>
      </c>
      <c r="DK252" s="475">
        <v>24.338068260794604</v>
      </c>
      <c r="DL252" s="665">
        <v>24.533500000000114</v>
      </c>
      <c r="DM252" s="667">
        <f t="shared" ca="1" si="618"/>
        <v>43617</v>
      </c>
      <c r="DN252" s="668">
        <f t="shared" si="619"/>
        <v>24.388068260794604</v>
      </c>
      <c r="DO252" s="667">
        <f t="shared" ca="1" si="620"/>
        <v>43617</v>
      </c>
      <c r="DP252" s="579">
        <f t="shared" si="621"/>
        <v>24.533500000000114</v>
      </c>
      <c r="DQ252" s="821">
        <v>0</v>
      </c>
      <c r="DR252" s="666">
        <f t="shared" ca="1" si="622"/>
        <v>43617</v>
      </c>
      <c r="DS252" s="669">
        <v>8.53999999999972E-2</v>
      </c>
      <c r="DT252" s="606">
        <v>8.4619999999997197E-2</v>
      </c>
      <c r="DU252" s="666">
        <f t="shared" ca="1" si="623"/>
        <v>43617</v>
      </c>
      <c r="DV252" s="669">
        <v>8.53999999999972E-2</v>
      </c>
      <c r="DW252" s="606">
        <v>8.4619999999997197E-2</v>
      </c>
      <c r="DX252" s="667">
        <f t="shared" ca="1" si="624"/>
        <v>43617</v>
      </c>
      <c r="DY252" s="606">
        <v>0.35</v>
      </c>
      <c r="DZ252" s="667">
        <f t="shared" ca="1" si="625"/>
        <v>43617</v>
      </c>
      <c r="EA252" s="606">
        <f t="shared" si="626"/>
        <v>8.4619999999997197E-2</v>
      </c>
      <c r="EB252" s="1"/>
      <c r="EC252" s="118" t="str">
        <f t="shared" ca="1" si="627"/>
        <v/>
      </c>
      <c r="ED252" s="119" t="str">
        <f t="shared" ca="1" si="644"/>
        <v/>
      </c>
      <c r="EE252" s="112" t="str">
        <f t="shared" ca="1" si="645"/>
        <v/>
      </c>
      <c r="EF252" s="120">
        <f ca="1">IF(BD252,_xll.xASN(BR252,Strike1,AO252,ED252,0,BO252,0,BI252,BL252,IF(OptControl=4,0,1),0),0)</f>
        <v>0</v>
      </c>
      <c r="EG252" s="111">
        <f ca="1">IF(BD252,_xll.xASN(BR252,Strike2,AO252,EE252,0,BO252,0,BI252,BL252,IF(OptControl=3,1,0),0),0)</f>
        <v>0</v>
      </c>
      <c r="EL252" s="55"/>
      <c r="EM252" s="1"/>
      <c r="EN252" s="106"/>
      <c r="EO252" s="106"/>
      <c r="EP252" s="1"/>
      <c r="EQ252" s="683" t="s">
        <v>466</v>
      </c>
      <c r="ES252" s="55"/>
      <c r="EU252" s="107"/>
      <c r="FJ252" s="673">
        <v>8</v>
      </c>
      <c r="FK252" s="479" t="str">
        <f ca="1">IF($FJ252+FK$244&gt;73,"",PRODUCT(INDEX($T$19:$T$93,FK$244):INDEX($T$19:$T$93,FK$244+$FJ252-1)))</f>
        <v/>
      </c>
      <c r="FL252" s="479" t="str">
        <f ca="1">IF($FJ252+FL$244&gt;73,"",PRODUCT(INDEX($T$19:$T$93,FL$244):INDEX($T$19:$T$93,FL$244+$FJ252-1)))</f>
        <v/>
      </c>
      <c r="FM252" s="479" t="str">
        <f ca="1">IF($FJ252+FM$244&gt;73,"",PRODUCT(INDEX($T$19:$T$93,FM$244):INDEX($T$19:$T$93,FM$244+$FJ252-1)))</f>
        <v/>
      </c>
      <c r="FN252" s="479" t="str">
        <f ca="1">IF($FJ252+FN$244&gt;73,"",PRODUCT(INDEX($T$19:$T$93,FN$244):INDEX($T$19:$T$93,FN$244+$FJ252-1)))</f>
        <v/>
      </c>
      <c r="FO252" s="479" t="str">
        <f ca="1">IF($FJ252+FO$244&gt;73,"",PRODUCT(INDEX($T$19:$T$93,FO$244):INDEX($T$19:$T$93,FO$244+$FJ252-1)))</f>
        <v/>
      </c>
      <c r="FP252" s="479" t="str">
        <f ca="1">IF($FJ252+FP$244&gt;73,"",PRODUCT(INDEX($T$19:$T$93,FP$244):INDEX($T$19:$T$93,FP$244+$FJ252-1)))</f>
        <v/>
      </c>
      <c r="FQ252" s="479" t="str">
        <f ca="1">IF($FJ252+FQ$244&gt;73,"",PRODUCT(INDEX($T$19:$T$93,FQ$244):INDEX($T$19:$T$93,FQ$244+$FJ252-1)))</f>
        <v/>
      </c>
      <c r="FR252" s="479">
        <f ca="1">IF($FJ252+FR$244&gt;73,"",PRODUCT(INDEX($T$19:$T$93,FR$244):INDEX($T$19:$T$93,FR$244+$FJ252-1)))</f>
        <v>0.99997136226313976</v>
      </c>
      <c r="FS252" s="479">
        <f ca="1">IF($FJ252+FS$244&gt;73,"",PRODUCT(INDEX($T$19:$T$93,FS$244):INDEX($T$19:$T$93,FS$244+$FJ252-1)))</f>
        <v>0.99996650556990729</v>
      </c>
      <c r="FT252" s="479">
        <f ca="1">IF($FJ252+FT$244&gt;73,"",PRODUCT(INDEX($T$19:$T$93,FT$244):INDEX($T$19:$T$93,FT$244+$FJ252-1)))</f>
        <v>0.99996082522863028</v>
      </c>
      <c r="FU252" s="479">
        <f ca="1">IF($FJ252+FU$244&gt;73,"",PRODUCT(INDEX($T$19:$T$93,FU$244):INDEX($T$19:$T$93,FU$244+$FJ252-1)))</f>
        <v>0.99995418155761295</v>
      </c>
      <c r="FV252" s="479">
        <f ca="1">IF($FJ252+FV$244&gt;73,"",PRODUCT(INDEX($T$19:$T$93,FV$244):INDEX($T$19:$T$93,FV$244+$FJ252-1)))</f>
        <v>0.99994641118716143</v>
      </c>
      <c r="FW252" s="479">
        <f ca="1">IF($FJ252+FW$244&gt;73,"",PRODUCT(INDEX($T$19:$T$93,FW$244):INDEX($T$19:$T$93,FW$244+$FJ252-1)))</f>
        <v>0.99993732304265726</v>
      </c>
      <c r="FX252" s="479">
        <f ca="1">IF($FJ252+FX$244&gt;73,"",PRODUCT(INDEX($T$19:$T$93,FX$244):INDEX($T$19:$T$93,FX$244+$FJ252-1)))</f>
        <v>0.99992669364654796</v>
      </c>
      <c r="FY252" s="479">
        <f ca="1">IF($FJ252+FY$244&gt;73,"",PRODUCT(INDEX($T$19:$T$93,FY$244):INDEX($T$19:$T$93,FY$244+$FJ252-1)))</f>
        <v>0.99991426162381369</v>
      </c>
      <c r="FZ252" s="479">
        <f ca="1">IF($FJ252+FZ$244&gt;73,"",PRODUCT(INDEX($T$19:$T$93,FZ$244):INDEX($T$19:$T$93,FZ$244+$FJ252-1)))</f>
        <v>0.99989972127591487</v>
      </c>
      <c r="GA252" s="479">
        <f ca="1">IF($FJ252+GA$244&gt;73,"",PRODUCT(INDEX($T$19:$T$93,GA$244):INDEX($T$19:$T$93,GA$244+$FJ252-1)))</f>
        <v>0.99988271506536974</v>
      </c>
      <c r="GB252" s="479">
        <f ca="1">IF($FJ252+GB$244&gt;73,"",PRODUCT(INDEX($T$19:$T$93,GB$244):INDEX($T$19:$T$93,GB$244+$FJ252-1)))</f>
        <v>0.99986282482639599</v>
      </c>
      <c r="GC252" s="479">
        <f ca="1">IF($FJ252+GC$244&gt;73,"",PRODUCT(INDEX($T$19:$T$93,GC$244):INDEX($T$19:$T$93,GC$244+$FJ252-1)))</f>
        <v>0.99983956148581787</v>
      </c>
      <c r="GD252" s="479">
        <f ca="1">IF($FJ252+GD$244&gt;73,"",PRODUCT(INDEX($T$19:$T$93,GD$244):INDEX($T$19:$T$93,GD$244+$FJ252-1)))</f>
        <v>0.99981235304194371</v>
      </c>
      <c r="GE252" s="479">
        <f ca="1">IF($FJ252+GE$244&gt;73,"",PRODUCT(INDEX($T$19:$T$93,GE$244):INDEX($T$19:$T$93,GE$244+$FJ252-1)))</f>
        <v>0.99978053050647997</v>
      </c>
      <c r="GF252" s="479">
        <f ca="1">IF($FJ252+GF$244&gt;73,"",PRODUCT(INDEX($T$19:$T$93,GF$244):INDEX($T$19:$T$93,GF$244+$FJ252-1)))</f>
        <v>0.99974331146471807</v>
      </c>
      <c r="GG252" s="479">
        <f ca="1">IF($FJ252+GG$244&gt;73,"",PRODUCT(INDEX($T$19:$T$93,GG$244):INDEX($T$19:$T$93,GG$244+$FJ252-1)))</f>
        <v>0.99969978085104438</v>
      </c>
      <c r="GH252" s="479">
        <f ca="1">IF($FJ252+GH$244&gt;73,"",PRODUCT(INDEX($T$19:$T$93,GH$244):INDEX($T$19:$T$93,GH$244+$FJ252-1)))</f>
        <v>0.99964886846886936</v>
      </c>
      <c r="GI252" s="479">
        <f ca="1">IF($FJ252+GI$244&gt;73,"",PRODUCT(INDEX($T$19:$T$93,GI$244):INDEX($T$19:$T$93,GI$244+$FJ252-1)))</f>
        <v>0.99958932270474765</v>
      </c>
      <c r="GJ252" s="479">
        <f ca="1">IF($FJ252+GJ$244&gt;73,"",PRODUCT(INDEX($T$19:$T$93,GJ$244):INDEX($T$19:$T$93,GJ$244+$FJ252-1)))</f>
        <v>0.99951967979388923</v>
      </c>
      <c r="GK252" s="479">
        <f ca="1">IF($FJ252+GK$244&gt;73,"",PRODUCT(INDEX($T$19:$T$93,GK$244):INDEX($T$19:$T$93,GK$244+$FJ252-1)))</f>
        <v>0.99943822788629189</v>
      </c>
      <c r="GL252" s="479">
        <f ca="1">IF($FJ252+GL$244&gt;73,"",PRODUCT(INDEX($T$19:$T$93,GL$244):INDEX($T$19:$T$93,GL$244+$FJ252-1)))</f>
        <v>0.99934296503684206</v>
      </c>
      <c r="GM252" s="479">
        <f ca="1">IF($FJ252+GM$244&gt;73,"",PRODUCT(INDEX($T$19:$T$93,GM$244):INDEX($T$19:$T$93,GM$244+$FJ252-1)))</f>
        <v>0.99923155009606313</v>
      </c>
      <c r="GN252" s="479">
        <f ca="1">IF($FJ252+GN$244&gt;73,"",PRODUCT(INDEX($T$19:$T$93,GN$244):INDEX($T$19:$T$93,GN$244+$FJ252-1)))</f>
        <v>0.99910124530743138</v>
      </c>
      <c r="GO252" s="479">
        <f ca="1">IF($FJ252+GO$244&gt;73,"",PRODUCT(INDEX($T$19:$T$93,GO$244):INDEX($T$19:$T$93,GO$244+$FJ252-1)))</f>
        <v>0.99894884921854121</v>
      </c>
      <c r="GP252" s="479">
        <f ca="1">IF($FJ252+GP$244&gt;73,"",PRODUCT(INDEX($T$19:$T$93,GP$244):INDEX($T$19:$T$93,GP$244+$FJ252-1)))</f>
        <v>0.99877061828257574</v>
      </c>
      <c r="GQ252" s="479">
        <f ca="1">IF($FJ252+GQ$244&gt;73,"",PRODUCT(INDEX($T$19:$T$93,GQ$244):INDEX($T$19:$T$93,GQ$244+$FJ252-1)))</f>
        <v>0.99856217525864388</v>
      </c>
      <c r="GR252" s="479">
        <f ca="1">IF($FJ252+GR$244&gt;73,"",PRODUCT(INDEX($T$19:$T$93,GR$244):INDEX($T$19:$T$93,GR$244+$FJ252-1)))</f>
        <v>0.99831840220910228</v>
      </c>
      <c r="GS252" s="479">
        <f ca="1">IF($FJ252+GS$244&gt;73,"",PRODUCT(INDEX($T$19:$T$93,GS$244):INDEX($T$19:$T$93,GS$244+$FJ252-1)))</f>
        <v>0.99803331553286434</v>
      </c>
      <c r="GT252" s="479">
        <f ca="1">IF($FJ252+GT$244&gt;73,"",PRODUCT(INDEX($T$19:$T$93,GT$244):INDEX($T$19:$T$93,GT$244+$FJ252-1)))</f>
        <v>0.99769992005921926</v>
      </c>
      <c r="GU252" s="479">
        <f ca="1">IF($FJ252+GU$244&gt;73,"",PRODUCT(INDEX($T$19:$T$93,GU$244):INDEX($T$19:$T$93,GU$244+$FJ252-1)))</f>
        <v>0.9973100387495426</v>
      </c>
      <c r="GV252" s="479">
        <f ca="1">IF($FJ252+GV$244&gt;73,"",PRODUCT(INDEX($T$19:$T$93,GV$244):INDEX($T$19:$T$93,GV$244+$FJ252-1)))</f>
        <v>0.99685411400681079</v>
      </c>
      <c r="GW252" s="479">
        <f ca="1">IF($FJ252+GW$244&gt;73,"",PRODUCT(INDEX($T$19:$T$93,GW$244):INDEX($T$19:$T$93,GW$244+$FJ252-1)))</f>
        <v>0.99632097596717661</v>
      </c>
      <c r="GX252" s="479">
        <f ca="1">IF($FJ252+GX$244&gt;73,"",PRODUCT(INDEX($T$19:$T$93,GX$244):INDEX($T$19:$T$93,GX$244+$FJ252-1)))</f>
        <v>0.99569757243636436</v>
      </c>
      <c r="GY252" s="479">
        <f ca="1">IF($FJ252+GY$244&gt;73,"",PRODUCT(INDEX($T$19:$T$93,GY$244):INDEX($T$19:$T$93,GY$244+$FJ252-1)))</f>
        <v>0.99496865432956372</v>
      </c>
      <c r="GZ252" s="479">
        <f ca="1">IF($FJ252+GZ$244&gt;73,"",PRODUCT(INDEX($T$19:$T$93,GZ$244):INDEX($T$19:$T$93,GZ$244+$FJ252-1)))</f>
        <v>0.9941164095718994</v>
      </c>
      <c r="HA252" s="479">
        <f ca="1">IF($FJ252+HA$244&gt;73,"",PRODUCT(INDEX($T$19:$T$93,HA$244):INDEX($T$19:$T$93,HA$244+$FJ252-1)))</f>
        <v>0.99312003741579891</v>
      </c>
      <c r="HB252" s="479">
        <f ca="1">IF($FJ252+HB$244&gt;73,"",PRODUCT(INDEX($T$19:$T$93,HB$244):INDEX($T$19:$T$93,HB$244+$FJ252-1)))</f>
        <v>0.99195525403551843</v>
      </c>
      <c r="HC252" s="479">
        <f ca="1">IF($FJ252+HC$244&gt;73,"",PRODUCT(INDEX($T$19:$T$93,HC$244):INDEX($T$19:$T$93,HC$244+$FJ252-1)))</f>
        <v>0.99059371908008176</v>
      </c>
      <c r="HD252" s="479">
        <f ca="1">IF($FJ252+HD$244&gt;73,"",PRODUCT(INDEX($T$19:$T$93,HD$244):INDEX($T$19:$T$93,HD$244+$FJ252-1)))</f>
        <v>0.98900237162943649</v>
      </c>
      <c r="HE252" s="479">
        <f ca="1">IF($FJ252+HE$244&gt;73,"",PRODUCT(INDEX($T$19:$T$93,HE$244):INDEX($T$19:$T$93,HE$244+$FJ252-1)))</f>
        <v>0.98714266274962259</v>
      </c>
      <c r="HF252" s="479">
        <f ca="1">IF($FJ252+HF$244&gt;73,"",PRODUCT(INDEX($T$19:$T$93,HF$244):INDEX($T$19:$T$93,HF$244+$FJ252-1)))</f>
        <v>0.98496967065472285</v>
      </c>
      <c r="HG252" s="479">
        <f ca="1">IF($FJ252+HG$244&gt;73,"",PRODUCT(INDEX($T$19:$T$93,HG$244):INDEX($T$19:$T$93,HG$244+$FJ252-1)))</f>
        <v>0.98243108347122921</v>
      </c>
      <c r="HH252" s="479">
        <f ca="1">IF($FJ252+HH$244&gt;73,"",PRODUCT(INDEX($T$19:$T$93,HH$244):INDEX($T$19:$T$93,HH$244+$FJ252-1)))</f>
        <v>0.97946603393855725</v>
      </c>
      <c r="HI252" s="479">
        <f ca="1">IF($FJ252+HI$244&gt;73,"",PRODUCT(INDEX($T$19:$T$93,HI$244):INDEX($T$19:$T$93,HI$244+$FJ252-1)))</f>
        <v>0.97600377032669894</v>
      </c>
      <c r="HJ252" s="479">
        <f ca="1">IF($FJ252+HJ$244&gt;73,"",PRODUCT(INDEX($T$19:$T$93,HJ$244):INDEX($T$19:$T$93,HJ$244+$FJ252-1)))</f>
        <v>0.97196214878687015</v>
      </c>
      <c r="HK252" s="479">
        <f ca="1">IF($FJ252+HK$244&gt;73,"",PRODUCT(INDEX($T$19:$T$93,HK$244):INDEX($T$19:$T$93,HK$244+$FJ252-1)))</f>
        <v>0.96724593481964172</v>
      </c>
      <c r="HL252" s="479">
        <f ca="1">IF($FJ252+HL$244&gt;73,"",PRODUCT(INDEX($T$19:$T$93,HL$244):INDEX($T$19:$T$93,HL$244+$FJ252-1)))</f>
        <v>0.96174490632749154</v>
      </c>
      <c r="HM252" s="479">
        <f ca="1">IF($FJ252+HM$244&gt;73,"",PRODUCT(INDEX($T$19:$T$93,HM$244):INDEX($T$19:$T$93,HM$244+$FJ252-1)))</f>
        <v>0.95533175891866462</v>
      </c>
      <c r="HN252" s="479">
        <f ca="1">IF($FJ252+HN$244&gt;73,"",PRODUCT(INDEX($T$19:$T$93,HN$244):INDEX($T$19:$T$93,HN$244+$FJ252-1)))</f>
        <v>0.9478598272946801</v>
      </c>
      <c r="HO252" s="479">
        <f ca="1">IF($FJ252+HO$244&gt;73,"",PRODUCT(INDEX($T$19:$T$93,HO$244):INDEX($T$19:$T$93,HO$244+$FJ252-1)))</f>
        <v>0.93916065683655525</v>
      </c>
      <c r="HP252" s="479">
        <f ca="1">IF($FJ252+HP$244&gt;73,"",PRODUCT(INDEX($T$19:$T$93,HP$244):INDEX($T$19:$T$93,HP$244+$FJ252-1)))</f>
        <v>0.92904148986661739</v>
      </c>
      <c r="HQ252" s="479">
        <f ca="1">IF($FJ252+HQ$244&gt;73,"",PRODUCT(INDEX($T$19:$T$93,HQ$244):INDEX($T$19:$T$93,HQ$244+$FJ252-1)))</f>
        <v>0.91728277553348381</v>
      </c>
      <c r="HR252" s="479">
        <f ca="1">IF($FJ252+HR$244&gt;73,"",PRODUCT(INDEX($T$19:$T$93,HR$244):INDEX($T$19:$T$93,HR$244+$FJ252-1)))</f>
        <v>0.90363587625181663</v>
      </c>
      <c r="HS252" s="479">
        <f ca="1">IF($FJ252+HS$244&gt;73,"",PRODUCT(INDEX($T$19:$T$93,HS$244):INDEX($T$19:$T$93,HS$244+$FJ252-1)))</f>
        <v>0.88782123423666859</v>
      </c>
      <c r="HT252" s="479">
        <f ca="1">IF($FJ252+HT$244&gt;73,"",PRODUCT(INDEX($T$19:$T$93,HT$244):INDEX($T$19:$T$93,HT$244+$FJ252-1)))</f>
        <v>0.86952738801525931</v>
      </c>
      <c r="HU252" s="479">
        <f ca="1">IF($FJ252+HU$244&gt;73,"",PRODUCT(INDEX($T$19:$T$93,HU$244):INDEX($T$19:$T$93,HU$244+$FJ252-1)))</f>
        <v>0.84841140209854149</v>
      </c>
      <c r="HV252" s="479">
        <f ca="1">IF($FJ252+HV$244&gt;73,"",PRODUCT(INDEX($T$19:$T$93,HV$244):INDEX($T$19:$T$93,HV$244+$FJ252-1)))</f>
        <v>0.82410150622130662</v>
      </c>
      <c r="HW252" s="479">
        <f ca="1">IF($FJ252+HW$244&gt;73,"",PRODUCT(INDEX($T$19:$T$93,HW$244):INDEX($T$19:$T$93,HW$244+$FJ252-1)))</f>
        <v>0.79620304704055478</v>
      </c>
      <c r="HX252" s="479">
        <f ca="1">IF($FJ252+HX$244&gt;73,"",PRODUCT(INDEX($T$19:$T$93,HX$244):INDEX($T$19:$T$93,HX$244+$FJ252-1)))</f>
        <v>0.76430924517211485</v>
      </c>
      <c r="HY252" s="479">
        <f ca="1">IF($FJ252+HY$244&gt;73,"",PRODUCT(INDEX($T$19:$T$93,HY$244):INDEX($T$19:$T$93,HY$244+$FJ252-1)))</f>
        <v>0.72801872389971867</v>
      </c>
      <c r="HZ252" s="479">
        <f ca="1">IF($FJ252+HZ$244&gt;73,"",PRODUCT(INDEX($T$19:$T$93,HZ$244):INDEX($T$19:$T$93,HZ$244+$FJ252-1)))</f>
        <v>0.68696230852055484</v>
      </c>
      <c r="IA252" s="479">
        <f ca="1">IF($FJ252+IA$244&gt;73,"",PRODUCT(INDEX($T$19:$T$93,IA$244):INDEX($T$19:$T$93,IA$244+$FJ252-1)))</f>
        <v>0.64084211333456487</v>
      </c>
      <c r="IB252" s="479">
        <f ca="1">IF($FJ252+IB$244&gt;73,"",PRODUCT(INDEX($T$19:$T$93,IB$244):INDEX($T$19:$T$93,IB$244+$FJ252-1)))</f>
        <v>0.58948627043244295</v>
      </c>
      <c r="IC252" s="479">
        <f ca="1">IF($FJ252+IC$244&gt;73,"",PRODUCT(INDEX($T$19:$T$93,IC$244):INDEX($T$19:$T$93,IC$244+$FJ252-1)))</f>
        <v>0.53292248292678812</v>
      </c>
      <c r="ID252" s="678">
        <f ca="1">IF($FJ252+ID$244&gt;73,"",PRODUCT(INDEX($T$19:$T$93,ID$244):INDEX($T$19:$T$93,ID$244+$FJ252-1)))</f>
        <v>0.47147231496476377</v>
      </c>
      <c r="IE252" s="250"/>
    </row>
    <row r="253" spans="8:239">
      <c r="H253" s="51">
        <f t="shared" ca="1" si="646"/>
        <v>0</v>
      </c>
      <c r="I253" s="379">
        <f t="shared" si="647"/>
        <v>43862</v>
      </c>
      <c r="J253" s="377"/>
      <c r="K253" s="104" t="s">
        <v>268</v>
      </c>
      <c r="L253" s="392">
        <f t="shared" si="648"/>
        <v>5.8874999999999886</v>
      </c>
      <c r="M253" s="171"/>
      <c r="N253" s="382">
        <v>0</v>
      </c>
      <c r="O253" s="171">
        <f t="shared" si="596"/>
        <v>0</v>
      </c>
      <c r="P253" s="377"/>
      <c r="Q253" s="104" t="s">
        <v>268</v>
      </c>
      <c r="R253" s="377">
        <f t="shared" ca="1" si="597"/>
        <v>4.6907537689512617</v>
      </c>
      <c r="S253" s="832">
        <f t="shared" si="671"/>
        <v>0.3600000000000001</v>
      </c>
      <c r="T253" s="831">
        <f t="shared" si="661"/>
        <v>0.99999999999999933</v>
      </c>
      <c r="U253" s="545">
        <f t="shared" si="662"/>
        <v>0.99999999999999978</v>
      </c>
      <c r="V253" s="389">
        <v>0</v>
      </c>
      <c r="W253" s="434">
        <f t="shared" si="598"/>
        <v>0</v>
      </c>
      <c r="X253" s="415">
        <f t="shared" si="599"/>
        <v>5.9362499999999887</v>
      </c>
      <c r="Y253" s="322">
        <f t="shared" si="600"/>
        <v>-1.1684999999999999</v>
      </c>
      <c r="Z253" s="322">
        <f t="shared" ca="1" si="601"/>
        <v>4.7677499999999888</v>
      </c>
      <c r="AA253" s="429">
        <f t="shared" si="628"/>
        <v>1.1684999999999999</v>
      </c>
      <c r="AB253" s="433">
        <f t="shared" ca="1" si="629"/>
        <v>1.1684999999999999</v>
      </c>
      <c r="AC253" s="229">
        <v>43850</v>
      </c>
      <c r="AD253" s="229">
        <v>43846</v>
      </c>
      <c r="AE253" s="229">
        <v>43845</v>
      </c>
      <c r="AF253" s="229">
        <v>43841</v>
      </c>
      <c r="AG253" s="249" t="s">
        <v>499</v>
      </c>
      <c r="AH253" s="247" t="s">
        <v>499</v>
      </c>
      <c r="AI253" s="146">
        <v>20</v>
      </c>
      <c r="AJ253" s="41">
        <v>14</v>
      </c>
      <c r="AK253" s="41">
        <v>6</v>
      </c>
      <c r="AL253" s="293">
        <v>20</v>
      </c>
      <c r="AM253" s="41">
        <v>10</v>
      </c>
      <c r="AN253" s="147">
        <v>10</v>
      </c>
      <c r="AO253" s="374"/>
      <c r="AP253" s="153">
        <f t="shared" ca="1" si="649"/>
        <v>1</v>
      </c>
      <c r="AQ253" s="374"/>
      <c r="AR253" s="153">
        <f t="shared" ca="1" si="663"/>
        <v>1</v>
      </c>
      <c r="AS253" s="272">
        <f t="shared" si="602"/>
        <v>0</v>
      </c>
      <c r="AT253" s="157">
        <f t="shared" si="650"/>
        <v>0</v>
      </c>
      <c r="AU253" s="157">
        <f t="shared" si="630"/>
        <v>0</v>
      </c>
      <c r="AV253" s="271">
        <f t="shared" ca="1" si="670"/>
        <v>9.9999999999999995E-7</v>
      </c>
      <c r="AW253" s="158" t="str">
        <f t="shared" ca="1" si="672"/>
        <v/>
      </c>
      <c r="AX253" s="157">
        <f t="shared" ca="1" si="664"/>
        <v>9.7559326163701176E-6</v>
      </c>
      <c r="AY253" s="157">
        <f t="shared" ca="1" si="665"/>
        <v>1.5966110457728248E-6</v>
      </c>
      <c r="AZ253" s="157">
        <f t="shared" ca="1" si="666"/>
        <v>2.0884292243211287E-8</v>
      </c>
      <c r="BA253" s="157">
        <f t="shared" ca="1" si="667"/>
        <v>2.6105365304014109E-9</v>
      </c>
      <c r="BB253" s="157">
        <f t="shared" ca="1" si="668"/>
        <v>2.1223515402637831E-12</v>
      </c>
      <c r="BC253" s="157">
        <f t="shared" ca="1" si="669"/>
        <v>1.3629801953118604E-14</v>
      </c>
      <c r="BD253" s="151">
        <f t="shared" ca="1" si="603"/>
        <v>0</v>
      </c>
      <c r="BE253" s="152">
        <f t="shared" ca="1" si="604"/>
        <v>0</v>
      </c>
      <c r="BF253" s="40">
        <f t="shared" si="605"/>
        <v>2020</v>
      </c>
      <c r="BG253" s="144">
        <f t="shared" si="606"/>
        <v>2</v>
      </c>
      <c r="BH253" s="145">
        <f t="shared" ca="1" si="607"/>
        <v>7101</v>
      </c>
      <c r="BI253" s="313">
        <f t="shared" ca="1" si="608"/>
        <v>19.485284052019164</v>
      </c>
      <c r="BJ253" s="42">
        <f t="shared" ca="1" si="631"/>
        <v>19.538945927446953</v>
      </c>
      <c r="BK253" s="42">
        <f t="shared" ca="1" si="632"/>
        <v>19.541683778234084</v>
      </c>
      <c r="BL253" s="42">
        <f t="shared" ca="1" si="609"/>
        <v>19.561943874058862</v>
      </c>
      <c r="BM253" s="150" t="e">
        <f t="shared" ca="1" si="633"/>
        <v>#DIV/0!</v>
      </c>
      <c r="BN253" s="42" t="e">
        <f t="shared" ca="1" si="634"/>
        <v>#DIV/0!</v>
      </c>
      <c r="BO253" s="293">
        <f t="shared" si="610"/>
        <v>20</v>
      </c>
      <c r="BP253" s="41">
        <f t="shared" si="611"/>
        <v>14</v>
      </c>
      <c r="BQ253" s="41">
        <f t="shared" si="612"/>
        <v>6</v>
      </c>
      <c r="BR253" s="305" t="str">
        <f t="shared" ca="1" si="635"/>
        <v/>
      </c>
      <c r="BS253" s="305" t="str">
        <f t="shared" ca="1" si="613"/>
        <v/>
      </c>
      <c r="BT253" s="307" t="str">
        <f t="shared" ca="1" si="614"/>
        <v/>
      </c>
      <c r="BU253" s="161" t="str">
        <f t="shared" ca="1" si="636"/>
        <v/>
      </c>
      <c r="BV253" s="161" t="str">
        <f t="shared" ca="1" si="637"/>
        <v/>
      </c>
      <c r="BW253" s="308" t="str">
        <f t="shared" ca="1" si="638"/>
        <v/>
      </c>
      <c r="BX253" s="309" t="str">
        <f t="shared" ca="1" si="639"/>
        <v/>
      </c>
      <c r="BY253" s="308" t="str">
        <f t="shared" ca="1" si="615"/>
        <v/>
      </c>
      <c r="BZ253" s="309" t="str">
        <f t="shared" ca="1" si="616"/>
        <v/>
      </c>
      <c r="CA253" s="154" t="str">
        <f t="shared" ca="1" si="640"/>
        <v/>
      </c>
      <c r="CB253" s="154" t="str">
        <f t="shared" ca="1" si="641"/>
        <v/>
      </c>
      <c r="CC253" s="154" t="str">
        <f t="shared" ca="1" si="642"/>
        <v/>
      </c>
      <c r="CD253" s="154" t="str">
        <f t="shared" ca="1" si="643"/>
        <v/>
      </c>
      <c r="CE253" s="310">
        <v>1</v>
      </c>
      <c r="CF253" s="162">
        <f ca="1">IF(BD253,_xll.xCrudeAPO(BU253,BV253,CA253,CB253,S254,S255,BI253,BL253,BP253,BQ253,0,Strike1,AO253,CE253,0,BL253,IF(OptControl=4,0,1),0,1),0)</f>
        <v>0</v>
      </c>
      <c r="CG253" s="163">
        <f ca="1">IF(BD253,_xll.xCrudeAPO(BU253,BV253,CA253,CB253,S254,S255,BI253,BL253,BP253,BQ253,0,Strike1,AO253,CE253,0,BL253,IF(OptControl=4,0,1),1,1)+_xll.xCrudeAPO(BU253,BV253,CA253,CB253,S254,S255,BI253,BL253,BP253,BQ253,0,Strike1,AO253,CE253,0,BL253,IF(OptControl=4,0,1),1,2)+IF(OR(VolSkewFlag=2,ABS(BS253)&lt;0.0001),0,IF(BS253&gt;0,-1,1)*CH253*Strike1/BR253^2*BY253/10%),0)</f>
        <v>0</v>
      </c>
      <c r="CH253" s="163">
        <f ca="1">IF(BD253,(_xll.xCrudeAPO(BU253,BV253,CA253,CB253,S254,S255,BI253,BL253,BP253,BQ253,0,Strike1,AO253,CE253,0,BL253,IF(OptControl=4,0,1),3,1)+_xll.xCrudeAPO(BU253,BV253,CA253,CB253,S254,S255,BI253,BL253,BP253,BQ253,0,Strike1,AO253,CE253,0,BL253,IF(OptControl=4,0,1),3,2))/100,0)</f>
        <v>0</v>
      </c>
      <c r="CI253" s="163">
        <f ca="1">IF(BD253,_xll.xCrudeAPO(BU253,BV253,CA253,CB253,S254,S255,BI253-DaysForThetaCalculation/365.25,BL253-DaysForThetaCalculation/365.25,BP253,BQ253,0,Strike1,AO253,CE253,0,BL253,IF(OptControl=4,0,1),0,1)-_xll.xCrudeAPO(BU253,BV253,CA253,CB253,S254,S255,BI253,BL253,BP253,BQ253,0,Strike1,AO253,CE253,0,BL253,IF(OptControl=4,0,1),0,1),0)</f>
        <v>0</v>
      </c>
      <c r="CJ253" s="311">
        <f ca="1">IF(BD253,_xll.xCrudeAPO(BU253,BV253,CC253,CD253,S254,S255,BI253,BL253,BP253,BQ253,0,Strike2,AO253,CE253,0,BL253,IF(OptControl=3,1,0),0,1),0)</f>
        <v>0</v>
      </c>
      <c r="CK253" s="163">
        <f ca="1">IF(BD253,_xll.xCrudeAPO(BU253,BV253,CC253,CD253,S254,S255,BI253,BL253,BP253,BQ253,0,Strike2,AO253,CE253,0,BL253,IF(OptControl=3,1,0),1,1)+_xll.xCrudeAPO(BU253,BV253,CC253,CD253,S254,S255,BI253,BL253,BP253,BQ253,0,Strike2,AO253,CE253,0,BL253,IF(OptControl=3,1,0),1,2)+IF(OR(VolSkewFlag=2,ABS(BT253)&lt;0.0001),0,IF(BT253&gt;0,-1,1)*CL253*Strike2/BR253^2*BZ253/10%),0)</f>
        <v>0</v>
      </c>
      <c r="CL253" s="163">
        <f ca="1">IF(BD253,(_xll.xCrudeAPO(BU253,BV253,CC253,CD253,S254,S255,BI253,BL253,BP253,BQ253,0,Strike2,AO253,CE253,0,BL253,IF(OptControl=3,1,0),3,1)+_xll.xCrudeAPO(BU253,BV253,CC253,CD253,S254,S255,BI253,BL253,BP253,BQ253,0,Strike2,AO253,CE253,0,BL253,IF(OptControl=3,1,0),3,2))/100,0)</f>
        <v>0</v>
      </c>
      <c r="CM253" s="164">
        <f ca="1">IF(BD253,_xll.xCrudeAPO(BU253,BV253,CC253,CD253,S254,S255,BI253-DaysForThetaCalculation/365.25,BL253-DaysForThetaCalculation/365.25,BP253,BQ253,0,Strike2,AO253,CE253,0,BL253,IF(OptControl=3,1,0),0,1)-_xll.xCrudeAPO(BU253,BV253,CC253,CD253,S254,S255,BI253,BL253,BP253,BQ253,0,Strike2,AO253,CE253,0,BL253,IF(OptControl=3,1,0),0,1),0)</f>
        <v>0</v>
      </c>
      <c r="CN253" s="53"/>
      <c r="CO253" s="796" t="str">
        <f t="shared" ca="1" si="651"/>
        <v/>
      </c>
      <c r="CP253" s="800" t="str">
        <f t="shared" ca="1" si="652"/>
        <v/>
      </c>
      <c r="CQ253" s="797" t="str">
        <f t="shared" ca="1" si="653"/>
        <v/>
      </c>
      <c r="CR253" s="797" t="str">
        <f t="shared" ca="1" si="654"/>
        <v/>
      </c>
      <c r="CS253" s="797" t="str">
        <f t="shared" ca="1" si="655"/>
        <v/>
      </c>
      <c r="CT253" s="797" t="str">
        <f t="shared" ca="1" si="656"/>
        <v/>
      </c>
      <c r="CU253" s="798" t="str">
        <f t="shared" ca="1" si="657"/>
        <v/>
      </c>
      <c r="CV253" s="799" t="str">
        <f t="shared" ca="1" si="658"/>
        <v/>
      </c>
      <c r="CW253" s="799" t="str">
        <f t="shared" ca="1" si="659"/>
        <v/>
      </c>
      <c r="CX253" s="163">
        <f ca="1">IF(BD253,_xll.EURO(CP253,Strike1,AO253,AO253,CV253,CO253,IF(OptControl=4,0,1),0),0)</f>
        <v>0</v>
      </c>
      <c r="CY253" s="163">
        <f ca="1">IF(BD253,_xll.EURO(CP253,Strike1,AO253,AO253,CV253,CO253,IF(OptControl=4,0,1),1)+IF(OR(VolSkewFlag=2,ABS(CQ253)&lt;0.0001),0,IF(CQ253&gt;0,-1,1)*CZ253*100*Strike1/CP253^2*CS253/10%),0)</f>
        <v>0</v>
      </c>
      <c r="CZ253" s="163">
        <f ca="1">IF(BD253,_xll.EURO(CP253,Strike1,AO253,AO253,CV253,CO253,IF(OptControl=4,0,1),3)/100,0)</f>
        <v>0</v>
      </c>
      <c r="DA253" s="163">
        <f ca="1">IF(BD253,_xll.EURO(CP253,Strike1,AO253,AO253,CV253,CO253,IF(OptControl=4,0,1),0)-_xll.EURO(CP253,Strike1,AO253,AO253,CV253,CO253-1,IF(OptControl=4,0,1),0),0)</f>
        <v>0</v>
      </c>
      <c r="DB253" s="163">
        <f ca="1">IF(BD253,_xll.EURO(CP253,Strike2,AO253,AO253,CW253,CO253,IF(OptControl=3,1,0),0),0)</f>
        <v>0</v>
      </c>
      <c r="DC253" s="163">
        <f ca="1">IF(BD253,_xll.EURO(CP253,Strike2,AO253,AO253,CW253,CO253,IF(OptControl=3,1,0),1)+IF(OR(VolSkewFlag=2,ABS(CR253)&lt;0.0001),0,IF(CR253&gt;0,-1,1)*DD253*100*Strike2/CP253^2*CT253/10%),0)</f>
        <v>0</v>
      </c>
      <c r="DD253" s="163">
        <f ca="1">IF(BD253,_xll.EURO(CP253,Strike2,AO253,AO253,CW253,CO253,IF(OptControl=3,1,0),3)/100,0)</f>
        <v>0</v>
      </c>
      <c r="DE253" s="164">
        <f ca="1">IF(BD253,_xll.EURO(CP253,Strike2,AO253,AO253,CW253,CO253,IF(OptControl=3,1,0),0)-_xll.EURO(CP253,Strike2,AO253,AO253,CW253,CO253-1,IF(OptControl=3,1,0),0),0)</f>
        <v>0</v>
      </c>
      <c r="DG253" s="667">
        <f t="shared" ca="1" si="660"/>
        <v>43647</v>
      </c>
      <c r="DH253" s="475">
        <v>25.810000000000112</v>
      </c>
      <c r="DI253" s="665">
        <v>25.878181818181929</v>
      </c>
      <c r="DJ253" s="666">
        <f t="shared" ca="1" si="617"/>
        <v>43647</v>
      </c>
      <c r="DK253" s="475">
        <v>24.603447491696652</v>
      </c>
      <c r="DL253" s="665">
        <v>24.611281818181929</v>
      </c>
      <c r="DM253" s="667">
        <f t="shared" ca="1" si="618"/>
        <v>43647</v>
      </c>
      <c r="DN253" s="668">
        <f t="shared" si="619"/>
        <v>24.653447491696653</v>
      </c>
      <c r="DO253" s="667">
        <f t="shared" ca="1" si="620"/>
        <v>43647</v>
      </c>
      <c r="DP253" s="579">
        <f t="shared" si="621"/>
        <v>24.611281818181929</v>
      </c>
      <c r="DQ253" s="821">
        <v>0</v>
      </c>
      <c r="DR253" s="666">
        <f t="shared" ca="1" si="622"/>
        <v>43647</v>
      </c>
      <c r="DS253" s="669">
        <v>8.4799999999997197E-2</v>
      </c>
      <c r="DT253" s="606">
        <v>8.3981818181815354E-2</v>
      </c>
      <c r="DU253" s="666">
        <f t="shared" ca="1" si="623"/>
        <v>43647</v>
      </c>
      <c r="DV253" s="669">
        <v>8.4799999999997197E-2</v>
      </c>
      <c r="DW253" s="606">
        <v>8.3981818181815354E-2</v>
      </c>
      <c r="DX253" s="667">
        <f t="shared" ca="1" si="624"/>
        <v>43647</v>
      </c>
      <c r="DY253" s="606">
        <v>0.35</v>
      </c>
      <c r="DZ253" s="667">
        <f t="shared" ca="1" si="625"/>
        <v>43647</v>
      </c>
      <c r="EA253" s="606">
        <f t="shared" si="626"/>
        <v>8.3981818181815354E-2</v>
      </c>
      <c r="EB253" s="1"/>
      <c r="EC253" s="118" t="str">
        <f t="shared" ca="1" si="627"/>
        <v/>
      </c>
      <c r="ED253" s="119" t="str">
        <f t="shared" ca="1" si="644"/>
        <v/>
      </c>
      <c r="EE253" s="112" t="str">
        <f t="shared" ca="1" si="645"/>
        <v/>
      </c>
      <c r="EF253" s="120">
        <f ca="1">IF(BD253,_xll.xASN(BR253,Strike1,AO253,ED253,0,BO253,0,BI253,BL253,IF(OptControl=4,0,1),0),0)</f>
        <v>0</v>
      </c>
      <c r="EG253" s="111">
        <f ca="1">IF(BD253,_xll.xASN(BR253,Strike2,AO253,EE253,0,BO253,0,BI253,BL253,IF(OptControl=3,1,0),0),0)</f>
        <v>0</v>
      </c>
      <c r="EL253" s="55"/>
      <c r="EM253" s="1"/>
      <c r="EN253" s="106"/>
      <c r="EO253" s="106"/>
      <c r="EP253" s="1"/>
      <c r="EQ253" s="683" t="s">
        <v>467</v>
      </c>
      <c r="ES253" s="55"/>
      <c r="EU253" s="107"/>
      <c r="FJ253" s="673">
        <v>9</v>
      </c>
      <c r="FK253" s="479" t="str">
        <f ca="1">IF($FJ253+FK$244&gt;73,"",PRODUCT(INDEX($T$19:$T$93,FK$244):INDEX($T$19:$T$93,FK$244+$FJ253-1)))</f>
        <v/>
      </c>
      <c r="FL253" s="479" t="str">
        <f ca="1">IF($FJ253+FL$244&gt;73,"",PRODUCT(INDEX($T$19:$T$93,FL$244):INDEX($T$19:$T$93,FL$244+$FJ253-1)))</f>
        <v/>
      </c>
      <c r="FM253" s="479" t="str">
        <f ca="1">IF($FJ253+FM$244&gt;73,"",PRODUCT(INDEX($T$19:$T$93,FM$244):INDEX($T$19:$T$93,FM$244+$FJ253-1)))</f>
        <v/>
      </c>
      <c r="FN253" s="479" t="str">
        <f ca="1">IF($FJ253+FN$244&gt;73,"",PRODUCT(INDEX($T$19:$T$93,FN$244):INDEX($T$19:$T$93,FN$244+$FJ253-1)))</f>
        <v/>
      </c>
      <c r="FO253" s="479" t="str">
        <f ca="1">IF($FJ253+FO$244&gt;73,"",PRODUCT(INDEX($T$19:$T$93,FO$244):INDEX($T$19:$T$93,FO$244+$FJ253-1)))</f>
        <v/>
      </c>
      <c r="FP253" s="479" t="str">
        <f ca="1">IF($FJ253+FP$244&gt;73,"",PRODUCT(INDEX($T$19:$T$93,FP$244):INDEX($T$19:$T$93,FP$244+$FJ253-1)))</f>
        <v/>
      </c>
      <c r="FQ253" s="479" t="str">
        <f ca="1">IF($FJ253+FQ$244&gt;73,"",PRODUCT(INDEX($T$19:$T$93,FQ$244):INDEX($T$19:$T$93,FQ$244+$FJ253-1)))</f>
        <v/>
      </c>
      <c r="FR253" s="479" t="str">
        <f ca="1">IF($FJ253+FR$244&gt;73,"",PRODUCT(INDEX($T$19:$T$93,FR$244):INDEX($T$19:$T$93,FR$244+$FJ253-1)))</f>
        <v/>
      </c>
      <c r="FS253" s="479">
        <f ca="1">IF($FJ253+FS$244&gt;73,"",PRODUCT(INDEX($T$19:$T$93,FS$244):INDEX($T$19:$T$93,FS$244+$FJ253-1)))</f>
        <v>0.99996456421831736</v>
      </c>
      <c r="FT253" s="479">
        <f ca="1">IF($FJ253+FT$244&gt;73,"",PRODUCT(INDEX($T$19:$T$93,FT$244):INDEX($T$19:$T$93,FT$244+$FJ253-1)))</f>
        <v>0.99995855465229444</v>
      </c>
      <c r="FU253" s="479">
        <f ca="1">IF($FJ253+FU$244&gt;73,"",PRODUCT(INDEX($T$19:$T$93,FU$244):INDEX($T$19:$T$93,FU$244+$FJ253-1)))</f>
        <v>0.99995152592696779</v>
      </c>
      <c r="FV253" s="479">
        <f ca="1">IF($FJ253+FV$244&gt;73,"",PRODUCT(INDEX($T$19:$T$93,FV$244):INDEX($T$19:$T$93,FV$244+$FJ253-1)))</f>
        <v>0.99994330520592256</v>
      </c>
      <c r="FW253" s="479">
        <f ca="1">IF($FJ253+FW$244&gt;73,"",PRODUCT(INDEX($T$19:$T$93,FW$244):INDEX($T$19:$T$93,FW$244+$FJ253-1)))</f>
        <v>0.99993369034289437</v>
      </c>
      <c r="FX253" s="479">
        <f ca="1">IF($FJ253+FX$244&gt;73,"",PRODUCT(INDEX($T$19:$T$93,FX$244):INDEX($T$19:$T$93,FX$244+$FJ253-1)))</f>
        <v>0.99992244491178128</v>
      </c>
      <c r="FY253" s="479">
        <f ca="1">IF($FJ253+FY$244&gt;73,"",PRODUCT(INDEX($T$19:$T$93,FY$244):INDEX($T$19:$T$93,FY$244+$FJ253-1)))</f>
        <v>0.9999092923940841</v>
      </c>
      <c r="FZ253" s="479">
        <f ca="1">IF($FJ253+FZ$244&gt;73,"",PRODUCT(INDEX($T$19:$T$93,FZ$244):INDEX($T$19:$T$93,FZ$244+$FJ253-1)))</f>
        <v>0.99989390938099432</v>
      </c>
      <c r="GA253" s="479">
        <f ca="1">IF($FJ253+GA$244&gt;73,"",PRODUCT(INDEX($T$19:$T$93,GA$244):INDEX($T$19:$T$93,GA$244+$FJ253-1)))</f>
        <v>0.99987591762319217</v>
      </c>
      <c r="GB253" s="479">
        <f ca="1">IF($FJ253+GB$244&gt;73,"",PRODUCT(INDEX($T$19:$T$93,GB$244):INDEX($T$19:$T$93,GB$244+$FJ253-1)))</f>
        <v>0.99985487473316759</v>
      </c>
      <c r="GC253" s="479">
        <f ca="1">IF($FJ253+GC$244&gt;73,"",PRODUCT(INDEX($T$19:$T$93,GC$244):INDEX($T$19:$T$93,GC$244+$FJ253-1)))</f>
        <v>0.99983026331186786</v>
      </c>
      <c r="GD253" s="479">
        <f ca="1">IF($FJ253+GD$244&gt;73,"",PRODUCT(INDEX($T$19:$T$93,GD$244):INDEX($T$19:$T$93,GD$244+$FJ253-1)))</f>
        <v>0.999801478232901</v>
      </c>
      <c r="GE253" s="479">
        <f ca="1">IF($FJ253+GE$244&gt;73,"",PRODUCT(INDEX($T$19:$T$93,GE$244):INDEX($T$19:$T$93,GE$244+$FJ253-1)))</f>
        <v>0.99976781177246821</v>
      </c>
      <c r="GF253" s="479">
        <f ca="1">IF($FJ253+GF$244&gt;73,"",PRODUCT(INDEX($T$19:$T$93,GF$244):INDEX($T$19:$T$93,GF$244+$FJ253-1)))</f>
        <v>0.99972843622055263</v>
      </c>
      <c r="GG253" s="479">
        <f ca="1">IF($FJ253+GG$244&gt;73,"",PRODUCT(INDEX($T$19:$T$93,GG$244):INDEX($T$19:$T$93,GG$244+$FJ253-1)))</f>
        <v>0.99968238354743688</v>
      </c>
      <c r="GH253" s="479">
        <f ca="1">IF($FJ253+GH$244&gt;73,"",PRODUCT(INDEX($T$19:$T$93,GH$244):INDEX($T$19:$T$93,GH$244+$FJ253-1)))</f>
        <v>0.99962852162785898</v>
      </c>
      <c r="GI253" s="479">
        <f ca="1">IF($FJ253+GI$244&gt;73,"",PRODUCT(INDEX($T$19:$T$93,GI$244):INDEX($T$19:$T$93,GI$244+$FJ253-1)))</f>
        <v>0.99956552644138563</v>
      </c>
      <c r="GJ253" s="479">
        <f ca="1">IF($FJ253+GJ$244&gt;73,"",PRODUCT(INDEX($T$19:$T$93,GJ$244):INDEX($T$19:$T$93,GJ$244+$FJ253-1)))</f>
        <v>0.99949184956989523</v>
      </c>
      <c r="GK253" s="479">
        <f ca="1">IF($FJ253+GK$244&gt;73,"",PRODUCT(INDEX($T$19:$T$93,GK$244):INDEX($T$19:$T$93,GK$244+$FJ253-1)))</f>
        <v>0.99940568019917986</v>
      </c>
      <c r="GL253" s="479">
        <f ca="1">IF($FJ253+GL$244&gt;73,"",PRODUCT(INDEX($T$19:$T$93,GL$244):INDEX($T$19:$T$93,GL$244+$FJ253-1)))</f>
        <v>0.99930490069896816</v>
      </c>
      <c r="GM253" s="479">
        <f ca="1">IF($FJ253+GM$244&gt;73,"",PRODUCT(INDEX($T$19:$T$93,GM$244):INDEX($T$19:$T$93,GM$244+$FJ253-1)))</f>
        <v>0.99918703470114356</v>
      </c>
      <c r="GN253" s="479">
        <f ca="1">IF($FJ253+GN$244&gt;73,"",PRODUCT(INDEX($T$19:$T$93,GN$244):INDEX($T$19:$T$93,GN$244+$FJ253-1)))</f>
        <v>0.99904918641614948</v>
      </c>
      <c r="GO253" s="479">
        <f ca="1">IF($FJ253+GO$244&gt;73,"",PRODUCT(INDEX($T$19:$T$93,GO$244):INDEX($T$19:$T$93,GO$244+$FJ253-1)))</f>
        <v>0.99888796971861815</v>
      </c>
      <c r="GP253" s="479">
        <f ca="1">IF($FJ253+GP$244&gt;73,"",PRODUCT(INDEX($T$19:$T$93,GP$244):INDEX($T$19:$T$93,GP$244+$FJ253-1)))</f>
        <v>0.99869942529067712</v>
      </c>
      <c r="GQ253" s="479">
        <f ca="1">IF($FJ253+GQ$244&gt;73,"",PRODUCT(INDEX($T$19:$T$93,GQ$244):INDEX($T$19:$T$93,GQ$244+$FJ253-1)))</f>
        <v>0.99847892383018777</v>
      </c>
      <c r="GR253" s="479">
        <f ca="1">IF($FJ253+GR$244&gt;73,"",PRODUCT(INDEX($T$19:$T$93,GR$244):INDEX($T$19:$T$93,GR$244+$FJ253-1)))</f>
        <v>0.99822105300575048</v>
      </c>
      <c r="GS253" s="479">
        <f ca="1">IF($FJ253+GS$244&gt;73,"",PRODUCT(INDEX($T$19:$T$93,GS$244):INDEX($T$19:$T$93,GS$244+$FJ253-1)))</f>
        <v>0.99791948546450515</v>
      </c>
      <c r="GT253" s="479">
        <f ca="1">IF($FJ253+GT$244&gt;73,"",PRODUCT(INDEX($T$19:$T$93,GT$244):INDEX($T$19:$T$93,GT$244+$FJ253-1)))</f>
        <v>0.99756682476586034</v>
      </c>
      <c r="GU253" s="479">
        <f ca="1">IF($FJ253+GU$244&gt;73,"",PRODUCT(INDEX($T$19:$T$93,GU$244):INDEX($T$19:$T$93,GU$244+$FJ253-1)))</f>
        <v>0.99715442561713608</v>
      </c>
      <c r="GV253" s="479">
        <f ca="1">IF($FJ253+GV$244&gt;73,"",PRODUCT(INDEX($T$19:$T$93,GV$244):INDEX($T$19:$T$93,GV$244+$FJ253-1)))</f>
        <v>0.99667218421831505</v>
      </c>
      <c r="GW253" s="479">
        <f ca="1">IF($FJ253+GW$244&gt;73,"",PRODUCT(INDEX($T$19:$T$93,GW$244):INDEX($T$19:$T$93,GW$244+$FJ253-1)))</f>
        <v>0.99610829387535227</v>
      </c>
      <c r="GX253" s="479">
        <f ca="1">IF($FJ253+GX$244&gt;73,"",PRODUCT(INDEX($T$19:$T$93,GX$244):INDEX($T$19:$T$93,GX$244+$FJ253-1)))</f>
        <v>0.99544896030804952</v>
      </c>
      <c r="GY253" s="479">
        <f ca="1">IF($FJ253+GY$244&gt;73,"",PRODUCT(INDEX($T$19:$T$93,GY$244):INDEX($T$19:$T$93,GY$244+$FJ253-1)))</f>
        <v>0.99467807025404609</v>
      </c>
      <c r="GZ253" s="479">
        <f ca="1">IF($FJ253+GZ$244&gt;73,"",PRODUCT(INDEX($T$19:$T$93,GZ$244):INDEX($T$19:$T$93,GZ$244+$FJ253-1)))</f>
        <v>0.99377680605228502</v>
      </c>
      <c r="HA253" s="479">
        <f ca="1">IF($FJ253+HA$244&gt;73,"",PRODUCT(INDEX($T$19:$T$93,HA$244):INDEX($T$19:$T$93,HA$244+$FJ253-1)))</f>
        <v>0.99272319787899044</v>
      </c>
      <c r="HB253" s="479">
        <f ca="1">IF($FJ253+HB$244&gt;73,"",PRODUCT(INDEX($T$19:$T$93,HB$244):INDEX($T$19:$T$93,HB$244+$FJ253-1)))</f>
        <v>0.99149160421533045</v>
      </c>
      <c r="HC253" s="479">
        <f ca="1">IF($FJ253+HC$244&gt;73,"",PRODUCT(INDEX($T$19:$T$93,HC$244):INDEX($T$19:$T$93,HC$244+$FJ253-1)))</f>
        <v>0.99005210996770598</v>
      </c>
      <c r="HD253" s="479">
        <f ca="1">IF($FJ253+HD$244&gt;73,"",PRODUCT(INDEX($T$19:$T$93,HD$244):INDEX($T$19:$T$93,HD$244+$FJ253-1)))</f>
        <v>0.98836983047410054</v>
      </c>
      <c r="HE253" s="479">
        <f ca="1">IF($FJ253+HE$244&gt;73,"",PRODUCT(INDEX($T$19:$T$93,HE$244):INDEX($T$19:$T$93,HE$244+$FJ253-1)))</f>
        <v>0.98640410847156379</v>
      </c>
      <c r="HF253" s="479">
        <f ca="1">IF($FJ253+HF$244&gt;73,"",PRODUCT(INDEX($T$19:$T$93,HF$244):INDEX($T$19:$T$93,HF$244+$FJ253-1)))</f>
        <v>0.98410759006293114</v>
      </c>
      <c r="HG253" s="479">
        <f ca="1">IF($FJ253+HG$244&gt;73,"",PRODUCT(INDEX($T$19:$T$93,HG$244):INDEX($T$19:$T$93,HG$244+$FJ253-1)))</f>
        <v>0.98142516494606358</v>
      </c>
      <c r="HH253" s="479">
        <f ca="1">IF($FJ253+HH$244&gt;73,"",PRODUCT(INDEX($T$19:$T$93,HH$244):INDEX($T$19:$T$93,HH$244+$FJ253-1)))</f>
        <v>0.978292755865803</v>
      </c>
      <c r="HI253" s="479">
        <f ca="1">IF($FJ253+HI$244&gt;73,"",PRODUCT(INDEX($T$19:$T$93,HI$244):INDEX($T$19:$T$93,HI$244+$FJ253-1)))</f>
        <v>0.9746359427241672</v>
      </c>
      <c r="HJ253" s="479">
        <f ca="1">IF($FJ253+HJ$244&gt;73,"",PRODUCT(INDEX($T$19:$T$93,HJ$244):INDEX($T$19:$T$93,HJ$244+$FJ253-1)))</f>
        <v>0.9703684084805102</v>
      </c>
      <c r="HK253" s="479">
        <f ca="1">IF($FJ253+HK$244&gt;73,"",PRODUCT(INDEX($T$19:$T$93,HK$244):INDEX($T$19:$T$93,HK$244+$FJ253-1)))</f>
        <v>0.96539019752153377</v>
      </c>
      <c r="HL253" s="479">
        <f ca="1">IF($FJ253+HL$244&gt;73,"",PRODUCT(INDEX($T$19:$T$93,HL$244):INDEX($T$19:$T$93,HL$244+$FJ253-1)))</f>
        <v>0.95958578347233314</v>
      </c>
      <c r="HM253" s="479">
        <f ca="1">IF($FJ253+HM$244&gt;73,"",PRODUCT(INDEX($T$19:$T$93,HM$244):INDEX($T$19:$T$93,HM$244+$FJ253-1)))</f>
        <v>0.95282195370085254</v>
      </c>
      <c r="HN253" s="479">
        <f ca="1">IF($FJ253+HN$244&gt;73,"",PRODUCT(INDEX($T$19:$T$93,HN$244):INDEX($T$19:$T$93,HN$244+$FJ253-1)))</f>
        <v>0.94494553376731805</v>
      </c>
      <c r="HO253" s="479">
        <f ca="1">IF($FJ253+HO$244&gt;73,"",PRODUCT(INDEX($T$19:$T$93,HO$244):INDEX($T$19:$T$93,HO$244+$FJ253-1)))</f>
        <v>0.93578099915908319</v>
      </c>
      <c r="HP253" s="479">
        <f ca="1">IF($FJ253+HP$244&gt;73,"",PRODUCT(INDEX($T$19:$T$93,HP$244):INDEX($T$19:$T$93,HP$244+$FJ253-1)))</f>
        <v>0.92512805704798451</v>
      </c>
      <c r="HQ253" s="479">
        <f ca="1">IF($FJ253+HQ$244&gt;73,"",PRODUCT(INDEX($T$19:$T$93,HQ$244):INDEX($T$19:$T$93,HQ$244+$FJ253-1)))</f>
        <v>0.91275933181854485</v>
      </c>
      <c r="HR253" s="479">
        <f ca="1">IF($FJ253+HR$244&gt;73,"",PRODUCT(INDEX($T$19:$T$93,HR$244):INDEX($T$19:$T$93,HR$244+$FJ253-1)))</f>
        <v>0.89841836040331513</v>
      </c>
      <c r="HS253" s="479">
        <f ca="1">IF($FJ253+HS$244&gt;73,"",PRODUCT(INDEX($T$19:$T$93,HS$244):INDEX($T$19:$T$93,HS$244+$FJ253-1)))</f>
        <v>0.88181820429253277</v>
      </c>
      <c r="HT253" s="479">
        <f ca="1">IF($FJ253+HT$244&gt;73,"",PRODUCT(INDEX($T$19:$T$93,HT$244):INDEX($T$19:$T$93,HT$244+$FJ253-1)))</f>
        <v>0.8626411234644874</v>
      </c>
      <c r="HU253" s="479">
        <f ca="1">IF($FJ253+HU$244&gt;73,"",PRODUCT(INDEX($T$19:$T$93,HU$244):INDEX($T$19:$T$93,HU$244+$FJ253-1)))</f>
        <v>0.84053994398213339</v>
      </c>
      <c r="HV253" s="479">
        <f ca="1">IF($FJ253+HV$244&gt;73,"",PRODUCT(INDEX($T$19:$T$93,HV$244):INDEX($T$19:$T$93,HV$244+$FJ253-1)))</f>
        <v>0.81514199690815803</v>
      </c>
      <c r="HW253" s="479">
        <f ca="1">IF($FJ253+HW$244&gt;73,"",PRODUCT(INDEX($T$19:$T$93,HW$244):INDEX($T$19:$T$93,HW$244+$FJ253-1)))</f>
        <v>0.78605682131254784</v>
      </c>
      <c r="HX253" s="479">
        <f ca="1">IF($FJ253+HX$244&gt;73,"",PRODUCT(INDEX($T$19:$T$93,HX$244):INDEX($T$19:$T$93,HX$244+$FJ253-1)))</f>
        <v>0.75288921210947413</v>
      </c>
      <c r="HY253" s="479">
        <f ca="1">IF($FJ253+HY$244&gt;73,"",PRODUCT(INDEX($T$19:$T$93,HY$244):INDEX($T$19:$T$93,HY$244+$FJ253-1)))</f>
        <v>0.71525964257365948</v>
      </c>
      <c r="HZ253" s="479">
        <f ca="1">IF($FJ253+HZ$244&gt;73,"",PRODUCT(INDEX($T$19:$T$93,HZ$244):INDEX($T$19:$T$93,HZ$244+$FJ253-1)))</f>
        <v>0.67283455804669057</v>
      </c>
      <c r="IA253" s="479">
        <f ca="1">IF($FJ253+IA$244&gt;73,"",PRODUCT(INDEX($T$19:$T$93,IA$244):INDEX($T$19:$T$93,IA$244+$FJ253-1)))</f>
        <v>0.62536941755756426</v>
      </c>
      <c r="IB253" s="479">
        <f ca="1">IF($FJ253+IB$244&gt;73,"",PRODUCT(INDEX($T$19:$T$93,IB$244):INDEX($T$19:$T$93,IB$244+$FJ253-1)))</f>
        <v>0.5727674434706943</v>
      </c>
      <c r="IC253" s="479">
        <f ca="1">IF($FJ253+IC$244&gt;73,"",PRODUCT(INDEX($T$19:$T$93,IC$244):INDEX($T$19:$T$93,IC$244+$FJ253-1)))</f>
        <v>0.51515644029172447</v>
      </c>
      <c r="ID253" s="678">
        <f ca="1">IF($FJ253+ID$244&gt;73,"",PRODUCT(INDEX($T$19:$T$93,ID$244):INDEX($T$19:$T$93,ID$244+$FJ253-1)))</f>
        <v>0.45298411048776993</v>
      </c>
      <c r="IE253" s="250"/>
    </row>
    <row r="254" spans="8:239">
      <c r="H254" s="51">
        <f t="shared" ca="1" si="646"/>
        <v>0</v>
      </c>
      <c r="I254" s="379">
        <f t="shared" si="647"/>
        <v>43891</v>
      </c>
      <c r="J254" s="377"/>
      <c r="K254" s="104" t="s">
        <v>268</v>
      </c>
      <c r="L254" s="392">
        <f t="shared" si="648"/>
        <v>5.9249999999999883</v>
      </c>
      <c r="M254" s="171"/>
      <c r="N254" s="382">
        <v>0</v>
      </c>
      <c r="O254" s="171">
        <f t="shared" si="596"/>
        <v>0</v>
      </c>
      <c r="P254" s="377"/>
      <c r="Q254" s="104" t="s">
        <v>268</v>
      </c>
      <c r="R254" s="377">
        <f t="shared" ca="1" si="597"/>
        <v>4.7645166214952619</v>
      </c>
      <c r="S254" s="832">
        <f t="shared" si="671"/>
        <v>0.3600000000000001</v>
      </c>
      <c r="T254" s="831">
        <f t="shared" si="661"/>
        <v>0.99999999999999933</v>
      </c>
      <c r="U254" s="545">
        <f t="shared" si="662"/>
        <v>0.99999999999999978</v>
      </c>
      <c r="V254" s="389">
        <v>0</v>
      </c>
      <c r="W254" s="434">
        <f t="shared" si="598"/>
        <v>0</v>
      </c>
      <c r="X254" s="415">
        <f t="shared" si="599"/>
        <v>5.974431818181805</v>
      </c>
      <c r="Y254" s="322">
        <f t="shared" si="600"/>
        <v>-1.1684999999999999</v>
      </c>
      <c r="Z254" s="322">
        <f t="shared" ca="1" si="601"/>
        <v>4.8059318181818051</v>
      </c>
      <c r="AA254" s="429">
        <f t="shared" si="628"/>
        <v>1.1684999999999999</v>
      </c>
      <c r="AB254" s="433">
        <f t="shared" ca="1" si="629"/>
        <v>1.1684999999999999</v>
      </c>
      <c r="AC254" s="229">
        <v>43881</v>
      </c>
      <c r="AD254" s="229">
        <v>43877</v>
      </c>
      <c r="AE254" s="229">
        <v>43876</v>
      </c>
      <c r="AF254" s="229">
        <v>43872</v>
      </c>
      <c r="AG254" s="249" t="s">
        <v>499</v>
      </c>
      <c r="AH254" s="247" t="s">
        <v>499</v>
      </c>
      <c r="AI254" s="146">
        <v>22</v>
      </c>
      <c r="AJ254" s="41">
        <v>15</v>
      </c>
      <c r="AK254" s="41">
        <v>7</v>
      </c>
      <c r="AL254" s="293">
        <v>22</v>
      </c>
      <c r="AM254" s="41">
        <v>10</v>
      </c>
      <c r="AN254" s="147">
        <v>12</v>
      </c>
      <c r="AO254" s="374"/>
      <c r="AP254" s="153">
        <f t="shared" ca="1" si="649"/>
        <v>1</v>
      </c>
      <c r="AQ254" s="374"/>
      <c r="AR254" s="153">
        <f t="shared" ca="1" si="663"/>
        <v>1</v>
      </c>
      <c r="AS254" s="272">
        <f t="shared" si="602"/>
        <v>0</v>
      </c>
      <c r="AT254" s="157">
        <f t="shared" si="650"/>
        <v>0</v>
      </c>
      <c r="AU254" s="157">
        <f t="shared" si="630"/>
        <v>0</v>
      </c>
      <c r="AV254" s="271">
        <f t="shared" ca="1" si="670"/>
        <v>9.9999999999999995E-7</v>
      </c>
      <c r="AW254" s="158" t="str">
        <f t="shared" ca="1" si="672"/>
        <v/>
      </c>
      <c r="AX254" s="157">
        <f t="shared" ca="1" si="664"/>
        <v>9.4317986402169203E-6</v>
      </c>
      <c r="AY254" s="157">
        <f t="shared" ca="1" si="665"/>
        <v>1.5333031070920407E-6</v>
      </c>
      <c r="AZ254" s="157">
        <f t="shared" ca="1" si="666"/>
        <v>1.9712146986904681E-8</v>
      </c>
      <c r="BA254" s="157">
        <f t="shared" ca="1" si="667"/>
        <v>2.4640183733630851E-9</v>
      </c>
      <c r="BB254" s="157">
        <f t="shared" ca="1" si="668"/>
        <v>1.9366770952793595E-12</v>
      </c>
      <c r="BC254" s="157">
        <f t="shared" ca="1" si="669"/>
        <v>1.2142773088540054E-14</v>
      </c>
      <c r="BD254" s="151">
        <f t="shared" ca="1" si="603"/>
        <v>0</v>
      </c>
      <c r="BE254" s="152">
        <f t="shared" ca="1" si="604"/>
        <v>0</v>
      </c>
      <c r="BF254" s="40">
        <f t="shared" si="605"/>
        <v>2020</v>
      </c>
      <c r="BG254" s="144">
        <f t="shared" si="606"/>
        <v>3</v>
      </c>
      <c r="BH254" s="145">
        <f t="shared" ca="1" si="607"/>
        <v>7132</v>
      </c>
      <c r="BI254" s="313">
        <f t="shared" ca="1" si="608"/>
        <v>19.564681724845997</v>
      </c>
      <c r="BJ254" s="42">
        <f t="shared" ca="1" si="631"/>
        <v>19.620683218219153</v>
      </c>
      <c r="BK254" s="42">
        <f t="shared" ca="1" si="632"/>
        <v>19.623421069006284</v>
      </c>
      <c r="BL254" s="42">
        <f t="shared" ca="1" si="609"/>
        <v>19.646817248459961</v>
      </c>
      <c r="BM254" s="150" t="e">
        <f t="shared" ca="1" si="633"/>
        <v>#DIV/0!</v>
      </c>
      <c r="BN254" s="42" t="e">
        <f t="shared" ca="1" si="634"/>
        <v>#DIV/0!</v>
      </c>
      <c r="BO254" s="293">
        <f t="shared" si="610"/>
        <v>22</v>
      </c>
      <c r="BP254" s="41">
        <f t="shared" si="611"/>
        <v>15</v>
      </c>
      <c r="BQ254" s="41">
        <f t="shared" si="612"/>
        <v>7</v>
      </c>
      <c r="BR254" s="305" t="str">
        <f t="shared" ca="1" si="635"/>
        <v/>
      </c>
      <c r="BS254" s="305" t="str">
        <f t="shared" ca="1" si="613"/>
        <v/>
      </c>
      <c r="BT254" s="307" t="str">
        <f t="shared" ca="1" si="614"/>
        <v/>
      </c>
      <c r="BU254" s="161" t="str">
        <f t="shared" ca="1" si="636"/>
        <v/>
      </c>
      <c r="BV254" s="161" t="str">
        <f t="shared" ca="1" si="637"/>
        <v/>
      </c>
      <c r="BW254" s="308" t="str">
        <f t="shared" ca="1" si="638"/>
        <v/>
      </c>
      <c r="BX254" s="309" t="str">
        <f t="shared" ca="1" si="639"/>
        <v/>
      </c>
      <c r="BY254" s="308" t="str">
        <f t="shared" ca="1" si="615"/>
        <v/>
      </c>
      <c r="BZ254" s="309" t="str">
        <f t="shared" ca="1" si="616"/>
        <v/>
      </c>
      <c r="CA254" s="154" t="str">
        <f t="shared" ca="1" si="640"/>
        <v/>
      </c>
      <c r="CB254" s="154" t="str">
        <f t="shared" ca="1" si="641"/>
        <v/>
      </c>
      <c r="CC254" s="154" t="str">
        <f t="shared" ca="1" si="642"/>
        <v/>
      </c>
      <c r="CD254" s="154" t="str">
        <f t="shared" ca="1" si="643"/>
        <v/>
      </c>
      <c r="CE254" s="310">
        <v>1</v>
      </c>
      <c r="CF254" s="162">
        <f ca="1">IF(BD254,_xll.xCrudeAPO(BU254,BV254,CA254,CB254,S255,S256,BI254,BL254,BP254,BQ254,0,Strike1,AO254,CE254,0,BL254,IF(OptControl=4,0,1),0,1),0)</f>
        <v>0</v>
      </c>
      <c r="CG254" s="163">
        <f ca="1">IF(BD254,_xll.xCrudeAPO(BU254,BV254,CA254,CB254,S255,S256,BI254,BL254,BP254,BQ254,0,Strike1,AO254,CE254,0,BL254,IF(OptControl=4,0,1),1,1)+_xll.xCrudeAPO(BU254,BV254,CA254,CB254,S255,S256,BI254,BL254,BP254,BQ254,0,Strike1,AO254,CE254,0,BL254,IF(OptControl=4,0,1),1,2)+IF(OR(VolSkewFlag=2,ABS(BS254)&lt;0.0001),0,IF(BS254&gt;0,-1,1)*CH254*Strike1/BR254^2*BY254/10%),0)</f>
        <v>0</v>
      </c>
      <c r="CH254" s="163">
        <f ca="1">IF(BD254,(_xll.xCrudeAPO(BU254,BV254,CA254,CB254,S255,S256,BI254,BL254,BP254,BQ254,0,Strike1,AO254,CE254,0,BL254,IF(OptControl=4,0,1),3,1)+_xll.xCrudeAPO(BU254,BV254,CA254,CB254,S255,S256,BI254,BL254,BP254,BQ254,0,Strike1,AO254,CE254,0,BL254,IF(OptControl=4,0,1),3,2))/100,0)</f>
        <v>0</v>
      </c>
      <c r="CI254" s="163">
        <f ca="1">IF(BD254,_xll.xCrudeAPO(BU254,BV254,CA254,CB254,S255,S256,BI254-DaysForThetaCalculation/365.25,BL254-DaysForThetaCalculation/365.25,BP254,BQ254,0,Strike1,AO254,CE254,0,BL254,IF(OptControl=4,0,1),0,1)-_xll.xCrudeAPO(BU254,BV254,CA254,CB254,S255,S256,BI254,BL254,BP254,BQ254,0,Strike1,AO254,CE254,0,BL254,IF(OptControl=4,0,1),0,1),0)</f>
        <v>0</v>
      </c>
      <c r="CJ254" s="311">
        <f ca="1">IF(BD254,_xll.xCrudeAPO(BU254,BV254,CC254,CD254,S255,S256,BI254,BL254,BP254,BQ254,0,Strike2,AO254,CE254,0,BL254,IF(OptControl=3,1,0),0,1),0)</f>
        <v>0</v>
      </c>
      <c r="CK254" s="163">
        <f ca="1">IF(BD254,_xll.xCrudeAPO(BU254,BV254,CC254,CD254,S255,S256,BI254,BL254,BP254,BQ254,0,Strike2,AO254,CE254,0,BL254,IF(OptControl=3,1,0),1,1)+_xll.xCrudeAPO(BU254,BV254,CC254,CD254,S255,S256,BI254,BL254,BP254,BQ254,0,Strike2,AO254,CE254,0,BL254,IF(OptControl=3,1,0),1,2)+IF(OR(VolSkewFlag=2,ABS(BT254)&lt;0.0001),0,IF(BT254&gt;0,-1,1)*CL254*Strike2/BR254^2*BZ254/10%),0)</f>
        <v>0</v>
      </c>
      <c r="CL254" s="163">
        <f ca="1">IF(BD254,(_xll.xCrudeAPO(BU254,BV254,CC254,CD254,S255,S256,BI254,BL254,BP254,BQ254,0,Strike2,AO254,CE254,0,BL254,IF(OptControl=3,1,0),3,1)+_xll.xCrudeAPO(BU254,BV254,CC254,CD254,S255,S256,BI254,BL254,BP254,BQ254,0,Strike2,AO254,CE254,0,BL254,IF(OptControl=3,1,0),3,2))/100,0)</f>
        <v>0</v>
      </c>
      <c r="CM254" s="164">
        <f ca="1">IF(BD254,_xll.xCrudeAPO(BU254,BV254,CC254,CD254,S255,S256,BI254-DaysForThetaCalculation/365.25,BL254-DaysForThetaCalculation/365.25,BP254,BQ254,0,Strike2,AO254,CE254,0,BL254,IF(OptControl=3,1,0),0,1)-_xll.xCrudeAPO(BU254,BV254,CC254,CD254,S255,S256,BI254,BL254,BP254,BQ254,0,Strike2,AO254,CE254,0,BL254,IF(OptControl=3,1,0),0,1),0)</f>
        <v>0</v>
      </c>
      <c r="CN254" s="53"/>
      <c r="CO254" s="796" t="str">
        <f t="shared" ca="1" si="651"/>
        <v/>
      </c>
      <c r="CP254" s="800" t="str">
        <f t="shared" ca="1" si="652"/>
        <v/>
      </c>
      <c r="CQ254" s="797" t="str">
        <f t="shared" ca="1" si="653"/>
        <v/>
      </c>
      <c r="CR254" s="797" t="str">
        <f t="shared" ca="1" si="654"/>
        <v/>
      </c>
      <c r="CS254" s="797" t="str">
        <f t="shared" ca="1" si="655"/>
        <v/>
      </c>
      <c r="CT254" s="797" t="str">
        <f t="shared" ca="1" si="656"/>
        <v/>
      </c>
      <c r="CU254" s="798" t="str">
        <f t="shared" ca="1" si="657"/>
        <v/>
      </c>
      <c r="CV254" s="799" t="str">
        <f t="shared" ca="1" si="658"/>
        <v/>
      </c>
      <c r="CW254" s="799" t="str">
        <f t="shared" ca="1" si="659"/>
        <v/>
      </c>
      <c r="CX254" s="163">
        <f ca="1">IF(BD254,_xll.EURO(CP254,Strike1,AO254,AO254,CV254,CO254,IF(OptControl=4,0,1),0),0)</f>
        <v>0</v>
      </c>
      <c r="CY254" s="163">
        <f ca="1">IF(BD254,_xll.EURO(CP254,Strike1,AO254,AO254,CV254,CO254,IF(OptControl=4,0,1),1)+IF(OR(VolSkewFlag=2,ABS(CQ254)&lt;0.0001),0,IF(CQ254&gt;0,-1,1)*CZ254*100*Strike1/CP254^2*CS254/10%),0)</f>
        <v>0</v>
      </c>
      <c r="CZ254" s="163">
        <f ca="1">IF(BD254,_xll.EURO(CP254,Strike1,AO254,AO254,CV254,CO254,IF(OptControl=4,0,1),3)/100,0)</f>
        <v>0</v>
      </c>
      <c r="DA254" s="163">
        <f ca="1">IF(BD254,_xll.EURO(CP254,Strike1,AO254,AO254,CV254,CO254,IF(OptControl=4,0,1),0)-_xll.EURO(CP254,Strike1,AO254,AO254,CV254,CO254-1,IF(OptControl=4,0,1),0),0)</f>
        <v>0</v>
      </c>
      <c r="DB254" s="163">
        <f ca="1">IF(BD254,_xll.EURO(CP254,Strike2,AO254,AO254,CW254,CO254,IF(OptControl=3,1,0),0),0)</f>
        <v>0</v>
      </c>
      <c r="DC254" s="163">
        <f ca="1">IF(BD254,_xll.EURO(CP254,Strike2,AO254,AO254,CW254,CO254,IF(OptControl=3,1,0),1)+IF(OR(VolSkewFlag=2,ABS(CR254)&lt;0.0001),0,IF(CR254&gt;0,-1,1)*DD254*100*Strike2/CP254^2*CT254/10%),0)</f>
        <v>0</v>
      </c>
      <c r="DD254" s="163">
        <f ca="1">IF(BD254,_xll.EURO(CP254,Strike2,AO254,AO254,CW254,CO254,IF(OptControl=3,1,0),3)/100,0)</f>
        <v>0</v>
      </c>
      <c r="DE254" s="164">
        <f ca="1">IF(BD254,_xll.EURO(CP254,Strike2,AO254,AO254,CW254,CO254,IF(OptControl=3,1,0),0)-_xll.EURO(CP254,Strike2,AO254,AO254,CW254,CO254-1,IF(OptControl=3,1,0),0),0)</f>
        <v>0</v>
      </c>
      <c r="DG254" s="667">
        <f t="shared" ca="1" si="660"/>
        <v>43678</v>
      </c>
      <c r="DH254" s="475">
        <v>25.860000000000113</v>
      </c>
      <c r="DI254" s="665">
        <v>25.928181818181937</v>
      </c>
      <c r="DJ254" s="666">
        <f t="shared" ca="1" si="617"/>
        <v>43678</v>
      </c>
      <c r="DK254" s="475">
        <v>24.463552508303575</v>
      </c>
      <c r="DL254" s="665">
        <v>24.661281818181937</v>
      </c>
      <c r="DM254" s="667">
        <f t="shared" ca="1" si="618"/>
        <v>43678</v>
      </c>
      <c r="DN254" s="668">
        <f t="shared" si="619"/>
        <v>24.513552508303576</v>
      </c>
      <c r="DO254" s="667">
        <f t="shared" ca="1" si="620"/>
        <v>43678</v>
      </c>
      <c r="DP254" s="579">
        <f t="shared" si="621"/>
        <v>24.661281818181937</v>
      </c>
      <c r="DQ254" s="821">
        <v>0</v>
      </c>
      <c r="DR254" s="666">
        <f t="shared" ca="1" si="622"/>
        <v>43678</v>
      </c>
      <c r="DS254" s="669">
        <v>8.4199999999997208E-2</v>
      </c>
      <c r="DT254" s="606">
        <v>8.3381818181815254E-2</v>
      </c>
      <c r="DU254" s="666">
        <f t="shared" ca="1" si="623"/>
        <v>43678</v>
      </c>
      <c r="DV254" s="669">
        <v>8.4199999999997208E-2</v>
      </c>
      <c r="DW254" s="606">
        <v>8.3381818181815254E-2</v>
      </c>
      <c r="DX254" s="667">
        <f t="shared" ca="1" si="624"/>
        <v>43678</v>
      </c>
      <c r="DY254" s="606">
        <v>0.35</v>
      </c>
      <c r="DZ254" s="667">
        <f t="shared" ca="1" si="625"/>
        <v>43678</v>
      </c>
      <c r="EA254" s="606">
        <f t="shared" si="626"/>
        <v>8.3381818181815254E-2</v>
      </c>
      <c r="EB254" s="1"/>
      <c r="EC254" s="118" t="str">
        <f t="shared" ca="1" si="627"/>
        <v/>
      </c>
      <c r="ED254" s="119" t="str">
        <f t="shared" ca="1" si="644"/>
        <v/>
      </c>
      <c r="EE254" s="112" t="str">
        <f t="shared" ca="1" si="645"/>
        <v/>
      </c>
      <c r="EF254" s="120">
        <f ca="1">IF(BD254,_xll.xASN(BR254,Strike1,AO254,ED254,0,BO254,0,BI254,BL254,IF(OptControl=4,0,1),0),0)</f>
        <v>0</v>
      </c>
      <c r="EG254" s="111">
        <f ca="1">IF(BD254,_xll.xASN(BR254,Strike2,AO254,EE254,0,BO254,0,BI254,BL254,IF(OptControl=3,1,0),0),0)</f>
        <v>0</v>
      </c>
      <c r="EL254" s="55"/>
      <c r="EM254" s="1"/>
      <c r="EN254" s="106"/>
      <c r="EO254" s="106"/>
      <c r="EP254" s="1"/>
      <c r="EQ254" s="683" t="s">
        <v>468</v>
      </c>
      <c r="ES254" s="55"/>
      <c r="EU254" s="107"/>
      <c r="FJ254" s="673">
        <v>10</v>
      </c>
      <c r="FK254" s="479" t="str">
        <f ca="1">IF($FJ254+FK$244&gt;73,"",PRODUCT(INDEX($T$19:$T$93,FK$244):INDEX($T$19:$T$93,FK$244+$FJ254-1)))</f>
        <v/>
      </c>
      <c r="FL254" s="479" t="str">
        <f ca="1">IF($FJ254+FL$244&gt;73,"",PRODUCT(INDEX($T$19:$T$93,FL$244):INDEX($T$19:$T$93,FL$244+$FJ254-1)))</f>
        <v/>
      </c>
      <c r="FM254" s="479" t="str">
        <f ca="1">IF($FJ254+FM$244&gt;73,"",PRODUCT(INDEX($T$19:$T$93,FM$244):INDEX($T$19:$T$93,FM$244+$FJ254-1)))</f>
        <v/>
      </c>
      <c r="FN254" s="479" t="str">
        <f ca="1">IF($FJ254+FN$244&gt;73,"",PRODUCT(INDEX($T$19:$T$93,FN$244):INDEX($T$19:$T$93,FN$244+$FJ254-1)))</f>
        <v/>
      </c>
      <c r="FO254" s="479" t="str">
        <f ca="1">IF($FJ254+FO$244&gt;73,"",PRODUCT(INDEX($T$19:$T$93,FO$244):INDEX($T$19:$T$93,FO$244+$FJ254-1)))</f>
        <v/>
      </c>
      <c r="FP254" s="479" t="str">
        <f ca="1">IF($FJ254+FP$244&gt;73,"",PRODUCT(INDEX($T$19:$T$93,FP$244):INDEX($T$19:$T$93,FP$244+$FJ254-1)))</f>
        <v/>
      </c>
      <c r="FQ254" s="479" t="str">
        <f ca="1">IF($FJ254+FQ$244&gt;73,"",PRODUCT(INDEX($T$19:$T$93,FQ$244):INDEX($T$19:$T$93,FQ$244+$FJ254-1)))</f>
        <v/>
      </c>
      <c r="FR254" s="479" t="str">
        <f ca="1">IF($FJ254+FR$244&gt;73,"",PRODUCT(INDEX($T$19:$T$93,FR$244):INDEX($T$19:$T$93,FR$244+$FJ254-1)))</f>
        <v/>
      </c>
      <c r="FS254" s="479" t="str">
        <f ca="1">IF($FJ254+FS$244&gt;73,"",PRODUCT(INDEX($T$19:$T$93,FS$244):INDEX($T$19:$T$93,FS$244+$FJ254-1)))</f>
        <v/>
      </c>
      <c r="FT254" s="479">
        <f ca="1">IF($FJ254+FT$244&gt;73,"",PRODUCT(INDEX($T$19:$T$93,FT$244):INDEX($T$19:$T$93,FT$244+$FJ254-1)))</f>
        <v>0.9999566133161405</v>
      </c>
      <c r="FU254" s="479">
        <f ca="1">IF($FJ254+FU$244&gt;73,"",PRODUCT(INDEX($T$19:$T$93,FU$244):INDEX($T$19:$T$93,FU$244+$FJ254-1)))</f>
        <v>0.9999492553717475</v>
      </c>
      <c r="FV254" s="479">
        <f ca="1">IF($FJ254+FV$244&gt;73,"",PRODUCT(INDEX($T$19:$T$93,FV$244):INDEX($T$19:$T$93,FV$244+$FJ254-1)))</f>
        <v>0.99994064960416229</v>
      </c>
      <c r="FW254" s="479">
        <f ca="1">IF($FJ254+FW$244&gt;73,"",PRODUCT(INDEX($T$19:$T$93,FW$244):INDEX($T$19:$T$93,FW$244+$FJ254-1)))</f>
        <v>0.99993058440116833</v>
      </c>
      <c r="FX254" s="479">
        <f ca="1">IF($FJ254+FX$244&gt;73,"",PRODUCT(INDEX($T$19:$T$93,FX$244):INDEX($T$19:$T$93,FX$244+$FJ254-1)))</f>
        <v>0.99991881226606949</v>
      </c>
      <c r="FY254" s="479">
        <f ca="1">IF($FJ254+FY$244&gt;73,"",PRODUCT(INDEX($T$19:$T$93,FY$244):INDEX($T$19:$T$93,FY$244+$FJ254-1)))</f>
        <v>0.99990504373325617</v>
      </c>
      <c r="FZ254" s="479">
        <f ca="1">IF($FJ254+FZ$244&gt;73,"",PRODUCT(INDEX($T$19:$T$93,FZ$244):INDEX($T$19:$T$93,FZ$244+$FJ254-1)))</f>
        <v>0.99988894025240826</v>
      </c>
      <c r="GA254" s="479">
        <f ca="1">IF($FJ254+GA$244&gt;73,"",PRODUCT(INDEX($T$19:$T$93,GA$244):INDEX($T$19:$T$93,GA$244+$FJ254-1)))</f>
        <v>0.99987010586662983</v>
      </c>
      <c r="GB254" s="479">
        <f ca="1">IF($FJ254+GB$244&gt;73,"",PRODUCT(INDEX($T$19:$T$93,GB$244):INDEX($T$19:$T$93,GB$244+$FJ254-1)))</f>
        <v>0.99984807748025528</v>
      </c>
      <c r="GC254" s="479">
        <f ca="1">IF($FJ254+GC$244&gt;73,"",PRODUCT(INDEX($T$19:$T$93,GC$244):INDEX($T$19:$T$93,GC$244+$FJ254-1)))</f>
        <v>0.99982231347754202</v>
      </c>
      <c r="GD254" s="479">
        <f ca="1">IF($FJ254+GD$244&gt;73,"",PRODUCT(INDEX($T$19:$T$93,GD$244):INDEX($T$19:$T$93,GD$244+$FJ254-1)))</f>
        <v>0.99979218041311246</v>
      </c>
      <c r="GE254" s="479">
        <f ca="1">IF($FJ254+GE$244&gt;73,"",PRODUCT(INDEX($T$19:$T$93,GE$244):INDEX($T$19:$T$93,GE$244+$FJ254-1)))</f>
        <v>0.99975693744789418</v>
      </c>
      <c r="GF254" s="479">
        <f ca="1">IF($FJ254+GF$244&gt;73,"",PRODUCT(INDEX($T$19:$T$93,GF$244):INDEX($T$19:$T$93,GF$244+$FJ254-1)))</f>
        <v>0.99971571814925964</v>
      </c>
      <c r="GG254" s="479">
        <f ca="1">IF($FJ254+GG$244&gt;73,"",PRODUCT(INDEX($T$19:$T$93,GG$244):INDEX($T$19:$T$93,GG$244+$FJ254-1)))</f>
        <v>0.99966750920982184</v>
      </c>
      <c r="GH254" s="479">
        <f ca="1">IF($FJ254+GH$244&gt;73,"",PRODUCT(INDEX($T$19:$T$93,GH$244):INDEX($T$19:$T$93,GH$244+$FJ254-1)))</f>
        <v>0.99961112556434206</v>
      </c>
      <c r="GI254" s="479">
        <f ca="1">IF($FJ254+GI$244&gt;73,"",PRODUCT(INDEX($T$19:$T$93,GI$244):INDEX($T$19:$T$93,GI$244+$FJ254-1)))</f>
        <v>0.99954518129671788</v>
      </c>
      <c r="GJ254" s="479">
        <f ca="1">IF($FJ254+GJ$244&gt;73,"",PRODUCT(INDEX($T$19:$T$93,GJ$244):INDEX($T$19:$T$93,GJ$244+$FJ254-1)))</f>
        <v>0.9994680556269826</v>
      </c>
      <c r="GK254" s="479">
        <f ca="1">IF($FJ254+GK$244&gt;73,"",PRODUCT(INDEX($T$19:$T$93,GK$244):INDEX($T$19:$T$93,GK$244+$FJ254-1)))</f>
        <v>0.99937785314934469</v>
      </c>
      <c r="GL254" s="479">
        <f ca="1">IF($FJ254+GL$244&gt;73,"",PRODUCT(INDEX($T$19:$T$93,GL$244):INDEX($T$19:$T$93,GL$244+$FJ254-1)))</f>
        <v>0.99927235735378683</v>
      </c>
      <c r="GM254" s="479">
        <f ca="1">IF($FJ254+GM$244&gt;73,"",PRODUCT(INDEX($T$19:$T$93,GM$244):INDEX($T$19:$T$93,GM$244+$FJ254-1)))</f>
        <v>0.99914897630255695</v>
      </c>
      <c r="GN254" s="479">
        <f ca="1">IF($FJ254+GN$244&gt;73,"",PRODUCT(INDEX($T$19:$T$93,GN$244):INDEX($T$19:$T$93,GN$244+$FJ254-1)))</f>
        <v>0.9990046791454642</v>
      </c>
      <c r="GO254" s="479">
        <f ca="1">IF($FJ254+GO$244&gt;73,"",PRODUCT(INDEX($T$19:$T$93,GO$244):INDEX($T$19:$T$93,GO$244+$FJ254-1)))</f>
        <v>0.99883592194021464</v>
      </c>
      <c r="GP254" s="479">
        <f ca="1">IF($FJ254+GP$244&gt;73,"",PRODUCT(INDEX($T$19:$T$93,GP$244):INDEX($T$19:$T$93,GP$244+$FJ254-1)))</f>
        <v>0.99863856099153636</v>
      </c>
      <c r="GQ254" s="479">
        <f ca="1">IF($FJ254+GQ$244&gt;73,"",PRODUCT(INDEX($T$19:$T$93,GQ$244):INDEX($T$19:$T$93,GQ$244+$FJ254-1)))</f>
        <v>0.99840775163045148</v>
      </c>
      <c r="GR254" s="479">
        <f ca="1">IF($FJ254+GR$244&gt;73,"",PRODUCT(INDEX($T$19:$T$93,GR$244):INDEX($T$19:$T$93,GR$244+$FJ254-1)))</f>
        <v>0.99813783001710066</v>
      </c>
      <c r="GS254" s="479">
        <f ca="1">IF($FJ254+GS$244&gt;73,"",PRODUCT(INDEX($T$19:$T$93,GS$244):INDEX($T$19:$T$93,GS$244+$FJ254-1)))</f>
        <v>0.99782217516079419</v>
      </c>
      <c r="GT254" s="479">
        <f ca="1">IF($FJ254+GT$244&gt;73,"",PRODUCT(INDEX($T$19:$T$93,GT$244):INDEX($T$19:$T$93,GT$244+$FJ254-1)))</f>
        <v>0.99745304790281508</v>
      </c>
      <c r="GU254" s="479">
        <f ca="1">IF($FJ254+GU$244&gt;73,"",PRODUCT(INDEX($T$19:$T$93,GU$244):INDEX($T$19:$T$93,GU$244+$FJ254-1)))</f>
        <v>0.99702140309389709</v>
      </c>
      <c r="GV254" s="479">
        <f ca="1">IF($FJ254+GV$244&gt;73,"",PRODUCT(INDEX($T$19:$T$93,GV$244):INDEX($T$19:$T$93,GV$244+$FJ254-1)))</f>
        <v>0.99651667061217197</v>
      </c>
      <c r="GW254" s="479">
        <f ca="1">IF($FJ254+GW$244&gt;73,"",PRODUCT(INDEX($T$19:$T$93,GW$244):INDEX($T$19:$T$93,GW$244+$FJ254-1)))</f>
        <v>0.99592650020195783</v>
      </c>
      <c r="GX254" s="479">
        <f ca="1">IF($FJ254+GX$244&gt;73,"",PRODUCT(INDEX($T$19:$T$93,GX$244):INDEX($T$19:$T$93,GX$244+$FJ254-1)))</f>
        <v>0.99523646436317881</v>
      </c>
      <c r="GY254" s="479">
        <f ca="1">IF($FJ254+GY$244&gt;73,"",PRODUCT(INDEX($T$19:$T$93,GY$244):INDEX($T$19:$T$93,GY$244+$FJ254-1)))</f>
        <v>0.99442971268154656</v>
      </c>
      <c r="GZ254" s="479">
        <f ca="1">IF($FJ254+GZ$244&gt;73,"",PRODUCT(INDEX($T$19:$T$93,GZ$244):INDEX($T$19:$T$93,GZ$244+$FJ254-1)))</f>
        <v>0.99348657006022545</v>
      </c>
      <c r="HA254" s="479">
        <f ca="1">IF($FJ254+HA$244&gt;73,"",PRODUCT(INDEX($T$19:$T$93,HA$244):INDEX($T$19:$T$93,HA$244+$FJ254-1)))</f>
        <v>0.99238407029920561</v>
      </c>
      <c r="HB254" s="479">
        <f ca="1">IF($FJ254+HB$244&gt;73,"",PRODUCT(INDEX($T$19:$T$93,HB$244):INDEX($T$19:$T$93,HB$244+$FJ254-1)))</f>
        <v>0.99109541538201462</v>
      </c>
      <c r="HC254" s="479">
        <f ca="1">IF($FJ254+HC$244&gt;73,"",PRODUCT(INDEX($T$19:$T$93,HC$244):INDEX($T$19:$T$93,HC$244+$FJ254-1)))</f>
        <v>0.98958934969611534</v>
      </c>
      <c r="HD254" s="479">
        <f ca="1">IF($FJ254+HD$244&gt;73,"",PRODUCT(INDEX($T$19:$T$93,HD$244):INDEX($T$19:$T$93,HD$244+$FJ254-1)))</f>
        <v>0.9878294372773021</v>
      </c>
      <c r="HE254" s="479">
        <f ca="1">IF($FJ254+HE$244&gt;73,"",PRODUCT(INDEX($T$19:$T$93,HE$244):INDEX($T$19:$T$93,HE$244+$FJ254-1)))</f>
        <v>0.98577322910029119</v>
      </c>
      <c r="HF254" s="479">
        <f ca="1">IF($FJ254+HF$244&gt;73,"",PRODUCT(INDEX($T$19:$T$93,HF$244):INDEX($T$19:$T$93,HF$244+$FJ254-1)))</f>
        <v>0.98337130654674043</v>
      </c>
      <c r="HG254" s="479">
        <f ca="1">IF($FJ254+HG$244&gt;73,"",PRODUCT(INDEX($T$19:$T$93,HG$244):INDEX($T$19:$T$93,HG$244+$FJ254-1)))</f>
        <v>0.98056618663210837</v>
      </c>
      <c r="HH254" s="479">
        <f ca="1">IF($FJ254+HH$244&gt;73,"",PRODUCT(INDEX($T$19:$T$93,HH$244):INDEX($T$19:$T$93,HH$244+$FJ254-1)))</f>
        <v>0.97729107460518594</v>
      </c>
      <c r="HI254" s="479">
        <f ca="1">IF($FJ254+HI$244&gt;73,"",PRODUCT(INDEX($T$19:$T$93,HI$244):INDEX($T$19:$T$93,HI$244+$FJ254-1)))</f>
        <v>0.97346845049789965</v>
      </c>
      <c r="HJ254" s="479">
        <f ca="1">IF($FJ254+HJ$244&gt;73,"",PRODUCT(INDEX($T$19:$T$93,HJ$244):INDEX($T$19:$T$93,HJ$244+$FJ254-1)))</f>
        <v>0.96900847859694006</v>
      </c>
      <c r="HK254" s="479">
        <f ca="1">IF($FJ254+HK$244&gt;73,"",PRODUCT(INDEX($T$19:$T$93,HK$244):INDEX($T$19:$T$93,HK$244+$FJ254-1)))</f>
        <v>0.9638072333381289</v>
      </c>
      <c r="HL254" s="479">
        <f ca="1">IF($FJ254+HL$244&gt;73,"",PRODUCT(INDEX($T$19:$T$93,HL$244):INDEX($T$19:$T$93,HL$244+$FJ254-1)))</f>
        <v>0.95774474277625021</v>
      </c>
      <c r="HM254" s="479">
        <f ca="1">IF($FJ254+HM$244&gt;73,"",PRODUCT(INDEX($T$19:$T$93,HM$244):INDEX($T$19:$T$93,HM$244+$FJ254-1)))</f>
        <v>0.95068286292574467</v>
      </c>
      <c r="HN254" s="479">
        <f ca="1">IF($FJ254+HN$244&gt;73,"",PRODUCT(INDEX($T$19:$T$93,HN$244):INDEX($T$19:$T$93,HN$244+$FJ254-1)))</f>
        <v>0.94246301477948302</v>
      </c>
      <c r="HO254" s="479">
        <f ca="1">IF($FJ254+HO$244&gt;73,"",PRODUCT(INDEX($T$19:$T$93,HO$244):INDEX($T$19:$T$93,HO$244+$FJ254-1)))</f>
        <v>0.93290384324388698</v>
      </c>
      <c r="HP254" s="479">
        <f ca="1">IF($FJ254+HP$244&gt;73,"",PRODUCT(INDEX($T$19:$T$93,HP$244):INDEX($T$19:$T$93,HP$244+$FJ254-1)))</f>
        <v>0.9217988969965204</v>
      </c>
      <c r="HQ254" s="479">
        <f ca="1">IF($FJ254+HQ$244&gt;73,"",PRODUCT(INDEX($T$19:$T$93,HQ$244):INDEX($T$19:$T$93,HQ$244+$FJ254-1)))</f>
        <v>0.90891448488370563</v>
      </c>
      <c r="HR254" s="479">
        <f ca="1">IF($FJ254+HR$244&gt;73,"",PRODUCT(INDEX($T$19:$T$93,HR$244):INDEX($T$19:$T$93,HR$244+$FJ254-1)))</f>
        <v>0.89398794374865964</v>
      </c>
      <c r="HS254" s="479">
        <f ca="1">IF($FJ254+HS$244&gt;73,"",PRODUCT(INDEX($T$19:$T$93,HS$244):INDEX($T$19:$T$93,HS$244+$FJ254-1)))</f>
        <v>0.8767266618058871</v>
      </c>
      <c r="HT254" s="479">
        <f ca="1">IF($FJ254+HT$244&gt;73,"",PRODUCT(INDEX($T$19:$T$93,HT$244):INDEX($T$19:$T$93,HT$244+$FJ254-1)))</f>
        <v>0.85680834959571117</v>
      </c>
      <c r="HU254" s="479">
        <f ca="1">IF($FJ254+HU$244&gt;73,"",PRODUCT(INDEX($T$19:$T$93,HU$244):INDEX($T$19:$T$93,HU$244+$FJ254-1)))</f>
        <v>0.83388324690791726</v>
      </c>
      <c r="HV254" s="479">
        <f ca="1">IF($FJ254+HV$244&gt;73,"",PRODUCT(INDEX($T$19:$T$93,HV$244):INDEX($T$19:$T$93,HV$244+$FJ254-1)))</f>
        <v>0.80757920829909768</v>
      </c>
      <c r="HW254" s="479">
        <f ca="1">IF($FJ254+HW$244&gt;73,"",PRODUCT(INDEX($T$19:$T$93,HW$244):INDEX($T$19:$T$93,HW$244+$FJ254-1)))</f>
        <v>0.77751092816947365</v>
      </c>
      <c r="HX254" s="479">
        <f ca="1">IF($FJ254+HX$244&gt;73,"",PRODUCT(INDEX($T$19:$T$93,HX$244):INDEX($T$19:$T$93,HX$244+$FJ254-1)))</f>
        <v>0.74329494602039337</v>
      </c>
      <c r="HY254" s="479">
        <f ca="1">IF($FJ254+HY$244&gt;73,"",PRODUCT(INDEX($T$19:$T$93,HY$244):INDEX($T$19:$T$93,HY$244+$FJ254-1)))</f>
        <v>0.70457249098134256</v>
      </c>
      <c r="HZ254" s="479">
        <f ca="1">IF($FJ254+HZ$244&gt;73,"",PRODUCT(INDEX($T$19:$T$93,HZ$244):INDEX($T$19:$T$93,HZ$244+$FJ254-1)))</f>
        <v>0.66104262115924961</v>
      </c>
      <c r="IA254" s="479">
        <f ca="1">IF($FJ254+IA$244&gt;73,"",PRODUCT(INDEX($T$19:$T$93,IA$244):INDEX($T$19:$T$93,IA$244+$FJ254-1)))</f>
        <v>0.61250835811419191</v>
      </c>
      <c r="IB254" s="479">
        <f ca="1">IF($FJ254+IB$244&gt;73,"",PRODUCT(INDEX($T$19:$T$93,IB$244):INDEX($T$19:$T$93,IB$244+$FJ254-1)))</f>
        <v>0.55893836417114817</v>
      </c>
      <c r="IC254" s="479">
        <f ca="1">IF($FJ254+IC$244&gt;73,"",PRODUCT(INDEX($T$19:$T$93,IC$244):INDEX($T$19:$T$93,IC$244+$FJ254-1)))</f>
        <v>0.50054573294285032</v>
      </c>
      <c r="ID254" s="678">
        <f ca="1">IF($FJ254+ID$244&gt;73,"",PRODUCT(INDEX($T$19:$T$93,ID$244):INDEX($T$19:$T$93,ID$244+$FJ254-1)))</f>
        <v>0.43788297424796579</v>
      </c>
      <c r="IE254" s="250"/>
    </row>
    <row r="255" spans="8:239">
      <c r="H255" s="51">
        <f t="shared" ca="1" si="646"/>
        <v>0</v>
      </c>
      <c r="I255" s="379">
        <f t="shared" si="647"/>
        <v>43922</v>
      </c>
      <c r="J255" s="377"/>
      <c r="K255" s="104" t="s">
        <v>268</v>
      </c>
      <c r="L255" s="392">
        <f t="shared" si="648"/>
        <v>5.9624999999999879</v>
      </c>
      <c r="M255" s="171"/>
      <c r="N255" s="382">
        <v>0</v>
      </c>
      <c r="O255" s="171">
        <f t="shared" si="596"/>
        <v>0</v>
      </c>
      <c r="P255" s="377"/>
      <c r="Q255" s="104" t="s">
        <v>268</v>
      </c>
      <c r="R255" s="377">
        <f t="shared" ca="1" si="597"/>
        <v>4.7709833785047158</v>
      </c>
      <c r="S255" s="832">
        <f t="shared" si="671"/>
        <v>0.3600000000000001</v>
      </c>
      <c r="T255" s="831">
        <f t="shared" si="661"/>
        <v>0.99999999999999933</v>
      </c>
      <c r="U255" s="545">
        <f t="shared" si="662"/>
        <v>0.99999999999999978</v>
      </c>
      <c r="V255" s="389">
        <v>0</v>
      </c>
      <c r="W255" s="434">
        <f t="shared" si="598"/>
        <v>0</v>
      </c>
      <c r="X255" s="415">
        <f t="shared" si="599"/>
        <v>6.0136363636363512</v>
      </c>
      <c r="Y255" s="322">
        <f t="shared" si="600"/>
        <v>-1.2915000000000001</v>
      </c>
      <c r="Z255" s="322">
        <f t="shared" ca="1" si="601"/>
        <v>4.7221363636363511</v>
      </c>
      <c r="AA255" s="429">
        <f t="shared" si="628"/>
        <v>1.2915000000000001</v>
      </c>
      <c r="AB255" s="433">
        <f t="shared" ca="1" si="629"/>
        <v>1.2915000000000001</v>
      </c>
      <c r="AC255" s="229">
        <v>43910</v>
      </c>
      <c r="AD255" s="229">
        <v>43906</v>
      </c>
      <c r="AE255" s="229">
        <v>43905</v>
      </c>
      <c r="AF255" s="229">
        <v>43901</v>
      </c>
      <c r="AG255" s="249" t="s">
        <v>499</v>
      </c>
      <c r="AH255" s="247" t="s">
        <v>499</v>
      </c>
      <c r="AI255" s="146">
        <v>22</v>
      </c>
      <c r="AJ255" s="41">
        <v>14</v>
      </c>
      <c r="AK255" s="41">
        <v>8</v>
      </c>
      <c r="AL255" s="293">
        <v>22</v>
      </c>
      <c r="AM255" s="41">
        <v>10</v>
      </c>
      <c r="AN255" s="147">
        <v>12</v>
      </c>
      <c r="AO255" s="374"/>
      <c r="AP255" s="153">
        <f t="shared" ca="1" si="649"/>
        <v>1</v>
      </c>
      <c r="AQ255" s="374"/>
      <c r="AR255" s="153">
        <f t="shared" ca="1" si="663"/>
        <v>1</v>
      </c>
      <c r="AS255" s="272">
        <f t="shared" si="602"/>
        <v>0</v>
      </c>
      <c r="AT255" s="157">
        <f t="shared" si="650"/>
        <v>0</v>
      </c>
      <c r="AU255" s="157">
        <f t="shared" si="630"/>
        <v>0</v>
      </c>
      <c r="AV255" s="271">
        <f t="shared" ca="1" si="670"/>
        <v>9.9999999999999995E-7</v>
      </c>
      <c r="AW255" s="158" t="str">
        <f t="shared" ca="1" si="672"/>
        <v/>
      </c>
      <c r="AX255" s="157">
        <f t="shared" ca="1" si="664"/>
        <v>9.1184337866712933E-6</v>
      </c>
      <c r="AY255" s="157">
        <f t="shared" ca="1" si="665"/>
        <v>1.4725054198031788E-6</v>
      </c>
      <c r="AZ255" s="157">
        <f t="shared" ca="1" si="666"/>
        <v>1.8605789188745172E-8</v>
      </c>
      <c r="BA255" s="157">
        <f t="shared" ca="1" si="667"/>
        <v>2.3257236485931466E-9</v>
      </c>
      <c r="BB255" s="157">
        <f t="shared" ca="1" si="668"/>
        <v>1.7672464246491075E-12</v>
      </c>
      <c r="BC255" s="157">
        <f t="shared" ca="1" si="669"/>
        <v>1.0817980979249339E-14</v>
      </c>
      <c r="BD255" s="151">
        <f t="shared" ca="1" si="603"/>
        <v>0</v>
      </c>
      <c r="BE255" s="152">
        <f t="shared" ca="1" si="604"/>
        <v>0</v>
      </c>
      <c r="BF255" s="40">
        <f t="shared" si="605"/>
        <v>2020</v>
      </c>
      <c r="BG255" s="144">
        <f t="shared" si="606"/>
        <v>4</v>
      </c>
      <c r="BH255" s="145">
        <f t="shared" ca="1" si="607"/>
        <v>7161</v>
      </c>
      <c r="BI255" s="313">
        <f t="shared" ca="1" si="608"/>
        <v>19.649555099247092</v>
      </c>
      <c r="BJ255" s="42">
        <f t="shared" ca="1" si="631"/>
        <v>19.700080891045982</v>
      </c>
      <c r="BK255" s="42">
        <f t="shared" ca="1" si="632"/>
        <v>19.702818741833113</v>
      </c>
      <c r="BL255" s="42">
        <f t="shared" ca="1" si="609"/>
        <v>19.728952772073921</v>
      </c>
      <c r="BM255" s="150" t="e">
        <f t="shared" ca="1" si="633"/>
        <v>#DIV/0!</v>
      </c>
      <c r="BN255" s="42" t="e">
        <f t="shared" ca="1" si="634"/>
        <v>#DIV/0!</v>
      </c>
      <c r="BO255" s="293">
        <f t="shared" si="610"/>
        <v>22</v>
      </c>
      <c r="BP255" s="41">
        <f t="shared" si="611"/>
        <v>14</v>
      </c>
      <c r="BQ255" s="41">
        <f t="shared" si="612"/>
        <v>8</v>
      </c>
      <c r="BR255" s="305" t="str">
        <f t="shared" ca="1" si="635"/>
        <v/>
      </c>
      <c r="BS255" s="305" t="str">
        <f t="shared" ca="1" si="613"/>
        <v/>
      </c>
      <c r="BT255" s="307" t="str">
        <f t="shared" ca="1" si="614"/>
        <v/>
      </c>
      <c r="BU255" s="161" t="str">
        <f t="shared" ca="1" si="636"/>
        <v/>
      </c>
      <c r="BV255" s="161" t="str">
        <f t="shared" ca="1" si="637"/>
        <v/>
      </c>
      <c r="BW255" s="308" t="str">
        <f t="shared" ca="1" si="638"/>
        <v/>
      </c>
      <c r="BX255" s="309" t="str">
        <f t="shared" ca="1" si="639"/>
        <v/>
      </c>
      <c r="BY255" s="308" t="str">
        <f t="shared" ca="1" si="615"/>
        <v/>
      </c>
      <c r="BZ255" s="309" t="str">
        <f t="shared" ca="1" si="616"/>
        <v/>
      </c>
      <c r="CA255" s="154" t="str">
        <f t="shared" ca="1" si="640"/>
        <v/>
      </c>
      <c r="CB255" s="154" t="str">
        <f t="shared" ca="1" si="641"/>
        <v/>
      </c>
      <c r="CC255" s="154" t="str">
        <f t="shared" ca="1" si="642"/>
        <v/>
      </c>
      <c r="CD255" s="154" t="str">
        <f t="shared" ca="1" si="643"/>
        <v/>
      </c>
      <c r="CE255" s="310">
        <v>1</v>
      </c>
      <c r="CF255" s="162">
        <f ca="1">IF(BD255,_xll.xCrudeAPO(BU255,BV255,CA255,CB255,S256,S257,BI255,BL255,BP255,BQ255,0,Strike1,AO255,CE255,0,BL255,IF(OptControl=4,0,1),0,1),0)</f>
        <v>0</v>
      </c>
      <c r="CG255" s="163">
        <f ca="1">IF(BD255,_xll.xCrudeAPO(BU255,BV255,CA255,CB255,S256,S257,BI255,BL255,BP255,BQ255,0,Strike1,AO255,CE255,0,BL255,IF(OptControl=4,0,1),1,1)+_xll.xCrudeAPO(BU255,BV255,CA255,CB255,S256,S257,BI255,BL255,BP255,BQ255,0,Strike1,AO255,CE255,0,BL255,IF(OptControl=4,0,1),1,2)+IF(OR(VolSkewFlag=2,ABS(BS255)&lt;0.0001),0,IF(BS255&gt;0,-1,1)*CH255*Strike1/BR255^2*BY255/10%),0)</f>
        <v>0</v>
      </c>
      <c r="CH255" s="163">
        <f ca="1">IF(BD255,(_xll.xCrudeAPO(BU255,BV255,CA255,CB255,S256,S257,BI255,BL255,BP255,BQ255,0,Strike1,AO255,CE255,0,BL255,IF(OptControl=4,0,1),3,1)+_xll.xCrudeAPO(BU255,BV255,CA255,CB255,S256,S257,BI255,BL255,BP255,BQ255,0,Strike1,AO255,CE255,0,BL255,IF(OptControl=4,0,1),3,2))/100,0)</f>
        <v>0</v>
      </c>
      <c r="CI255" s="163">
        <f ca="1">IF(BD255,_xll.xCrudeAPO(BU255,BV255,CA255,CB255,S256,S257,BI255-DaysForThetaCalculation/365.25,BL255-DaysForThetaCalculation/365.25,BP255,BQ255,0,Strike1,AO255,CE255,0,BL255,IF(OptControl=4,0,1),0,1)-_xll.xCrudeAPO(BU255,BV255,CA255,CB255,S256,S257,BI255,BL255,BP255,BQ255,0,Strike1,AO255,CE255,0,BL255,IF(OptControl=4,0,1),0,1),0)</f>
        <v>0</v>
      </c>
      <c r="CJ255" s="311">
        <f ca="1">IF(BD255,_xll.xCrudeAPO(BU255,BV255,CC255,CD255,S256,S257,BI255,BL255,BP255,BQ255,0,Strike2,AO255,CE255,0,BL255,IF(OptControl=3,1,0),0,1),0)</f>
        <v>0</v>
      </c>
      <c r="CK255" s="163">
        <f ca="1">IF(BD255,_xll.xCrudeAPO(BU255,BV255,CC255,CD255,S256,S257,BI255,BL255,BP255,BQ255,0,Strike2,AO255,CE255,0,BL255,IF(OptControl=3,1,0),1,1)+_xll.xCrudeAPO(BU255,BV255,CC255,CD255,S256,S257,BI255,BL255,BP255,BQ255,0,Strike2,AO255,CE255,0,BL255,IF(OptControl=3,1,0),1,2)+IF(OR(VolSkewFlag=2,ABS(BT255)&lt;0.0001),0,IF(BT255&gt;0,-1,1)*CL255*Strike2/BR255^2*BZ255/10%),0)</f>
        <v>0</v>
      </c>
      <c r="CL255" s="163">
        <f ca="1">IF(BD255,(_xll.xCrudeAPO(BU255,BV255,CC255,CD255,S256,S257,BI255,BL255,BP255,BQ255,0,Strike2,AO255,CE255,0,BL255,IF(OptControl=3,1,0),3,1)+_xll.xCrudeAPO(BU255,BV255,CC255,CD255,S256,S257,BI255,BL255,BP255,BQ255,0,Strike2,AO255,CE255,0,BL255,IF(OptControl=3,1,0),3,2))/100,0)</f>
        <v>0</v>
      </c>
      <c r="CM255" s="164">
        <f ca="1">IF(BD255,_xll.xCrudeAPO(BU255,BV255,CC255,CD255,S256,S257,BI255-DaysForThetaCalculation/365.25,BL255-DaysForThetaCalculation/365.25,BP255,BQ255,0,Strike2,AO255,CE255,0,BL255,IF(OptControl=3,1,0),0,1)-_xll.xCrudeAPO(BU255,BV255,CC255,CD255,S256,S257,BI255,BL255,BP255,BQ255,0,Strike2,AO255,CE255,0,BL255,IF(OptControl=3,1,0),0,1),0)</f>
        <v>0</v>
      </c>
      <c r="CN255" s="53"/>
      <c r="CO255" s="796" t="str">
        <f t="shared" ca="1" si="651"/>
        <v/>
      </c>
      <c r="CP255" s="800" t="str">
        <f t="shared" ca="1" si="652"/>
        <v/>
      </c>
      <c r="CQ255" s="797" t="str">
        <f t="shared" ca="1" si="653"/>
        <v/>
      </c>
      <c r="CR255" s="797" t="str">
        <f t="shared" ca="1" si="654"/>
        <v/>
      </c>
      <c r="CS255" s="797" t="str">
        <f t="shared" ca="1" si="655"/>
        <v/>
      </c>
      <c r="CT255" s="797" t="str">
        <f t="shared" ca="1" si="656"/>
        <v/>
      </c>
      <c r="CU255" s="798" t="str">
        <f t="shared" ca="1" si="657"/>
        <v/>
      </c>
      <c r="CV255" s="799" t="str">
        <f t="shared" ca="1" si="658"/>
        <v/>
      </c>
      <c r="CW255" s="799" t="str">
        <f t="shared" ca="1" si="659"/>
        <v/>
      </c>
      <c r="CX255" s="163">
        <f ca="1">IF(BD255,_xll.EURO(CP255,Strike1,AO255,AO255,CV255,CO255,IF(OptControl=4,0,1),0),0)</f>
        <v>0</v>
      </c>
      <c r="CY255" s="163">
        <f ca="1">IF(BD255,_xll.EURO(CP255,Strike1,AO255,AO255,CV255,CO255,IF(OptControl=4,0,1),1)+IF(OR(VolSkewFlag=2,ABS(CQ255)&lt;0.0001),0,IF(CQ255&gt;0,-1,1)*CZ255*100*Strike1/CP255^2*CS255/10%),0)</f>
        <v>0</v>
      </c>
      <c r="CZ255" s="163">
        <f ca="1">IF(BD255,_xll.EURO(CP255,Strike1,AO255,AO255,CV255,CO255,IF(OptControl=4,0,1),3)/100,0)</f>
        <v>0</v>
      </c>
      <c r="DA255" s="163">
        <f ca="1">IF(BD255,_xll.EURO(CP255,Strike1,AO255,AO255,CV255,CO255,IF(OptControl=4,0,1),0)-_xll.EURO(CP255,Strike1,AO255,AO255,CV255,CO255-1,IF(OptControl=4,0,1),0),0)</f>
        <v>0</v>
      </c>
      <c r="DB255" s="163">
        <f ca="1">IF(BD255,_xll.EURO(CP255,Strike2,AO255,AO255,CW255,CO255,IF(OptControl=3,1,0),0),0)</f>
        <v>0</v>
      </c>
      <c r="DC255" s="163">
        <f ca="1">IF(BD255,_xll.EURO(CP255,Strike2,AO255,AO255,CW255,CO255,IF(OptControl=3,1,0),1)+IF(OR(VolSkewFlag=2,ABS(CR255)&lt;0.0001),0,IF(CR255&gt;0,-1,1)*DD255*100*Strike2/CP255^2*CT255/10%),0)</f>
        <v>0</v>
      </c>
      <c r="DD255" s="163">
        <f ca="1">IF(BD255,_xll.EURO(CP255,Strike2,AO255,AO255,CW255,CO255,IF(OptControl=3,1,0),3)/100,0)</f>
        <v>0</v>
      </c>
      <c r="DE255" s="164">
        <f ca="1">IF(BD255,_xll.EURO(CP255,Strike2,AO255,AO255,CW255,CO255,IF(OptControl=3,1,0),0)-_xll.EURO(CP255,Strike2,AO255,AO255,CW255,CO255-1,IF(OptControl=3,1,0),0),0)</f>
        <v>0</v>
      </c>
      <c r="DG255" s="667">
        <f t="shared" ca="1" si="660"/>
        <v>43709</v>
      </c>
      <c r="DH255" s="475">
        <v>25.910000000000114</v>
      </c>
      <c r="DI255" s="665">
        <v>25.974285714285831</v>
      </c>
      <c r="DJ255" s="666">
        <f t="shared" ca="1" si="617"/>
        <v>43709</v>
      </c>
      <c r="DK255" s="475">
        <v>24.724919748857587</v>
      </c>
      <c r="DL255" s="665">
        <v>24.707385714285831</v>
      </c>
      <c r="DM255" s="667">
        <f t="shared" ca="1" si="618"/>
        <v>43709</v>
      </c>
      <c r="DN255" s="668">
        <f t="shared" si="619"/>
        <v>24.774919748857588</v>
      </c>
      <c r="DO255" s="667">
        <f t="shared" ca="1" si="620"/>
        <v>43709</v>
      </c>
      <c r="DP255" s="579">
        <f t="shared" si="621"/>
        <v>24.707385714285831</v>
      </c>
      <c r="DQ255" s="821">
        <v>0</v>
      </c>
      <c r="DR255" s="666">
        <f t="shared" ca="1" si="622"/>
        <v>43709</v>
      </c>
      <c r="DS255" s="669">
        <v>8.3599999999997107E-2</v>
      </c>
      <c r="DT255" s="606">
        <v>8.2828571428568434E-2</v>
      </c>
      <c r="DU255" s="666">
        <f t="shared" ca="1" si="623"/>
        <v>43709</v>
      </c>
      <c r="DV255" s="669">
        <v>8.3599999999997107E-2</v>
      </c>
      <c r="DW255" s="606">
        <v>8.2828571428568434E-2</v>
      </c>
      <c r="DX255" s="667">
        <f t="shared" ca="1" si="624"/>
        <v>43709</v>
      </c>
      <c r="DY255" s="606">
        <v>0.35</v>
      </c>
      <c r="DZ255" s="667">
        <f t="shared" ca="1" si="625"/>
        <v>43709</v>
      </c>
      <c r="EA255" s="606">
        <f t="shared" si="626"/>
        <v>8.2828571428568434E-2</v>
      </c>
      <c r="EB255" s="1"/>
      <c r="EC255" s="118" t="str">
        <f t="shared" ca="1" si="627"/>
        <v/>
      </c>
      <c r="ED255" s="119" t="str">
        <f t="shared" ca="1" si="644"/>
        <v/>
      </c>
      <c r="EE255" s="112" t="str">
        <f t="shared" ca="1" si="645"/>
        <v/>
      </c>
      <c r="EF255" s="120">
        <f ca="1">IF(BD255,_xll.xASN(BR255,Strike1,AO255,ED255,0,BO255,0,BI255,BL255,IF(OptControl=4,0,1),0),0)</f>
        <v>0</v>
      </c>
      <c r="EG255" s="111">
        <f ca="1">IF(BD255,_xll.xASN(BR255,Strike2,AO255,EE255,0,BO255,0,BI255,BL255,IF(OptControl=3,1,0),0),0)</f>
        <v>0</v>
      </c>
      <c r="EL255" s="55"/>
      <c r="EM255" s="1"/>
      <c r="EN255" s="106"/>
      <c r="EO255" s="106"/>
      <c r="EP255" s="1"/>
      <c r="EQ255" s="683" t="s">
        <v>469</v>
      </c>
      <c r="ES255" s="55"/>
      <c r="EU255" s="107"/>
      <c r="FJ255" s="673">
        <v>11</v>
      </c>
      <c r="FK255" s="479" t="str">
        <f ca="1">IF($FJ255+FK$244&gt;73,"",PRODUCT(INDEX($T$19:$T$93,FK$244):INDEX($T$19:$T$93,FK$244+$FJ255-1)))</f>
        <v/>
      </c>
      <c r="FL255" s="479" t="str">
        <f ca="1">IF($FJ255+FL$244&gt;73,"",PRODUCT(INDEX($T$19:$T$93,FL$244):INDEX($T$19:$T$93,FL$244+$FJ255-1)))</f>
        <v/>
      </c>
      <c r="FM255" s="479" t="str">
        <f ca="1">IF($FJ255+FM$244&gt;73,"",PRODUCT(INDEX($T$19:$T$93,FM$244):INDEX($T$19:$T$93,FM$244+$FJ255-1)))</f>
        <v/>
      </c>
      <c r="FN255" s="479" t="str">
        <f ca="1">IF($FJ255+FN$244&gt;73,"",PRODUCT(INDEX($T$19:$T$93,FN$244):INDEX($T$19:$T$93,FN$244+$FJ255-1)))</f>
        <v/>
      </c>
      <c r="FO255" s="479" t="str">
        <f ca="1">IF($FJ255+FO$244&gt;73,"",PRODUCT(INDEX($T$19:$T$93,FO$244):INDEX($T$19:$T$93,FO$244+$FJ255-1)))</f>
        <v/>
      </c>
      <c r="FP255" s="479" t="str">
        <f ca="1">IF($FJ255+FP$244&gt;73,"",PRODUCT(INDEX($T$19:$T$93,FP$244):INDEX($T$19:$T$93,FP$244+$FJ255-1)))</f>
        <v/>
      </c>
      <c r="FQ255" s="479" t="str">
        <f ca="1">IF($FJ255+FQ$244&gt;73,"",PRODUCT(INDEX($T$19:$T$93,FQ$244):INDEX($T$19:$T$93,FQ$244+$FJ255-1)))</f>
        <v/>
      </c>
      <c r="FR255" s="479" t="str">
        <f ca="1">IF($FJ255+FR$244&gt;73,"",PRODUCT(INDEX($T$19:$T$93,FR$244):INDEX($T$19:$T$93,FR$244+$FJ255-1)))</f>
        <v/>
      </c>
      <c r="FS255" s="479" t="str">
        <f ca="1">IF($FJ255+FS$244&gt;73,"",PRODUCT(INDEX($T$19:$T$93,FS$244):INDEX($T$19:$T$93,FS$244+$FJ255-1)))</f>
        <v/>
      </c>
      <c r="FT255" s="479" t="str">
        <f ca="1">IF($FJ255+FT$244&gt;73,"",PRODUCT(INDEX($T$19:$T$93,FT$244):INDEX($T$19:$T$93,FT$244+$FJ255-1)))</f>
        <v/>
      </c>
      <c r="FU255" s="479">
        <f ca="1">IF($FJ255+FU$244&gt;73,"",PRODUCT(INDEX($T$19:$T$93,FU$244):INDEX($T$19:$T$93,FU$244+$FJ255-1)))</f>
        <v>0.99994731405364734</v>
      </c>
      <c r="FV255" s="479">
        <f ca="1">IF($FJ255+FV$244&gt;73,"",PRODUCT(INDEX($T$19:$T$93,FV$244):INDEX($T$19:$T$93,FV$244+$FJ255-1)))</f>
        <v>0.99993837907363847</v>
      </c>
      <c r="FW255" s="479">
        <f ca="1">IF($FJ255+FW$244&gt;73,"",PRODUCT(INDEX($T$19:$T$93,FW$244):INDEX($T$19:$T$93,FW$244+$FJ255-1)))</f>
        <v>0.99992792883319137</v>
      </c>
      <c r="FX255" s="479">
        <f ca="1">IF($FJ255+FX$244&gt;73,"",PRODUCT(INDEX($T$19:$T$93,FX$244):INDEX($T$19:$T$93,FX$244+$FJ255-1)))</f>
        <v>0.99991570637055693</v>
      </c>
      <c r="FY255" s="479">
        <f ca="1">IF($FJ255+FY$244&gt;73,"",PRODUCT(INDEX($T$19:$T$93,FY$244):INDEX($T$19:$T$93,FY$244+$FJ255-1)))</f>
        <v>0.9999014111507617</v>
      </c>
      <c r="FZ255" s="479">
        <f ca="1">IF($FJ255+FZ$244&gt;73,"",PRODUCT(INDEX($T$19:$T$93,FZ$244):INDEX($T$19:$T$93,FZ$244+$FJ255-1)))</f>
        <v>0.99988469167805749</v>
      </c>
      <c r="GA255" s="479">
        <f ca="1">IF($FJ255+GA$244&gt;73,"",PRODUCT(INDEX($T$19:$T$93,GA$244):INDEX($T$19:$T$93,GA$244+$FJ255-1)))</f>
        <v>0.99986513685633915</v>
      </c>
      <c r="GB255" s="479">
        <f ca="1">IF($FJ255+GB$244&gt;73,"",PRODUCT(INDEX($T$19:$T$93,GB$244):INDEX($T$19:$T$93,GB$244+$FJ255-1)))</f>
        <v>0.99984226588551317</v>
      </c>
      <c r="GC255" s="479">
        <f ca="1">IF($FJ255+GC$244&gt;73,"",PRODUCT(INDEX($T$19:$T$93,GC$244):INDEX($T$19:$T$93,GC$244+$FJ255-1)))</f>
        <v>0.99981551644598887</v>
      </c>
      <c r="GD255" s="479">
        <f ca="1">IF($FJ255+GD$244&gt;73,"",PRODUCT(INDEX($T$19:$T$93,GD$244):INDEX($T$19:$T$93,GD$244+$FJ255-1)))</f>
        <v>0.99978423088159074</v>
      </c>
      <c r="GE255" s="479">
        <f ca="1">IF($FJ255+GE$244&gt;73,"",PRODUCT(INDEX($T$19:$T$93,GE$244):INDEX($T$19:$T$93,GE$244+$FJ255-1)))</f>
        <v>0.99974764004232008</v>
      </c>
      <c r="GF255" s="479">
        <f ca="1">IF($FJ255+GF$244&gt;73,"",PRODUCT(INDEX($T$19:$T$93,GF$244):INDEX($T$19:$T$93,GF$244+$FJ255-1)))</f>
        <v>0.99970484439130014</v>
      </c>
      <c r="GG255" s="479">
        <f ca="1">IF($FJ255+GG$244&gt;73,"",PRODUCT(INDEX($T$19:$T$93,GG$244):INDEX($T$19:$T$93,GG$244+$FJ255-1)))</f>
        <v>0.99965479191361339</v>
      </c>
      <c r="GH255" s="479">
        <f ca="1">IF($FJ255+GH$244&gt;73,"",PRODUCT(INDEX($T$19:$T$93,GH$244):INDEX($T$19:$T$93,GH$244+$FJ255-1)))</f>
        <v>0.99959625228697901</v>
      </c>
      <c r="GI255" s="479">
        <f ca="1">IF($FJ255+GI$244&gt;73,"",PRODUCT(INDEX($T$19:$T$93,GI$244):INDEX($T$19:$T$93,GI$244+$FJ255-1)))</f>
        <v>0.99952778668353348</v>
      </c>
      <c r="GJ255" s="479">
        <f ca="1">IF($FJ255+GJ$244&gt;73,"",PRODUCT(INDEX($T$19:$T$93,GJ$244):INDEX($T$19:$T$93,GJ$244+$FJ255-1)))</f>
        <v>0.99944771246623465</v>
      </c>
      <c r="GK255" s="479">
        <f ca="1">IF($FJ255+GK$244&gt;73,"",PRODUCT(INDEX($T$19:$T$93,GK$244):INDEX($T$19:$T$93,GK$244+$FJ255-1)))</f>
        <v>0.99935406192023535</v>
      </c>
      <c r="GL255" s="479">
        <f ca="1">IF($FJ255+GL$244&gt;73,"",PRODUCT(INDEX($T$19:$T$93,GL$244):INDEX($T$19:$T$93,GL$244+$FJ255-1)))</f>
        <v>0.99924453401613933</v>
      </c>
      <c r="GM255" s="479">
        <f ca="1">IF($FJ255+GM$244&gt;73,"",PRODUCT(INDEX($T$19:$T$93,GM$244):INDEX($T$19:$T$93,GM$244+$FJ255-1)))</f>
        <v>0.99911643803520667</v>
      </c>
      <c r="GN255" s="479">
        <f ca="1">IF($FJ255+GN$244&gt;73,"",PRODUCT(INDEX($T$19:$T$93,GN$244):INDEX($T$19:$T$93,GN$244+$FJ255-1)))</f>
        <v>0.99896662769268474</v>
      </c>
      <c r="GO255" s="479">
        <f ca="1">IF($FJ255+GO$244&gt;73,"",PRODUCT(INDEX($T$19:$T$93,GO$244):INDEX($T$19:$T$93,GO$244+$FJ255-1)))</f>
        <v>0.99879142417038269</v>
      </c>
      <c r="GP255" s="479">
        <f ca="1">IF($FJ255+GP$244&gt;73,"",PRODUCT(INDEX($T$19:$T$93,GP$244):INDEX($T$19:$T$93,GP$244+$FJ255-1)))</f>
        <v>0.99858652620875454</v>
      </c>
      <c r="GQ255" s="479">
        <f ca="1">IF($FJ255+GQ$244&gt;73,"",PRODUCT(INDEX($T$19:$T$93,GQ$244):INDEX($T$19:$T$93,GQ$244+$FJ255-1)))</f>
        <v>0.99834690510694213</v>
      </c>
      <c r="GR255" s="479">
        <f ca="1">IF($FJ255+GR$244&gt;73,"",PRODUCT(INDEX($T$19:$T$93,GR$244):INDEX($T$19:$T$93,GR$244+$FJ255-1)))</f>
        <v>0.99806668213074379</v>
      </c>
      <c r="GS255" s="479">
        <f ca="1">IF($FJ255+GS$244&gt;73,"",PRODUCT(INDEX($T$19:$T$93,GS$244):INDEX($T$19:$T$93,GS$244+$FJ255-1)))</f>
        <v>0.99773898542710959</v>
      </c>
      <c r="GT255" s="479">
        <f ca="1">IF($FJ255+GT$244&gt;73,"",PRODUCT(INDEX($T$19:$T$93,GT$244):INDEX($T$19:$T$93,GT$244+$FJ255-1)))</f>
        <v>0.99735578308291473</v>
      </c>
      <c r="GU255" s="479">
        <f ca="1">IF($FJ255+GU$244&gt;73,"",PRODUCT(INDEX($T$19:$T$93,GU$244):INDEX($T$19:$T$93,GU$244+$FJ255-1)))</f>
        <v>0.99690768843858102</v>
      </c>
      <c r="GV255" s="479">
        <f ca="1">IF($FJ255+GV$244&gt;73,"",PRODUCT(INDEX($T$19:$T$93,GV$244):INDEX($T$19:$T$93,GV$244+$FJ255-1)))</f>
        <v>0.99638373316680839</v>
      </c>
      <c r="GW255" s="479">
        <f ca="1">IF($FJ255+GW$244&gt;73,"",PRODUCT(INDEX($T$19:$T$93,GW$244):INDEX($T$19:$T$93,GW$244+$FJ255-1)))</f>
        <v>0.99577110294702054</v>
      </c>
      <c r="GX255" s="479">
        <f ca="1">IF($FJ255+GX$244&gt;73,"",PRODUCT(INDEX($T$19:$T$93,GX$244):INDEX($T$19:$T$93,GX$244+$FJ255-1)))</f>
        <v>0.99505482980209237</v>
      </c>
      <c r="GY255" s="479">
        <f ca="1">IF($FJ255+GY$244&gt;73,"",PRODUCT(INDEX($T$19:$T$93,GY$244):INDEX($T$19:$T$93,GY$244+$FJ255-1)))</f>
        <v>0.99421743431286114</v>
      </c>
      <c r="GZ255" s="479">
        <f ca="1">IF($FJ255+GZ$244&gt;73,"",PRODUCT(INDEX($T$19:$T$93,GZ$244):INDEX($T$19:$T$93,GZ$244+$FJ255-1)))</f>
        <v>0.99323850998910312</v>
      </c>
      <c r="HA255" s="479">
        <f ca="1">IF($FJ255+HA$244&gt;73,"",PRODUCT(INDEX($T$19:$T$93,HA$244):INDEX($T$19:$T$93,HA$244+$FJ255-1)))</f>
        <v>0.99209424106049393</v>
      </c>
      <c r="HB255" s="479">
        <f ca="1">IF($FJ255+HB$244&gt;73,"",PRODUCT(INDEX($T$19:$T$93,HB$244):INDEX($T$19:$T$93,HB$244+$FJ255-1)))</f>
        <v>0.99075684387459695</v>
      </c>
      <c r="HC255" s="479">
        <f ca="1">IF($FJ255+HC$244&gt;73,"",PRODUCT(INDEX($T$19:$T$93,HC$244):INDEX($T$19:$T$93,HC$244+$FJ255-1)))</f>
        <v>0.98919392098219483</v>
      </c>
      <c r="HD255" s="479">
        <f ca="1">IF($FJ255+HD$244&gt;73,"",PRODUCT(INDEX($T$19:$T$93,HD$244):INDEX($T$19:$T$93,HD$244+$FJ255-1)))</f>
        <v>0.98736771590518713</v>
      </c>
      <c r="HE255" s="479">
        <f ca="1">IF($FJ255+HE$244&gt;73,"",PRODUCT(INDEX($T$19:$T$93,HE$244):INDEX($T$19:$T$93,HE$244+$FJ255-1)))</f>
        <v>0.98523425560052724</v>
      </c>
      <c r="HF255" s="479">
        <f ca="1">IF($FJ255+HF$244&gt;73,"",PRODUCT(INDEX($T$19:$T$93,HF$244):INDEX($T$19:$T$93,HF$244+$FJ255-1)))</f>
        <v>0.98274236687964689</v>
      </c>
      <c r="HG255" s="479">
        <f ca="1">IF($FJ255+HG$244&gt;73,"",PRODUCT(INDEX($T$19:$T$93,HG$244):INDEX($T$19:$T$93,HG$244+$FJ255-1)))</f>
        <v>0.97983255270118319</v>
      </c>
      <c r="HH255" s="479">
        <f ca="1">IF($FJ255+HH$244&gt;73,"",PRODUCT(INDEX($T$19:$T$93,HH$244):INDEX($T$19:$T$93,HH$244+$FJ255-1)))</f>
        <v>0.97643571459456924</v>
      </c>
      <c r="HI255" s="479">
        <f ca="1">IF($FJ255+HI$244&gt;73,"",PRODUCT(INDEX($T$19:$T$93,HI$244):INDEX($T$19:$T$93,HI$244+$FJ255-1)))</f>
        <v>0.97247170887958656</v>
      </c>
      <c r="HJ255" s="479">
        <f ca="1">IF($FJ255+HJ$244&gt;73,"",PRODUCT(INDEX($T$19:$T$93,HJ$244):INDEX($T$19:$T$93,HJ$244+$FJ255-1)))</f>
        <v>0.9678477273703977</v>
      </c>
      <c r="HK255" s="479">
        <f ca="1">IF($FJ255+HK$244&gt;73,"",PRODUCT(INDEX($T$19:$T$93,HK$244):INDEX($T$19:$T$93,HK$244+$FJ255-1)))</f>
        <v>0.96245649866131677</v>
      </c>
      <c r="HL255" s="479">
        <f ca="1">IF($FJ255+HL$244&gt;73,"",PRODUCT(INDEX($T$19:$T$93,HL$244):INDEX($T$19:$T$93,HL$244+$FJ255-1)))</f>
        <v>0.95617431495488703</v>
      </c>
      <c r="HM255" s="479">
        <f ca="1">IF($FJ255+HM$244&gt;73,"",PRODUCT(INDEX($T$19:$T$93,HM$244):INDEX($T$19:$T$93,HM$244+$FJ255-1)))</f>
        <v>0.94885890318200861</v>
      </c>
      <c r="HN255" s="479">
        <f ca="1">IF($FJ255+HN$244&gt;73,"",PRODUCT(INDEX($T$19:$T$93,HN$244):INDEX($T$19:$T$93,HN$244+$FJ255-1)))</f>
        <v>0.94034717988192973</v>
      </c>
      <c r="HO255" s="479">
        <f ca="1">IF($FJ255+HO$244&gt;73,"",PRODUCT(INDEX($T$19:$T$93,HO$244):INDEX($T$19:$T$93,HO$244+$FJ255-1)))</f>
        <v>0.93045295965121688</v>
      </c>
      <c r="HP255" s="479">
        <f ca="1">IF($FJ255+HP$244&gt;73,"",PRODUCT(INDEX($T$19:$T$93,HP$244):INDEX($T$19:$T$93,HP$244+$FJ255-1)))</f>
        <v>0.91896473050724758</v>
      </c>
      <c r="HQ255" s="479">
        <f ca="1">IF($FJ255+HQ$244&gt;73,"",PRODUCT(INDEX($T$19:$T$93,HQ$244):INDEX($T$19:$T$93,HQ$244+$FJ255-1)))</f>
        <v>0.90564367089182718</v>
      </c>
      <c r="HR255" s="479">
        <f ca="1">IF($FJ255+HR$244&gt;73,"",PRODUCT(INDEX($T$19:$T$93,HR$244):INDEX($T$19:$T$93,HR$244+$FJ255-1)))</f>
        <v>0.89022216816523503</v>
      </c>
      <c r="HS255" s="479">
        <f ca="1">IF($FJ255+HS$244&gt;73,"",PRODUCT(INDEX($T$19:$T$93,HS$244):INDEX($T$19:$T$93,HS$244+$FJ255-1)))</f>
        <v>0.8724032145398477</v>
      </c>
      <c r="HT255" s="479">
        <f ca="1">IF($FJ255+HT$244&gt;73,"",PRODUCT(INDEX($T$19:$T$93,HT$244):INDEX($T$19:$T$93,HT$244+$FJ255-1)))</f>
        <v>0.85186121185956154</v>
      </c>
      <c r="HU255" s="479">
        <f ca="1">IF($FJ255+HU$244&gt;73,"",PRODUCT(INDEX($T$19:$T$93,HU$244):INDEX($T$19:$T$93,HU$244+$FJ255-1)))</f>
        <v>0.82824492028532271</v>
      </c>
      <c r="HV255" s="479">
        <f ca="1">IF($FJ255+HV$244&gt;73,"",PRODUCT(INDEX($T$19:$T$93,HV$244):INDEX($T$19:$T$93,HV$244+$FJ255-1)))</f>
        <v>0.80118354537841119</v>
      </c>
      <c r="HW255" s="479">
        <f ca="1">IF($FJ255+HW$244&gt;73,"",PRODUCT(INDEX($T$19:$T$93,HW$244):INDEX($T$19:$T$93,HW$244+$FJ255-1)))</f>
        <v>0.77029727605329812</v>
      </c>
      <c r="HX255" s="479">
        <f ca="1">IF($FJ255+HX$244&gt;73,"",PRODUCT(INDEX($T$19:$T$93,HX$244):INDEX($T$19:$T$93,HX$244+$FJ255-1)))</f>
        <v>0.7352139536414064</v>
      </c>
      <c r="HY255" s="479">
        <f ca="1">IF($FJ255+HY$244&gt;73,"",PRODUCT(INDEX($T$19:$T$93,HY$244):INDEX($T$19:$T$93,HY$244+$FJ255-1)))</f>
        <v>0.69559393763139954</v>
      </c>
      <c r="HZ255" s="479">
        <f ca="1">IF($FJ255+HZ$244&gt;73,"",PRODUCT(INDEX($T$19:$T$93,HZ$244):INDEX($T$19:$T$93,HZ$244+$FJ255-1)))</f>
        <v>0.65116556074536791</v>
      </c>
      <c r="IA255" s="479">
        <f ca="1">IF($FJ255+IA$244&gt;73,"",PRODUCT(INDEX($T$19:$T$93,IA$244):INDEX($T$19:$T$93,IA$244+$FJ255-1)))</f>
        <v>0.60177368371981954</v>
      </c>
      <c r="IB255" s="479">
        <f ca="1">IF($FJ255+IB$244&gt;73,"",PRODUCT(INDEX($T$19:$T$93,IB$244):INDEX($T$19:$T$93,IB$244+$FJ255-1)))</f>
        <v>0.54744349517857438</v>
      </c>
      <c r="IC255" s="479">
        <f ca="1">IF($FJ255+IC$244&gt;73,"",PRODUCT(INDEX($T$19:$T$93,IC$244):INDEX($T$19:$T$93,IC$244+$FJ255-1)))</f>
        <v>0.48846039758933996</v>
      </c>
      <c r="ID255" s="678">
        <f ca="1">IF($FJ255+ID$244&gt;73,"",PRODUCT(INDEX($T$19:$T$93,ID$244):INDEX($T$19:$T$93,ID$244+$FJ255-1)))</f>
        <v>0.42546387300142274</v>
      </c>
      <c r="IE255" s="250"/>
    </row>
    <row r="256" spans="8:239">
      <c r="H256" s="51">
        <f t="shared" ca="1" si="646"/>
        <v>0</v>
      </c>
      <c r="I256" s="379">
        <f t="shared" si="647"/>
        <v>43952</v>
      </c>
      <c r="J256" s="377"/>
      <c r="K256" s="104" t="s">
        <v>268</v>
      </c>
      <c r="L256" s="392">
        <f t="shared" si="648"/>
        <v>5.9999999999999876</v>
      </c>
      <c r="M256" s="171"/>
      <c r="N256" s="382">
        <v>0</v>
      </c>
      <c r="O256" s="171">
        <f t="shared" si="596"/>
        <v>0</v>
      </c>
      <c r="P256" s="377"/>
      <c r="Q256" s="104" t="s">
        <v>268</v>
      </c>
      <c r="R256" s="377">
        <f t="shared" ca="1" si="597"/>
        <v>4.8350555179127124</v>
      </c>
      <c r="S256" s="832">
        <f t="shared" si="671"/>
        <v>0.3600000000000001</v>
      </c>
      <c r="T256" s="831">
        <f t="shared" si="661"/>
        <v>0.99999999999999933</v>
      </c>
      <c r="U256" s="545">
        <f t="shared" si="662"/>
        <v>0.99999999999999978</v>
      </c>
      <c r="V256" s="389">
        <v>0</v>
      </c>
      <c r="W256" s="434">
        <f t="shared" si="598"/>
        <v>0</v>
      </c>
      <c r="X256" s="415">
        <f t="shared" si="599"/>
        <v>6.0499999999999874</v>
      </c>
      <c r="Y256" s="322">
        <f t="shared" si="600"/>
        <v>-1.2915000000000001</v>
      </c>
      <c r="Z256" s="322">
        <f t="shared" ca="1" si="601"/>
        <v>4.7584999999999873</v>
      </c>
      <c r="AA256" s="429">
        <f t="shared" si="628"/>
        <v>1.2915000000000001</v>
      </c>
      <c r="AB256" s="433">
        <f t="shared" ca="1" si="629"/>
        <v>1.2915000000000001</v>
      </c>
      <c r="AC256" s="229">
        <v>43941</v>
      </c>
      <c r="AD256" s="229">
        <v>43937</v>
      </c>
      <c r="AE256" s="229">
        <v>43936</v>
      </c>
      <c r="AF256" s="229">
        <v>43932</v>
      </c>
      <c r="AG256" s="249" t="s">
        <v>499</v>
      </c>
      <c r="AH256" s="247" t="s">
        <v>499</v>
      </c>
      <c r="AI256" s="146">
        <v>21</v>
      </c>
      <c r="AJ256" s="41">
        <v>14</v>
      </c>
      <c r="AK256" s="41">
        <v>7</v>
      </c>
      <c r="AL256" s="293">
        <v>21</v>
      </c>
      <c r="AM256" s="41">
        <v>10</v>
      </c>
      <c r="AN256" s="147">
        <v>11</v>
      </c>
      <c r="AO256" s="374"/>
      <c r="AP256" s="153">
        <f t="shared" ca="1" si="649"/>
        <v>1</v>
      </c>
      <c r="AQ256" s="374"/>
      <c r="AR256" s="153">
        <f t="shared" ca="1" si="663"/>
        <v>1</v>
      </c>
      <c r="AS256" s="272">
        <f t="shared" si="602"/>
        <v>0</v>
      </c>
      <c r="AT256" s="157">
        <f t="shared" si="650"/>
        <v>0</v>
      </c>
      <c r="AU256" s="157">
        <f t="shared" si="630"/>
        <v>0</v>
      </c>
      <c r="AV256" s="271">
        <f t="shared" ca="1" si="670"/>
        <v>9.9999999999999995E-7</v>
      </c>
      <c r="AW256" s="158" t="str">
        <f t="shared" ca="1" si="672"/>
        <v/>
      </c>
      <c r="AX256" s="157">
        <f t="shared" ca="1" si="664"/>
        <v>8.8154802592346614E-6</v>
      </c>
      <c r="AY256" s="157">
        <f t="shared" ca="1" si="665"/>
        <v>1.414118448805556E-6</v>
      </c>
      <c r="AZ256" s="157">
        <f t="shared" ca="1" si="666"/>
        <v>1.7561526482427334E-8</v>
      </c>
      <c r="BA256" s="157">
        <f t="shared" ca="1" si="667"/>
        <v>2.1951908103034167E-9</v>
      </c>
      <c r="BB256" s="157">
        <f t="shared" ca="1" si="668"/>
        <v>1.6126384377900373E-12</v>
      </c>
      <c r="BC256" s="157">
        <f t="shared" ca="1" si="669"/>
        <v>9.6377253872798054E-15</v>
      </c>
      <c r="BD256" s="151">
        <f t="shared" ca="1" si="603"/>
        <v>0</v>
      </c>
      <c r="BE256" s="152">
        <f t="shared" ca="1" si="604"/>
        <v>0</v>
      </c>
      <c r="BF256" s="40">
        <f t="shared" si="605"/>
        <v>2020</v>
      </c>
      <c r="BG256" s="144">
        <f t="shared" si="606"/>
        <v>5</v>
      </c>
      <c r="BH256" s="145">
        <f t="shared" ca="1" si="607"/>
        <v>7192</v>
      </c>
      <c r="BI256" s="313">
        <f t="shared" ca="1" si="608"/>
        <v>19.731690622861056</v>
      </c>
      <c r="BJ256" s="42">
        <f t="shared" ca="1" si="631"/>
        <v>19.786447638603697</v>
      </c>
      <c r="BK256" s="42">
        <f t="shared" ca="1" si="632"/>
        <v>19.789185489390828</v>
      </c>
      <c r="BL256" s="42">
        <f t="shared" ca="1" si="609"/>
        <v>19.813826146475016</v>
      </c>
      <c r="BM256" s="150" t="e">
        <f t="shared" ca="1" si="633"/>
        <v>#DIV/0!</v>
      </c>
      <c r="BN256" s="42" t="e">
        <f t="shared" ca="1" si="634"/>
        <v>#DIV/0!</v>
      </c>
      <c r="BO256" s="293">
        <f t="shared" si="610"/>
        <v>21</v>
      </c>
      <c r="BP256" s="41">
        <f t="shared" si="611"/>
        <v>14</v>
      </c>
      <c r="BQ256" s="41">
        <f t="shared" si="612"/>
        <v>7</v>
      </c>
      <c r="BR256" s="305" t="str">
        <f t="shared" ca="1" si="635"/>
        <v/>
      </c>
      <c r="BS256" s="305" t="str">
        <f t="shared" ca="1" si="613"/>
        <v/>
      </c>
      <c r="BT256" s="307" t="str">
        <f t="shared" ca="1" si="614"/>
        <v/>
      </c>
      <c r="BU256" s="161" t="str">
        <f t="shared" ca="1" si="636"/>
        <v/>
      </c>
      <c r="BV256" s="161" t="str">
        <f t="shared" ca="1" si="637"/>
        <v/>
      </c>
      <c r="BW256" s="308" t="str">
        <f t="shared" ca="1" si="638"/>
        <v/>
      </c>
      <c r="BX256" s="309" t="str">
        <f t="shared" ca="1" si="639"/>
        <v/>
      </c>
      <c r="BY256" s="308" t="str">
        <f t="shared" ca="1" si="615"/>
        <v/>
      </c>
      <c r="BZ256" s="309" t="str">
        <f t="shared" ca="1" si="616"/>
        <v/>
      </c>
      <c r="CA256" s="154" t="str">
        <f t="shared" ca="1" si="640"/>
        <v/>
      </c>
      <c r="CB256" s="154" t="str">
        <f t="shared" ca="1" si="641"/>
        <v/>
      </c>
      <c r="CC256" s="154" t="str">
        <f t="shared" ca="1" si="642"/>
        <v/>
      </c>
      <c r="CD256" s="154" t="str">
        <f t="shared" ca="1" si="643"/>
        <v/>
      </c>
      <c r="CE256" s="310">
        <v>1</v>
      </c>
      <c r="CF256" s="162">
        <f ca="1">IF(BD256,_xll.xCrudeAPO(BU256,BV256,CA256,CB256,S257,S258,BI256,BL256,BP256,BQ256,0,Strike1,AO256,CE256,0,BL256,IF(OptControl=4,0,1),0,1),0)</f>
        <v>0</v>
      </c>
      <c r="CG256" s="163">
        <f ca="1">IF(BD256,_xll.xCrudeAPO(BU256,BV256,CA256,CB256,S257,S258,BI256,BL256,BP256,BQ256,0,Strike1,AO256,CE256,0,BL256,IF(OptControl=4,0,1),1,1)+_xll.xCrudeAPO(BU256,BV256,CA256,CB256,S257,S258,BI256,BL256,BP256,BQ256,0,Strike1,AO256,CE256,0,BL256,IF(OptControl=4,0,1),1,2)+IF(OR(VolSkewFlag=2,ABS(BS256)&lt;0.0001),0,IF(BS256&gt;0,-1,1)*CH256*Strike1/BR256^2*BY256/10%),0)</f>
        <v>0</v>
      </c>
      <c r="CH256" s="163">
        <f ca="1">IF(BD256,(_xll.xCrudeAPO(BU256,BV256,CA256,CB256,S257,S258,BI256,BL256,BP256,BQ256,0,Strike1,AO256,CE256,0,BL256,IF(OptControl=4,0,1),3,1)+_xll.xCrudeAPO(BU256,BV256,CA256,CB256,S257,S258,BI256,BL256,BP256,BQ256,0,Strike1,AO256,CE256,0,BL256,IF(OptControl=4,0,1),3,2))/100,0)</f>
        <v>0</v>
      </c>
      <c r="CI256" s="163">
        <f ca="1">IF(BD256,_xll.xCrudeAPO(BU256,BV256,CA256,CB256,S257,S258,BI256-DaysForThetaCalculation/365.25,BL256-DaysForThetaCalculation/365.25,BP256,BQ256,0,Strike1,AO256,CE256,0,BL256,IF(OptControl=4,0,1),0,1)-_xll.xCrudeAPO(BU256,BV256,CA256,CB256,S257,S258,BI256,BL256,BP256,BQ256,0,Strike1,AO256,CE256,0,BL256,IF(OptControl=4,0,1),0,1),0)</f>
        <v>0</v>
      </c>
      <c r="CJ256" s="311">
        <f ca="1">IF(BD256,_xll.xCrudeAPO(BU256,BV256,CC256,CD256,S257,S258,BI256,BL256,BP256,BQ256,0,Strike2,AO256,CE256,0,BL256,IF(OptControl=3,1,0),0,1),0)</f>
        <v>0</v>
      </c>
      <c r="CK256" s="163">
        <f ca="1">IF(BD256,_xll.xCrudeAPO(BU256,BV256,CC256,CD256,S257,S258,BI256,BL256,BP256,BQ256,0,Strike2,AO256,CE256,0,BL256,IF(OptControl=3,1,0),1,1)+_xll.xCrudeAPO(BU256,BV256,CC256,CD256,S257,S258,BI256,BL256,BP256,BQ256,0,Strike2,AO256,CE256,0,BL256,IF(OptControl=3,1,0),1,2)+IF(OR(VolSkewFlag=2,ABS(BT256)&lt;0.0001),0,IF(BT256&gt;0,-1,1)*CL256*Strike2/BR256^2*BZ256/10%),0)</f>
        <v>0</v>
      </c>
      <c r="CL256" s="163">
        <f ca="1">IF(BD256,(_xll.xCrudeAPO(BU256,BV256,CC256,CD256,S257,S258,BI256,BL256,BP256,BQ256,0,Strike2,AO256,CE256,0,BL256,IF(OptControl=3,1,0),3,1)+_xll.xCrudeAPO(BU256,BV256,CC256,CD256,S257,S258,BI256,BL256,BP256,BQ256,0,Strike2,AO256,CE256,0,BL256,IF(OptControl=3,1,0),3,2))/100,0)</f>
        <v>0</v>
      </c>
      <c r="CM256" s="164">
        <f ca="1">IF(BD256,_xll.xCrudeAPO(BU256,BV256,CC256,CD256,S257,S258,BI256-DaysForThetaCalculation/365.25,BL256-DaysForThetaCalculation/365.25,BP256,BQ256,0,Strike2,AO256,CE256,0,BL256,IF(OptControl=3,1,0),0,1)-_xll.xCrudeAPO(BU256,BV256,CC256,CD256,S257,S258,BI256,BL256,BP256,BQ256,0,Strike2,AO256,CE256,0,BL256,IF(OptControl=3,1,0),0,1),0)</f>
        <v>0</v>
      </c>
      <c r="CN256" s="53"/>
      <c r="CO256" s="796" t="str">
        <f t="shared" ca="1" si="651"/>
        <v/>
      </c>
      <c r="CP256" s="800" t="str">
        <f t="shared" ca="1" si="652"/>
        <v/>
      </c>
      <c r="CQ256" s="797" t="str">
        <f t="shared" ca="1" si="653"/>
        <v/>
      </c>
      <c r="CR256" s="797" t="str">
        <f t="shared" ca="1" si="654"/>
        <v/>
      </c>
      <c r="CS256" s="797" t="str">
        <f t="shared" ca="1" si="655"/>
        <v/>
      </c>
      <c r="CT256" s="797" t="str">
        <f t="shared" ca="1" si="656"/>
        <v/>
      </c>
      <c r="CU256" s="798" t="str">
        <f t="shared" ca="1" si="657"/>
        <v/>
      </c>
      <c r="CV256" s="799" t="str">
        <f t="shared" ca="1" si="658"/>
        <v/>
      </c>
      <c r="CW256" s="799" t="str">
        <f t="shared" ca="1" si="659"/>
        <v/>
      </c>
      <c r="CX256" s="163">
        <f ca="1">IF(BD256,_xll.EURO(CP256,Strike1,AO256,AO256,CV256,CO256,IF(OptControl=4,0,1),0),0)</f>
        <v>0</v>
      </c>
      <c r="CY256" s="163">
        <f ca="1">IF(BD256,_xll.EURO(CP256,Strike1,AO256,AO256,CV256,CO256,IF(OptControl=4,0,1),1)+IF(OR(VolSkewFlag=2,ABS(CQ256)&lt;0.0001),0,IF(CQ256&gt;0,-1,1)*CZ256*100*Strike1/CP256^2*CS256/10%),0)</f>
        <v>0</v>
      </c>
      <c r="CZ256" s="163">
        <f ca="1">IF(BD256,_xll.EURO(CP256,Strike1,AO256,AO256,CV256,CO256,IF(OptControl=4,0,1),3)/100,0)</f>
        <v>0</v>
      </c>
      <c r="DA256" s="163">
        <f ca="1">IF(BD256,_xll.EURO(CP256,Strike1,AO256,AO256,CV256,CO256,IF(OptControl=4,0,1),0)-_xll.EURO(CP256,Strike1,AO256,AO256,CV256,CO256-1,IF(OptControl=4,0,1),0),0)</f>
        <v>0</v>
      </c>
      <c r="DB256" s="163">
        <f ca="1">IF(BD256,_xll.EURO(CP256,Strike2,AO256,AO256,CW256,CO256,IF(OptControl=3,1,0),0),0)</f>
        <v>0</v>
      </c>
      <c r="DC256" s="163">
        <f ca="1">IF(BD256,_xll.EURO(CP256,Strike2,AO256,AO256,CW256,CO256,IF(OptControl=3,1,0),1)+IF(OR(VolSkewFlag=2,ABS(CR256)&lt;0.0001),0,IF(CR256&gt;0,-1,1)*DD256*100*Strike2/CP256^2*CT256/10%),0)</f>
        <v>0</v>
      </c>
      <c r="DD256" s="163">
        <f ca="1">IF(BD256,_xll.EURO(CP256,Strike2,AO256,AO256,CW256,CO256,IF(OptControl=3,1,0),3)/100,0)</f>
        <v>0</v>
      </c>
      <c r="DE256" s="164">
        <f ca="1">IF(BD256,_xll.EURO(CP256,Strike2,AO256,AO256,CW256,CO256,IF(OptControl=3,1,0),0)-_xll.EURO(CP256,Strike2,AO256,AO256,CW256,CO256-1,IF(OptControl=3,1,0),0),0)</f>
        <v>0</v>
      </c>
      <c r="DG256" s="667">
        <f t="shared" ca="1" si="660"/>
        <v>43739</v>
      </c>
      <c r="DH256" s="475">
        <v>25.960000000000115</v>
      </c>
      <c r="DI256" s="665">
        <v>26.029565217391422</v>
      </c>
      <c r="DJ256" s="666">
        <f t="shared" ca="1" si="617"/>
        <v>43739</v>
      </c>
      <c r="DK256" s="475">
        <v>24.608250209285558</v>
      </c>
      <c r="DL256" s="665">
        <v>24.836465217391421</v>
      </c>
      <c r="DM256" s="667">
        <f t="shared" ca="1" si="618"/>
        <v>43739</v>
      </c>
      <c r="DN256" s="668">
        <f t="shared" si="619"/>
        <v>24.658250209285558</v>
      </c>
      <c r="DO256" s="667">
        <f t="shared" ca="1" si="620"/>
        <v>43739</v>
      </c>
      <c r="DP256" s="579">
        <f t="shared" si="621"/>
        <v>24.836465217391421</v>
      </c>
      <c r="DQ256" s="821">
        <v>0</v>
      </c>
      <c r="DR256" s="666">
        <f t="shared" ca="1" si="622"/>
        <v>43739</v>
      </c>
      <c r="DS256" s="669">
        <v>8.2999999999997021E-2</v>
      </c>
      <c r="DT256" s="606">
        <v>8.2165217391301365E-2</v>
      </c>
      <c r="DU256" s="666">
        <f t="shared" ca="1" si="623"/>
        <v>43739</v>
      </c>
      <c r="DV256" s="669">
        <v>8.2999999999997021E-2</v>
      </c>
      <c r="DW256" s="606">
        <v>8.2165217391301365E-2</v>
      </c>
      <c r="DX256" s="667">
        <f t="shared" ca="1" si="624"/>
        <v>43739</v>
      </c>
      <c r="DY256" s="606">
        <v>0.35</v>
      </c>
      <c r="DZ256" s="667">
        <f t="shared" ca="1" si="625"/>
        <v>43739</v>
      </c>
      <c r="EA256" s="606">
        <f t="shared" si="626"/>
        <v>8.2165217391301365E-2</v>
      </c>
      <c r="EB256" s="1"/>
      <c r="EC256" s="118" t="str">
        <f t="shared" ca="1" si="627"/>
        <v/>
      </c>
      <c r="ED256" s="119" t="str">
        <f t="shared" ca="1" si="644"/>
        <v/>
      </c>
      <c r="EE256" s="112" t="str">
        <f t="shared" ca="1" si="645"/>
        <v/>
      </c>
      <c r="EF256" s="120">
        <f ca="1">IF(BD256,_xll.xASN(BR256,Strike1,AO256,ED256,0,BO256,0,BI256,BL256,IF(OptControl=4,0,1),0),0)</f>
        <v>0</v>
      </c>
      <c r="EG256" s="111">
        <f ca="1">IF(BD256,_xll.xASN(BR256,Strike2,AO256,EE256,0,BO256,0,BI256,BL256,IF(OptControl=3,1,0),0),0)</f>
        <v>0</v>
      </c>
      <c r="EL256" s="55"/>
      <c r="EM256" s="1"/>
      <c r="EN256" s="106"/>
      <c r="EO256" s="106"/>
      <c r="EP256" s="1"/>
      <c r="EQ256" s="683" t="s">
        <v>470</v>
      </c>
      <c r="ES256" s="55"/>
      <c r="EU256" s="106"/>
      <c r="FJ256" s="673">
        <v>12</v>
      </c>
      <c r="FK256" s="479" t="str">
        <f ca="1">IF($FJ256+FK$244&gt;73,"",PRODUCT(INDEX($T$19:$T$93,FK$244):INDEX($T$19:$T$93,FK$244+$FJ256-1)))</f>
        <v/>
      </c>
      <c r="FL256" s="479" t="str">
        <f ca="1">IF($FJ256+FL$244&gt;73,"",PRODUCT(INDEX($T$19:$T$93,FL$244):INDEX($T$19:$T$93,FL$244+$FJ256-1)))</f>
        <v/>
      </c>
      <c r="FM256" s="479" t="str">
        <f ca="1">IF($FJ256+FM$244&gt;73,"",PRODUCT(INDEX($T$19:$T$93,FM$244):INDEX($T$19:$T$93,FM$244+$FJ256-1)))</f>
        <v/>
      </c>
      <c r="FN256" s="479" t="str">
        <f ca="1">IF($FJ256+FN$244&gt;73,"",PRODUCT(INDEX($T$19:$T$93,FN$244):INDEX($T$19:$T$93,FN$244+$FJ256-1)))</f>
        <v/>
      </c>
      <c r="FO256" s="479" t="str">
        <f ca="1">IF($FJ256+FO$244&gt;73,"",PRODUCT(INDEX($T$19:$T$93,FO$244):INDEX($T$19:$T$93,FO$244+$FJ256-1)))</f>
        <v/>
      </c>
      <c r="FP256" s="479" t="str">
        <f ca="1">IF($FJ256+FP$244&gt;73,"",PRODUCT(INDEX($T$19:$T$93,FP$244):INDEX($T$19:$T$93,FP$244+$FJ256-1)))</f>
        <v/>
      </c>
      <c r="FQ256" s="479" t="str">
        <f ca="1">IF($FJ256+FQ$244&gt;73,"",PRODUCT(INDEX($T$19:$T$93,FQ$244):INDEX($T$19:$T$93,FQ$244+$FJ256-1)))</f>
        <v/>
      </c>
      <c r="FR256" s="479" t="str">
        <f ca="1">IF($FJ256+FR$244&gt;73,"",PRODUCT(INDEX($T$19:$T$93,FR$244):INDEX($T$19:$T$93,FR$244+$FJ256-1)))</f>
        <v/>
      </c>
      <c r="FS256" s="479" t="str">
        <f ca="1">IF($FJ256+FS$244&gt;73,"",PRODUCT(INDEX($T$19:$T$93,FS$244):INDEX($T$19:$T$93,FS$244+$FJ256-1)))</f>
        <v/>
      </c>
      <c r="FT256" s="479" t="str">
        <f ca="1">IF($FJ256+FT$244&gt;73,"",PRODUCT(INDEX($T$19:$T$93,FT$244):INDEX($T$19:$T$93,FT$244+$FJ256-1)))</f>
        <v/>
      </c>
      <c r="FU256" s="479" t="str">
        <f ca="1">IF($FJ256+FU$244&gt;73,"",PRODUCT(INDEX($T$19:$T$93,FU$244):INDEX($T$19:$T$93,FU$244+$FJ256-1)))</f>
        <v/>
      </c>
      <c r="FV256" s="479">
        <f ca="1">IF($FJ256+FV$244&gt;73,"",PRODUCT(INDEX($T$19:$T$93,FV$244):INDEX($T$19:$T$93,FV$244+$FJ256-1)))</f>
        <v>0.99993643777665375</v>
      </c>
      <c r="FW256" s="479">
        <f ca="1">IF($FJ256+FW$244&gt;73,"",PRODUCT(INDEX($T$19:$T$93,FW$244):INDEX($T$19:$T$93,FW$244+$FJ256-1)))</f>
        <v>0.99992565833155223</v>
      </c>
      <c r="FX256" s="479">
        <f ca="1">IF($FJ256+FX$244&gt;73,"",PRODUCT(INDEX($T$19:$T$93,FX$244):INDEX($T$19:$T$93,FX$244+$FJ256-1)))</f>
        <v>0.99991305084209237</v>
      </c>
      <c r="FY256" s="479">
        <f ca="1">IF($FJ256+FY$244&gt;73,"",PRODUCT(INDEX($T$19:$T$93,FY$244):INDEX($T$19:$T$93,FY$244+$FJ256-1)))</f>
        <v>0.99989830530929957</v>
      </c>
      <c r="FZ256" s="479">
        <f ca="1">IF($FJ256+FZ$244&gt;73,"",PRODUCT(INDEX($T$19:$T$93,FZ$244):INDEX($T$19:$T$93,FZ$244+$FJ256-1)))</f>
        <v>0.99988105916950054</v>
      </c>
      <c r="GA256" s="479">
        <f ca="1">IF($FJ256+GA$244&gt;73,"",PRODUCT(INDEX($T$19:$T$93,GA$244):INDEX($T$19:$T$93,GA$244+$FJ256-1)))</f>
        <v>0.99986088838313014</v>
      </c>
      <c r="GB256" s="479">
        <f ca="1">IF($FJ256+GB$244&gt;73,"",PRODUCT(INDEX($T$19:$T$93,GB$244):INDEX($T$19:$T$93,GB$244+$FJ256-1)))</f>
        <v>0.9998372970135776</v>
      </c>
      <c r="GC256" s="479">
        <f ca="1">IF($FJ256+GC$244&gt;73,"",PRODUCT(INDEX($T$19:$T$93,GC$244):INDEX($T$19:$T$93,GC$244+$FJ256-1)))</f>
        <v>0.99980970504050704</v>
      </c>
      <c r="GD256" s="479">
        <f ca="1">IF($FJ256+GD$244&gt;73,"",PRODUCT(INDEX($T$19:$T$93,GD$244):INDEX($T$19:$T$93,GD$244+$FJ256-1)))</f>
        <v>0.99977743410893227</v>
      </c>
      <c r="GE256" s="479">
        <f ca="1">IF($FJ256+GE$244&gt;73,"",PRODUCT(INDEX($T$19:$T$93,GE$244):INDEX($T$19:$T$93,GE$244+$FJ256-1)))</f>
        <v>0.99973969086494707</v>
      </c>
      <c r="GF256" s="479">
        <f ca="1">IF($FJ256+GF$244&gt;73,"",PRODUCT(INDEX($T$19:$T$93,GF$244):INDEX($T$19:$T$93,GF$244+$FJ256-1)))</f>
        <v>0.99969554747017408</v>
      </c>
      <c r="GG256" s="479">
        <f ca="1">IF($FJ256+GG$244&gt;73,"",PRODUCT(INDEX($T$19:$T$93,GG$244):INDEX($T$19:$T$93,GG$244+$FJ256-1)))</f>
        <v>0.99964391881833947</v>
      </c>
      <c r="GH256" s="479">
        <f ca="1">IF($FJ256+GH$244&gt;73,"",PRODUCT(INDEX($T$19:$T$93,GH$244):INDEX($T$19:$T$93,GH$244+$FJ256-1)))</f>
        <v>0.99958353589726745</v>
      </c>
      <c r="GI256" s="479">
        <f ca="1">IF($FJ256+GI$244&gt;73,"",PRODUCT(INDEX($T$19:$T$93,GI$244):INDEX($T$19:$T$93,GI$244+$FJ256-1)))</f>
        <v>0.99951291464617498</v>
      </c>
      <c r="GJ256" s="479">
        <f ca="1">IF($FJ256+GJ$244&gt;73,"",PRODUCT(INDEX($T$19:$T$93,GJ$244):INDEX($T$19:$T$93,GJ$244+$FJ256-1)))</f>
        <v>0.99943031954925432</v>
      </c>
      <c r="GK256" s="479">
        <f ca="1">IF($FJ256+GK$244&gt;73,"",PRODUCT(INDEX($T$19:$T$93,GK$244):INDEX($T$19:$T$93,GK$244+$FJ256-1)))</f>
        <v>0.99933372107971397</v>
      </c>
      <c r="GL256" s="479">
        <f ca="1">IF($FJ256+GL$244&gt;73,"",PRODUCT(INDEX($T$19:$T$93,GL$244):INDEX($T$19:$T$93,GL$244+$FJ256-1)))</f>
        <v>0.99922074596083066</v>
      </c>
      <c r="GM256" s="479">
        <f ca="1">IF($FJ256+GM$244&gt;73,"",PRODUCT(INDEX($T$19:$T$93,GM$244):INDEX($T$19:$T$93,GM$244+$FJ256-1)))</f>
        <v>0.99908861903891399</v>
      </c>
      <c r="GN256" s="479">
        <f ca="1">IF($FJ256+GN$244&gt;73,"",PRODUCT(INDEX($T$19:$T$93,GN$244):INDEX($T$19:$T$93,GN$244+$FJ256-1)))</f>
        <v>0.99893409536369593</v>
      </c>
      <c r="GO256" s="479">
        <f ca="1">IF($FJ256+GO$244&gt;73,"",PRODUCT(INDEX($T$19:$T$93,GO$244):INDEX($T$19:$T$93,GO$244+$FJ256-1)))</f>
        <v>0.99875338084034959</v>
      </c>
      <c r="GP256" s="479">
        <f ca="1">IF($FJ256+GP$244&gt;73,"",PRODUCT(INDEX($T$19:$T$93,GP$244):INDEX($T$19:$T$93,GP$244+$FJ256-1)))</f>
        <v>0.9985420395494099</v>
      </c>
      <c r="GQ256" s="479">
        <f ca="1">IF($FJ256+GQ$244&gt;73,"",PRODUCT(INDEX($T$19:$T$93,GQ$244):INDEX($T$19:$T$93,GQ$244+$FJ256-1)))</f>
        <v>0.99829488552110068</v>
      </c>
      <c r="GR256" s="479">
        <f ca="1">IF($FJ256+GR$244&gt;73,"",PRODUCT(INDEX($T$19:$T$93,GR$244):INDEX($T$19:$T$93,GR$244+$FJ256-1)))</f>
        <v>0.99800585639322426</v>
      </c>
      <c r="GS256" s="479">
        <f ca="1">IF($FJ256+GS$244&gt;73,"",PRODUCT(INDEX($T$19:$T$93,GS$244):INDEX($T$19:$T$93,GS$244+$FJ256-1)))</f>
        <v>0.99766786597064361</v>
      </c>
      <c r="GT256" s="479">
        <f ca="1">IF($FJ256+GT$244&gt;73,"",PRODUCT(INDEX($T$19:$T$93,GT$244):INDEX($T$19:$T$93,GT$244+$FJ256-1)))</f>
        <v>0.99727263223294482</v>
      </c>
      <c r="GU256" s="479">
        <f ca="1">IF($FJ256+GU$244&gt;73,"",PRODUCT(INDEX($T$19:$T$93,GU$244):INDEX($T$19:$T$93,GU$244+$FJ256-1)))</f>
        <v>0.99681047679841694</v>
      </c>
      <c r="GV256" s="479">
        <f ca="1">IF($FJ256+GV$244&gt;73,"",PRODUCT(INDEX($T$19:$T$93,GV$244):INDEX($T$19:$T$93,GV$244+$FJ256-1)))</f>
        <v>0.99627009124053889</v>
      </c>
      <c r="GW256" s="479">
        <f ca="1">IF($FJ256+GW$244&gt;73,"",PRODUCT(INDEX($T$19:$T$93,GW$244):INDEX($T$19:$T$93,GW$244+$FJ256-1)))</f>
        <v>0.99563826496197072</v>
      </c>
      <c r="GX256" s="479">
        <f ca="1">IF($FJ256+GX$244&gt;73,"",PRODUCT(INDEX($T$19:$T$93,GX$244):INDEX($T$19:$T$93,GX$244+$FJ256-1)))</f>
        <v>0.99489956855637596</v>
      </c>
      <c r="GY256" s="479">
        <f ca="1">IF($FJ256+GY$244&gt;73,"",PRODUCT(INDEX($T$19:$T$93,GY$244):INDEX($T$19:$T$93,GY$244+$FJ256-1)))</f>
        <v>0.99403598572875851</v>
      </c>
      <c r="GZ256" s="479">
        <f ca="1">IF($FJ256+GZ$244&gt;73,"",PRODUCT(INDEX($T$19:$T$93,GZ$244):INDEX($T$19:$T$93,GZ$244+$FJ256-1)))</f>
        <v>0.99302648590341136</v>
      </c>
      <c r="HA256" s="479">
        <f ca="1">IF($FJ256+HA$244&gt;73,"",PRODUCT(INDEX($T$19:$T$93,HA$244):INDEX($T$19:$T$93,HA$244+$FJ256-1)))</f>
        <v>0.99184652863496747</v>
      </c>
      <c r="HB256" s="479">
        <f ca="1">IF($FJ256+HB$244&gt;73,"",PRODUCT(INDEX($T$19:$T$93,HB$244):INDEX($T$19:$T$93,HB$244+$FJ256-1)))</f>
        <v>0.990467489873054</v>
      </c>
      <c r="HC256" s="479">
        <f ca="1">IF($FJ256+HC$244&gt;73,"",PRODUCT(INDEX($T$19:$T$93,HC$244):INDEX($T$19:$T$93,HC$244+$FJ256-1)))</f>
        <v>0.98885599905080723</v>
      </c>
      <c r="HD256" s="479">
        <f ca="1">IF($FJ256+HD$244&gt;73,"",PRODUCT(INDEX($T$19:$T$93,HD$244):INDEX($T$19:$T$93,HD$244+$FJ256-1)))</f>
        <v>0.98697317493100734</v>
      </c>
      <c r="HE256" s="479">
        <f ca="1">IF($FJ256+HE$244&gt;73,"",PRODUCT(INDEX($T$19:$T$93,HE$244):INDEX($T$19:$T$93,HE$244+$FJ256-1)))</f>
        <v>0.9847737472423187</v>
      </c>
      <c r="HF256" s="479">
        <f ca="1">IF($FJ256+HF$244&gt;73,"",PRODUCT(INDEX($T$19:$T$93,HF$244):INDEX($T$19:$T$93,HF$244+$FJ256-1)))</f>
        <v>0.98220505050991047</v>
      </c>
      <c r="HG256" s="479">
        <f ca="1">IF($FJ256+HG$244&gt;73,"",PRODUCT(INDEX($T$19:$T$93,HG$244):INDEX($T$19:$T$93,HG$244+$FJ256-1)))</f>
        <v>0.97920587633244982</v>
      </c>
      <c r="HH256" s="479">
        <f ca="1">IF($FJ256+HH$244&gt;73,"",PRODUCT(INDEX($T$19:$T$93,HH$244):INDEX($T$19:$T$93,HH$244+$FJ256-1)))</f>
        <v>0.97570517097460807</v>
      </c>
      <c r="HI256" s="479">
        <f ca="1">IF($FJ256+HI$244&gt;73,"",PRODUCT(INDEX($T$19:$T$93,HI$244):INDEX($T$19:$T$93,HI$244+$FJ256-1)))</f>
        <v>0.97162056694977028</v>
      </c>
      <c r="HJ256" s="479">
        <f ca="1">IF($FJ256+HJ$244&gt;73,"",PRODUCT(INDEX($T$19:$T$93,HJ$244):INDEX($T$19:$T$93,HJ$244+$FJ256-1)))</f>
        <v>0.96685674085248197</v>
      </c>
      <c r="HK256" s="479">
        <f ca="1">IF($FJ256+HK$244&gt;73,"",PRODUCT(INDEX($T$19:$T$93,HK$244):INDEX($T$19:$T$93,HK$244+$FJ256-1)))</f>
        <v>0.96130359588906</v>
      </c>
      <c r="HL256" s="479">
        <f ca="1">IF($FJ256+HL$244&gt;73,"",PRODUCT(INDEX($T$19:$T$93,HL$244):INDEX($T$19:$T$93,HL$244+$FJ256-1)))</f>
        <v>0.95483427748721472</v>
      </c>
      <c r="HM256" s="479">
        <f ca="1">IF($FJ256+HM$244&gt;73,"",PRODUCT(INDEX($T$19:$T$93,HM$244):INDEX($T$19:$T$93,HM$244+$FJ256-1)))</f>
        <v>0.94730304559955325</v>
      </c>
      <c r="HN256" s="479">
        <f ca="1">IF($FJ256+HN$244&gt;73,"",PRODUCT(INDEX($T$19:$T$93,HN$244):INDEX($T$19:$T$93,HN$244+$FJ256-1)))</f>
        <v>0.93854304995792759</v>
      </c>
      <c r="HO256" s="479">
        <f ca="1">IF($FJ256+HO$244&gt;73,"",PRODUCT(INDEX($T$19:$T$93,HO$244):INDEX($T$19:$T$93,HO$244+$FJ256-1)))</f>
        <v>0.92836408739661447</v>
      </c>
      <c r="HP256" s="479">
        <f ca="1">IF($FJ256+HP$244&gt;73,"",PRODUCT(INDEX($T$19:$T$93,HP$244):INDEX($T$19:$T$93,HP$244+$FJ256-1)))</f>
        <v>0.91655046713320987</v>
      </c>
      <c r="HQ256" s="479">
        <f ca="1">IF($FJ256+HQ$244&gt;73,"",PRODUCT(INDEX($T$19:$T$93,HQ$244):INDEX($T$19:$T$93,HQ$244+$FJ256-1)))</f>
        <v>0.90285917532383853</v>
      </c>
      <c r="HR256" s="479">
        <f ca="1">IF($FJ256+HR$244&gt;73,"",PRODUCT(INDEX($T$19:$T$93,HR$244):INDEX($T$19:$T$93,HR$244+$FJ256-1)))</f>
        <v>0.88701862022762268</v>
      </c>
      <c r="HS256" s="479">
        <f ca="1">IF($FJ256+HS$244&gt;73,"",PRODUCT(INDEX($T$19:$T$93,HS$244):INDEX($T$19:$T$93,HS$244+$FJ256-1)))</f>
        <v>0.86872836103965456</v>
      </c>
      <c r="HT256" s="479">
        <f ca="1">IF($FJ256+HT$244&gt;73,"",PRODUCT(INDEX($T$19:$T$93,HT$244):INDEX($T$19:$T$93,HT$244+$FJ256-1)))</f>
        <v>0.84766038486534989</v>
      </c>
      <c r="HU256" s="479">
        <f ca="1">IF($FJ256+HU$244&gt;73,"",PRODUCT(INDEX($T$19:$T$93,HU$244):INDEX($T$19:$T$93,HU$244+$FJ256-1)))</f>
        <v>0.8234627053339264</v>
      </c>
      <c r="HV256" s="479">
        <f ca="1">IF($FJ256+HV$244&gt;73,"",PRODUCT(INDEX($T$19:$T$93,HV$244):INDEX($T$19:$T$93,HV$244+$FJ256-1)))</f>
        <v>0.79576631876995929</v>
      </c>
      <c r="HW256" s="479">
        <f ca="1">IF($FJ256+HW$244&gt;73,"",PRODUCT(INDEX($T$19:$T$93,HW$244):INDEX($T$19:$T$93,HW$244+$FJ256-1)))</f>
        <v>0.76419686921303775</v>
      </c>
      <c r="HX256" s="479">
        <f ca="1">IF($FJ256+HX$244&gt;73,"",PRODUCT(INDEX($T$19:$T$93,HX$244):INDEX($T$19:$T$93,HX$244+$FJ256-1)))</f>
        <v>0.7283927277262755</v>
      </c>
      <c r="HY256" s="479">
        <f ca="1">IF($FJ256+HY$244&gt;73,"",PRODUCT(INDEX($T$19:$T$93,HY$244):INDEX($T$19:$T$93,HY$244+$FJ256-1)))</f>
        <v>0.68803154353876617</v>
      </c>
      <c r="HZ256" s="479">
        <f ca="1">IF($FJ256+HZ$244&gt;73,"",PRODUCT(INDEX($T$19:$T$93,HZ$244):INDEX($T$19:$T$93,HZ$244+$FJ256-1)))</f>
        <v>0.64286758601369098</v>
      </c>
      <c r="IA256" s="479">
        <f ca="1">IF($FJ256+IA$244&gt;73,"",PRODUCT(INDEX($T$19:$T$93,IA$244):INDEX($T$19:$T$93,IA$244+$FJ256-1)))</f>
        <v>0.5927821983914433</v>
      </c>
      <c r="IB256" s="479">
        <f ca="1">IF($FJ256+IB$244&gt;73,"",PRODUCT(INDEX($T$19:$T$93,IB$244):INDEX($T$19:$T$93,IB$244+$FJ256-1)))</f>
        <v>0.53784913194710393</v>
      </c>
      <c r="IC256" s="479">
        <f ca="1">IF($FJ256+IC$244&gt;73,"",PRODUCT(INDEX($T$19:$T$93,IC$244):INDEX($T$19:$T$93,IC$244+$FJ256-1)))</f>
        <v>0.47841494600063716</v>
      </c>
      <c r="ID256" s="678">
        <f ca="1">IF($FJ256+ID$244&gt;73,"",PRODUCT(INDEX($T$19:$T$93,ID$244):INDEX($T$19:$T$93,ID$244+$FJ256-1)))</f>
        <v>0.41519133795093893</v>
      </c>
      <c r="IE256" s="250"/>
    </row>
    <row r="257" spans="8:239">
      <c r="H257" s="51">
        <f t="shared" ca="1" si="646"/>
        <v>0</v>
      </c>
      <c r="I257" s="379">
        <f t="shared" si="647"/>
        <v>43983</v>
      </c>
      <c r="J257" s="377"/>
      <c r="K257" s="104" t="s">
        <v>268</v>
      </c>
      <c r="L257" s="392">
        <f t="shared" si="648"/>
        <v>6.0374999999999872</v>
      </c>
      <c r="M257" s="171"/>
      <c r="N257" s="382">
        <v>0</v>
      </c>
      <c r="O257" s="171">
        <f t="shared" si="596"/>
        <v>0</v>
      </c>
      <c r="P257" s="377"/>
      <c r="Q257" s="104" t="s">
        <v>268</v>
      </c>
      <c r="R257" s="377">
        <f t="shared" ca="1" si="597"/>
        <v>4.6280370684060506</v>
      </c>
      <c r="S257" s="832">
        <f t="shared" si="671"/>
        <v>0.3600000000000001</v>
      </c>
      <c r="T257" s="831">
        <f t="shared" si="661"/>
        <v>0.99999999999999933</v>
      </c>
      <c r="U257" s="545">
        <f t="shared" si="662"/>
        <v>0.99999999999999978</v>
      </c>
      <c r="V257" s="389">
        <v>0</v>
      </c>
      <c r="W257" s="434">
        <f t="shared" si="598"/>
        <v>0</v>
      </c>
      <c r="X257" s="415">
        <f t="shared" si="599"/>
        <v>6.0869318181818048</v>
      </c>
      <c r="Y257" s="322">
        <f t="shared" si="600"/>
        <v>-1.2915000000000001</v>
      </c>
      <c r="Z257" s="322">
        <f t="shared" ca="1" si="601"/>
        <v>4.7954318181818048</v>
      </c>
      <c r="AA257" s="429">
        <f t="shared" si="628"/>
        <v>1.2915000000000001</v>
      </c>
      <c r="AB257" s="433">
        <f t="shared" ca="1" si="629"/>
        <v>1.2915000000000001</v>
      </c>
      <c r="AC257" s="229">
        <v>43971</v>
      </c>
      <c r="AD257" s="229">
        <v>43967</v>
      </c>
      <c r="AE257" s="229">
        <v>43966</v>
      </c>
      <c r="AF257" s="229">
        <v>43962</v>
      </c>
      <c r="AG257" s="249" t="s">
        <v>499</v>
      </c>
      <c r="AH257" s="247" t="s">
        <v>499</v>
      </c>
      <c r="AI257" s="146">
        <v>22</v>
      </c>
      <c r="AJ257" s="41">
        <v>15</v>
      </c>
      <c r="AK257" s="41">
        <v>7</v>
      </c>
      <c r="AL257" s="293">
        <v>22</v>
      </c>
      <c r="AM257" s="41">
        <v>10</v>
      </c>
      <c r="AN257" s="147">
        <v>12</v>
      </c>
      <c r="AO257" s="374"/>
      <c r="AP257" s="153">
        <f t="shared" ca="1" si="649"/>
        <v>1</v>
      </c>
      <c r="AQ257" s="374"/>
      <c r="AR257" s="153">
        <f t="shared" ca="1" si="663"/>
        <v>1</v>
      </c>
      <c r="AS257" s="272">
        <f t="shared" si="602"/>
        <v>0</v>
      </c>
      <c r="AT257" s="157">
        <f t="shared" si="650"/>
        <v>0</v>
      </c>
      <c r="AU257" s="157">
        <f t="shared" si="630"/>
        <v>0</v>
      </c>
      <c r="AV257" s="271">
        <f t="shared" ca="1" si="670"/>
        <v>9.9999999999999995E-7</v>
      </c>
      <c r="AW257" s="158" t="str">
        <f t="shared" ca="1" si="672"/>
        <v/>
      </c>
      <c r="AX257" s="157">
        <f t="shared" ca="1" si="664"/>
        <v>8.5225921489446063E-6</v>
      </c>
      <c r="AY257" s="157">
        <f t="shared" ca="1" si="665"/>
        <v>1.3580466057092846E-6</v>
      </c>
      <c r="AZ257" s="157">
        <f t="shared" ca="1" si="666"/>
        <v>1.6575873738242459E-8</v>
      </c>
      <c r="BA257" s="157">
        <f t="shared" ca="1" si="667"/>
        <v>2.0719842172803074E-9</v>
      </c>
      <c r="BB257" s="157">
        <f t="shared" ca="1" si="668"/>
        <v>1.4715563685773193E-12</v>
      </c>
      <c r="BC257" s="157">
        <f t="shared" ca="1" si="669"/>
        <v>8.5862371933161805E-15</v>
      </c>
      <c r="BD257" s="151">
        <f t="shared" ca="1" si="603"/>
        <v>0</v>
      </c>
      <c r="BE257" s="152">
        <f t="shared" ca="1" si="604"/>
        <v>0</v>
      </c>
      <c r="BF257" s="40">
        <f t="shared" si="605"/>
        <v>2020</v>
      </c>
      <c r="BG257" s="144">
        <f t="shared" si="606"/>
        <v>6</v>
      </c>
      <c r="BH257" s="145">
        <f t="shared" ca="1" si="607"/>
        <v>7222</v>
      </c>
      <c r="BI257" s="313">
        <f t="shared" ca="1" si="608"/>
        <v>19.816563997262151</v>
      </c>
      <c r="BJ257" s="42">
        <f t="shared" ca="1" si="631"/>
        <v>19.870698774189535</v>
      </c>
      <c r="BK257" s="42">
        <f t="shared" ca="1" si="632"/>
        <v>19.873436624976666</v>
      </c>
      <c r="BL257" s="42">
        <f t="shared" ca="1" si="609"/>
        <v>19.89596167008898</v>
      </c>
      <c r="BM257" s="150" t="e">
        <f t="shared" ca="1" si="633"/>
        <v>#DIV/0!</v>
      </c>
      <c r="BN257" s="42" t="e">
        <f t="shared" ca="1" si="634"/>
        <v>#DIV/0!</v>
      </c>
      <c r="BO257" s="293">
        <f t="shared" si="610"/>
        <v>22</v>
      </c>
      <c r="BP257" s="41">
        <f t="shared" si="611"/>
        <v>15</v>
      </c>
      <c r="BQ257" s="41">
        <f t="shared" si="612"/>
        <v>7</v>
      </c>
      <c r="BR257" s="305" t="str">
        <f t="shared" ca="1" si="635"/>
        <v/>
      </c>
      <c r="BS257" s="305" t="str">
        <f t="shared" ca="1" si="613"/>
        <v/>
      </c>
      <c r="BT257" s="307" t="str">
        <f t="shared" ca="1" si="614"/>
        <v/>
      </c>
      <c r="BU257" s="161" t="str">
        <f t="shared" ca="1" si="636"/>
        <v/>
      </c>
      <c r="BV257" s="161" t="str">
        <f t="shared" ca="1" si="637"/>
        <v/>
      </c>
      <c r="BW257" s="308" t="str">
        <f t="shared" ca="1" si="638"/>
        <v/>
      </c>
      <c r="BX257" s="309" t="str">
        <f t="shared" ca="1" si="639"/>
        <v/>
      </c>
      <c r="BY257" s="308" t="str">
        <f t="shared" ca="1" si="615"/>
        <v/>
      </c>
      <c r="BZ257" s="309" t="str">
        <f t="shared" ca="1" si="616"/>
        <v/>
      </c>
      <c r="CA257" s="154" t="str">
        <f t="shared" ca="1" si="640"/>
        <v/>
      </c>
      <c r="CB257" s="154" t="str">
        <f t="shared" ca="1" si="641"/>
        <v/>
      </c>
      <c r="CC257" s="154" t="str">
        <f t="shared" ca="1" si="642"/>
        <v/>
      </c>
      <c r="CD257" s="154" t="str">
        <f t="shared" ca="1" si="643"/>
        <v/>
      </c>
      <c r="CE257" s="310">
        <v>1</v>
      </c>
      <c r="CF257" s="162">
        <f ca="1">IF(BD257,_xll.xCrudeAPO(BU257,BV257,CA257,CB257,S258,S259,BI257,BL257,BP257,BQ257,0,Strike1,AO257,CE257,0,BL257,IF(OptControl=4,0,1),0,1),0)</f>
        <v>0</v>
      </c>
      <c r="CG257" s="163">
        <f ca="1">IF(BD257,_xll.xCrudeAPO(BU257,BV257,CA257,CB257,S258,S259,BI257,BL257,BP257,BQ257,0,Strike1,AO257,CE257,0,BL257,IF(OptControl=4,0,1),1,1)+_xll.xCrudeAPO(BU257,BV257,CA257,CB257,S258,S259,BI257,BL257,BP257,BQ257,0,Strike1,AO257,CE257,0,BL257,IF(OptControl=4,0,1),1,2)+IF(OR(VolSkewFlag=2,ABS(BS257)&lt;0.0001),0,IF(BS257&gt;0,-1,1)*CH257*Strike1/BR257^2*BY257/10%),0)</f>
        <v>0</v>
      </c>
      <c r="CH257" s="163">
        <f ca="1">IF(BD257,(_xll.xCrudeAPO(BU257,BV257,CA257,CB257,S258,S259,BI257,BL257,BP257,BQ257,0,Strike1,AO257,CE257,0,BL257,IF(OptControl=4,0,1),3,1)+_xll.xCrudeAPO(BU257,BV257,CA257,CB257,S258,S259,BI257,BL257,BP257,BQ257,0,Strike1,AO257,CE257,0,BL257,IF(OptControl=4,0,1),3,2))/100,0)</f>
        <v>0</v>
      </c>
      <c r="CI257" s="163">
        <f ca="1">IF(BD257,_xll.xCrudeAPO(BU257,BV257,CA257,CB257,S258,S259,BI257-DaysForThetaCalculation/365.25,BL257-DaysForThetaCalculation/365.25,BP257,BQ257,0,Strike1,AO257,CE257,0,BL257,IF(OptControl=4,0,1),0,1)-_xll.xCrudeAPO(BU257,BV257,CA257,CB257,S258,S259,BI257,BL257,BP257,BQ257,0,Strike1,AO257,CE257,0,BL257,IF(OptControl=4,0,1),0,1),0)</f>
        <v>0</v>
      </c>
      <c r="CJ257" s="311">
        <f ca="1">IF(BD257,_xll.xCrudeAPO(BU257,BV257,CC257,CD257,S258,S259,BI257,BL257,BP257,BQ257,0,Strike2,AO257,CE257,0,BL257,IF(OptControl=3,1,0),0,1),0)</f>
        <v>0</v>
      </c>
      <c r="CK257" s="163">
        <f ca="1">IF(BD257,_xll.xCrudeAPO(BU257,BV257,CC257,CD257,S258,S259,BI257,BL257,BP257,BQ257,0,Strike2,AO257,CE257,0,BL257,IF(OptControl=3,1,0),1,1)+_xll.xCrudeAPO(BU257,BV257,CC257,CD257,S258,S259,BI257,BL257,BP257,BQ257,0,Strike2,AO257,CE257,0,BL257,IF(OptControl=3,1,0),1,2)+IF(OR(VolSkewFlag=2,ABS(BT257)&lt;0.0001),0,IF(BT257&gt;0,-1,1)*CL257*Strike2/BR257^2*BZ257/10%),0)</f>
        <v>0</v>
      </c>
      <c r="CL257" s="163">
        <f ca="1">IF(BD257,(_xll.xCrudeAPO(BU257,BV257,CC257,CD257,S258,S259,BI257,BL257,BP257,BQ257,0,Strike2,AO257,CE257,0,BL257,IF(OptControl=3,1,0),3,1)+_xll.xCrudeAPO(BU257,BV257,CC257,CD257,S258,S259,BI257,BL257,BP257,BQ257,0,Strike2,AO257,CE257,0,BL257,IF(OptControl=3,1,0),3,2))/100,0)</f>
        <v>0</v>
      </c>
      <c r="CM257" s="164">
        <f ca="1">IF(BD257,_xll.xCrudeAPO(BU257,BV257,CC257,CD257,S258,S259,BI257-DaysForThetaCalculation/365.25,BL257-DaysForThetaCalculation/365.25,BP257,BQ257,0,Strike2,AO257,CE257,0,BL257,IF(OptControl=3,1,0),0,1)-_xll.xCrudeAPO(BU257,BV257,CC257,CD257,S258,S259,BI257,BL257,BP257,BQ257,0,Strike2,AO257,CE257,0,BL257,IF(OptControl=3,1,0),0,1),0)</f>
        <v>0</v>
      </c>
      <c r="CN257" s="53"/>
      <c r="CO257" s="796" t="str">
        <f t="shared" ca="1" si="651"/>
        <v/>
      </c>
      <c r="CP257" s="800" t="str">
        <f t="shared" ca="1" si="652"/>
        <v/>
      </c>
      <c r="CQ257" s="797" t="str">
        <f t="shared" ca="1" si="653"/>
        <v/>
      </c>
      <c r="CR257" s="797" t="str">
        <f t="shared" ca="1" si="654"/>
        <v/>
      </c>
      <c r="CS257" s="797" t="str">
        <f t="shared" ca="1" si="655"/>
        <v/>
      </c>
      <c r="CT257" s="797" t="str">
        <f t="shared" ca="1" si="656"/>
        <v/>
      </c>
      <c r="CU257" s="798" t="str">
        <f t="shared" ca="1" si="657"/>
        <v/>
      </c>
      <c r="CV257" s="799" t="str">
        <f t="shared" ca="1" si="658"/>
        <v/>
      </c>
      <c r="CW257" s="799" t="str">
        <f t="shared" ca="1" si="659"/>
        <v/>
      </c>
      <c r="CX257" s="163">
        <f ca="1">IF(BD257,_xll.EURO(CP257,Strike1,AO257,AO257,CV257,CO257,IF(OptControl=4,0,1),0),0)</f>
        <v>0</v>
      </c>
      <c r="CY257" s="163">
        <f ca="1">IF(BD257,_xll.EURO(CP257,Strike1,AO257,AO257,CV257,CO257,IF(OptControl=4,0,1),1)+IF(OR(VolSkewFlag=2,ABS(CQ257)&lt;0.0001),0,IF(CQ257&gt;0,-1,1)*CZ257*100*Strike1/CP257^2*CS257/10%),0)</f>
        <v>0</v>
      </c>
      <c r="CZ257" s="163">
        <f ca="1">IF(BD257,_xll.EURO(CP257,Strike1,AO257,AO257,CV257,CO257,IF(OptControl=4,0,1),3)/100,0)</f>
        <v>0</v>
      </c>
      <c r="DA257" s="163">
        <f ca="1">IF(BD257,_xll.EURO(CP257,Strike1,AO257,AO257,CV257,CO257,IF(OptControl=4,0,1),0)-_xll.EURO(CP257,Strike1,AO257,AO257,CV257,CO257-1,IF(OptControl=4,0,1),0),0)</f>
        <v>0</v>
      </c>
      <c r="DB257" s="163">
        <f ca="1">IF(BD257,_xll.EURO(CP257,Strike2,AO257,AO257,CW257,CO257,IF(OptControl=3,1,0),0),0)</f>
        <v>0</v>
      </c>
      <c r="DC257" s="163">
        <f ca="1">IF(BD257,_xll.EURO(CP257,Strike2,AO257,AO257,CW257,CO257,IF(OptControl=3,1,0),1)+IF(OR(VolSkewFlag=2,ABS(CR257)&lt;0.0001),0,IF(CR257&gt;0,-1,1)*DD257*100*Strike2/CP257^2*CT257/10%),0)</f>
        <v>0</v>
      </c>
      <c r="DD257" s="163">
        <f ca="1">IF(BD257,_xll.EURO(CP257,Strike2,AO257,AO257,CW257,CO257,IF(OptControl=3,1,0),3)/100,0)</f>
        <v>0</v>
      </c>
      <c r="DE257" s="164">
        <f ca="1">IF(BD257,_xll.EURO(CP257,Strike2,AO257,AO257,CW257,CO257,IF(OptControl=3,1,0),0)-_xll.EURO(CP257,Strike2,AO257,AO257,CW257,CO257-1,IF(OptControl=3,1,0),0),0)</f>
        <v>0</v>
      </c>
      <c r="DG257" s="667">
        <f t="shared" ca="1" si="660"/>
        <v>43770</v>
      </c>
      <c r="DH257" s="475">
        <v>26.010000000000115</v>
      </c>
      <c r="DI257" s="665">
        <v>26.076666666666782</v>
      </c>
      <c r="DJ257" s="666">
        <f t="shared" ca="1" si="617"/>
        <v>43770</v>
      </c>
      <c r="DK257" s="475">
        <v>24.797508900649721</v>
      </c>
      <c r="DL257" s="665">
        <v>24.883566666666781</v>
      </c>
      <c r="DM257" s="667">
        <f t="shared" ca="1" si="618"/>
        <v>43770</v>
      </c>
      <c r="DN257" s="668">
        <f t="shared" si="619"/>
        <v>24.847508900649721</v>
      </c>
      <c r="DO257" s="667">
        <f t="shared" ca="1" si="620"/>
        <v>43770</v>
      </c>
      <c r="DP257" s="579">
        <f t="shared" si="621"/>
        <v>24.883566666666781</v>
      </c>
      <c r="DQ257" s="821">
        <v>0</v>
      </c>
      <c r="DR257" s="666">
        <f t="shared" ca="1" si="622"/>
        <v>43770</v>
      </c>
      <c r="DS257" s="669">
        <v>8.2399999999997017E-2</v>
      </c>
      <c r="DT257" s="606">
        <v>8.1599999999997036E-2</v>
      </c>
      <c r="DU257" s="666">
        <f t="shared" ca="1" si="623"/>
        <v>43770</v>
      </c>
      <c r="DV257" s="669">
        <v>8.2399999999997017E-2</v>
      </c>
      <c r="DW257" s="606">
        <v>8.1599999999997036E-2</v>
      </c>
      <c r="DX257" s="667">
        <f t="shared" ca="1" si="624"/>
        <v>43770</v>
      </c>
      <c r="DY257" s="606">
        <v>0.35</v>
      </c>
      <c r="DZ257" s="667">
        <f t="shared" ca="1" si="625"/>
        <v>43770</v>
      </c>
      <c r="EA257" s="606">
        <f t="shared" si="626"/>
        <v>8.1599999999997036E-2</v>
      </c>
      <c r="EB257" s="1"/>
      <c r="EC257" s="118" t="str">
        <f t="shared" ca="1" si="627"/>
        <v/>
      </c>
      <c r="ED257" s="119" t="str">
        <f t="shared" ca="1" si="644"/>
        <v/>
      </c>
      <c r="EE257" s="112" t="str">
        <f t="shared" ca="1" si="645"/>
        <v/>
      </c>
      <c r="EF257" s="120">
        <f ca="1">IF(BD257,_xll.xASN(BR257,Strike1,AO257,ED257,0,BO257,0,BI257,BL257,IF(OptControl=4,0,1),0),0)</f>
        <v>0</v>
      </c>
      <c r="EG257" s="111">
        <f ca="1">IF(BD257,_xll.xASN(BR257,Strike2,AO257,EE257,0,BO257,0,BI257,BL257,IF(OptControl=3,1,0),0),0)</f>
        <v>0</v>
      </c>
      <c r="EL257" s="55"/>
      <c r="EM257" s="1"/>
      <c r="EN257" s="106"/>
      <c r="EO257" s="106"/>
      <c r="EP257" s="1"/>
      <c r="EQ257" s="683" t="s">
        <v>471</v>
      </c>
      <c r="ER257" s="1"/>
      <c r="ES257" s="1"/>
      <c r="ET257" s="1"/>
      <c r="EU257" s="106"/>
      <c r="FJ257" s="673">
        <v>13</v>
      </c>
      <c r="FK257" s="479" t="str">
        <f ca="1">IF($FJ257+FK$244&gt;73,"",PRODUCT(INDEX($T$19:$T$93,FK$244):INDEX($T$19:$T$93,FK$244+$FJ257-1)))</f>
        <v/>
      </c>
      <c r="FL257" s="479" t="str">
        <f ca="1">IF($FJ257+FL$244&gt;73,"",PRODUCT(INDEX($T$19:$T$93,FL$244):INDEX($T$19:$T$93,FL$244+$FJ257-1)))</f>
        <v/>
      </c>
      <c r="FM257" s="479" t="str">
        <f ca="1">IF($FJ257+FM$244&gt;73,"",PRODUCT(INDEX($T$19:$T$93,FM$244):INDEX($T$19:$T$93,FM$244+$FJ257-1)))</f>
        <v/>
      </c>
      <c r="FN257" s="479" t="str">
        <f ca="1">IF($FJ257+FN$244&gt;73,"",PRODUCT(INDEX($T$19:$T$93,FN$244):INDEX($T$19:$T$93,FN$244+$FJ257-1)))</f>
        <v/>
      </c>
      <c r="FO257" s="479" t="str">
        <f ca="1">IF($FJ257+FO$244&gt;73,"",PRODUCT(INDEX($T$19:$T$93,FO$244):INDEX($T$19:$T$93,FO$244+$FJ257-1)))</f>
        <v/>
      </c>
      <c r="FP257" s="479" t="str">
        <f ca="1">IF($FJ257+FP$244&gt;73,"",PRODUCT(INDEX($T$19:$T$93,FP$244):INDEX($T$19:$T$93,FP$244+$FJ257-1)))</f>
        <v/>
      </c>
      <c r="FQ257" s="479" t="str">
        <f ca="1">IF($FJ257+FQ$244&gt;73,"",PRODUCT(INDEX($T$19:$T$93,FQ$244):INDEX($T$19:$T$93,FQ$244+$FJ257-1)))</f>
        <v/>
      </c>
      <c r="FR257" s="479" t="str">
        <f ca="1">IF($FJ257+FR$244&gt;73,"",PRODUCT(INDEX($T$19:$T$93,FR$244):INDEX($T$19:$T$93,FR$244+$FJ257-1)))</f>
        <v/>
      </c>
      <c r="FS257" s="479" t="str">
        <f ca="1">IF($FJ257+FS$244&gt;73,"",PRODUCT(INDEX($T$19:$T$93,FS$244):INDEX($T$19:$T$93,FS$244+$FJ257-1)))</f>
        <v/>
      </c>
      <c r="FT257" s="479" t="str">
        <f ca="1">IF($FJ257+FT$244&gt;73,"",PRODUCT(INDEX($T$19:$T$93,FT$244):INDEX($T$19:$T$93,FT$244+$FJ257-1)))</f>
        <v/>
      </c>
      <c r="FU257" s="479" t="str">
        <f ca="1">IF($FJ257+FU$244&gt;73,"",PRODUCT(INDEX($T$19:$T$93,FU$244):INDEX($T$19:$T$93,FU$244+$FJ257-1)))</f>
        <v/>
      </c>
      <c r="FV257" s="479" t="str">
        <f ca="1">IF($FJ257+FV$244&gt;73,"",PRODUCT(INDEX($T$19:$T$93,FV$244):INDEX($T$19:$T$93,FV$244+$FJ257-1)))</f>
        <v/>
      </c>
      <c r="FW257" s="479">
        <f ca="1">IF($FJ257+FW$244&gt;73,"",PRODUCT(INDEX($T$19:$T$93,FW$244):INDEX($T$19:$T$93,FW$244+$FJ257-1)))</f>
        <v>0.99992371705926375</v>
      </c>
      <c r="FX257" s="479">
        <f ca="1">IF($FJ257+FX$244&gt;73,"",PRODUCT(INDEX($T$19:$T$93,FX$244):INDEX($T$19:$T$93,FX$244+$FJ257-1)))</f>
        <v>0.99991078037423609</v>
      </c>
      <c r="FY257" s="479">
        <f ca="1">IF($FJ257+FY$244&gt;73,"",PRODUCT(INDEX($T$19:$T$93,FY$244):INDEX($T$19:$T$93,FY$244+$FJ257-1)))</f>
        <v>0.99989564982704793</v>
      </c>
      <c r="FZ257" s="479">
        <f ca="1">IF($FJ257+FZ$244&gt;73,"",PRODUCT(INDEX($T$19:$T$93,FZ$244):INDEX($T$19:$T$93,FZ$244+$FJ257-1)))</f>
        <v>0.99987795339125474</v>
      </c>
      <c r="GA257" s="479">
        <f ca="1">IF($FJ257+GA$244&gt;73,"",PRODUCT(INDEX($T$19:$T$93,GA$244):INDEX($T$19:$T$93,GA$244+$FJ257-1)))</f>
        <v>0.9998572559610488</v>
      </c>
      <c r="GB257" s="479">
        <f ca="1">IF($FJ257+GB$244&gt;73,"",PRODUCT(INDEX($T$19:$T$93,GB$244):INDEX($T$19:$T$93,GB$244+$FJ257-1)))</f>
        <v>0.99983304865866141</v>
      </c>
      <c r="GC257" s="479">
        <f ca="1">IF($FJ257+GC$244&gt;73,"",PRODUCT(INDEX($T$19:$T$93,GC$244):INDEX($T$19:$T$93,GC$244+$FJ257-1)))</f>
        <v>0.99980473633038758</v>
      </c>
      <c r="GD257" s="479">
        <f ca="1">IF($FJ257+GD$244&gt;73,"",PRODUCT(INDEX($T$19:$T$93,GD$244):INDEX($T$19:$T$93,GD$244+$FJ257-1)))</f>
        <v>0.99977162292480315</v>
      </c>
      <c r="GE257" s="479">
        <f ca="1">IF($FJ257+GE$244&gt;73,"",PRODUCT(INDEX($T$19:$T$93,GE$244):INDEX($T$19:$T$93,GE$244+$FJ257-1)))</f>
        <v>0.99973289439508228</v>
      </c>
      <c r="GF257" s="479">
        <f ca="1">IF($FJ257+GF$244&gt;73,"",PRODUCT(INDEX($T$19:$T$93,GF$244):INDEX($T$19:$T$93,GF$244+$FJ257-1)))</f>
        <v>0.99968759870699864</v>
      </c>
      <c r="GG257" s="479">
        <f ca="1">IF($FJ257+GG$244&gt;73,"",PRODUCT(INDEX($T$19:$T$93,GG$244):INDEX($T$19:$T$93,GG$244+$FJ257-1)))</f>
        <v>0.99963462246380086</v>
      </c>
      <c r="GH257" s="479">
        <f ca="1">IF($FJ257+GH$244&gt;73,"",PRODUCT(INDEX($T$19:$T$93,GH$244):INDEX($T$19:$T$93,GH$244+$FJ257-1)))</f>
        <v>0.99957266357703456</v>
      </c>
      <c r="GI257" s="479">
        <f ca="1">IF($FJ257+GI$244&gt;73,"",PRODUCT(INDEX($T$19:$T$93,GI$244):INDEX($T$19:$T$93,GI$244+$FJ257-1)))</f>
        <v>0.99950019931664535</v>
      </c>
      <c r="GJ257" s="479">
        <f ca="1">IF($FJ257+GJ$244&gt;73,"",PRODUCT(INDEX($T$19:$T$93,GJ$244):INDEX($T$19:$T$93,GJ$244+$FJ257-1)))</f>
        <v>0.99941544896211543</v>
      </c>
      <c r="GK257" s="479">
        <f ca="1">IF($FJ257+GK$244&gt;73,"",PRODUCT(INDEX($T$19:$T$93,GK$244):INDEX($T$19:$T$93,GK$244+$FJ257-1)))</f>
        <v>0.99931633014647192</v>
      </c>
      <c r="GL257" s="479">
        <f ca="1">IF($FJ257+GL$244&gt;73,"",PRODUCT(INDEX($T$19:$T$93,GL$244):INDEX($T$19:$T$93,GL$244+$FJ257-1)))</f>
        <v>0.99920040783382069</v>
      </c>
      <c r="GM257" s="479">
        <f ca="1">IF($FJ257+GM$244&gt;73,"",PRODUCT(INDEX($T$19:$T$93,GM$244):INDEX($T$19:$T$93,GM$244+$FJ257-1)))</f>
        <v>0.99906483469532348</v>
      </c>
      <c r="GN257" s="479">
        <f ca="1">IF($FJ257+GN$244&gt;73,"",PRODUCT(INDEX($T$19:$T$93,GN$244):INDEX($T$19:$T$93,GN$244+$FJ257-1)))</f>
        <v>0.99890628144447924</v>
      </c>
      <c r="GO257" s="479">
        <f ca="1">IF($FJ257+GO$244&gt;73,"",PRODUCT(INDEX($T$19:$T$93,GO$244):INDEX($T$19:$T$93,GO$244+$FJ257-1)))</f>
        <v>0.9987208554559539</v>
      </c>
      <c r="GP257" s="479">
        <f ca="1">IF($FJ257+GP$244&gt;73,"",PRODUCT(INDEX($T$19:$T$93,GP$244):INDEX($T$19:$T$93,GP$244+$FJ257-1)))</f>
        <v>0.99850400571827835</v>
      </c>
      <c r="GQ257" s="479">
        <f ca="1">IF($FJ257+GQ$244&gt;73,"",PRODUCT(INDEX($T$19:$T$93,GQ$244):INDEX($T$19:$T$93,GQ$244+$FJ257-1)))</f>
        <v>0.99825041185424046</v>
      </c>
      <c r="GR257" s="479">
        <f ca="1">IF($FJ257+GR$244&gt;73,"",PRODUCT(INDEX($T$19:$T$93,GR$244):INDEX($T$19:$T$93,GR$244+$FJ257-1)))</f>
        <v>0.99795385457797203</v>
      </c>
      <c r="GS257" s="479">
        <f ca="1">IF($FJ257+GS$244&gt;73,"",PRODUCT(INDEX($T$19:$T$93,GS$244):INDEX($T$19:$T$93,GS$244+$FJ257-1)))</f>
        <v>0.99760706453840098</v>
      </c>
      <c r="GT257" s="479">
        <f ca="1">IF($FJ257+GT$244&gt;73,"",PRODUCT(INDEX($T$19:$T$93,GT$244):INDEX($T$19:$T$93,GT$244+$FJ257-1)))</f>
        <v>0.99720154601842503</v>
      </c>
      <c r="GU257" s="479">
        <f ca="1">IF($FJ257+GU$244&gt;73,"",PRODUCT(INDEX($T$19:$T$93,GU$244):INDEX($T$19:$T$93,GU$244+$FJ257-1)))</f>
        <v>0.99672737141134182</v>
      </c>
      <c r="GV257" s="479">
        <f ca="1">IF($FJ257+GV$244&gt;73,"",PRODUCT(INDEX($T$19:$T$93,GV$244):INDEX($T$19:$T$93,GV$244+$FJ257-1)))</f>
        <v>0.99617294177450599</v>
      </c>
      <c r="GW257" s="479">
        <f ca="1">IF($FJ257+GW$244&gt;73,"",PRODUCT(INDEX($T$19:$T$93,GW$244):INDEX($T$19:$T$93,GW$244+$FJ257-1)))</f>
        <v>0.99552470805961313</v>
      </c>
      <c r="GX257" s="479">
        <f ca="1">IF($FJ257+GX$244&gt;73,"",PRODUCT(INDEX($T$19:$T$93,GX$244):INDEX($T$19:$T$93,GX$244+$FJ257-1)))</f>
        <v>0.99476684683586925</v>
      </c>
      <c r="GY257" s="479">
        <f ca="1">IF($FJ257+GY$244&gt;73,"",PRODUCT(INDEX($T$19:$T$93,GY$244):INDEX($T$19:$T$93,GY$244+$FJ257-1)))</f>
        <v>0.99388088345619141</v>
      </c>
      <c r="GZ257" s="479">
        <f ca="1">IF($FJ257+GZ$244&gt;73,"",PRODUCT(INDEX($T$19:$T$93,GZ$244):INDEX($T$19:$T$93,GZ$244+$FJ257-1)))</f>
        <v>0.99284525467206797</v>
      </c>
      <c r="HA257" s="479">
        <f ca="1">IF($FJ257+HA$244&gt;73,"",PRODUCT(INDEX($T$19:$T$93,HA$244):INDEX($T$19:$T$93,HA$244+$FJ257-1)))</f>
        <v>0.99163480169197704</v>
      </c>
      <c r="HB257" s="479">
        <f ca="1">IF($FJ257+HB$244&gt;73,"",PRODUCT(INDEX($T$19:$T$93,HB$244):INDEX($T$19:$T$93,HB$244+$FJ257-1)))</f>
        <v>0.99022018362515229</v>
      </c>
      <c r="HC257" s="479">
        <f ca="1">IF($FJ257+HC$244&gt;73,"",PRODUCT(INDEX($T$19:$T$93,HC$244):INDEX($T$19:$T$93,HC$244+$FJ257-1)))</f>
        <v>0.98856720019764355</v>
      </c>
      <c r="HD257" s="479">
        <f ca="1">IF($FJ257+HD$244&gt;73,"",PRODUCT(INDEX($T$19:$T$93,HD$244):INDEX($T$19:$T$93,HD$244+$FJ257-1)))</f>
        <v>0.98663601163630243</v>
      </c>
      <c r="HE257" s="479">
        <f ca="1">IF($FJ257+HE$244&gt;73,"",PRODUCT(INDEX($T$19:$T$93,HE$244):INDEX($T$19:$T$93,HE$244+$FJ257-1)))</f>
        <v>0.98438024278868419</v>
      </c>
      <c r="HF257" s="479">
        <f ca="1">IF($FJ257+HF$244&gt;73,"",PRODUCT(INDEX($T$19:$T$93,HF$244):INDEX($T$19:$T$93,HF$244+$FJ257-1)))</f>
        <v>0.98174595803249887</v>
      </c>
      <c r="HG257" s="479">
        <f ca="1">IF($FJ257+HG$244&gt;73,"",PRODUCT(INDEX($T$19:$T$93,HG$244):INDEX($T$19:$T$93,HG$244+$FJ257-1)))</f>
        <v>0.97867049354604763</v>
      </c>
      <c r="HH257" s="479">
        <f ca="1">IF($FJ257+HH$244&gt;73,"",PRODUCT(INDEX($T$19:$T$93,HH$244):INDEX($T$19:$T$93,HH$244+$FJ257-1)))</f>
        <v>0.97508113437589017</v>
      </c>
      <c r="HI257" s="479">
        <f ca="1">IF($FJ257+HI$244&gt;73,"",PRODUCT(INDEX($T$19:$T$93,HI$244):INDEX($T$19:$T$93,HI$244+$FJ257-1)))</f>
        <v>0.97089362589712458</v>
      </c>
      <c r="HJ257" s="479">
        <f ca="1">IF($FJ257+HJ$244&gt;73,"",PRODUCT(INDEX($T$19:$T$93,HJ$244):INDEX($T$19:$T$93,HJ$244+$FJ257-1)))</f>
        <v>0.96601051334298127</v>
      </c>
      <c r="HK257" s="479">
        <f ca="1">IF($FJ257+HK$244&gt;73,"",PRODUCT(INDEX($T$19:$T$93,HK$244):INDEX($T$19:$T$93,HK$244+$FJ257-1)))</f>
        <v>0.96031930995625292</v>
      </c>
      <c r="HL257" s="479">
        <f ca="1">IF($FJ257+HL$244&gt;73,"",PRODUCT(INDEX($T$19:$T$93,HL$244):INDEX($T$19:$T$93,HL$244+$FJ257-1)))</f>
        <v>0.95369050518468268</v>
      </c>
      <c r="HM257" s="479">
        <f ca="1">IF($FJ257+HM$244&gt;73,"",PRODUCT(INDEX($T$19:$T$93,HM$244):INDEX($T$19:$T$93,HM$244+$FJ257-1)))</f>
        <v>0.94597544083702279</v>
      </c>
      <c r="HN257" s="479">
        <f ca="1">IF($FJ257+HN$244&gt;73,"",PRODUCT(INDEX($T$19:$T$93,HN$244):INDEX($T$19:$T$93,HN$244+$FJ257-1)))</f>
        <v>0.93700410742828399</v>
      </c>
      <c r="HO257" s="479">
        <f ca="1">IF($FJ257+HO$244&gt;73,"",PRODUCT(INDEX($T$19:$T$93,HO$244):INDEX($T$19:$T$93,HO$244+$FJ257-1)))</f>
        <v>0.92658294797675522</v>
      </c>
      <c r="HP257" s="479">
        <f ca="1">IF($FJ257+HP$244&gt;73,"",PRODUCT(INDEX($T$19:$T$93,HP$244):INDEX($T$19:$T$93,HP$244+$FJ257-1)))</f>
        <v>0.91449280605440031</v>
      </c>
      <c r="HQ257" s="479">
        <f ca="1">IF($FJ257+HQ$244&gt;73,"",PRODUCT(INDEX($T$19:$T$93,HQ$244):INDEX($T$19:$T$93,HQ$244+$FJ257-1)))</f>
        <v>0.9004872237499244</v>
      </c>
      <c r="HR257" s="479">
        <f ca="1">IF($FJ257+HR$244&gt;73,"",PRODUCT(INDEX($T$19:$T$93,HR$244):INDEX($T$19:$T$93,HR$244+$FJ257-1)))</f>
        <v>0.8842913893131561</v>
      </c>
      <c r="HS257" s="479">
        <f ca="1">IF($FJ257+HS$244&gt;73,"",PRODUCT(INDEX($T$19:$T$93,HS$244):INDEX($T$19:$T$93,HS$244+$FJ257-1)))</f>
        <v>0.86560216058220041</v>
      </c>
      <c r="HT257" s="479">
        <f ca="1">IF($FJ257+HT$244&gt;73,"",PRODUCT(INDEX($T$19:$T$93,HT$244):INDEX($T$19:$T$93,HT$244+$FJ257-1)))</f>
        <v>0.84408975642155104</v>
      </c>
      <c r="HU257" s="479">
        <f ca="1">IF($FJ257+HU$244&gt;73,"",PRODUCT(INDEX($T$19:$T$93,HU$244):INDEX($T$19:$T$93,HU$244+$FJ257-1)))</f>
        <v>0.81940192135511125</v>
      </c>
      <c r="HV257" s="479">
        <f ca="1">IF($FJ257+HV$244&gt;73,"",PRODUCT(INDEX($T$19:$T$93,HV$244):INDEX($T$19:$T$93,HV$244+$FJ257-1)))</f>
        <v>0.79117163247097388</v>
      </c>
      <c r="HW257" s="479">
        <f ca="1">IF($FJ257+HW$244&gt;73,"",PRODUCT(INDEX($T$19:$T$93,HW$244):INDEX($T$19:$T$93,HW$244+$FJ257-1)))</f>
        <v>0.75902972912650346</v>
      </c>
      <c r="HX257" s="479">
        <f ca="1">IF($FJ257+HX$244&gt;73,"",PRODUCT(INDEX($T$19:$T$93,HX$244):INDEX($T$19:$T$93,HX$244+$FJ257-1)))</f>
        <v>0.72262418599991241</v>
      </c>
      <c r="HY257" s="479">
        <f ca="1">IF($FJ257+HY$244&gt;73,"",PRODUCT(INDEX($T$19:$T$93,HY$244):INDEX($T$19:$T$93,HY$244+$FJ257-1)))</f>
        <v>0.681648070303568</v>
      </c>
      <c r="HZ257" s="479">
        <f ca="1">IF($FJ257+HZ$244&gt;73,"",PRODUCT(INDEX($T$19:$T$93,HZ$244):INDEX($T$19:$T$93,HZ$244+$FJ257-1)))</f>
        <v>0.63587842499344127</v>
      </c>
      <c r="IA257" s="479">
        <f ca="1">IF($FJ257+IA$244&gt;73,"",PRODUCT(INDEX($T$19:$T$93,IA$244):INDEX($T$19:$T$93,IA$244+$FJ257-1)))</f>
        <v>0.58522821826692684</v>
      </c>
      <c r="IB257" s="479">
        <f ca="1">IF($FJ257+IB$244&gt;73,"",PRODUCT(INDEX($T$19:$T$93,IB$244):INDEX($T$19:$T$93,IB$244+$FJ257-1)))</f>
        <v>0.52981278421436739</v>
      </c>
      <c r="IC257" s="479">
        <f ca="1">IF($FJ257+IC$244&gt;73,"",PRODUCT(INDEX($T$19:$T$93,IC$244):INDEX($T$19:$T$93,IC$244+$FJ257-1)))</f>
        <v>0.47003036054529773</v>
      </c>
      <c r="ID257" s="678">
        <f ca="1">IF($FJ257+ID$244&gt;73,"",PRODUCT(INDEX($T$19:$T$93,ID$244):INDEX($T$19:$T$93,ID$244+$FJ257-1)))</f>
        <v>0.40665270410054155</v>
      </c>
      <c r="IE257" s="250"/>
    </row>
    <row r="258" spans="8:239">
      <c r="H258" s="51">
        <f t="shared" ca="1" si="646"/>
        <v>0</v>
      </c>
      <c r="I258" s="379">
        <f t="shared" si="647"/>
        <v>44013</v>
      </c>
      <c r="J258" s="377"/>
      <c r="K258" s="104" t="s">
        <v>268</v>
      </c>
      <c r="L258" s="392">
        <f t="shared" si="648"/>
        <v>6.0749999999999869</v>
      </c>
      <c r="M258" s="171"/>
      <c r="N258" s="382">
        <v>0</v>
      </c>
      <c r="O258" s="171">
        <f t="shared" si="596"/>
        <v>0</v>
      </c>
      <c r="P258" s="377"/>
      <c r="Q258" s="104" t="s">
        <v>268</v>
      </c>
      <c r="R258" s="377">
        <f t="shared" ca="1" si="597"/>
        <v>4.8771026650853839</v>
      </c>
      <c r="S258" s="832">
        <f t="shared" si="671"/>
        <v>0.3600000000000001</v>
      </c>
      <c r="T258" s="831">
        <f t="shared" si="661"/>
        <v>0.99999999999999933</v>
      </c>
      <c r="U258" s="545">
        <f t="shared" si="662"/>
        <v>0.99999999999999978</v>
      </c>
      <c r="V258" s="389">
        <v>0</v>
      </c>
      <c r="W258" s="434">
        <f t="shared" si="598"/>
        <v>0</v>
      </c>
      <c r="X258" s="415">
        <f t="shared" si="599"/>
        <v>6.1271739130434648</v>
      </c>
      <c r="Y258" s="322">
        <f t="shared" si="600"/>
        <v>-1.2668999999999999</v>
      </c>
      <c r="Z258" s="322">
        <f t="shared" ca="1" si="601"/>
        <v>4.8602739130434651</v>
      </c>
      <c r="AA258" s="429">
        <f t="shared" si="628"/>
        <v>1.2668999999999999</v>
      </c>
      <c r="AB258" s="433">
        <f t="shared" ca="1" si="629"/>
        <v>1.2668999999999999</v>
      </c>
      <c r="AC258" s="229">
        <v>44002</v>
      </c>
      <c r="AD258" s="229">
        <v>43998</v>
      </c>
      <c r="AE258" s="229">
        <v>43997</v>
      </c>
      <c r="AF258" s="229">
        <v>43993</v>
      </c>
      <c r="AG258" s="249" t="s">
        <v>499</v>
      </c>
      <c r="AH258" s="247" t="s">
        <v>499</v>
      </c>
      <c r="AI258" s="146">
        <v>23</v>
      </c>
      <c r="AJ258" s="41">
        <v>14</v>
      </c>
      <c r="AK258" s="41">
        <v>9</v>
      </c>
      <c r="AL258" s="293">
        <v>23</v>
      </c>
      <c r="AM258" s="41">
        <v>10</v>
      </c>
      <c r="AN258" s="147">
        <v>13</v>
      </c>
      <c r="AO258" s="374"/>
      <c r="AP258" s="153">
        <f t="shared" ca="1" si="649"/>
        <v>1</v>
      </c>
      <c r="AQ258" s="374"/>
      <c r="AR258" s="153">
        <f t="shared" ca="1" si="663"/>
        <v>1</v>
      </c>
      <c r="AS258" s="272">
        <f t="shared" si="602"/>
        <v>0</v>
      </c>
      <c r="AT258" s="157">
        <f t="shared" si="650"/>
        <v>0</v>
      </c>
      <c r="AU258" s="157">
        <f t="shared" si="630"/>
        <v>0</v>
      </c>
      <c r="AV258" s="271">
        <f t="shared" ca="1" si="670"/>
        <v>9.9999999999999995E-7</v>
      </c>
      <c r="AW258" s="158" t="str">
        <f t="shared" ca="1" si="672"/>
        <v/>
      </c>
      <c r="AX258" s="157">
        <f t="shared" ca="1" si="664"/>
        <v>8.2394350394198717E-6</v>
      </c>
      <c r="AY258" s="157">
        <f t="shared" ca="1" si="665"/>
        <v>1.3041980923424772E-6</v>
      </c>
      <c r="AZ258" s="157">
        <f t="shared" ca="1" si="666"/>
        <v>1.5645541431782135E-8</v>
      </c>
      <c r="BA258" s="157">
        <f t="shared" ca="1" si="667"/>
        <v>1.9556926789727668E-9</v>
      </c>
      <c r="BB258" s="157">
        <f t="shared" ca="1" si="668"/>
        <v>1.3428168987885733E-12</v>
      </c>
      <c r="BC258" s="157">
        <f t="shared" ca="1" si="669"/>
        <v>7.6494677091742871E-15</v>
      </c>
      <c r="BD258" s="151">
        <f t="shared" ca="1" si="603"/>
        <v>0</v>
      </c>
      <c r="BE258" s="152">
        <f t="shared" ca="1" si="604"/>
        <v>0</v>
      </c>
      <c r="BF258" s="40">
        <f t="shared" si="605"/>
        <v>2020</v>
      </c>
      <c r="BG258" s="144">
        <f t="shared" si="606"/>
        <v>7</v>
      </c>
      <c r="BH258" s="145">
        <f t="shared" ca="1" si="607"/>
        <v>7253</v>
      </c>
      <c r="BI258" s="313">
        <f t="shared" ca="1" si="608"/>
        <v>19.898699520876111</v>
      </c>
      <c r="BJ258" s="42">
        <f t="shared" ca="1" si="631"/>
        <v>19.94869505698896</v>
      </c>
      <c r="BK258" s="42">
        <f t="shared" ca="1" si="632"/>
        <v>19.951432907776091</v>
      </c>
      <c r="BL258" s="42">
        <f t="shared" ca="1" si="609"/>
        <v>19.980835044490075</v>
      </c>
      <c r="BM258" s="150" t="e">
        <f t="shared" ca="1" si="633"/>
        <v>#DIV/0!</v>
      </c>
      <c r="BN258" s="42" t="e">
        <f t="shared" ca="1" si="634"/>
        <v>#DIV/0!</v>
      </c>
      <c r="BO258" s="293">
        <f t="shared" si="610"/>
        <v>23</v>
      </c>
      <c r="BP258" s="41">
        <f t="shared" si="611"/>
        <v>14</v>
      </c>
      <c r="BQ258" s="41">
        <f t="shared" si="612"/>
        <v>9</v>
      </c>
      <c r="BR258" s="305" t="str">
        <f t="shared" ca="1" si="635"/>
        <v/>
      </c>
      <c r="BS258" s="305" t="str">
        <f t="shared" ca="1" si="613"/>
        <v/>
      </c>
      <c r="BT258" s="307" t="str">
        <f t="shared" ca="1" si="614"/>
        <v/>
      </c>
      <c r="BU258" s="161" t="str">
        <f t="shared" ca="1" si="636"/>
        <v/>
      </c>
      <c r="BV258" s="161" t="str">
        <f t="shared" ca="1" si="637"/>
        <v/>
      </c>
      <c r="BW258" s="308" t="str">
        <f t="shared" ca="1" si="638"/>
        <v/>
      </c>
      <c r="BX258" s="309" t="str">
        <f t="shared" ca="1" si="639"/>
        <v/>
      </c>
      <c r="BY258" s="308" t="str">
        <f t="shared" ca="1" si="615"/>
        <v/>
      </c>
      <c r="BZ258" s="309" t="str">
        <f t="shared" ca="1" si="616"/>
        <v/>
      </c>
      <c r="CA258" s="154" t="str">
        <f t="shared" ca="1" si="640"/>
        <v/>
      </c>
      <c r="CB258" s="154" t="str">
        <f t="shared" ca="1" si="641"/>
        <v/>
      </c>
      <c r="CC258" s="154" t="str">
        <f t="shared" ca="1" si="642"/>
        <v/>
      </c>
      <c r="CD258" s="154" t="str">
        <f t="shared" ca="1" si="643"/>
        <v/>
      </c>
      <c r="CE258" s="310">
        <v>1</v>
      </c>
      <c r="CF258" s="162">
        <f ca="1">IF(BD258,_xll.xCrudeAPO(BU258,BV258,CA258,CB258,S259,S260,BI258,BL258,BP258,BQ258,0,Strike1,AO258,CE258,0,BL258,IF(OptControl=4,0,1),0,1),0)</f>
        <v>0</v>
      </c>
      <c r="CG258" s="163">
        <f ca="1">IF(BD258,_xll.xCrudeAPO(BU258,BV258,CA258,CB258,S259,S260,BI258,BL258,BP258,BQ258,0,Strike1,AO258,CE258,0,BL258,IF(OptControl=4,0,1),1,1)+_xll.xCrudeAPO(BU258,BV258,CA258,CB258,S259,S260,BI258,BL258,BP258,BQ258,0,Strike1,AO258,CE258,0,BL258,IF(OptControl=4,0,1),1,2)+IF(OR(VolSkewFlag=2,ABS(BS258)&lt;0.0001),0,IF(BS258&gt;0,-1,1)*CH258*Strike1/BR258^2*BY258/10%),0)</f>
        <v>0</v>
      </c>
      <c r="CH258" s="163">
        <f ca="1">IF(BD258,(_xll.xCrudeAPO(BU258,BV258,CA258,CB258,S259,S260,BI258,BL258,BP258,BQ258,0,Strike1,AO258,CE258,0,BL258,IF(OptControl=4,0,1),3,1)+_xll.xCrudeAPO(BU258,BV258,CA258,CB258,S259,S260,BI258,BL258,BP258,BQ258,0,Strike1,AO258,CE258,0,BL258,IF(OptControl=4,0,1),3,2))/100,0)</f>
        <v>0</v>
      </c>
      <c r="CI258" s="163">
        <f ca="1">IF(BD258,_xll.xCrudeAPO(BU258,BV258,CA258,CB258,S259,S260,BI258-DaysForThetaCalculation/365.25,BL258-DaysForThetaCalculation/365.25,BP258,BQ258,0,Strike1,AO258,CE258,0,BL258,IF(OptControl=4,0,1),0,1)-_xll.xCrudeAPO(BU258,BV258,CA258,CB258,S259,S260,BI258,BL258,BP258,BQ258,0,Strike1,AO258,CE258,0,BL258,IF(OptControl=4,0,1),0,1),0)</f>
        <v>0</v>
      </c>
      <c r="CJ258" s="311">
        <f ca="1">IF(BD258,_xll.xCrudeAPO(BU258,BV258,CC258,CD258,S259,S260,BI258,BL258,BP258,BQ258,0,Strike2,AO258,CE258,0,BL258,IF(OptControl=3,1,0),0,1),0)</f>
        <v>0</v>
      </c>
      <c r="CK258" s="163">
        <f ca="1">IF(BD258,_xll.xCrudeAPO(BU258,BV258,CC258,CD258,S259,S260,BI258,BL258,BP258,BQ258,0,Strike2,AO258,CE258,0,BL258,IF(OptControl=3,1,0),1,1)+_xll.xCrudeAPO(BU258,BV258,CC258,CD258,S259,S260,BI258,BL258,BP258,BQ258,0,Strike2,AO258,CE258,0,BL258,IF(OptControl=3,1,0),1,2)+IF(OR(VolSkewFlag=2,ABS(BT258)&lt;0.0001),0,IF(BT258&gt;0,-1,1)*CL258*Strike2/BR258^2*BZ258/10%),0)</f>
        <v>0</v>
      </c>
      <c r="CL258" s="163">
        <f ca="1">IF(BD258,(_xll.xCrudeAPO(BU258,BV258,CC258,CD258,S259,S260,BI258,BL258,BP258,BQ258,0,Strike2,AO258,CE258,0,BL258,IF(OptControl=3,1,0),3,1)+_xll.xCrudeAPO(BU258,BV258,CC258,CD258,S259,S260,BI258,BL258,BP258,BQ258,0,Strike2,AO258,CE258,0,BL258,IF(OptControl=3,1,0),3,2))/100,0)</f>
        <v>0</v>
      </c>
      <c r="CM258" s="164">
        <f ca="1">IF(BD258,_xll.xCrudeAPO(BU258,BV258,CC258,CD258,S259,S260,BI258-DaysForThetaCalculation/365.25,BL258-DaysForThetaCalculation/365.25,BP258,BQ258,0,Strike2,AO258,CE258,0,BL258,IF(OptControl=3,1,0),0,1)-_xll.xCrudeAPO(BU258,BV258,CC258,CD258,S259,S260,BI258,BL258,BP258,BQ258,0,Strike2,AO258,CE258,0,BL258,IF(OptControl=3,1,0),0,1),0)</f>
        <v>0</v>
      </c>
      <c r="CN258" s="53"/>
      <c r="CO258" s="796" t="str">
        <f t="shared" ca="1" si="651"/>
        <v/>
      </c>
      <c r="CP258" s="800" t="str">
        <f t="shared" ca="1" si="652"/>
        <v/>
      </c>
      <c r="CQ258" s="797" t="str">
        <f t="shared" ca="1" si="653"/>
        <v/>
      </c>
      <c r="CR258" s="797" t="str">
        <f t="shared" ca="1" si="654"/>
        <v/>
      </c>
      <c r="CS258" s="797" t="str">
        <f t="shared" ca="1" si="655"/>
        <v/>
      </c>
      <c r="CT258" s="797" t="str">
        <f t="shared" ca="1" si="656"/>
        <v/>
      </c>
      <c r="CU258" s="798" t="str">
        <f t="shared" ca="1" si="657"/>
        <v/>
      </c>
      <c r="CV258" s="799" t="str">
        <f t="shared" ca="1" si="658"/>
        <v/>
      </c>
      <c r="CW258" s="799" t="str">
        <f t="shared" ca="1" si="659"/>
        <v/>
      </c>
      <c r="CX258" s="163">
        <f ca="1">IF(BD258,_xll.EURO(CP258,Strike1,AO258,AO258,CV258,CO258,IF(OptControl=4,0,1),0),0)</f>
        <v>0</v>
      </c>
      <c r="CY258" s="163">
        <f ca="1">IF(BD258,_xll.EURO(CP258,Strike1,AO258,AO258,CV258,CO258,IF(OptControl=4,0,1),1)+IF(OR(VolSkewFlag=2,ABS(CQ258)&lt;0.0001),0,IF(CQ258&gt;0,-1,1)*CZ258*100*Strike1/CP258^2*CS258/10%),0)</f>
        <v>0</v>
      </c>
      <c r="CZ258" s="163">
        <f ca="1">IF(BD258,_xll.EURO(CP258,Strike1,AO258,AO258,CV258,CO258,IF(OptControl=4,0,1),3)/100,0)</f>
        <v>0</v>
      </c>
      <c r="DA258" s="163">
        <f ca="1">IF(BD258,_xll.EURO(CP258,Strike1,AO258,AO258,CV258,CO258,IF(OptControl=4,0,1),0)-_xll.EURO(CP258,Strike1,AO258,AO258,CV258,CO258-1,IF(OptControl=4,0,1),0),0)</f>
        <v>0</v>
      </c>
      <c r="DB258" s="163">
        <f ca="1">IF(BD258,_xll.EURO(CP258,Strike2,AO258,AO258,CW258,CO258,IF(OptControl=3,1,0),0),0)</f>
        <v>0</v>
      </c>
      <c r="DC258" s="163">
        <f ca="1">IF(BD258,_xll.EURO(CP258,Strike2,AO258,AO258,CW258,CO258,IF(OptControl=3,1,0),1)+IF(OR(VolSkewFlag=2,ABS(CR258)&lt;0.0001),0,IF(CR258&gt;0,-1,1)*DD258*100*Strike2/CP258^2*CT258/10%),0)</f>
        <v>0</v>
      </c>
      <c r="DD258" s="163">
        <f ca="1">IF(BD258,_xll.EURO(CP258,Strike2,AO258,AO258,CW258,CO258,IF(OptControl=3,1,0),3)/100,0)</f>
        <v>0</v>
      </c>
      <c r="DE258" s="164">
        <f ca="1">IF(BD258,_xll.EURO(CP258,Strike2,AO258,AO258,CW258,CO258,IF(OptControl=3,1,0),0)-_xll.EURO(CP258,Strike2,AO258,AO258,CW258,CO258-1,IF(OptControl=3,1,0),0),0)</f>
        <v>0</v>
      </c>
      <c r="DG258" s="667">
        <f t="shared" ca="1" si="660"/>
        <v>43800</v>
      </c>
      <c r="DH258" s="475">
        <v>26.060000000000116</v>
      </c>
      <c r="DI258" s="665">
        <v>26.124285714285829</v>
      </c>
      <c r="DJ258" s="666">
        <f t="shared" ca="1" si="617"/>
        <v>43800</v>
      </c>
      <c r="DK258" s="475">
        <v>24.866431614885038</v>
      </c>
      <c r="DL258" s="665">
        <v>24.931185714285828</v>
      </c>
      <c r="DM258" s="667">
        <f t="shared" ca="1" si="618"/>
        <v>43800</v>
      </c>
      <c r="DN258" s="668">
        <f t="shared" si="619"/>
        <v>24.916431614885038</v>
      </c>
      <c r="DO258" s="667">
        <f t="shared" ca="1" si="620"/>
        <v>43800</v>
      </c>
      <c r="DP258" s="579">
        <f t="shared" si="621"/>
        <v>24.931185714285828</v>
      </c>
      <c r="DQ258" s="821">
        <v>0</v>
      </c>
      <c r="DR258" s="666">
        <f t="shared" ca="1" si="622"/>
        <v>43800</v>
      </c>
      <c r="DS258" s="669">
        <v>8.1799999999997028E-2</v>
      </c>
      <c r="DT258" s="606">
        <v>8.1199999999997025E-2</v>
      </c>
      <c r="DU258" s="666">
        <f t="shared" ca="1" si="623"/>
        <v>43800</v>
      </c>
      <c r="DV258" s="669">
        <v>8.1799999999997028E-2</v>
      </c>
      <c r="DW258" s="606">
        <v>8.1199999999997025E-2</v>
      </c>
      <c r="DX258" s="667">
        <f t="shared" ca="1" si="624"/>
        <v>43800</v>
      </c>
      <c r="DY258" s="606">
        <v>0.35</v>
      </c>
      <c r="DZ258" s="667">
        <f t="shared" ca="1" si="625"/>
        <v>43800</v>
      </c>
      <c r="EA258" s="606">
        <f t="shared" si="626"/>
        <v>8.1199999999997025E-2</v>
      </c>
      <c r="EB258" s="1"/>
      <c r="EC258" s="118" t="str">
        <f t="shared" ca="1" si="627"/>
        <v/>
      </c>
      <c r="ED258" s="119" t="str">
        <f t="shared" ca="1" si="644"/>
        <v/>
      </c>
      <c r="EE258" s="112" t="str">
        <f t="shared" ca="1" si="645"/>
        <v/>
      </c>
      <c r="EF258" s="120">
        <f ca="1">IF(BD258,_xll.xASN(BR258,Strike1,AO258,ED258,0,BO258,0,BI258,BL258,IF(OptControl=4,0,1),0),0)</f>
        <v>0</v>
      </c>
      <c r="EG258" s="111">
        <f ca="1">IF(BD258,_xll.xASN(BR258,Strike2,AO258,EE258,0,BO258,0,BI258,BL258,IF(OptControl=3,1,0),0),0)</f>
        <v>0</v>
      </c>
      <c r="EL258" s="55"/>
      <c r="EM258" s="1"/>
      <c r="EN258" s="106"/>
      <c r="EO258" s="106"/>
      <c r="EP258" s="1"/>
      <c r="EQ258" s="683" t="s">
        <v>472</v>
      </c>
      <c r="ER258" s="1"/>
      <c r="ES258" s="1"/>
      <c r="ET258" s="1"/>
      <c r="EU258" s="106"/>
      <c r="FJ258" s="673">
        <v>14</v>
      </c>
      <c r="FK258" s="479" t="str">
        <f ca="1">IF($FJ258+FK$244&gt;73,"",PRODUCT(INDEX($T$19:$T$93,FK$244):INDEX($T$19:$T$93,FK$244+$FJ258-1)))</f>
        <v/>
      </c>
      <c r="FL258" s="479" t="str">
        <f ca="1">IF($FJ258+FL$244&gt;73,"",PRODUCT(INDEX($T$19:$T$93,FL$244):INDEX($T$19:$T$93,FL$244+$FJ258-1)))</f>
        <v/>
      </c>
      <c r="FM258" s="479" t="str">
        <f ca="1">IF($FJ258+FM$244&gt;73,"",PRODUCT(INDEX($T$19:$T$93,FM$244):INDEX($T$19:$T$93,FM$244+$FJ258-1)))</f>
        <v/>
      </c>
      <c r="FN258" s="479" t="str">
        <f ca="1">IF($FJ258+FN$244&gt;73,"",PRODUCT(INDEX($T$19:$T$93,FN$244):INDEX($T$19:$T$93,FN$244+$FJ258-1)))</f>
        <v/>
      </c>
      <c r="FO258" s="479" t="str">
        <f ca="1">IF($FJ258+FO$244&gt;73,"",PRODUCT(INDEX($T$19:$T$93,FO$244):INDEX($T$19:$T$93,FO$244+$FJ258-1)))</f>
        <v/>
      </c>
      <c r="FP258" s="479" t="str">
        <f ca="1">IF($FJ258+FP$244&gt;73,"",PRODUCT(INDEX($T$19:$T$93,FP$244):INDEX($T$19:$T$93,FP$244+$FJ258-1)))</f>
        <v/>
      </c>
      <c r="FQ258" s="479" t="str">
        <f ca="1">IF($FJ258+FQ$244&gt;73,"",PRODUCT(INDEX($T$19:$T$93,FQ$244):INDEX($T$19:$T$93,FQ$244+$FJ258-1)))</f>
        <v/>
      </c>
      <c r="FR258" s="479" t="str">
        <f ca="1">IF($FJ258+FR$244&gt;73,"",PRODUCT(INDEX($T$19:$T$93,FR$244):INDEX($T$19:$T$93,FR$244+$FJ258-1)))</f>
        <v/>
      </c>
      <c r="FS258" s="479" t="str">
        <f ca="1">IF($FJ258+FS$244&gt;73,"",PRODUCT(INDEX($T$19:$T$93,FS$244):INDEX($T$19:$T$93,FS$244+$FJ258-1)))</f>
        <v/>
      </c>
      <c r="FT258" s="479" t="str">
        <f ca="1">IF($FJ258+FT$244&gt;73,"",PRODUCT(INDEX($T$19:$T$93,FT$244):INDEX($T$19:$T$93,FT$244+$FJ258-1)))</f>
        <v/>
      </c>
      <c r="FU258" s="479" t="str">
        <f ca="1">IF($FJ258+FU$244&gt;73,"",PRODUCT(INDEX($T$19:$T$93,FU$244):INDEX($T$19:$T$93,FU$244+$FJ258-1)))</f>
        <v/>
      </c>
      <c r="FV258" s="479" t="str">
        <f ca="1">IF($FJ258+FV$244&gt;73,"",PRODUCT(INDEX($T$19:$T$93,FV$244):INDEX($T$19:$T$93,FV$244+$FJ258-1)))</f>
        <v/>
      </c>
      <c r="FW258" s="479" t="str">
        <f ca="1">IF($FJ258+FW$244&gt;73,"",PRODUCT(INDEX($T$19:$T$93,FW$244):INDEX($T$19:$T$93,FW$244+$FJ258-1)))</f>
        <v/>
      </c>
      <c r="FX258" s="479">
        <f ca="1">IF($FJ258+FX$244&gt;73,"",PRODUCT(INDEX($T$19:$T$93,FX$244):INDEX($T$19:$T$93,FX$244+$FJ258-1)))</f>
        <v>0.99990883913083195</v>
      </c>
      <c r="FY258" s="479">
        <f ca="1">IF($FJ258+FY$244&gt;73,"",PRODUCT(INDEX($T$19:$T$93,FY$244):INDEX($T$19:$T$93,FY$244+$FJ258-1)))</f>
        <v>0.9998933793987036</v>
      </c>
      <c r="FZ258" s="479">
        <f ca="1">IF($FJ258+FZ$244&gt;73,"",PRODUCT(INDEX($T$19:$T$93,FZ$244):INDEX($T$19:$T$93,FZ$244+$FJ258-1)))</f>
        <v>0.99987529796305274</v>
      </c>
      <c r="GA258" s="479">
        <f ca="1">IF($FJ258+GA$244&gt;73,"",PRODUCT(INDEX($T$19:$T$93,GA$244):INDEX($T$19:$T$93,GA$244+$FJ258-1)))</f>
        <v>0.99985415025673929</v>
      </c>
      <c r="GB258" s="479">
        <f ca="1">IF($FJ258+GB$244&gt;73,"",PRODUCT(INDEX($T$19:$T$93,GB$244):INDEX($T$19:$T$93,GB$244+$FJ258-1)))</f>
        <v>0.99982941633771982</v>
      </c>
      <c r="GC258" s="479">
        <f ca="1">IF($FJ258+GC$244&gt;73,"",PRODUCT(INDEX($T$19:$T$93,GC$244):INDEX($T$19:$T$93,GC$244+$FJ258-1)))</f>
        <v>0.99980048811382316</v>
      </c>
      <c r="GD258" s="479">
        <f ca="1">IF($FJ258+GD$244&gt;73,"",PRODUCT(INDEX($T$19:$T$93,GD$244):INDEX($T$19:$T$93,GD$244+$FJ258-1)))</f>
        <v>0.99976665440393875</v>
      </c>
      <c r="GE258" s="479">
        <f ca="1">IF($FJ258+GE$244&gt;73,"",PRODUCT(INDEX($T$19:$T$93,GE$244):INDEX($T$19:$T$93,GE$244+$FJ258-1)))</f>
        <v>0.99972708346983929</v>
      </c>
      <c r="GF258" s="479">
        <f ca="1">IF($FJ258+GF$244&gt;73,"",PRODUCT(INDEX($T$19:$T$93,GF$244):INDEX($T$19:$T$93,GF$244+$FJ258-1)))</f>
        <v>0.99968080259126879</v>
      </c>
      <c r="GG258" s="479">
        <f ca="1">IF($FJ258+GG$244&gt;73,"",PRODUCT(INDEX($T$19:$T$93,GG$244):INDEX($T$19:$T$93,GG$244+$FJ258-1)))</f>
        <v>0.99962667418505136</v>
      </c>
      <c r="GH258" s="479">
        <f ca="1">IF($FJ258+GH$244&gt;73,"",PRODUCT(INDEX($T$19:$T$93,GH$244):INDEX($T$19:$T$93,GH$244+$FJ258-1)))</f>
        <v>0.99956336788514588</v>
      </c>
      <c r="GI258" s="479">
        <f ca="1">IF($FJ258+GI$244&gt;73,"",PRODUCT(INDEX($T$19:$T$93,GI$244):INDEX($T$19:$T$93,GI$244+$FJ258-1)))</f>
        <v>0.99948932790285194</v>
      </c>
      <c r="GJ258" s="479">
        <f ca="1">IF($FJ258+GJ$244&gt;73,"",PRODUCT(INDEX($T$19:$T$93,GJ$244):INDEX($T$19:$T$93,GJ$244+$FJ258-1)))</f>
        <v>0.99940273487249798</v>
      </c>
      <c r="GK258" s="479">
        <f ca="1">IF($FJ258+GK$244&gt;73,"",PRODUCT(INDEX($T$19:$T$93,GK$244):INDEX($T$19:$T$93,GK$244+$FJ258-1)))</f>
        <v>0.99930146125538866</v>
      </c>
      <c r="GL258" s="479">
        <f ca="1">IF($FJ258+GL$244&gt;73,"",PRODUCT(INDEX($T$19:$T$93,GL$244):INDEX($T$19:$T$93,GL$244+$FJ258-1)))</f>
        <v>0.99918301922056618</v>
      </c>
      <c r="GM258" s="479">
        <f ca="1">IF($FJ258+GM$244&gt;73,"",PRODUCT(INDEX($T$19:$T$93,GM$244):INDEX($T$19:$T$93,GM$244+$FJ258-1)))</f>
        <v>0.99904449974172949</v>
      </c>
      <c r="GN258" s="479">
        <f ca="1">IF($FJ258+GN$244&gt;73,"",PRODUCT(INDEX($T$19:$T$93,GN$244):INDEX($T$19:$T$93,GN$244+$FJ258-1)))</f>
        <v>0.99888250144162483</v>
      </c>
      <c r="GO258" s="479">
        <f ca="1">IF($FJ258+GO$244&gt;73,"",PRODUCT(INDEX($T$19:$T$93,GO$244):INDEX($T$19:$T$93,GO$244+$FJ258-1)))</f>
        <v>0.99869304747410348</v>
      </c>
      <c r="GP258" s="479">
        <f ca="1">IF($FJ258+GP$244&gt;73,"",PRODUCT(INDEX($T$19:$T$93,GP$244):INDEX($T$19:$T$93,GP$244+$FJ258-1)))</f>
        <v>0.99847148845502842</v>
      </c>
      <c r="GQ258" s="479">
        <f ca="1">IF($FJ258+GQ$244&gt;73,"",PRODUCT(INDEX($T$19:$T$93,GQ$244):INDEX($T$19:$T$93,GQ$244+$FJ258-1)))</f>
        <v>0.99821238913102239</v>
      </c>
      <c r="GR258" s="479">
        <f ca="1">IF($FJ258+GR$244&gt;73,"",PRODUCT(INDEX($T$19:$T$93,GR$244):INDEX($T$19:$T$93,GR$244+$FJ258-1)))</f>
        <v>0.99790939610391394</v>
      </c>
      <c r="GS258" s="479">
        <f ca="1">IF($FJ258+GS$244&gt;73,"",PRODUCT(INDEX($T$19:$T$93,GS$244):INDEX($T$19:$T$93,GS$244+$FJ258-1)))</f>
        <v>0.99755508350248612</v>
      </c>
      <c r="GT258" s="479">
        <f ca="1">IF($FJ258+GT$244&gt;73,"",PRODUCT(INDEX($T$19:$T$93,GT$244):INDEX($T$19:$T$93,GT$244+$FJ258-1)))</f>
        <v>0.99714077300538073</v>
      </c>
      <c r="GU258" s="479">
        <f ca="1">IF($FJ258+GU$244&gt;73,"",PRODUCT(INDEX($T$19:$T$93,GU$244):INDEX($T$19:$T$93,GU$244+$FJ258-1)))</f>
        <v>0.99665632406335314</v>
      </c>
      <c r="GV258" s="479">
        <f ca="1">IF($FJ258+GV$244&gt;73,"",PRODUCT(INDEX($T$19:$T$93,GV$244):INDEX($T$19:$T$93,GV$244+$FJ258-1)))</f>
        <v>0.99608988953955568</v>
      </c>
      <c r="GW258" s="479">
        <f ca="1">IF($FJ258+GW$244&gt;73,"",PRODUCT(INDEX($T$19:$T$93,GW$244):INDEX($T$19:$T$93,GW$244+$FJ258-1)))</f>
        <v>0.9954276312782655</v>
      </c>
      <c r="GX258" s="479">
        <f ca="1">IF($FJ258+GX$244&gt;73,"",PRODUCT(INDEX($T$19:$T$93,GX$244):INDEX($T$19:$T$93,GX$244+$FJ258-1)))</f>
        <v>0.99465338932256342</v>
      </c>
      <c r="GY258" s="479">
        <f ca="1">IF($FJ258+GY$244&gt;73,"",PRODUCT(INDEX($T$19:$T$93,GY$244):INDEX($T$19:$T$93,GY$244+$FJ258-1)))</f>
        <v>0.99374829763044581</v>
      </c>
      <c r="GZ258" s="479">
        <f ca="1">IF($FJ258+GZ$244&gt;73,"",PRODUCT(INDEX($T$19:$T$93,GZ$244):INDEX($T$19:$T$93,GZ$244+$FJ258-1)))</f>
        <v>0.99269033819266694</v>
      </c>
      <c r="HA258" s="479">
        <f ca="1">IF($FJ258+HA$244&gt;73,"",PRODUCT(INDEX($T$19:$T$93,HA$244):INDEX($T$19:$T$93,HA$244+$FJ258-1)))</f>
        <v>0.99145382444846475</v>
      </c>
      <c r="HB258" s="479">
        <f ca="1">IF($FJ258+HB$244&gt;73,"",PRODUCT(INDEX($T$19:$T$93,HB$244):INDEX($T$19:$T$93,HB$244+$FJ258-1)))</f>
        <v>0.99000880385387358</v>
      </c>
      <c r="HC258" s="479">
        <f ca="1">IF($FJ258+HC$244&gt;73,"",PRODUCT(INDEX($T$19:$T$93,HC$244):INDEX($T$19:$T$93,HC$244+$FJ258-1)))</f>
        <v>0.98832036842620308</v>
      </c>
      <c r="HD258" s="479">
        <f ca="1">IF($FJ258+HD$244&gt;73,"",PRODUCT(INDEX($T$19:$T$93,HD$244):INDEX($T$19:$T$93,HD$244+$FJ258-1)))</f>
        <v>0.98634786113822781</v>
      </c>
      <c r="HE258" s="479">
        <f ca="1">IF($FJ258+HE$244&gt;73,"",PRODUCT(INDEX($T$19:$T$93,HE$244):INDEX($T$19:$T$93,HE$244+$FJ258-1)))</f>
        <v>0.98404396527443028</v>
      </c>
      <c r="HF258" s="479">
        <f ca="1">IF($FJ258+HF$244&gt;73,"",PRODUCT(INDEX($T$19:$T$93,HF$244):INDEX($T$19:$T$93,HF$244+$FJ258-1)))</f>
        <v>0.9813536634491945</v>
      </c>
      <c r="HG258" s="479">
        <f ca="1">IF($FJ258+HG$244&gt;73,"",PRODUCT(INDEX($T$19:$T$93,HG$244):INDEX($T$19:$T$93,HG$244+$FJ258-1)))</f>
        <v>0.97821305315595963</v>
      </c>
      <c r="HH258" s="479">
        <f ca="1">IF($FJ258+HH$244&gt;73,"",PRODUCT(INDEX($T$19:$T$93,HH$244):INDEX($T$19:$T$93,HH$244+$FJ258-1)))</f>
        <v>0.97454800680046583</v>
      </c>
      <c r="HI258" s="479">
        <f ca="1">IF($FJ258+HI$244&gt;73,"",PRODUCT(INDEX($T$19:$T$93,HI$244):INDEX($T$19:$T$93,HI$244+$FJ258-1)))</f>
        <v>0.97027266664217204</v>
      </c>
      <c r="HJ258" s="479">
        <f ca="1">IF($FJ258+HJ$244&gt;73,"",PRODUCT(INDEX($T$19:$T$93,HJ$244):INDEX($T$19:$T$93,HJ$244+$FJ258-1)))</f>
        <v>0.96528776958546603</v>
      </c>
      <c r="HK258" s="479">
        <f ca="1">IF($FJ258+HK$244&gt;73,"",PRODUCT(INDEX($T$19:$T$93,HK$244):INDEX($T$19:$T$93,HK$244+$FJ258-1)))</f>
        <v>0.95947880423947707</v>
      </c>
      <c r="HL258" s="479">
        <f ca="1">IF($FJ258+HL$244&gt;73,"",PRODUCT(INDEX($T$19:$T$93,HL$244):INDEX($T$19:$T$93,HL$244+$FJ258-1)))</f>
        <v>0.95271401435231784</v>
      </c>
      <c r="HM258" s="479">
        <f ca="1">IF($FJ258+HM$244&gt;73,"",PRODUCT(INDEX($T$19:$T$93,HM$244):INDEX($T$19:$T$93,HM$244+$FJ258-1)))</f>
        <v>0.94484228031522799</v>
      </c>
      <c r="HN258" s="479">
        <f ca="1">IF($FJ258+HN$244&gt;73,"",PRODUCT(INDEX($T$19:$T$93,HN$244):INDEX($T$19:$T$93,HN$244+$FJ258-1)))</f>
        <v>0.93569093618777022</v>
      </c>
      <c r="HO258" s="479">
        <f ca="1">IF($FJ258+HO$244&gt;73,"",PRODUCT(INDEX($T$19:$T$93,HO$244):INDEX($T$19:$T$93,HO$244+$FJ258-1)))</f>
        <v>0.92506361659824476</v>
      </c>
      <c r="HP258" s="479">
        <f ca="1">IF($FJ258+HP$244&gt;73,"",PRODUCT(INDEX($T$19:$T$93,HP$244):INDEX($T$19:$T$93,HP$244+$FJ258-1)))</f>
        <v>0.91273827977731337</v>
      </c>
      <c r="HQ258" s="479">
        <f ca="1">IF($FJ258+HQ$244&gt;73,"",PRODUCT(INDEX($T$19:$T$93,HQ$244):INDEX($T$19:$T$93,HQ$244+$FJ258-1)))</f>
        <v>0.89846562474504799</v>
      </c>
      <c r="HR258" s="479">
        <f ca="1">IF($FJ258+HR$244&gt;73,"",PRODUCT(INDEX($T$19:$T$93,HR$244):INDEX($T$19:$T$93,HR$244+$FJ258-1)))</f>
        <v>0.88196821820296856</v>
      </c>
      <c r="HS258" s="479">
        <f ca="1">IF($FJ258+HS$244&gt;73,"",PRODUCT(INDEX($T$19:$T$93,HS$244):INDEX($T$19:$T$93,HS$244+$FJ258-1)))</f>
        <v>0.86294077679821279</v>
      </c>
      <c r="HT258" s="479">
        <f ca="1">IF($FJ258+HT$244&gt;73,"",PRODUCT(INDEX($T$19:$T$93,HT$244):INDEX($T$19:$T$93,HT$244+$FJ258-1)))</f>
        <v>0.84105222029288196</v>
      </c>
      <c r="HU258" s="479">
        <f ca="1">IF($FJ258+HU$244&gt;73,"",PRODUCT(INDEX($T$19:$T$93,HU$244):INDEX($T$19:$T$93,HU$244+$FJ258-1)))</f>
        <v>0.81595032699074943</v>
      </c>
      <c r="HV258" s="479">
        <f ca="1">IF($FJ258+HV$244&gt;73,"",PRODUCT(INDEX($T$19:$T$93,HV$244):INDEX($T$19:$T$93,HV$244+$FJ258-1)))</f>
        <v>0.78727008712007873</v>
      </c>
      <c r="HW258" s="479">
        <f ca="1">IF($FJ258+HW$244&gt;73,"",PRODUCT(INDEX($T$19:$T$93,HW$244):INDEX($T$19:$T$93,HW$244+$FJ258-1)))</f>
        <v>0.75464715673724869</v>
      </c>
      <c r="HX258" s="479">
        <f ca="1">IF($FJ258+HX$244&gt;73,"",PRODUCT(INDEX($T$19:$T$93,HX$244):INDEX($T$19:$T$93,HX$244+$FJ258-1)))</f>
        <v>0.71773814085970589</v>
      </c>
      <c r="HY258" s="479">
        <f ca="1">IF($FJ258+HY$244&gt;73,"",PRODUCT(INDEX($T$19:$T$93,HY$244):INDEX($T$19:$T$93,HY$244+$FJ258-1)))</f>
        <v>0.67624972517110715</v>
      </c>
      <c r="HZ258" s="479">
        <f ca="1">IF($FJ258+HZ$244&gt;73,"",PRODUCT(INDEX($T$19:$T$93,HZ$244):INDEX($T$19:$T$93,HZ$244+$FJ258-1)))</f>
        <v>0.62997882206839473</v>
      </c>
      <c r="IA258" s="479">
        <f ca="1">IF($FJ258+IA$244&gt;73,"",PRODUCT(INDEX($T$19:$T$93,IA$244):INDEX($T$19:$T$93,IA$244+$FJ258-1)))</f>
        <v>0.57886570390152803</v>
      </c>
      <c r="IB258" s="479">
        <f ca="1">IF($FJ258+IB$244&gt;73,"",PRODUCT(INDEX($T$19:$T$93,IB$244):INDEX($T$19:$T$93,IB$244+$FJ258-1)))</f>
        <v>0.52306123996669884</v>
      </c>
      <c r="IC258" s="479">
        <f ca="1">IF($FJ258+IC$244&gt;73,"",PRODUCT(INDEX($T$19:$T$93,IC$244):INDEX($T$19:$T$93,IC$244+$FJ258-1)))</f>
        <v>0.46300733643329256</v>
      </c>
      <c r="ID258" s="678">
        <f ca="1">IF($FJ258+ID$244&gt;73,"",PRODUCT(INDEX($T$19:$T$93,ID$244):INDEX($T$19:$T$93,ID$244+$FJ258-1)))</f>
        <v>0.39952580646350305</v>
      </c>
      <c r="IE258" s="250"/>
    </row>
    <row r="259" spans="8:239">
      <c r="H259" s="51">
        <f t="shared" ca="1" si="646"/>
        <v>0</v>
      </c>
      <c r="I259" s="379">
        <f t="shared" si="647"/>
        <v>44044</v>
      </c>
      <c r="J259" s="377"/>
      <c r="K259" s="104" t="s">
        <v>268</v>
      </c>
      <c r="L259" s="392">
        <f t="shared" si="648"/>
        <v>6.1124999999999865</v>
      </c>
      <c r="M259" s="171"/>
      <c r="N259" s="382">
        <v>0</v>
      </c>
      <c r="O259" s="171">
        <f t="shared" si="596"/>
        <v>0</v>
      </c>
      <c r="P259" s="377"/>
      <c r="Q259" s="104" t="s">
        <v>268</v>
      </c>
      <c r="R259" s="377">
        <f t="shared" ca="1" si="597"/>
        <v>4.7273727790954885</v>
      </c>
      <c r="S259" s="832">
        <f t="shared" si="671"/>
        <v>0.3600000000000001</v>
      </c>
      <c r="T259" s="831">
        <f t="shared" si="661"/>
        <v>0.99999999999999933</v>
      </c>
      <c r="U259" s="545">
        <f t="shared" si="662"/>
        <v>0.99999999999999978</v>
      </c>
      <c r="V259" s="389">
        <v>0</v>
      </c>
      <c r="W259" s="434"/>
      <c r="X259" s="415"/>
      <c r="Y259" s="322"/>
      <c r="Z259" s="322"/>
      <c r="AA259" s="429"/>
      <c r="AB259" s="433"/>
      <c r="AC259" s="229">
        <v>44032</v>
      </c>
      <c r="AD259" s="229">
        <v>44028</v>
      </c>
      <c r="AE259" s="229">
        <v>44027</v>
      </c>
      <c r="AF259" s="229">
        <v>44023</v>
      </c>
      <c r="AG259" s="249" t="s">
        <v>499</v>
      </c>
      <c r="AH259" s="247" t="s">
        <v>499</v>
      </c>
      <c r="AI259" s="146">
        <v>21</v>
      </c>
      <c r="AJ259" s="41">
        <v>14</v>
      </c>
      <c r="AK259" s="41">
        <v>7</v>
      </c>
      <c r="AL259" s="293">
        <v>21</v>
      </c>
      <c r="AM259" s="41">
        <v>10</v>
      </c>
      <c r="AN259" s="147">
        <v>11</v>
      </c>
      <c r="AO259" s="374"/>
      <c r="AP259" s="153">
        <f t="shared" ca="1" si="649"/>
        <v>1</v>
      </c>
      <c r="AQ259" s="374"/>
      <c r="AR259" s="153">
        <f t="shared" ca="1" si="663"/>
        <v>1</v>
      </c>
      <c r="AS259" s="272">
        <f t="shared" si="602"/>
        <v>0</v>
      </c>
      <c r="AT259" s="157">
        <f t="shared" si="650"/>
        <v>0</v>
      </c>
      <c r="AU259" s="157">
        <f t="shared" si="630"/>
        <v>0</v>
      </c>
      <c r="AV259" s="271">
        <f t="shared" ca="1" si="670"/>
        <v>9.9999999999999995E-7</v>
      </c>
      <c r="AW259" s="158" t="str">
        <f t="shared" ca="1" si="672"/>
        <v/>
      </c>
      <c r="AX259" s="157">
        <f t="shared" ca="1" si="664"/>
        <v>7.9656856250274596E-6</v>
      </c>
      <c r="AY259" s="157">
        <f t="shared" ca="1" si="665"/>
        <v>1.252484750463618E-6</v>
      </c>
      <c r="AZ259" s="157">
        <f t="shared" ca="1" si="666"/>
        <v>1.4767424665456321E-8</v>
      </c>
      <c r="BA259" s="157">
        <f t="shared" ca="1" si="667"/>
        <v>1.8459280831820401E-9</v>
      </c>
      <c r="BB259" s="157">
        <f t="shared" ca="1" si="668"/>
        <v>1.2253402330863E-12</v>
      </c>
      <c r="BC259" s="157">
        <f t="shared" ca="1" si="669"/>
        <v>6.8149009765592871E-15</v>
      </c>
      <c r="BD259" s="151">
        <f t="shared" ca="1" si="603"/>
        <v>0</v>
      </c>
      <c r="BE259" s="152">
        <f t="shared" ca="1" si="604"/>
        <v>0</v>
      </c>
      <c r="BF259" s="40">
        <f t="shared" si="605"/>
        <v>2020</v>
      </c>
      <c r="BG259" s="144">
        <f t="shared" si="606"/>
        <v>8</v>
      </c>
      <c r="BH259" s="145">
        <f t="shared" ca="1" si="607"/>
        <v>7283</v>
      </c>
      <c r="BI259" s="313">
        <f t="shared" ca="1" si="608"/>
        <v>19.983572895277206</v>
      </c>
      <c r="BJ259" s="42">
        <f t="shared" ca="1" si="631"/>
        <v>20.038329911019847</v>
      </c>
      <c r="BK259" s="42">
        <f t="shared" ca="1" si="632"/>
        <v>20.041067761806978</v>
      </c>
      <c r="BL259" s="42">
        <f t="shared" ca="1" si="609"/>
        <v>20.06570841889117</v>
      </c>
      <c r="BM259" s="150" t="e">
        <f t="shared" ca="1" si="633"/>
        <v>#DIV/0!</v>
      </c>
      <c r="BN259" s="42" t="e">
        <f t="shared" ca="1" si="634"/>
        <v>#DIV/0!</v>
      </c>
      <c r="BO259" s="293">
        <f t="shared" si="610"/>
        <v>21</v>
      </c>
      <c r="BP259" s="41">
        <f t="shared" si="611"/>
        <v>14</v>
      </c>
      <c r="BQ259" s="41">
        <f t="shared" si="612"/>
        <v>7</v>
      </c>
      <c r="BR259" s="305" t="str">
        <f t="shared" ca="1" si="635"/>
        <v/>
      </c>
      <c r="BS259" s="305" t="str">
        <f t="shared" ca="1" si="613"/>
        <v/>
      </c>
      <c r="BT259" s="307" t="str">
        <f t="shared" ca="1" si="614"/>
        <v/>
      </c>
      <c r="BU259" s="161" t="str">
        <f t="shared" ca="1" si="636"/>
        <v/>
      </c>
      <c r="BV259" s="161" t="str">
        <f t="shared" ca="1" si="637"/>
        <v/>
      </c>
      <c r="BW259" s="308" t="str">
        <f t="shared" ca="1" si="638"/>
        <v/>
      </c>
      <c r="BX259" s="309" t="str">
        <f t="shared" ca="1" si="639"/>
        <v/>
      </c>
      <c r="BY259" s="308" t="str">
        <f t="shared" ca="1" si="615"/>
        <v/>
      </c>
      <c r="BZ259" s="309" t="str">
        <f t="shared" ca="1" si="616"/>
        <v/>
      </c>
      <c r="CA259" s="154" t="str">
        <f t="shared" ca="1" si="640"/>
        <v/>
      </c>
      <c r="CB259" s="154" t="str">
        <f t="shared" ca="1" si="641"/>
        <v/>
      </c>
      <c r="CC259" s="154" t="str">
        <f t="shared" ca="1" si="642"/>
        <v/>
      </c>
      <c r="CD259" s="154" t="str">
        <f t="shared" ca="1" si="643"/>
        <v/>
      </c>
      <c r="CE259" s="310">
        <v>1</v>
      </c>
      <c r="CF259" s="162">
        <f ca="1">IF(BD259,_xll.xCrudeAPO(BU259,BV259,CA259,CB259,S260,S261,BI259,BL259,BP259,BQ259,0,Strike1,AO259,CE259,0,BL259,IF(OptControl=4,0,1),0,1),0)</f>
        <v>0</v>
      </c>
      <c r="CG259" s="163">
        <f ca="1">IF(BD259,_xll.xCrudeAPO(BU259,BV259,CA259,CB259,S260,S261,BI259,BL259,BP259,BQ259,0,Strike1,AO259,CE259,0,BL259,IF(OptControl=4,0,1),1,1)+_xll.xCrudeAPO(BU259,BV259,CA259,CB259,S260,S261,BI259,BL259,BP259,BQ259,0,Strike1,AO259,CE259,0,BL259,IF(OptControl=4,0,1),1,2)+IF(OR(VolSkewFlag=2,ABS(BS259)&lt;0.0001),0,IF(BS259&gt;0,-1,1)*CH259*Strike1/BR259^2*BY259/10%),0)</f>
        <v>0</v>
      </c>
      <c r="CH259" s="163">
        <f ca="1">IF(BD259,(_xll.xCrudeAPO(BU259,BV259,CA259,CB259,S260,S261,BI259,BL259,BP259,BQ259,0,Strike1,AO259,CE259,0,BL259,IF(OptControl=4,0,1),3,1)+_xll.xCrudeAPO(BU259,BV259,CA259,CB259,S260,S261,BI259,BL259,BP259,BQ259,0,Strike1,AO259,CE259,0,BL259,IF(OptControl=4,0,1),3,2))/100,0)</f>
        <v>0</v>
      </c>
      <c r="CI259" s="163">
        <f ca="1">IF(BD259,_xll.xCrudeAPO(BU259,BV259,CA259,CB259,S260,S261,BI259-DaysForThetaCalculation/365.25,BL259-DaysForThetaCalculation/365.25,BP259,BQ259,0,Strike1,AO259,CE259,0,BL259,IF(OptControl=4,0,1),0,1)-_xll.xCrudeAPO(BU259,BV259,CA259,CB259,S260,S261,BI259,BL259,BP259,BQ259,0,Strike1,AO259,CE259,0,BL259,IF(OptControl=4,0,1),0,1),0)</f>
        <v>0</v>
      </c>
      <c r="CJ259" s="311">
        <f ca="1">IF(BD259,_xll.xCrudeAPO(BU259,BV259,CC259,CD259,S260,S261,BI259,BL259,BP259,BQ259,0,Strike2,AO259,CE259,0,BL259,IF(OptControl=3,1,0),0,1),0)</f>
        <v>0</v>
      </c>
      <c r="CK259" s="163">
        <f ca="1">IF(BD259,_xll.xCrudeAPO(BU259,BV259,CC259,CD259,S260,S261,BI259,BL259,BP259,BQ259,0,Strike2,AO259,CE259,0,BL259,IF(OptControl=3,1,0),1,1)+_xll.xCrudeAPO(BU259,BV259,CC259,CD259,S260,S261,BI259,BL259,BP259,BQ259,0,Strike2,AO259,CE259,0,BL259,IF(OptControl=3,1,0),1,2)+IF(OR(VolSkewFlag=2,ABS(BT259)&lt;0.0001),0,IF(BT259&gt;0,-1,1)*CL259*Strike2/BR259^2*BZ259/10%),0)</f>
        <v>0</v>
      </c>
      <c r="CL259" s="163">
        <f ca="1">IF(BD259,(_xll.xCrudeAPO(BU259,BV259,CC259,CD259,S260,S261,BI259,BL259,BP259,BQ259,0,Strike2,AO259,CE259,0,BL259,IF(OptControl=3,1,0),3,1)+_xll.xCrudeAPO(BU259,BV259,CC259,CD259,S260,S261,BI259,BL259,BP259,BQ259,0,Strike2,AO259,CE259,0,BL259,IF(OptControl=3,1,0),3,2))/100,0)</f>
        <v>0</v>
      </c>
      <c r="CM259" s="164">
        <f ca="1">IF(BD259,_xll.xCrudeAPO(BU259,BV259,CC259,CD259,S260,S261,BI259-DaysForThetaCalculation/365.25,BL259-DaysForThetaCalculation/365.25,BP259,BQ259,0,Strike2,AO259,CE259,0,BL259,IF(OptControl=3,1,0),0,1)-_xll.xCrudeAPO(BU259,BV259,CC259,CD259,S260,S261,BI259,BL259,BP259,BQ259,0,Strike2,AO259,CE259,0,BL259,IF(OptControl=3,1,0),0,1),0)</f>
        <v>0</v>
      </c>
      <c r="CN259" s="53"/>
      <c r="CO259" s="796" t="str">
        <f t="shared" ca="1" si="651"/>
        <v/>
      </c>
      <c r="CP259" s="800" t="str">
        <f t="shared" ca="1" si="652"/>
        <v/>
      </c>
      <c r="CQ259" s="797" t="str">
        <f t="shared" ca="1" si="653"/>
        <v/>
      </c>
      <c r="CR259" s="797" t="str">
        <f t="shared" ca="1" si="654"/>
        <v/>
      </c>
      <c r="CS259" s="797" t="str">
        <f t="shared" ca="1" si="655"/>
        <v/>
      </c>
      <c r="CT259" s="797" t="str">
        <f t="shared" ca="1" si="656"/>
        <v/>
      </c>
      <c r="CU259" s="798" t="str">
        <f t="shared" ca="1" si="657"/>
        <v/>
      </c>
      <c r="CV259" s="799" t="str">
        <f t="shared" ca="1" si="658"/>
        <v/>
      </c>
      <c r="CW259" s="799" t="str">
        <f t="shared" ca="1" si="659"/>
        <v/>
      </c>
      <c r="CX259" s="163">
        <f ca="1">IF(BD259,_xll.EURO(CP259,Strike1,AO259,AO259,CV259,CO259,IF(OptControl=4,0,1),0),0)</f>
        <v>0</v>
      </c>
      <c r="CY259" s="163">
        <f ca="1">IF(BD259,_xll.EURO(CP259,Strike1,AO259,AO259,CV259,CO259,IF(OptControl=4,0,1),1)+IF(OR(VolSkewFlag=2,ABS(CQ259)&lt;0.0001),0,IF(CQ259&gt;0,-1,1)*CZ259*100*Strike1/CP259^2*CS259/10%),0)</f>
        <v>0</v>
      </c>
      <c r="CZ259" s="163">
        <f ca="1">IF(BD259,_xll.EURO(CP259,Strike1,AO259,AO259,CV259,CO259,IF(OptControl=4,0,1),3)/100,0)</f>
        <v>0</v>
      </c>
      <c r="DA259" s="163">
        <f ca="1">IF(BD259,_xll.EURO(CP259,Strike1,AO259,AO259,CV259,CO259,IF(OptControl=4,0,1),0)-_xll.EURO(CP259,Strike1,AO259,AO259,CV259,CO259-1,IF(OptControl=4,0,1),0),0)</f>
        <v>0</v>
      </c>
      <c r="DB259" s="163">
        <f ca="1">IF(BD259,_xll.EURO(CP259,Strike2,AO259,AO259,CW259,CO259,IF(OptControl=3,1,0),0),0)</f>
        <v>0</v>
      </c>
      <c r="DC259" s="163">
        <f ca="1">IF(BD259,_xll.EURO(CP259,Strike2,AO259,AO259,CW259,CO259,IF(OptControl=3,1,0),1)+IF(OR(VolSkewFlag=2,ABS(CR259)&lt;0.0001),0,IF(CR259&gt;0,-1,1)*DD259*100*Strike2/CP259^2*CT259/10%),0)</f>
        <v>0</v>
      </c>
      <c r="DD259" s="163">
        <f ca="1">IF(BD259,_xll.EURO(CP259,Strike2,AO259,AO259,CW259,CO259,IF(OptControl=3,1,0),3)/100,0)</f>
        <v>0</v>
      </c>
      <c r="DE259" s="164">
        <f ca="1">IF(BD259,_xll.EURO(CP259,Strike2,AO259,AO259,CW259,CO259,IF(OptControl=3,1,0),0)-_xll.EURO(CP259,Strike2,AO259,AO259,CW259,CO259-1,IF(OptControl=3,1,0),0),0)</f>
        <v>0</v>
      </c>
      <c r="DG259" s="667">
        <f t="shared" ca="1" si="660"/>
        <v>43831</v>
      </c>
      <c r="DH259" s="475">
        <v>26.110000000000117</v>
      </c>
      <c r="DI259" s="665">
        <v>26.180454545454662</v>
      </c>
      <c r="DJ259" s="666">
        <f t="shared" ca="1" si="617"/>
        <v>43831</v>
      </c>
      <c r="DK259" s="475">
        <v>24.89914398646836</v>
      </c>
      <c r="DL259" s="665">
        <v>25.011954545454664</v>
      </c>
      <c r="DM259" s="667">
        <f t="shared" ca="1" si="618"/>
        <v>43831</v>
      </c>
      <c r="DN259" s="668">
        <f t="shared" si="619"/>
        <v>24.949143986468361</v>
      </c>
      <c r="DO259" s="667">
        <f t="shared" ca="1" si="620"/>
        <v>43831</v>
      </c>
      <c r="DP259" s="579">
        <f t="shared" si="621"/>
        <v>25.011954545454664</v>
      </c>
      <c r="DQ259" s="821">
        <v>0</v>
      </c>
      <c r="DR259" s="666">
        <f t="shared" ca="1" si="622"/>
        <v>43831</v>
      </c>
      <c r="DS259" s="669">
        <v>8.1199999999997025E-2</v>
      </c>
      <c r="DT259" s="606">
        <v>4.7981818181816419E-2</v>
      </c>
      <c r="DU259" s="666">
        <f t="shared" ca="1" si="623"/>
        <v>43831</v>
      </c>
      <c r="DV259" s="669">
        <v>8.1199999999997025E-2</v>
      </c>
      <c r="DW259" s="606">
        <v>4.7981818181816419E-2</v>
      </c>
      <c r="DX259" s="667">
        <f t="shared" ca="1" si="624"/>
        <v>43831</v>
      </c>
      <c r="DY259" s="606">
        <v>0.35</v>
      </c>
      <c r="DZ259" s="667">
        <f t="shared" ca="1" si="625"/>
        <v>43831</v>
      </c>
      <c r="EA259" s="606">
        <f t="shared" si="626"/>
        <v>4.7981818181816419E-2</v>
      </c>
      <c r="EB259" s="1"/>
      <c r="EC259" s="118" t="str">
        <f t="shared" ca="1" si="627"/>
        <v/>
      </c>
      <c r="ED259" s="119" t="str">
        <f t="shared" ca="1" si="644"/>
        <v/>
      </c>
      <c r="EE259" s="112" t="str">
        <f t="shared" ca="1" si="645"/>
        <v/>
      </c>
      <c r="EF259" s="120">
        <f ca="1">IF(BD259,_xll.xASN(BR259,Strike1,AO259,ED259,0,BO259,0,BI259,BL259,IF(OptControl=4,0,1),0),0)</f>
        <v>0</v>
      </c>
      <c r="EG259" s="111">
        <f ca="1">IF(BD259,_xll.xASN(BR259,Strike2,AO259,EE259,0,BO259,0,BI259,BL259,IF(OptControl=3,1,0),0),0)</f>
        <v>0</v>
      </c>
      <c r="EL259" s="55"/>
      <c r="EM259" s="1"/>
      <c r="EN259" s="106"/>
      <c r="EO259" s="106"/>
      <c r="EP259" s="1"/>
      <c r="EQ259" s="683" t="s">
        <v>473</v>
      </c>
      <c r="ER259" s="1"/>
      <c r="ES259" s="1"/>
      <c r="ET259" s="1"/>
      <c r="EU259" s="106"/>
      <c r="FJ259" s="673">
        <v>15</v>
      </c>
      <c r="FK259" s="479" t="str">
        <f ca="1">IF($FJ259+FK$244&gt;73,"",PRODUCT(INDEX($T$19:$T$93,FK$244):INDEX($T$19:$T$93,FK$244+$FJ259-1)))</f>
        <v/>
      </c>
      <c r="FL259" s="479" t="str">
        <f ca="1">IF($FJ259+FL$244&gt;73,"",PRODUCT(INDEX($T$19:$T$93,FL$244):INDEX($T$19:$T$93,FL$244+$FJ259-1)))</f>
        <v/>
      </c>
      <c r="FM259" s="479" t="str">
        <f ca="1">IF($FJ259+FM$244&gt;73,"",PRODUCT(INDEX($T$19:$T$93,FM$244):INDEX($T$19:$T$93,FM$244+$FJ259-1)))</f>
        <v/>
      </c>
      <c r="FN259" s="479" t="str">
        <f ca="1">IF($FJ259+FN$244&gt;73,"",PRODUCT(INDEX($T$19:$T$93,FN$244):INDEX($T$19:$T$93,FN$244+$FJ259-1)))</f>
        <v/>
      </c>
      <c r="FO259" s="479" t="str">
        <f ca="1">IF($FJ259+FO$244&gt;73,"",PRODUCT(INDEX($T$19:$T$93,FO$244):INDEX($T$19:$T$93,FO$244+$FJ259-1)))</f>
        <v/>
      </c>
      <c r="FP259" s="479" t="str">
        <f ca="1">IF($FJ259+FP$244&gt;73,"",PRODUCT(INDEX($T$19:$T$93,FP$244):INDEX($T$19:$T$93,FP$244+$FJ259-1)))</f>
        <v/>
      </c>
      <c r="FQ259" s="479" t="str">
        <f ca="1">IF($FJ259+FQ$244&gt;73,"",PRODUCT(INDEX($T$19:$T$93,FQ$244):INDEX($T$19:$T$93,FQ$244+$FJ259-1)))</f>
        <v/>
      </c>
      <c r="FR259" s="479" t="str">
        <f ca="1">IF($FJ259+FR$244&gt;73,"",PRODUCT(INDEX($T$19:$T$93,FR$244):INDEX($T$19:$T$93,FR$244+$FJ259-1)))</f>
        <v/>
      </c>
      <c r="FS259" s="479" t="str">
        <f ca="1">IF($FJ259+FS$244&gt;73,"",PRODUCT(INDEX($T$19:$T$93,FS$244):INDEX($T$19:$T$93,FS$244+$FJ259-1)))</f>
        <v/>
      </c>
      <c r="FT259" s="479" t="str">
        <f ca="1">IF($FJ259+FT$244&gt;73,"",PRODUCT(INDEX($T$19:$T$93,FT$244):INDEX($T$19:$T$93,FT$244+$FJ259-1)))</f>
        <v/>
      </c>
      <c r="FU259" s="479" t="str">
        <f ca="1">IF($FJ259+FU$244&gt;73,"",PRODUCT(INDEX($T$19:$T$93,FU$244):INDEX($T$19:$T$93,FU$244+$FJ259-1)))</f>
        <v/>
      </c>
      <c r="FV259" s="479" t="str">
        <f ca="1">IF($FJ259+FV$244&gt;73,"",PRODUCT(INDEX($T$19:$T$93,FV$244):INDEX($T$19:$T$93,FV$244+$FJ259-1)))</f>
        <v/>
      </c>
      <c r="FW259" s="479" t="str">
        <f ca="1">IF($FJ259+FW$244&gt;73,"",PRODUCT(INDEX($T$19:$T$93,FW$244):INDEX($T$19:$T$93,FW$244+$FJ259-1)))</f>
        <v/>
      </c>
      <c r="FX259" s="479" t="str">
        <f ca="1">IF($FJ259+FX$244&gt;73,"",PRODUCT(INDEX($T$19:$T$93,FX$244):INDEX($T$19:$T$93,FX$244+$FJ259-1)))</f>
        <v/>
      </c>
      <c r="FY259" s="479">
        <f ca="1">IF($FJ259+FY$244&gt;73,"",PRODUCT(INDEX($T$19:$T$93,FY$244):INDEX($T$19:$T$93,FY$244+$FJ259-1)))</f>
        <v>0.99989143818908199</v>
      </c>
      <c r="FZ259" s="479">
        <f ca="1">IF($FJ259+FZ$244&gt;73,"",PRODUCT(INDEX($T$19:$T$93,FZ$244):INDEX($T$19:$T$93,FZ$244+$FJ259-1)))</f>
        <v>0.99987302758092067</v>
      </c>
      <c r="GA259" s="479">
        <f ca="1">IF($FJ259+GA$244&gt;73,"",PRODUCT(INDEX($T$19:$T$93,GA$244):INDEX($T$19:$T$93,GA$244+$FJ259-1)))</f>
        <v>0.99985149489175251</v>
      </c>
      <c r="GB259" s="479">
        <f ca="1">IF($FJ259+GB$244&gt;73,"",PRODUCT(INDEX($T$19:$T$93,GB$244):INDEX($T$19:$T$93,GB$244+$FJ259-1)))</f>
        <v>0.99982631071988426</v>
      </c>
      <c r="GC259" s="479">
        <f ca="1">IF($FJ259+GC$244&gt;73,"",PRODUCT(INDEX($T$19:$T$93,GC$244):INDEX($T$19:$T$93,GC$244+$FJ259-1)))</f>
        <v>0.99979685591117162</v>
      </c>
      <c r="GD259" s="479">
        <f ca="1">IF($FJ259+GD$244&gt;73,"",PRODUCT(INDEX($T$19:$T$93,GD$244):INDEX($T$19:$T$93,GD$244+$FJ259-1)))</f>
        <v>0.99976240634918623</v>
      </c>
      <c r="GE259" s="479">
        <f ca="1">IF($FJ259+GE$244&gt;73,"",PRODUCT(INDEX($T$19:$T$93,GE$244):INDEX($T$19:$T$93,GE$244+$FJ259-1)))</f>
        <v>0.99972211517032061</v>
      </c>
      <c r="GF259" s="479">
        <f ca="1">IF($FJ259+GF$244&gt;73,"",PRODUCT(INDEX($T$19:$T$93,GF$244):INDEX($T$19:$T$93,GF$244+$FJ259-1)))</f>
        <v>0.99967499196880827</v>
      </c>
      <c r="GG259" s="479">
        <f ca="1">IF($FJ259+GG$244&gt;73,"",PRODUCT(INDEX($T$19:$T$93,GG$244):INDEX($T$19:$T$93,GG$244+$FJ259-1)))</f>
        <v>0.99961987848350098</v>
      </c>
      <c r="GH259" s="479">
        <f ca="1">IF($FJ259+GH$244&gt;73,"",PRODUCT(INDEX($T$19:$T$93,GH$244):INDEX($T$19:$T$93,GH$244+$FJ259-1)))</f>
        <v>0.99955542017295462</v>
      </c>
      <c r="GI259" s="479">
        <f ca="1">IF($FJ259+GI$244&gt;73,"",PRODUCT(INDEX($T$19:$T$93,GI$244):INDEX($T$19:$T$93,GI$244+$FJ259-1)))</f>
        <v>0.99948003298595722</v>
      </c>
      <c r="GJ259" s="479">
        <f ca="1">IF($FJ259+GJ$244&gt;73,"",PRODUCT(INDEX($T$19:$T$93,GJ$244):INDEX($T$19:$T$93,GJ$244+$FJ259-1)))</f>
        <v>0.99939186451881068</v>
      </c>
      <c r="GK259" s="479">
        <f ca="1">IF($FJ259+GK$244&gt;73,"",PRODUCT(INDEX($T$19:$T$93,GK$244):INDEX($T$19:$T$93,GK$244+$FJ259-1)))</f>
        <v>0.9992887486158688</v>
      </c>
      <c r="GL259" s="479">
        <f ca="1">IF($FJ259+GL$244&gt;73,"",PRODUCT(INDEX($T$19:$T$93,GL$244):INDEX($T$19:$T$93,GL$244+$FJ259-1)))</f>
        <v>0.99916815231302458</v>
      </c>
      <c r="GM259" s="479">
        <f ca="1">IF($FJ259+GM$244&gt;73,"",PRODUCT(INDEX($T$19:$T$93,GM$244):INDEX($T$19:$T$93,GM$244+$FJ259-1)))</f>
        <v>0.99902711384166998</v>
      </c>
      <c r="GN259" s="479">
        <f ca="1">IF($FJ259+GN$244&gt;73,"",PRODUCT(INDEX($T$19:$T$93,GN$244):INDEX($T$19:$T$93,GN$244+$FJ259-1)))</f>
        <v>0.99886217019923973</v>
      </c>
      <c r="GO259" s="479">
        <f ca="1">IF($FJ259+GO$244&gt;73,"",PRODUCT(INDEX($T$19:$T$93,GO$244):INDEX($T$19:$T$93,GO$244+$FJ259-1)))</f>
        <v>0.99866927254750548</v>
      </c>
      <c r="GP259" s="479">
        <f ca="1">IF($FJ259+GP$244&gt;73,"",PRODUCT(INDEX($T$19:$T$93,GP$244):INDEX($T$19:$T$93,GP$244+$FJ259-1)))</f>
        <v>0.99844368741645251</v>
      </c>
      <c r="GQ259" s="479">
        <f ca="1">IF($FJ259+GQ$244&gt;73,"",PRODUCT(INDEX($T$19:$T$93,GQ$244):INDEX($T$19:$T$93,GQ$244+$FJ259-1)))</f>
        <v>0.99817988136455293</v>
      </c>
      <c r="GR259" s="479">
        <f ca="1">IF($FJ259+GR$244&gt;73,"",PRODUCT(INDEX($T$19:$T$93,GR$244):INDEX($T$19:$T$93,GR$244+$FJ259-1)))</f>
        <v>0.9978713863697688</v>
      </c>
      <c r="GS259" s="479">
        <f ca="1">IF($FJ259+GS$244&gt;73,"",PRODUCT(INDEX($T$19:$T$93,GS$244):INDEX($T$19:$T$93,GS$244+$FJ259-1)))</f>
        <v>0.99751064279353152</v>
      </c>
      <c r="GT259" s="479">
        <f ca="1">IF($FJ259+GT$244&gt;73,"",PRODUCT(INDEX($T$19:$T$93,GT$244):INDEX($T$19:$T$93,GT$244+$FJ259-1)))</f>
        <v>0.99708881626592261</v>
      </c>
      <c r="GU259" s="479">
        <f ca="1">IF($FJ259+GU$244&gt;73,"",PRODUCT(INDEX($T$19:$T$93,GU$244):INDEX($T$19:$T$93,GU$244+$FJ259-1)))</f>
        <v>0.99659558427807615</v>
      </c>
      <c r="GV259" s="479">
        <f ca="1">IF($FJ259+GV$244&gt;73,"",PRODUCT(INDEX($T$19:$T$93,GV$244):INDEX($T$19:$T$93,GV$244+$FJ259-1)))</f>
        <v>0.9960188876316719</v>
      </c>
      <c r="GW259" s="479">
        <f ca="1">IF($FJ259+GW$244&gt;73,"",PRODUCT(INDEX($T$19:$T$93,GW$244):INDEX($T$19:$T$93,GW$244+$FJ259-1)))</f>
        <v>0.99534464118082155</v>
      </c>
      <c r="GX259" s="479">
        <f ca="1">IF($FJ259+GX$244&gt;73,"",PRODUCT(INDEX($T$19:$T$93,GX$244):INDEX($T$19:$T$93,GX$244+$FJ259-1)))</f>
        <v>0.99455639750627778</v>
      </c>
      <c r="GY259" s="479">
        <f ca="1">IF($FJ259+GY$244&gt;73,"",PRODUCT(INDEX($T$19:$T$93,GY$244):INDEX($T$19:$T$93,GY$244+$FJ259-1)))</f>
        <v>0.99363495628713538</v>
      </c>
      <c r="GZ259" s="479">
        <f ca="1">IF($FJ259+GZ$244&gt;73,"",PRODUCT(INDEX($T$19:$T$93,GZ$244):INDEX($T$19:$T$93,GZ$244+$FJ259-1)))</f>
        <v>0.99255791118819403</v>
      </c>
      <c r="HA259" s="479">
        <f ca="1">IF($FJ259+HA$244&gt;73,"",PRODUCT(INDEX($T$19:$T$93,HA$244):INDEX($T$19:$T$93,HA$244+$FJ259-1)))</f>
        <v>0.99129912507789364</v>
      </c>
      <c r="HB259" s="479">
        <f ca="1">IF($FJ259+HB$244&gt;73,"",PRODUCT(INDEX($T$19:$T$93,HB$244):INDEX($T$19:$T$93,HB$244+$FJ259-1)))</f>
        <v>0.98982812336134884</v>
      </c>
      <c r="HC259" s="479">
        <f ca="1">IF($FJ259+HC$244&gt;73,"",PRODUCT(INDEX($T$19:$T$93,HC$244):INDEX($T$19:$T$93,HC$244+$FJ259-1)))</f>
        <v>0.98810939420361832</v>
      </c>
      <c r="HD259" s="479">
        <f ca="1">IF($FJ259+HD$244&gt;73,"",PRODUCT(INDEX($T$19:$T$93,HD$244):INDEX($T$19:$T$93,HD$244+$FJ259-1)))</f>
        <v>0.98610158350553623</v>
      </c>
      <c r="HE259" s="479">
        <f ca="1">IF($FJ259+HE$244&gt;73,"",PRODUCT(INDEX($T$19:$T$93,HE$244):INDEX($T$19:$T$93,HE$244+$FJ259-1)))</f>
        <v>0.9837565717925616</v>
      </c>
      <c r="HF259" s="479">
        <f ca="1">IF($FJ259+HF$244&gt;73,"",PRODUCT(INDEX($T$19:$T$93,HF$244):INDEX($T$19:$T$93,HF$244+$FJ259-1)))</f>
        <v>0.98101841985509941</v>
      </c>
      <c r="HG259" s="479">
        <f ca="1">IF($FJ259+HG$244&gt;73,"",PRODUCT(INDEX($T$19:$T$93,HG$244):INDEX($T$19:$T$93,HG$244+$FJ259-1)))</f>
        <v>0.9778221702814941</v>
      </c>
      <c r="HH259" s="479">
        <f ca="1">IF($FJ259+HH$244&gt;73,"",PRODUCT(INDEX($T$19:$T$93,HH$244):INDEX($T$19:$T$93,HH$244+$FJ259-1)))</f>
        <v>0.97409249330196945</v>
      </c>
      <c r="HI259" s="479">
        <f ca="1">IF($FJ259+HI$244&gt;73,"",PRODUCT(INDEX($T$19:$T$93,HI$244):INDEX($T$19:$T$93,HI$244+$FJ259-1)))</f>
        <v>0.96974216810617231</v>
      </c>
      <c r="HJ259" s="479">
        <f ca="1">IF($FJ259+HJ$244&gt;73,"",PRODUCT(INDEX($T$19:$T$93,HJ$244):INDEX($T$19:$T$93,HJ$244+$FJ259-1)))</f>
        <v>0.96467039569585711</v>
      </c>
      <c r="HK259" s="479">
        <f ca="1">IF($FJ259+HK$244&gt;73,"",PRODUCT(INDEX($T$19:$T$93,HK$244):INDEX($T$19:$T$93,HK$244+$FJ259-1)))</f>
        <v>0.95876094733558848</v>
      </c>
      <c r="HL259" s="479">
        <f ca="1">IF($FJ259+HL$244&gt;73,"",PRODUCT(INDEX($T$19:$T$93,HL$244):INDEX($T$19:$T$93,HL$244+$FJ259-1)))</f>
        <v>0.95188016506155215</v>
      </c>
      <c r="HM259" s="479">
        <f ca="1">IF($FJ259+HM$244&gt;73,"",PRODUCT(INDEX($T$19:$T$93,HM$244):INDEX($T$19:$T$93,HM$244+$FJ259-1)))</f>
        <v>0.94387484924640364</v>
      </c>
      <c r="HN259" s="479">
        <f ca="1">IF($FJ259+HN$244&gt;73,"",PRODUCT(INDEX($T$19:$T$93,HN$244):INDEX($T$19:$T$93,HN$244+$FJ259-1)))</f>
        <v>0.93457009521905432</v>
      </c>
      <c r="HO259" s="479">
        <f ca="1">IF($FJ259+HO$244&gt;73,"",PRODUCT(INDEX($T$19:$T$93,HO$244):INDEX($T$19:$T$93,HO$244+$FJ259-1)))</f>
        <v>0.9237671794456942</v>
      </c>
      <c r="HP259" s="479">
        <f ca="1">IF($FJ259+HP$244&gt;73,"",PRODUCT(INDEX($T$19:$T$93,HP$244):INDEX($T$19:$T$93,HP$244+$FJ259-1)))</f>
        <v>0.9112416497002529</v>
      </c>
      <c r="HQ259" s="479">
        <f ca="1">IF($FJ259+HQ$244&gt;73,"",PRODUCT(INDEX($T$19:$T$93,HQ$244):INDEX($T$19:$T$93,HQ$244+$FJ259-1)))</f>
        <v>0.89674184787415512</v>
      </c>
      <c r="HR259" s="479">
        <f ca="1">IF($FJ259+HR$244&gt;73,"",PRODUCT(INDEX($T$19:$T$93,HR$244):INDEX($T$19:$T$93,HR$244+$FJ259-1)))</f>
        <v>0.87998819447222998</v>
      </c>
      <c r="HS259" s="479">
        <f ca="1">IF($FJ259+HS$244&gt;73,"",PRODUCT(INDEX($T$19:$T$93,HS$244):INDEX($T$19:$T$93,HS$244+$FJ259-1)))</f>
        <v>0.86067369707009567</v>
      </c>
      <c r="HT259" s="479">
        <f ca="1">IF($FJ259+HT$244&gt;73,"",PRODUCT(INDEX($T$19:$T$93,HT$244):INDEX($T$19:$T$93,HT$244+$FJ259-1)))</f>
        <v>0.83846631785120052</v>
      </c>
      <c r="HU259" s="479">
        <f ca="1">IF($FJ259+HU$244&gt;73,"",PRODUCT(INDEX($T$19:$T$93,HU$244):INDEX($T$19:$T$93,HU$244+$FJ259-1)))</f>
        <v>0.81301405323718434</v>
      </c>
      <c r="HV259" s="479">
        <f ca="1">IF($FJ259+HV$244&gt;73,"",PRODUCT(INDEX($T$19:$T$93,HV$244):INDEX($T$19:$T$93,HV$244+$FJ259-1)))</f>
        <v>0.7839538427653665</v>
      </c>
      <c r="HW259" s="479">
        <f ca="1">IF($FJ259+HW$244&gt;73,"",PRODUCT(INDEX($T$19:$T$93,HW$244):INDEX($T$19:$T$93,HW$244+$FJ259-1)))</f>
        <v>0.75092572641151911</v>
      </c>
      <c r="HX259" s="479">
        <f ca="1">IF($FJ259+HX$244&gt;73,"",PRODUCT(INDEX($T$19:$T$93,HX$244):INDEX($T$19:$T$93,HX$244+$FJ259-1)))</f>
        <v>0.71359398255056194</v>
      </c>
      <c r="HY259" s="479">
        <f ca="1">IF($FJ259+HY$244&gt;73,"",PRODUCT(INDEX($T$19:$T$93,HY$244):INDEX($T$19:$T$93,HY$244+$FJ259-1)))</f>
        <v>0.67167724234081527</v>
      </c>
      <c r="HZ259" s="479">
        <f ca="1">IF($FJ259+HZ$244&gt;73,"",PRODUCT(INDEX($T$19:$T$93,HZ$244):INDEX($T$19:$T$93,HZ$244+$FJ259-1)))</f>
        <v>0.62498967406691686</v>
      </c>
      <c r="IA259" s="479">
        <f ca="1">IF($FJ259+IA$244&gt;73,"",PRODUCT(INDEX($T$19:$T$93,IA$244):INDEX($T$19:$T$93,IA$244+$FJ259-1)))</f>
        <v>0.57349505808981993</v>
      </c>
      <c r="IB259" s="479">
        <f ca="1">IF($FJ259+IB$244&gt;73,"",PRODUCT(INDEX($T$19:$T$93,IB$244):INDEX($T$19:$T$93,IB$244+$FJ259-1)))</f>
        <v>0.51737459576637845</v>
      </c>
      <c r="IC259" s="479">
        <f ca="1">IF($FJ259+IC$244&gt;73,"",PRODUCT(INDEX($T$19:$T$93,IC$244):INDEX($T$19:$T$93,IC$244+$FJ259-1)))</f>
        <v>0.45710711165189188</v>
      </c>
      <c r="ID259" s="678">
        <f ca="1">IF($FJ259+ID$244&gt;73,"",PRODUCT(INDEX($T$19:$T$93,ID$244):INDEX($T$19:$T$93,ID$244+$FJ259-1)))</f>
        <v>0.3935562359682987</v>
      </c>
      <c r="IE259" s="250"/>
    </row>
    <row r="260" spans="8:239" ht="13.8" thickBot="1">
      <c r="H260" s="51">
        <f t="shared" ca="1" si="646"/>
        <v>0</v>
      </c>
      <c r="I260" s="745">
        <f t="shared" si="647"/>
        <v>44075</v>
      </c>
      <c r="J260" s="746"/>
      <c r="K260" s="747" t="s">
        <v>268</v>
      </c>
      <c r="L260" s="748">
        <f t="shared" si="648"/>
        <v>6.1499999999999861</v>
      </c>
      <c r="M260" s="749"/>
      <c r="N260" s="750">
        <v>0</v>
      </c>
      <c r="O260" s="749">
        <f>M260+N260</f>
        <v>0</v>
      </c>
      <c r="P260" s="746"/>
      <c r="Q260" s="747" t="s">
        <v>268</v>
      </c>
      <c r="R260" s="746">
        <f ca="1">IF(ISNUMBER(Q260),P260+Q260/100,IF(Q260="extra",(Z258*AL258-R259*AM258)/AN258,IF(Q260="inter",interpolateprices($Q$19:$R$260,ROW(Q260)-ROW(FirstPricingMonth)+1),interpolatechanges($P$19:$Q$260,ROW(Q260)-ROW(FirstPricingMonth)+1))))</f>
        <v>4.9625055545419077</v>
      </c>
      <c r="S260" s="833">
        <f t="shared" si="671"/>
        <v>0.3600000000000001</v>
      </c>
      <c r="T260" s="834">
        <f t="shared" si="661"/>
        <v>0.99999999999999933</v>
      </c>
      <c r="U260" s="835">
        <f t="shared" si="662"/>
        <v>0.99999999999999978</v>
      </c>
      <c r="V260" s="751">
        <v>0</v>
      </c>
      <c r="W260" s="752"/>
      <c r="X260" s="753"/>
      <c r="Y260" s="754"/>
      <c r="Z260" s="754"/>
      <c r="AA260" s="755"/>
      <c r="AB260" s="756"/>
      <c r="AC260" s="757">
        <v>44063</v>
      </c>
      <c r="AD260" s="757">
        <v>44059</v>
      </c>
      <c r="AE260" s="757">
        <v>44058</v>
      </c>
      <c r="AF260" s="757">
        <v>44054</v>
      </c>
      <c r="AG260" s="758" t="s">
        <v>499</v>
      </c>
      <c r="AH260" s="759" t="s">
        <v>499</v>
      </c>
      <c r="AI260" s="760">
        <v>22</v>
      </c>
      <c r="AJ260" s="761">
        <v>14</v>
      </c>
      <c r="AK260" s="761">
        <v>8</v>
      </c>
      <c r="AL260" s="762">
        <v>22</v>
      </c>
      <c r="AM260" s="761">
        <v>10</v>
      </c>
      <c r="AN260" s="763">
        <v>12</v>
      </c>
      <c r="AO260" s="862"/>
      <c r="AP260" s="764">
        <f t="shared" ca="1" si="649"/>
        <v>1</v>
      </c>
      <c r="AQ260" s="863"/>
      <c r="AR260" s="864">
        <f t="shared" ca="1" si="663"/>
        <v>1</v>
      </c>
      <c r="AS260" s="765">
        <f t="shared" si="602"/>
        <v>0</v>
      </c>
      <c r="AT260" s="766">
        <f t="shared" si="650"/>
        <v>0</v>
      </c>
      <c r="AU260" s="766">
        <f t="shared" si="630"/>
        <v>0</v>
      </c>
      <c r="AV260" s="767">
        <f t="shared" ca="1" si="670"/>
        <v>9.9999999999999995E-7</v>
      </c>
      <c r="AW260" s="768" t="str">
        <f t="shared" ca="1" si="672"/>
        <v/>
      </c>
      <c r="AX260" s="766">
        <f t="shared" ca="1" si="664"/>
        <v>7.7010313417358638E-6</v>
      </c>
      <c r="AY260" s="766">
        <f t="shared" ca="1" si="665"/>
        <v>1.2028219174330555E-6</v>
      </c>
      <c r="AZ260" s="766">
        <f t="shared" ca="1" si="666"/>
        <v>1.3938592806186273E-8</v>
      </c>
      <c r="BA260" s="766">
        <f t="shared" ca="1" si="667"/>
        <v>1.7423241007732841E-9</v>
      </c>
      <c r="BB260" s="766">
        <f t="shared" ca="1" si="668"/>
        <v>1.1181410422929098E-12</v>
      </c>
      <c r="BC260" s="766">
        <f t="shared" ca="1" si="669"/>
        <v>6.0713865442700126E-15</v>
      </c>
      <c r="BD260" s="769">
        <f t="shared" ca="1" si="603"/>
        <v>0</v>
      </c>
      <c r="BE260" s="770">
        <f t="shared" ca="1" si="604"/>
        <v>0</v>
      </c>
      <c r="BF260" s="771">
        <f t="shared" si="605"/>
        <v>2020</v>
      </c>
      <c r="BG260" s="772">
        <f t="shared" si="606"/>
        <v>9</v>
      </c>
      <c r="BH260" s="773">
        <f t="shared" ca="1" si="607"/>
        <v>7314</v>
      </c>
      <c r="BI260" s="774">
        <f t="shared" ca="1" si="608"/>
        <v>20.068446269678301</v>
      </c>
      <c r="BJ260" s="775">
        <f t="shared" ca="1" si="631"/>
        <v>20.118972061477194</v>
      </c>
      <c r="BK260" s="775">
        <f t="shared" ca="1" si="632"/>
        <v>20.121709912264325</v>
      </c>
      <c r="BL260" s="775">
        <f t="shared" ca="1" si="609"/>
        <v>20.147843942505133</v>
      </c>
      <c r="BM260" s="776" t="e">
        <f t="shared" ca="1" si="633"/>
        <v>#DIV/0!</v>
      </c>
      <c r="BN260" s="775" t="e">
        <f t="shared" ca="1" si="634"/>
        <v>#DIV/0!</v>
      </c>
      <c r="BO260" s="762">
        <f t="shared" si="610"/>
        <v>22</v>
      </c>
      <c r="BP260" s="761">
        <f t="shared" si="611"/>
        <v>14</v>
      </c>
      <c r="BQ260" s="761">
        <f t="shared" si="612"/>
        <v>8</v>
      </c>
      <c r="BR260" s="777" t="str">
        <f t="shared" ca="1" si="635"/>
        <v/>
      </c>
      <c r="BS260" s="777" t="str">
        <f t="shared" ca="1" si="613"/>
        <v/>
      </c>
      <c r="BT260" s="778" t="str">
        <f t="shared" ca="1" si="614"/>
        <v/>
      </c>
      <c r="BU260" s="779" t="str">
        <f t="shared" ca="1" si="636"/>
        <v/>
      </c>
      <c r="BV260" s="779" t="str">
        <f t="shared" ca="1" si="637"/>
        <v/>
      </c>
      <c r="BW260" s="780" t="str">
        <f t="shared" ca="1" si="638"/>
        <v/>
      </c>
      <c r="BX260" s="781" t="str">
        <f t="shared" ca="1" si="639"/>
        <v/>
      </c>
      <c r="BY260" s="780" t="str">
        <f t="shared" ca="1" si="615"/>
        <v/>
      </c>
      <c r="BZ260" s="781" t="str">
        <f t="shared" ca="1" si="616"/>
        <v/>
      </c>
      <c r="CA260" s="782" t="str">
        <f t="shared" ca="1" si="640"/>
        <v/>
      </c>
      <c r="CB260" s="782" t="str">
        <f t="shared" ca="1" si="641"/>
        <v/>
      </c>
      <c r="CC260" s="782" t="str">
        <f t="shared" ca="1" si="642"/>
        <v/>
      </c>
      <c r="CD260" s="782" t="str">
        <f t="shared" ca="1" si="643"/>
        <v/>
      </c>
      <c r="CE260" s="783">
        <v>1</v>
      </c>
      <c r="CF260" s="784">
        <f ca="1">IF(BD260,_xll.xCrudeAPO(BU260,BV260,CA260,CB260,S261,S262,BI260,BL260,BP260,BQ260,0,Strike1,AO260,CE260,0,BL260,IF(OptControl=4,0,1),0,1),0)</f>
        <v>0</v>
      </c>
      <c r="CG260" s="785">
        <f ca="1">IF(BD260,_xll.xCrudeAPO(BU260,BV260,CA260,CB260,S261,S262,BI260,BL260,BP260,BQ260,0,Strike1,AO260,CE260,0,BL260,IF(OptControl=4,0,1),1,1)+_xll.xCrudeAPO(BU260,BV260,CA260,CB260,S261,S262,BI260,BL260,BP260,BQ260,0,Strike1,AO260,CE260,0,BL260,IF(OptControl=4,0,1),1,2)+IF(OR(VolSkewFlag=2,ABS(BS260)&lt;0.0001),0,IF(BS260&gt;0,-1,1)*CH260*Strike1/BR260^2*BY260/10%),0)</f>
        <v>0</v>
      </c>
      <c r="CH260" s="785">
        <f ca="1">IF(BD260,(_xll.xCrudeAPO(BU260,BV260,CA260,CB260,S261,S262,BI260,BL260,BP260,BQ260,0,Strike1,AO260,CE260,0,BL260,IF(OptControl=4,0,1),3,1)+_xll.xCrudeAPO(BU260,BV260,CA260,CB260,S261,S262,BI260,BL260,BP260,BQ260,0,Strike1,AO260,CE260,0,BL260,IF(OptControl=4,0,1),3,2))/100,0)</f>
        <v>0</v>
      </c>
      <c r="CI260" s="785">
        <f ca="1">IF(BD260,_xll.xCrudeAPO(BU260,BV260,CA260,CB260,S261,S262,BI260-DaysForThetaCalculation/365.25,BL260-DaysForThetaCalculation/365.25,BP260,BQ260,0,Strike1,AO260,CE260,0,BL260,IF(OptControl=4,0,1),0,1)-_xll.xCrudeAPO(BU260,BV260,CA260,CB260,S261,S262,BI260,BL260,BP260,BQ260,0,Strike1,AO260,CE260,0,BL260,IF(OptControl=4,0,1),0,1),0)</f>
        <v>0</v>
      </c>
      <c r="CJ260" s="786">
        <f ca="1">IF(BD260,_xll.xCrudeAPO(BU260,BV260,CC260,CD260,S261,S262,BI260,BL260,BP260,BQ260,0,Strike2,AO260,CE260,0,BL260,IF(OptControl=3,1,0),0,1),0)</f>
        <v>0</v>
      </c>
      <c r="CK260" s="785">
        <f ca="1">IF(BD260,_xll.xCrudeAPO(BU260,BV260,CC260,CD260,S261,S262,BI260,BL260,BP260,BQ260,0,Strike2,AO260,CE260,0,BL260,IF(OptControl=3,1,0),1,1)+_xll.xCrudeAPO(BU260,BV260,CC260,CD260,S261,S262,BI260,BL260,BP260,BQ260,0,Strike2,AO260,CE260,0,BL260,IF(OptControl=3,1,0),1,2)+IF(OR(VolSkewFlag=2,ABS(BT260)&lt;0.0001),0,IF(BT260&gt;0,-1,1)*CL260*Strike2/BR260^2*BZ260/10%),0)</f>
        <v>0</v>
      </c>
      <c r="CL260" s="785">
        <f ca="1">IF(BD260,(_xll.xCrudeAPO(BU260,BV260,CC260,CD260,S261,S262,BI260,BL260,BP260,BQ260,0,Strike2,AO260,CE260,0,BL260,IF(OptControl=3,1,0),3,1)+_xll.xCrudeAPO(BU260,BV260,CC260,CD260,S261,S262,BI260,BL260,BP260,BQ260,0,Strike2,AO260,CE260,0,BL260,IF(OptControl=3,1,0),3,2))/100,0)</f>
        <v>0</v>
      </c>
      <c r="CM260" s="787">
        <f ca="1">IF(BD260,_xll.xCrudeAPO(BU260,BV260,CC260,CD260,S261,S262,BI260-DaysForThetaCalculation/365.25,BL260-DaysForThetaCalculation/365.25,BP260,BQ260,0,Strike2,AO260,CE260,0,BL260,IF(OptControl=3,1,0),0,1)-_xll.xCrudeAPO(BU260,BV260,CC260,CD260,S261,S262,BI260,BL260,BP260,BQ260,0,Strike2,AO260,CE260,0,BL260,IF(OptControl=3,1,0),0,1),0)</f>
        <v>0</v>
      </c>
      <c r="CN260" s="53"/>
      <c r="CO260" s="801" t="str">
        <f t="shared" ca="1" si="651"/>
        <v/>
      </c>
      <c r="CP260" s="802" t="str">
        <f t="shared" ca="1" si="652"/>
        <v/>
      </c>
      <c r="CQ260" s="803" t="str">
        <f t="shared" ca="1" si="653"/>
        <v/>
      </c>
      <c r="CR260" s="803" t="str">
        <f t="shared" ca="1" si="654"/>
        <v/>
      </c>
      <c r="CS260" s="803" t="str">
        <f t="shared" ca="1" si="655"/>
        <v/>
      </c>
      <c r="CT260" s="803" t="str">
        <f t="shared" ca="1" si="656"/>
        <v/>
      </c>
      <c r="CU260" s="804" t="str">
        <f t="shared" ca="1" si="657"/>
        <v/>
      </c>
      <c r="CV260" s="805" t="str">
        <f t="shared" ca="1" si="658"/>
        <v/>
      </c>
      <c r="CW260" s="805" t="str">
        <f t="shared" ca="1" si="659"/>
        <v/>
      </c>
      <c r="CX260" s="785">
        <f ca="1">IF(BD260,_xll.EURO(CP260,Strike1,AO260,AO260,CV260,CO260,IF(OptControl=4,0,1),0),0)</f>
        <v>0</v>
      </c>
      <c r="CY260" s="785">
        <f ca="1">IF(BD260,_xll.EURO(CP260,Strike1,AO260,AO260,CV260,CO260,IF(OptControl=4,0,1),1)+IF(OR(VolSkewFlag=2,ABS(CQ260)&lt;0.0001),0,IF(CQ260&gt;0,-1,1)*CZ260*100*Strike1/CP260^2*CS260/10%),0)</f>
        <v>0</v>
      </c>
      <c r="CZ260" s="785">
        <f ca="1">IF(BD260,_xll.EURO(CP260,Strike1,AO260,AO260,CV260,CO260,IF(OptControl=4,0,1),3)/100,0)</f>
        <v>0</v>
      </c>
      <c r="DA260" s="785">
        <f ca="1">IF(BD260,_xll.EURO(CP260,Strike1,AO260,AO260,CV260,CO260,IF(OptControl=4,0,1),0)-_xll.EURO(CP260,Strike1,AO260,AO260,CV260,CO260-1,IF(OptControl=4,0,1),0),0)</f>
        <v>0</v>
      </c>
      <c r="DB260" s="785">
        <f ca="1">IF(BD260,_xll.EURO(CP260,Strike2,AO260,AO260,CW260,CO260,IF(OptControl=3,1,0),0),0)</f>
        <v>0</v>
      </c>
      <c r="DC260" s="785">
        <f ca="1">IF(BD260,_xll.EURO(CP260,Strike2,AO260,AO260,CW260,CO260,IF(OptControl=3,1,0),1)+IF(OR(VolSkewFlag=2,ABS(CR260)&lt;0.0001),0,IF(CR260&gt;0,-1,1)*DD260*100*Strike2/CP260^2*CT260/10%),0)</f>
        <v>0</v>
      </c>
      <c r="DD260" s="785">
        <f ca="1">IF(BD260,_xll.EURO(CP260,Strike2,AO260,AO260,CW260,CO260,IF(OptControl=3,1,0),3)/100,0)</f>
        <v>0</v>
      </c>
      <c r="DE260" s="787">
        <f ca="1">IF(BD260,_xll.EURO(CP260,Strike2,AO260,AO260,CW260,CO260,IF(OptControl=3,1,0),0)-_xll.EURO(CP260,Strike2,AO260,AO260,CW260,CO260-1,IF(OptControl=3,1,0),0),0)</f>
        <v>0</v>
      </c>
      <c r="DG260" s="667">
        <f t="shared" ca="1" si="660"/>
        <v>43862</v>
      </c>
      <c r="DH260" s="475">
        <v>26.160000000000117</v>
      </c>
      <c r="DI260" s="665"/>
      <c r="DJ260" s="666">
        <f t="shared" ca="1" si="617"/>
        <v>43862</v>
      </c>
      <c r="DK260" s="475">
        <v>24.960314557756252</v>
      </c>
      <c r="DL260" s="665"/>
      <c r="DM260" s="667">
        <f t="shared" ca="1" si="618"/>
        <v>43862</v>
      </c>
      <c r="DN260" s="668">
        <f t="shared" si="619"/>
        <v>25.010314557756253</v>
      </c>
      <c r="DO260" s="667">
        <f t="shared" ca="1" si="620"/>
        <v>43862</v>
      </c>
      <c r="DP260" s="579">
        <f t="shared" si="621"/>
        <v>0</v>
      </c>
      <c r="DQ260" s="822">
        <v>0</v>
      </c>
      <c r="DR260" s="666">
        <f t="shared" ca="1" si="622"/>
        <v>43862</v>
      </c>
      <c r="DS260" s="669">
        <v>8.1199999999997025E-2</v>
      </c>
      <c r="DT260" s="606">
        <v>0</v>
      </c>
      <c r="DU260" s="666">
        <f t="shared" ca="1" si="623"/>
        <v>43862</v>
      </c>
      <c r="DV260" s="669">
        <v>8.1199999999997025E-2</v>
      </c>
      <c r="DW260" s="606">
        <v>0</v>
      </c>
      <c r="DX260" s="667">
        <f t="shared" ca="1" si="624"/>
        <v>43862</v>
      </c>
      <c r="DY260" s="606">
        <v>0.35</v>
      </c>
      <c r="DZ260" s="667">
        <f t="shared" ca="1" si="625"/>
        <v>43862</v>
      </c>
      <c r="EA260" s="606">
        <f t="shared" si="626"/>
        <v>0</v>
      </c>
      <c r="EB260" s="1"/>
      <c r="EC260" s="118" t="str">
        <f t="shared" ca="1" si="627"/>
        <v/>
      </c>
      <c r="ED260" s="119" t="str">
        <f t="shared" ca="1" si="644"/>
        <v/>
      </c>
      <c r="EE260" s="112" t="str">
        <f t="shared" ca="1" si="645"/>
        <v/>
      </c>
      <c r="EF260" s="120">
        <f ca="1">IF(BD260,_xll.xASN(BR260,Strike1,AO260,ED260,0,BO260,0,BI260,BL260,IF(OptControl=4,0,1),0),0)</f>
        <v>0</v>
      </c>
      <c r="EG260" s="111">
        <f ca="1">IF(BD260,_xll.xASN(BR260,Strike2,AO260,EE260,0,BO260,0,BI260,BL260,IF(OptControl=3,1,0),0),0)</f>
        <v>0</v>
      </c>
      <c r="EL260" s="55"/>
      <c r="EM260" s="1"/>
      <c r="EN260" s="106"/>
      <c r="EO260" s="106"/>
      <c r="EP260" s="1"/>
      <c r="EQ260" s="683" t="s">
        <v>474</v>
      </c>
      <c r="ER260" s="1"/>
      <c r="ES260" s="1"/>
      <c r="ET260" s="1"/>
      <c r="EU260" s="106"/>
      <c r="FJ260" s="673">
        <v>16</v>
      </c>
      <c r="FK260" s="479" t="str">
        <f ca="1">IF($FJ260+FK$244&gt;73,"",PRODUCT(INDEX($T$19:$T$93,FK$244):INDEX($T$19:$T$93,FK$244+$FJ260-1)))</f>
        <v/>
      </c>
      <c r="FL260" s="479" t="str">
        <f ca="1">IF($FJ260+FL$244&gt;73,"",PRODUCT(INDEX($T$19:$T$93,FL$244):INDEX($T$19:$T$93,FL$244+$FJ260-1)))</f>
        <v/>
      </c>
      <c r="FM260" s="479" t="str">
        <f ca="1">IF($FJ260+FM$244&gt;73,"",PRODUCT(INDEX($T$19:$T$93,FM$244):INDEX($T$19:$T$93,FM$244+$FJ260-1)))</f>
        <v/>
      </c>
      <c r="FN260" s="479" t="str">
        <f ca="1">IF($FJ260+FN$244&gt;73,"",PRODUCT(INDEX($T$19:$T$93,FN$244):INDEX($T$19:$T$93,FN$244+$FJ260-1)))</f>
        <v/>
      </c>
      <c r="FO260" s="479" t="str">
        <f ca="1">IF($FJ260+FO$244&gt;73,"",PRODUCT(INDEX($T$19:$T$93,FO$244):INDEX($T$19:$T$93,FO$244+$FJ260-1)))</f>
        <v/>
      </c>
      <c r="FP260" s="479" t="str">
        <f ca="1">IF($FJ260+FP$244&gt;73,"",PRODUCT(INDEX($T$19:$T$93,FP$244):INDEX($T$19:$T$93,FP$244+$FJ260-1)))</f>
        <v/>
      </c>
      <c r="FQ260" s="479" t="str">
        <f ca="1">IF($FJ260+FQ$244&gt;73,"",PRODUCT(INDEX($T$19:$T$93,FQ$244):INDEX($T$19:$T$93,FQ$244+$FJ260-1)))</f>
        <v/>
      </c>
      <c r="FR260" s="479" t="str">
        <f ca="1">IF($FJ260+FR$244&gt;73,"",PRODUCT(INDEX($T$19:$T$93,FR$244):INDEX($T$19:$T$93,FR$244+$FJ260-1)))</f>
        <v/>
      </c>
      <c r="FS260" s="479" t="str">
        <f ca="1">IF($FJ260+FS$244&gt;73,"",PRODUCT(INDEX($T$19:$T$93,FS$244):INDEX($T$19:$T$93,FS$244+$FJ260-1)))</f>
        <v/>
      </c>
      <c r="FT260" s="479" t="str">
        <f ca="1">IF($FJ260+FT$244&gt;73,"",PRODUCT(INDEX($T$19:$T$93,FT$244):INDEX($T$19:$T$93,FT$244+$FJ260-1)))</f>
        <v/>
      </c>
      <c r="FU260" s="479" t="str">
        <f ca="1">IF($FJ260+FU$244&gt;73,"",PRODUCT(INDEX($T$19:$T$93,FU$244):INDEX($T$19:$T$93,FU$244+$FJ260-1)))</f>
        <v/>
      </c>
      <c r="FV260" s="479" t="str">
        <f ca="1">IF($FJ260+FV$244&gt;73,"",PRODUCT(INDEX($T$19:$T$93,FV$244):INDEX($T$19:$T$93,FV$244+$FJ260-1)))</f>
        <v/>
      </c>
      <c r="FW260" s="479" t="str">
        <f ca="1">IF($FJ260+FW$244&gt;73,"",PRODUCT(INDEX($T$19:$T$93,FW$244):INDEX($T$19:$T$93,FW$244+$FJ260-1)))</f>
        <v/>
      </c>
      <c r="FX260" s="479" t="str">
        <f ca="1">IF($FJ260+FX$244&gt;73,"",PRODUCT(INDEX($T$19:$T$93,FX$244):INDEX($T$19:$T$93,FX$244+$FJ260-1)))</f>
        <v/>
      </c>
      <c r="FY260" s="479" t="str">
        <f ca="1">IF($FJ260+FY$244&gt;73,"",PRODUCT(INDEX($T$19:$T$93,FY$244):INDEX($T$19:$T$93,FY$244+$FJ260-1)))</f>
        <v/>
      </c>
      <c r="FZ260" s="479">
        <f ca="1">IF($FJ260+FZ$244&gt;73,"",PRODUCT(INDEX($T$19:$T$93,FZ$244):INDEX($T$19:$T$93,FZ$244+$FJ260-1)))</f>
        <v>0.99987108641081046</v>
      </c>
      <c r="GA260" s="479">
        <f ca="1">IF($FJ260+GA$244&gt;73,"",PRODUCT(INDEX($T$19:$T$93,GA$244):INDEX($T$19:$T$93,GA$244+$FJ260-1)))</f>
        <v>0.9998492245636692</v>
      </c>
      <c r="GB260" s="479">
        <f ca="1">IF($FJ260+GB$244&gt;73,"",PRODUCT(INDEX($T$19:$T$93,GB$244):INDEX($T$19:$T$93,GB$244+$FJ260-1)))</f>
        <v>0.99982365542883234</v>
      </c>
      <c r="GC260" s="479">
        <f ca="1">IF($FJ260+GC$244&gt;73,"",PRODUCT(INDEX($T$19:$T$93,GC$244):INDEX($T$19:$T$93,GC$244+$FJ260-1)))</f>
        <v>0.9997937503944736</v>
      </c>
      <c r="GD260" s="479">
        <f ca="1">IF($FJ260+GD$244&gt;73,"",PRODUCT(INDEX($T$19:$T$93,GD$244):INDEX($T$19:$T$93,GD$244+$FJ260-1)))</f>
        <v>0.99975877428488302</v>
      </c>
      <c r="GE260" s="479">
        <f ca="1">IF($FJ260+GE$244&gt;73,"",PRODUCT(INDEX($T$19:$T$93,GE$244):INDEX($T$19:$T$93,GE$244+$FJ260-1)))</f>
        <v>0.99971786730481738</v>
      </c>
      <c r="GF260" s="479">
        <f ca="1">IF($FJ260+GF$244&gt;73,"",PRODUCT(INDEX($T$19:$T$93,GF$244):INDEX($T$19:$T$93,GF$244+$FJ260-1)))</f>
        <v>0.99967002392816651</v>
      </c>
      <c r="GG260" s="479">
        <f ca="1">IF($FJ260+GG$244&gt;73,"",PRODUCT(INDEX($T$19:$T$93,GG$244):INDEX($T$19:$T$93,GG$244+$FJ260-1)))</f>
        <v>0.99961406821516041</v>
      </c>
      <c r="GH260" s="479">
        <f ca="1">IF($FJ260+GH$244&gt;73,"",PRODUCT(INDEX($T$19:$T$93,GH$244):INDEX($T$19:$T$93,GH$244+$FJ260-1)))</f>
        <v>0.9995486249558061</v>
      </c>
      <c r="GI260" s="479">
        <f ca="1">IF($FJ260+GI$244&gt;73,"",PRODUCT(INDEX($T$19:$T$93,GI$244):INDEX($T$19:$T$93,GI$244+$FJ260-1)))</f>
        <v>0.99947208593637715</v>
      </c>
      <c r="GJ260" s="479">
        <f ca="1">IF($FJ260+GJ$244&gt;73,"",PRODUCT(INDEX($T$19:$T$93,GJ$244):INDEX($T$19:$T$93,GJ$244+$FJ260-1)))</f>
        <v>0.99938257050829293</v>
      </c>
      <c r="GK260" s="479">
        <f ca="1">IF($FJ260+GK$244&gt;73,"",PRODUCT(INDEX($T$19:$T$93,GK$244):INDEX($T$19:$T$93,GK$244+$FJ260-1)))</f>
        <v>0.99927787950199298</v>
      </c>
      <c r="GL260" s="479">
        <f ca="1">IF($FJ260+GL$244&gt;73,"",PRODUCT(INDEX($T$19:$T$93,GL$244):INDEX($T$19:$T$93,GL$244+$FJ260-1)))</f>
        <v>0.99915544136939793</v>
      </c>
      <c r="GM260" s="479">
        <f ca="1">IF($FJ260+GM$244&gt;73,"",PRODUCT(INDEX($T$19:$T$93,GM$244):INDEX($T$19:$T$93,GM$244+$FJ260-1)))</f>
        <v>0.99901224925385446</v>
      </c>
      <c r="GN260" s="479">
        <f ca="1">IF($FJ260+GN$244&gt;73,"",PRODUCT(INDEX($T$19:$T$93,GN$244):INDEX($T$19:$T$93,GN$244+$FJ260-1)))</f>
        <v>0.9988447874721752</v>
      </c>
      <c r="GO260" s="479">
        <f ca="1">IF($FJ260+GO$244&gt;73,"",PRODUCT(INDEX($T$19:$T$93,GO$244):INDEX($T$19:$T$93,GO$244+$FJ260-1)))</f>
        <v>0.9986489456451787</v>
      </c>
      <c r="GP260" s="479">
        <f ca="1">IF($FJ260+GP$244&gt;73,"",PRODUCT(INDEX($T$19:$T$93,GP$244):INDEX($T$19:$T$93,GP$244+$FJ260-1)))</f>
        <v>0.99841991842612998</v>
      </c>
      <c r="GQ260" s="479">
        <f ca="1">IF($FJ260+GQ$244&gt;73,"",PRODUCT(INDEX($T$19:$T$93,GQ$244):INDEX($T$19:$T$93,GQ$244+$FJ260-1)))</f>
        <v>0.99815208844536751</v>
      </c>
      <c r="GR260" s="479">
        <f ca="1">IF($FJ260+GR$244&gt;73,"",PRODUCT(INDEX($T$19:$T$93,GR$244):INDEX($T$19:$T$93,GR$244+$FJ260-1)))</f>
        <v>0.99783888970838897</v>
      </c>
      <c r="GS260" s="479">
        <f ca="1">IF($FJ260+GS$244&gt;73,"",PRODUCT(INDEX($T$19:$T$93,GS$244):INDEX($T$19:$T$93,GS$244+$FJ260-1)))</f>
        <v>0.99747264824764637</v>
      </c>
      <c r="GT260" s="479">
        <f ca="1">IF($FJ260+GT$244&gt;73,"",PRODUCT(INDEX($T$19:$T$93,GT$244):INDEX($T$19:$T$93,GT$244+$FJ260-1)))</f>
        <v>0.99704439632900044</v>
      </c>
      <c r="GU260" s="479">
        <f ca="1">IF($FJ260+GU$244&gt;73,"",PRODUCT(INDEX($T$19:$T$93,GU$244):INDEX($T$19:$T$93,GU$244+$FJ260-1)))</f>
        <v>0.99654365594607008</v>
      </c>
      <c r="GV260" s="479">
        <f ca="1">IF($FJ260+GV$244&gt;73,"",PRODUCT(INDEX($T$19:$T$93,GV$244):INDEX($T$19:$T$93,GV$244+$FJ260-1)))</f>
        <v>0.9959581866940409</v>
      </c>
      <c r="GW260" s="479">
        <f ca="1">IF($FJ260+GW$244&gt;73,"",PRODUCT(INDEX($T$19:$T$93,GW$244):INDEX($T$19:$T$93,GW$244+$FJ260-1)))</f>
        <v>0.99527369239470509</v>
      </c>
      <c r="GX260" s="479">
        <f ca="1">IF($FJ260+GX$244&gt;73,"",PRODUCT(INDEX($T$19:$T$93,GX$244):INDEX($T$19:$T$93,GX$244+$FJ260-1)))</f>
        <v>0.99447348004472758</v>
      </c>
      <c r="GY260" s="479">
        <f ca="1">IF($FJ260+GY$244&gt;73,"",PRODUCT(INDEX($T$19:$T$93,GY$244):INDEX($T$19:$T$93,GY$244+$FJ260-1)))</f>
        <v>0.9935380637814949</v>
      </c>
      <c r="GZ260" s="479">
        <f ca="1">IF($FJ260+GZ$244&gt;73,"",PRODUCT(INDEX($T$19:$T$93,GZ$244):INDEX($T$19:$T$93,GZ$244+$FJ260-1)))</f>
        <v>0.99244470561366804</v>
      </c>
      <c r="HA260" s="479">
        <f ca="1">IF($FJ260+HA$244&gt;73,"",PRODUCT(INDEX($T$19:$T$93,HA$244):INDEX($T$19:$T$93,HA$244+$FJ260-1)))</f>
        <v>0.99116688366421202</v>
      </c>
      <c r="HB260" s="479">
        <f ca="1">IF($FJ260+HB$244&gt;73,"",PRODUCT(INDEX($T$19:$T$93,HB$244):INDEX($T$19:$T$93,HB$244+$FJ260-1)))</f>
        <v>0.98967367765355929</v>
      </c>
      <c r="HC260" s="479">
        <f ca="1">IF($FJ260+HC$244&gt;73,"",PRODUCT(INDEX($T$19:$T$93,HC$244):INDEX($T$19:$T$93,HC$244+$FJ260-1)))</f>
        <v>0.98792906036080996</v>
      </c>
      <c r="HD260" s="479">
        <f ca="1">IF($FJ260+HD$244&gt;73,"",PRODUCT(INDEX($T$19:$T$93,HD$244):INDEX($T$19:$T$93,HD$244+$FJ260-1)))</f>
        <v>0.98589108292129657</v>
      </c>
      <c r="HE260" s="479">
        <f ca="1">IF($FJ260+HE$244&gt;73,"",PRODUCT(INDEX($T$19:$T$93,HE$244):INDEX($T$19:$T$93,HE$244+$FJ260-1)))</f>
        <v>0.98351094116954152</v>
      </c>
      <c r="HF260" s="479">
        <f ca="1">IF($FJ260+HF$244&gt;73,"",PRODUCT(INDEX($T$19:$T$93,HF$244):INDEX($T$19:$T$93,HF$244+$FJ260-1)))</f>
        <v>0.98073190999435267</v>
      </c>
      <c r="HG260" s="479">
        <f ca="1">IF($FJ260+HG$244&gt;73,"",PRODUCT(INDEX($T$19:$T$93,HG$244):INDEX($T$19:$T$93,HG$244+$FJ260-1)))</f>
        <v>0.97748813309290417</v>
      </c>
      <c r="HH260" s="479">
        <f ca="1">IF($FJ260+HH$244&gt;73,"",PRODUCT(INDEX($T$19:$T$93,HH$244):INDEX($T$19:$T$93,HH$244+$FJ260-1)))</f>
        <v>0.97370325695662652</v>
      </c>
      <c r="HI260" s="479">
        <f ca="1">IF($FJ260+HI$244&gt;73,"",PRODUCT(INDEX($T$19:$T$93,HI$244):INDEX($T$19:$T$93,HI$244+$FJ260-1)))</f>
        <v>0.96928890090481223</v>
      </c>
      <c r="HJ260" s="479">
        <f ca="1">IF($FJ260+HJ$244&gt;73,"",PRODUCT(INDEX($T$19:$T$93,HJ$244):INDEX($T$19:$T$93,HJ$244+$FJ260-1)))</f>
        <v>0.96414296021278822</v>
      </c>
      <c r="HK260" s="479">
        <f ca="1">IF($FJ260+HK$244&gt;73,"",PRODUCT(INDEX($T$19:$T$93,HK$244):INDEX($T$19:$T$93,HK$244+$FJ260-1)))</f>
        <v>0.95814774783807921</v>
      </c>
      <c r="HL260" s="479">
        <f ca="1">IF($FJ260+HL$244&gt;73,"",PRODUCT(INDEX($T$19:$T$93,HL$244):INDEX($T$19:$T$93,HL$244+$FJ260-1)))</f>
        <v>0.95116799326041923</v>
      </c>
      <c r="HM260" s="479">
        <f ca="1">IF($FJ260+HM$244&gt;73,"",PRODUCT(INDEX($T$19:$T$93,HM$244):INDEX($T$19:$T$93,HM$244+$FJ260-1)))</f>
        <v>0.94304873630825115</v>
      </c>
      <c r="HN260" s="479">
        <f ca="1">IF($FJ260+HN$244&gt;73,"",PRODUCT(INDEX($T$19:$T$93,HN$244):INDEX($T$19:$T$93,HN$244+$FJ260-1)))</f>
        <v>0.93361318191728349</v>
      </c>
      <c r="HO260" s="479">
        <f ca="1">IF($FJ260+HO$244&gt;73,"",PRODUCT(INDEX($T$19:$T$93,HO$244):INDEX($T$19:$T$93,HO$244+$FJ260-1)))</f>
        <v>0.92266062164948826</v>
      </c>
      <c r="HP260" s="479">
        <f ca="1">IF($FJ260+HP$244&gt;73,"",PRODUCT(INDEX($T$19:$T$93,HP$244):INDEX($T$19:$T$93,HP$244+$FJ260-1)))</f>
        <v>0.90996458344402387</v>
      </c>
      <c r="HQ260" s="479">
        <f ca="1">IF($FJ260+HQ$244&gt;73,"",PRODUCT(INDEX($T$19:$T$93,HQ$244):INDEX($T$19:$T$93,HQ$244+$FJ260-1)))</f>
        <v>0.89527144737641917</v>
      </c>
      <c r="HR260" s="479">
        <f ca="1">IF($FJ260+HR$244&gt;73,"",PRODUCT(INDEX($T$19:$T$93,HR$244):INDEX($T$19:$T$93,HR$244+$FJ260-1)))</f>
        <v>0.87829986800262194</v>
      </c>
      <c r="HS260" s="479">
        <f ca="1">IF($FJ260+HS$244&gt;73,"",PRODUCT(INDEX($T$19:$T$93,HS$244):INDEX($T$19:$T$93,HS$244+$FJ260-1)))</f>
        <v>0.85874147966197467</v>
      </c>
      <c r="HT260" s="479">
        <f ca="1">IF($FJ260+HT$244&gt;73,"",PRODUCT(INDEX($T$19:$T$93,HT$244):INDEX($T$19:$T$93,HT$244+$FJ260-1)))</f>
        <v>0.83626353633592398</v>
      </c>
      <c r="HU260" s="479">
        <f ca="1">IF($FJ260+HU$244&gt;73,"",PRODUCT(INDEX($T$19:$T$93,HU$244):INDEX($T$19:$T$93,HU$244+$FJ260-1)))</f>
        <v>0.8105143570534501</v>
      </c>
      <c r="HV260" s="479">
        <f ca="1">IF($FJ260+HV$244&gt;73,"",PRODUCT(INDEX($T$19:$T$93,HV$244):INDEX($T$19:$T$93,HV$244+$FJ260-1)))</f>
        <v>0.78113271136021356</v>
      </c>
      <c r="HW260" s="479">
        <f ca="1">IF($FJ260+HW$244&gt;73,"",PRODUCT(INDEX($T$19:$T$93,HW$244):INDEX($T$19:$T$93,HW$244+$FJ260-1)))</f>
        <v>0.74776257663387413</v>
      </c>
      <c r="HX260" s="479">
        <f ca="1">IF($FJ260+HX$244&gt;73,"",PRODUCT(INDEX($T$19:$T$93,HX$244):INDEX($T$19:$T$93,HX$244+$FJ260-1)))</f>
        <v>0.71007499985353129</v>
      </c>
      <c r="HY260" s="479">
        <f ca="1">IF($FJ260+HY$244&gt;73,"",PRODUCT(INDEX($T$19:$T$93,HY$244):INDEX($T$19:$T$93,HY$244+$FJ260-1)))</f>
        <v>0.66779903569907906</v>
      </c>
      <c r="HZ260" s="479">
        <f ca="1">IF($FJ260+HZ$244&gt;73,"",PRODUCT(INDEX($T$19:$T$93,HZ$244):INDEX($T$19:$T$93,HZ$244+$FJ260-1)))</f>
        <v>0.62076378761194251</v>
      </c>
      <c r="IA260" s="479">
        <f ca="1">IF($FJ260+IA$244&gt;73,"",PRODUCT(INDEX($T$19:$T$93,IA$244):INDEX($T$19:$T$93,IA$244+$FJ260-1)))</f>
        <v>0.56895323601152847</v>
      </c>
      <c r="IB260" s="479">
        <f ca="1">IF($FJ260+IB$244&gt;73,"",PRODUCT(INDEX($T$19:$T$93,IB$244):INDEX($T$19:$T$93,IB$244+$FJ260-1)))</f>
        <v>0.51257445699997894</v>
      </c>
      <c r="IC260" s="479">
        <f ca="1">IF($FJ260+IC$244&gt;73,"",PRODUCT(INDEX($T$19:$T$93,IC$244):INDEX($T$19:$T$93,IC$244+$FJ260-1)))</f>
        <v>0.45213751094975241</v>
      </c>
      <c r="ID260" s="678">
        <f ca="1">IF($FJ260+ID$244&gt;73,"",PRODUCT(INDEX($T$19:$T$93,ID$244):INDEX($T$19:$T$93,ID$244+$FJ260-1)))</f>
        <v>0.38854104490410812</v>
      </c>
      <c r="IE260" s="250"/>
    </row>
    <row r="261" spans="8:239">
      <c r="I261" s="744">
        <f t="shared" si="647"/>
        <v>44105</v>
      </c>
      <c r="J261" s="375"/>
      <c r="K261" s="138"/>
      <c r="L261" s="1"/>
      <c r="M261" s="376"/>
      <c r="P261" s="375"/>
      <c r="S261" s="55"/>
      <c r="T261" s="375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06"/>
      <c r="AM261" s="106"/>
      <c r="AN261" s="106"/>
      <c r="AO261" s="374"/>
      <c r="AP261" s="31"/>
      <c r="AQ261" s="374"/>
      <c r="AR261" s="31"/>
      <c r="AS261" s="31"/>
      <c r="AT261" s="31"/>
      <c r="AU261" s="31"/>
      <c r="AV261" s="154"/>
      <c r="AW261" s="106"/>
      <c r="AX261" s="106"/>
      <c r="AY261" s="106"/>
      <c r="AZ261" s="106"/>
      <c r="BA261" s="106"/>
      <c r="BB261" s="106"/>
      <c r="BC261" s="107"/>
      <c r="BD261" s="107"/>
      <c r="BE261" s="107"/>
      <c r="BF261" s="105"/>
      <c r="BG261" s="107"/>
      <c r="BH261" s="107"/>
      <c r="BI261" s="160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7"/>
      <c r="BW261" s="107"/>
      <c r="BX261" s="107"/>
      <c r="BY261" s="107"/>
      <c r="BZ261" s="107"/>
      <c r="CA261" s="107"/>
      <c r="CB261" s="107"/>
      <c r="CC261" s="107"/>
      <c r="CD261" s="107"/>
      <c r="CE261" s="107"/>
      <c r="CF261" s="106"/>
      <c r="CG261" s="106"/>
      <c r="CH261" s="106"/>
      <c r="CI261" s="106"/>
      <c r="CJ261" s="106"/>
      <c r="CK261" s="106"/>
      <c r="CL261" s="110"/>
      <c r="CM261" s="1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H261" s="475"/>
      <c r="DK261" s="475"/>
      <c r="DM261" s="1"/>
      <c r="DN261" s="1"/>
      <c r="DO261" s="1"/>
      <c r="DP261" s="1"/>
      <c r="DQ261" s="1"/>
      <c r="DR261" s="1"/>
      <c r="DS261" s="1"/>
      <c r="DT261" s="1">
        <v>0</v>
      </c>
      <c r="DU261" s="1"/>
      <c r="DV261" s="1">
        <v>0</v>
      </c>
      <c r="DW261" s="1">
        <v>0</v>
      </c>
      <c r="DX261" s="1"/>
      <c r="DY261" s="1">
        <v>0.35</v>
      </c>
      <c r="DZ261" s="1"/>
      <c r="EA261" s="1"/>
      <c r="EB261" s="1"/>
      <c r="EC261" s="1"/>
      <c r="ED261" s="1"/>
      <c r="EE261" s="1"/>
      <c r="EF261" s="1"/>
      <c r="EG261" s="3"/>
      <c r="EL261" s="55"/>
      <c r="EM261" s="1"/>
      <c r="EN261" s="106"/>
      <c r="EO261" s="106"/>
      <c r="EP261" s="1"/>
      <c r="EQ261" s="106"/>
      <c r="ER261" s="1"/>
      <c r="ES261" s="1"/>
      <c r="ET261" s="1"/>
      <c r="EU261" s="106"/>
      <c r="FJ261" s="673">
        <v>17</v>
      </c>
      <c r="FK261" s="479" t="str">
        <f ca="1">IF($FJ261+FK$244&gt;73,"",PRODUCT(INDEX($T$19:$T$93,FK$244):INDEX($T$19:$T$93,FK$244+$FJ261-1)))</f>
        <v/>
      </c>
      <c r="FL261" s="479" t="str">
        <f ca="1">IF($FJ261+FL$244&gt;73,"",PRODUCT(INDEX($T$19:$T$93,FL$244):INDEX($T$19:$T$93,FL$244+$FJ261-1)))</f>
        <v/>
      </c>
      <c r="FM261" s="479" t="str">
        <f ca="1">IF($FJ261+FM$244&gt;73,"",PRODUCT(INDEX($T$19:$T$93,FM$244):INDEX($T$19:$T$93,FM$244+$FJ261-1)))</f>
        <v/>
      </c>
      <c r="FN261" s="479" t="str">
        <f ca="1">IF($FJ261+FN$244&gt;73,"",PRODUCT(INDEX($T$19:$T$93,FN$244):INDEX($T$19:$T$93,FN$244+$FJ261-1)))</f>
        <v/>
      </c>
      <c r="FO261" s="479" t="str">
        <f ca="1">IF($FJ261+FO$244&gt;73,"",PRODUCT(INDEX($T$19:$T$93,FO$244):INDEX($T$19:$T$93,FO$244+$FJ261-1)))</f>
        <v/>
      </c>
      <c r="FP261" s="479" t="str">
        <f ca="1">IF($FJ261+FP$244&gt;73,"",PRODUCT(INDEX($T$19:$T$93,FP$244):INDEX($T$19:$T$93,FP$244+$FJ261-1)))</f>
        <v/>
      </c>
      <c r="FQ261" s="479" t="str">
        <f ca="1">IF($FJ261+FQ$244&gt;73,"",PRODUCT(INDEX($T$19:$T$93,FQ$244):INDEX($T$19:$T$93,FQ$244+$FJ261-1)))</f>
        <v/>
      </c>
      <c r="FR261" s="479" t="str">
        <f ca="1">IF($FJ261+FR$244&gt;73,"",PRODUCT(INDEX($T$19:$T$93,FR$244):INDEX($T$19:$T$93,FR$244+$FJ261-1)))</f>
        <v/>
      </c>
      <c r="FS261" s="479" t="str">
        <f ca="1">IF($FJ261+FS$244&gt;73,"",PRODUCT(INDEX($T$19:$T$93,FS$244):INDEX($T$19:$T$93,FS$244+$FJ261-1)))</f>
        <v/>
      </c>
      <c r="FT261" s="479" t="str">
        <f ca="1">IF($FJ261+FT$244&gt;73,"",PRODUCT(INDEX($T$19:$T$93,FT$244):INDEX($T$19:$T$93,FT$244+$FJ261-1)))</f>
        <v/>
      </c>
      <c r="FU261" s="479" t="str">
        <f ca="1">IF($FJ261+FU$244&gt;73,"",PRODUCT(INDEX($T$19:$T$93,FU$244):INDEX($T$19:$T$93,FU$244+$FJ261-1)))</f>
        <v/>
      </c>
      <c r="FV261" s="479" t="str">
        <f ca="1">IF($FJ261+FV$244&gt;73,"",PRODUCT(INDEX($T$19:$T$93,FV$244):INDEX($T$19:$T$93,FV$244+$FJ261-1)))</f>
        <v/>
      </c>
      <c r="FW261" s="479" t="str">
        <f ca="1">IF($FJ261+FW$244&gt;73,"",PRODUCT(INDEX($T$19:$T$93,FW$244):INDEX($T$19:$T$93,FW$244+$FJ261-1)))</f>
        <v/>
      </c>
      <c r="FX261" s="479" t="str">
        <f ca="1">IF($FJ261+FX$244&gt;73,"",PRODUCT(INDEX($T$19:$T$93,FX$244):INDEX($T$19:$T$93,FX$244+$FJ261-1)))</f>
        <v/>
      </c>
      <c r="FY261" s="479" t="str">
        <f ca="1">IF($FJ261+FY$244&gt;73,"",PRODUCT(INDEX($T$19:$T$93,FY$244):INDEX($T$19:$T$93,FY$244+$FJ261-1)))</f>
        <v/>
      </c>
      <c r="FZ261" s="479" t="str">
        <f ca="1">IF($FJ261+FZ$244&gt;73,"",PRODUCT(INDEX($T$19:$T$93,FZ$244):INDEX($T$19:$T$93,FZ$244+$FJ261-1)))</f>
        <v/>
      </c>
      <c r="GA261" s="479">
        <f ca="1">IF($FJ261+GA$244&gt;73,"",PRODUCT(INDEX($T$19:$T$93,GA$244):INDEX($T$19:$T$93,GA$244+$FJ261-1)))</f>
        <v>0.99984728343977058</v>
      </c>
      <c r="GB261" s="479">
        <f ca="1">IF($FJ261+GB$244&gt;73,"",PRODUCT(INDEX($T$19:$T$93,GB$244):INDEX($T$19:$T$93,GB$244+$FJ261-1)))</f>
        <v>0.99982138516396313</v>
      </c>
      <c r="GC261" s="479">
        <f ca="1">IF($FJ261+GC$244&gt;73,"",PRODUCT(INDEX($T$19:$T$93,GC$244):INDEX($T$19:$T$93,GC$244+$FJ261-1)))</f>
        <v>0.99979109518989384</v>
      </c>
      <c r="GD261" s="479">
        <f ca="1">IF($FJ261+GD$244&gt;73,"",PRODUCT(INDEX($T$19:$T$93,GD$244):INDEX($T$19:$T$93,GD$244+$FJ261-1)))</f>
        <v>0.99975566888647216</v>
      </c>
      <c r="GE261" s="479">
        <f ca="1">IF($FJ261+GE$244&gt;73,"",PRODUCT(INDEX($T$19:$T$93,GE$244):INDEX($T$19:$T$93,GE$244+$FJ261-1)))</f>
        <v>0.99971423540232129</v>
      </c>
      <c r="GF261" s="479">
        <f ca="1">IF($FJ261+GF$244&gt;73,"",PRODUCT(INDEX($T$19:$T$93,GF$244):INDEX($T$19:$T$93,GF$244+$FJ261-1)))</f>
        <v>0.99966577628400133</v>
      </c>
      <c r="GG261" s="479">
        <f ca="1">IF($FJ261+GG$244&gt;73,"",PRODUCT(INDEX($T$19:$T$93,GG$244):INDEX($T$19:$T$93,GG$244+$FJ261-1)))</f>
        <v>0.99960910047728868</v>
      </c>
      <c r="GH261" s="479">
        <f ca="1">IF($FJ261+GH$244&gt;73,"",PRODUCT(INDEX($T$19:$T$93,GH$244):INDEX($T$19:$T$93,GH$244+$FJ261-1)))</f>
        <v>0.99954281510162513</v>
      </c>
      <c r="GI261" s="479">
        <f ca="1">IF($FJ261+GI$244&gt;73,"",PRODUCT(INDEX($T$19:$T$93,GI$244):INDEX($T$19:$T$93,GI$244+$FJ261-1)))</f>
        <v>0.99946529128575479</v>
      </c>
      <c r="GJ261" s="479">
        <f ca="1">IF($FJ261+GJ$244&gt;73,"",PRODUCT(INDEX($T$19:$T$93,GJ$244):INDEX($T$19:$T$93,GJ$244+$FJ261-1)))</f>
        <v>0.99937462423365486</v>
      </c>
      <c r="GK261" s="479">
        <f ca="1">IF($FJ261+GK$244&gt;73,"",PRODUCT(INDEX($T$19:$T$93,GK$244):INDEX($T$19:$T$93,GK$244+$FJ261-1)))</f>
        <v>0.99926858655149775</v>
      </c>
      <c r="GL261" s="479">
        <f ca="1">IF($FJ261+GL$244&gt;73,"",PRODUCT(INDEX($T$19:$T$93,GL$244):INDEX($T$19:$T$93,GL$244+$FJ261-1)))</f>
        <v>0.99914457370548504</v>
      </c>
      <c r="GM261" s="479">
        <f ca="1">IF($FJ261+GM$244&gt;73,"",PRODUCT(INDEX($T$19:$T$93,GM$244):INDEX($T$19:$T$93,GM$244+$FJ261-1)))</f>
        <v>0.99899954029355265</v>
      </c>
      <c r="GN261" s="479">
        <f ca="1">IF($FJ261+GN$244&gt;73,"",PRODUCT(INDEX($T$19:$T$93,GN$244):INDEX($T$19:$T$93,GN$244+$FJ261-1)))</f>
        <v>0.99882992559720529</v>
      </c>
      <c r="GO261" s="479">
        <f ca="1">IF($FJ261+GO$244&gt;73,"",PRODUCT(INDEX($T$19:$T$93,GO$244):INDEX($T$19:$T$93,GO$244+$FJ261-1)))</f>
        <v>0.9986315666287604</v>
      </c>
      <c r="GP261" s="479">
        <f ca="1">IF($FJ261+GP$244&gt;73,"",PRODUCT(INDEX($T$19:$T$93,GP$244):INDEX($T$19:$T$93,GP$244+$FJ261-1)))</f>
        <v>0.998399596599154</v>
      </c>
      <c r="GQ261" s="479">
        <f ca="1">IF($FJ261+GQ$244&gt;73,"",PRODUCT(INDEX($T$19:$T$93,GQ$244):INDEX($T$19:$T$93,GQ$244+$FJ261-1)))</f>
        <v>0.99812832639686178</v>
      </c>
      <c r="GR261" s="479">
        <f ca="1">IF($FJ261+GR$244&gt;73,"",PRODUCT(INDEX($T$19:$T$93,GR$244):INDEX($T$19:$T$93,GR$244+$FJ261-1)))</f>
        <v>0.99781110628363812</v>
      </c>
      <c r="GS261" s="479">
        <f ca="1">IF($FJ261+GS$244&gt;73,"",PRODUCT(INDEX($T$19:$T$93,GS$244):INDEX($T$19:$T$93,GS$244+$FJ261-1)))</f>
        <v>0.99744016457156504</v>
      </c>
      <c r="GT261" s="479">
        <f ca="1">IF($FJ261+GT$244&gt;73,"",PRODUCT(INDEX($T$19:$T$93,GT$244):INDEX($T$19:$T$93,GT$244+$FJ261-1)))</f>
        <v>0.99700641954214653</v>
      </c>
      <c r="GU261" s="479">
        <f ca="1">IF($FJ261+GU$244&gt;73,"",PRODUCT(INDEX($T$19:$T$93,GU$244):INDEX($T$19:$T$93,GU$244+$FJ261-1)))</f>
        <v>0.99649926029583791</v>
      </c>
      <c r="GV261" s="479">
        <f ca="1">IF($FJ261+GV$244&gt;73,"",PRODUCT(INDEX($T$19:$T$93,GV$244):INDEX($T$19:$T$93,GV$244+$FJ261-1)))</f>
        <v>0.99590629157409583</v>
      </c>
      <c r="GW261" s="479">
        <f ca="1">IF($FJ261+GW$244&gt;73,"",PRODUCT(INDEX($T$19:$T$93,GW$244):INDEX($T$19:$T$93,GW$244+$FJ261-1)))</f>
        <v>0.99521303687192531</v>
      </c>
      <c r="GX261" s="479">
        <f ca="1">IF($FJ261+GX$244&gt;73,"",PRODUCT(INDEX($T$19:$T$93,GX$244):INDEX($T$19:$T$93,GX$244+$FJ261-1)))</f>
        <v>0.99440259335551962</v>
      </c>
      <c r="GY261" s="479">
        <f ca="1">IF($FJ261+GY$244&gt;73,"",PRODUCT(INDEX($T$19:$T$93,GY$244):INDEX($T$19:$T$93,GY$244+$FJ261-1)))</f>
        <v>0.99345523121975299</v>
      </c>
      <c r="GZ261" s="479">
        <f ca="1">IF($FJ261+GZ$244&gt;73,"",PRODUCT(INDEX($T$19:$T$93,GZ$244):INDEX($T$19:$T$93,GZ$244+$FJ261-1)))</f>
        <v>0.99234792917315728</v>
      </c>
      <c r="HA261" s="479">
        <f ca="1">IF($FJ261+HA$244&gt;73,"",PRODUCT(INDEX($T$19:$T$93,HA$244):INDEX($T$19:$T$93,HA$244+$FJ261-1)))</f>
        <v>0.99105383674246417</v>
      </c>
      <c r="HB261" s="479">
        <f ca="1">IF($FJ261+HB$244&gt;73,"",PRODUCT(INDEX($T$19:$T$93,HB$244):INDEX($T$19:$T$93,HB$244+$FJ261-1)))</f>
        <v>0.98954165307802455</v>
      </c>
      <c r="HC261" s="479">
        <f ca="1">IF($FJ261+HC$244&gt;73,"",PRODUCT(INDEX($T$19:$T$93,HC$244):INDEX($T$19:$T$93,HC$244+$FJ261-1)))</f>
        <v>0.98777491096924175</v>
      </c>
      <c r="HD261" s="479">
        <f ca="1">IF($FJ261+HD$244&gt;73,"",PRODUCT(INDEX($T$19:$T$93,HD$244):INDEX($T$19:$T$93,HD$244+$FJ261-1)))</f>
        <v>0.98571115392900421</v>
      </c>
      <c r="HE261" s="479">
        <f ca="1">IF($FJ261+HE$244&gt;73,"",PRODUCT(INDEX($T$19:$T$93,HE$244):INDEX($T$19:$T$93,HE$244+$FJ261-1)))</f>
        <v>0.98330099360309886</v>
      </c>
      <c r="HF261" s="479">
        <f ca="1">IF($FJ261+HF$244&gt;73,"",PRODUCT(INDEX($T$19:$T$93,HF$244):INDEX($T$19:$T$93,HF$244+$FJ261-1)))</f>
        <v>0.98048703458820563</v>
      </c>
      <c r="HG261" s="479">
        <f ca="1">IF($FJ261+HG$244&gt;73,"",PRODUCT(INDEX($T$19:$T$93,HG$244):INDEX($T$19:$T$93,HG$244+$FJ261-1)))</f>
        <v>0.97720265426475394</v>
      </c>
      <c r="HH261" s="479">
        <f ca="1">IF($FJ261+HH$244&gt;73,"",PRODUCT(INDEX($T$19:$T$93,HH$244):INDEX($T$19:$T$93,HH$244+$FJ261-1)))</f>
        <v>0.97337062684415832</v>
      </c>
      <c r="HI261" s="479">
        <f ca="1">IF($FJ261+HI$244&gt;73,"",PRODUCT(INDEX($T$19:$T$93,HI$244):INDEX($T$19:$T$93,HI$244+$FJ261-1)))</f>
        <v>0.9689015840206725</v>
      </c>
      <c r="HJ261" s="479">
        <f ca="1">IF($FJ261+HJ$244&gt;73,"",PRODUCT(INDEX($T$19:$T$93,HJ$244):INDEX($T$19:$T$93,HJ$244+$FJ261-1)))</f>
        <v>0.96369231013727374</v>
      </c>
      <c r="HK261" s="479">
        <f ca="1">IF($FJ261+HK$244&gt;73,"",PRODUCT(INDEX($T$19:$T$93,HK$244):INDEX($T$19:$T$93,HK$244+$FJ261-1)))</f>
        <v>0.9576238786258725</v>
      </c>
      <c r="HL261" s="479">
        <f ca="1">IF($FJ261+HL$244&gt;73,"",PRODUCT(INDEX($T$19:$T$93,HL$244):INDEX($T$19:$T$93,HL$244+$FJ261-1)))</f>
        <v>0.95055965002623233</v>
      </c>
      <c r="HM261" s="479">
        <f ca="1">IF($FJ261+HM$244&gt;73,"",PRODUCT(INDEX($T$19:$T$93,HM$244):INDEX($T$19:$T$93,HM$244+$FJ261-1)))</f>
        <v>0.94234317195073636</v>
      </c>
      <c r="HN261" s="479">
        <f ca="1">IF($FJ261+HN$244&gt;73,"",PRODUCT(INDEX($T$19:$T$93,HN$244):INDEX($T$19:$T$93,HN$244+$FJ261-1)))</f>
        <v>0.93279605035643365</v>
      </c>
      <c r="HO261" s="479">
        <f ca="1">IF($FJ261+HO$244&gt;73,"",PRODUCT(INDEX($T$19:$T$93,HO$244):INDEX($T$19:$T$93,HO$244+$FJ261-1)))</f>
        <v>0.92171590254666957</v>
      </c>
      <c r="HP261" s="479">
        <f ca="1">IF($FJ261+HP$244&gt;73,"",PRODUCT(INDEX($T$19:$T$93,HP$244):INDEX($T$19:$T$93,HP$244+$FJ261-1)))</f>
        <v>0.9088745594352845</v>
      </c>
      <c r="HQ261" s="479">
        <f ca="1">IF($FJ261+HQ$244&gt;73,"",PRODUCT(INDEX($T$19:$T$93,HQ$244):INDEX($T$19:$T$93,HQ$244+$FJ261-1)))</f>
        <v>0.89401676267671748</v>
      </c>
      <c r="HR261" s="479">
        <f ca="1">IF($FJ261+HR$244&gt;73,"",PRODUCT(INDEX($T$19:$T$93,HR$244):INDEX($T$19:$T$93,HR$244+$FJ261-1)))</f>
        <v>0.87685970708436656</v>
      </c>
      <c r="HS261" s="479">
        <f ca="1">IF($FJ261+HS$244&gt;73,"",PRODUCT(INDEX($T$19:$T$93,HS$244):INDEX($T$19:$T$93,HS$244+$FJ261-1)))</f>
        <v>0.85709391668354939</v>
      </c>
      <c r="HT261" s="479">
        <f ca="1">IF($FJ261+HT$244&gt;73,"",PRODUCT(INDEX($T$19:$T$93,HT$244):INDEX($T$19:$T$93,HT$244+$FJ261-1)))</f>
        <v>0.83438611987927402</v>
      </c>
      <c r="HU261" s="479">
        <f ca="1">IF($FJ261+HU$244&gt;73,"",PRODUCT(INDEX($T$19:$T$93,HU$244):INDEX($T$19:$T$93,HU$244+$FJ261-1)))</f>
        <v>0.80838500968961191</v>
      </c>
      <c r="HV261" s="479">
        <f ca="1">IF($FJ261+HV$244&gt;73,"",PRODUCT(INDEX($T$19:$T$93,HV$244):INDEX($T$19:$T$93,HV$244+$FJ261-1)))</f>
        <v>0.7787310376747435</v>
      </c>
      <c r="HW261" s="479">
        <f ca="1">IF($FJ261+HW$244&gt;73,"",PRODUCT(INDEX($T$19:$T$93,HW$244):INDEX($T$19:$T$93,HW$244+$FJ261-1)))</f>
        <v>0.74507168289311687</v>
      </c>
      <c r="HX261" s="479">
        <f ca="1">IF($FJ261+HX$244&gt;73,"",PRODUCT(INDEX($T$19:$T$93,HX$244):INDEX($T$19:$T$93,HX$244+$FJ261-1)))</f>
        <v>0.7070839269698902</v>
      </c>
      <c r="HY261" s="479">
        <f ca="1">IF($FJ261+HY$244&gt;73,"",PRODUCT(INDEX($T$19:$T$93,HY$244):INDEX($T$19:$T$93,HY$244+$FJ261-1)))</f>
        <v>0.66450588397809696</v>
      </c>
      <c r="HZ261" s="479">
        <f ca="1">IF($FJ261+HZ$244&gt;73,"",PRODUCT(INDEX($T$19:$T$93,HZ$244):INDEX($T$19:$T$93,HZ$244+$FJ261-1)))</f>
        <v>0.61717955087991339</v>
      </c>
      <c r="IA261" s="479">
        <f ca="1">IF($FJ261+IA$244&gt;73,"",PRODUCT(INDEX($T$19:$T$93,IA$244):INDEX($T$19:$T$93,IA$244+$FJ261-1)))</f>
        <v>0.56510624161571776</v>
      </c>
      <c r="IB261" s="479">
        <f ca="1">IF($FJ261+IB$244&gt;73,"",PRODUCT(INDEX($T$19:$T$93,IB$244):INDEX($T$19:$T$93,IB$244+$FJ261-1)))</f>
        <v>0.50851509859273325</v>
      </c>
      <c r="IC261" s="479">
        <f ca="1">IF($FJ261+IC$244&gt;73,"",PRODUCT(INDEX($T$19:$T$93,IC$244):INDEX($T$19:$T$93,IC$244+$FJ261-1)))</f>
        <v>0.44794263394610201</v>
      </c>
      <c r="ID261" s="678">
        <f ca="1">IF($FJ261+ID$244&gt;73,"",PRODUCT(INDEX($T$19:$T$93,ID$244):INDEX($T$19:$T$93,ID$244+$FJ261-1)))</f>
        <v>0.38431688430728961</v>
      </c>
      <c r="IE261" s="250"/>
    </row>
    <row r="262" spans="8:239">
      <c r="I262" s="137"/>
      <c r="J262" s="375"/>
      <c r="K262" s="138"/>
      <c r="L262" s="1"/>
      <c r="M262" s="376"/>
      <c r="P262" s="375"/>
      <c r="S262" s="55"/>
      <c r="T262" s="375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06"/>
      <c r="AM262" s="106"/>
      <c r="AN262" s="106"/>
      <c r="AO262" s="374"/>
      <c r="AP262" s="31"/>
      <c r="AQ262" s="374"/>
      <c r="AR262" s="31"/>
      <c r="AS262" s="31"/>
      <c r="AT262" s="31"/>
      <c r="AU262" s="31"/>
      <c r="AV262" s="154"/>
      <c r="AW262" s="106"/>
      <c r="AX262" s="106"/>
      <c r="AY262" s="106"/>
      <c r="AZ262" s="106"/>
      <c r="BA262" s="106"/>
      <c r="BB262" s="106"/>
      <c r="BC262" s="107"/>
      <c r="BD262" s="107"/>
      <c r="BE262" s="107"/>
      <c r="BF262" s="105"/>
      <c r="BG262" s="107"/>
      <c r="BH262" s="107"/>
      <c r="BI262" s="160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7"/>
      <c r="BW262" s="107"/>
      <c r="BX262" s="107"/>
      <c r="BY262" s="107"/>
      <c r="BZ262" s="107"/>
      <c r="CA262" s="107"/>
      <c r="CB262" s="107"/>
      <c r="CC262" s="107"/>
      <c r="CD262" s="107"/>
      <c r="CE262" s="107"/>
      <c r="CF262" s="106"/>
      <c r="CG262" s="106"/>
      <c r="CH262" s="106"/>
      <c r="CI262" s="106"/>
      <c r="CJ262" s="106"/>
      <c r="CK262" s="106"/>
      <c r="CL262" s="110"/>
      <c r="CM262" s="1"/>
      <c r="CN262" s="53"/>
      <c r="CO262" s="53"/>
      <c r="CP262" s="53"/>
      <c r="CQ262" s="53"/>
      <c r="CR262" s="53"/>
      <c r="CS262" s="53"/>
      <c r="CT262" s="53"/>
      <c r="CU262" s="53"/>
      <c r="CV262" s="53"/>
      <c r="CW262" s="53"/>
      <c r="CX262" s="53"/>
      <c r="CY262" s="53"/>
      <c r="CZ262" s="53"/>
      <c r="DA262" s="53"/>
      <c r="DB262" s="53"/>
      <c r="DC262" s="53"/>
      <c r="DD262" s="53"/>
      <c r="DE262" s="53"/>
      <c r="DH262" s="475"/>
      <c r="DK262" s="475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3"/>
      <c r="EL262" s="55"/>
      <c r="EM262" s="1"/>
      <c r="EN262" s="106"/>
      <c r="EO262" s="106"/>
      <c r="EP262" s="1"/>
      <c r="EQ262" s="106"/>
      <c r="ER262" s="1"/>
      <c r="ES262" s="1"/>
      <c r="ET262" s="1"/>
      <c r="EU262" s="106"/>
      <c r="FJ262" s="673">
        <v>18</v>
      </c>
      <c r="FK262" s="479" t="str">
        <f ca="1">IF($FJ262+FK$244&gt;73,"",PRODUCT(INDEX($T$19:$T$93,FK$244):INDEX($T$19:$T$93,FK$244+$FJ262-1)))</f>
        <v/>
      </c>
      <c r="FL262" s="479" t="str">
        <f ca="1">IF($FJ262+FL$244&gt;73,"",PRODUCT(INDEX($T$19:$T$93,FL$244):INDEX($T$19:$T$93,FL$244+$FJ262-1)))</f>
        <v/>
      </c>
      <c r="FM262" s="479" t="str">
        <f ca="1">IF($FJ262+FM$244&gt;73,"",PRODUCT(INDEX($T$19:$T$93,FM$244):INDEX($T$19:$T$93,FM$244+$FJ262-1)))</f>
        <v/>
      </c>
      <c r="FN262" s="479" t="str">
        <f ca="1">IF($FJ262+FN$244&gt;73,"",PRODUCT(INDEX($T$19:$T$93,FN$244):INDEX($T$19:$T$93,FN$244+$FJ262-1)))</f>
        <v/>
      </c>
      <c r="FO262" s="479" t="str">
        <f ca="1">IF($FJ262+FO$244&gt;73,"",PRODUCT(INDEX($T$19:$T$93,FO$244):INDEX($T$19:$T$93,FO$244+$FJ262-1)))</f>
        <v/>
      </c>
      <c r="FP262" s="479" t="str">
        <f ca="1">IF($FJ262+FP$244&gt;73,"",PRODUCT(INDEX($T$19:$T$93,FP$244):INDEX($T$19:$T$93,FP$244+$FJ262-1)))</f>
        <v/>
      </c>
      <c r="FQ262" s="479" t="str">
        <f ca="1">IF($FJ262+FQ$244&gt;73,"",PRODUCT(INDEX($T$19:$T$93,FQ$244):INDEX($T$19:$T$93,FQ$244+$FJ262-1)))</f>
        <v/>
      </c>
      <c r="FR262" s="479" t="str">
        <f ca="1">IF($FJ262+FR$244&gt;73,"",PRODUCT(INDEX($T$19:$T$93,FR$244):INDEX($T$19:$T$93,FR$244+$FJ262-1)))</f>
        <v/>
      </c>
      <c r="FS262" s="479" t="str">
        <f ca="1">IF($FJ262+FS$244&gt;73,"",PRODUCT(INDEX($T$19:$T$93,FS$244):INDEX($T$19:$T$93,FS$244+$FJ262-1)))</f>
        <v/>
      </c>
      <c r="FT262" s="479" t="str">
        <f ca="1">IF($FJ262+FT$244&gt;73,"",PRODUCT(INDEX($T$19:$T$93,FT$244):INDEX($T$19:$T$93,FT$244+$FJ262-1)))</f>
        <v/>
      </c>
      <c r="FU262" s="479" t="str">
        <f ca="1">IF($FJ262+FU$244&gt;73,"",PRODUCT(INDEX($T$19:$T$93,FU$244):INDEX($T$19:$T$93,FU$244+$FJ262-1)))</f>
        <v/>
      </c>
      <c r="FV262" s="479" t="str">
        <f ca="1">IF($FJ262+FV$244&gt;73,"",PRODUCT(INDEX($T$19:$T$93,FV$244):INDEX($T$19:$T$93,FV$244+$FJ262-1)))</f>
        <v/>
      </c>
      <c r="FW262" s="479" t="str">
        <f ca="1">IF($FJ262+FW$244&gt;73,"",PRODUCT(INDEX($T$19:$T$93,FW$244):INDEX($T$19:$T$93,FW$244+$FJ262-1)))</f>
        <v/>
      </c>
      <c r="FX262" s="479" t="str">
        <f ca="1">IF($FJ262+FX$244&gt;73,"",PRODUCT(INDEX($T$19:$T$93,FX$244):INDEX($T$19:$T$93,FX$244+$FJ262-1)))</f>
        <v/>
      </c>
      <c r="FY262" s="479" t="str">
        <f ca="1">IF($FJ262+FY$244&gt;73,"",PRODUCT(INDEX($T$19:$T$93,FY$244):INDEX($T$19:$T$93,FY$244+$FJ262-1)))</f>
        <v/>
      </c>
      <c r="FZ262" s="479" t="str">
        <f ca="1">IF($FJ262+FZ$244&gt;73,"",PRODUCT(INDEX($T$19:$T$93,FZ$244):INDEX($T$19:$T$93,FZ$244+$FJ262-1)))</f>
        <v/>
      </c>
      <c r="GA262" s="479" t="str">
        <f ca="1">IF($FJ262+GA$244&gt;73,"",PRODUCT(INDEX($T$19:$T$93,GA$244):INDEX($T$19:$T$93,GA$244+$FJ262-1)))</f>
        <v/>
      </c>
      <c r="GB262" s="479">
        <f ca="1">IF($FJ262+GB$244&gt;73,"",PRODUCT(INDEX($T$19:$T$93,GB$244):INDEX($T$19:$T$93,GB$244+$FJ262-1)))</f>
        <v>0.99981944409411239</v>
      </c>
      <c r="GC262" s="479">
        <f ca="1">IF($FJ262+GC$244&gt;73,"",PRODUCT(INDEX($T$19:$T$93,GC$244):INDEX($T$19:$T$93,GC$244+$FJ262-1)))</f>
        <v>0.99978882499895805</v>
      </c>
      <c r="GD262" s="479">
        <f ca="1">IF($FJ262+GD$244&gt;73,"",PRODUCT(INDEX($T$19:$T$93,GD$244):INDEX($T$19:$T$93,GD$244+$FJ262-1)))</f>
        <v>0.9997530137830275</v>
      </c>
      <c r="GE262" s="479">
        <f ca="1">IF($FJ262+GE$244&gt;73,"",PRODUCT(INDEX($T$19:$T$93,GE$244):INDEX($T$19:$T$93,GE$244+$FJ262-1)))</f>
        <v>0.99971113014225477</v>
      </c>
      <c r="GF262" s="479">
        <f ca="1">IF($FJ262+GF$244&gt;73,"",PRODUCT(INDEX($T$19:$T$93,GF$244):INDEX($T$19:$T$93,GF$244+$FJ262-1)))</f>
        <v>0.99966214457074809</v>
      </c>
      <c r="GG262" s="479">
        <f ca="1">IF($FJ262+GG$244&gt;73,"",PRODUCT(INDEX($T$19:$T$93,GG$244):INDEX($T$19:$T$93,GG$244+$FJ262-1)))</f>
        <v>0.9996048530919901</v>
      </c>
      <c r="GH262" s="479">
        <f ca="1">IF($FJ262+GH$244&gt;73,"",PRODUCT(INDEX($T$19:$T$93,GH$244):INDEX($T$19:$T$93,GH$244+$FJ262-1)))</f>
        <v>0.99953784771785681</v>
      </c>
      <c r="GI262" s="479">
        <f ca="1">IF($FJ262+GI$244&gt;73,"",PRODUCT(INDEX($T$19:$T$93,GI$244):INDEX($T$19:$T$93,GI$244+$FJ262-1)))</f>
        <v>0.99945948191594891</v>
      </c>
      <c r="GJ262" s="479">
        <f ca="1">IF($FJ262+GJ$244&gt;73,"",PRODUCT(INDEX($T$19:$T$93,GJ$244):INDEX($T$19:$T$93,GJ$244+$FJ262-1)))</f>
        <v>0.99936783024560039</v>
      </c>
      <c r="GK262" s="479">
        <f ca="1">IF($FJ262+GK$244&gt;73,"",PRODUCT(INDEX($T$19:$T$93,GK$244):INDEX($T$19:$T$93,GK$244+$FJ262-1)))</f>
        <v>0.99926064118316715</v>
      </c>
      <c r="GL262" s="479">
        <f ca="1">IF($FJ262+GL$244&gt;73,"",PRODUCT(INDEX($T$19:$T$93,GL$244):INDEX($T$19:$T$93,GL$244+$FJ262-1)))</f>
        <v>0.99913528199468926</v>
      </c>
      <c r="GM262" s="479">
        <f ca="1">IF($FJ262+GM$244&gt;73,"",PRODUCT(INDEX($T$19:$T$93,GM$244):INDEX($T$19:$T$93,GM$244+$FJ262-1)))</f>
        <v>0.99898867432535232</v>
      </c>
      <c r="GN262" s="479">
        <f ca="1">IF($FJ262+GN$244&gt;73,"",PRODUCT(INDEX($T$19:$T$93,GN$244):INDEX($T$19:$T$93,GN$244+$FJ262-1)))</f>
        <v>0.99881721895633857</v>
      </c>
      <c r="GO262" s="479">
        <f ca="1">IF($FJ262+GO$244&gt;73,"",PRODUCT(INDEX($T$19:$T$93,GO$244):INDEX($T$19:$T$93,GO$244+$FJ262-1)))</f>
        <v>0.99861670792631696</v>
      </c>
      <c r="GP262" s="479">
        <f ca="1">IF($FJ262+GP$244&gt;73,"",PRODUCT(INDEX($T$19:$T$93,GP$244):INDEX($T$19:$T$93,GP$244+$FJ262-1)))</f>
        <v>0.99838222192203951</v>
      </c>
      <c r="GQ262" s="479">
        <f ca="1">IF($FJ262+GQ$244&gt;73,"",PRODUCT(INDEX($T$19:$T$93,GQ$244):INDEX($T$19:$T$93,GQ$244+$FJ262-1)))</f>
        <v>0.99810801050494635</v>
      </c>
      <c r="GR262" s="479">
        <f ca="1">IF($FJ262+GR$244&gt;73,"",PRODUCT(INDEX($T$19:$T$93,GR$244):INDEX($T$19:$T$93,GR$244+$FJ262-1)))</f>
        <v>0.99778735235256732</v>
      </c>
      <c r="GS262" s="479">
        <f ca="1">IF($FJ262+GS$244&gt;73,"",PRODUCT(INDEX($T$19:$T$93,GS$244):INDEX($T$19:$T$93,GS$244+$FJ262-1)))</f>
        <v>0.99741239224875655</v>
      </c>
      <c r="GT262" s="479">
        <f ca="1">IF($FJ262+GT$244&gt;73,"",PRODUCT(INDEX($T$19:$T$93,GT$244):INDEX($T$19:$T$93,GT$244+$FJ262-1)))</f>
        <v>0.99697395104926068</v>
      </c>
      <c r="GU262" s="479">
        <f ca="1">IF($FJ262+GU$244&gt;73,"",PRODUCT(INDEX($T$19:$T$93,GU$244):INDEX($T$19:$T$93,GU$244+$FJ262-1)))</f>
        <v>0.99646130427286883</v>
      </c>
      <c r="GV262" s="479">
        <f ca="1">IF($FJ262+GV$244&gt;73,"",PRODUCT(INDEX($T$19:$T$93,GV$244):INDEX($T$19:$T$93,GV$244+$FJ262-1)))</f>
        <v>0.99586192431820997</v>
      </c>
      <c r="GW262" s="479">
        <f ca="1">IF($FJ262+GW$244&gt;73,"",PRODUCT(INDEX($T$19:$T$93,GW$244):INDEX($T$19:$T$93,GW$244+$FJ262-1)))</f>
        <v>0.99516118057854941</v>
      </c>
      <c r="GX262" s="479">
        <f ca="1">IF($FJ262+GX$244&gt;73,"",PRODUCT(INDEX($T$19:$T$93,GX$244):INDEX($T$19:$T$93,GX$244+$FJ262-1)))</f>
        <v>0.99434199092061704</v>
      </c>
      <c r="GY262" s="479">
        <f ca="1">IF($FJ262+GY$244&gt;73,"",PRODUCT(INDEX($T$19:$T$93,GY$244):INDEX($T$19:$T$93,GY$244+$FJ262-1)))</f>
        <v>0.99338441711195569</v>
      </c>
      <c r="GZ262" s="479">
        <f ca="1">IF($FJ262+GZ$244&gt;73,"",PRODUCT(INDEX($T$19:$T$93,GZ$244):INDEX($T$19:$T$93,GZ$244+$FJ262-1)))</f>
        <v>0.99226519583448691</v>
      </c>
      <c r="HA262" s="479">
        <f ca="1">IF($FJ262+HA$244&gt;73,"",PRODUCT(INDEX($T$19:$T$93,HA$244):INDEX($T$19:$T$93,HA$244+$FJ262-1)))</f>
        <v>0.99095719593000187</v>
      </c>
      <c r="HB262" s="479">
        <f ca="1">IF($FJ262+HB$244&gt;73,"",PRODUCT(INDEX($T$19:$T$93,HB$244):INDEX($T$19:$T$93,HB$244+$FJ262-1)))</f>
        <v>0.98942879152093921</v>
      </c>
      <c r="HC262" s="479">
        <f ca="1">IF($FJ262+HC$244&gt;73,"",PRODUCT(INDEX($T$19:$T$93,HC$244):INDEX($T$19:$T$93,HC$244+$FJ262-1)))</f>
        <v>0.98764313969322504</v>
      </c>
      <c r="HD262" s="479">
        <f ca="1">IF($FJ262+HD$244&gt;73,"",PRODUCT(INDEX($T$19:$T$93,HD$244):INDEX($T$19:$T$93,HD$244+$FJ262-1)))</f>
        <v>0.98555735060370808</v>
      </c>
      <c r="HE262" s="479">
        <f ca="1">IF($FJ262+HE$244&gt;73,"",PRODUCT(INDEX($T$19:$T$93,HE$244):INDEX($T$19:$T$93,HE$244+$FJ262-1)))</f>
        <v>0.98312153731227325</v>
      </c>
      <c r="HF262" s="479">
        <f ca="1">IF($FJ262+HF$244&gt;73,"",PRODUCT(INDEX($T$19:$T$93,HF$244):INDEX($T$19:$T$93,HF$244+$FJ262-1)))</f>
        <v>0.98027773252737083</v>
      </c>
      <c r="HG262" s="479">
        <f ca="1">IF($FJ262+HG$244&gt;73,"",PRODUCT(INDEX($T$19:$T$93,HG$244):INDEX($T$19:$T$93,HG$244+$FJ262-1)))</f>
        <v>0.97695866006571497</v>
      </c>
      <c r="HH262" s="479">
        <f ca="1">IF($FJ262+HH$244&gt;73,"",PRODUCT(INDEX($T$19:$T$93,HH$244):INDEX($T$19:$T$93,HH$244+$FJ262-1)))</f>
        <v>0.97308635054810944</v>
      </c>
      <c r="HI262" s="479">
        <f ca="1">IF($FJ262+HI$244&gt;73,"",PRODUCT(INDEX($T$19:$T$93,HI$244):INDEX($T$19:$T$93,HI$244+$FJ262-1)))</f>
        <v>0.96857059422418079</v>
      </c>
      <c r="HJ262" s="479">
        <f ca="1">IF($FJ262+HJ$244&gt;73,"",PRODUCT(INDEX($T$19:$T$93,HJ$244):INDEX($T$19:$T$93,HJ$244+$FJ262-1)))</f>
        <v>0.9633072295875188</v>
      </c>
      <c r="HK262" s="479">
        <f ca="1">IF($FJ262+HK$244&gt;73,"",PRODUCT(INDEX($T$19:$T$93,HK$244):INDEX($T$19:$T$93,HK$244+$FJ262-1)))</f>
        <v>0.95717627563438046</v>
      </c>
      <c r="HL262" s="479">
        <f ca="1">IF($FJ262+HL$244&gt;73,"",PRODUCT(INDEX($T$19:$T$93,HL$244):INDEX($T$19:$T$93,HL$244+$FJ262-1)))</f>
        <v>0.9500399296217974</v>
      </c>
      <c r="HM262" s="479">
        <f ca="1">IF($FJ262+HM$244&gt;73,"",PRODUCT(INDEX($T$19:$T$93,HM$244):INDEX($T$19:$T$93,HM$244+$FJ262-1)))</f>
        <v>0.94174047285131302</v>
      </c>
      <c r="HN262" s="479">
        <f ca="1">IF($FJ262+HN$244&gt;73,"",PRODUCT(INDEX($T$19:$T$93,HN$244):INDEX($T$19:$T$93,HN$244+$FJ262-1)))</f>
        <v>0.93209815678993724</v>
      </c>
      <c r="HO262" s="479">
        <f ca="1">IF($FJ262+HO$244&gt;73,"",PRODUCT(INDEX($T$19:$T$93,HO$244):INDEX($T$19:$T$93,HO$244+$FJ262-1)))</f>
        <v>0.92090918390912713</v>
      </c>
      <c r="HP262" s="479">
        <f ca="1">IF($FJ262+HP$244&gt;73,"",PRODUCT(INDEX($T$19:$T$93,HP$244):INDEX($T$19:$T$93,HP$244+$FJ262-1)))</f>
        <v>0.90794395598454936</v>
      </c>
      <c r="HQ262" s="479">
        <f ca="1">IF($FJ262+HQ$244&gt;73,"",PRODUCT(INDEX($T$19:$T$93,HQ$244):INDEX($T$19:$T$93,HQ$244+$FJ262-1)))</f>
        <v>0.89294584216699302</v>
      </c>
      <c r="HR262" s="479">
        <f ca="1">IF($FJ262+HR$244&gt;73,"",PRODUCT(INDEX($T$19:$T$93,HR$244):INDEX($T$19:$T$93,HR$244+$FJ262-1)))</f>
        <v>0.87563082565238559</v>
      </c>
      <c r="HS262" s="479">
        <f ca="1">IF($FJ262+HS$244&gt;73,"",PRODUCT(INDEX($T$19:$T$93,HS$244):INDEX($T$19:$T$93,HS$244+$FJ262-1)))</f>
        <v>0.85568852746848645</v>
      </c>
      <c r="HT262" s="479">
        <f ca="1">IF($FJ262+HT$244&gt;73,"",PRODUCT(INDEX($T$19:$T$93,HT$244):INDEX($T$19:$T$93,HT$244+$FJ262-1)))</f>
        <v>0.83278528457157919</v>
      </c>
      <c r="HU262" s="479">
        <f ca="1">IF($FJ262+HU$244&gt;73,"",PRODUCT(INDEX($T$19:$T$93,HU$244):INDEX($T$19:$T$93,HU$244+$FJ262-1)))</f>
        <v>0.8065701806858866</v>
      </c>
      <c r="HV262" s="479">
        <f ca="1">IF($FJ262+HV$244&gt;73,"",PRODUCT(INDEX($T$19:$T$93,HV$244):INDEX($T$19:$T$93,HV$244+$FJ262-1)))</f>
        <v>0.77668519003764569</v>
      </c>
      <c r="HW262" s="479">
        <f ca="1">IF($FJ262+HW$244&gt;73,"",PRODUCT(INDEX($T$19:$T$93,HW$244):INDEX($T$19:$T$93,HW$244+$FJ262-1)))</f>
        <v>0.74278088258662689</v>
      </c>
      <c r="HX262" s="479">
        <f ca="1">IF($FJ262+HX$244&gt;73,"",PRODUCT(INDEX($T$19:$T$93,HX$244):INDEX($T$19:$T$93,HX$244+$FJ262-1)))</f>
        <v>0.70453941916389851</v>
      </c>
      <c r="HY262" s="479">
        <f ca="1">IF($FJ262+HY$244&gt;73,"",PRODUCT(INDEX($T$19:$T$93,HY$244):INDEX($T$19:$T$93,HY$244+$FJ262-1)))</f>
        <v>0.66170676341900558</v>
      </c>
      <c r="HZ262" s="479">
        <f ca="1">IF($FJ262+HZ$244&gt;73,"",PRODUCT(INDEX($T$19:$T$93,HZ$244):INDEX($T$19:$T$93,HZ$244+$FJ262-1)))</f>
        <v>0.61413602162712333</v>
      </c>
      <c r="IA262" s="479">
        <f ca="1">IF($FJ262+IA$244&gt;73,"",PRODUCT(INDEX($T$19:$T$93,IA$244):INDEX($T$19:$T$93,IA$244+$FJ262-1)))</f>
        <v>0.56184336676844304</v>
      </c>
      <c r="IB262" s="479">
        <f ca="1">IF($FJ262+IB$244&gt;73,"",PRODUCT(INDEX($T$19:$T$93,IB$244):INDEX($T$19:$T$93,IB$244+$FJ262-1)))</f>
        <v>0.5050767584785526</v>
      </c>
      <c r="IC262" s="479">
        <f ca="1">IF($FJ262+IC$244&gt;73,"",PRODUCT(INDEX($T$19:$T$93,IC$244):INDEX($T$19:$T$93,IC$244+$FJ262-1)))</f>
        <v>0.44439513041321926</v>
      </c>
      <c r="ID262" s="678">
        <f ca="1">IF($FJ262+ID$244&gt;73,"",PRODUCT(INDEX($T$19:$T$93,ID$244):INDEX($T$19:$T$93,ID$244+$FJ262-1)))</f>
        <v>0.38075123885418677</v>
      </c>
      <c r="IE262" s="250"/>
    </row>
    <row r="263" spans="8:239">
      <c r="I263" s="137"/>
      <c r="J263" s="375"/>
      <c r="K263" s="138"/>
      <c r="L263" s="1"/>
      <c r="M263" s="376"/>
      <c r="P263" s="375"/>
      <c r="S263" s="55"/>
      <c r="T263" s="375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06"/>
      <c r="AM263" s="106"/>
      <c r="AN263" s="106"/>
      <c r="AO263" s="374"/>
      <c r="AP263" s="31"/>
      <c r="AQ263" s="374"/>
      <c r="AR263" s="31"/>
      <c r="AS263" s="31"/>
      <c r="AT263" s="31"/>
      <c r="AU263" s="31"/>
      <c r="AV263" s="154"/>
      <c r="AW263" s="106"/>
      <c r="AX263" s="106"/>
      <c r="AY263" s="106"/>
      <c r="AZ263" s="106"/>
      <c r="BA263" s="106"/>
      <c r="BB263" s="106"/>
      <c r="BC263" s="107"/>
      <c r="BD263" s="107"/>
      <c r="BE263" s="107"/>
      <c r="BF263" s="105"/>
      <c r="BG263" s="107"/>
      <c r="BH263" s="107"/>
      <c r="BI263" s="160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7"/>
      <c r="BW263" s="107"/>
      <c r="BX263" s="107"/>
      <c r="BY263" s="107"/>
      <c r="BZ263" s="107"/>
      <c r="CA263" s="107"/>
      <c r="CB263" s="107"/>
      <c r="CC263" s="107"/>
      <c r="CD263" s="107"/>
      <c r="CE263" s="107"/>
      <c r="CF263" s="106"/>
      <c r="CG263" s="106"/>
      <c r="CH263" s="106"/>
      <c r="CI263" s="106"/>
      <c r="CJ263" s="106"/>
      <c r="CK263" s="106"/>
      <c r="CL263" s="110"/>
      <c r="CM263" s="1"/>
      <c r="CN263" s="53"/>
      <c r="CO263" s="53"/>
      <c r="CP263" s="53"/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/>
      <c r="DB263" s="53"/>
      <c r="DC263" s="53"/>
      <c r="DD263" s="53"/>
      <c r="DE263" s="53"/>
      <c r="DH263" s="475"/>
      <c r="DK263" s="475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3"/>
      <c r="EL263" s="55"/>
      <c r="EM263" s="1"/>
      <c r="EN263" s="106"/>
      <c r="EO263" s="106"/>
      <c r="EP263" s="1"/>
      <c r="EQ263" s="106"/>
      <c r="ER263" s="1"/>
      <c r="ES263" s="1"/>
      <c r="ET263" s="1"/>
      <c r="EU263" s="106"/>
      <c r="FJ263" s="673">
        <v>19</v>
      </c>
      <c r="FK263" s="479" t="str">
        <f ca="1">IF($FJ263+FK$244&gt;73,"",PRODUCT(INDEX($T$19:$T$93,FK$244):INDEX($T$19:$T$93,FK$244+$FJ263-1)))</f>
        <v/>
      </c>
      <c r="FL263" s="479" t="str">
        <f ca="1">IF($FJ263+FL$244&gt;73,"",PRODUCT(INDEX($T$19:$T$93,FL$244):INDEX($T$19:$T$93,FL$244+$FJ263-1)))</f>
        <v/>
      </c>
      <c r="FM263" s="479" t="str">
        <f ca="1">IF($FJ263+FM$244&gt;73,"",PRODUCT(INDEX($T$19:$T$93,FM$244):INDEX($T$19:$T$93,FM$244+$FJ263-1)))</f>
        <v/>
      </c>
      <c r="FN263" s="479" t="str">
        <f ca="1">IF($FJ263+FN$244&gt;73,"",PRODUCT(INDEX($T$19:$T$93,FN$244):INDEX($T$19:$T$93,FN$244+$FJ263-1)))</f>
        <v/>
      </c>
      <c r="FO263" s="479" t="str">
        <f ca="1">IF($FJ263+FO$244&gt;73,"",PRODUCT(INDEX($T$19:$T$93,FO$244):INDEX($T$19:$T$93,FO$244+$FJ263-1)))</f>
        <v/>
      </c>
      <c r="FP263" s="479" t="str">
        <f ca="1">IF($FJ263+FP$244&gt;73,"",PRODUCT(INDEX($T$19:$T$93,FP$244):INDEX($T$19:$T$93,FP$244+$FJ263-1)))</f>
        <v/>
      </c>
      <c r="FQ263" s="479" t="str">
        <f ca="1">IF($FJ263+FQ$244&gt;73,"",PRODUCT(INDEX($T$19:$T$93,FQ$244):INDEX($T$19:$T$93,FQ$244+$FJ263-1)))</f>
        <v/>
      </c>
      <c r="FR263" s="479" t="str">
        <f ca="1">IF($FJ263+FR$244&gt;73,"",PRODUCT(INDEX($T$19:$T$93,FR$244):INDEX($T$19:$T$93,FR$244+$FJ263-1)))</f>
        <v/>
      </c>
      <c r="FS263" s="479" t="str">
        <f ca="1">IF($FJ263+FS$244&gt;73,"",PRODUCT(INDEX($T$19:$T$93,FS$244):INDEX($T$19:$T$93,FS$244+$FJ263-1)))</f>
        <v/>
      </c>
      <c r="FT263" s="479" t="str">
        <f ca="1">IF($FJ263+FT$244&gt;73,"",PRODUCT(INDEX($T$19:$T$93,FT$244):INDEX($T$19:$T$93,FT$244+$FJ263-1)))</f>
        <v/>
      </c>
      <c r="FU263" s="479" t="str">
        <f ca="1">IF($FJ263+FU$244&gt;73,"",PRODUCT(INDEX($T$19:$T$93,FU$244):INDEX($T$19:$T$93,FU$244+$FJ263-1)))</f>
        <v/>
      </c>
      <c r="FV263" s="479" t="str">
        <f ca="1">IF($FJ263+FV$244&gt;73,"",PRODUCT(INDEX($T$19:$T$93,FV$244):INDEX($T$19:$T$93,FV$244+$FJ263-1)))</f>
        <v/>
      </c>
      <c r="FW263" s="479" t="str">
        <f ca="1">IF($FJ263+FW$244&gt;73,"",PRODUCT(INDEX($T$19:$T$93,FW$244):INDEX($T$19:$T$93,FW$244+$FJ263-1)))</f>
        <v/>
      </c>
      <c r="FX263" s="479" t="str">
        <f ca="1">IF($FJ263+FX$244&gt;73,"",PRODUCT(INDEX($T$19:$T$93,FX$244):INDEX($T$19:$T$93,FX$244+$FJ263-1)))</f>
        <v/>
      </c>
      <c r="FY263" s="479" t="str">
        <f ca="1">IF($FJ263+FY$244&gt;73,"",PRODUCT(INDEX($T$19:$T$93,FY$244):INDEX($T$19:$T$93,FY$244+$FJ263-1)))</f>
        <v/>
      </c>
      <c r="FZ263" s="479" t="str">
        <f ca="1">IF($FJ263+FZ$244&gt;73,"",PRODUCT(INDEX($T$19:$T$93,FZ$244):INDEX($T$19:$T$93,FZ$244+$FJ263-1)))</f>
        <v/>
      </c>
      <c r="GA263" s="479" t="str">
        <f ca="1">IF($FJ263+GA$244&gt;73,"",PRODUCT(INDEX($T$19:$T$93,GA$244):INDEX($T$19:$T$93,GA$244+$FJ263-1)))</f>
        <v/>
      </c>
      <c r="GB263" s="479" t="str">
        <f ca="1">IF($FJ263+GB$244&gt;73,"",PRODUCT(INDEX($T$19:$T$93,GB$244):INDEX($T$19:$T$93,GB$244+$FJ263-1)))</f>
        <v/>
      </c>
      <c r="GC263" s="479">
        <f ca="1">IF($FJ263+GC$244&gt;73,"",PRODUCT(INDEX($T$19:$T$93,GC$244):INDEX($T$19:$T$93,GC$244+$FJ263-1)))</f>
        <v>0.99978688399232007</v>
      </c>
      <c r="GD263" s="479">
        <f ca="1">IF($FJ263+GD$244&gt;73,"",PRODUCT(INDEX($T$19:$T$93,GD$244):INDEX($T$19:$T$93,GD$244+$FJ263-1)))</f>
        <v>0.99975074367856187</v>
      </c>
      <c r="GE263" s="479">
        <f ca="1">IF($FJ263+GE$244&gt;73,"",PRODUCT(INDEX($T$19:$T$93,GE$244):INDEX($T$19:$T$93,GE$244+$FJ263-1)))</f>
        <v>0.99970847515709393</v>
      </c>
      <c r="GF263" s="479">
        <f ca="1">IF($FJ263+GF$244&gt;73,"",PRODUCT(INDEX($T$19:$T$93,GF$244):INDEX($T$19:$T$93,GF$244+$FJ263-1)))</f>
        <v>0.99965903947248336</v>
      </c>
      <c r="GG263" s="479">
        <f ca="1">IF($FJ263+GG$244&gt;73,"",PRODUCT(INDEX($T$19:$T$93,GG$244):INDEX($T$19:$T$93,GG$244+$FJ263-1)))</f>
        <v>0.99960122160006637</v>
      </c>
      <c r="GH263" s="479">
        <f ca="1">IF($FJ263+GH$244&gt;73,"",PRODUCT(INDEX($T$19:$T$93,GH$244):INDEX($T$19:$T$93,GH$244+$FJ263-1)))</f>
        <v>0.99953360063531449</v>
      </c>
      <c r="GI263" s="479">
        <f ca="1">IF($FJ263+GI$244&gt;73,"",PRODUCT(INDEX($T$19:$T$93,GI$244):INDEX($T$19:$T$93,GI$244+$FJ263-1)))</f>
        <v>0.99945451494631787</v>
      </c>
      <c r="GJ263" s="479">
        <f ca="1">IF($FJ263+GJ$244&gt;73,"",PRODUCT(INDEX($T$19:$T$93,GJ$244):INDEX($T$19:$T$93,GJ$244+$FJ263-1)))</f>
        <v>0.99936202144228459</v>
      </c>
      <c r="GK263" s="479">
        <f ca="1">IF($FJ263+GK$244&gt;73,"",PRODUCT(INDEX($T$19:$T$93,GK$244):INDEX($T$19:$T$93,GK$244+$FJ263-1)))</f>
        <v>0.99925384796999683</v>
      </c>
      <c r="GL263" s="479">
        <f ca="1">IF($FJ263+GL$244&gt;73,"",PRODUCT(INDEX($T$19:$T$93,GL$244):INDEX($T$19:$T$93,GL$244+$FJ263-1)))</f>
        <v>0.9991273376862877</v>
      </c>
      <c r="GM263" s="479">
        <f ca="1">IF($FJ263+GM$244&gt;73,"",PRODUCT(INDEX($T$19:$T$93,GM$244):INDEX($T$19:$T$93,GM$244+$FJ263-1)))</f>
        <v>0.9989793840643687</v>
      </c>
      <c r="GN263" s="479">
        <f ca="1">IF($FJ263+GN$244&gt;73,"",PRODUCT(INDEX($T$19:$T$93,GN$244):INDEX($T$19:$T$93,GN$244+$FJ263-1)))</f>
        <v>0.99880635497122006</v>
      </c>
      <c r="GO263" s="479">
        <f ca="1">IF($FJ263+GO$244&gt;73,"",PRODUCT(INDEX($T$19:$T$93,GO$244):INDEX($T$19:$T$93,GO$244+$FJ263-1)))</f>
        <v>0.99860400399790439</v>
      </c>
      <c r="GP263" s="479">
        <f ca="1">IF($FJ263+GP$244&gt;73,"",PRODUCT(INDEX($T$19:$T$93,GP$244):INDEX($T$19:$T$93,GP$244+$FJ263-1)))</f>
        <v>0.9983673669296117</v>
      </c>
      <c r="GQ263" s="479">
        <f ca="1">IF($FJ263+GQ$244&gt;73,"",PRODUCT(INDEX($T$19:$T$93,GQ$244):INDEX($T$19:$T$93,GQ$244+$FJ263-1)))</f>
        <v>0.99809064090216715</v>
      </c>
      <c r="GR263" s="479">
        <f ca="1">IF($FJ263+GR$244&gt;73,"",PRODUCT(INDEX($T$19:$T$93,GR$244):INDEX($T$19:$T$93,GR$244+$FJ263-1)))</f>
        <v>0.99776704340083355</v>
      </c>
      <c r="GS263" s="479">
        <f ca="1">IF($FJ263+GS$244&gt;73,"",PRODUCT(INDEX($T$19:$T$93,GS$244):INDEX($T$19:$T$93,GS$244+$FJ263-1)))</f>
        <v>0.99738864780948799</v>
      </c>
      <c r="GT263" s="479">
        <f ca="1">IF($FJ263+GT$244&gt;73,"",PRODUCT(INDEX($T$19:$T$93,GT$244):INDEX($T$19:$T$93,GT$244+$FJ263-1)))</f>
        <v>0.99694619170751397</v>
      </c>
      <c r="GU263" s="479">
        <f ca="1">IF($FJ263+GU$244&gt;73,"",PRODUCT(INDEX($T$19:$T$93,GU$244):INDEX($T$19:$T$93,GU$244+$FJ263-1)))</f>
        <v>0.9964288535321969</v>
      </c>
      <c r="GV263" s="479">
        <f ca="1">IF($FJ263+GV$244&gt;73,"",PRODUCT(INDEX($T$19:$T$93,GV$244):INDEX($T$19:$T$93,GV$244+$FJ263-1)))</f>
        <v>0.99582399257096288</v>
      </c>
      <c r="GW263" s="479">
        <f ca="1">IF($FJ263+GW$244&gt;73,"",PRODUCT(INDEX($T$19:$T$93,GW$244):INDEX($T$19:$T$93,GW$244+$FJ263-1)))</f>
        <v>0.9951168465170821</v>
      </c>
      <c r="GX263" s="479">
        <f ca="1">IF($FJ263+GX$244&gt;73,"",PRODUCT(INDEX($T$19:$T$93,GX$244):INDEX($T$19:$T$93,GX$244+$FJ263-1)))</f>
        <v>0.99429018001371894</v>
      </c>
      <c r="GY263" s="479">
        <f ca="1">IF($FJ263+GY$244&gt;73,"",PRODUCT(INDEX($T$19:$T$93,GY$244):INDEX($T$19:$T$93,GY$244+$FJ263-1)))</f>
        <v>0.99332387672833899</v>
      </c>
      <c r="GZ263" s="479">
        <f ca="1">IF($FJ263+GZ$244&gt;73,"",PRODUCT(INDEX($T$19:$T$93,GZ$244):INDEX($T$19:$T$93,GZ$244+$FJ263-1)))</f>
        <v>0.99219446655315324</v>
      </c>
      <c r="HA263" s="479">
        <f ca="1">IF($FJ263+HA$244&gt;73,"",PRODUCT(INDEX($T$19:$T$93,HA$244):INDEX($T$19:$T$93,HA$244+$FJ263-1)))</f>
        <v>0.99087457853857241</v>
      </c>
      <c r="HB263" s="479">
        <f ca="1">IF($FJ263+HB$244&gt;73,"",PRODUCT(INDEX($T$19:$T$93,HB$244):INDEX($T$19:$T$93,HB$244+$FJ263-1)))</f>
        <v>0.98933230917180615</v>
      </c>
      <c r="HC263" s="479">
        <f ca="1">IF($FJ263+HC$244&gt;73,"",PRODUCT(INDEX($T$19:$T$93,HC$244):INDEX($T$19:$T$93,HC$244+$FJ263-1)))</f>
        <v>0.98753049466990162</v>
      </c>
      <c r="HD263" s="479">
        <f ca="1">IF($FJ263+HD$244&gt;73,"",PRODUCT(INDEX($T$19:$T$93,HD$244):INDEX($T$19:$T$93,HD$244+$FJ263-1)))</f>
        <v>0.98542587515496516</v>
      </c>
      <c r="HE263" s="479">
        <f ca="1">IF($FJ263+HE$244&gt;73,"",PRODUCT(INDEX($T$19:$T$93,HE$244):INDEX($T$19:$T$93,HE$244+$FJ263-1)))</f>
        <v>0.98296813805225047</v>
      </c>
      <c r="HF263" s="479">
        <f ca="1">IF($FJ263+HF$244&gt;73,"",PRODUCT(INDEX($T$19:$T$93,HF$244):INDEX($T$19:$T$93,HF$244+$FJ263-1)))</f>
        <v>0.98009882799355796</v>
      </c>
      <c r="HG263" s="479">
        <f ca="1">IF($FJ263+HG$244&gt;73,"",PRODUCT(INDEX($T$19:$T$93,HG$244):INDEX($T$19:$T$93,HG$244+$FJ263-1)))</f>
        <v>0.97675011119796984</v>
      </c>
      <c r="HH263" s="479">
        <f ca="1">IF($FJ263+HH$244&gt;73,"",PRODUCT(INDEX($T$19:$T$93,HH$244):INDEX($T$19:$T$93,HH$244+$FJ263-1)))</f>
        <v>0.97284338413406868</v>
      </c>
      <c r="HI263" s="479">
        <f ca="1">IF($FJ263+HI$244&gt;73,"",PRODUCT(INDEX($T$19:$T$93,HI$244):INDEX($T$19:$T$93,HI$244+$FJ263-1)))</f>
        <v>0.96828771979444728</v>
      </c>
      <c r="HJ263" s="479">
        <f ca="1">IF($FJ263+HJ$244&gt;73,"",PRODUCT(INDEX($T$19:$T$93,HJ$244):INDEX($T$19:$T$93,HJ$244+$FJ263-1)))</f>
        <v>0.96297815089765115</v>
      </c>
      <c r="HK263" s="479">
        <f ca="1">IF($FJ263+HK$244&gt;73,"",PRODUCT(INDEX($T$19:$T$93,HK$244):INDEX($T$19:$T$93,HK$244+$FJ263-1)))</f>
        <v>0.95679379881832993</v>
      </c>
      <c r="HL263" s="479">
        <f ca="1">IF($FJ263+HL$244&gt;73,"",PRODUCT(INDEX($T$19:$T$93,HL$244):INDEX($T$19:$T$93,HL$244+$FJ263-1)))</f>
        <v>0.94959587144402324</v>
      </c>
      <c r="HM263" s="479">
        <f ca="1">IF($FJ263+HM$244&gt;73,"",PRODUCT(INDEX($T$19:$T$93,HM$244):INDEX($T$19:$T$93,HM$244+$FJ263-1)))</f>
        <v>0.94122557434977294</v>
      </c>
      <c r="HN263" s="479">
        <f ca="1">IF($FJ263+HN$244&gt;73,"",PRODUCT(INDEX($T$19:$T$93,HN$244):INDEX($T$19:$T$93,HN$244+$FJ263-1)))</f>
        <v>0.93150201014570722</v>
      </c>
      <c r="HO263" s="479">
        <f ca="1">IF($FJ263+HO$244&gt;73,"",PRODUCT(INDEX($T$19:$T$93,HO$244):INDEX($T$19:$T$93,HO$244+$FJ263-1)))</f>
        <v>0.92022018378468184</v>
      </c>
      <c r="HP263" s="479">
        <f ca="1">IF($FJ263+HP$244&gt;73,"",PRODUCT(INDEX($T$19:$T$93,HP$244):INDEX($T$19:$T$93,HP$244+$FJ263-1)))</f>
        <v>0.90714929104591369</v>
      </c>
      <c r="HQ263" s="479">
        <f ca="1">IF($FJ263+HQ$244&gt;73,"",PRODUCT(INDEX($T$19:$T$93,HQ$244):INDEX($T$19:$T$93,HQ$244+$FJ263-1)))</f>
        <v>0.89203154824885711</v>
      </c>
      <c r="HR263" s="479">
        <f ca="1">IF($FJ263+HR$244&gt;73,"",PRODUCT(INDEX($T$19:$T$93,HR$244):INDEX($T$19:$T$93,HR$244+$FJ263-1)))</f>
        <v>0.87458192920067868</v>
      </c>
      <c r="HS263" s="479">
        <f ca="1">IF($FJ263+HS$244&gt;73,"",PRODUCT(INDEX($T$19:$T$93,HS$244):INDEX($T$19:$T$93,HS$244+$FJ263-1)))</f>
        <v>0.85448931654059279</v>
      </c>
      <c r="HT263" s="479">
        <f ca="1">IF($FJ263+HT$244&gt;73,"",PRODUCT(INDEX($T$19:$T$93,HT$244):INDEX($T$19:$T$93,HT$244+$FJ263-1)))</f>
        <v>0.83141975457000283</v>
      </c>
      <c r="HU263" s="479">
        <f ca="1">IF($FJ263+HU$244&gt;73,"",PRODUCT(INDEX($T$19:$T$93,HU$244):INDEX($T$19:$T$93,HU$244+$FJ263-1)))</f>
        <v>0.80502271244233226</v>
      </c>
      <c r="HV263" s="479">
        <f ca="1">IF($FJ263+HV$244&gt;73,"",PRODUCT(INDEX($T$19:$T$93,HV$244):INDEX($T$19:$T$93,HV$244+$FJ263-1)))</f>
        <v>0.77494152731165644</v>
      </c>
      <c r="HW263" s="479">
        <f ca="1">IF($FJ263+HW$244&gt;73,"",PRODUCT(INDEX($T$19:$T$93,HW$244):INDEX($T$19:$T$93,HW$244+$FJ263-1)))</f>
        <v>0.74082948160220119</v>
      </c>
      <c r="HX263" s="479">
        <f ca="1">IF($FJ263+HX$244&gt;73,"",PRODUCT(INDEX($T$19:$T$93,HX$244):INDEX($T$19:$T$93,HX$244+$FJ263-1)))</f>
        <v>0.70237323951379038</v>
      </c>
      <c r="HY263" s="479">
        <f ca="1">IF($FJ263+HY$244&gt;73,"",PRODUCT(INDEX($T$19:$T$93,HY$244):INDEX($T$19:$T$93,HY$244+$FJ263-1)))</f>
        <v>0.65932554959052492</v>
      </c>
      <c r="HZ263" s="479">
        <f ca="1">IF($FJ263+HZ$244&gt;73,"",PRODUCT(INDEX($T$19:$T$93,HZ$244):INDEX($T$19:$T$93,HZ$244+$FJ263-1)))</f>
        <v>0.61154907573896367</v>
      </c>
      <c r="IA263" s="479">
        <f ca="1">IF($FJ263+IA$244&gt;73,"",PRODUCT(INDEX($T$19:$T$93,IA$244):INDEX($T$19:$T$93,IA$244+$FJ263-1)))</f>
        <v>0.55907271968558381</v>
      </c>
      <c r="IB263" s="479">
        <f ca="1">IF($FJ263+IB$244&gt;73,"",PRODUCT(INDEX($T$19:$T$93,IB$244):INDEX($T$19:$T$93,IB$244+$FJ263-1)))</f>
        <v>0.50216048870515417</v>
      </c>
      <c r="IC263" s="479">
        <f ca="1">IF($FJ263+IC$244&gt;73,"",PRODUCT(INDEX($T$19:$T$93,IC$244):INDEX($T$19:$T$93,IC$244+$FJ263-1)))</f>
        <v>0.44139033938995392</v>
      </c>
      <c r="ID263" s="678">
        <f ca="1">IF($FJ263+ID$244&gt;73,"",PRODUCT(INDEX($T$19:$T$93,ID$244):INDEX($T$19:$T$93,ID$244+$FJ263-1)))</f>
        <v>0.37773586085123645</v>
      </c>
      <c r="IE263" s="250"/>
    </row>
    <row r="264" spans="8:239">
      <c r="I264" s="137"/>
      <c r="J264" s="375"/>
      <c r="K264" s="138"/>
      <c r="L264" s="1"/>
      <c r="M264" s="376"/>
      <c r="P264" s="375"/>
      <c r="S264" s="55"/>
      <c r="T264" s="375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06"/>
      <c r="AM264" s="106"/>
      <c r="AN264" s="106"/>
      <c r="AO264" s="374"/>
      <c r="AP264" s="31"/>
      <c r="AQ264" s="374"/>
      <c r="AR264" s="31"/>
      <c r="AS264" s="31"/>
      <c r="AT264" s="31"/>
      <c r="AU264" s="31"/>
      <c r="AV264" s="154"/>
      <c r="AW264" s="106"/>
      <c r="AX264" s="106"/>
      <c r="AY264" s="106"/>
      <c r="AZ264" s="106"/>
      <c r="BA264" s="106"/>
      <c r="BB264" s="106"/>
      <c r="BC264" s="107"/>
      <c r="BD264" s="107"/>
      <c r="BE264" s="107"/>
      <c r="BF264" s="105"/>
      <c r="BG264" s="107"/>
      <c r="BH264" s="107"/>
      <c r="BI264" s="160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7"/>
      <c r="BW264" s="107"/>
      <c r="BX264" s="107"/>
      <c r="BY264" s="107"/>
      <c r="BZ264" s="107"/>
      <c r="CA264" s="107"/>
      <c r="CB264" s="107"/>
      <c r="CC264" s="107"/>
      <c r="CD264" s="107"/>
      <c r="CE264" s="107"/>
      <c r="CF264" s="106"/>
      <c r="CG264" s="106"/>
      <c r="CH264" s="106"/>
      <c r="CI264" s="106"/>
      <c r="CJ264" s="106"/>
      <c r="CK264" s="106"/>
      <c r="CL264" s="110"/>
      <c r="CM264" s="1"/>
      <c r="CN264" s="53"/>
      <c r="CO264" s="53"/>
      <c r="CP264" s="53"/>
      <c r="CQ264" s="53"/>
      <c r="CR264" s="53"/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H264" s="475"/>
      <c r="DK264" s="475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3"/>
      <c r="EL264" s="55"/>
      <c r="EM264" s="1"/>
      <c r="EN264" s="106"/>
      <c r="EO264" s="106"/>
      <c r="EP264" s="1"/>
      <c r="EQ264" s="106"/>
      <c r="ER264" s="1"/>
      <c r="ES264" s="1"/>
      <c r="ET264" s="1"/>
      <c r="EU264" s="106"/>
      <c r="FJ264" s="673">
        <v>20</v>
      </c>
      <c r="FK264" s="479" t="str">
        <f ca="1">IF($FJ264+FK$244&gt;73,"",PRODUCT(INDEX($T$19:$T$93,FK$244):INDEX($T$19:$T$93,FK$244+$FJ264-1)))</f>
        <v/>
      </c>
      <c r="FL264" s="479" t="str">
        <f ca="1">IF($FJ264+FL$244&gt;73,"",PRODUCT(INDEX($T$19:$T$93,FL$244):INDEX($T$19:$T$93,FL$244+$FJ264-1)))</f>
        <v/>
      </c>
      <c r="FM264" s="479" t="str">
        <f ca="1">IF($FJ264+FM$244&gt;73,"",PRODUCT(INDEX($T$19:$T$93,FM$244):INDEX($T$19:$T$93,FM$244+$FJ264-1)))</f>
        <v/>
      </c>
      <c r="FN264" s="479" t="str">
        <f ca="1">IF($FJ264+FN$244&gt;73,"",PRODUCT(INDEX($T$19:$T$93,FN$244):INDEX($T$19:$T$93,FN$244+$FJ264-1)))</f>
        <v/>
      </c>
      <c r="FO264" s="479" t="str">
        <f ca="1">IF($FJ264+FO$244&gt;73,"",PRODUCT(INDEX($T$19:$T$93,FO$244):INDEX($T$19:$T$93,FO$244+$FJ264-1)))</f>
        <v/>
      </c>
      <c r="FP264" s="479" t="str">
        <f ca="1">IF($FJ264+FP$244&gt;73,"",PRODUCT(INDEX($T$19:$T$93,FP$244):INDEX($T$19:$T$93,FP$244+$FJ264-1)))</f>
        <v/>
      </c>
      <c r="FQ264" s="479" t="str">
        <f ca="1">IF($FJ264+FQ$244&gt;73,"",PRODUCT(INDEX($T$19:$T$93,FQ$244):INDEX($T$19:$T$93,FQ$244+$FJ264-1)))</f>
        <v/>
      </c>
      <c r="FR264" s="479" t="str">
        <f ca="1">IF($FJ264+FR$244&gt;73,"",PRODUCT(INDEX($T$19:$T$93,FR$244):INDEX($T$19:$T$93,FR$244+$FJ264-1)))</f>
        <v/>
      </c>
      <c r="FS264" s="479" t="str">
        <f ca="1">IF($FJ264+FS$244&gt;73,"",PRODUCT(INDEX($T$19:$T$93,FS$244):INDEX($T$19:$T$93,FS$244+$FJ264-1)))</f>
        <v/>
      </c>
      <c r="FT264" s="479" t="str">
        <f ca="1">IF($FJ264+FT$244&gt;73,"",PRODUCT(INDEX($T$19:$T$93,FT$244):INDEX($T$19:$T$93,FT$244+$FJ264-1)))</f>
        <v/>
      </c>
      <c r="FU264" s="479" t="str">
        <f ca="1">IF($FJ264+FU$244&gt;73,"",PRODUCT(INDEX($T$19:$T$93,FU$244):INDEX($T$19:$T$93,FU$244+$FJ264-1)))</f>
        <v/>
      </c>
      <c r="FV264" s="479" t="str">
        <f ca="1">IF($FJ264+FV$244&gt;73,"",PRODUCT(INDEX($T$19:$T$93,FV$244):INDEX($T$19:$T$93,FV$244+$FJ264-1)))</f>
        <v/>
      </c>
      <c r="FW264" s="479" t="str">
        <f ca="1">IF($FJ264+FW$244&gt;73,"",PRODUCT(INDEX($T$19:$T$93,FW$244):INDEX($T$19:$T$93,FW$244+$FJ264-1)))</f>
        <v/>
      </c>
      <c r="FX264" s="479" t="str">
        <f ca="1">IF($FJ264+FX$244&gt;73,"",PRODUCT(INDEX($T$19:$T$93,FX$244):INDEX($T$19:$T$93,FX$244+$FJ264-1)))</f>
        <v/>
      </c>
      <c r="FY264" s="479" t="str">
        <f ca="1">IF($FJ264+FY$244&gt;73,"",PRODUCT(INDEX($T$19:$T$93,FY$244):INDEX($T$19:$T$93,FY$244+$FJ264-1)))</f>
        <v/>
      </c>
      <c r="FZ264" s="479" t="str">
        <f ca="1">IF($FJ264+FZ$244&gt;73,"",PRODUCT(INDEX($T$19:$T$93,FZ$244):INDEX($T$19:$T$93,FZ$244+$FJ264-1)))</f>
        <v/>
      </c>
      <c r="GA264" s="479" t="str">
        <f ca="1">IF($FJ264+GA$244&gt;73,"",PRODUCT(INDEX($T$19:$T$93,GA$244):INDEX($T$19:$T$93,GA$244+$FJ264-1)))</f>
        <v/>
      </c>
      <c r="GB264" s="479" t="str">
        <f ca="1">IF($FJ264+GB$244&gt;73,"",PRODUCT(INDEX($T$19:$T$93,GB$244):INDEX($T$19:$T$93,GB$244+$FJ264-1)))</f>
        <v/>
      </c>
      <c r="GC264" s="479" t="str">
        <f ca="1">IF($FJ264+GC$244&gt;73,"",PRODUCT(INDEX($T$19:$T$93,GC$244):INDEX($T$19:$T$93,GC$244+$FJ264-1)))</f>
        <v/>
      </c>
      <c r="GD264" s="479">
        <f ca="1">IF($FJ264+GD$244&gt;73,"",PRODUCT(INDEX($T$19:$T$93,GD$244):INDEX($T$19:$T$93,GD$244+$FJ264-1)))</f>
        <v>0.99974880274585565</v>
      </c>
      <c r="GE264" s="479">
        <f ca="1">IF($FJ264+GE$244&gt;73,"",PRODUCT(INDEX($T$19:$T$93,GE$244):INDEX($T$19:$T$93,GE$244+$FJ264-1)))</f>
        <v>0.99970620515376063</v>
      </c>
      <c r="GF264" s="479">
        <f ca="1">IF($FJ264+GF$244&gt;73,"",PRODUCT(INDEX($T$19:$T$93,GF$244):INDEX($T$19:$T$93,GF$244+$FJ264-1)))</f>
        <v>0.99965638462566242</v>
      </c>
      <c r="GG264" s="479">
        <f ca="1">IF($FJ264+GG$244&gt;73,"",PRODUCT(INDEX($T$19:$T$93,GG$244):INDEX($T$19:$T$93,GG$244+$FJ264-1)))</f>
        <v>0.99959811669103737</v>
      </c>
      <c r="GH264" s="479">
        <f ca="1">IF($FJ264+GH$244&gt;73,"",PRODUCT(INDEX($T$19:$T$93,GH$244):INDEX($T$19:$T$93,GH$244+$FJ264-1)))</f>
        <v>0.99952996940224581</v>
      </c>
      <c r="GI264" s="479">
        <f ca="1">IF($FJ264+GI$244&gt;73,"",PRODUCT(INDEX($T$19:$T$93,GI$244):INDEX($T$19:$T$93,GI$244+$FJ264-1)))</f>
        <v>0.99945026821786032</v>
      </c>
      <c r="GJ264" s="479">
        <f ca="1">IF($FJ264+GJ$244&gt;73,"",PRODUCT(INDEX($T$19:$T$93,GJ$244):INDEX($T$19:$T$93,GJ$244+$FJ264-1)))</f>
        <v>0.99935705495699856</v>
      </c>
      <c r="GK264" s="479">
        <f ca="1">IF($FJ264+GK$244&gt;73,"",PRODUCT(INDEX($T$19:$T$93,GK$244):INDEX($T$19:$T$93,GK$244+$FJ264-1)))</f>
        <v>0.99924803982920052</v>
      </c>
      <c r="GL264" s="479">
        <f ca="1">IF($FJ264+GL$244&gt;73,"",PRODUCT(INDEX($T$19:$T$93,GL$244):INDEX($T$19:$T$93,GL$244+$FJ264-1)))</f>
        <v>0.99912054537934647</v>
      </c>
      <c r="GM264" s="479">
        <f ca="1">IF($FJ264+GM$244&gt;73,"",PRODUCT(INDEX($T$19:$T$93,GM$244):INDEX($T$19:$T$93,GM$244+$FJ264-1)))</f>
        <v>0.99897144099554025</v>
      </c>
      <c r="GN264" s="479">
        <f ca="1">IF($FJ264+GN$244&gt;73,"",PRODUCT(INDEX($T$19:$T$93,GN$244):INDEX($T$19:$T$93,GN$244+$FJ264-1)))</f>
        <v>0.9987970664057455</v>
      </c>
      <c r="GO264" s="479">
        <f ca="1">IF($FJ264+GO$244&gt;73,"",PRODUCT(INDEX($T$19:$T$93,GO$244):INDEX($T$19:$T$93,GO$244+$FJ264-1)))</f>
        <v>0.998593142331893</v>
      </c>
      <c r="GP264" s="479">
        <f ca="1">IF($FJ264+GP$244&gt;73,"",PRODUCT(INDEX($T$19:$T$93,GP$244):INDEX($T$19:$T$93,GP$244+$FJ264-1)))</f>
        <v>0.99835466617319713</v>
      </c>
      <c r="GQ264" s="479">
        <f ca="1">IF($FJ264+GQ$244&gt;73,"",PRODUCT(INDEX($T$19:$T$93,GQ$244):INDEX($T$19:$T$93,GQ$244+$FJ264-1)))</f>
        <v>0.99807579024819193</v>
      </c>
      <c r="GR264" s="479">
        <f ca="1">IF($FJ264+GR$244&gt;73,"",PRODUCT(INDEX($T$19:$T$93,GR$244):INDEX($T$19:$T$93,GR$244+$FJ264-1)))</f>
        <v>0.997749679731744</v>
      </c>
      <c r="GS264" s="479">
        <f ca="1">IF($FJ264+GS$244&gt;73,"",PRODUCT(INDEX($T$19:$T$93,GS$244):INDEX($T$19:$T$93,GS$244+$FJ264-1)))</f>
        <v>0.99736834697298171</v>
      </c>
      <c r="GT264" s="479">
        <f ca="1">IF($FJ264+GT$244&gt;73,"",PRODUCT(INDEX($T$19:$T$93,GT$244):INDEX($T$19:$T$93,GT$244+$FJ264-1)))</f>
        <v>0.99692245836663407</v>
      </c>
      <c r="GU264" s="479">
        <f ca="1">IF($FJ264+GU$244&gt;73,"",PRODUCT(INDEX($T$19:$T$93,GU$244):INDEX($T$19:$T$93,GU$244+$FJ264-1)))</f>
        <v>0.99640110936792625</v>
      </c>
      <c r="GV264" s="479">
        <f ca="1">IF($FJ264+GV$244&gt;73,"",PRODUCT(INDEX($T$19:$T$93,GV$244):INDEX($T$19:$T$93,GV$244+$FJ264-1)))</f>
        <v>0.99579156258497226</v>
      </c>
      <c r="GW264" s="479">
        <f ca="1">IF($FJ264+GW$244&gt;73,"",PRODUCT(INDEX($T$19:$T$93,GW$244):INDEX($T$19:$T$93,GW$244+$FJ264-1)))</f>
        <v>0.99507894314937451</v>
      </c>
      <c r="GX264" s="479">
        <f ca="1">IF($FJ264+GX$244&gt;73,"",PRODUCT(INDEX($T$19:$T$93,GX$244):INDEX($T$19:$T$93,GX$244+$FJ264-1)))</f>
        <v>0.99424588475500364</v>
      </c>
      <c r="GY264" s="479">
        <f ca="1">IF($FJ264+GY$244&gt;73,"",PRODUCT(INDEX($T$19:$T$93,GY$244):INDEX($T$19:$T$93,GY$244+$FJ264-1)))</f>
        <v>0.99327211887101552</v>
      </c>
      <c r="GZ264" s="479">
        <f ca="1">IF($FJ264+GZ$244&gt;73,"",PRODUCT(INDEX($T$19:$T$93,GZ$244):INDEX($T$19:$T$93,GZ$244+$FJ264-1)))</f>
        <v>0.9921339986893607</v>
      </c>
      <c r="HA264" s="479">
        <f ca="1">IF($FJ264+HA$244&gt;73,"",PRODUCT(INDEX($T$19:$T$93,HA$244):INDEX($T$19:$T$93,HA$244+$FJ264-1)))</f>
        <v>0.99080394838130592</v>
      </c>
      <c r="HB264" s="479">
        <f ca="1">IF($FJ264+HB$244&gt;73,"",PRODUCT(INDEX($T$19:$T$93,HB$244):INDEX($T$19:$T$93,HB$244+$FJ264-1)))</f>
        <v>0.98924982724930099</v>
      </c>
      <c r="HC264" s="479">
        <f ca="1">IF($FJ264+HC$244&gt;73,"",PRODUCT(INDEX($T$19:$T$93,HC$244):INDEX($T$19:$T$93,HC$244+$FJ264-1)))</f>
        <v>0.9874341974297336</v>
      </c>
      <c r="HD264" s="479">
        <f ca="1">IF($FJ264+HD$244&gt;73,"",PRODUCT(INDEX($T$19:$T$93,HD$244):INDEX($T$19:$T$93,HD$244+$FJ264-1)))</f>
        <v>0.98531348302036803</v>
      </c>
      <c r="HE264" s="479">
        <f ca="1">IF($FJ264+HE$244&gt;73,"",PRODUCT(INDEX($T$19:$T$93,HE$244):INDEX($T$19:$T$93,HE$244+$FJ264-1)))</f>
        <v>0.98283700800997409</v>
      </c>
      <c r="HF264" s="479">
        <f ca="1">IF($FJ264+HF$244&gt;73,"",PRODUCT(INDEX($T$19:$T$93,HF$244):INDEX($T$19:$T$93,HF$244+$FJ264-1)))</f>
        <v>0.97994590037549922</v>
      </c>
      <c r="HG264" s="479">
        <f ca="1">IF($FJ264+HG$244&gt;73,"",PRODUCT(INDEX($T$19:$T$93,HG$244):INDEX($T$19:$T$93,HG$244+$FJ264-1)))</f>
        <v>0.97657185046889561</v>
      </c>
      <c r="HH264" s="479">
        <f ca="1">IF($FJ264+HH$244&gt;73,"",PRODUCT(INDEX($T$19:$T$93,HH$244):INDEX($T$19:$T$93,HH$244+$FJ264-1)))</f>
        <v>0.97263571374375668</v>
      </c>
      <c r="HI264" s="479">
        <f ca="1">IF($FJ264+HI$244&gt;73,"",PRODUCT(INDEX($T$19:$T$93,HI$244):INDEX($T$19:$T$93,HI$244+$FJ264-1)))</f>
        <v>0.96804595153317674</v>
      </c>
      <c r="HJ264" s="479">
        <f ca="1">IF($FJ264+HJ$244&gt;73,"",PRODUCT(INDEX($T$19:$T$93,HJ$244):INDEX($T$19:$T$93,HJ$244+$FJ264-1)))</f>
        <v>0.96269690976055144</v>
      </c>
      <c r="HK264" s="479">
        <f ca="1">IF($FJ264+HK$244&gt;73,"",PRODUCT(INDEX($T$19:$T$93,HK$244):INDEX($T$19:$T$93,HK$244+$FJ264-1)))</f>
        <v>0.95646694520390885</v>
      </c>
      <c r="HL264" s="479">
        <f ca="1">IF($FJ264+HL$244&gt;73,"",PRODUCT(INDEX($T$19:$T$93,HL$244):INDEX($T$19:$T$93,HL$244+$FJ264-1)))</f>
        <v>0.94921642367176839</v>
      </c>
      <c r="HM264" s="479">
        <f ca="1">IF($FJ264+HM$244&gt;73,"",PRODUCT(INDEX($T$19:$T$93,HM$244):INDEX($T$19:$T$93,HM$244+$FJ264-1)))</f>
        <v>0.94078563608992882</v>
      </c>
      <c r="HN264" s="479">
        <f ca="1">IF($FJ264+HN$244&gt;73,"",PRODUCT(INDEX($T$19:$T$93,HN$244):INDEX($T$19:$T$93,HN$244+$FJ264-1)))</f>
        <v>0.93099270954428626</v>
      </c>
      <c r="HO264" s="479">
        <f ca="1">IF($FJ264+HO$244&gt;73,"",PRODUCT(INDEX($T$19:$T$93,HO$244):INDEX($T$19:$T$93,HO$244+$FJ264-1)))</f>
        <v>0.91963163399459835</v>
      </c>
      <c r="HP264" s="479">
        <f ca="1">IF($FJ264+HP$244&gt;73,"",PRODUCT(INDEX($T$19:$T$93,HP$244):INDEX($T$19:$T$93,HP$244+$FJ264-1)))</f>
        <v>0.90647058571281236</v>
      </c>
      <c r="HQ264" s="479">
        <f ca="1">IF($FJ264+HQ$244&gt;73,"",PRODUCT(INDEX($T$19:$T$93,HQ$244):INDEX($T$19:$T$93,HQ$244+$FJ264-1)))</f>
        <v>0.8912508104171023</v>
      </c>
      <c r="HR264" s="479">
        <f ca="1">IF($FJ264+HR$244&gt;73,"",PRODUCT(INDEX($T$19:$T$93,HR$244):INDEX($T$19:$T$93,HR$244+$FJ264-1)))</f>
        <v>0.87368643823020808</v>
      </c>
      <c r="HS264" s="479">
        <f ca="1">IF($FJ264+HS$244&gt;73,"",PRODUCT(INDEX($T$19:$T$93,HS$244):INDEX($T$19:$T$93,HS$244+$FJ264-1)))</f>
        <v>0.85346574497837291</v>
      </c>
      <c r="HT264" s="479">
        <f ca="1">IF($FJ264+HT$244&gt;73,"",PRODUCT(INDEX($T$19:$T$93,HT$244):INDEX($T$19:$T$93,HT$244+$FJ264-1)))</f>
        <v>0.8302545552908952</v>
      </c>
      <c r="HU264" s="479">
        <f ca="1">IF($FJ264+HU$244&gt;73,"",PRODUCT(INDEX($T$19:$T$93,HU$244):INDEX($T$19:$T$93,HU$244+$FJ264-1)))</f>
        <v>0.80370270512933573</v>
      </c>
      <c r="HV264" s="479">
        <f ca="1">IF($FJ264+HV$244&gt;73,"",PRODUCT(INDEX($T$19:$T$93,HV$244):INDEX($T$19:$T$93,HV$244+$FJ264-1)))</f>
        <v>0.77345474112386736</v>
      </c>
      <c r="HW264" s="479">
        <f ca="1">IF($FJ264+HW$244&gt;73,"",PRODUCT(INDEX($T$19:$T$93,HW$244):INDEX($T$19:$T$93,HW$244+$FJ264-1)))</f>
        <v>0.7391663151482083</v>
      </c>
      <c r="HX264" s="479">
        <f ca="1">IF($FJ264+HX$244&gt;73,"",PRODUCT(INDEX($T$19:$T$93,HX$244):INDEX($T$19:$T$93,HX$244+$FJ264-1)))</f>
        <v>0.70052799569673296</v>
      </c>
      <c r="HY264" s="479">
        <f ca="1">IF($FJ264+HY$244&gt;73,"",PRODUCT(INDEX($T$19:$T$93,HY$244):INDEX($T$19:$T$93,HY$244+$FJ264-1)))</f>
        <v>0.65729838468041346</v>
      </c>
      <c r="HZ264" s="479">
        <f ca="1">IF($FJ264+HZ$244&gt;73,"",PRODUCT(INDEX($T$19:$T$93,HZ$244):INDEX($T$19:$T$93,HZ$244+$FJ264-1)))</f>
        <v>0.60934835905228524</v>
      </c>
      <c r="IA264" s="479">
        <f ca="1">IF($FJ264+IA$244&gt;73,"",PRODUCT(INDEX($T$19:$T$93,IA$244):INDEX($T$19:$T$93,IA$244+$FJ264-1)))</f>
        <v>0.55671771880232512</v>
      </c>
      <c r="IB264" s="479">
        <f ca="1">IF($FJ264+IB$244&gt;73,"",PRODUCT(INDEX($T$19:$T$93,IB$244):INDEX($T$19:$T$93,IB$244+$FJ264-1)))</f>
        <v>0.49968415886760442</v>
      </c>
      <c r="IC264" s="479">
        <f ca="1">IF($FJ264+IC$244&gt;73,"",PRODUCT(INDEX($T$19:$T$93,IC$244):INDEX($T$19:$T$93,IC$244+$FJ264-1)))</f>
        <v>0.43884178952416619</v>
      </c>
      <c r="ID264" s="678">
        <f ca="1">IF($FJ264+ID$244&gt;73,"",PRODUCT(INDEX($T$19:$T$93,ID$244):INDEX($T$19:$T$93,ID$244+$FJ264-1)))</f>
        <v>0.37518178848146094</v>
      </c>
      <c r="IE264" s="250"/>
    </row>
    <row r="265" spans="8:239">
      <c r="I265" s="137"/>
      <c r="J265" s="375"/>
      <c r="K265" s="138"/>
      <c r="L265" s="1"/>
      <c r="M265" s="376"/>
      <c r="P265" s="375"/>
      <c r="S265" s="55"/>
      <c r="T265" s="375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06"/>
      <c r="AM265" s="106"/>
      <c r="AN265" s="106"/>
      <c r="AO265" s="374"/>
      <c r="AP265" s="31"/>
      <c r="AQ265" s="374"/>
      <c r="AR265" s="31"/>
      <c r="AS265" s="31"/>
      <c r="AT265" s="31"/>
      <c r="AU265" s="31"/>
      <c r="AV265" s="154"/>
      <c r="AW265" s="106"/>
      <c r="AX265" s="106"/>
      <c r="AY265" s="106"/>
      <c r="AZ265" s="106"/>
      <c r="BA265" s="106"/>
      <c r="BB265" s="106"/>
      <c r="BC265" s="107"/>
      <c r="BD265" s="107"/>
      <c r="BE265" s="107"/>
      <c r="BF265" s="105"/>
      <c r="BG265" s="107"/>
      <c r="BH265" s="107"/>
      <c r="BI265" s="160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7"/>
      <c r="BW265" s="107"/>
      <c r="BX265" s="107"/>
      <c r="BY265" s="107"/>
      <c r="BZ265" s="107"/>
      <c r="CA265" s="107"/>
      <c r="CB265" s="107"/>
      <c r="CC265" s="107"/>
      <c r="CD265" s="107"/>
      <c r="CE265" s="107"/>
      <c r="CF265" s="106"/>
      <c r="CG265" s="106"/>
      <c r="CH265" s="106"/>
      <c r="CI265" s="106"/>
      <c r="CJ265" s="106"/>
      <c r="CK265" s="106"/>
      <c r="CL265" s="110"/>
      <c r="CM265" s="1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H265" s="475"/>
      <c r="DK265" s="475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3"/>
      <c r="EL265" s="55"/>
      <c r="EM265" s="1"/>
      <c r="EN265" s="106"/>
      <c r="EO265" s="106"/>
      <c r="EP265" s="1"/>
      <c r="EQ265" s="106"/>
      <c r="ER265" s="1"/>
      <c r="ES265" s="1"/>
      <c r="ET265" s="1"/>
      <c r="EU265" s="106"/>
      <c r="FJ265" s="673">
        <v>21</v>
      </c>
      <c r="FK265" s="479" t="str">
        <f ca="1">IF($FJ265+FK$244&gt;73,"",PRODUCT(INDEX($T$19:$T$93,FK$244):INDEX($T$19:$T$93,FK$244+$FJ265-1)))</f>
        <v/>
      </c>
      <c r="FL265" s="479" t="str">
        <f ca="1">IF($FJ265+FL$244&gt;73,"",PRODUCT(INDEX($T$19:$T$93,FL$244):INDEX($T$19:$T$93,FL$244+$FJ265-1)))</f>
        <v/>
      </c>
      <c r="FM265" s="479" t="str">
        <f ca="1">IF($FJ265+FM$244&gt;73,"",PRODUCT(INDEX($T$19:$T$93,FM$244):INDEX($T$19:$T$93,FM$244+$FJ265-1)))</f>
        <v/>
      </c>
      <c r="FN265" s="479" t="str">
        <f ca="1">IF($FJ265+FN$244&gt;73,"",PRODUCT(INDEX($T$19:$T$93,FN$244):INDEX($T$19:$T$93,FN$244+$FJ265-1)))</f>
        <v/>
      </c>
      <c r="FO265" s="479" t="str">
        <f ca="1">IF($FJ265+FO$244&gt;73,"",PRODUCT(INDEX($T$19:$T$93,FO$244):INDEX($T$19:$T$93,FO$244+$FJ265-1)))</f>
        <v/>
      </c>
      <c r="FP265" s="479" t="str">
        <f ca="1">IF($FJ265+FP$244&gt;73,"",PRODUCT(INDEX($T$19:$T$93,FP$244):INDEX($T$19:$T$93,FP$244+$FJ265-1)))</f>
        <v/>
      </c>
      <c r="FQ265" s="479" t="str">
        <f ca="1">IF($FJ265+FQ$244&gt;73,"",PRODUCT(INDEX($T$19:$T$93,FQ$244):INDEX($T$19:$T$93,FQ$244+$FJ265-1)))</f>
        <v/>
      </c>
      <c r="FR265" s="479" t="str">
        <f ca="1">IF($FJ265+FR$244&gt;73,"",PRODUCT(INDEX($T$19:$T$93,FR$244):INDEX($T$19:$T$93,FR$244+$FJ265-1)))</f>
        <v/>
      </c>
      <c r="FS265" s="479" t="str">
        <f ca="1">IF($FJ265+FS$244&gt;73,"",PRODUCT(INDEX($T$19:$T$93,FS$244):INDEX($T$19:$T$93,FS$244+$FJ265-1)))</f>
        <v/>
      </c>
      <c r="FT265" s="479" t="str">
        <f ca="1">IF($FJ265+FT$244&gt;73,"",PRODUCT(INDEX($T$19:$T$93,FT$244):INDEX($T$19:$T$93,FT$244+$FJ265-1)))</f>
        <v/>
      </c>
      <c r="FU265" s="479" t="str">
        <f ca="1">IF($FJ265+FU$244&gt;73,"",PRODUCT(INDEX($T$19:$T$93,FU$244):INDEX($T$19:$T$93,FU$244+$FJ265-1)))</f>
        <v/>
      </c>
      <c r="FV265" s="479" t="str">
        <f ca="1">IF($FJ265+FV$244&gt;73,"",PRODUCT(INDEX($T$19:$T$93,FV$244):INDEX($T$19:$T$93,FV$244+$FJ265-1)))</f>
        <v/>
      </c>
      <c r="FW265" s="479" t="str">
        <f ca="1">IF($FJ265+FW$244&gt;73,"",PRODUCT(INDEX($T$19:$T$93,FW$244):INDEX($T$19:$T$93,FW$244+$FJ265-1)))</f>
        <v/>
      </c>
      <c r="FX265" s="479" t="str">
        <f ca="1">IF($FJ265+FX$244&gt;73,"",PRODUCT(INDEX($T$19:$T$93,FX$244):INDEX($T$19:$T$93,FX$244+$FJ265-1)))</f>
        <v/>
      </c>
      <c r="FY265" s="479" t="str">
        <f ca="1">IF($FJ265+FY$244&gt;73,"",PRODUCT(INDEX($T$19:$T$93,FY$244):INDEX($T$19:$T$93,FY$244+$FJ265-1)))</f>
        <v/>
      </c>
      <c r="FZ265" s="479" t="str">
        <f ca="1">IF($FJ265+FZ$244&gt;73,"",PRODUCT(INDEX($T$19:$T$93,FZ$244):INDEX($T$19:$T$93,FZ$244+$FJ265-1)))</f>
        <v/>
      </c>
      <c r="GA265" s="479" t="str">
        <f ca="1">IF($FJ265+GA$244&gt;73,"",PRODUCT(INDEX($T$19:$T$93,GA$244):INDEX($T$19:$T$93,GA$244+$FJ265-1)))</f>
        <v/>
      </c>
      <c r="GB265" s="479" t="str">
        <f ca="1">IF($FJ265+GB$244&gt;73,"",PRODUCT(INDEX($T$19:$T$93,GB$244):INDEX($T$19:$T$93,GB$244+$FJ265-1)))</f>
        <v/>
      </c>
      <c r="GC265" s="479" t="str">
        <f ca="1">IF($FJ265+GC$244&gt;73,"",PRODUCT(INDEX($T$19:$T$93,GC$244):INDEX($T$19:$T$93,GC$244+$FJ265-1)))</f>
        <v/>
      </c>
      <c r="GD265" s="479" t="str">
        <f ca="1">IF($FJ265+GD$244&gt;73,"",PRODUCT(INDEX($T$19:$T$93,GD$244):INDEX($T$19:$T$93,GD$244+$FJ265-1)))</f>
        <v/>
      </c>
      <c r="GE265" s="479">
        <f ca="1">IF($FJ265+GE$244&gt;73,"",PRODUCT(INDEX($T$19:$T$93,GE$244):INDEX($T$19:$T$93,GE$244+$FJ265-1)))</f>
        <v>0.99970426430752224</v>
      </c>
      <c r="GF265" s="479">
        <f ca="1">IF($FJ265+GF$244&gt;73,"",PRODUCT(INDEX($T$19:$T$93,GF$244):INDEX($T$19:$T$93,GF$244+$FJ265-1)))</f>
        <v>0.99965411474060928</v>
      </c>
      <c r="GG265" s="479">
        <f ca="1">IF($FJ265+GG$244&gt;73,"",PRODUCT(INDEX($T$19:$T$93,GG$244):INDEX($T$19:$T$93,GG$244+$FJ265-1)))</f>
        <v>0.99959546200601235</v>
      </c>
      <c r="GH265" s="479">
        <f ca="1">IF($FJ265+GH$244&gt;73,"",PRODUCT(INDEX($T$19:$T$93,GH$244):INDEX($T$19:$T$93,GH$244+$FJ265-1)))</f>
        <v>0.99952686471453667</v>
      </c>
      <c r="GI265" s="479">
        <f ca="1">IF($FJ265+GI$244&gt;73,"",PRODUCT(INDEX($T$19:$T$93,GI$244):INDEX($T$19:$T$93,GI$244+$FJ265-1)))</f>
        <v>0.99944663728753225</v>
      </c>
      <c r="GJ265" s="479">
        <f ca="1">IF($FJ265+GJ$244&gt;73,"",PRODUCT(INDEX($T$19:$T$93,GJ$244):INDEX($T$19:$T$93,GJ$244+$FJ265-1)))</f>
        <v>0.99935280864265308</v>
      </c>
      <c r="GK265" s="479">
        <f ca="1">IF($FJ265+GK$244&gt;73,"",PRODUCT(INDEX($T$19:$T$93,GK$244):INDEX($T$19:$T$93,GK$244+$FJ265-1)))</f>
        <v>0.99924307391036393</v>
      </c>
      <c r="GL265" s="479">
        <f ca="1">IF($FJ265+GL$244&gt;73,"",PRODUCT(INDEX($T$19:$T$93,GL$244):INDEX($T$19:$T$93,GL$244+$FJ265-1)))</f>
        <v>0.99911473801336848</v>
      </c>
      <c r="GM265" s="479">
        <f ca="1">IF($FJ265+GM$244&gt;73,"",PRODUCT(INDEX($T$19:$T$93,GM$244):INDEX($T$19:$T$93,GM$244+$FJ265-1)))</f>
        <v>0.99896464974842203</v>
      </c>
      <c r="GN265" s="479">
        <f ca="1">IF($FJ265+GN$244&gt;73,"",PRODUCT(INDEX($T$19:$T$93,GN$244):INDEX($T$19:$T$93,GN$244+$FJ265-1)))</f>
        <v>0.99878912478655824</v>
      </c>
      <c r="GO265" s="479">
        <f ca="1">IF($FJ265+GO$244&gt;73,"",PRODUCT(INDEX($T$19:$T$93,GO$244):INDEX($T$19:$T$93,GO$244+$FJ265-1)))</f>
        <v>0.99858385574922481</v>
      </c>
      <c r="GP265" s="479">
        <f ca="1">IF($FJ265+GP$244&gt;73,"",PRODUCT(INDEX($T$19:$T$93,GP$244):INDEX($T$19:$T$93,GP$244+$FJ265-1)))</f>
        <v>0.99834380721919591</v>
      </c>
      <c r="GQ265" s="479">
        <f ca="1">IF($FJ265+GQ$244&gt;73,"",PRODUCT(INDEX($T$19:$T$93,GQ$244):INDEX($T$19:$T$93,GQ$244+$FJ265-1)))</f>
        <v>0.99806309320107767</v>
      </c>
      <c r="GR265" s="479">
        <f ca="1">IF($FJ265+GR$244&gt;73,"",PRODUCT(INDEX($T$19:$T$93,GR$244):INDEX($T$19:$T$93,GR$244+$FJ265-1)))</f>
        <v>0.99773483415095165</v>
      </c>
      <c r="GS265" s="479">
        <f ca="1">IF($FJ265+GS$244&gt;73,"",PRODUCT(INDEX($T$19:$T$93,GS$244):INDEX($T$19:$T$93,GS$244+$FJ265-1)))</f>
        <v>0.99735099024221796</v>
      </c>
      <c r="GT265" s="479">
        <f ca="1">IF($FJ265+GT$244&gt;73,"",PRODUCT(INDEX($T$19:$T$93,GT$244):INDEX($T$19:$T$93,GT$244+$FJ265-1)))</f>
        <v>0.99690216701894208</v>
      </c>
      <c r="GU265" s="479">
        <f ca="1">IF($FJ265+GU$244&gt;73,"",PRODUCT(INDEX($T$19:$T$93,GU$244):INDEX($T$19:$T$93,GU$244+$FJ265-1)))</f>
        <v>0.99637738900329831</v>
      </c>
      <c r="GV265" s="479">
        <f ca="1">IF($FJ265+GV$244&gt;73,"",PRODUCT(INDEX($T$19:$T$93,GV$244):INDEX($T$19:$T$93,GV$244+$FJ265-1)))</f>
        <v>0.9957638361651745</v>
      </c>
      <c r="GW265" s="479">
        <f ca="1">IF($FJ265+GW$244&gt;73,"",PRODUCT(INDEX($T$19:$T$93,GW$244):INDEX($T$19:$T$93,GW$244+$FJ265-1)))</f>
        <v>0.99504653742664972</v>
      </c>
      <c r="GX265" s="479">
        <f ca="1">IF($FJ265+GX$244&gt;73,"",PRODUCT(INDEX($T$19:$T$93,GX$244):INDEX($T$19:$T$93,GX$244+$FJ265-1)))</f>
        <v>0.99420801456167551</v>
      </c>
      <c r="GY265" s="479">
        <f ca="1">IF($FJ265+GY$244&gt;73,"",PRODUCT(INDEX($T$19:$T$93,GY$244):INDEX($T$19:$T$93,GY$244+$FJ265-1)))</f>
        <v>0.99322786896654658</v>
      </c>
      <c r="GZ265" s="479">
        <f ca="1">IF($FJ265+GZ$244&gt;73,"",PRODUCT(INDEX($T$19:$T$93,GZ$244):INDEX($T$19:$T$93,GZ$244+$FJ265-1)))</f>
        <v>0.99208230283149101</v>
      </c>
      <c r="HA265" s="479">
        <f ca="1">IF($FJ265+HA$244&gt;73,"",PRODUCT(INDEX($T$19:$T$93,HA$244):INDEX($T$19:$T$93,HA$244+$FJ265-1)))</f>
        <v>0.99074356526064211</v>
      </c>
      <c r="HB265" s="479">
        <f ca="1">IF($FJ265+HB$244&gt;73,"",PRODUCT(INDEX($T$19:$T$93,HB$244):INDEX($T$19:$T$93,HB$244+$FJ265-1)))</f>
        <v>0.98917931290531858</v>
      </c>
      <c r="HC265" s="479">
        <f ca="1">IF($FJ265+HC$244&gt;73,"",PRODUCT(INDEX($T$19:$T$93,HC$244):INDEX($T$19:$T$93,HC$244+$FJ265-1)))</f>
        <v>0.98735187375527522</v>
      </c>
      <c r="HD265" s="479">
        <f ca="1">IF($FJ265+HD$244&gt;73,"",PRODUCT(INDEX($T$19:$T$93,HD$244):INDEX($T$19:$T$93,HD$244+$FJ265-1)))</f>
        <v>0.98521740196805896</v>
      </c>
      <c r="HE265" s="479">
        <f ca="1">IF($FJ265+HE$244&gt;73,"",PRODUCT(INDEX($T$19:$T$93,HE$244):INDEX($T$19:$T$93,HE$244+$FJ265-1)))</f>
        <v>0.98272491114700722</v>
      </c>
      <c r="HF265" s="479">
        <f ca="1">IF($FJ265+HF$244&gt;73,"",PRODUCT(INDEX($T$19:$T$93,HF$244):INDEX($T$19:$T$93,HF$244+$FJ265-1)))</f>
        <v>0.9798151735061631</v>
      </c>
      <c r="HG265" s="479">
        <f ca="1">IF($FJ265+HG$244&gt;73,"",PRODUCT(INDEX($T$19:$T$93,HG$244):INDEX($T$19:$T$93,HG$244+$FJ265-1)))</f>
        <v>0.97641947317520872</v>
      </c>
      <c r="HH265" s="479">
        <f ca="1">IF($FJ265+HH$244&gt;73,"",PRODUCT(INDEX($T$19:$T$93,HH$244):INDEX($T$19:$T$93,HH$244+$FJ265-1)))</f>
        <v>0.97245820390836701</v>
      </c>
      <c r="HI265" s="479">
        <f ca="1">IF($FJ265+HI$244&gt;73,"",PRODUCT(INDEX($T$19:$T$93,HI$244):INDEX($T$19:$T$93,HI$244+$FJ265-1)))</f>
        <v>0.96783930523853834</v>
      </c>
      <c r="HJ265" s="479">
        <f ca="1">IF($FJ265+HJ$244&gt;73,"",PRODUCT(INDEX($T$19:$T$93,HJ$244):INDEX($T$19:$T$93,HJ$244+$FJ265-1)))</f>
        <v>0.96245653744843251</v>
      </c>
      <c r="HK265" s="479">
        <f ca="1">IF($FJ265+HK$244&gt;73,"",PRODUCT(INDEX($T$19:$T$93,HK$244):INDEX($T$19:$T$93,HK$244+$FJ265-1)))</f>
        <v>0.95618760568720562</v>
      </c>
      <c r="HL265" s="479">
        <f ca="1">IF($FJ265+HL$244&gt;73,"",PRODUCT(INDEX($T$19:$T$93,HL$244):INDEX($T$19:$T$93,HL$244+$FJ265-1)))</f>
        <v>0.94889215859048537</v>
      </c>
      <c r="HM265" s="479">
        <f ca="1">IF($FJ265+HM$244&gt;73,"",PRODUCT(INDEX($T$19:$T$93,HM$244):INDEX($T$19:$T$93,HM$244+$FJ265-1)))</f>
        <v>0.94040970878809582</v>
      </c>
      <c r="HN265" s="479">
        <f ca="1">IF($FJ265+HN$244&gt;73,"",PRODUCT(INDEX($T$19:$T$93,HN$244):INDEX($T$19:$T$93,HN$244+$FJ265-1)))</f>
        <v>0.93055755422793462</v>
      </c>
      <c r="HO265" s="479">
        <f ca="1">IF($FJ265+HO$244&gt;73,"",PRODUCT(INDEX($T$19:$T$93,HO$244):INDEX($T$19:$T$93,HO$244+$FJ265-1)))</f>
        <v>0.91912882354526193</v>
      </c>
      <c r="HP265" s="479">
        <f ca="1">IF($FJ265+HP$244&gt;73,"",PRODUCT(INDEX($T$19:$T$93,HP$244):INDEX($T$19:$T$93,HP$244+$FJ265-1)))</f>
        <v>0.90589082982140823</v>
      </c>
      <c r="HQ265" s="479">
        <f ca="1">IF($FJ265+HQ$244&gt;73,"",PRODUCT(INDEX($T$19:$T$93,HQ$244):INDEX($T$19:$T$93,HQ$244+$FJ265-1)))</f>
        <v>0.89058399991068227</v>
      </c>
      <c r="HR265" s="479">
        <f ca="1">IF($FJ265+HR$244&gt;73,"",PRODUCT(INDEX($T$19:$T$93,HR$244):INDEX($T$19:$T$93,HR$244+$FJ265-1)))</f>
        <v>0.87292175669315197</v>
      </c>
      <c r="HS265" s="479">
        <f ca="1">IF($FJ265+HS$244&gt;73,"",PRODUCT(INDEX($T$19:$T$93,HS$244):INDEX($T$19:$T$93,HS$244+$FJ265-1)))</f>
        <v>0.85259187502666633</v>
      </c>
      <c r="HT265" s="479">
        <f ca="1">IF($FJ265+HT$244&gt;73,"",PRODUCT(INDEX($T$19:$T$93,HT$244):INDEX($T$19:$T$93,HT$244+$FJ265-1)))</f>
        <v>0.82926001394819027</v>
      </c>
      <c r="HU265" s="479">
        <f ca="1">IF($FJ265+HU$244&gt;73,"",PRODUCT(INDEX($T$19:$T$93,HU$244):INDEX($T$19:$T$93,HU$244+$FJ265-1)))</f>
        <v>0.80257635011132455</v>
      </c>
      <c r="HV265" s="479">
        <f ca="1">IF($FJ265+HV$244&gt;73,"",PRODUCT(INDEX($T$19:$T$93,HV$244):INDEX($T$19:$T$93,HV$244+$FJ265-1)))</f>
        <v>0.77218649626720004</v>
      </c>
      <c r="HW265" s="479">
        <f ca="1">IF($FJ265+HW$244&gt;73,"",PRODUCT(INDEX($T$19:$T$93,HW$244):INDEX($T$19:$T$93,HW$244+$FJ265-1)))</f>
        <v>0.73774816651491237</v>
      </c>
      <c r="HX265" s="479">
        <f ca="1">IF($FJ265+HX$244&gt;73,"",PRODUCT(INDEX($T$19:$T$93,HX$244):INDEX($T$19:$T$93,HX$244+$FJ265-1)))</f>
        <v>0.69895530631076797</v>
      </c>
      <c r="HY265" s="479">
        <f ca="1">IF($FJ265+HY$244&gt;73,"",PRODUCT(INDEX($T$19:$T$93,HY$244):INDEX($T$19:$T$93,HY$244+$FJ265-1)))</f>
        <v>0.65557155952242052</v>
      </c>
      <c r="HZ265" s="479">
        <f ca="1">IF($FJ265+HZ$244&gt;73,"",PRODUCT(INDEX($T$19:$T$93,HZ$244):INDEX($T$19:$T$93,HZ$244+$FJ265-1)))</f>
        <v>0.60747485420741465</v>
      </c>
      <c r="IA265" s="479">
        <f ca="1">IF($FJ265+IA$244&gt;73,"",PRODUCT(INDEX($T$19:$T$93,IA$244):INDEX($T$19:$T$93,IA$244+$FJ265-1)))</f>
        <v>0.55471431789446268</v>
      </c>
      <c r="IB265" s="479">
        <f ca="1">IF($FJ265+IB$244&gt;73,"",PRODUCT(INDEX($T$19:$T$93,IB$244):INDEX($T$19:$T$93,IB$244+$FJ265-1)))</f>
        <v>0.49757932242316943</v>
      </c>
      <c r="IC265" s="479">
        <f ca="1">IF($FJ265+IC$244&gt;73,"",PRODUCT(INDEX($T$19:$T$93,IC$244):INDEX($T$19:$T$93,IC$244+$FJ265-1)))</f>
        <v>0.43667770644354675</v>
      </c>
      <c r="ID265" s="678">
        <f ca="1">IF($FJ265+ID$244&gt;73,"",PRODUCT(INDEX($T$19:$T$93,ID$244):INDEX($T$19:$T$93,ID$244+$FJ265-1)))</f>
        <v>0.37301552109554137</v>
      </c>
      <c r="IE265" s="250"/>
    </row>
    <row r="266" spans="8:239">
      <c r="I266" s="137"/>
      <c r="J266" s="375"/>
      <c r="K266" s="138"/>
      <c r="L266" s="1"/>
      <c r="M266" s="376"/>
      <c r="P266" s="375"/>
      <c r="S266" s="55"/>
      <c r="T266" s="375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06"/>
      <c r="AM266" s="106"/>
      <c r="AN266" s="106"/>
      <c r="AO266" s="374"/>
      <c r="AP266" s="31"/>
      <c r="AQ266" s="374"/>
      <c r="AR266" s="31"/>
      <c r="AS266" s="31"/>
      <c r="AT266" s="31"/>
      <c r="AU266" s="31"/>
      <c r="AV266" s="154"/>
      <c r="AW266" s="106"/>
      <c r="AX266" s="106"/>
      <c r="AY266" s="106"/>
      <c r="AZ266" s="106"/>
      <c r="BA266" s="106"/>
      <c r="BB266" s="106"/>
      <c r="BC266" s="107"/>
      <c r="BD266" s="107"/>
      <c r="BE266" s="107"/>
      <c r="BF266" s="105"/>
      <c r="BG266" s="107"/>
      <c r="BH266" s="107"/>
      <c r="BI266" s="160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7"/>
      <c r="BW266" s="107"/>
      <c r="BX266" s="107"/>
      <c r="BY266" s="107"/>
      <c r="BZ266" s="107"/>
      <c r="CA266" s="107"/>
      <c r="CB266" s="107"/>
      <c r="CC266" s="107"/>
      <c r="CD266" s="107"/>
      <c r="CE266" s="107"/>
      <c r="CF266" s="106"/>
      <c r="CG266" s="106"/>
      <c r="CH266" s="106"/>
      <c r="CI266" s="106"/>
      <c r="CJ266" s="106"/>
      <c r="CK266" s="106"/>
      <c r="CL266" s="110"/>
      <c r="CM266" s="1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H266" s="475"/>
      <c r="DK266" s="475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3"/>
      <c r="EL266" s="55"/>
      <c r="EM266" s="1"/>
      <c r="EN266" s="106"/>
      <c r="EO266" s="106"/>
      <c r="EP266" s="1"/>
      <c r="EQ266" s="106"/>
      <c r="ER266" s="1"/>
      <c r="ES266" s="1"/>
      <c r="ET266" s="1"/>
      <c r="EU266" s="106"/>
      <c r="FJ266" s="673">
        <v>22</v>
      </c>
      <c r="FK266" s="479" t="str">
        <f ca="1">IF($FJ266+FK$244&gt;73,"",PRODUCT(INDEX($T$19:$T$93,FK$244):INDEX($T$19:$T$93,FK$244+$FJ266-1)))</f>
        <v/>
      </c>
      <c r="FL266" s="479" t="str">
        <f ca="1">IF($FJ266+FL$244&gt;73,"",PRODUCT(INDEX($T$19:$T$93,FL$244):INDEX($T$19:$T$93,FL$244+$FJ266-1)))</f>
        <v/>
      </c>
      <c r="FM266" s="479" t="str">
        <f ca="1">IF($FJ266+FM$244&gt;73,"",PRODUCT(INDEX($T$19:$T$93,FM$244):INDEX($T$19:$T$93,FM$244+$FJ266-1)))</f>
        <v/>
      </c>
      <c r="FN266" s="479" t="str">
        <f ca="1">IF($FJ266+FN$244&gt;73,"",PRODUCT(INDEX($T$19:$T$93,FN$244):INDEX($T$19:$T$93,FN$244+$FJ266-1)))</f>
        <v/>
      </c>
      <c r="FO266" s="479" t="str">
        <f ca="1">IF($FJ266+FO$244&gt;73,"",PRODUCT(INDEX($T$19:$T$93,FO$244):INDEX($T$19:$T$93,FO$244+$FJ266-1)))</f>
        <v/>
      </c>
      <c r="FP266" s="479" t="str">
        <f ca="1">IF($FJ266+FP$244&gt;73,"",PRODUCT(INDEX($T$19:$T$93,FP$244):INDEX($T$19:$T$93,FP$244+$FJ266-1)))</f>
        <v/>
      </c>
      <c r="FQ266" s="479" t="str">
        <f ca="1">IF($FJ266+FQ$244&gt;73,"",PRODUCT(INDEX($T$19:$T$93,FQ$244):INDEX($T$19:$T$93,FQ$244+$FJ266-1)))</f>
        <v/>
      </c>
      <c r="FR266" s="479" t="str">
        <f ca="1">IF($FJ266+FR$244&gt;73,"",PRODUCT(INDEX($T$19:$T$93,FR$244):INDEX($T$19:$T$93,FR$244+$FJ266-1)))</f>
        <v/>
      </c>
      <c r="FS266" s="479" t="str">
        <f ca="1">IF($FJ266+FS$244&gt;73,"",PRODUCT(INDEX($T$19:$T$93,FS$244):INDEX($T$19:$T$93,FS$244+$FJ266-1)))</f>
        <v/>
      </c>
      <c r="FT266" s="479" t="str">
        <f ca="1">IF($FJ266+FT$244&gt;73,"",PRODUCT(INDEX($T$19:$T$93,FT$244):INDEX($T$19:$T$93,FT$244+$FJ266-1)))</f>
        <v/>
      </c>
      <c r="FU266" s="479" t="str">
        <f ca="1">IF($FJ266+FU$244&gt;73,"",PRODUCT(INDEX($T$19:$T$93,FU$244):INDEX($T$19:$T$93,FU$244+$FJ266-1)))</f>
        <v/>
      </c>
      <c r="FV266" s="479" t="str">
        <f ca="1">IF($FJ266+FV$244&gt;73,"",PRODUCT(INDEX($T$19:$T$93,FV$244):INDEX($T$19:$T$93,FV$244+$FJ266-1)))</f>
        <v/>
      </c>
      <c r="FW266" s="479" t="str">
        <f ca="1">IF($FJ266+FW$244&gt;73,"",PRODUCT(INDEX($T$19:$T$93,FW$244):INDEX($T$19:$T$93,FW$244+$FJ266-1)))</f>
        <v/>
      </c>
      <c r="FX266" s="479" t="str">
        <f ca="1">IF($FJ266+FX$244&gt;73,"",PRODUCT(INDEX($T$19:$T$93,FX$244):INDEX($T$19:$T$93,FX$244+$FJ266-1)))</f>
        <v/>
      </c>
      <c r="FY266" s="479" t="str">
        <f ca="1">IF($FJ266+FY$244&gt;73,"",PRODUCT(INDEX($T$19:$T$93,FY$244):INDEX($T$19:$T$93,FY$244+$FJ266-1)))</f>
        <v/>
      </c>
      <c r="FZ266" s="479" t="str">
        <f ca="1">IF($FJ266+FZ$244&gt;73,"",PRODUCT(INDEX($T$19:$T$93,FZ$244):INDEX($T$19:$T$93,FZ$244+$FJ266-1)))</f>
        <v/>
      </c>
      <c r="GA266" s="479" t="str">
        <f ca="1">IF($FJ266+GA$244&gt;73,"",PRODUCT(INDEX($T$19:$T$93,GA$244):INDEX($T$19:$T$93,GA$244+$FJ266-1)))</f>
        <v/>
      </c>
      <c r="GB266" s="479" t="str">
        <f ca="1">IF($FJ266+GB$244&gt;73,"",PRODUCT(INDEX($T$19:$T$93,GB$244):INDEX($T$19:$T$93,GB$244+$FJ266-1)))</f>
        <v/>
      </c>
      <c r="GC266" s="479" t="str">
        <f ca="1">IF($FJ266+GC$244&gt;73,"",PRODUCT(INDEX($T$19:$T$93,GC$244):INDEX($T$19:$T$93,GC$244+$FJ266-1)))</f>
        <v/>
      </c>
      <c r="GD266" s="479" t="str">
        <f ca="1">IF($FJ266+GD$244&gt;73,"",PRODUCT(INDEX($T$19:$T$93,GD$244):INDEX($T$19:$T$93,GD$244+$FJ266-1)))</f>
        <v/>
      </c>
      <c r="GE266" s="479" t="str">
        <f ca="1">IF($FJ266+GE$244&gt;73,"",PRODUCT(INDEX($T$19:$T$93,GE$244):INDEX($T$19:$T$93,GE$244+$FJ266-1)))</f>
        <v/>
      </c>
      <c r="GF266" s="479">
        <f ca="1">IF($FJ266+GF$244&gt;73,"",PRODUCT(INDEX($T$19:$T$93,GF$244):INDEX($T$19:$T$93,GF$244+$FJ266-1)))</f>
        <v>0.9996521739955001</v>
      </c>
      <c r="GG266" s="479">
        <f ca="1">IF($FJ266+GG$244&gt;73,"",PRODUCT(INDEX($T$19:$T$93,GG$244):INDEX($T$19:$T$93,GG$244+$FJ266-1)))</f>
        <v>0.99959319225929399</v>
      </c>
      <c r="GH266" s="479">
        <f ca="1">IF($FJ266+GH$244&gt;73,"",PRODUCT(INDEX($T$19:$T$93,GH$244):INDEX($T$19:$T$93,GH$244+$FJ266-1)))</f>
        <v>0.99952421021873916</v>
      </c>
      <c r="GI266" s="479">
        <f ca="1">IF($FJ266+GI$244&gt;73,"",PRODUCT(INDEX($T$19:$T$93,GI$244):INDEX($T$19:$T$93,GI$244+$FJ266-1)))</f>
        <v>0.99944353285866494</v>
      </c>
      <c r="GJ266" s="479">
        <f ca="1">IF($FJ266+GJ$244&gt;73,"",PRODUCT(INDEX($T$19:$T$93,GJ$244):INDEX($T$19:$T$93,GJ$244+$FJ266-1)))</f>
        <v>0.99934917806638857</v>
      </c>
      <c r="GK266" s="479">
        <f ca="1">IF($FJ266+GK$244&gt;73,"",PRODUCT(INDEX($T$19:$T$93,GK$244):INDEX($T$19:$T$93,GK$244+$FJ266-1)))</f>
        <v>0.99923882808032916</v>
      </c>
      <c r="GL266" s="479">
        <f ca="1">IF($FJ266+GL$244&gt;73,"",PRODUCT(INDEX($T$19:$T$93,GL$244):INDEX($T$19:$T$93,GL$244+$FJ266-1)))</f>
        <v>0.99910977275699597</v>
      </c>
      <c r="GM266" s="479">
        <f ca="1">IF($FJ266+GM$244&gt;73,"",PRODUCT(INDEX($T$19:$T$93,GM$244):INDEX($T$19:$T$93,GM$244+$FJ266-1)))</f>
        <v>0.99895884328858398</v>
      </c>
      <c r="GN266" s="479">
        <f ca="1">IF($FJ266+GN$244&gt;73,"",PRODUCT(INDEX($T$19:$T$93,GN$244):INDEX($T$19:$T$93,GN$244+$FJ266-1)))</f>
        <v>0.99878233477886924</v>
      </c>
      <c r="GO266" s="479">
        <f ca="1">IF($FJ266+GO$244&gt;73,"",PRODUCT(INDEX($T$19:$T$93,GO$244):INDEX($T$19:$T$93,GO$244+$FJ266-1)))</f>
        <v>0.9985759158253148</v>
      </c>
      <c r="GP266" s="479">
        <f ca="1">IF($FJ266+GP$244&gt;73,"",PRODUCT(INDEX($T$19:$T$93,GP$244):INDEX($T$19:$T$93,GP$244+$FJ266-1)))</f>
        <v>0.99833452295526093</v>
      </c>
      <c r="GQ266" s="479">
        <f ca="1">IF($FJ266+GQ$244&gt;73,"",PRODUCT(INDEX($T$19:$T$93,GQ$244):INDEX($T$19:$T$93,GQ$244+$FJ266-1)))</f>
        <v>0.99805223741847193</v>
      </c>
      <c r="GR266" s="479">
        <f ca="1">IF($FJ266+GR$244&gt;73,"",PRODUCT(INDEX($T$19:$T$93,GR$244):INDEX($T$19:$T$93,GR$244+$FJ266-1)))</f>
        <v>0.99772214144131932</v>
      </c>
      <c r="GS266" s="479">
        <f ca="1">IF($FJ266+GS$244&gt;73,"",PRODUCT(INDEX($T$19:$T$93,GS$244):INDEX($T$19:$T$93,GS$244+$FJ266-1)))</f>
        <v>0.99733615059355174</v>
      </c>
      <c r="GT266" s="479">
        <f ca="1">IF($FJ266+GT$244&gt;73,"",PRODUCT(INDEX($T$19:$T$93,GT$244):INDEX($T$19:$T$93,GT$244+$FJ266-1)))</f>
        <v>0.99688481840088805</v>
      </c>
      <c r="GU266" s="479">
        <f ca="1">IF($FJ266+GU$244&gt;73,"",PRODUCT(INDEX($T$19:$T$93,GU$244):INDEX($T$19:$T$93,GU$244+$FJ266-1)))</f>
        <v>0.99635710874994154</v>
      </c>
      <c r="GV266" s="479">
        <f ca="1">IF($FJ266+GV$244&gt;73,"",PRODUCT(INDEX($T$19:$T$93,GV$244):INDEX($T$19:$T$93,GV$244+$FJ266-1)))</f>
        <v>0.99574013097149794</v>
      </c>
      <c r="GW266" s="479">
        <f ca="1">IF($FJ266+GW$244&gt;73,"",PRODUCT(INDEX($T$19:$T$93,GW$244):INDEX($T$19:$T$93,GW$244+$FJ266-1)))</f>
        <v>0.99501883175103278</v>
      </c>
      <c r="GX266" s="479">
        <f ca="1">IF($FJ266+GX$244&gt;73,"",PRODUCT(INDEX($T$19:$T$93,GX$244):INDEX($T$19:$T$93,GX$244+$FJ266-1)))</f>
        <v>0.9941756372015953</v>
      </c>
      <c r="GY266" s="479">
        <f ca="1">IF($FJ266+GY$244&gt;73,"",PRODUCT(INDEX($T$19:$T$93,GY$244):INDEX($T$19:$T$93,GY$244+$FJ266-1)))</f>
        <v>0.99319003754879231</v>
      </c>
      <c r="GZ266" s="479">
        <f ca="1">IF($FJ266+GZ$244&gt;73,"",PRODUCT(INDEX($T$19:$T$93,GZ$244):INDEX($T$19:$T$93,GZ$244+$FJ266-1)))</f>
        <v>0.99203810593288533</v>
      </c>
      <c r="HA266" s="479">
        <f ca="1">IF($FJ266+HA$244&gt;73,"",PRODUCT(INDEX($T$19:$T$93,HA$244):INDEX($T$19:$T$93,HA$244+$FJ266-1)))</f>
        <v>0.99069194185230947</v>
      </c>
      <c r="HB266" s="479">
        <f ca="1">IF($FJ266+HB$244&gt;73,"",PRODUCT(INDEX($T$19:$T$93,HB$244):INDEX($T$19:$T$93,HB$244+$FJ266-1)))</f>
        <v>0.98911902879572566</v>
      </c>
      <c r="HC266" s="479">
        <f ca="1">IF($FJ266+HC$244&gt;73,"",PRODUCT(INDEX($T$19:$T$93,HC$244):INDEX($T$19:$T$93,HC$244+$FJ266-1)))</f>
        <v>0.98728149469860027</v>
      </c>
      <c r="HD266" s="479">
        <f ca="1">IF($FJ266+HD$244&gt;73,"",PRODUCT(INDEX($T$19:$T$93,HD$244):INDEX($T$19:$T$93,HD$244+$FJ266-1)))</f>
        <v>0.98513526311072408</v>
      </c>
      <c r="HE266" s="479">
        <f ca="1">IF($FJ266+HE$244&gt;73,"",PRODUCT(INDEX($T$19:$T$93,HE$244):INDEX($T$19:$T$93,HE$244+$FJ266-1)))</f>
        <v>0.98262908251457648</v>
      </c>
      <c r="HF266" s="479">
        <f ca="1">IF($FJ266+HF$244&gt;73,"",PRODUCT(INDEX($T$19:$T$93,HF$244):INDEX($T$19:$T$93,HF$244+$FJ266-1)))</f>
        <v>0.97970342129664889</v>
      </c>
      <c r="HG266" s="479">
        <f ca="1">IF($FJ266+HG$244&gt;73,"",PRODUCT(INDEX($T$19:$T$93,HG$244):INDEX($T$19:$T$93,HG$244+$FJ266-1)))</f>
        <v>0.97628921673876856</v>
      </c>
      <c r="HH266" s="479">
        <f ca="1">IF($FJ266+HH$244&gt;73,"",PRODUCT(INDEX($T$19:$T$93,HH$244):INDEX($T$19:$T$93,HH$244+$FJ266-1)))</f>
        <v>0.97230646847869628</v>
      </c>
      <c r="HI266" s="479">
        <f ca="1">IF($FJ266+HI$244&gt;73,"",PRODUCT(INDEX($T$19:$T$93,HI$244):INDEX($T$19:$T$93,HI$244+$FJ266-1)))</f>
        <v>0.96766267076652701</v>
      </c>
      <c r="HJ266" s="479">
        <f ca="1">IF($FJ266+HJ$244&gt;73,"",PRODUCT(INDEX($T$19:$T$93,HJ$244):INDEX($T$19:$T$93,HJ$244+$FJ266-1)))</f>
        <v>0.96225108431173034</v>
      </c>
      <c r="HK266" s="479">
        <f ca="1">IF($FJ266+HK$244&gt;73,"",PRODUCT(INDEX($T$19:$T$93,HK$244):INDEX($T$19:$T$93,HK$244+$FJ266-1)))</f>
        <v>0.95594885865969559</v>
      </c>
      <c r="HL266" s="479">
        <f ca="1">IF($FJ266+HL$244&gt;73,"",PRODUCT(INDEX($T$19:$T$93,HL$244):INDEX($T$19:$T$93,HL$244+$FJ266-1)))</f>
        <v>0.94861503131670633</v>
      </c>
      <c r="HM266" s="479">
        <f ca="1">IF($FJ266+HM$244&gt;73,"",PRODUCT(INDEX($T$19:$T$93,HM$244):INDEX($T$19:$T$93,HM$244+$FJ266-1)))</f>
        <v>0.9400884521989189</v>
      </c>
      <c r="HN266" s="479">
        <f ca="1">IF($FJ266+HN$244&gt;73,"",PRODUCT(INDEX($T$19:$T$93,HN$244):INDEX($T$19:$T$93,HN$244+$FJ266-1)))</f>
        <v>0.93018571395195515</v>
      </c>
      <c r="HO266" s="479">
        <f ca="1">IF($FJ266+HO$244&gt;73,"",PRODUCT(INDEX($T$19:$T$93,HO$244):INDEX($T$19:$T$93,HO$244+$FJ266-1)))</f>
        <v>0.91869921352804329</v>
      </c>
      <c r="HP266" s="479">
        <f ca="1">IF($FJ266+HP$244&gt;73,"",PRODUCT(INDEX($T$19:$T$93,HP$244):INDEX($T$19:$T$93,HP$244+$FJ266-1)))</f>
        <v>0.90539553218444702</v>
      </c>
      <c r="HQ266" s="479">
        <f ca="1">IF($FJ266+HQ$244&gt;73,"",PRODUCT(INDEX($T$19:$T$93,HQ$244):INDEX($T$19:$T$93,HQ$244+$FJ266-1)))</f>
        <v>0.89001440468180626</v>
      </c>
      <c r="HR266" s="479">
        <f ca="1">IF($FJ266+HR$244&gt;73,"",PRODUCT(INDEX($T$19:$T$93,HR$244):INDEX($T$19:$T$93,HR$244+$FJ266-1)))</f>
        <v>0.87226865950452415</v>
      </c>
      <c r="HS266" s="479">
        <f ca="1">IF($FJ266+HS$244&gt;73,"",PRODUCT(INDEX($T$19:$T$93,HS$244):INDEX($T$19:$T$93,HS$244+$FJ266-1)))</f>
        <v>0.85184565620381547</v>
      </c>
      <c r="HT266" s="479">
        <f ca="1">IF($FJ266+HT$244&gt;73,"",PRODUCT(INDEX($T$19:$T$93,HT$244):INDEX($T$19:$T$93,HT$244+$FJ266-1)))</f>
        <v>0.82841092842530328</v>
      </c>
      <c r="HU266" s="479">
        <f ca="1">IF($FJ266+HU$244&gt;73,"",PRODUCT(INDEX($T$19:$T$93,HU$244):INDEX($T$19:$T$93,HU$244+$FJ266-1)))</f>
        <v>0.80161496380422592</v>
      </c>
      <c r="HV266" s="479">
        <f ca="1">IF($FJ266+HV$244&gt;73,"",PRODUCT(INDEX($T$19:$T$93,HV$244):INDEX($T$19:$T$93,HV$244+$FJ266-1)))</f>
        <v>0.77110430986996614</v>
      </c>
      <c r="HW266" s="479">
        <f ca="1">IF($FJ266+HW$244&gt;73,"",PRODUCT(INDEX($T$19:$T$93,HW$244):INDEX($T$19:$T$93,HW$244+$FJ266-1)))</f>
        <v>0.73653847024187802</v>
      </c>
      <c r="HX266" s="479">
        <f ca="1">IF($FJ266+HX$244&gt;73,"",PRODUCT(INDEX($T$19:$T$93,HX$244):INDEX($T$19:$T$93,HX$244+$FJ266-1)))</f>
        <v>0.69761430565629301</v>
      </c>
      <c r="HY266" s="479">
        <f ca="1">IF($FJ266+HY$244&gt;73,"",PRODUCT(INDEX($T$19:$T$93,HY$244):INDEX($T$19:$T$93,HY$244+$FJ266-1)))</f>
        <v>0.65409979759465353</v>
      </c>
      <c r="HZ266" s="479">
        <f ca="1">IF($FJ266+HZ$244&gt;73,"",PRODUCT(INDEX($T$19:$T$93,HZ$244):INDEX($T$19:$T$93,HZ$244+$FJ266-1)))</f>
        <v>0.60587892321847203</v>
      </c>
      <c r="IA266" s="479">
        <f ca="1">IF($FJ266+IA$244&gt;73,"",PRODUCT(INDEX($T$19:$T$93,IA$244):INDEX($T$19:$T$93,IA$244+$FJ266-1)))</f>
        <v>0.5530087910859377</v>
      </c>
      <c r="IB266" s="479">
        <f ca="1">IF($FJ266+IB$244&gt;73,"",PRODUCT(INDEX($T$19:$T$93,IB$244):INDEX($T$19:$T$93,IB$244+$FJ266-1)))</f>
        <v>0.4957887365793765</v>
      </c>
      <c r="IC266" s="479">
        <f ca="1">IF($FJ266+IC$244&gt;73,"",PRODUCT(INDEX($T$19:$T$93,IC$244):INDEX($T$19:$T$93,IC$244+$FJ266-1)))</f>
        <v>0.43483827420483495</v>
      </c>
      <c r="ID266" s="678">
        <f ca="1">IF($FJ266+ID$244&gt;73,"",PRODUCT(INDEX($T$19:$T$93,ID$244):INDEX($T$19:$T$93,ID$244+$FJ266-1)))</f>
        <v>0.3711760504770148</v>
      </c>
      <c r="IE266" s="250"/>
    </row>
    <row r="267" spans="8:239">
      <c r="I267" s="137"/>
      <c r="J267" s="375"/>
      <c r="K267" s="138"/>
      <c r="L267" s="1"/>
      <c r="M267" s="376"/>
      <c r="P267" s="375"/>
      <c r="S267" s="55"/>
      <c r="T267" s="375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06"/>
      <c r="AM267" s="106"/>
      <c r="AN267" s="106"/>
      <c r="AO267" s="374"/>
      <c r="AP267" s="31"/>
      <c r="AQ267" s="374"/>
      <c r="AR267" s="31"/>
      <c r="AS267" s="31"/>
      <c r="AT267" s="31"/>
      <c r="AU267" s="31"/>
      <c r="AV267" s="154"/>
      <c r="AW267" s="106"/>
      <c r="AX267" s="106"/>
      <c r="AY267" s="106"/>
      <c r="AZ267" s="106"/>
      <c r="BA267" s="106"/>
      <c r="BB267" s="106"/>
      <c r="BC267" s="107"/>
      <c r="BD267" s="107"/>
      <c r="BE267" s="107"/>
      <c r="BF267" s="105"/>
      <c r="BG267" s="107"/>
      <c r="BH267" s="107"/>
      <c r="BI267" s="160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7"/>
      <c r="BW267" s="107"/>
      <c r="BX267" s="107"/>
      <c r="BY267" s="107"/>
      <c r="BZ267" s="107"/>
      <c r="CA267" s="107"/>
      <c r="CB267" s="107"/>
      <c r="CC267" s="107"/>
      <c r="CD267" s="107"/>
      <c r="CE267" s="107"/>
      <c r="CF267" s="106"/>
      <c r="CG267" s="106"/>
      <c r="CH267" s="106"/>
      <c r="CI267" s="106"/>
      <c r="CJ267" s="106"/>
      <c r="CK267" s="106"/>
      <c r="CL267" s="110"/>
      <c r="CM267" s="1"/>
      <c r="CN267" s="53"/>
      <c r="CO267" s="53"/>
      <c r="CP267" s="53"/>
      <c r="CQ267" s="53"/>
      <c r="CR267" s="53"/>
      <c r="CS267" s="53"/>
      <c r="CT267" s="53"/>
      <c r="CU267" s="53"/>
      <c r="CV267" s="53"/>
      <c r="CW267" s="53"/>
      <c r="CX267" s="53"/>
      <c r="CY267" s="53"/>
      <c r="CZ267" s="53"/>
      <c r="DA267" s="53"/>
      <c r="DB267" s="53"/>
      <c r="DC267" s="53"/>
      <c r="DD267" s="53"/>
      <c r="DE267" s="53"/>
      <c r="DH267" s="475"/>
      <c r="DK267" s="475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3"/>
      <c r="EL267" s="55"/>
      <c r="EM267" s="1"/>
      <c r="EN267" s="106"/>
      <c r="EO267" s="106"/>
      <c r="EP267" s="1"/>
      <c r="EQ267" s="106"/>
      <c r="ER267" s="1"/>
      <c r="ES267" s="1"/>
      <c r="ET267" s="1"/>
      <c r="EU267" s="106"/>
      <c r="FJ267" s="673">
        <v>23</v>
      </c>
      <c r="FK267" s="479" t="str">
        <f ca="1">IF($FJ267+FK$244&gt;73,"",PRODUCT(INDEX($T$19:$T$93,FK$244):INDEX($T$19:$T$93,FK$244+$FJ267-1)))</f>
        <v/>
      </c>
      <c r="FL267" s="479" t="str">
        <f ca="1">IF($FJ267+FL$244&gt;73,"",PRODUCT(INDEX($T$19:$T$93,FL$244):INDEX($T$19:$T$93,FL$244+$FJ267-1)))</f>
        <v/>
      </c>
      <c r="FM267" s="479" t="str">
        <f ca="1">IF($FJ267+FM$244&gt;73,"",PRODUCT(INDEX($T$19:$T$93,FM$244):INDEX($T$19:$T$93,FM$244+$FJ267-1)))</f>
        <v/>
      </c>
      <c r="FN267" s="479" t="str">
        <f ca="1">IF($FJ267+FN$244&gt;73,"",PRODUCT(INDEX($T$19:$T$93,FN$244):INDEX($T$19:$T$93,FN$244+$FJ267-1)))</f>
        <v/>
      </c>
      <c r="FO267" s="479" t="str">
        <f ca="1">IF($FJ267+FO$244&gt;73,"",PRODUCT(INDEX($T$19:$T$93,FO$244):INDEX($T$19:$T$93,FO$244+$FJ267-1)))</f>
        <v/>
      </c>
      <c r="FP267" s="479" t="str">
        <f ca="1">IF($FJ267+FP$244&gt;73,"",PRODUCT(INDEX($T$19:$T$93,FP$244):INDEX($T$19:$T$93,FP$244+$FJ267-1)))</f>
        <v/>
      </c>
      <c r="FQ267" s="479" t="str">
        <f ca="1">IF($FJ267+FQ$244&gt;73,"",PRODUCT(INDEX($T$19:$T$93,FQ$244):INDEX($T$19:$T$93,FQ$244+$FJ267-1)))</f>
        <v/>
      </c>
      <c r="FR267" s="479" t="str">
        <f ca="1">IF($FJ267+FR$244&gt;73,"",PRODUCT(INDEX($T$19:$T$93,FR$244):INDEX($T$19:$T$93,FR$244+$FJ267-1)))</f>
        <v/>
      </c>
      <c r="FS267" s="479" t="str">
        <f ca="1">IF($FJ267+FS$244&gt;73,"",PRODUCT(INDEX($T$19:$T$93,FS$244):INDEX($T$19:$T$93,FS$244+$FJ267-1)))</f>
        <v/>
      </c>
      <c r="FT267" s="479" t="str">
        <f ca="1">IF($FJ267+FT$244&gt;73,"",PRODUCT(INDEX($T$19:$T$93,FT$244):INDEX($T$19:$T$93,FT$244+$FJ267-1)))</f>
        <v/>
      </c>
      <c r="FU267" s="479" t="str">
        <f ca="1">IF($FJ267+FU$244&gt;73,"",PRODUCT(INDEX($T$19:$T$93,FU$244):INDEX($T$19:$T$93,FU$244+$FJ267-1)))</f>
        <v/>
      </c>
      <c r="FV267" s="479" t="str">
        <f ca="1">IF($FJ267+FV$244&gt;73,"",PRODUCT(INDEX($T$19:$T$93,FV$244):INDEX($T$19:$T$93,FV$244+$FJ267-1)))</f>
        <v/>
      </c>
      <c r="FW267" s="479" t="str">
        <f ca="1">IF($FJ267+FW$244&gt;73,"",PRODUCT(INDEX($T$19:$T$93,FW$244):INDEX($T$19:$T$93,FW$244+$FJ267-1)))</f>
        <v/>
      </c>
      <c r="FX267" s="479" t="str">
        <f ca="1">IF($FJ267+FX$244&gt;73,"",PRODUCT(INDEX($T$19:$T$93,FX$244):INDEX($T$19:$T$93,FX$244+$FJ267-1)))</f>
        <v/>
      </c>
      <c r="FY267" s="479" t="str">
        <f ca="1">IF($FJ267+FY$244&gt;73,"",PRODUCT(INDEX($T$19:$T$93,FY$244):INDEX($T$19:$T$93,FY$244+$FJ267-1)))</f>
        <v/>
      </c>
      <c r="FZ267" s="479" t="str">
        <f ca="1">IF($FJ267+FZ$244&gt;73,"",PRODUCT(INDEX($T$19:$T$93,FZ$244):INDEX($T$19:$T$93,FZ$244+$FJ267-1)))</f>
        <v/>
      </c>
      <c r="GA267" s="479" t="str">
        <f ca="1">IF($FJ267+GA$244&gt;73,"",PRODUCT(INDEX($T$19:$T$93,GA$244):INDEX($T$19:$T$93,GA$244+$FJ267-1)))</f>
        <v/>
      </c>
      <c r="GB267" s="479" t="str">
        <f ca="1">IF($FJ267+GB$244&gt;73,"",PRODUCT(INDEX($T$19:$T$93,GB$244):INDEX($T$19:$T$93,GB$244+$FJ267-1)))</f>
        <v/>
      </c>
      <c r="GC267" s="479" t="str">
        <f ca="1">IF($FJ267+GC$244&gt;73,"",PRODUCT(INDEX($T$19:$T$93,GC$244):INDEX($T$19:$T$93,GC$244+$FJ267-1)))</f>
        <v/>
      </c>
      <c r="GD267" s="479" t="str">
        <f ca="1">IF($FJ267+GD$244&gt;73,"",PRODUCT(INDEX($T$19:$T$93,GD$244):INDEX($T$19:$T$93,GD$244+$FJ267-1)))</f>
        <v/>
      </c>
      <c r="GE267" s="479" t="str">
        <f ca="1">IF($FJ267+GE$244&gt;73,"",PRODUCT(INDEX($T$19:$T$93,GE$244):INDEX($T$19:$T$93,GE$244+$FJ267-1)))</f>
        <v/>
      </c>
      <c r="GF267" s="479" t="str">
        <f ca="1">IF($FJ267+GF$244&gt;73,"",PRODUCT(INDEX($T$19:$T$93,GF$244):INDEX($T$19:$T$93,GF$244+$FJ267-1)))</f>
        <v/>
      </c>
      <c r="GG267" s="479">
        <f ca="1">IF($FJ267+GG$244&gt;73,"",PRODUCT(INDEX($T$19:$T$93,GG$244):INDEX($T$19:$T$93,GG$244+$FJ267-1)))</f>
        <v>0.99959125163246076</v>
      </c>
      <c r="GH267" s="479">
        <f ca="1">IF($FJ267+GH$244&gt;73,"",PRODUCT(INDEX($T$19:$T$93,GH$244):INDEX($T$19:$T$93,GH$244+$FJ267-1)))</f>
        <v>0.99952194063380984</v>
      </c>
      <c r="GI267" s="479">
        <f ca="1">IF($FJ267+GI$244&gt;73,"",PRODUCT(INDEX($T$19:$T$93,GI$244):INDEX($T$19:$T$93,GI$244+$FJ267-1)))</f>
        <v>0.99944087858417618</v>
      </c>
      <c r="GJ267" s="479">
        <f ca="1">IF($FJ267+GJ$244&gt;73,"",PRODUCT(INDEX($T$19:$T$93,GJ$244):INDEX($T$19:$T$93,GJ$244+$FJ267-1)))</f>
        <v>0.999346073940244</v>
      </c>
      <c r="GK267" s="479">
        <f ca="1">IF($FJ267+GK$244&gt;73,"",PRODUCT(INDEX($T$19:$T$93,GK$244):INDEX($T$19:$T$93,GK$244+$FJ267-1)))</f>
        <v>0.99923519791814774</v>
      </c>
      <c r="GL267" s="479">
        <f ca="1">IF($FJ267+GL$244&gt;73,"",PRODUCT(INDEX($T$19:$T$93,GL$244):INDEX($T$19:$T$93,GL$244+$FJ267-1)))</f>
        <v>0.99910552749336401</v>
      </c>
      <c r="GM267" s="479">
        <f ca="1">IF($FJ267+GM$244&gt;73,"",PRODUCT(INDEX($T$19:$T$93,GM$244):INDEX($T$19:$T$93,GM$244+$FJ267-1)))</f>
        <v>0.99895387880695463</v>
      </c>
      <c r="GN267" s="479">
        <f ca="1">IF($FJ267+GN$244&gt;73,"",PRODUCT(INDEX($T$19:$T$93,GN$244):INDEX($T$19:$T$93,GN$244+$FJ267-1)))</f>
        <v>0.99877652937873285</v>
      </c>
      <c r="GO267" s="479">
        <f ca="1">IF($FJ267+GO$244&gt;73,"",PRODUCT(INDEX($T$19:$T$93,GO$244):INDEX($T$19:$T$93,GO$244+$FJ267-1)))</f>
        <v>0.99856912726707148</v>
      </c>
      <c r="GP267" s="479">
        <f ca="1">IF($FJ267+GP$244&gt;73,"",PRODUCT(INDEX($T$19:$T$93,GP$244):INDEX($T$19:$T$93,GP$244+$FJ267-1)))</f>
        <v>0.99832658501384175</v>
      </c>
      <c r="GQ267" s="479">
        <f ca="1">IF($FJ267+GQ$244&gt;73,"",PRODUCT(INDEX($T$19:$T$93,GQ$244):INDEX($T$19:$T$93,GQ$244+$FJ267-1)))</f>
        <v>0.99804295586603875</v>
      </c>
      <c r="GR267" s="479">
        <f ca="1">IF($FJ267+GR$244&gt;73,"",PRODUCT(INDEX($T$19:$T$93,GR$244):INDEX($T$19:$T$93,GR$244+$FJ267-1)))</f>
        <v>0.99771128936719478</v>
      </c>
      <c r="GS267" s="479">
        <f ca="1">IF($FJ267+GS$244&gt;73,"",PRODUCT(INDEX($T$19:$T$93,GS$244):INDEX($T$19:$T$93,GS$244+$FJ267-1)))</f>
        <v>0.99732346295578256</v>
      </c>
      <c r="GT267" s="479">
        <f ca="1">IF($FJ267+GT$244&gt;73,"",PRODUCT(INDEX($T$19:$T$93,GT$244):INDEX($T$19:$T$93,GT$244+$FJ267-1)))</f>
        <v>0.99686998568842233</v>
      </c>
      <c r="GU267" s="479">
        <f ca="1">IF($FJ267+GU$244&gt;73,"",PRODUCT(INDEX($T$19:$T$93,GU$244):INDEX($T$19:$T$93,GU$244+$FJ267-1)))</f>
        <v>0.99633976961727944</v>
      </c>
      <c r="GV267" s="479">
        <f ca="1">IF($FJ267+GV$244&gt;73,"",PRODUCT(INDEX($T$19:$T$93,GV$244):INDEX($T$19:$T$93,GV$244+$FJ267-1)))</f>
        <v>0.99571986368888343</v>
      </c>
      <c r="GW267" s="479">
        <f ca="1">IF($FJ267+GW$244&gt;73,"",PRODUCT(INDEX($T$19:$T$93,GW$244):INDEX($T$19:$T$93,GW$244+$FJ267-1)))</f>
        <v>0.9949951442929611</v>
      </c>
      <c r="GX267" s="479">
        <f ca="1">IF($FJ267+GX$244&gt;73,"",PRODUCT(INDEX($T$19:$T$93,GX$244):INDEX($T$19:$T$93,GX$244+$FJ267-1)))</f>
        <v>0.99414795577497406</v>
      </c>
      <c r="GY267" s="479">
        <f ca="1">IF($FJ267+GY$244&gt;73,"",PRODUCT(INDEX($T$19:$T$93,GY$244):INDEX($T$19:$T$93,GY$244+$FJ267-1)))</f>
        <v>0.99315769334013293</v>
      </c>
      <c r="GZ267" s="479">
        <f ca="1">IF($FJ267+GZ$244&gt;73,"",PRODUCT(INDEX($T$19:$T$93,GZ$244):INDEX($T$19:$T$93,GZ$244+$FJ267-1)))</f>
        <v>0.99200031983244819</v>
      </c>
      <c r="HA267" s="479">
        <f ca="1">IF($FJ267+HA$244&gt;73,"",PRODUCT(INDEX($T$19:$T$93,HA$244):INDEX($T$19:$T$93,HA$244+$FJ267-1)))</f>
        <v>0.99064780689376963</v>
      </c>
      <c r="HB267" s="479">
        <f ca="1">IF($FJ267+HB$244&gt;73,"",PRODUCT(INDEX($T$19:$T$93,HB$244):INDEX($T$19:$T$93,HB$244+$FJ267-1)))</f>
        <v>0.98906749003503769</v>
      </c>
      <c r="HC267" s="479">
        <f ca="1">IF($FJ267+HC$244&gt;73,"",PRODUCT(INDEX($T$19:$T$93,HC$244):INDEX($T$19:$T$93,HC$244+$FJ267-1)))</f>
        <v>0.98722132624880665</v>
      </c>
      <c r="HD267" s="479">
        <f ca="1">IF($FJ267+HD$244&gt;73,"",PRODUCT(INDEX($T$19:$T$93,HD$244):INDEX($T$19:$T$93,HD$244+$FJ267-1)))</f>
        <v>0.98506504205543688</v>
      </c>
      <c r="HE267" s="479">
        <f ca="1">IF($FJ267+HE$244&gt;73,"",PRODUCT(INDEX($T$19:$T$93,HE$244):INDEX($T$19:$T$93,HE$244+$FJ267-1)))</f>
        <v>0.98254715944880378</v>
      </c>
      <c r="HF267" s="479">
        <f ca="1">IF($FJ267+HF$244&gt;73,"",PRODUCT(INDEX($T$19:$T$93,HF$244):INDEX($T$19:$T$93,HF$244+$FJ267-1)))</f>
        <v>0.97960788729930581</v>
      </c>
      <c r="HG267" s="479">
        <f ca="1">IF($FJ267+HG$244&gt;73,"",PRODUCT(INDEX($T$19:$T$93,HG$244):INDEX($T$19:$T$93,HG$244+$FJ267-1)))</f>
        <v>0.97617786668005802</v>
      </c>
      <c r="HH267" s="479">
        <f ca="1">IF($FJ267+HH$244&gt;73,"",PRODUCT(INDEX($T$19:$T$93,HH$244):INDEX($T$19:$T$93,HH$244+$FJ267-1)))</f>
        <v>0.97217676072583892</v>
      </c>
      <c r="HI267" s="479">
        <f ca="1">IF($FJ267+HI$244&gt;73,"",PRODUCT(INDEX($T$19:$T$93,HI$244):INDEX($T$19:$T$93,HI$244+$FJ267-1)))</f>
        <v>0.96751168359758244</v>
      </c>
      <c r="HJ267" s="479">
        <f ca="1">IF($FJ267+HJ$244&gt;73,"",PRODUCT(INDEX($T$19:$T$93,HJ$244):INDEX($T$19:$T$93,HJ$244+$FJ267-1)))</f>
        <v>0.96207546971197211</v>
      </c>
      <c r="HK267" s="479">
        <f ca="1">IF($FJ267+HK$244&gt;73,"",PRODUCT(INDEX($T$19:$T$93,HK$244):INDEX($T$19:$T$93,HK$244+$FJ267-1)))</f>
        <v>0.95574479470054874</v>
      </c>
      <c r="HL267" s="479">
        <f ca="1">IF($FJ267+HL$244&gt;73,"",PRODUCT(INDEX($T$19:$T$93,HL$244):INDEX($T$19:$T$93,HL$244+$FJ267-1)))</f>
        <v>0.94837817505792277</v>
      </c>
      <c r="HM267" s="479">
        <f ca="1">IF($FJ267+HM$244&gt;73,"",PRODUCT(INDEX($T$19:$T$93,HM$244):INDEX($T$19:$T$93,HM$244+$FJ267-1)))</f>
        <v>0.9398138960783835</v>
      </c>
      <c r="HN267" s="479">
        <f ca="1">IF($FJ267+HN$244&gt;73,"",PRODUCT(INDEX($T$19:$T$93,HN$244):INDEX($T$19:$T$93,HN$244+$FJ267-1)))</f>
        <v>0.9298679500167546</v>
      </c>
      <c r="HO267" s="479">
        <f ca="1">IF($FJ267+HO$244&gt;73,"",PRODUCT(INDEX($T$19:$T$93,HO$244):INDEX($T$19:$T$93,HO$244+$FJ267-1)))</f>
        <v>0.91833211171091411</v>
      </c>
      <c r="HP267" s="479">
        <f ca="1">IF($FJ267+HP$244&gt;73,"",PRODUCT(INDEX($T$19:$T$93,HP$244):INDEX($T$19:$T$93,HP$244+$FJ267-1)))</f>
        <v>0.90497234124514958</v>
      </c>
      <c r="HQ267" s="479">
        <f ca="1">IF($FJ267+HQ$244&gt;73,"",PRODUCT(INDEX($T$19:$T$93,HQ$244):INDEX($T$19:$T$93,HQ$244+$FJ267-1)))</f>
        <v>0.88952778751228789</v>
      </c>
      <c r="HR267" s="479">
        <f ca="1">IF($FJ267+HR$244&gt;73,"",PRODUCT(INDEX($T$19:$T$93,HR$244):INDEX($T$19:$T$93,HR$244+$FJ267-1)))</f>
        <v>0.8717107783088125</v>
      </c>
      <c r="HS267" s="479">
        <f ca="1">IF($FJ267+HS$244&gt;73,"",PRODUCT(INDEX($T$19:$T$93,HS$244):INDEX($T$19:$T$93,HS$244+$FJ267-1)))</f>
        <v>0.85120832760139975</v>
      </c>
      <c r="HT267" s="479">
        <f ca="1">IF($FJ267+HT$244&gt;73,"",PRODUCT(INDEX($T$19:$T$93,HT$244):INDEX($T$19:$T$93,HT$244+$FJ267-1)))</f>
        <v>0.82768587362950552</v>
      </c>
      <c r="HU267" s="479">
        <f ca="1">IF($FJ267+HU$244&gt;73,"",PRODUCT(INDEX($T$19:$T$93,HU$244):INDEX($T$19:$T$93,HU$244+$FJ267-1)))</f>
        <v>0.80079418425469095</v>
      </c>
      <c r="HV267" s="479">
        <f ca="1">IF($FJ267+HV$244&gt;73,"",PRODUCT(INDEX($T$19:$T$93,HV$244):INDEX($T$19:$T$93,HV$244+$FJ267-1)))</f>
        <v>0.77018062313941282</v>
      </c>
      <c r="HW267" s="479">
        <f ca="1">IF($FJ267+HW$244&gt;73,"",PRODUCT(INDEX($T$19:$T$93,HW$244):INDEX($T$19:$T$93,HW$244+$FJ267-1)))</f>
        <v>0.73550624303072065</v>
      </c>
      <c r="HX267" s="479">
        <f ca="1">IF($FJ267+HX$244&gt;73,"",PRODUCT(INDEX($T$19:$T$93,HX$244):INDEX($T$19:$T$93,HX$244+$FJ267-1)))</f>
        <v>0.69647041745179306</v>
      </c>
      <c r="HY267" s="479">
        <f ca="1">IF($FJ267+HY$244&gt;73,"",PRODUCT(INDEX($T$19:$T$93,HY$244):INDEX($T$19:$T$93,HY$244+$FJ267-1)))</f>
        <v>0.65284485575681828</v>
      </c>
      <c r="HZ267" s="479">
        <f ca="1">IF($FJ267+HZ$244&gt;73,"",PRODUCT(INDEX($T$19:$T$93,HZ$244):INDEX($T$19:$T$93,HZ$244+$FJ267-1)))</f>
        <v>0.60451872154547837</v>
      </c>
      <c r="IA267" s="479">
        <f ca="1">IF($FJ267+IA$244&gt;73,"",PRODUCT(INDEX($T$19:$T$93,IA$244):INDEX($T$19:$T$93,IA$244+$FJ267-1)))</f>
        <v>0.55155595092187315</v>
      </c>
      <c r="IB267" s="479">
        <f ca="1">IF($FJ267+IB$244&gt;73,"",PRODUCT(INDEX($T$19:$T$93,IB$244):INDEX($T$19:$T$93,IB$244+$FJ267-1)))</f>
        <v>0.49426438259332756</v>
      </c>
      <c r="IC267" s="479">
        <f ca="1">IF($FJ267+IC$244&gt;73,"",PRODUCT(INDEX($T$19:$T$93,IC$244):INDEX($T$19:$T$93,IC$244+$FJ267-1)))</f>
        <v>0.43327346790553228</v>
      </c>
      <c r="ID267" s="678">
        <f ca="1">IF($FJ267+ID$244&gt;73,"",PRODUCT(INDEX($T$19:$T$93,ID$244):INDEX($T$19:$T$93,ID$244+$FJ267-1)))</f>
        <v>0.36961253307410974</v>
      </c>
      <c r="IE267" s="250"/>
    </row>
    <row r="268" spans="8:239">
      <c r="I268" s="137"/>
      <c r="J268" s="375"/>
      <c r="K268" s="138"/>
      <c r="L268" s="1"/>
      <c r="M268" s="376"/>
      <c r="P268" s="375"/>
      <c r="S268" s="55"/>
      <c r="T268" s="375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06"/>
      <c r="AM268" s="106"/>
      <c r="AN268" s="106"/>
      <c r="AO268" s="374"/>
      <c r="AP268" s="31"/>
      <c r="AQ268" s="374"/>
      <c r="AR268" s="31"/>
      <c r="AS268" s="31"/>
      <c r="AT268" s="31"/>
      <c r="AU268" s="31"/>
      <c r="AV268" s="154"/>
      <c r="AW268" s="106"/>
      <c r="AX268" s="106"/>
      <c r="AY268" s="106"/>
      <c r="AZ268" s="106"/>
      <c r="BA268" s="106"/>
      <c r="BB268" s="106"/>
      <c r="BC268" s="107"/>
      <c r="BD268" s="107"/>
      <c r="BE268" s="107"/>
      <c r="BF268" s="105"/>
      <c r="BG268" s="107"/>
      <c r="BH268" s="107"/>
      <c r="BI268" s="160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7"/>
      <c r="BW268" s="107"/>
      <c r="BX268" s="107"/>
      <c r="BY268" s="107"/>
      <c r="BZ268" s="107"/>
      <c r="CA268" s="107"/>
      <c r="CB268" s="107"/>
      <c r="CC268" s="107"/>
      <c r="CD268" s="107"/>
      <c r="CE268" s="107"/>
      <c r="CF268" s="106"/>
      <c r="CG268" s="106"/>
      <c r="CH268" s="106"/>
      <c r="CI268" s="106"/>
      <c r="CJ268" s="106"/>
      <c r="CK268" s="106"/>
      <c r="CL268" s="110"/>
      <c r="CM268" s="1"/>
      <c r="CN268" s="53"/>
      <c r="CO268" s="53"/>
      <c r="CP268" s="53"/>
      <c r="CQ268" s="53"/>
      <c r="CR268" s="53"/>
      <c r="CS268" s="53"/>
      <c r="CT268" s="53"/>
      <c r="CU268" s="53"/>
      <c r="CV268" s="53"/>
      <c r="CW268" s="53"/>
      <c r="CX268" s="53"/>
      <c r="CY268" s="53"/>
      <c r="CZ268" s="53"/>
      <c r="DA268" s="53"/>
      <c r="DB268" s="53"/>
      <c r="DC268" s="53"/>
      <c r="DD268" s="53"/>
      <c r="DE268" s="53"/>
      <c r="DH268" s="475"/>
      <c r="DK268" s="475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3"/>
      <c r="EL268" s="55"/>
      <c r="EM268" s="1"/>
      <c r="EN268" s="106"/>
      <c r="EO268" s="106"/>
      <c r="EP268" s="1"/>
      <c r="EQ268" s="106"/>
      <c r="ER268" s="1"/>
      <c r="ES268" s="1"/>
      <c r="ET268" s="1"/>
      <c r="EU268" s="106"/>
      <c r="FJ268" s="673">
        <v>24</v>
      </c>
      <c r="FK268" s="479" t="str">
        <f ca="1">IF($FJ268+FK$244&gt;73,"",PRODUCT(INDEX($T$19:$T$93,FK$244):INDEX($T$19:$T$93,FK$244+$FJ268-1)))</f>
        <v/>
      </c>
      <c r="FL268" s="479" t="str">
        <f ca="1">IF($FJ268+FL$244&gt;73,"",PRODUCT(INDEX($T$19:$T$93,FL$244):INDEX($T$19:$T$93,FL$244+$FJ268-1)))</f>
        <v/>
      </c>
      <c r="FM268" s="479" t="str">
        <f ca="1">IF($FJ268+FM$244&gt;73,"",PRODUCT(INDEX($T$19:$T$93,FM$244):INDEX($T$19:$T$93,FM$244+$FJ268-1)))</f>
        <v/>
      </c>
      <c r="FN268" s="479" t="str">
        <f ca="1">IF($FJ268+FN$244&gt;73,"",PRODUCT(INDEX($T$19:$T$93,FN$244):INDEX($T$19:$T$93,FN$244+$FJ268-1)))</f>
        <v/>
      </c>
      <c r="FO268" s="479" t="str">
        <f ca="1">IF($FJ268+FO$244&gt;73,"",PRODUCT(INDEX($T$19:$T$93,FO$244):INDEX($T$19:$T$93,FO$244+$FJ268-1)))</f>
        <v/>
      </c>
      <c r="FP268" s="479" t="str">
        <f ca="1">IF($FJ268+FP$244&gt;73,"",PRODUCT(INDEX($T$19:$T$93,FP$244):INDEX($T$19:$T$93,FP$244+$FJ268-1)))</f>
        <v/>
      </c>
      <c r="FQ268" s="479" t="str">
        <f ca="1">IF($FJ268+FQ$244&gt;73,"",PRODUCT(INDEX($T$19:$T$93,FQ$244):INDEX($T$19:$T$93,FQ$244+$FJ268-1)))</f>
        <v/>
      </c>
      <c r="FR268" s="479" t="str">
        <f ca="1">IF($FJ268+FR$244&gt;73,"",PRODUCT(INDEX($T$19:$T$93,FR$244):INDEX($T$19:$T$93,FR$244+$FJ268-1)))</f>
        <v/>
      </c>
      <c r="FS268" s="479" t="str">
        <f ca="1">IF($FJ268+FS$244&gt;73,"",PRODUCT(INDEX($T$19:$T$93,FS$244):INDEX($T$19:$T$93,FS$244+$FJ268-1)))</f>
        <v/>
      </c>
      <c r="FT268" s="479" t="str">
        <f ca="1">IF($FJ268+FT$244&gt;73,"",PRODUCT(INDEX($T$19:$T$93,FT$244):INDEX($T$19:$T$93,FT$244+$FJ268-1)))</f>
        <v/>
      </c>
      <c r="FU268" s="479" t="str">
        <f ca="1">IF($FJ268+FU$244&gt;73,"",PRODUCT(INDEX($T$19:$T$93,FU$244):INDEX($T$19:$T$93,FU$244+$FJ268-1)))</f>
        <v/>
      </c>
      <c r="FV268" s="479" t="str">
        <f ca="1">IF($FJ268+FV$244&gt;73,"",PRODUCT(INDEX($T$19:$T$93,FV$244):INDEX($T$19:$T$93,FV$244+$FJ268-1)))</f>
        <v/>
      </c>
      <c r="FW268" s="479" t="str">
        <f ca="1">IF($FJ268+FW$244&gt;73,"",PRODUCT(INDEX($T$19:$T$93,FW$244):INDEX($T$19:$T$93,FW$244+$FJ268-1)))</f>
        <v/>
      </c>
      <c r="FX268" s="479" t="str">
        <f ca="1">IF($FJ268+FX$244&gt;73,"",PRODUCT(INDEX($T$19:$T$93,FX$244):INDEX($T$19:$T$93,FX$244+$FJ268-1)))</f>
        <v/>
      </c>
      <c r="FY268" s="479" t="str">
        <f ca="1">IF($FJ268+FY$244&gt;73,"",PRODUCT(INDEX($T$19:$T$93,FY$244):INDEX($T$19:$T$93,FY$244+$FJ268-1)))</f>
        <v/>
      </c>
      <c r="FZ268" s="479" t="str">
        <f ca="1">IF($FJ268+FZ$244&gt;73,"",PRODUCT(INDEX($T$19:$T$93,FZ$244):INDEX($T$19:$T$93,FZ$244+$FJ268-1)))</f>
        <v/>
      </c>
      <c r="GA268" s="479" t="str">
        <f ca="1">IF($FJ268+GA$244&gt;73,"",PRODUCT(INDEX($T$19:$T$93,GA$244):INDEX($T$19:$T$93,GA$244+$FJ268-1)))</f>
        <v/>
      </c>
      <c r="GB268" s="479" t="str">
        <f ca="1">IF($FJ268+GB$244&gt;73,"",PRODUCT(INDEX($T$19:$T$93,GB$244):INDEX($T$19:$T$93,GB$244+$FJ268-1)))</f>
        <v/>
      </c>
      <c r="GC268" s="479" t="str">
        <f ca="1">IF($FJ268+GC$244&gt;73,"",PRODUCT(INDEX($T$19:$T$93,GC$244):INDEX($T$19:$T$93,GC$244+$FJ268-1)))</f>
        <v/>
      </c>
      <c r="GD268" s="479" t="str">
        <f ca="1">IF($FJ268+GD$244&gt;73,"",PRODUCT(INDEX($T$19:$T$93,GD$244):INDEX($T$19:$T$93,GD$244+$FJ268-1)))</f>
        <v/>
      </c>
      <c r="GE268" s="479" t="str">
        <f ca="1">IF($FJ268+GE$244&gt;73,"",PRODUCT(INDEX($T$19:$T$93,GE$244):INDEX($T$19:$T$93,GE$244+$FJ268-1)))</f>
        <v/>
      </c>
      <c r="GF268" s="479" t="str">
        <f ca="1">IF($FJ268+GF$244&gt;73,"",PRODUCT(INDEX($T$19:$T$93,GF$244):INDEX($T$19:$T$93,GF$244+$FJ268-1)))</f>
        <v/>
      </c>
      <c r="GG268" s="479" t="str">
        <f ca="1">IF($FJ268+GG$244&gt;73,"",PRODUCT(INDEX($T$19:$T$93,GG$244):INDEX($T$19:$T$93,GG$244+$FJ268-1)))</f>
        <v/>
      </c>
      <c r="GH268" s="479">
        <f ca="1">IF($FJ268+GH$244&gt;73,"",PRODUCT(INDEX($T$19:$T$93,GH$244):INDEX($T$19:$T$93,GH$244+$FJ268-1)))</f>
        <v>0.99952000014530562</v>
      </c>
      <c r="GI268" s="479">
        <f ca="1">IF($FJ268+GI$244&gt;73,"",PRODUCT(INDEX($T$19:$T$93,GI$244):INDEX($T$19:$T$93,GI$244+$FJ268-1)))</f>
        <v>0.99943860918846505</v>
      </c>
      <c r="GJ268" s="479">
        <f ca="1">IF($FJ268+GJ$244&gt;73,"",PRODUCT(INDEX($T$19:$T$93,GJ$244):INDEX($T$19:$T$93,GJ$244+$FJ268-1)))</f>
        <v>0.99934341992458209</v>
      </c>
      <c r="GK268" s="479">
        <f ca="1">IF($FJ268+GK$244&gt;73,"",PRODUCT(INDEX($T$19:$T$93,GK$244):INDEX($T$19:$T$93,GK$244+$FJ268-1)))</f>
        <v>0.9992320941460423</v>
      </c>
      <c r="GL268" s="479">
        <f ca="1">IF($FJ268+GL$244&gt;73,"",PRODUCT(INDEX($T$19:$T$93,GL$244):INDEX($T$19:$T$93,GL$244+$FJ268-1)))</f>
        <v>0.999101897815454</v>
      </c>
      <c r="GM268" s="479">
        <f ca="1">IF($FJ268+GM$244&gt;73,"",PRODUCT(INDEX($T$19:$T$93,GM$244):INDEX($T$19:$T$93,GM$244+$FJ268-1)))</f>
        <v>0.99894963420572325</v>
      </c>
      <c r="GN268" s="479">
        <f ca="1">IF($FJ268+GN$244&gt;73,"",PRODUCT(INDEX($T$19:$T$93,GN$244):INDEX($T$19:$T$93,GN$244+$FJ268-1)))</f>
        <v>0.99877156580314086</v>
      </c>
      <c r="GO268" s="479">
        <f ca="1">IF($FJ268+GO$244&gt;73,"",PRODUCT(INDEX($T$19:$T$93,GO$244):INDEX($T$19:$T$93,GO$244+$FJ268-1)))</f>
        <v>0.998563323106199</v>
      </c>
      <c r="GP268" s="479">
        <f ca="1">IF($FJ268+GP$244&gt;73,"",PRODUCT(INDEX($T$19:$T$93,GP$244):INDEX($T$19:$T$93,GP$244+$FJ268-1)))</f>
        <v>0.99831979815060901</v>
      </c>
      <c r="GQ268" s="479">
        <f ca="1">IF($FJ268+GQ$244&gt;73,"",PRODUCT(INDEX($T$19:$T$93,GQ$244):INDEX($T$19:$T$93,GQ$244+$FJ268-1)))</f>
        <v>0.99803502024292312</v>
      </c>
      <c r="GR268" s="479">
        <f ca="1">IF($FJ268+GR$244&gt;73,"",PRODUCT(INDEX($T$19:$T$93,GR$244):INDEX($T$19:$T$93,GR$244+$FJ268-1)))</f>
        <v>0.99770201098546452</v>
      </c>
      <c r="GS268" s="479">
        <f ca="1">IF($FJ268+GS$244&gt;73,"",PRODUCT(INDEX($T$19:$T$93,GS$244):INDEX($T$19:$T$93,GS$244+$FJ268-1)))</f>
        <v>0.99731261521802417</v>
      </c>
      <c r="GT268" s="479">
        <f ca="1">IF($FJ268+GT$244&gt;73,"",PRODUCT(INDEX($T$19:$T$93,GT$244):INDEX($T$19:$T$93,GT$244+$FJ268-1)))</f>
        <v>0.99685730398098216</v>
      </c>
      <c r="GU268" s="479">
        <f ca="1">IF($FJ268+GU$244&gt;73,"",PRODUCT(INDEX($T$19:$T$93,GU$244):INDEX($T$19:$T$93,GU$244+$FJ268-1)))</f>
        <v>0.99632494501462909</v>
      </c>
      <c r="GV268" s="479">
        <f ca="1">IF($FJ268+GV$244&gt;73,"",PRODUCT(INDEX($T$19:$T$93,GV$244):INDEX($T$19:$T$93,GV$244+$FJ268-1)))</f>
        <v>0.9957025356458965</v>
      </c>
      <c r="GW268" s="479">
        <f ca="1">IF($FJ268+GW$244&gt;73,"",PRODUCT(INDEX($T$19:$T$93,GW$244):INDEX($T$19:$T$93,GW$244+$FJ268-1)))</f>
        <v>0.99497489217379642</v>
      </c>
      <c r="GX268" s="479">
        <f ca="1">IF($FJ268+GX$244&gt;73,"",PRODUCT(INDEX($T$19:$T$93,GX$244):INDEX($T$19:$T$93,GX$244+$FJ268-1)))</f>
        <v>0.99412428904901062</v>
      </c>
      <c r="GY268" s="479">
        <f ca="1">IF($FJ268+GY$244&gt;73,"",PRODUCT(INDEX($T$19:$T$93,GY$244):INDEX($T$19:$T$93,GY$244+$FJ268-1)))</f>
        <v>0.99313004025673113</v>
      </c>
      <c r="GZ268" s="479">
        <f ca="1">IF($FJ268+GZ$244&gt;73,"",PRODUCT(INDEX($T$19:$T$93,GZ$244):INDEX($T$19:$T$93,GZ$244+$FJ268-1)))</f>
        <v>0.99196801436811421</v>
      </c>
      <c r="HA268" s="479">
        <f ca="1">IF($FJ268+HA$244&gt;73,"",PRODUCT(INDEX($T$19:$T$93,HA$244):INDEX($T$19:$T$93,HA$244+$FJ268-1)))</f>
        <v>0.99061007374893861</v>
      </c>
      <c r="HB268" s="479">
        <f ca="1">IF($FJ268+HB$244&gt;73,"",PRODUCT(INDEX($T$19:$T$93,HB$244):INDEX($T$19:$T$93,HB$244+$FJ268-1)))</f>
        <v>0.98902342744522376</v>
      </c>
      <c r="HC268" s="479">
        <f ca="1">IF($FJ268+HC$244&gt;73,"",PRODUCT(INDEX($T$19:$T$93,HC$244):INDEX($T$19:$T$93,HC$244+$FJ268-1)))</f>
        <v>0.98716988636927916</v>
      </c>
      <c r="HD268" s="479">
        <f ca="1">IF($FJ268+HD$244&gt;73,"",PRODUCT(INDEX($T$19:$T$93,HD$244):INDEX($T$19:$T$93,HD$244+$FJ268-1)))</f>
        <v>0.98500500868415963</v>
      </c>
      <c r="HE268" s="479">
        <f ca="1">IF($FJ268+HE$244&gt;73,"",PRODUCT(INDEX($T$19:$T$93,HE$244):INDEX($T$19:$T$93,HE$244+$FJ268-1)))</f>
        <v>0.98247712287515798</v>
      </c>
      <c r="HF268" s="479">
        <f ca="1">IF($FJ268+HF$244&gt;73,"",PRODUCT(INDEX($T$19:$T$93,HF$244):INDEX($T$19:$T$93,HF$244+$FJ268-1)))</f>
        <v>0.97952621611451118</v>
      </c>
      <c r="HG268" s="479">
        <f ca="1">IF($FJ268+HG$244&gt;73,"",PRODUCT(INDEX($T$19:$T$93,HG$244):INDEX($T$19:$T$93,HG$244+$FJ268-1)))</f>
        <v>0.97608267647076141</v>
      </c>
      <c r="HH268" s="479">
        <f ca="1">IF($FJ268+HH$244&gt;73,"",PRODUCT(INDEX($T$19:$T$93,HH$244):INDEX($T$19:$T$93,HH$244+$FJ268-1)))</f>
        <v>0.97206587971073821</v>
      </c>
      <c r="HI268" s="479">
        <f ca="1">IF($FJ268+HI$244&gt;73,"",PRODUCT(INDEX($T$19:$T$93,HI$244):INDEX($T$19:$T$93,HI$244+$FJ268-1)))</f>
        <v>0.96738261547923587</v>
      </c>
      <c r="HJ268" s="479">
        <f ca="1">IF($FJ268+HJ$244&gt;73,"",PRODUCT(INDEX($T$19:$T$93,HJ$244):INDEX($T$19:$T$93,HJ$244+$FJ268-1)))</f>
        <v>0.96192535432995807</v>
      </c>
      <c r="HK268" s="479">
        <f ca="1">IF($FJ268+HK$244&gt;73,"",PRODUCT(INDEX($T$19:$T$93,HK$244):INDEX($T$19:$T$93,HK$244+$FJ268-1)))</f>
        <v>0.9555703675241819</v>
      </c>
      <c r="HL268" s="479">
        <f ca="1">IF($FJ268+HL$244&gt;73,"",PRODUCT(INDEX($T$19:$T$93,HL$244):INDEX($T$19:$T$93,HL$244+$FJ268-1)))</f>
        <v>0.94817572719325138</v>
      </c>
      <c r="HM268" s="479">
        <f ca="1">IF($FJ268+HM$244&gt;73,"",PRODUCT(INDEX($T$19:$T$93,HM$244):INDEX($T$19:$T$93,HM$244+$FJ268-1)))</f>
        <v>0.93957923734324944</v>
      </c>
      <c r="HN268" s="479">
        <f ca="1">IF($FJ268+HN$244&gt;73,"",PRODUCT(INDEX($T$19:$T$93,HN$244):INDEX($T$19:$T$93,HN$244+$FJ268-1)))</f>
        <v>0.92959637882962898</v>
      </c>
      <c r="HO268" s="479">
        <f ca="1">IF($FJ268+HO$244&gt;73,"",PRODUCT(INDEX($T$19:$T$93,HO$244):INDEX($T$19:$T$93,HO$244+$FJ268-1)))</f>
        <v>0.91801839712547018</v>
      </c>
      <c r="HP268" s="479">
        <f ca="1">IF($FJ268+HP$244&gt;73,"",PRODUCT(INDEX($T$19:$T$93,HP$244):INDEX($T$19:$T$93,HP$244+$FJ268-1)))</f>
        <v>0.90461072453096192</v>
      </c>
      <c r="HQ268" s="479">
        <f ca="1">IF($FJ268+HQ$244&gt;73,"",PRODUCT(INDEX($T$19:$T$93,HQ$244):INDEX($T$19:$T$93,HQ$244+$FJ268-1)))</f>
        <v>0.88911201331576606</v>
      </c>
      <c r="HR268" s="479">
        <f ca="1">IF($FJ268+HR$244&gt;73,"",PRODUCT(INDEX($T$19:$T$93,HR$244):INDEX($T$19:$T$93,HR$244+$FJ268-1)))</f>
        <v>0.87123416868390324</v>
      </c>
      <c r="HS268" s="479">
        <f ca="1">IF($FJ268+HS$244&gt;73,"",PRODUCT(INDEX($T$19:$T$93,HS$244):INDEX($T$19:$T$93,HS$244+$FJ268-1)))</f>
        <v>0.85066391606668779</v>
      </c>
      <c r="HT268" s="479">
        <f ca="1">IF($FJ268+HT$244&gt;73,"",PRODUCT(INDEX($T$19:$T$93,HT$244):INDEX($T$19:$T$93,HT$244+$FJ268-1)))</f>
        <v>0.82706662074344828</v>
      </c>
      <c r="HU268" s="479">
        <f ca="1">IF($FJ268+HU$244&gt;73,"",PRODUCT(INDEX($T$19:$T$93,HU$244):INDEX($T$19:$T$93,HU$244+$FJ268-1)))</f>
        <v>0.80009330061854123</v>
      </c>
      <c r="HV268" s="479">
        <f ca="1">IF($FJ268+HV$244&gt;73,"",PRODUCT(INDEX($T$19:$T$93,HV$244):INDEX($T$19:$T$93,HV$244+$FJ268-1)))</f>
        <v>0.7693920294461003</v>
      </c>
      <c r="HW268" s="479">
        <f ca="1">IF($FJ268+HW$244&gt;73,"",PRODUCT(INDEX($T$19:$T$93,HW$244):INDEX($T$19:$T$93,HW$244+$FJ268-1)))</f>
        <v>0.73462519834165496</v>
      </c>
      <c r="HX268" s="479">
        <f ca="1">IF($FJ268+HX$244&gt;73,"",PRODUCT(INDEX($T$19:$T$93,HX$244):INDEX($T$19:$T$93,HX$244+$FJ268-1)))</f>
        <v>0.69549434390545983</v>
      </c>
      <c r="HY268" s="479">
        <f ca="1">IF($FJ268+HY$244&gt;73,"",PRODUCT(INDEX($T$19:$T$93,HY$244):INDEX($T$19:$T$93,HY$244+$FJ268-1)))</f>
        <v>0.651774376662835</v>
      </c>
      <c r="HZ268" s="479">
        <f ca="1">IF($FJ268+HZ$244&gt;73,"",PRODUCT(INDEX($T$19:$T$93,HZ$244):INDEX($T$19:$T$93,HZ$244+$FJ268-1)))</f>
        <v>0.60335890489638</v>
      </c>
      <c r="IA268" s="479">
        <f ca="1">IF($FJ268+IA$244&gt;73,"",PRODUCT(INDEX($T$19:$T$93,IA$244):INDEX($T$19:$T$93,IA$244+$FJ268-1)))</f>
        <v>0.55031770463463103</v>
      </c>
      <c r="IB268" s="479">
        <f ca="1">IF($FJ268+IB$244&gt;73,"",PRODUCT(INDEX($T$19:$T$93,IB$244):INDEX($T$19:$T$93,IB$244+$FJ268-1)))</f>
        <v>0.4929658731333097</v>
      </c>
      <c r="IC268" s="479">
        <f ca="1">IF($FJ268+IC$244&gt;73,"",PRODUCT(INDEX($T$19:$T$93,IC$244):INDEX($T$19:$T$93,IC$244+$FJ268-1)))</f>
        <v>0.431941323608734</v>
      </c>
      <c r="ID268" s="678">
        <f ca="1">IF($FJ268+ID$244&gt;73,"",PRODUCT(INDEX($T$19:$T$93,ID$244):INDEX($T$19:$T$93,ID$244+$FJ268-1)))</f>
        <v>0.36828244771970248</v>
      </c>
      <c r="IE268" s="250"/>
    </row>
    <row r="269" spans="8:239">
      <c r="I269" s="137"/>
      <c r="J269" s="375"/>
      <c r="K269" s="138"/>
      <c r="L269" s="1"/>
      <c r="M269" s="376"/>
      <c r="P269" s="375"/>
      <c r="S269" s="55"/>
      <c r="T269" s="375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06"/>
      <c r="AM269" s="106"/>
      <c r="AN269" s="106"/>
      <c r="AO269" s="374"/>
      <c r="AP269" s="31"/>
      <c r="AQ269" s="374"/>
      <c r="AR269" s="31"/>
      <c r="AS269" s="31"/>
      <c r="AT269" s="31"/>
      <c r="AU269" s="31"/>
      <c r="AV269" s="154"/>
      <c r="AW269" s="106"/>
      <c r="AX269" s="106"/>
      <c r="AY269" s="106"/>
      <c r="AZ269" s="106"/>
      <c r="BA269" s="106"/>
      <c r="BB269" s="106"/>
      <c r="BC269" s="107"/>
      <c r="BD269" s="107"/>
      <c r="BE269" s="107"/>
      <c r="BF269" s="105"/>
      <c r="BG269" s="107"/>
      <c r="BH269" s="107"/>
      <c r="BI269" s="160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7"/>
      <c r="BW269" s="107"/>
      <c r="BX269" s="107"/>
      <c r="BY269" s="107"/>
      <c r="BZ269" s="107"/>
      <c r="CA269" s="107"/>
      <c r="CB269" s="107"/>
      <c r="CC269" s="107"/>
      <c r="CD269" s="107"/>
      <c r="CE269" s="107"/>
      <c r="CF269" s="106"/>
      <c r="CG269" s="106"/>
      <c r="CH269" s="106"/>
      <c r="CI269" s="106"/>
      <c r="CJ269" s="106"/>
      <c r="CK269" s="106"/>
      <c r="CL269" s="110"/>
      <c r="CM269" s="1"/>
      <c r="CN269" s="53"/>
      <c r="CO269" s="53"/>
      <c r="CP269" s="53"/>
      <c r="CQ269" s="53"/>
      <c r="CR269" s="53"/>
      <c r="CS269" s="53"/>
      <c r="CT269" s="53"/>
      <c r="CU269" s="53"/>
      <c r="CV269" s="53"/>
      <c r="CW269" s="53"/>
      <c r="CX269" s="53"/>
      <c r="CY269" s="53"/>
      <c r="CZ269" s="53"/>
      <c r="DA269" s="53"/>
      <c r="DB269" s="53"/>
      <c r="DC269" s="53"/>
      <c r="DD269" s="53"/>
      <c r="DE269" s="53"/>
      <c r="DH269" s="475"/>
      <c r="DK269" s="475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3"/>
      <c r="EL269" s="55"/>
      <c r="EM269" s="1"/>
      <c r="EN269" s="106"/>
      <c r="EO269" s="106"/>
      <c r="EP269" s="1"/>
      <c r="EQ269" s="106"/>
      <c r="ER269" s="1"/>
      <c r="ES269" s="1"/>
      <c r="ET269" s="1"/>
      <c r="EU269" s="106"/>
      <c r="FJ269" s="673">
        <v>25</v>
      </c>
      <c r="FK269" s="479" t="str">
        <f ca="1">IF($FJ269+FK$244&gt;73,"",PRODUCT(INDEX($T$19:$T$93,FK$244):INDEX($T$19:$T$93,FK$244+$FJ269-1)))</f>
        <v/>
      </c>
      <c r="FL269" s="479" t="str">
        <f ca="1">IF($FJ269+FL$244&gt;73,"",PRODUCT(INDEX($T$19:$T$93,FL$244):INDEX($T$19:$T$93,FL$244+$FJ269-1)))</f>
        <v/>
      </c>
      <c r="FM269" s="479" t="str">
        <f ca="1">IF($FJ269+FM$244&gt;73,"",PRODUCT(INDEX($T$19:$T$93,FM$244):INDEX($T$19:$T$93,FM$244+$FJ269-1)))</f>
        <v/>
      </c>
      <c r="FN269" s="479" t="str">
        <f ca="1">IF($FJ269+FN$244&gt;73,"",PRODUCT(INDEX($T$19:$T$93,FN$244):INDEX($T$19:$T$93,FN$244+$FJ269-1)))</f>
        <v/>
      </c>
      <c r="FO269" s="479" t="str">
        <f ca="1">IF($FJ269+FO$244&gt;73,"",PRODUCT(INDEX($T$19:$T$93,FO$244):INDEX($T$19:$T$93,FO$244+$FJ269-1)))</f>
        <v/>
      </c>
      <c r="FP269" s="479" t="str">
        <f ca="1">IF($FJ269+FP$244&gt;73,"",PRODUCT(INDEX($T$19:$T$93,FP$244):INDEX($T$19:$T$93,FP$244+$FJ269-1)))</f>
        <v/>
      </c>
      <c r="FQ269" s="479" t="str">
        <f ca="1">IF($FJ269+FQ$244&gt;73,"",PRODUCT(INDEX($T$19:$T$93,FQ$244):INDEX($T$19:$T$93,FQ$244+$FJ269-1)))</f>
        <v/>
      </c>
      <c r="FR269" s="479" t="str">
        <f ca="1">IF($FJ269+FR$244&gt;73,"",PRODUCT(INDEX($T$19:$T$93,FR$244):INDEX($T$19:$T$93,FR$244+$FJ269-1)))</f>
        <v/>
      </c>
      <c r="FS269" s="479" t="str">
        <f ca="1">IF($FJ269+FS$244&gt;73,"",PRODUCT(INDEX($T$19:$T$93,FS$244):INDEX($T$19:$T$93,FS$244+$FJ269-1)))</f>
        <v/>
      </c>
      <c r="FT269" s="479" t="str">
        <f ca="1">IF($FJ269+FT$244&gt;73,"",PRODUCT(INDEX($T$19:$T$93,FT$244):INDEX($T$19:$T$93,FT$244+$FJ269-1)))</f>
        <v/>
      </c>
      <c r="FU269" s="479" t="str">
        <f ca="1">IF($FJ269+FU$244&gt;73,"",PRODUCT(INDEX($T$19:$T$93,FU$244):INDEX($T$19:$T$93,FU$244+$FJ269-1)))</f>
        <v/>
      </c>
      <c r="FV269" s="479" t="str">
        <f ca="1">IF($FJ269+FV$244&gt;73,"",PRODUCT(INDEX($T$19:$T$93,FV$244):INDEX($T$19:$T$93,FV$244+$FJ269-1)))</f>
        <v/>
      </c>
      <c r="FW269" s="479" t="str">
        <f ca="1">IF($FJ269+FW$244&gt;73,"",PRODUCT(INDEX($T$19:$T$93,FW$244):INDEX($T$19:$T$93,FW$244+$FJ269-1)))</f>
        <v/>
      </c>
      <c r="FX269" s="479" t="str">
        <f ca="1">IF($FJ269+FX$244&gt;73,"",PRODUCT(INDEX($T$19:$T$93,FX$244):INDEX($T$19:$T$93,FX$244+$FJ269-1)))</f>
        <v/>
      </c>
      <c r="FY269" s="479" t="str">
        <f ca="1">IF($FJ269+FY$244&gt;73,"",PRODUCT(INDEX($T$19:$T$93,FY$244):INDEX($T$19:$T$93,FY$244+$FJ269-1)))</f>
        <v/>
      </c>
      <c r="FZ269" s="479" t="str">
        <f ca="1">IF($FJ269+FZ$244&gt;73,"",PRODUCT(INDEX($T$19:$T$93,FZ$244):INDEX($T$19:$T$93,FZ$244+$FJ269-1)))</f>
        <v/>
      </c>
      <c r="GA269" s="479" t="str">
        <f ca="1">IF($FJ269+GA$244&gt;73,"",PRODUCT(INDEX($T$19:$T$93,GA$244):INDEX($T$19:$T$93,GA$244+$FJ269-1)))</f>
        <v/>
      </c>
      <c r="GB269" s="479" t="str">
        <f ca="1">IF($FJ269+GB$244&gt;73,"",PRODUCT(INDEX($T$19:$T$93,GB$244):INDEX($T$19:$T$93,GB$244+$FJ269-1)))</f>
        <v/>
      </c>
      <c r="GC269" s="479" t="str">
        <f ca="1">IF($FJ269+GC$244&gt;73,"",PRODUCT(INDEX($T$19:$T$93,GC$244):INDEX($T$19:$T$93,GC$244+$FJ269-1)))</f>
        <v/>
      </c>
      <c r="GD269" s="479" t="str">
        <f ca="1">IF($FJ269+GD$244&gt;73,"",PRODUCT(INDEX($T$19:$T$93,GD$244):INDEX($T$19:$T$93,GD$244+$FJ269-1)))</f>
        <v/>
      </c>
      <c r="GE269" s="479" t="str">
        <f ca="1">IF($FJ269+GE$244&gt;73,"",PRODUCT(INDEX($T$19:$T$93,GE$244):INDEX($T$19:$T$93,GE$244+$FJ269-1)))</f>
        <v/>
      </c>
      <c r="GF269" s="479" t="str">
        <f ca="1">IF($FJ269+GF$244&gt;73,"",PRODUCT(INDEX($T$19:$T$93,GF$244):INDEX($T$19:$T$93,GF$244+$FJ269-1)))</f>
        <v/>
      </c>
      <c r="GG269" s="479" t="str">
        <f ca="1">IF($FJ269+GG$244&gt;73,"",PRODUCT(INDEX($T$19:$T$93,GG$244):INDEX($T$19:$T$93,GG$244+$FJ269-1)))</f>
        <v/>
      </c>
      <c r="GH269" s="479" t="str">
        <f ca="1">IF($FJ269+GH$244&gt;73,"",PRODUCT(INDEX($T$19:$T$93,GH$244):INDEX($T$19:$T$93,GH$244+$FJ269-1)))</f>
        <v/>
      </c>
      <c r="GI269" s="479">
        <f ca="1">IF($FJ269+GI$244&gt;73,"",PRODUCT(INDEX($T$19:$T$93,GI$244):INDEX($T$19:$T$93,GI$244+$FJ269-1)))</f>
        <v>0.99943666886174187</v>
      </c>
      <c r="GJ269" s="479">
        <f ca="1">IF($FJ269+GJ$244&gt;73,"",PRODUCT(INDEX($T$19:$T$93,GJ$244):INDEX($T$19:$T$93,GJ$244+$FJ269-1)))</f>
        <v>0.99934115075016694</v>
      </c>
      <c r="GK269" s="479">
        <f ca="1">IF($FJ269+GK$244&gt;73,"",PRODUCT(INDEX($T$19:$T$93,GK$244):INDEX($T$19:$T$93,GK$244+$FJ269-1)))</f>
        <v>0.99922944043308248</v>
      </c>
      <c r="GL269" s="479">
        <f ca="1">IF($FJ269+GL$244&gt;73,"",PRODUCT(INDEX($T$19:$T$93,GL$244):INDEX($T$19:$T$93,GL$244+$FJ269-1)))</f>
        <v>0.99909879445739846</v>
      </c>
      <c r="GM269" s="479">
        <f ca="1">IF($FJ269+GM$244&gt;73,"",PRODUCT(INDEX($T$19:$T$93,GM$244):INDEX($T$19:$T$93,GM$244+$FJ269-1)))</f>
        <v>0.9989460050941622</v>
      </c>
      <c r="GN269" s="479">
        <f ca="1">IF($FJ269+GN$244&gt;73,"",PRODUCT(INDEX($T$19:$T$93,GN$244):INDEX($T$19:$T$93,GN$244+$FJ269-1)))</f>
        <v>0.99876732197656581</v>
      </c>
      <c r="GO269" s="479">
        <f ca="1">IF($FJ269+GO$244&gt;73,"",PRODUCT(INDEX($T$19:$T$93,GO$244):INDEX($T$19:$T$93,GO$244+$FJ269-1)))</f>
        <v>0.99855836059016878</v>
      </c>
      <c r="GP269" s="479">
        <f ca="1">IF($FJ269+GP$244&gt;73,"",PRODUCT(INDEX($T$19:$T$93,GP$244):INDEX($T$19:$T$93,GP$244+$FJ269-1)))</f>
        <v>0.99831399543895649</v>
      </c>
      <c r="GQ269" s="479">
        <f ca="1">IF($FJ269+GQ$244&gt;73,"",PRODUCT(INDEX($T$19:$T$93,GQ$244):INDEX($T$19:$T$93,GQ$244+$FJ269-1)))</f>
        <v>0.99802823536181751</v>
      </c>
      <c r="GR269" s="479">
        <f ca="1">IF($FJ269+GR$244&gt;73,"",PRODUCT(INDEX($T$19:$T$93,GR$244):INDEX($T$19:$T$93,GR$244+$FJ269-1)))</f>
        <v>0.99769407807326438</v>
      </c>
      <c r="GS269" s="479">
        <f ca="1">IF($FJ269+GS$244&gt;73,"",PRODUCT(INDEX($T$19:$T$93,GS$244):INDEX($T$19:$T$93,GS$244+$FJ269-1)))</f>
        <v>0.99730334054383041</v>
      </c>
      <c r="GT269" s="479">
        <f ca="1">IF($FJ269+GT$244&gt;73,"",PRODUCT(INDEX($T$19:$T$93,GT$244):INDEX($T$19:$T$93,GT$244+$FJ269-1)))</f>
        <v>0.99684646131356502</v>
      </c>
      <c r="GU269" s="479">
        <f ca="1">IF($FJ269+GU$244&gt;73,"",PRODUCT(INDEX($T$19:$T$93,GU$244):INDEX($T$19:$T$93,GU$244+$FJ269-1)))</f>
        <v>0.99631227024093805</v>
      </c>
      <c r="GV269" s="479">
        <f ca="1">IF($FJ269+GV$244&gt;73,"",PRODUCT(INDEX($T$19:$T$93,GV$244):INDEX($T$19:$T$93,GV$244+$FJ269-1)))</f>
        <v>0.9956877205246909</v>
      </c>
      <c r="GW269" s="479">
        <f ca="1">IF($FJ269+GW$244&gt;73,"",PRODUCT(INDEX($T$19:$T$93,GW$244):INDEX($T$19:$T$93,GW$244+$FJ269-1)))</f>
        <v>0.99495757709519728</v>
      </c>
      <c r="GX269" s="479">
        <f ca="1">IF($FJ269+GX$244&gt;73,"",PRODUCT(INDEX($T$19:$T$93,GX$244):INDEX($T$19:$T$93,GX$244+$FJ269-1)))</f>
        <v>0.99410405465522311</v>
      </c>
      <c r="GY269" s="479">
        <f ca="1">IF($FJ269+GY$244&gt;73,"",PRODUCT(INDEX($T$19:$T$93,GY$244):INDEX($T$19:$T$93,GY$244+$FJ269-1)))</f>
        <v>0.99310639776330523</v>
      </c>
      <c r="GZ269" s="479">
        <f ca="1">IF($FJ269+GZ$244&gt;73,"",PRODUCT(INDEX($T$19:$T$93,GZ$244):INDEX($T$19:$T$93,GZ$244+$FJ269-1)))</f>
        <v>0.99194039440965531</v>
      </c>
      <c r="HA269" s="479">
        <f ca="1">IF($FJ269+HA$244&gt;73,"",PRODUCT(INDEX($T$19:$T$93,HA$244):INDEX($T$19:$T$93,HA$244+$FJ269-1)))</f>
        <v>0.99057781355933328</v>
      </c>
      <c r="HB269" s="479">
        <f ca="1">IF($FJ269+HB$244&gt;73,"",PRODUCT(INDEX($T$19:$T$93,HB$244):INDEX($T$19:$T$93,HB$244+$FJ269-1)))</f>
        <v>0.98898575617197271</v>
      </c>
      <c r="HC269" s="479">
        <f ca="1">IF($FJ269+HC$244&gt;73,"",PRODUCT(INDEX($T$19:$T$93,HC$244):INDEX($T$19:$T$93,HC$244+$FJ269-1)))</f>
        <v>0.98712590831700464</v>
      </c>
      <c r="HD269" s="479">
        <f ca="1">IF($FJ269+HD$244&gt;73,"",PRODUCT(INDEX($T$19:$T$93,HD$244):INDEX($T$19:$T$93,HD$244+$FJ269-1)))</f>
        <v>0.984953684287458</v>
      </c>
      <c r="HE269" s="479">
        <f ca="1">IF($FJ269+HE$244&gt;73,"",PRODUCT(INDEX($T$19:$T$93,HE$244):INDEX($T$19:$T$93,HE$244+$FJ269-1)))</f>
        <v>0.98241724722089063</v>
      </c>
      <c r="HF269" s="479">
        <f ca="1">IF($FJ269+HF$244&gt;73,"",PRODUCT(INDEX($T$19:$T$93,HF$244):INDEX($T$19:$T$93,HF$244+$FJ269-1)))</f>
        <v>0.97945639487558822</v>
      </c>
      <c r="HG269" s="479">
        <f ca="1">IF($FJ269+HG$244&gt;73,"",PRODUCT(INDEX($T$19:$T$93,HG$244):INDEX($T$19:$T$93,HG$244+$FJ269-1)))</f>
        <v>0.97600129918738254</v>
      </c>
      <c r="HH269" s="479">
        <f ca="1">IF($FJ269+HH$244&gt;73,"",PRODUCT(INDEX($T$19:$T$93,HH$244):INDEX($T$19:$T$93,HH$244+$FJ269-1)))</f>
        <v>0.97197109047437247</v>
      </c>
      <c r="HI269" s="479">
        <f ca="1">IF($FJ269+HI$244&gt;73,"",PRODUCT(INDEX($T$19:$T$93,HI$244):INDEX($T$19:$T$93,HI$244+$FJ269-1)))</f>
        <v>0.96727228125738607</v>
      </c>
      <c r="HJ269" s="479">
        <f ca="1">IF($FJ269+HJ$244&gt;73,"",PRODUCT(INDEX($T$19:$T$93,HJ$244):INDEX($T$19:$T$93,HJ$244+$FJ269-1)))</f>
        <v>0.96179703143982864</v>
      </c>
      <c r="HK269" s="479">
        <f ca="1">IF($FJ269+HK$244&gt;73,"",PRODUCT(INDEX($T$19:$T$93,HK$244):INDEX($T$19:$T$93,HK$244+$FJ269-1)))</f>
        <v>0.95542126715183262</v>
      </c>
      <c r="HL269" s="479">
        <f ca="1">IF($FJ269+HL$244&gt;73,"",PRODUCT(INDEX($T$19:$T$93,HL$244):INDEX($T$19:$T$93,HL$244+$FJ269-1)))</f>
        <v>0.94800268140141353</v>
      </c>
      <c r="HM269" s="479">
        <f ca="1">IF($FJ269+HM$244&gt;73,"",PRODUCT(INDEX($T$19:$T$93,HM$244):INDEX($T$19:$T$93,HM$244+$FJ269-1)))</f>
        <v>0.93937866776531909</v>
      </c>
      <c r="HN269" s="479">
        <f ca="1">IF($FJ269+HN$244&gt;73,"",PRODUCT(INDEX($T$19:$T$93,HN$244):INDEX($T$19:$T$93,HN$244+$FJ269-1)))</f>
        <v>0.92936427126944976</v>
      </c>
      <c r="HO269" s="479">
        <f ca="1">IF($FJ269+HO$244&gt;73,"",PRODUCT(INDEX($T$19:$T$93,HO$244):INDEX($T$19:$T$93,HO$244+$FJ269-1)))</f>
        <v>0.91775028664171165</v>
      </c>
      <c r="HP269" s="479">
        <f ca="1">IF($FJ269+HP$244&gt;73,"",PRODUCT(INDEX($T$19:$T$93,HP$244):INDEX($T$19:$T$93,HP$244+$FJ269-1)))</f>
        <v>0.90430169735569998</v>
      </c>
      <c r="HQ269" s="479">
        <f ca="1">IF($FJ269+HQ$244&gt;73,"",PRODUCT(INDEX($T$19:$T$93,HQ$244):INDEX($T$19:$T$93,HQ$244+$FJ269-1)))</f>
        <v>0.88875673420927137</v>
      </c>
      <c r="HR269" s="479">
        <f ca="1">IF($FJ269+HR$244&gt;73,"",PRODUCT(INDEX($T$19:$T$93,HR$244):INDEX($T$19:$T$93,HR$244+$FJ269-1)))</f>
        <v>0.87082694510803271</v>
      </c>
      <c r="HS269" s="479">
        <f ca="1">IF($FJ269+HS$244&gt;73,"",PRODUCT(INDEX($T$19:$T$93,HS$244):INDEX($T$19:$T$93,HS$244+$FJ269-1)))</f>
        <v>0.85019881385612783</v>
      </c>
      <c r="HT269" s="479">
        <f ca="1">IF($FJ269+HT$244&gt;73,"",PRODUCT(INDEX($T$19:$T$93,HT$244):INDEX($T$19:$T$93,HT$244+$FJ269-1)))</f>
        <v>0.82653764964000898</v>
      </c>
      <c r="HU269" s="479">
        <f ca="1">IF($FJ269+HU$244&gt;73,"",PRODUCT(INDEX($T$19:$T$93,HU$244):INDEX($T$19:$T$93,HU$244+$FJ269-1)))</f>
        <v>0.79949469177271126</v>
      </c>
      <c r="HV269" s="479">
        <f ca="1">IF($FJ269+HV$244&gt;73,"",PRODUCT(INDEX($T$19:$T$93,HV$244):INDEX($T$19:$T$93,HV$244+$FJ269-1)))</f>
        <v>0.76871863009602304</v>
      </c>
      <c r="HW269" s="479">
        <f ca="1">IF($FJ269+HW$244&gt;73,"",PRODUCT(INDEX($T$19:$T$93,HW$244):INDEX($T$19:$T$93,HW$244+$FJ269-1)))</f>
        <v>0.73387301011339334</v>
      </c>
      <c r="HX269" s="479">
        <f ca="1">IF($FJ269+HX$244&gt;73,"",PRODUCT(INDEX($T$19:$T$93,HX$244):INDEX($T$19:$T$93,HX$244+$FJ269-1)))</f>
        <v>0.69466122847812073</v>
      </c>
      <c r="HY269" s="479">
        <f ca="1">IF($FJ269+HY$244&gt;73,"",PRODUCT(INDEX($T$19:$T$93,HY$244):INDEX($T$19:$T$93,HY$244+$FJ269-1)))</f>
        <v>0.65086094270886174</v>
      </c>
      <c r="HZ269" s="479">
        <f ca="1">IF($FJ269+HZ$244&gt;73,"",PRODUCT(INDEX($T$19:$T$93,HZ$244):INDEX($T$19:$T$93,HZ$244+$FJ269-1)))</f>
        <v>0.60236956862733415</v>
      </c>
      <c r="IA269" s="479">
        <f ca="1">IF($FJ269+IA$244&gt;73,"",PRODUCT(INDEX($T$19:$T$93,IA$244):INDEX($T$19:$T$93,IA$244+$FJ269-1)))</f>
        <v>0.54926187689368522</v>
      </c>
      <c r="IB269" s="479">
        <f ca="1">IF($FJ269+IB$244&gt;73,"",PRODUCT(INDEX($T$19:$T$93,IB$244):INDEX($T$19:$T$93,IB$244+$FJ269-1)))</f>
        <v>0.49185916190823065</v>
      </c>
      <c r="IC269" s="479">
        <f ca="1">IF($FJ269+IC$244&gt;73,"",PRODUCT(INDEX($T$19:$T$93,IC$244):INDEX($T$19:$T$93,IC$244+$FJ269-1)))</f>
        <v>0.43080654652458372</v>
      </c>
      <c r="ID269" s="678">
        <f ca="1">IF($FJ269+ID$244&gt;73,"",PRODUCT(INDEX($T$19:$T$93,ID$244):INDEX($T$19:$T$93,ID$244+$FJ269-1)))</f>
        <v>0.36715012506742395</v>
      </c>
      <c r="IE269" s="250"/>
    </row>
    <row r="270" spans="8:239">
      <c r="I270" s="137"/>
      <c r="J270" s="375"/>
      <c r="K270" s="138"/>
      <c r="L270" s="1"/>
      <c r="M270" s="376"/>
      <c r="P270" s="375"/>
      <c r="S270" s="55"/>
      <c r="T270" s="375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06"/>
      <c r="AM270" s="106"/>
      <c r="AN270" s="106"/>
      <c r="AO270" s="374"/>
      <c r="AP270" s="31"/>
      <c r="AQ270" s="374"/>
      <c r="AR270" s="31"/>
      <c r="AS270" s="31"/>
      <c r="AT270" s="31"/>
      <c r="AU270" s="31"/>
      <c r="AV270" s="154"/>
      <c r="AW270" s="106"/>
      <c r="AX270" s="106"/>
      <c r="AY270" s="106"/>
      <c r="AZ270" s="106"/>
      <c r="BA270" s="106"/>
      <c r="BB270" s="106"/>
      <c r="BC270" s="107"/>
      <c r="BD270" s="107"/>
      <c r="BE270" s="107"/>
      <c r="BF270" s="105"/>
      <c r="BG270" s="107"/>
      <c r="BH270" s="107"/>
      <c r="BI270" s="160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7"/>
      <c r="BW270" s="107"/>
      <c r="BX270" s="107"/>
      <c r="BY270" s="107"/>
      <c r="BZ270" s="107"/>
      <c r="CA270" s="107"/>
      <c r="CB270" s="107"/>
      <c r="CC270" s="107"/>
      <c r="CD270" s="107"/>
      <c r="CE270" s="107"/>
      <c r="CF270" s="106"/>
      <c r="CG270" s="106"/>
      <c r="CH270" s="106"/>
      <c r="CI270" s="106"/>
      <c r="CJ270" s="106"/>
      <c r="CK270" s="106"/>
      <c r="CL270" s="110"/>
      <c r="CM270" s="1"/>
      <c r="CN270" s="53"/>
      <c r="CO270" s="53"/>
      <c r="CP270" s="53"/>
      <c r="CQ270" s="53"/>
      <c r="CR270" s="53"/>
      <c r="CS270" s="53"/>
      <c r="CT270" s="53"/>
      <c r="CU270" s="53"/>
      <c r="CV270" s="53"/>
      <c r="CW270" s="53"/>
      <c r="CX270" s="53"/>
      <c r="CY270" s="53"/>
      <c r="CZ270" s="53"/>
      <c r="DA270" s="53"/>
      <c r="DB270" s="53"/>
      <c r="DC270" s="53"/>
      <c r="DD270" s="53"/>
      <c r="DE270" s="53"/>
      <c r="DH270" s="475"/>
      <c r="DK270" s="475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3"/>
      <c r="EL270" s="55"/>
      <c r="EM270" s="1"/>
      <c r="EN270" s="106"/>
      <c r="EO270" s="106"/>
      <c r="EP270" s="1"/>
      <c r="EQ270" s="106"/>
      <c r="ER270" s="1"/>
      <c r="ES270" s="1"/>
      <c r="ET270" s="1"/>
      <c r="EU270" s="106"/>
      <c r="FJ270" s="673">
        <v>26</v>
      </c>
      <c r="FK270" s="479" t="str">
        <f ca="1">IF($FJ270+FK$244&gt;73,"",PRODUCT(INDEX($T$19:$T$93,FK$244):INDEX($T$19:$T$93,FK$244+$FJ270-1)))</f>
        <v/>
      </c>
      <c r="FL270" s="479" t="str">
        <f ca="1">IF($FJ270+FL$244&gt;73,"",PRODUCT(INDEX($T$19:$T$93,FL$244):INDEX($T$19:$T$93,FL$244+$FJ270-1)))</f>
        <v/>
      </c>
      <c r="FM270" s="479" t="str">
        <f ca="1">IF($FJ270+FM$244&gt;73,"",PRODUCT(INDEX($T$19:$T$93,FM$244):INDEX($T$19:$T$93,FM$244+$FJ270-1)))</f>
        <v/>
      </c>
      <c r="FN270" s="479" t="str">
        <f ca="1">IF($FJ270+FN$244&gt;73,"",PRODUCT(INDEX($T$19:$T$93,FN$244):INDEX($T$19:$T$93,FN$244+$FJ270-1)))</f>
        <v/>
      </c>
      <c r="FO270" s="479" t="str">
        <f ca="1">IF($FJ270+FO$244&gt;73,"",PRODUCT(INDEX($T$19:$T$93,FO$244):INDEX($T$19:$T$93,FO$244+$FJ270-1)))</f>
        <v/>
      </c>
      <c r="FP270" s="479" t="str">
        <f ca="1">IF($FJ270+FP$244&gt;73,"",PRODUCT(INDEX($T$19:$T$93,FP$244):INDEX($T$19:$T$93,FP$244+$FJ270-1)))</f>
        <v/>
      </c>
      <c r="FQ270" s="479" t="str">
        <f ca="1">IF($FJ270+FQ$244&gt;73,"",PRODUCT(INDEX($T$19:$T$93,FQ$244):INDEX($T$19:$T$93,FQ$244+$FJ270-1)))</f>
        <v/>
      </c>
      <c r="FR270" s="479" t="str">
        <f ca="1">IF($FJ270+FR$244&gt;73,"",PRODUCT(INDEX($T$19:$T$93,FR$244):INDEX($T$19:$T$93,FR$244+$FJ270-1)))</f>
        <v/>
      </c>
      <c r="FS270" s="479" t="str">
        <f ca="1">IF($FJ270+FS$244&gt;73,"",PRODUCT(INDEX($T$19:$T$93,FS$244):INDEX($T$19:$T$93,FS$244+$FJ270-1)))</f>
        <v/>
      </c>
      <c r="FT270" s="479" t="str">
        <f ca="1">IF($FJ270+FT$244&gt;73,"",PRODUCT(INDEX($T$19:$T$93,FT$244):INDEX($T$19:$T$93,FT$244+$FJ270-1)))</f>
        <v/>
      </c>
      <c r="FU270" s="479" t="str">
        <f ca="1">IF($FJ270+FU$244&gt;73,"",PRODUCT(INDEX($T$19:$T$93,FU$244):INDEX($T$19:$T$93,FU$244+$FJ270-1)))</f>
        <v/>
      </c>
      <c r="FV270" s="479" t="str">
        <f ca="1">IF($FJ270+FV$244&gt;73,"",PRODUCT(INDEX($T$19:$T$93,FV$244):INDEX($T$19:$T$93,FV$244+$FJ270-1)))</f>
        <v/>
      </c>
      <c r="FW270" s="479" t="str">
        <f ca="1">IF($FJ270+FW$244&gt;73,"",PRODUCT(INDEX($T$19:$T$93,FW$244):INDEX($T$19:$T$93,FW$244+$FJ270-1)))</f>
        <v/>
      </c>
      <c r="FX270" s="479" t="str">
        <f ca="1">IF($FJ270+FX$244&gt;73,"",PRODUCT(INDEX($T$19:$T$93,FX$244):INDEX($T$19:$T$93,FX$244+$FJ270-1)))</f>
        <v/>
      </c>
      <c r="FY270" s="479" t="str">
        <f ca="1">IF($FJ270+FY$244&gt;73,"",PRODUCT(INDEX($T$19:$T$93,FY$244):INDEX($T$19:$T$93,FY$244+$FJ270-1)))</f>
        <v/>
      </c>
      <c r="FZ270" s="479" t="str">
        <f ca="1">IF($FJ270+FZ$244&gt;73,"",PRODUCT(INDEX($T$19:$T$93,FZ$244):INDEX($T$19:$T$93,FZ$244+$FJ270-1)))</f>
        <v/>
      </c>
      <c r="GA270" s="479" t="str">
        <f ca="1">IF($FJ270+GA$244&gt;73,"",PRODUCT(INDEX($T$19:$T$93,GA$244):INDEX($T$19:$T$93,GA$244+$FJ270-1)))</f>
        <v/>
      </c>
      <c r="GB270" s="479" t="str">
        <f ca="1">IF($FJ270+GB$244&gt;73,"",PRODUCT(INDEX($T$19:$T$93,GB$244):INDEX($T$19:$T$93,GB$244+$FJ270-1)))</f>
        <v/>
      </c>
      <c r="GC270" s="479" t="str">
        <f ca="1">IF($FJ270+GC$244&gt;73,"",PRODUCT(INDEX($T$19:$T$93,GC$244):INDEX($T$19:$T$93,GC$244+$FJ270-1)))</f>
        <v/>
      </c>
      <c r="GD270" s="479" t="str">
        <f ca="1">IF($FJ270+GD$244&gt;73,"",PRODUCT(INDEX($T$19:$T$93,GD$244):INDEX($T$19:$T$93,GD$244+$FJ270-1)))</f>
        <v/>
      </c>
      <c r="GE270" s="479" t="str">
        <f ca="1">IF($FJ270+GE$244&gt;73,"",PRODUCT(INDEX($T$19:$T$93,GE$244):INDEX($T$19:$T$93,GE$244+$FJ270-1)))</f>
        <v/>
      </c>
      <c r="GF270" s="479" t="str">
        <f ca="1">IF($FJ270+GF$244&gt;73,"",PRODUCT(INDEX($T$19:$T$93,GF$244):INDEX($T$19:$T$93,GF$244+$FJ270-1)))</f>
        <v/>
      </c>
      <c r="GG270" s="479" t="str">
        <f ca="1">IF($FJ270+GG$244&gt;73,"",PRODUCT(INDEX($T$19:$T$93,GG$244):INDEX($T$19:$T$93,GG$244+$FJ270-1)))</f>
        <v/>
      </c>
      <c r="GH270" s="479" t="str">
        <f ca="1">IF($FJ270+GH$244&gt;73,"",PRODUCT(INDEX($T$19:$T$93,GH$244):INDEX($T$19:$T$93,GH$244+$FJ270-1)))</f>
        <v/>
      </c>
      <c r="GI270" s="479" t="str">
        <f ca="1">IF($FJ270+GI$244&gt;73,"",PRODUCT(INDEX($T$19:$T$93,GI$244):INDEX($T$19:$T$93,GI$244+$FJ270-1)))</f>
        <v/>
      </c>
      <c r="GJ270" s="479">
        <f ca="1">IF($FJ270+GJ$244&gt;73,"",PRODUCT(INDEX($T$19:$T$93,GJ$244):INDEX($T$19:$T$93,GJ$244+$FJ270-1)))</f>
        <v>0.9993392106126513</v>
      </c>
      <c r="GK270" s="479">
        <f ca="1">IF($FJ270+GK$244&gt;73,"",PRODUCT(INDEX($T$19:$T$93,GK$244):INDEX($T$19:$T$93,GK$244+$FJ270-1)))</f>
        <v>0.99922717151747664</v>
      </c>
      <c r="GL270" s="479">
        <f ca="1">IF($FJ270+GL$244&gt;73,"",PRODUCT(INDEX($T$19:$T$93,GL$244):INDEX($T$19:$T$93,GL$244+$FJ270-1)))</f>
        <v>0.99909614109844957</v>
      </c>
      <c r="GM270" s="479">
        <f ca="1">IF($FJ270+GM$244&gt;73,"",PRODUCT(INDEX($T$19:$T$93,GM$244):INDEX($T$19:$T$93,GM$244+$FJ270-1)))</f>
        <v>0.99894290222033244</v>
      </c>
      <c r="GN270" s="479">
        <f ca="1">IF($FJ270+GN$244&gt;73,"",PRODUCT(INDEX($T$19:$T$93,GN$244):INDEX($T$19:$T$93,GN$244+$FJ270-1)))</f>
        <v>0.99876369352733196</v>
      </c>
      <c r="GO270" s="479">
        <f ca="1">IF($FJ270+GO$244&gt;73,"",PRODUCT(INDEX($T$19:$T$93,GO$244):INDEX($T$19:$T$93,GO$244+$FJ270-1)))</f>
        <v>0.99855411766951252</v>
      </c>
      <c r="GP270" s="479">
        <f ca="1">IF($FJ270+GP$244&gt;73,"",PRODUCT(INDEX($T$19:$T$93,GP$244):INDEX($T$19:$T$93,GP$244+$FJ270-1)))</f>
        <v>0.99830903416199901</v>
      </c>
      <c r="GQ270" s="479">
        <f ca="1">IF($FJ270+GQ$244&gt;73,"",PRODUCT(INDEX($T$19:$T$93,GQ$244):INDEX($T$19:$T$93,GQ$244+$FJ270-1)))</f>
        <v>0.99802243434486726</v>
      </c>
      <c r="GR270" s="479">
        <f ca="1">IF($FJ270+GR$244&gt;73,"",PRODUCT(INDEX($T$19:$T$93,GR$244):INDEX($T$19:$T$93,GR$244+$FJ270-1)))</f>
        <v>0.99768729550996527</v>
      </c>
      <c r="GS270" s="479">
        <f ca="1">IF($FJ270+GS$244&gt;73,"",PRODUCT(INDEX($T$19:$T$93,GS$244):INDEX($T$19:$T$93,GS$244+$FJ270-1)))</f>
        <v>0.99729541080153228</v>
      </c>
      <c r="GT270" s="479">
        <f ca="1">IF($FJ270+GT$244&gt;73,"",PRODUCT(INDEX($T$19:$T$93,GT$244):INDEX($T$19:$T$93,GT$244+$FJ270-1)))</f>
        <v>0.99683719097444679</v>
      </c>
      <c r="GU270" s="479">
        <f ca="1">IF($FJ270+GU$244&gt;73,"",PRODUCT(INDEX($T$19:$T$93,GU$244):INDEX($T$19:$T$93,GU$244+$FJ270-1)))</f>
        <v>0.99630143350177114</v>
      </c>
      <c r="GV270" s="479">
        <f ca="1">IF($FJ270+GV$244&gt;73,"",PRODUCT(INDEX($T$19:$T$93,GV$244):INDEX($T$19:$T$93,GV$244+$FJ270-1)))</f>
        <v>0.99567505385746768</v>
      </c>
      <c r="GW270" s="479">
        <f ca="1">IF($FJ270+GW$244&gt;73,"",PRODUCT(INDEX($T$19:$T$93,GW$244):INDEX($T$19:$T$93,GW$244+$FJ270-1)))</f>
        <v>0.99494277305827716</v>
      </c>
      <c r="GX270" s="479">
        <f ca="1">IF($FJ270+GX$244&gt;73,"",PRODUCT(INDEX($T$19:$T$93,GX$244):INDEX($T$19:$T$93,GX$244+$FJ270-1)))</f>
        <v>0.9940867547313984</v>
      </c>
      <c r="GY270" s="479">
        <f ca="1">IF($FJ270+GY$244&gt;73,"",PRODUCT(INDEX($T$19:$T$93,GY$244):INDEX($T$19:$T$93,GY$244+$FJ270-1)))</f>
        <v>0.99308618408766469</v>
      </c>
      <c r="GZ270" s="479">
        <f ca="1">IF($FJ270+GZ$244&gt;73,"",PRODUCT(INDEX($T$19:$T$93,GZ$244):INDEX($T$19:$T$93,GZ$244+$FJ270-1)))</f>
        <v>0.99191678023698593</v>
      </c>
      <c r="HA270" s="479">
        <f ca="1">IF($FJ270+HA$244&gt;73,"",PRODUCT(INDEX($T$19:$T$93,HA$244):INDEX($T$19:$T$93,HA$244+$FJ270-1)))</f>
        <v>0.99055023230906658</v>
      </c>
      <c r="HB270" s="479">
        <f ca="1">IF($FJ270+HB$244&gt;73,"",PRODUCT(INDEX($T$19:$T$93,HB$244):INDEX($T$19:$T$93,HB$244+$FJ270-1)))</f>
        <v>0.98895354887986398</v>
      </c>
      <c r="HC270" s="479">
        <f ca="1">IF($FJ270+HC$244&gt;73,"",PRODUCT(INDEX($T$19:$T$93,HC$244):INDEX($T$19:$T$93,HC$244+$FJ270-1)))</f>
        <v>0.98708830931905012</v>
      </c>
      <c r="HD270" s="479">
        <f ca="1">IF($FJ270+HD$244&gt;73,"",PRODUCT(INDEX($T$19:$T$93,HD$244):INDEX($T$19:$T$93,HD$244+$FJ270-1)))</f>
        <v>0.9849098049661642</v>
      </c>
      <c r="HE270" s="479">
        <f ca="1">IF($FJ270+HE$244&gt;73,"",PRODUCT(INDEX($T$19:$T$93,HE$244):INDEX($T$19:$T$93,HE$244+$FJ270-1)))</f>
        <v>0.9823660576613672</v>
      </c>
      <c r="HF270" s="479">
        <f ca="1">IF($FJ270+HF$244&gt;73,"",PRODUCT(INDEX($T$19:$T$93,HF$244):INDEX($T$19:$T$93,HF$244+$FJ270-1)))</f>
        <v>0.97939670331524142</v>
      </c>
      <c r="HG270" s="479">
        <f ca="1">IF($FJ270+HG$244&gt;73,"",PRODUCT(INDEX($T$19:$T$93,HG$244):INDEX($T$19:$T$93,HG$244+$FJ270-1)))</f>
        <v>0.97593172920673421</v>
      </c>
      <c r="HH270" s="479">
        <f ca="1">IF($FJ270+HH$244&gt;73,"",PRODUCT(INDEX($T$19:$T$93,HH$244):INDEX($T$19:$T$93,HH$244+$FJ270-1)))</f>
        <v>0.97189005597927047</v>
      </c>
      <c r="HI270" s="479">
        <f ca="1">IF($FJ270+HI$244&gt;73,"",PRODUCT(INDEX($T$19:$T$93,HI$244):INDEX($T$19:$T$93,HI$244+$FJ270-1)))</f>
        <v>0.96717795946005536</v>
      </c>
      <c r="HJ270" s="479">
        <f ca="1">IF($FJ270+HJ$244&gt;73,"",PRODUCT(INDEX($T$19:$T$93,HJ$244):INDEX($T$19:$T$93,HJ$244+$FJ270-1)))</f>
        <v>0.96168733427828856</v>
      </c>
      <c r="HK270" s="479">
        <f ca="1">IF($FJ270+HK$244&gt;73,"",PRODUCT(INDEX($T$19:$T$93,HK$244):INDEX($T$19:$T$93,HK$244+$FJ270-1)))</f>
        <v>0.95529381192077945</v>
      </c>
      <c r="HL270" s="479">
        <f ca="1">IF($FJ270+HL$244&gt;73,"",PRODUCT(INDEX($T$19:$T$93,HL$244):INDEX($T$19:$T$93,HL$244+$FJ270-1)))</f>
        <v>0.94785476183673378</v>
      </c>
      <c r="HM270" s="479">
        <f ca="1">IF($FJ270+HM$244&gt;73,"",PRODUCT(INDEX($T$19:$T$93,HM$244):INDEX($T$19:$T$93,HM$244+$FJ270-1)))</f>
        <v>0.93920722747135565</v>
      </c>
      <c r="HN270" s="479">
        <f ca="1">IF($FJ270+HN$244&gt;73,"",PRODUCT(INDEX($T$19:$T$93,HN$244):INDEX($T$19:$T$93,HN$244+$FJ270-1)))</f>
        <v>0.92916588225421448</v>
      </c>
      <c r="HO270" s="479">
        <f ca="1">IF($FJ270+HO$244&gt;73,"",PRODUCT(INDEX($T$19:$T$93,HO$244):INDEX($T$19:$T$93,HO$244+$FJ270-1)))</f>
        <v>0.9175211368894779</v>
      </c>
      <c r="HP270" s="479">
        <f ca="1">IF($FJ270+HP$244&gt;73,"",PRODUCT(INDEX($T$19:$T$93,HP$244):INDEX($T$19:$T$93,HP$244+$FJ270-1)))</f>
        <v>0.90403759288208496</v>
      </c>
      <c r="HQ270" s="479">
        <f ca="1">IF($FJ270+HQ$244&gt;73,"",PRODUCT(INDEX($T$19:$T$93,HQ$244):INDEX($T$19:$T$93,HQ$244+$FJ270-1)))</f>
        <v>0.88845312297007217</v>
      </c>
      <c r="HR270" s="479">
        <f ca="1">IF($FJ270+HR$244&gt;73,"",PRODUCT(INDEX($T$19:$T$93,HR$244):INDEX($T$19:$T$93,HR$244+$FJ270-1)))</f>
        <v>0.8704789725080273</v>
      </c>
      <c r="HS270" s="479">
        <f ca="1">IF($FJ270+HS$244&gt;73,"",PRODUCT(INDEX($T$19:$T$93,HS$244):INDEX($T$19:$T$93,HS$244+$FJ270-1)))</f>
        <v>0.84980142241577328</v>
      </c>
      <c r="HT270" s="479">
        <f ca="1">IF($FJ270+HT$244&gt;73,"",PRODUCT(INDEX($T$19:$T$93,HT$244):INDEX($T$19:$T$93,HT$244+$FJ270-1)))</f>
        <v>0.8260857385142425</v>
      </c>
      <c r="HU270" s="479">
        <f ca="1">IF($FJ270+HU$244&gt;73,"",PRODUCT(INDEX($T$19:$T$93,HU$244):INDEX($T$19:$T$93,HU$244+$FJ270-1)))</f>
        <v>0.79898335498472595</v>
      </c>
      <c r="HV270" s="479">
        <f ca="1">IF($FJ270+HV$244&gt;73,"",PRODUCT(INDEX($T$19:$T$93,HV$244):INDEX($T$19:$T$93,HV$244+$FJ270-1)))</f>
        <v>0.76814349495669121</v>
      </c>
      <c r="HW270" s="479">
        <f ca="1">IF($FJ270+HW$244&gt;73,"",PRODUCT(INDEX($T$19:$T$93,HW$244):INDEX($T$19:$T$93,HW$244+$FJ270-1)))</f>
        <v>0.73323069827607756</v>
      </c>
      <c r="HX270" s="479">
        <f ca="1">IF($FJ270+HX$244&gt;73,"",PRODUCT(INDEX($T$19:$T$93,HX$244):INDEX($T$19:$T$93,HX$244+$FJ270-1)))</f>
        <v>0.6939499596571348</v>
      </c>
      <c r="HY270" s="479">
        <f ca="1">IF($FJ270+HY$244&gt;73,"",PRODUCT(INDEX($T$19:$T$93,HY$244):INDEX($T$19:$T$93,HY$244+$FJ270-1)))</f>
        <v>0.65008129252597413</v>
      </c>
      <c r="HZ270" s="479">
        <f ca="1">IF($FJ270+HZ$244&gt;73,"",PRODUCT(INDEX($T$19:$T$93,HZ$244):INDEX($T$19:$T$93,HZ$244+$FJ270-1)))</f>
        <v>0.60152537340192247</v>
      </c>
      <c r="IA270" s="479">
        <f ca="1">IF($FJ270+IA$244&gt;73,"",PRODUCT(INDEX($T$19:$T$93,IA$244):INDEX($T$19:$T$93,IA$244+$FJ270-1)))</f>
        <v>0.54836124429904665</v>
      </c>
      <c r="IB270" s="479">
        <f ca="1">IF($FJ270+IB$244&gt;73,"",PRODUCT(INDEX($T$19:$T$93,IB$244):INDEX($T$19:$T$93,IB$244+$FJ270-1)))</f>
        <v>0.49091549147312108</v>
      </c>
      <c r="IC270" s="479">
        <f ca="1">IF($FJ270+IC$244&gt;73,"",PRODUCT(INDEX($T$19:$T$93,IC$244):INDEX($T$19:$T$93,IC$244+$FJ270-1)))</f>
        <v>0.42983938334583083</v>
      </c>
      <c r="ID270" s="678">
        <f ca="1">IF($FJ270+ID$244&gt;73,"",PRODUCT(INDEX($T$19:$T$93,ID$244):INDEX($T$19:$T$93,ID$244+$FJ270-1)))</f>
        <v>0.36618556454589624</v>
      </c>
      <c r="IE270" s="250"/>
    </row>
    <row r="271" spans="8:239">
      <c r="I271" s="137"/>
      <c r="J271" s="375"/>
      <c r="K271" s="138"/>
      <c r="L271" s="1"/>
      <c r="M271" s="376"/>
      <c r="P271" s="375"/>
      <c r="S271" s="55"/>
      <c r="T271" s="375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06"/>
      <c r="AM271" s="106"/>
      <c r="AN271" s="106"/>
      <c r="AO271" s="374"/>
      <c r="AP271" s="31"/>
      <c r="AQ271" s="374"/>
      <c r="AR271" s="31"/>
      <c r="AS271" s="31"/>
      <c r="AT271" s="31"/>
      <c r="AU271" s="31"/>
      <c r="AV271" s="154"/>
      <c r="AW271" s="106"/>
      <c r="AX271" s="106"/>
      <c r="AY271" s="106"/>
      <c r="AZ271" s="106"/>
      <c r="BA271" s="106"/>
      <c r="BB271" s="106"/>
      <c r="BC271" s="107"/>
      <c r="BD271" s="107"/>
      <c r="BE271" s="107"/>
      <c r="BF271" s="105"/>
      <c r="BG271" s="107"/>
      <c r="BH271" s="107"/>
      <c r="BI271" s="160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7"/>
      <c r="BW271" s="107"/>
      <c r="BX271" s="107"/>
      <c r="BY271" s="107"/>
      <c r="BZ271" s="107"/>
      <c r="CA271" s="107"/>
      <c r="CB271" s="107"/>
      <c r="CC271" s="107"/>
      <c r="CD271" s="107"/>
      <c r="CE271" s="107"/>
      <c r="CF271" s="106"/>
      <c r="CG271" s="106"/>
      <c r="CH271" s="106"/>
      <c r="CI271" s="106"/>
      <c r="CJ271" s="106"/>
      <c r="CK271" s="106"/>
      <c r="CL271" s="110"/>
      <c r="CM271" s="1"/>
      <c r="CN271" s="53"/>
      <c r="CO271" s="53"/>
      <c r="CP271" s="53"/>
      <c r="CQ271" s="53"/>
      <c r="CR271" s="53"/>
      <c r="CS271" s="53"/>
      <c r="CT271" s="53"/>
      <c r="CU271" s="53"/>
      <c r="CV271" s="53"/>
      <c r="CW271" s="53"/>
      <c r="CX271" s="53"/>
      <c r="CY271" s="53"/>
      <c r="CZ271" s="53"/>
      <c r="DA271" s="53"/>
      <c r="DB271" s="53"/>
      <c r="DC271" s="53"/>
      <c r="DD271" s="53"/>
      <c r="DE271" s="53"/>
      <c r="DH271" s="475"/>
      <c r="DK271" s="475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3"/>
      <c r="EL271" s="55"/>
      <c r="EM271" s="1"/>
      <c r="EN271" s="106"/>
      <c r="EO271" s="106"/>
      <c r="EP271" s="1"/>
      <c r="EQ271" s="106"/>
      <c r="ER271" s="1"/>
      <c r="ES271" s="1"/>
      <c r="ET271" s="1"/>
      <c r="EU271" s="106"/>
      <c r="FJ271" s="673">
        <v>27</v>
      </c>
      <c r="FK271" s="479" t="str">
        <f ca="1">IF($FJ271+FK$244&gt;73,"",PRODUCT(INDEX($T$19:$T$93,FK$244):INDEX($T$19:$T$93,FK$244+$FJ271-1)))</f>
        <v/>
      </c>
      <c r="FL271" s="479" t="str">
        <f ca="1">IF($FJ271+FL$244&gt;73,"",PRODUCT(INDEX($T$19:$T$93,FL$244):INDEX($T$19:$T$93,FL$244+$FJ271-1)))</f>
        <v/>
      </c>
      <c r="FM271" s="479" t="str">
        <f ca="1">IF($FJ271+FM$244&gt;73,"",PRODUCT(INDEX($T$19:$T$93,FM$244):INDEX($T$19:$T$93,FM$244+$FJ271-1)))</f>
        <v/>
      </c>
      <c r="FN271" s="479" t="str">
        <f ca="1">IF($FJ271+FN$244&gt;73,"",PRODUCT(INDEX($T$19:$T$93,FN$244):INDEX($T$19:$T$93,FN$244+$FJ271-1)))</f>
        <v/>
      </c>
      <c r="FO271" s="479" t="str">
        <f ca="1">IF($FJ271+FO$244&gt;73,"",PRODUCT(INDEX($T$19:$T$93,FO$244):INDEX($T$19:$T$93,FO$244+$FJ271-1)))</f>
        <v/>
      </c>
      <c r="FP271" s="479" t="str">
        <f ca="1">IF($FJ271+FP$244&gt;73,"",PRODUCT(INDEX($T$19:$T$93,FP$244):INDEX($T$19:$T$93,FP$244+$FJ271-1)))</f>
        <v/>
      </c>
      <c r="FQ271" s="479" t="str">
        <f ca="1">IF($FJ271+FQ$244&gt;73,"",PRODUCT(INDEX($T$19:$T$93,FQ$244):INDEX($T$19:$T$93,FQ$244+$FJ271-1)))</f>
        <v/>
      </c>
      <c r="FR271" s="479" t="str">
        <f ca="1">IF($FJ271+FR$244&gt;73,"",PRODUCT(INDEX($T$19:$T$93,FR$244):INDEX($T$19:$T$93,FR$244+$FJ271-1)))</f>
        <v/>
      </c>
      <c r="FS271" s="479" t="str">
        <f ca="1">IF($FJ271+FS$244&gt;73,"",PRODUCT(INDEX($T$19:$T$93,FS$244):INDEX($T$19:$T$93,FS$244+$FJ271-1)))</f>
        <v/>
      </c>
      <c r="FT271" s="479" t="str">
        <f ca="1">IF($FJ271+FT$244&gt;73,"",PRODUCT(INDEX($T$19:$T$93,FT$244):INDEX($T$19:$T$93,FT$244+$FJ271-1)))</f>
        <v/>
      </c>
      <c r="FU271" s="479" t="str">
        <f ca="1">IF($FJ271+FU$244&gt;73,"",PRODUCT(INDEX($T$19:$T$93,FU$244):INDEX($T$19:$T$93,FU$244+$FJ271-1)))</f>
        <v/>
      </c>
      <c r="FV271" s="479" t="str">
        <f ca="1">IF($FJ271+FV$244&gt;73,"",PRODUCT(INDEX($T$19:$T$93,FV$244):INDEX($T$19:$T$93,FV$244+$FJ271-1)))</f>
        <v/>
      </c>
      <c r="FW271" s="479" t="str">
        <f ca="1">IF($FJ271+FW$244&gt;73,"",PRODUCT(INDEX($T$19:$T$93,FW$244):INDEX($T$19:$T$93,FW$244+$FJ271-1)))</f>
        <v/>
      </c>
      <c r="FX271" s="479" t="str">
        <f ca="1">IF($FJ271+FX$244&gt;73,"",PRODUCT(INDEX($T$19:$T$93,FX$244):INDEX($T$19:$T$93,FX$244+$FJ271-1)))</f>
        <v/>
      </c>
      <c r="FY271" s="479" t="str">
        <f ca="1">IF($FJ271+FY$244&gt;73,"",PRODUCT(INDEX($T$19:$T$93,FY$244):INDEX($T$19:$T$93,FY$244+$FJ271-1)))</f>
        <v/>
      </c>
      <c r="FZ271" s="479" t="str">
        <f ca="1">IF($FJ271+FZ$244&gt;73,"",PRODUCT(INDEX($T$19:$T$93,FZ$244):INDEX($T$19:$T$93,FZ$244+$FJ271-1)))</f>
        <v/>
      </c>
      <c r="GA271" s="479" t="str">
        <f ca="1">IF($FJ271+GA$244&gt;73,"",PRODUCT(INDEX($T$19:$T$93,GA$244):INDEX($T$19:$T$93,GA$244+$FJ271-1)))</f>
        <v/>
      </c>
      <c r="GB271" s="479" t="str">
        <f ca="1">IF($FJ271+GB$244&gt;73,"",PRODUCT(INDEX($T$19:$T$93,GB$244):INDEX($T$19:$T$93,GB$244+$FJ271-1)))</f>
        <v/>
      </c>
      <c r="GC271" s="479" t="str">
        <f ca="1">IF($FJ271+GC$244&gt;73,"",PRODUCT(INDEX($T$19:$T$93,GC$244):INDEX($T$19:$T$93,GC$244+$FJ271-1)))</f>
        <v/>
      </c>
      <c r="GD271" s="479" t="str">
        <f ca="1">IF($FJ271+GD$244&gt;73,"",PRODUCT(INDEX($T$19:$T$93,GD$244):INDEX($T$19:$T$93,GD$244+$FJ271-1)))</f>
        <v/>
      </c>
      <c r="GE271" s="479" t="str">
        <f ca="1">IF($FJ271+GE$244&gt;73,"",PRODUCT(INDEX($T$19:$T$93,GE$244):INDEX($T$19:$T$93,GE$244+$FJ271-1)))</f>
        <v/>
      </c>
      <c r="GF271" s="479" t="str">
        <f ca="1">IF($FJ271+GF$244&gt;73,"",PRODUCT(INDEX($T$19:$T$93,GF$244):INDEX($T$19:$T$93,GF$244+$FJ271-1)))</f>
        <v/>
      </c>
      <c r="GG271" s="479" t="str">
        <f ca="1">IF($FJ271+GG$244&gt;73,"",PRODUCT(INDEX($T$19:$T$93,GG$244):INDEX($T$19:$T$93,GG$244+$FJ271-1)))</f>
        <v/>
      </c>
      <c r="GH271" s="479" t="str">
        <f ca="1">IF($FJ271+GH$244&gt;73,"",PRODUCT(INDEX($T$19:$T$93,GH$244):INDEX($T$19:$T$93,GH$244+$FJ271-1)))</f>
        <v/>
      </c>
      <c r="GI271" s="479" t="str">
        <f ca="1">IF($FJ271+GI$244&gt;73,"",PRODUCT(INDEX($T$19:$T$93,GI$244):INDEX($T$19:$T$93,GI$244+$FJ271-1)))</f>
        <v/>
      </c>
      <c r="GJ271" s="479" t="str">
        <f ca="1">IF($FJ271+GJ$244&gt;73,"",PRODUCT(INDEX($T$19:$T$93,GJ$244):INDEX($T$19:$T$93,GJ$244+$FJ271-1)))</f>
        <v/>
      </c>
      <c r="GK271" s="479">
        <f ca="1">IF($FJ271+GK$244&gt;73,"",PRODUCT(INDEX($T$19:$T$93,GK$244):INDEX($T$19:$T$93,GK$244+$FJ271-1)))</f>
        <v>0.9992252316012421</v>
      </c>
      <c r="GL271" s="479">
        <f ca="1">IF($FJ271+GL$244&gt;73,"",PRODUCT(INDEX($T$19:$T$93,GL$244):INDEX($T$19:$T$93,GL$244+$FJ271-1)))</f>
        <v>0.99909387248552195</v>
      </c>
      <c r="GM271" s="479">
        <f ca="1">IF($FJ271+GM$244&gt;73,"",PRODUCT(INDEX($T$19:$T$93,GM$244):INDEX($T$19:$T$93,GM$244+$FJ271-1)))</f>
        <v>0.99894024927539471</v>
      </c>
      <c r="GN271" s="479">
        <f ca="1">IF($FJ271+GN$244&gt;73,"",PRODUCT(INDEX($T$19:$T$93,GN$244):INDEX($T$19:$T$93,GN$244+$FJ271-1)))</f>
        <v>0.99876059121978888</v>
      </c>
      <c r="GO271" s="479">
        <f ca="1">IF($FJ271+GO$244&gt;73,"",PRODUCT(INDEX($T$19:$T$93,GO$244):INDEX($T$19:$T$93,GO$244+$FJ271-1)))</f>
        <v>0.99855048999483442</v>
      </c>
      <c r="GP271" s="479">
        <f ca="1">IF($FJ271+GP$244&gt;73,"",PRODUCT(INDEX($T$19:$T$93,GP$244):INDEX($T$19:$T$93,GP$244+$FJ271-1)))</f>
        <v>0.99830479230074232</v>
      </c>
      <c r="GQ271" s="479">
        <f ca="1">IF($FJ271+GQ$244&gt;73,"",PRODUCT(INDEX($T$19:$T$93,GQ$244):INDEX($T$19:$T$93,GQ$244+$FJ271-1)))</f>
        <v>0.99801747451686806</v>
      </c>
      <c r="GR271" s="479">
        <f ca="1">IF($FJ271+GR$244&gt;73,"",PRODUCT(INDEX($T$19:$T$93,GR$244):INDEX($T$19:$T$93,GR$244+$FJ271-1)))</f>
        <v>0.99768149647472038</v>
      </c>
      <c r="GS271" s="479">
        <f ca="1">IF($FJ271+GS$244&gt;73,"",PRODUCT(INDEX($T$19:$T$93,GS$244):INDEX($T$19:$T$93,GS$244+$FJ271-1)))</f>
        <v>0.99728863094846876</v>
      </c>
      <c r="GT271" s="479">
        <f ca="1">IF($FJ271+GT$244&gt;73,"",PRODUCT(INDEX($T$19:$T$93,GT$244):INDEX($T$19:$T$93,GT$244+$FJ271-1)))</f>
        <v>0.99682926493858959</v>
      </c>
      <c r="GU271" s="479">
        <f ca="1">IF($FJ271+GU$244&gt;73,"",PRODUCT(INDEX($T$19:$T$93,GU$244):INDEX($T$19:$T$93,GU$244+$FJ271-1)))</f>
        <v>0.99629216823122957</v>
      </c>
      <c r="GV271" s="479">
        <f ca="1">IF($FJ271+GV$244&gt;73,"",PRODUCT(INDEX($T$19:$T$93,GV$244):INDEX($T$19:$T$93,GV$244+$FJ271-1)))</f>
        <v>0.99566422404920785</v>
      </c>
      <c r="GW271" s="479">
        <f ca="1">IF($FJ271+GW$244&gt;73,"",PRODUCT(INDEX($T$19:$T$93,GW$244):INDEX($T$19:$T$93,GW$244+$FJ271-1)))</f>
        <v>0.99493011586792257</v>
      </c>
      <c r="GX271" s="479">
        <f ca="1">IF($FJ271+GX$244&gt;73,"",PRODUCT(INDEX($T$19:$T$93,GX$244):INDEX($T$19:$T$93,GX$244+$FJ271-1)))</f>
        <v>0.99407196365149952</v>
      </c>
      <c r="GY271" s="479">
        <f ca="1">IF($FJ271+GY$244&gt;73,"",PRODUCT(INDEX($T$19:$T$93,GY$244):INDEX($T$19:$T$93,GY$244+$FJ271-1)))</f>
        <v>0.99306890187736119</v>
      </c>
      <c r="GZ271" s="479">
        <f ca="1">IF($FJ271+GZ$244&gt;73,"",PRODUCT(INDEX($T$19:$T$93,GZ$244):INDEX($T$19:$T$93,GZ$244+$FJ271-1)))</f>
        <v>0.99189659077480619</v>
      </c>
      <c r="HA271" s="479">
        <f ca="1">IF($FJ271+HA$244&gt;73,"",PRODUCT(INDEX($T$19:$T$93,HA$244):INDEX($T$19:$T$93,HA$244+$FJ271-1)))</f>
        <v>0.99052665123065176</v>
      </c>
      <c r="HB271" s="479">
        <f ca="1">IF($FJ271+HB$244&gt;73,"",PRODUCT(INDEX($T$19:$T$93,HB$244):INDEX($T$19:$T$93,HB$244+$FJ271-1)))</f>
        <v>0.98892601285496984</v>
      </c>
      <c r="HC271" s="479">
        <f ca="1">IF($FJ271+HC$244&gt;73,"",PRODUCT(INDEX($T$19:$T$93,HC$244):INDEX($T$19:$T$93,HC$244+$FJ271-1)))</f>
        <v>0.98705616381916106</v>
      </c>
      <c r="HD271" s="479">
        <f ca="1">IF($FJ271+HD$244&gt;73,"",PRODUCT(INDEX($T$19:$T$93,HD$244):INDEX($T$19:$T$93,HD$244+$FJ271-1)))</f>
        <v>0.9848722903781767</v>
      </c>
      <c r="HE271" s="479">
        <f ca="1">IF($FJ271+HE$244&gt;73,"",PRODUCT(INDEX($T$19:$T$93,HE$244):INDEX($T$19:$T$93,HE$244+$FJ271-1)))</f>
        <v>0.98232229361787982</v>
      </c>
      <c r="HF271" s="479">
        <f ca="1">IF($FJ271+HF$244&gt;73,"",PRODUCT(INDEX($T$19:$T$93,HF$244):INDEX($T$19:$T$93,HF$244+$FJ271-1)))</f>
        <v>0.9793456711433377</v>
      </c>
      <c r="HG271" s="479">
        <f ca="1">IF($FJ271+HG$244&gt;73,"",PRODUCT(INDEX($T$19:$T$93,HG$244):INDEX($T$19:$T$93,HG$244+$FJ271-1)))</f>
        <v>0.97587225245206388</v>
      </c>
      <c r="HH271" s="479">
        <f ca="1">IF($FJ271+HH$244&gt;73,"",PRODUCT(INDEX($T$19:$T$93,HH$244):INDEX($T$19:$T$93,HH$244+$FJ271-1)))</f>
        <v>0.97182077905059927</v>
      </c>
      <c r="HI271" s="479">
        <f ca="1">IF($FJ271+HI$244&gt;73,"",PRODUCT(INDEX($T$19:$T$93,HI$244):INDEX($T$19:$T$93,HI$244+$FJ271-1)))</f>
        <v>0.96709732457452569</v>
      </c>
      <c r="HJ271" s="479">
        <f ca="1">IF($FJ271+HJ$244&gt;73,"",PRODUCT(INDEX($T$19:$T$93,HJ$244):INDEX($T$19:$T$93,HJ$244+$FJ271-1)))</f>
        <v>0.96159355708690519</v>
      </c>
      <c r="HK271" s="479">
        <f ca="1">IF($FJ271+HK$244&gt;73,"",PRODUCT(INDEX($T$19:$T$93,HK$244):INDEX($T$19:$T$93,HK$244+$FJ271-1)))</f>
        <v>0.95518485647989226</v>
      </c>
      <c r="HL271" s="479">
        <f ca="1">IF($FJ271+HL$244&gt;73,"",PRODUCT(INDEX($T$19:$T$93,HL$244):INDEX($T$19:$T$93,HL$244+$FJ271-1)))</f>
        <v>0.94772831599359808</v>
      </c>
      <c r="HM271" s="479">
        <f ca="1">IF($FJ271+HM$244&gt;73,"",PRODUCT(INDEX($T$19:$T$93,HM$244):INDEX($T$19:$T$93,HM$244+$FJ271-1)))</f>
        <v>0.93906068028646128</v>
      </c>
      <c r="HN271" s="479">
        <f ca="1">IF($FJ271+HN$244&gt;73,"",PRODUCT(INDEX($T$19:$T$93,HN$244):INDEX($T$19:$T$93,HN$244+$FJ271-1)))</f>
        <v>0.92899630583369242</v>
      </c>
      <c r="HO271" s="479">
        <f ca="1">IF($FJ271+HO$244&gt;73,"",PRODUCT(INDEX($T$19:$T$93,HO$244):INDEX($T$19:$T$93,HO$244+$FJ271-1)))</f>
        <v>0.91732527599786384</v>
      </c>
      <c r="HP271" s="479">
        <f ca="1">IF($FJ271+HP$244&gt;73,"",PRODUCT(INDEX($T$19:$T$93,HP$244):INDEX($T$19:$T$93,HP$244+$FJ271-1)))</f>
        <v>0.90381186700279703</v>
      </c>
      <c r="HQ271" s="479">
        <f ca="1">IF($FJ271+HQ$244&gt;73,"",PRODUCT(INDEX($T$19:$T$93,HQ$244):INDEX($T$19:$T$93,HQ$244+$FJ271-1)))</f>
        <v>0.88819364712803872</v>
      </c>
      <c r="HR271" s="479">
        <f ca="1">IF($FJ271+HR$244&gt;73,"",PRODUCT(INDEX($T$19:$T$93,HR$244):INDEX($T$19:$T$93,HR$244+$FJ271-1)))</f>
        <v>0.87018160519775301</v>
      </c>
      <c r="HS271" s="479">
        <f ca="1">IF($FJ271+HS$244&gt;73,"",PRODUCT(INDEX($T$19:$T$93,HS$244):INDEX($T$19:$T$93,HS$244+$FJ271-1)))</f>
        <v>0.84946185137688035</v>
      </c>
      <c r="HT271" s="479">
        <f ca="1">IF($FJ271+HT$244&gt;73,"",PRODUCT(INDEX($T$19:$T$93,HT$244):INDEX($T$19:$T$93,HT$244+$FJ271-1)))</f>
        <v>0.82569961776679568</v>
      </c>
      <c r="HU271" s="479">
        <f ca="1">IF($FJ271+HU$244&gt;73,"",PRODUCT(INDEX($T$19:$T$93,HU$244):INDEX($T$19:$T$93,HU$244+$FJ271-1)))</f>
        <v>0.79854650922509585</v>
      </c>
      <c r="HV271" s="479">
        <f ca="1">IF($FJ271+HV$244&gt;73,"",PRODUCT(INDEX($T$19:$T$93,HV$244):INDEX($T$19:$T$93,HV$244+$FJ271-1)))</f>
        <v>0.76765220960925251</v>
      </c>
      <c r="HW271" s="479">
        <f ca="1">IF($FJ271+HW$244&gt;73,"",PRODUCT(INDEX($T$19:$T$93,HW$244):INDEX($T$19:$T$93,HW$244+$FJ271-1)))</f>
        <v>0.7326821142775829</v>
      </c>
      <c r="HX271" s="479">
        <f ca="1">IF($FJ271+HX$244&gt;73,"",PRODUCT(INDEX($T$19:$T$93,HX$244):INDEX($T$19:$T$93,HX$244+$FJ271-1)))</f>
        <v>0.69334258989772135</v>
      </c>
      <c r="HY271" s="479">
        <f ca="1">IF($FJ271+HY$244&gt;73,"",PRODUCT(INDEX($T$19:$T$93,HY$244):INDEX($T$19:$T$93,HY$244+$FJ271-1)))</f>
        <v>0.64941566943442353</v>
      </c>
      <c r="HZ271" s="479">
        <f ca="1">IF($FJ271+HZ$244&gt;73,"",PRODUCT(INDEX($T$19:$T$93,HZ$244):INDEX($T$19:$T$93,HZ$244+$FJ271-1)))</f>
        <v>0.60080482107405886</v>
      </c>
      <c r="IA271" s="479">
        <f ca="1">IF($FJ271+IA$244&gt;73,"",PRODUCT(INDEX($T$19:$T$93,IA$244):INDEX($T$19:$T$93,IA$244+$FJ271-1)))</f>
        <v>0.54759273943368136</v>
      </c>
      <c r="IB271" s="479">
        <f ca="1">IF($FJ271+IB$244&gt;73,"",PRODUCT(INDEX($T$19:$T$93,IB$244):INDEX($T$19:$T$93,IB$244+$FJ271-1)))</f>
        <v>0.49011053028532819</v>
      </c>
      <c r="IC271" s="479">
        <f ca="1">IF($FJ271+IC$244&gt;73,"",PRODUCT(INDEX($T$19:$T$93,IC$244):INDEX($T$19:$T$93,IC$244+$FJ271-1)))</f>
        <v>0.42901470272722547</v>
      </c>
      <c r="ID271" s="678">
        <f ca="1">IF($FJ271+ID$244&gt;73,"",PRODUCT(INDEX($T$19:$T$93,ID$244):INDEX($T$19:$T$93,ID$244+$FJ271-1)))</f>
        <v>0.36536347584395629</v>
      </c>
      <c r="IE271" s="250"/>
    </row>
    <row r="272" spans="8:239">
      <c r="I272" s="137"/>
      <c r="J272" s="375"/>
      <c r="K272" s="138"/>
      <c r="L272" s="1"/>
      <c r="M272" s="376"/>
      <c r="P272" s="375"/>
      <c r="S272" s="55"/>
      <c r="T272" s="375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06"/>
      <c r="AM272" s="106"/>
      <c r="AN272" s="106"/>
      <c r="AO272" s="374"/>
      <c r="AP272" s="31"/>
      <c r="AQ272" s="374"/>
      <c r="AR272" s="31"/>
      <c r="AS272" s="31"/>
      <c r="AT272" s="31"/>
      <c r="AU272" s="31"/>
      <c r="AV272" s="154"/>
      <c r="AW272" s="106"/>
      <c r="AX272" s="106"/>
      <c r="AY272" s="106"/>
      <c r="AZ272" s="106"/>
      <c r="BA272" s="106"/>
      <c r="BB272" s="106"/>
      <c r="BC272" s="107"/>
      <c r="BD272" s="107"/>
      <c r="BE272" s="107"/>
      <c r="BF272" s="105"/>
      <c r="BG272" s="107"/>
      <c r="BH272" s="107"/>
      <c r="BI272" s="160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7"/>
      <c r="BW272" s="107"/>
      <c r="BX272" s="107"/>
      <c r="BY272" s="107"/>
      <c r="BZ272" s="107"/>
      <c r="CA272" s="107"/>
      <c r="CB272" s="107"/>
      <c r="CC272" s="107"/>
      <c r="CD272" s="107"/>
      <c r="CE272" s="107"/>
      <c r="CF272" s="106"/>
      <c r="CG272" s="106"/>
      <c r="CH272" s="106"/>
      <c r="CI272" s="106"/>
      <c r="CJ272" s="106"/>
      <c r="CK272" s="106"/>
      <c r="CL272" s="110"/>
      <c r="CM272" s="1"/>
      <c r="CN272" s="53"/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  <c r="DC272" s="53"/>
      <c r="DD272" s="53"/>
      <c r="DE272" s="53"/>
      <c r="DH272" s="475"/>
      <c r="DK272" s="475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3"/>
      <c r="EL272" s="55"/>
      <c r="EM272" s="1"/>
      <c r="EN272" s="106"/>
      <c r="EO272" s="106"/>
      <c r="EP272" s="1"/>
      <c r="EQ272" s="106"/>
      <c r="ER272" s="1"/>
      <c r="ES272" s="1"/>
      <c r="ET272" s="1"/>
      <c r="EU272" s="106"/>
      <c r="FJ272" s="673">
        <v>28</v>
      </c>
      <c r="FK272" s="479" t="str">
        <f ca="1">IF($FJ272+FK$244&gt;73,"",PRODUCT(INDEX($T$19:$T$93,FK$244):INDEX($T$19:$T$93,FK$244+$FJ272-1)))</f>
        <v/>
      </c>
      <c r="FL272" s="479" t="str">
        <f ca="1">IF($FJ272+FL$244&gt;73,"",PRODUCT(INDEX($T$19:$T$93,FL$244):INDEX($T$19:$T$93,FL$244+$FJ272-1)))</f>
        <v/>
      </c>
      <c r="FM272" s="479" t="str">
        <f ca="1">IF($FJ272+FM$244&gt;73,"",PRODUCT(INDEX($T$19:$T$93,FM$244):INDEX($T$19:$T$93,FM$244+$FJ272-1)))</f>
        <v/>
      </c>
      <c r="FN272" s="479" t="str">
        <f ca="1">IF($FJ272+FN$244&gt;73,"",PRODUCT(INDEX($T$19:$T$93,FN$244):INDEX($T$19:$T$93,FN$244+$FJ272-1)))</f>
        <v/>
      </c>
      <c r="FO272" s="479" t="str">
        <f ca="1">IF($FJ272+FO$244&gt;73,"",PRODUCT(INDEX($T$19:$T$93,FO$244):INDEX($T$19:$T$93,FO$244+$FJ272-1)))</f>
        <v/>
      </c>
      <c r="FP272" s="479" t="str">
        <f ca="1">IF($FJ272+FP$244&gt;73,"",PRODUCT(INDEX($T$19:$T$93,FP$244):INDEX($T$19:$T$93,FP$244+$FJ272-1)))</f>
        <v/>
      </c>
      <c r="FQ272" s="479" t="str">
        <f ca="1">IF($FJ272+FQ$244&gt;73,"",PRODUCT(INDEX($T$19:$T$93,FQ$244):INDEX($T$19:$T$93,FQ$244+$FJ272-1)))</f>
        <v/>
      </c>
      <c r="FR272" s="479" t="str">
        <f ca="1">IF($FJ272+FR$244&gt;73,"",PRODUCT(INDEX($T$19:$T$93,FR$244):INDEX($T$19:$T$93,FR$244+$FJ272-1)))</f>
        <v/>
      </c>
      <c r="FS272" s="479" t="str">
        <f ca="1">IF($FJ272+FS$244&gt;73,"",PRODUCT(INDEX($T$19:$T$93,FS$244):INDEX($T$19:$T$93,FS$244+$FJ272-1)))</f>
        <v/>
      </c>
      <c r="FT272" s="479" t="str">
        <f ca="1">IF($FJ272+FT$244&gt;73,"",PRODUCT(INDEX($T$19:$T$93,FT$244):INDEX($T$19:$T$93,FT$244+$FJ272-1)))</f>
        <v/>
      </c>
      <c r="FU272" s="479" t="str">
        <f ca="1">IF($FJ272+FU$244&gt;73,"",PRODUCT(INDEX($T$19:$T$93,FU$244):INDEX($T$19:$T$93,FU$244+$FJ272-1)))</f>
        <v/>
      </c>
      <c r="FV272" s="479" t="str">
        <f ca="1">IF($FJ272+FV$244&gt;73,"",PRODUCT(INDEX($T$19:$T$93,FV$244):INDEX($T$19:$T$93,FV$244+$FJ272-1)))</f>
        <v/>
      </c>
      <c r="FW272" s="479" t="str">
        <f ca="1">IF($FJ272+FW$244&gt;73,"",PRODUCT(INDEX($T$19:$T$93,FW$244):INDEX($T$19:$T$93,FW$244+$FJ272-1)))</f>
        <v/>
      </c>
      <c r="FX272" s="479" t="str">
        <f ca="1">IF($FJ272+FX$244&gt;73,"",PRODUCT(INDEX($T$19:$T$93,FX$244):INDEX($T$19:$T$93,FX$244+$FJ272-1)))</f>
        <v/>
      </c>
      <c r="FY272" s="479" t="str">
        <f ca="1">IF($FJ272+FY$244&gt;73,"",PRODUCT(INDEX($T$19:$T$93,FY$244):INDEX($T$19:$T$93,FY$244+$FJ272-1)))</f>
        <v/>
      </c>
      <c r="FZ272" s="479" t="str">
        <f ca="1">IF($FJ272+FZ$244&gt;73,"",PRODUCT(INDEX($T$19:$T$93,FZ$244):INDEX($T$19:$T$93,FZ$244+$FJ272-1)))</f>
        <v/>
      </c>
      <c r="GA272" s="479" t="str">
        <f ca="1">IF($FJ272+GA$244&gt;73,"",PRODUCT(INDEX($T$19:$T$93,GA$244):INDEX($T$19:$T$93,GA$244+$FJ272-1)))</f>
        <v/>
      </c>
      <c r="GB272" s="479" t="str">
        <f ca="1">IF($FJ272+GB$244&gt;73,"",PRODUCT(INDEX($T$19:$T$93,GB$244):INDEX($T$19:$T$93,GB$244+$FJ272-1)))</f>
        <v/>
      </c>
      <c r="GC272" s="479" t="str">
        <f ca="1">IF($FJ272+GC$244&gt;73,"",PRODUCT(INDEX($T$19:$T$93,GC$244):INDEX($T$19:$T$93,GC$244+$FJ272-1)))</f>
        <v/>
      </c>
      <c r="GD272" s="479" t="str">
        <f ca="1">IF($FJ272+GD$244&gt;73,"",PRODUCT(INDEX($T$19:$T$93,GD$244):INDEX($T$19:$T$93,GD$244+$FJ272-1)))</f>
        <v/>
      </c>
      <c r="GE272" s="479" t="str">
        <f ca="1">IF($FJ272+GE$244&gt;73,"",PRODUCT(INDEX($T$19:$T$93,GE$244):INDEX($T$19:$T$93,GE$244+$FJ272-1)))</f>
        <v/>
      </c>
      <c r="GF272" s="479" t="str">
        <f ca="1">IF($FJ272+GF$244&gt;73,"",PRODUCT(INDEX($T$19:$T$93,GF$244):INDEX($T$19:$T$93,GF$244+$FJ272-1)))</f>
        <v/>
      </c>
      <c r="GG272" s="479" t="str">
        <f ca="1">IF($FJ272+GG$244&gt;73,"",PRODUCT(INDEX($T$19:$T$93,GG$244):INDEX($T$19:$T$93,GG$244+$FJ272-1)))</f>
        <v/>
      </c>
      <c r="GH272" s="479" t="str">
        <f ca="1">IF($FJ272+GH$244&gt;73,"",PRODUCT(INDEX($T$19:$T$93,GH$244):INDEX($T$19:$T$93,GH$244+$FJ272-1)))</f>
        <v/>
      </c>
      <c r="GI272" s="479" t="str">
        <f ca="1">IF($FJ272+GI$244&gt;73,"",PRODUCT(INDEX($T$19:$T$93,GI$244):INDEX($T$19:$T$93,GI$244+$FJ272-1)))</f>
        <v/>
      </c>
      <c r="GJ272" s="479" t="str">
        <f ca="1">IF($FJ272+GJ$244&gt;73,"",PRODUCT(INDEX($T$19:$T$93,GJ$244):INDEX($T$19:$T$93,GJ$244+$FJ272-1)))</f>
        <v/>
      </c>
      <c r="GK272" s="479" t="str">
        <f ca="1">IF($FJ272+GK$244&gt;73,"",PRODUCT(INDEX($T$19:$T$93,GK$244):INDEX($T$19:$T$93,GK$244+$FJ272-1)))</f>
        <v/>
      </c>
      <c r="GL272" s="479">
        <f ca="1">IF($FJ272+GL$244&gt;73,"",PRODUCT(INDEX($T$19:$T$93,GL$244):INDEX($T$19:$T$93,GL$244+$FJ272-1)))</f>
        <v>0.9990919328280764</v>
      </c>
      <c r="GM272" s="479">
        <f ca="1">IF($FJ272+GM$244&gt;73,"",PRODUCT(INDEX($T$19:$T$93,GM$244):INDEX($T$19:$T$93,GM$244+$FJ272-1)))</f>
        <v>0.99893798101644526</v>
      </c>
      <c r="GN272" s="479">
        <f ca="1">IF($FJ272+GN$244&gt;73,"",PRODUCT(INDEX($T$19:$T$93,GN$244):INDEX($T$19:$T$93,GN$244+$FJ272-1)))</f>
        <v>0.99875793875902408</v>
      </c>
      <c r="GO272" s="479">
        <f ca="1">IF($FJ272+GO$244&gt;73,"",PRODUCT(INDEX($T$19:$T$93,GO$244):INDEX($T$19:$T$93,GO$244+$FJ272-1)))</f>
        <v>0.99854738834953294</v>
      </c>
      <c r="GP272" s="479">
        <f ca="1">IF($FJ272+GP$244&gt;73,"",PRODUCT(INDEX($T$19:$T$93,GP$244):INDEX($T$19:$T$93,GP$244+$FJ272-1)))</f>
        <v>0.99830116553184522</v>
      </c>
      <c r="GQ272" s="479">
        <f ca="1">IF($FJ272+GQ$244&gt;73,"",PRODUCT(INDEX($T$19:$T$93,GQ$244):INDEX($T$19:$T$93,GQ$244+$FJ272-1)))</f>
        <v>0.99801323389446184</v>
      </c>
      <c r="GR272" s="479">
        <f ca="1">IF($FJ272+GR$244&gt;73,"",PRODUCT(INDEX($T$19:$T$93,GR$244):INDEX($T$19:$T$93,GR$244+$FJ272-1)))</f>
        <v>0.99767653834106507</v>
      </c>
      <c r="GS272" s="479">
        <f ca="1">IF($FJ272+GS$244&gt;73,"",PRODUCT(INDEX($T$19:$T$93,GS$244):INDEX($T$19:$T$93,GS$244+$FJ272-1)))</f>
        <v>0.99728283423045272</v>
      </c>
      <c r="GT272" s="479">
        <f ca="1">IF($FJ272+GT$244&gt;73,"",PRODUCT(INDEX($T$19:$T$93,GT$244):INDEX($T$19:$T$93,GT$244+$FJ272-1)))</f>
        <v>0.99682248825449726</v>
      </c>
      <c r="GU272" s="479">
        <f ca="1">IF($FJ272+GU$244&gt;73,"",PRODUCT(INDEX($T$19:$T$93,GU$244):INDEX($T$19:$T$93,GU$244+$FJ272-1)))</f>
        <v>0.99628424652894843</v>
      </c>
      <c r="GV272" s="479">
        <f ca="1">IF($FJ272+GV$244&gt;73,"",PRODUCT(INDEX($T$19:$T$93,GV$244):INDEX($T$19:$T$93,GV$244+$FJ272-1)))</f>
        <v>0.99565496470450132</v>
      </c>
      <c r="GW272" s="479">
        <f ca="1">IF($FJ272+GW$244&gt;73,"",PRODUCT(INDEX($T$19:$T$93,GW$244):INDEX($T$19:$T$93,GW$244+$FJ272-1)))</f>
        <v>0.99491929416224156</v>
      </c>
      <c r="GX272" s="479">
        <f ca="1">IF($FJ272+GX$244&gt;73,"",PRODUCT(INDEX($T$19:$T$93,GX$244):INDEX($T$19:$T$93,GX$244+$FJ272-1)))</f>
        <v>0.99405931753916943</v>
      </c>
      <c r="GY272" s="479">
        <f ca="1">IF($FJ272+GY$244&gt;73,"",PRODUCT(INDEX($T$19:$T$93,GY$244):INDEX($T$19:$T$93,GY$244+$FJ272-1)))</f>
        <v>0.99305412594215947</v>
      </c>
      <c r="GZ272" s="479">
        <f ca="1">IF($FJ272+GZ$244&gt;73,"",PRODUCT(INDEX($T$19:$T$93,GZ$244):INDEX($T$19:$T$93,GZ$244+$FJ272-1)))</f>
        <v>0.99187932926643385</v>
      </c>
      <c r="HA272" s="479">
        <f ca="1">IF($FJ272+HA$244&gt;73,"",PRODUCT(INDEX($T$19:$T$93,HA$244):INDEX($T$19:$T$93,HA$244+$FJ272-1)))</f>
        <v>0.99050649006314107</v>
      </c>
      <c r="HB272" s="479">
        <f ca="1">IF($FJ272+HB$244&gt;73,"",PRODUCT(INDEX($T$19:$T$93,HB$244):INDEX($T$19:$T$93,HB$244+$FJ272-1)))</f>
        <v>0.98890247044278823</v>
      </c>
      <c r="HC272" s="479">
        <f ca="1">IF($FJ272+HC$244&gt;73,"",PRODUCT(INDEX($T$19:$T$93,HC$244):INDEX($T$19:$T$93,HC$244+$FJ272-1)))</f>
        <v>0.9870286806242935</v>
      </c>
      <c r="HD272" s="479">
        <f ca="1">IF($FJ272+HD$244&gt;73,"",PRODUCT(INDEX($T$19:$T$93,HD$244):INDEX($T$19:$T$93,HD$244+$FJ272-1)))</f>
        <v>0.98484021704512004</v>
      </c>
      <c r="HE272" s="479">
        <f ca="1">IF($FJ272+HE$244&gt;73,"",PRODUCT(INDEX($T$19:$T$93,HE$244):INDEX($T$19:$T$93,HE$244+$FJ272-1)))</f>
        <v>0.9822848775865537</v>
      </c>
      <c r="HF272" s="479">
        <f ca="1">IF($FJ272+HF$244&gt;73,"",PRODUCT(INDEX($T$19:$T$93,HF$244):INDEX($T$19:$T$93,HF$244+$FJ272-1)))</f>
        <v>0.97930204165694934</v>
      </c>
      <c r="HG272" s="479">
        <f ca="1">IF($FJ272+HG$244&gt;73,"",PRODUCT(INDEX($T$19:$T$93,HG$244):INDEX($T$19:$T$93,HG$244+$FJ272-1)))</f>
        <v>0.97582140392421546</v>
      </c>
      <c r="HH272" s="479">
        <f ca="1">IF($FJ272+HH$244&gt;73,"",PRODUCT(INDEX($T$19:$T$93,HH$244):INDEX($T$19:$T$93,HH$244+$FJ272-1)))</f>
        <v>0.97176155283186971</v>
      </c>
      <c r="HI272" s="479">
        <f ca="1">IF($FJ272+HI$244&gt;73,"",PRODUCT(INDEX($T$19:$T$93,HI$244):INDEX($T$19:$T$93,HI$244+$FJ272-1)))</f>
        <v>0.96702838927473478</v>
      </c>
      <c r="HJ272" s="479">
        <f ca="1">IF($FJ272+HJ$244&gt;73,"",PRODUCT(INDEX($T$19:$T$93,HJ$244):INDEX($T$19:$T$93,HJ$244+$FJ272-1)))</f>
        <v>0.96151338778027096</v>
      </c>
      <c r="HK272" s="479">
        <f ca="1">IF($FJ272+HK$244&gt;73,"",PRODUCT(INDEX($T$19:$T$93,HK$244):INDEX($T$19:$T$93,HK$244+$FJ272-1)))</f>
        <v>0.95509171336580534</v>
      </c>
      <c r="HL272" s="479">
        <f ca="1">IF($FJ272+HL$244&gt;73,"",PRODUCT(INDEX($T$19:$T$93,HL$244):INDEX($T$19:$T$93,HL$244+$FJ272-1)))</f>
        <v>0.94762022343063801</v>
      </c>
      <c r="HM272" s="479">
        <f ca="1">IF($FJ272+HM$244&gt;73,"",PRODUCT(INDEX($T$19:$T$93,HM$244):INDEX($T$19:$T$93,HM$244+$FJ272-1)))</f>
        <v>0.93893540759252636</v>
      </c>
      <c r="HN272" s="479">
        <f ca="1">IF($FJ272+HN$244&gt;73,"",PRODUCT(INDEX($T$19:$T$93,HN$244):INDEX($T$19:$T$93,HN$244+$FJ272-1)))</f>
        <v>0.92885135188805068</v>
      </c>
      <c r="HO272" s="479">
        <f ca="1">IF($FJ272+HO$244&gt;73,"",PRODUCT(INDEX($T$19:$T$93,HO$244):INDEX($T$19:$T$93,HO$244+$FJ272-1)))</f>
        <v>0.91715786053445836</v>
      </c>
      <c r="HP272" s="479">
        <f ca="1">IF($FJ272+HP$244&gt;73,"",PRODUCT(INDEX($T$19:$T$93,HP$244):INDEX($T$19:$T$93,HP$244+$FJ272-1)))</f>
        <v>0.90361893259398041</v>
      </c>
      <c r="HQ272" s="479">
        <f ca="1">IF($FJ272+HQ$244&gt;73,"",PRODUCT(INDEX($T$19:$T$93,HQ$244):INDEX($T$19:$T$93,HQ$244+$FJ272-1)))</f>
        <v>0.88797187726630455</v>
      </c>
      <c r="HR272" s="479">
        <f ca="1">IF($FJ272+HR$244&gt;73,"",PRODUCT(INDEX($T$19:$T$93,HR$244):INDEX($T$19:$T$93,HR$244+$FJ272-1)))</f>
        <v>0.86992746561639178</v>
      </c>
      <c r="HS272" s="479">
        <f ca="1">IF($FJ272+HS$244&gt;73,"",PRODUCT(INDEX($T$19:$T$93,HS$244):INDEX($T$19:$T$93,HS$244+$FJ272-1)))</f>
        <v>0.8491716637975103</v>
      </c>
      <c r="HT272" s="479">
        <f ca="1">IF($FJ272+HT$244&gt;73,"",PRODUCT(INDEX($T$19:$T$93,HT$244):INDEX($T$19:$T$93,HT$244+$FJ272-1)))</f>
        <v>0.8253696775364987</v>
      </c>
      <c r="HU272" s="479">
        <f ca="1">IF($FJ272+HU$244&gt;73,"",PRODUCT(INDEX($T$19:$T$93,HU$244):INDEX($T$19:$T$93,HU$244+$FJ272-1)))</f>
        <v>0.79817326058922478</v>
      </c>
      <c r="HV272" s="479">
        <f ca="1">IF($FJ272+HV$244&gt;73,"",PRODUCT(INDEX($T$19:$T$93,HV$244):INDEX($T$19:$T$93,HV$244+$FJ272-1)))</f>
        <v>0.76723249421650208</v>
      </c>
      <c r="HW272" s="479">
        <f ca="1">IF($FJ272+HW$244&gt;73,"",PRODUCT(INDEX($T$19:$T$93,HW$244):INDEX($T$19:$T$93,HW$244+$FJ272-1)))</f>
        <v>0.73221350914138328</v>
      </c>
      <c r="HX272" s="479">
        <f ca="1">IF($FJ272+HX$244&gt;73,"",PRODUCT(INDEX($T$19:$T$93,HX$244):INDEX($T$19:$T$93,HX$244+$FJ272-1)))</f>
        <v>0.69282384913688444</v>
      </c>
      <c r="HY272" s="479">
        <f ca="1">IF($FJ272+HY$244&gt;73,"",PRODUCT(INDEX($T$19:$T$93,HY$244):INDEX($T$19:$T$93,HY$244+$FJ272-1)))</f>
        <v>0.64884727767444916</v>
      </c>
      <c r="HZ272" s="479">
        <f ca="1">IF($FJ272+HZ$244&gt;73,"",PRODUCT(INDEX($T$19:$T$93,HZ$244):INDEX($T$19:$T$93,HZ$244+$FJ272-1)))</f>
        <v>0.60018965252972512</v>
      </c>
      <c r="IA272" s="479">
        <f ca="1">IF($FJ272+IA$244&gt;73,"",PRODUCT(INDEX($T$19:$T$93,IA$244):INDEX($T$19:$T$93,IA$244+$FJ272-1)))</f>
        <v>0.54693679167059917</v>
      </c>
      <c r="IB272" s="479">
        <f ca="1">IF($FJ272+IB$244&gt;73,"",PRODUCT(INDEX($T$19:$T$93,IB$244):INDEX($T$19:$T$93,IB$244+$FJ272-1)))</f>
        <v>0.48942366130797643</v>
      </c>
      <c r="IC272" s="479">
        <f ca="1">IF($FJ272+IC$244&gt;73,"",PRODUCT(INDEX($T$19:$T$93,IC$244):INDEX($T$19:$T$93,IC$244+$FJ272-1)))</f>
        <v>0.4283112411525018</v>
      </c>
      <c r="ID272" s="678">
        <f ca="1">IF($FJ272+ID$244&gt;73,"",PRODUCT(INDEX($T$19:$T$93,ID$244):INDEX($T$19:$T$93,ID$244+$FJ272-1)))</f>
        <v>0.36466249731814171</v>
      </c>
      <c r="IE272" s="250"/>
    </row>
    <row r="273" spans="9:239">
      <c r="I273" s="137"/>
      <c r="J273" s="375"/>
      <c r="K273" s="138"/>
      <c r="L273" s="1"/>
      <c r="M273" s="376"/>
      <c r="P273" s="375"/>
      <c r="S273" s="55"/>
      <c r="T273" s="375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06"/>
      <c r="AM273" s="106"/>
      <c r="AN273" s="106"/>
      <c r="AO273" s="374"/>
      <c r="AP273" s="31"/>
      <c r="AQ273" s="374"/>
      <c r="AR273" s="31"/>
      <c r="AS273" s="31"/>
      <c r="AT273" s="31"/>
      <c r="AU273" s="31"/>
      <c r="AV273" s="154"/>
      <c r="AW273" s="106"/>
      <c r="AX273" s="106"/>
      <c r="AY273" s="106"/>
      <c r="AZ273" s="106"/>
      <c r="BA273" s="106"/>
      <c r="BB273" s="106"/>
      <c r="BC273" s="107"/>
      <c r="BD273" s="107"/>
      <c r="BE273" s="107"/>
      <c r="BF273" s="105"/>
      <c r="BG273" s="107"/>
      <c r="BH273" s="107"/>
      <c r="BI273" s="160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7"/>
      <c r="BW273" s="107"/>
      <c r="BX273" s="107"/>
      <c r="BY273" s="107"/>
      <c r="BZ273" s="107"/>
      <c r="CA273" s="107"/>
      <c r="CB273" s="107"/>
      <c r="CC273" s="107"/>
      <c r="CD273" s="107"/>
      <c r="CE273" s="107"/>
      <c r="CF273" s="106"/>
      <c r="CG273" s="106"/>
      <c r="CH273" s="106"/>
      <c r="CI273" s="106"/>
      <c r="CJ273" s="106"/>
      <c r="CK273" s="106"/>
      <c r="CL273" s="110"/>
      <c r="CM273" s="1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H273" s="475"/>
      <c r="DK273" s="475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/>
      <c r="EL273" s="55"/>
      <c r="EM273" s="1"/>
      <c r="EN273" s="106"/>
      <c r="EO273" s="106"/>
      <c r="EP273" s="1"/>
      <c r="EQ273" s="106"/>
      <c r="ER273" s="1"/>
      <c r="ES273" s="1"/>
      <c r="ET273" s="1"/>
      <c r="EU273" s="106"/>
      <c r="FJ273" s="673">
        <v>29</v>
      </c>
      <c r="FK273" s="479" t="str">
        <f ca="1">IF($FJ273+FK$244&gt;73,"",PRODUCT(INDEX($T$19:$T$93,FK$244):INDEX($T$19:$T$93,FK$244+$FJ273-1)))</f>
        <v/>
      </c>
      <c r="FL273" s="479" t="str">
        <f ca="1">IF($FJ273+FL$244&gt;73,"",PRODUCT(INDEX($T$19:$T$93,FL$244):INDEX($T$19:$T$93,FL$244+$FJ273-1)))</f>
        <v/>
      </c>
      <c r="FM273" s="479" t="str">
        <f ca="1">IF($FJ273+FM$244&gt;73,"",PRODUCT(INDEX($T$19:$T$93,FM$244):INDEX($T$19:$T$93,FM$244+$FJ273-1)))</f>
        <v/>
      </c>
      <c r="FN273" s="479" t="str">
        <f ca="1">IF($FJ273+FN$244&gt;73,"",PRODUCT(INDEX($T$19:$T$93,FN$244):INDEX($T$19:$T$93,FN$244+$FJ273-1)))</f>
        <v/>
      </c>
      <c r="FO273" s="479" t="str">
        <f ca="1">IF($FJ273+FO$244&gt;73,"",PRODUCT(INDEX($T$19:$T$93,FO$244):INDEX($T$19:$T$93,FO$244+$FJ273-1)))</f>
        <v/>
      </c>
      <c r="FP273" s="479" t="str">
        <f ca="1">IF($FJ273+FP$244&gt;73,"",PRODUCT(INDEX($T$19:$T$93,FP$244):INDEX($T$19:$T$93,FP$244+$FJ273-1)))</f>
        <v/>
      </c>
      <c r="FQ273" s="479" t="str">
        <f ca="1">IF($FJ273+FQ$244&gt;73,"",PRODUCT(INDEX($T$19:$T$93,FQ$244):INDEX($T$19:$T$93,FQ$244+$FJ273-1)))</f>
        <v/>
      </c>
      <c r="FR273" s="479" t="str">
        <f ca="1">IF($FJ273+FR$244&gt;73,"",PRODUCT(INDEX($T$19:$T$93,FR$244):INDEX($T$19:$T$93,FR$244+$FJ273-1)))</f>
        <v/>
      </c>
      <c r="FS273" s="479" t="str">
        <f ca="1">IF($FJ273+FS$244&gt;73,"",PRODUCT(INDEX($T$19:$T$93,FS$244):INDEX($T$19:$T$93,FS$244+$FJ273-1)))</f>
        <v/>
      </c>
      <c r="FT273" s="479" t="str">
        <f ca="1">IF($FJ273+FT$244&gt;73,"",PRODUCT(INDEX($T$19:$T$93,FT$244):INDEX($T$19:$T$93,FT$244+$FJ273-1)))</f>
        <v/>
      </c>
      <c r="FU273" s="479" t="str">
        <f ca="1">IF($FJ273+FU$244&gt;73,"",PRODUCT(INDEX($T$19:$T$93,FU$244):INDEX($T$19:$T$93,FU$244+$FJ273-1)))</f>
        <v/>
      </c>
      <c r="FV273" s="479" t="str">
        <f ca="1">IF($FJ273+FV$244&gt;73,"",PRODUCT(INDEX($T$19:$T$93,FV$244):INDEX($T$19:$T$93,FV$244+$FJ273-1)))</f>
        <v/>
      </c>
      <c r="FW273" s="479" t="str">
        <f ca="1">IF($FJ273+FW$244&gt;73,"",PRODUCT(INDEX($T$19:$T$93,FW$244):INDEX($T$19:$T$93,FW$244+$FJ273-1)))</f>
        <v/>
      </c>
      <c r="FX273" s="479" t="str">
        <f ca="1">IF($FJ273+FX$244&gt;73,"",PRODUCT(INDEX($T$19:$T$93,FX$244):INDEX($T$19:$T$93,FX$244+$FJ273-1)))</f>
        <v/>
      </c>
      <c r="FY273" s="479" t="str">
        <f ca="1">IF($FJ273+FY$244&gt;73,"",PRODUCT(INDEX($T$19:$T$93,FY$244):INDEX($T$19:$T$93,FY$244+$FJ273-1)))</f>
        <v/>
      </c>
      <c r="FZ273" s="479" t="str">
        <f ca="1">IF($FJ273+FZ$244&gt;73,"",PRODUCT(INDEX($T$19:$T$93,FZ$244):INDEX($T$19:$T$93,FZ$244+$FJ273-1)))</f>
        <v/>
      </c>
      <c r="GA273" s="479" t="str">
        <f ca="1">IF($FJ273+GA$244&gt;73,"",PRODUCT(INDEX($T$19:$T$93,GA$244):INDEX($T$19:$T$93,GA$244+$FJ273-1)))</f>
        <v/>
      </c>
      <c r="GB273" s="479" t="str">
        <f ca="1">IF($FJ273+GB$244&gt;73,"",PRODUCT(INDEX($T$19:$T$93,GB$244):INDEX($T$19:$T$93,GB$244+$FJ273-1)))</f>
        <v/>
      </c>
      <c r="GC273" s="479" t="str">
        <f ca="1">IF($FJ273+GC$244&gt;73,"",PRODUCT(INDEX($T$19:$T$93,GC$244):INDEX($T$19:$T$93,GC$244+$FJ273-1)))</f>
        <v/>
      </c>
      <c r="GD273" s="479" t="str">
        <f ca="1">IF($FJ273+GD$244&gt;73,"",PRODUCT(INDEX($T$19:$T$93,GD$244):INDEX($T$19:$T$93,GD$244+$FJ273-1)))</f>
        <v/>
      </c>
      <c r="GE273" s="479" t="str">
        <f ca="1">IF($FJ273+GE$244&gt;73,"",PRODUCT(INDEX($T$19:$T$93,GE$244):INDEX($T$19:$T$93,GE$244+$FJ273-1)))</f>
        <v/>
      </c>
      <c r="GF273" s="479" t="str">
        <f ca="1">IF($FJ273+GF$244&gt;73,"",PRODUCT(INDEX($T$19:$T$93,GF$244):INDEX($T$19:$T$93,GF$244+$FJ273-1)))</f>
        <v/>
      </c>
      <c r="GG273" s="479" t="str">
        <f ca="1">IF($FJ273+GG$244&gt;73,"",PRODUCT(INDEX($T$19:$T$93,GG$244):INDEX($T$19:$T$93,GG$244+$FJ273-1)))</f>
        <v/>
      </c>
      <c r="GH273" s="479" t="str">
        <f ca="1">IF($FJ273+GH$244&gt;73,"",PRODUCT(INDEX($T$19:$T$93,GH$244):INDEX($T$19:$T$93,GH$244+$FJ273-1)))</f>
        <v/>
      </c>
      <c r="GI273" s="479" t="str">
        <f ca="1">IF($FJ273+GI$244&gt;73,"",PRODUCT(INDEX($T$19:$T$93,GI$244):INDEX($T$19:$T$93,GI$244+$FJ273-1)))</f>
        <v/>
      </c>
      <c r="GJ273" s="479" t="str">
        <f ca="1">IF($FJ273+GJ$244&gt;73,"",PRODUCT(INDEX($T$19:$T$93,GJ$244):INDEX($T$19:$T$93,GJ$244+$FJ273-1)))</f>
        <v/>
      </c>
      <c r="GK273" s="479" t="str">
        <f ca="1">IF($FJ273+GK$244&gt;73,"",PRODUCT(INDEX($T$19:$T$93,GK$244):INDEX($T$19:$T$93,GK$244+$FJ273-1)))</f>
        <v/>
      </c>
      <c r="GL273" s="479" t="str">
        <f ca="1">IF($FJ273+GL$244&gt;73,"",PRODUCT(INDEX($T$19:$T$93,GL$244):INDEX($T$19:$T$93,GL$244+$FJ273-1)))</f>
        <v/>
      </c>
      <c r="GM273" s="479">
        <f ca="1">IF($FJ273+GM$244&gt;73,"",PRODUCT(INDEX($T$19:$T$93,GM$244):INDEX($T$19:$T$93,GM$244+$FJ273-1)))</f>
        <v>0.99893604166164995</v>
      </c>
      <c r="GN273" s="479">
        <f ca="1">IF($FJ273+GN$244&gt;73,"",PRODUCT(INDEX($T$19:$T$93,GN$244):INDEX($T$19:$T$93,GN$244+$FJ273-1)))</f>
        <v>0.99875567091404072</v>
      </c>
      <c r="GO273" s="479">
        <f ca="1">IF($FJ273+GO$244&gt;73,"",PRODUCT(INDEX($T$19:$T$93,GO$244):INDEX($T$19:$T$93,GO$244+$FJ273-1)))</f>
        <v>0.9985447364549821</v>
      </c>
      <c r="GP273" s="479">
        <f ca="1">IF($FJ273+GP$244&gt;73,"",PRODUCT(INDEX($T$19:$T$93,GP$244):INDEX($T$19:$T$93,GP$244+$FJ273-1)))</f>
        <v>0.99829806466098236</v>
      </c>
      <c r="GQ273" s="479">
        <f ca="1">IF($FJ273+GQ$244&gt;73,"",PRODUCT(INDEX($T$19:$T$93,GQ$244):INDEX($T$19:$T$93,GQ$244+$FJ273-1)))</f>
        <v>0.99800960818477524</v>
      </c>
      <c r="GR273" s="479">
        <f ca="1">IF($FJ273+GR$244&gt;73,"",PRODUCT(INDEX($T$19:$T$93,GR$244):INDEX($T$19:$T$93,GR$244+$FJ273-1)))</f>
        <v>0.99767229916731237</v>
      </c>
      <c r="GS273" s="479">
        <f ca="1">IF($FJ273+GS$244&gt;73,"",PRODUCT(INDEX($T$19:$T$93,GS$244):INDEX($T$19:$T$93,GS$244+$FJ273-1)))</f>
        <v>0.99727787807801149</v>
      </c>
      <c r="GT273" s="479">
        <f ca="1">IF($FJ273+GT$244&gt;73,"",PRODUCT(INDEX($T$19:$T$93,GT$244):INDEX($T$19:$T$93,GT$244+$FJ273-1)))</f>
        <v>0.99681669424592534</v>
      </c>
      <c r="GU273" s="479">
        <f ca="1">IF($FJ273+GU$244&gt;73,"",PRODUCT(INDEX($T$19:$T$93,GU$244):INDEX($T$19:$T$93,GU$244+$FJ273-1)))</f>
        <v>0.99627747355002183</v>
      </c>
      <c r="GV273" s="479">
        <f ca="1">IF($FJ273+GV$244&gt;73,"",PRODUCT(INDEX($T$19:$T$93,GV$244):INDEX($T$19:$T$93,GV$244+$FJ273-1)))</f>
        <v>0.99564704806874271</v>
      </c>
      <c r="GW273" s="479">
        <f ca="1">IF($FJ273+GW$244&gt;73,"",PRODUCT(INDEX($T$19:$T$93,GW$244):INDEX($T$19:$T$93,GW$244+$FJ273-1)))</f>
        <v>0.99491004174513409</v>
      </c>
      <c r="GX273" s="479">
        <f ca="1">IF($FJ273+GX$244&gt;73,"",PRODUCT(INDEX($T$19:$T$93,GX$244):INDEX($T$19:$T$93,GX$244+$FJ273-1)))</f>
        <v>0.99404850530503119</v>
      </c>
      <c r="GY273" s="479">
        <f ca="1">IF($FJ273+GY$244&gt;73,"",PRODUCT(INDEX($T$19:$T$93,GY$244):INDEX($T$19:$T$93,GY$244+$FJ273-1)))</f>
        <v>0.99304149277827825</v>
      </c>
      <c r="GZ273" s="479">
        <f ca="1">IF($FJ273+GZ$244&gt;73,"",PRODUCT(INDEX($T$19:$T$93,GZ$244):INDEX($T$19:$T$93,GZ$244+$FJ273-1)))</f>
        <v>0.99186457103095849</v>
      </c>
      <c r="HA273" s="479">
        <f ca="1">IF($FJ273+HA$244&gt;73,"",PRODUCT(INDEX($T$19:$T$93,HA$244):INDEX($T$19:$T$93,HA$244+$FJ273-1)))</f>
        <v>0.9904892527460355</v>
      </c>
      <c r="HB273" s="479">
        <f ca="1">IF($FJ273+HB$244&gt;73,"",PRODUCT(INDEX($T$19:$T$93,HB$244):INDEX($T$19:$T$93,HB$244+$FJ273-1)))</f>
        <v>0.98888234233383365</v>
      </c>
      <c r="HC273" s="479">
        <f ca="1">IF($FJ273+HC$244&gt;73,"",PRODUCT(INDEX($T$19:$T$93,HC$244):INDEX($T$19:$T$93,HC$244+$FJ273-1)))</f>
        <v>0.98700518338007881</v>
      </c>
      <c r="HD273" s="479">
        <f ca="1">IF($FJ273+HD$244&gt;73,"",PRODUCT(INDEX($T$19:$T$93,HD$244):INDEX($T$19:$T$93,HD$244+$FJ273-1)))</f>
        <v>0.9848127955501832</v>
      </c>
      <c r="HE273" s="479">
        <f ca="1">IF($FJ273+HE$244&gt;73,"",PRODUCT(INDEX($T$19:$T$93,HE$244):INDEX($T$19:$T$93,HE$244+$FJ273-1)))</f>
        <v>0.98225288851513481</v>
      </c>
      <c r="HF273" s="479">
        <f ca="1">IF($FJ273+HF$244&gt;73,"",PRODUCT(INDEX($T$19:$T$93,HF$244):INDEX($T$19:$T$93,HF$244+$FJ273-1)))</f>
        <v>0.97926474066509928</v>
      </c>
      <c r="HG273" s="479">
        <f ca="1">IF($FJ273+HG$244&gt;73,"",PRODUCT(INDEX($T$19:$T$93,HG$244):INDEX($T$19:$T$93,HG$244+$FJ273-1)))</f>
        <v>0.97577793144262448</v>
      </c>
      <c r="HH273" s="479">
        <f ca="1">IF($FJ273+HH$244&gt;73,"",PRODUCT(INDEX($T$19:$T$93,HH$244):INDEX($T$19:$T$93,HH$244+$FJ273-1)))</f>
        <v>0.97171091849499103</v>
      </c>
      <c r="HI273" s="479">
        <f ca="1">IF($FJ273+HI$244&gt;73,"",PRODUCT(INDEX($T$19:$T$93,HI$244):INDEX($T$19:$T$93,HI$244+$FJ273-1)))</f>
        <v>0.96696945512130283</v>
      </c>
      <c r="HJ273" s="479">
        <f ca="1">IF($FJ273+HJ$244&gt;73,"",PRODUCT(INDEX($T$19:$T$93,HJ$244):INDEX($T$19:$T$93,HJ$244+$FJ273-1)))</f>
        <v>0.96144485050697359</v>
      </c>
      <c r="HK273" s="479">
        <f ca="1">IF($FJ273+HK$244&gt;73,"",PRODUCT(INDEX($T$19:$T$93,HK$244):INDEX($T$19:$T$93,HK$244+$FJ273-1)))</f>
        <v>0.95501208612634614</v>
      </c>
      <c r="HL273" s="479">
        <f ca="1">IF($FJ273+HL$244&gt;73,"",PRODUCT(INDEX($T$19:$T$93,HL$244):INDEX($T$19:$T$93,HL$244+$FJ273-1)))</f>
        <v>0.94752781796798513</v>
      </c>
      <c r="HM273" s="479">
        <f ca="1">IF($FJ273+HM$244&gt;73,"",PRODUCT(INDEX($T$19:$T$93,HM$244):INDEX($T$19:$T$93,HM$244+$FJ273-1)))</f>
        <v>0.93882831789925891</v>
      </c>
      <c r="HN273" s="479">
        <f ca="1">IF($FJ273+HN$244&gt;73,"",PRODUCT(INDEX($T$19:$T$93,HN$244):INDEX($T$19:$T$93,HN$244+$FJ273-1)))</f>
        <v>0.92872744114025896</v>
      </c>
      <c r="HO273" s="479">
        <f ca="1">IF($FJ273+HO$244&gt;73,"",PRODUCT(INDEX($T$19:$T$93,HO$244):INDEX($T$19:$T$93,HO$244+$FJ273-1)))</f>
        <v>0.91701475377523234</v>
      </c>
      <c r="HP273" s="479">
        <f ca="1">IF($FJ273+HP$244&gt;73,"",PRODUCT(INDEX($T$19:$T$93,HP$244):INDEX($T$19:$T$93,HP$244+$FJ273-1)))</f>
        <v>0.90345401859204399</v>
      </c>
      <c r="HQ273" s="479">
        <f ca="1">IF($FJ273+HQ$244&gt;73,"",PRODUCT(INDEX($T$19:$T$93,HQ$244):INDEX($T$19:$T$93,HQ$244+$FJ273-1)))</f>
        <v>0.8877823241796049</v>
      </c>
      <c r="HR273" s="479">
        <f ca="1">IF($FJ273+HR$244&gt;73,"",PRODUCT(INDEX($T$19:$T$93,HR$244):INDEX($T$19:$T$93,HR$244+$FJ273-1)))</f>
        <v>0.86971025657150358</v>
      </c>
      <c r="HS273" s="479">
        <f ca="1">IF($FJ273+HS$244&gt;73,"",PRODUCT(INDEX($T$19:$T$93,HS$244):INDEX($T$19:$T$93,HS$244+$FJ273-1)))</f>
        <v>0.8489236602430198</v>
      </c>
      <c r="HT273" s="479">
        <f ca="1">IF($FJ273+HT$244&gt;73,"",PRODUCT(INDEX($T$19:$T$93,HT$244):INDEX($T$19:$T$93,HT$244+$FJ273-1)))</f>
        <v>0.82508772016734611</v>
      </c>
      <c r="HU273" s="479">
        <f ca="1">IF($FJ273+HU$244&gt;73,"",PRODUCT(INDEX($T$19:$T$93,HU$244):INDEX($T$19:$T$93,HU$244+$FJ273-1)))</f>
        <v>0.79785431957998953</v>
      </c>
      <c r="HV273" s="479">
        <f ca="1">IF($FJ273+HV$244&gt;73,"",PRODUCT(INDEX($T$19:$T$93,HV$244):INDEX($T$19:$T$93,HV$244+$FJ273-1)))</f>
        <v>0.76687388206485652</v>
      </c>
      <c r="HW273" s="479">
        <f ca="1">IF($FJ273+HW$244&gt;73,"",PRODUCT(INDEX($T$19:$T$93,HW$244):INDEX($T$19:$T$93,HW$244+$FJ273-1)))</f>
        <v>0.73181316992953782</v>
      </c>
      <c r="HX273" s="479">
        <f ca="1">IF($FJ273+HX$244&gt;73,"",PRODUCT(INDEX($T$19:$T$93,HX$244):INDEX($T$19:$T$93,HX$244+$FJ273-1)))</f>
        <v>0.69238073634914121</v>
      </c>
      <c r="HY273" s="479">
        <f ca="1">IF($FJ273+HY$244&gt;73,"",PRODUCT(INDEX($T$19:$T$93,HY$244):INDEX($T$19:$T$93,HY$244+$FJ273-1)))</f>
        <v>0.64836182714048229</v>
      </c>
      <c r="HZ273" s="479">
        <f ca="1">IF($FJ273+HZ$244&gt;73,"",PRODUCT(INDEX($T$19:$T$93,HZ$244):INDEX($T$19:$T$93,HZ$244+$FJ273-1)))</f>
        <v>0.59966434513574607</v>
      </c>
      <c r="IA273" s="479">
        <f ca="1">IF($FJ273+IA$244&gt;73,"",PRODUCT(INDEX($T$19:$T$93,IA$244):INDEX($T$19:$T$93,IA$244+$FJ273-1)))</f>
        <v>0.54637677900396797</v>
      </c>
      <c r="IB273" s="479">
        <f ca="1">IF($FJ273+IB$244&gt;73,"",PRODUCT(INDEX($T$19:$T$93,IB$244):INDEX($T$19:$T$93,IB$244+$FJ273-1)))</f>
        <v>0.48883739284107441</v>
      </c>
      <c r="IC273" s="479">
        <f ca="1">IF($FJ273+IC$244&gt;73,"",PRODUCT(INDEX($T$19:$T$93,IC$244):INDEX($T$19:$T$93,IC$244+$FJ273-1)))</f>
        <v>0.42771098123964624</v>
      </c>
      <c r="ID273" s="678">
        <f ca="1">IF($FJ273+ID$244&gt;73,"",PRODUCT(INDEX($T$19:$T$93,ID$244):INDEX($T$19:$T$93,ID$244+$FJ273-1)))</f>
        <v>0.36406455497962659</v>
      </c>
      <c r="IE273" s="250"/>
    </row>
    <row r="274" spans="9:239">
      <c r="I274" s="137"/>
      <c r="J274" s="375"/>
      <c r="K274" s="138"/>
      <c r="L274" s="1"/>
      <c r="M274" s="376"/>
      <c r="P274" s="375"/>
      <c r="S274" s="55"/>
      <c r="T274" s="375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06"/>
      <c r="AM274" s="106"/>
      <c r="AN274" s="106"/>
      <c r="AO274" s="374"/>
      <c r="AP274" s="31"/>
      <c r="AQ274" s="374"/>
      <c r="AR274" s="31"/>
      <c r="AS274" s="31"/>
      <c r="AT274" s="31"/>
      <c r="AU274" s="31"/>
      <c r="AV274" s="154"/>
      <c r="AW274" s="106"/>
      <c r="AX274" s="106"/>
      <c r="AY274" s="106"/>
      <c r="AZ274" s="106"/>
      <c r="BA274" s="106"/>
      <c r="BB274" s="106"/>
      <c r="BC274" s="107"/>
      <c r="BD274" s="107"/>
      <c r="BE274" s="107"/>
      <c r="BF274" s="105"/>
      <c r="BG274" s="107"/>
      <c r="BH274" s="107"/>
      <c r="BI274" s="160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7"/>
      <c r="BW274" s="107"/>
      <c r="BX274" s="107"/>
      <c r="BY274" s="107"/>
      <c r="BZ274" s="107"/>
      <c r="CA274" s="107"/>
      <c r="CB274" s="107"/>
      <c r="CC274" s="107"/>
      <c r="CD274" s="107"/>
      <c r="CE274" s="107"/>
      <c r="CF274" s="106"/>
      <c r="CG274" s="106"/>
      <c r="CH274" s="106"/>
      <c r="CI274" s="106"/>
      <c r="CJ274" s="106"/>
      <c r="CK274" s="106"/>
      <c r="CL274" s="110"/>
      <c r="CM274" s="1"/>
      <c r="CN274" s="53"/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  <c r="DC274" s="53"/>
      <c r="DD274" s="53"/>
      <c r="DE274" s="53"/>
      <c r="DH274" s="475"/>
      <c r="DK274" s="475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3"/>
      <c r="EL274" s="55"/>
      <c r="EM274" s="1"/>
      <c r="EN274" s="106"/>
      <c r="EO274" s="106"/>
      <c r="EP274" s="1"/>
      <c r="EQ274" s="106"/>
      <c r="ER274" s="1"/>
      <c r="ES274" s="1"/>
      <c r="ET274" s="1"/>
      <c r="EU274" s="106"/>
      <c r="FJ274" s="673">
        <v>30</v>
      </c>
      <c r="FK274" s="479" t="str">
        <f ca="1">IF($FJ274+FK$244&gt;73,"",PRODUCT(INDEX($T$19:$T$93,FK$244):INDEX($T$19:$T$93,FK$244+$FJ274-1)))</f>
        <v/>
      </c>
      <c r="FL274" s="479" t="str">
        <f ca="1">IF($FJ274+FL$244&gt;73,"",PRODUCT(INDEX($T$19:$T$93,FL$244):INDEX($T$19:$T$93,FL$244+$FJ274-1)))</f>
        <v/>
      </c>
      <c r="FM274" s="479" t="str">
        <f ca="1">IF($FJ274+FM$244&gt;73,"",PRODUCT(INDEX($T$19:$T$93,FM$244):INDEX($T$19:$T$93,FM$244+$FJ274-1)))</f>
        <v/>
      </c>
      <c r="FN274" s="479" t="str">
        <f ca="1">IF($FJ274+FN$244&gt;73,"",PRODUCT(INDEX($T$19:$T$93,FN$244):INDEX($T$19:$T$93,FN$244+$FJ274-1)))</f>
        <v/>
      </c>
      <c r="FO274" s="479" t="str">
        <f ca="1">IF($FJ274+FO$244&gt;73,"",PRODUCT(INDEX($T$19:$T$93,FO$244):INDEX($T$19:$T$93,FO$244+$FJ274-1)))</f>
        <v/>
      </c>
      <c r="FP274" s="479" t="str">
        <f ca="1">IF($FJ274+FP$244&gt;73,"",PRODUCT(INDEX($T$19:$T$93,FP$244):INDEX($T$19:$T$93,FP$244+$FJ274-1)))</f>
        <v/>
      </c>
      <c r="FQ274" s="479" t="str">
        <f ca="1">IF($FJ274+FQ$244&gt;73,"",PRODUCT(INDEX($T$19:$T$93,FQ$244):INDEX($T$19:$T$93,FQ$244+$FJ274-1)))</f>
        <v/>
      </c>
      <c r="FR274" s="479" t="str">
        <f ca="1">IF($FJ274+FR$244&gt;73,"",PRODUCT(INDEX($T$19:$T$93,FR$244):INDEX($T$19:$T$93,FR$244+$FJ274-1)))</f>
        <v/>
      </c>
      <c r="FS274" s="479" t="str">
        <f ca="1">IF($FJ274+FS$244&gt;73,"",PRODUCT(INDEX($T$19:$T$93,FS$244):INDEX($T$19:$T$93,FS$244+$FJ274-1)))</f>
        <v/>
      </c>
      <c r="FT274" s="479" t="str">
        <f ca="1">IF($FJ274+FT$244&gt;73,"",PRODUCT(INDEX($T$19:$T$93,FT$244):INDEX($T$19:$T$93,FT$244+$FJ274-1)))</f>
        <v/>
      </c>
      <c r="FU274" s="479" t="str">
        <f ca="1">IF($FJ274+FU$244&gt;73,"",PRODUCT(INDEX($T$19:$T$93,FU$244):INDEX($T$19:$T$93,FU$244+$FJ274-1)))</f>
        <v/>
      </c>
      <c r="FV274" s="479" t="str">
        <f ca="1">IF($FJ274+FV$244&gt;73,"",PRODUCT(INDEX($T$19:$T$93,FV$244):INDEX($T$19:$T$93,FV$244+$FJ274-1)))</f>
        <v/>
      </c>
      <c r="FW274" s="479" t="str">
        <f ca="1">IF($FJ274+FW$244&gt;73,"",PRODUCT(INDEX($T$19:$T$93,FW$244):INDEX($T$19:$T$93,FW$244+$FJ274-1)))</f>
        <v/>
      </c>
      <c r="FX274" s="479" t="str">
        <f ca="1">IF($FJ274+FX$244&gt;73,"",PRODUCT(INDEX($T$19:$T$93,FX$244):INDEX($T$19:$T$93,FX$244+$FJ274-1)))</f>
        <v/>
      </c>
      <c r="FY274" s="479" t="str">
        <f ca="1">IF($FJ274+FY$244&gt;73,"",PRODUCT(INDEX($T$19:$T$93,FY$244):INDEX($T$19:$T$93,FY$244+$FJ274-1)))</f>
        <v/>
      </c>
      <c r="FZ274" s="479" t="str">
        <f ca="1">IF($FJ274+FZ$244&gt;73,"",PRODUCT(INDEX($T$19:$T$93,FZ$244):INDEX($T$19:$T$93,FZ$244+$FJ274-1)))</f>
        <v/>
      </c>
      <c r="GA274" s="479" t="str">
        <f ca="1">IF($FJ274+GA$244&gt;73,"",PRODUCT(INDEX($T$19:$T$93,GA$244):INDEX($T$19:$T$93,GA$244+$FJ274-1)))</f>
        <v/>
      </c>
      <c r="GB274" s="479" t="str">
        <f ca="1">IF($FJ274+GB$244&gt;73,"",PRODUCT(INDEX($T$19:$T$93,GB$244):INDEX($T$19:$T$93,GB$244+$FJ274-1)))</f>
        <v/>
      </c>
      <c r="GC274" s="479" t="str">
        <f ca="1">IF($FJ274+GC$244&gt;73,"",PRODUCT(INDEX($T$19:$T$93,GC$244):INDEX($T$19:$T$93,GC$244+$FJ274-1)))</f>
        <v/>
      </c>
      <c r="GD274" s="479" t="str">
        <f ca="1">IF($FJ274+GD$244&gt;73,"",PRODUCT(INDEX($T$19:$T$93,GD$244):INDEX($T$19:$T$93,GD$244+$FJ274-1)))</f>
        <v/>
      </c>
      <c r="GE274" s="479" t="str">
        <f ca="1">IF($FJ274+GE$244&gt;73,"",PRODUCT(INDEX($T$19:$T$93,GE$244):INDEX($T$19:$T$93,GE$244+$FJ274-1)))</f>
        <v/>
      </c>
      <c r="GF274" s="479" t="str">
        <f ca="1">IF($FJ274+GF$244&gt;73,"",PRODUCT(INDEX($T$19:$T$93,GF$244):INDEX($T$19:$T$93,GF$244+$FJ274-1)))</f>
        <v/>
      </c>
      <c r="GG274" s="479" t="str">
        <f ca="1">IF($FJ274+GG$244&gt;73,"",PRODUCT(INDEX($T$19:$T$93,GG$244):INDEX($T$19:$T$93,GG$244+$FJ274-1)))</f>
        <v/>
      </c>
      <c r="GH274" s="479" t="str">
        <f ca="1">IF($FJ274+GH$244&gt;73,"",PRODUCT(INDEX($T$19:$T$93,GH$244):INDEX($T$19:$T$93,GH$244+$FJ274-1)))</f>
        <v/>
      </c>
      <c r="GI274" s="479" t="str">
        <f ca="1">IF($FJ274+GI$244&gt;73,"",PRODUCT(INDEX($T$19:$T$93,GI$244):INDEX($T$19:$T$93,GI$244+$FJ274-1)))</f>
        <v/>
      </c>
      <c r="GJ274" s="479" t="str">
        <f ca="1">IF($FJ274+GJ$244&gt;73,"",PRODUCT(INDEX($T$19:$T$93,GJ$244):INDEX($T$19:$T$93,GJ$244+$FJ274-1)))</f>
        <v/>
      </c>
      <c r="GK274" s="479" t="str">
        <f ca="1">IF($FJ274+GK$244&gt;73,"",PRODUCT(INDEX($T$19:$T$93,GK$244):INDEX($T$19:$T$93,GK$244+$FJ274-1)))</f>
        <v/>
      </c>
      <c r="GL274" s="479" t="str">
        <f ca="1">IF($FJ274+GL$244&gt;73,"",PRODUCT(INDEX($T$19:$T$93,GL$244):INDEX($T$19:$T$93,GL$244+$FJ274-1)))</f>
        <v/>
      </c>
      <c r="GM274" s="479" t="str">
        <f ca="1">IF($FJ274+GM$244&gt;73,"",PRODUCT(INDEX($T$19:$T$93,GM$244):INDEX($T$19:$T$93,GM$244+$FJ274-1)))</f>
        <v/>
      </c>
      <c r="GN274" s="479">
        <f ca="1">IF($FJ274+GN$244&gt;73,"",PRODUCT(INDEX($T$19:$T$93,GN$244):INDEX($T$19:$T$93,GN$244+$FJ274-1)))</f>
        <v>0.99875373191318528</v>
      </c>
      <c r="GO274" s="479">
        <f ca="1">IF($FJ274+GO$244&gt;73,"",PRODUCT(INDEX($T$19:$T$93,GO$244):INDEX($T$19:$T$93,GO$244+$FJ274-1)))</f>
        <v>0.99854246909410982</v>
      </c>
      <c r="GP274" s="479">
        <f ca="1">IF($FJ274+GP$244&gt;73,"",PRODUCT(INDEX($T$19:$T$93,GP$244):INDEX($T$19:$T$93,GP$244+$FJ274-1)))</f>
        <v>0.99829541342857353</v>
      </c>
      <c r="GQ274" s="479">
        <f ca="1">IF($FJ274+GQ$244&gt;73,"",PRODUCT(INDEX($T$19:$T$93,GQ$244):INDEX($T$19:$T$93,GQ$244+$FJ274-1)))</f>
        <v>0.99800650821953263</v>
      </c>
      <c r="GR274" s="479">
        <f ca="1">IF($FJ274+GR$244&gt;73,"",PRODUCT(INDEX($T$19:$T$93,GR$244):INDEX($T$19:$T$93,GR$244+$FJ274-1)))</f>
        <v>0.9976686746962169</v>
      </c>
      <c r="GS274" s="479">
        <f ca="1">IF($FJ274+GS$244&gt;73,"",PRODUCT(INDEX($T$19:$T$93,GS$244):INDEX($T$19:$T$93,GS$244+$FJ274-1)))</f>
        <v>0.99727364059818469</v>
      </c>
      <c r="GT274" s="479">
        <f ca="1">IF($FJ274+GT$244&gt;73,"",PRODUCT(INDEX($T$19:$T$93,GT$244):INDEX($T$19:$T$93,GT$244+$FJ274-1)))</f>
        <v>0.99681174041003939</v>
      </c>
      <c r="GU274" s="479">
        <f ca="1">IF($FJ274+GU$244&gt;73,"",PRODUCT(INDEX($T$19:$T$93,GU$244):INDEX($T$19:$T$93,GU$244+$FJ274-1)))</f>
        <v>0.99627168270933575</v>
      </c>
      <c r="GV274" s="479">
        <f ca="1">IF($FJ274+GV$244&gt;73,"",PRODUCT(INDEX($T$19:$T$93,GV$244):INDEX($T$19:$T$93,GV$244+$FJ274-1)))</f>
        <v>0.99564027942164379</v>
      </c>
      <c r="GW274" s="479">
        <f ca="1">IF($FJ274+GW$244&gt;73,"",PRODUCT(INDEX($T$19:$T$93,GW$244):INDEX($T$19:$T$93,GW$244+$FJ274-1)))</f>
        <v>0.99490213103239489</v>
      </c>
      <c r="GX274" s="479">
        <f ca="1">IF($FJ274+GX$244&gt;73,"",PRODUCT(INDEX($T$19:$T$93,GX$244):INDEX($T$19:$T$93,GX$244+$FJ274-1)))</f>
        <v>0.99403926098596929</v>
      </c>
      <c r="GY274" s="479">
        <f ca="1">IF($FJ274+GY$244&gt;73,"",PRODUCT(INDEX($T$19:$T$93,GY$244):INDEX($T$19:$T$93,GY$244+$FJ274-1)))</f>
        <v>0.99303069161486734</v>
      </c>
      <c r="GZ274" s="479">
        <f ca="1">IF($FJ274+GZ$244&gt;73,"",PRODUCT(INDEX($T$19:$T$93,GZ$244):INDEX($T$19:$T$93,GZ$244+$FJ274-1)))</f>
        <v>0.99185195300003104</v>
      </c>
      <c r="HA274" s="479">
        <f ca="1">IF($FJ274+HA$244&gt;73,"",PRODUCT(INDEX($T$19:$T$93,HA$244):INDEX($T$19:$T$93,HA$244+$FJ274-1)))</f>
        <v>0.99047451519359686</v>
      </c>
      <c r="HB274" s="479">
        <f ca="1">IF($FJ274+HB$244&gt;73,"",PRODUCT(INDEX($T$19:$T$93,HB$244):INDEX($T$19:$T$93,HB$244+$FJ274-1)))</f>
        <v>0.98886513328100478</v>
      </c>
      <c r="HC274" s="479">
        <f ca="1">IF($FJ274+HC$244&gt;73,"",PRODUCT(INDEX($T$19:$T$93,HC$244):INDEX($T$19:$T$93,HC$244+$FJ274-1)))</f>
        <v>0.98698509388848221</v>
      </c>
      <c r="HD274" s="479">
        <f ca="1">IF($FJ274+HD$244&gt;73,"",PRODUCT(INDEX($T$19:$T$93,HD$244):INDEX($T$19:$T$93,HD$244+$FJ274-1)))</f>
        <v>0.98478935105741716</v>
      </c>
      <c r="HE274" s="479">
        <f ca="1">IF($FJ274+HE$244&gt;73,"",PRODUCT(INDEX($T$19:$T$93,HE$244):INDEX($T$19:$T$93,HE$244+$FJ274-1)))</f>
        <v>0.98222553906073307</v>
      </c>
      <c r="HF274" s="479">
        <f ca="1">IF($FJ274+HF$244&gt;73,"",PRODUCT(INDEX($T$19:$T$93,HF$244):INDEX($T$19:$T$93,HF$244+$FJ274-1)))</f>
        <v>0.97923284994740434</v>
      </c>
      <c r="HG274" s="479">
        <f ca="1">IF($FJ274+HG$244&gt;73,"",PRODUCT(INDEX($T$19:$T$93,HG$244):INDEX($T$19:$T$93,HG$244+$FJ274-1)))</f>
        <v>0.97574076468189086</v>
      </c>
      <c r="HH274" s="479">
        <f ca="1">IF($FJ274+HH$244&gt;73,"",PRODUCT(INDEX($T$19:$T$93,HH$244):INDEX($T$19:$T$93,HH$244+$FJ274-1)))</f>
        <v>0.97166762913400129</v>
      </c>
      <c r="HI274" s="479">
        <f ca="1">IF($FJ274+HI$244&gt;73,"",PRODUCT(INDEX($T$19:$T$93,HI$244):INDEX($T$19:$T$93,HI$244+$FJ274-1)))</f>
        <v>0.96691907048013304</v>
      </c>
      <c r="HJ274" s="479">
        <f ca="1">IF($FJ274+HJ$244&gt;73,"",PRODUCT(INDEX($T$19:$T$93,HJ$244):INDEX($T$19:$T$93,HJ$244+$FJ274-1)))</f>
        <v>0.96138625663427602</v>
      </c>
      <c r="HK274" s="479">
        <f ca="1">IF($FJ274+HK$244&gt;73,"",PRODUCT(INDEX($T$19:$T$93,HK$244):INDEX($T$19:$T$93,HK$244+$FJ274-1)))</f>
        <v>0.9549440122698809</v>
      </c>
      <c r="HL274" s="479">
        <f ca="1">IF($FJ274+HL$244&gt;73,"",PRODUCT(INDEX($T$19:$T$93,HL$244):INDEX($T$19:$T$93,HL$244+$FJ274-1)))</f>
        <v>0.9474488213403317</v>
      </c>
      <c r="HM274" s="479">
        <f ca="1">IF($FJ274+HM$244&gt;73,"",PRODUCT(INDEX($T$19:$T$93,HM$244):INDEX($T$19:$T$93,HM$244+$FJ274-1)))</f>
        <v>0.93873676976328413</v>
      </c>
      <c r="HN274" s="479">
        <f ca="1">IF($FJ274+HN$244&gt;73,"",PRODUCT(INDEX($T$19:$T$93,HN$244):INDEX($T$19:$T$93,HN$244+$FJ274-1)))</f>
        <v>0.92862151571024909</v>
      </c>
      <c r="HO274" s="479">
        <f ca="1">IF($FJ274+HO$244&gt;73,"",PRODUCT(INDEX($T$19:$T$93,HO$244):INDEX($T$19:$T$93,HO$244+$FJ274-1)))</f>
        <v>0.91689242205482802</v>
      </c>
      <c r="HP274" s="479">
        <f ca="1">IF($FJ274+HP$244&gt;73,"",PRODUCT(INDEX($T$19:$T$93,HP$244):INDEX($T$19:$T$93,HP$244+$FJ274-1)))</f>
        <v>0.90331305008239715</v>
      </c>
      <c r="HQ274" s="479">
        <f ca="1">IF($FJ274+HQ$244&gt;73,"",PRODUCT(INDEX($T$19:$T$93,HQ$244):INDEX($T$19:$T$93,HQ$244+$FJ274-1)))</f>
        <v>0.88762030042086337</v>
      </c>
      <c r="HR274" s="479">
        <f ca="1">IF($FJ274+HR$244&gt;73,"",PRODUCT(INDEX($T$19:$T$93,HR$244):INDEX($T$19:$T$93,HR$244+$FJ274-1)))</f>
        <v>0.86952460174629109</v>
      </c>
      <c r="HS274" s="479">
        <f ca="1">IF($FJ274+HS$244&gt;73,"",PRODUCT(INDEX($T$19:$T$93,HS$244):INDEX($T$19:$T$93,HS$244+$FJ274-1)))</f>
        <v>0.84871169556238546</v>
      </c>
      <c r="HT274" s="479">
        <f ca="1">IF($FJ274+HT$244&gt;73,"",PRODUCT(INDEX($T$19:$T$93,HT$244):INDEX($T$19:$T$93,HT$244+$FJ274-1)))</f>
        <v>0.82484675041282929</v>
      </c>
      <c r="HU274" s="479">
        <f ca="1">IF($FJ274+HU$244&gt;73,"",PRODUCT(INDEX($T$19:$T$93,HU$244):INDEX($T$19:$T$93,HU$244+$FJ274-1)))</f>
        <v>0.79758176182673246</v>
      </c>
      <c r="HV274" s="479">
        <f ca="1">IF($FJ274+HV$244&gt;73,"",PRODUCT(INDEX($T$19:$T$93,HV$244):INDEX($T$19:$T$93,HV$244+$FJ274-1)))</f>
        <v>0.76656744793334808</v>
      </c>
      <c r="HW274" s="479">
        <f ca="1">IF($FJ274+HW$244&gt;73,"",PRODUCT(INDEX($T$19:$T$93,HW$244):INDEX($T$19:$T$93,HW$244+$FJ274-1)))</f>
        <v>0.73147111312478919</v>
      </c>
      <c r="HX274" s="479">
        <f ca="1">IF($FJ274+HX$244&gt;73,"",PRODUCT(INDEX($T$19:$T$93,HX$244):INDEX($T$19:$T$93,HX$244+$FJ274-1)))</f>
        <v>0.6920021757860999</v>
      </c>
      <c r="HY274" s="479">
        <f ca="1">IF($FJ274+HY$244&gt;73,"",PRODUCT(INDEX($T$19:$T$93,HY$244):INDEX($T$19:$T$93,HY$244+$FJ274-1)))</f>
        <v>0.64794715114881662</v>
      </c>
      <c r="HZ274" s="479">
        <f ca="1">IF($FJ274+HZ$244&gt;73,"",PRODUCT(INDEX($T$19:$T$93,HZ$244):INDEX($T$19:$T$93,HZ$244+$FJ274-1)))</f>
        <v>0.599215691983358</v>
      </c>
      <c r="IA274" s="479">
        <f ca="1">IF($FJ274+IA$244&gt;73,"",PRODUCT(INDEX($T$19:$T$93,IA$244):INDEX($T$19:$T$93,IA$244+$FJ274-1)))</f>
        <v>0.54589857055652213</v>
      </c>
      <c r="IB274" s="479">
        <f ca="1">IF($FJ274+IB$244&gt;73,"",PRODUCT(INDEX($T$19:$T$93,IB$244):INDEX($T$19:$T$93,IB$244+$FJ274-1)))</f>
        <v>0.48833686858290953</v>
      </c>
      <c r="IC274" s="479">
        <f ca="1">IF($FJ274+IC$244&gt;73,"",PRODUCT(INDEX($T$19:$T$93,IC$244):INDEX($T$19:$T$93,IC$244+$FJ274-1)))</f>
        <v>0.42719863686181542</v>
      </c>
      <c r="ID274" s="678">
        <f ca="1">IF($FJ274+ID$244&gt;73,"",PRODUCT(INDEX($T$19:$T$93,ID$244):INDEX($T$19:$T$93,ID$244+$FJ274-1)))</f>
        <v>0.36355433405369936</v>
      </c>
      <c r="IE274" s="250"/>
    </row>
    <row r="275" spans="9:239">
      <c r="I275" s="137"/>
      <c r="J275" s="375"/>
      <c r="K275" s="138"/>
      <c r="L275" s="1"/>
      <c r="M275" s="376"/>
      <c r="P275" s="375"/>
      <c r="S275" s="55"/>
      <c r="T275" s="375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06"/>
      <c r="AM275" s="106"/>
      <c r="AN275" s="106"/>
      <c r="AO275" s="374"/>
      <c r="AP275" s="31"/>
      <c r="AQ275" s="374"/>
      <c r="AR275" s="31"/>
      <c r="AS275" s="31"/>
      <c r="AT275" s="31"/>
      <c r="AU275" s="31"/>
      <c r="AV275" s="154"/>
      <c r="AW275" s="106"/>
      <c r="AX275" s="106"/>
      <c r="AY275" s="106"/>
      <c r="AZ275" s="106"/>
      <c r="BA275" s="106"/>
      <c r="BB275" s="106"/>
      <c r="BC275" s="107"/>
      <c r="BD275" s="107"/>
      <c r="BE275" s="107"/>
      <c r="BF275" s="105"/>
      <c r="BG275" s="107"/>
      <c r="BH275" s="107"/>
      <c r="BI275" s="160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7"/>
      <c r="BW275" s="107"/>
      <c r="BX275" s="107"/>
      <c r="BY275" s="107"/>
      <c r="BZ275" s="107"/>
      <c r="CA275" s="107"/>
      <c r="CB275" s="107"/>
      <c r="CC275" s="107"/>
      <c r="CD275" s="107"/>
      <c r="CE275" s="107"/>
      <c r="CF275" s="106"/>
      <c r="CG275" s="106"/>
      <c r="CH275" s="106"/>
      <c r="CI275" s="106"/>
      <c r="CJ275" s="106"/>
      <c r="CK275" s="106"/>
      <c r="CL275" s="110"/>
      <c r="CM275" s="1"/>
      <c r="CN275" s="53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/>
      <c r="DE275" s="53"/>
      <c r="DH275" s="475"/>
      <c r="DK275" s="475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3"/>
      <c r="EL275" s="55"/>
      <c r="EM275" s="1"/>
      <c r="EN275" s="106"/>
      <c r="EO275" s="106"/>
      <c r="EP275" s="1"/>
      <c r="EQ275" s="106"/>
      <c r="ER275" s="1"/>
      <c r="ES275" s="1"/>
      <c r="ET275" s="1"/>
      <c r="EU275" s="106"/>
      <c r="FJ275" s="673">
        <v>31</v>
      </c>
      <c r="FK275" s="479" t="str">
        <f ca="1">IF($FJ275+FK$244&gt;73,"",PRODUCT(INDEX($T$19:$T$93,FK$244):INDEX($T$19:$T$93,FK$244+$FJ275-1)))</f>
        <v/>
      </c>
      <c r="FL275" s="479" t="str">
        <f ca="1">IF($FJ275+FL$244&gt;73,"",PRODUCT(INDEX($T$19:$T$93,FL$244):INDEX($T$19:$T$93,FL$244+$FJ275-1)))</f>
        <v/>
      </c>
      <c r="FM275" s="479" t="str">
        <f ca="1">IF($FJ275+FM$244&gt;73,"",PRODUCT(INDEX($T$19:$T$93,FM$244):INDEX($T$19:$T$93,FM$244+$FJ275-1)))</f>
        <v/>
      </c>
      <c r="FN275" s="479" t="str">
        <f ca="1">IF($FJ275+FN$244&gt;73,"",PRODUCT(INDEX($T$19:$T$93,FN$244):INDEX($T$19:$T$93,FN$244+$FJ275-1)))</f>
        <v/>
      </c>
      <c r="FO275" s="479" t="str">
        <f ca="1">IF($FJ275+FO$244&gt;73,"",PRODUCT(INDEX($T$19:$T$93,FO$244):INDEX($T$19:$T$93,FO$244+$FJ275-1)))</f>
        <v/>
      </c>
      <c r="FP275" s="479" t="str">
        <f ca="1">IF($FJ275+FP$244&gt;73,"",PRODUCT(INDEX($T$19:$T$93,FP$244):INDEX($T$19:$T$93,FP$244+$FJ275-1)))</f>
        <v/>
      </c>
      <c r="FQ275" s="479" t="str">
        <f ca="1">IF($FJ275+FQ$244&gt;73,"",PRODUCT(INDEX($T$19:$T$93,FQ$244):INDEX($T$19:$T$93,FQ$244+$FJ275-1)))</f>
        <v/>
      </c>
      <c r="FR275" s="479" t="str">
        <f ca="1">IF($FJ275+FR$244&gt;73,"",PRODUCT(INDEX($T$19:$T$93,FR$244):INDEX($T$19:$T$93,FR$244+$FJ275-1)))</f>
        <v/>
      </c>
      <c r="FS275" s="479" t="str">
        <f ca="1">IF($FJ275+FS$244&gt;73,"",PRODUCT(INDEX($T$19:$T$93,FS$244):INDEX($T$19:$T$93,FS$244+$FJ275-1)))</f>
        <v/>
      </c>
      <c r="FT275" s="479" t="str">
        <f ca="1">IF($FJ275+FT$244&gt;73,"",PRODUCT(INDEX($T$19:$T$93,FT$244):INDEX($T$19:$T$93,FT$244+$FJ275-1)))</f>
        <v/>
      </c>
      <c r="FU275" s="479" t="str">
        <f ca="1">IF($FJ275+FU$244&gt;73,"",PRODUCT(INDEX($T$19:$T$93,FU$244):INDEX($T$19:$T$93,FU$244+$FJ275-1)))</f>
        <v/>
      </c>
      <c r="FV275" s="479" t="str">
        <f ca="1">IF($FJ275+FV$244&gt;73,"",PRODUCT(INDEX($T$19:$T$93,FV$244):INDEX($T$19:$T$93,FV$244+$FJ275-1)))</f>
        <v/>
      </c>
      <c r="FW275" s="479" t="str">
        <f ca="1">IF($FJ275+FW$244&gt;73,"",PRODUCT(INDEX($T$19:$T$93,FW$244):INDEX($T$19:$T$93,FW$244+$FJ275-1)))</f>
        <v/>
      </c>
      <c r="FX275" s="479" t="str">
        <f ca="1">IF($FJ275+FX$244&gt;73,"",PRODUCT(INDEX($T$19:$T$93,FX$244):INDEX($T$19:$T$93,FX$244+$FJ275-1)))</f>
        <v/>
      </c>
      <c r="FY275" s="479" t="str">
        <f ca="1">IF($FJ275+FY$244&gt;73,"",PRODUCT(INDEX($T$19:$T$93,FY$244):INDEX($T$19:$T$93,FY$244+$FJ275-1)))</f>
        <v/>
      </c>
      <c r="FZ275" s="479" t="str">
        <f ca="1">IF($FJ275+FZ$244&gt;73,"",PRODUCT(INDEX($T$19:$T$93,FZ$244):INDEX($T$19:$T$93,FZ$244+$FJ275-1)))</f>
        <v/>
      </c>
      <c r="GA275" s="479" t="str">
        <f ca="1">IF($FJ275+GA$244&gt;73,"",PRODUCT(INDEX($T$19:$T$93,GA$244):INDEX($T$19:$T$93,GA$244+$FJ275-1)))</f>
        <v/>
      </c>
      <c r="GB275" s="479" t="str">
        <f ca="1">IF($FJ275+GB$244&gt;73,"",PRODUCT(INDEX($T$19:$T$93,GB$244):INDEX($T$19:$T$93,GB$244+$FJ275-1)))</f>
        <v/>
      </c>
      <c r="GC275" s="479" t="str">
        <f ca="1">IF($FJ275+GC$244&gt;73,"",PRODUCT(INDEX($T$19:$T$93,GC$244):INDEX($T$19:$T$93,GC$244+$FJ275-1)))</f>
        <v/>
      </c>
      <c r="GD275" s="479" t="str">
        <f ca="1">IF($FJ275+GD$244&gt;73,"",PRODUCT(INDEX($T$19:$T$93,GD$244):INDEX($T$19:$T$93,GD$244+$FJ275-1)))</f>
        <v/>
      </c>
      <c r="GE275" s="479" t="str">
        <f ca="1">IF($FJ275+GE$244&gt;73,"",PRODUCT(INDEX($T$19:$T$93,GE$244):INDEX($T$19:$T$93,GE$244+$FJ275-1)))</f>
        <v/>
      </c>
      <c r="GF275" s="479" t="str">
        <f ca="1">IF($FJ275+GF$244&gt;73,"",PRODUCT(INDEX($T$19:$T$93,GF$244):INDEX($T$19:$T$93,GF$244+$FJ275-1)))</f>
        <v/>
      </c>
      <c r="GG275" s="479" t="str">
        <f ca="1">IF($FJ275+GG$244&gt;73,"",PRODUCT(INDEX($T$19:$T$93,GG$244):INDEX($T$19:$T$93,GG$244+$FJ275-1)))</f>
        <v/>
      </c>
      <c r="GH275" s="479" t="str">
        <f ca="1">IF($FJ275+GH$244&gt;73,"",PRODUCT(INDEX($T$19:$T$93,GH$244):INDEX($T$19:$T$93,GH$244+$FJ275-1)))</f>
        <v/>
      </c>
      <c r="GI275" s="479" t="str">
        <f ca="1">IF($FJ275+GI$244&gt;73,"",PRODUCT(INDEX($T$19:$T$93,GI$244):INDEX($T$19:$T$93,GI$244+$FJ275-1)))</f>
        <v/>
      </c>
      <c r="GJ275" s="479" t="str">
        <f ca="1">IF($FJ275+GJ$244&gt;73,"",PRODUCT(INDEX($T$19:$T$93,GJ$244):INDEX($T$19:$T$93,GJ$244+$FJ275-1)))</f>
        <v/>
      </c>
      <c r="GK275" s="479" t="str">
        <f ca="1">IF($FJ275+GK$244&gt;73,"",PRODUCT(INDEX($T$19:$T$93,GK$244):INDEX($T$19:$T$93,GK$244+$FJ275-1)))</f>
        <v/>
      </c>
      <c r="GL275" s="479" t="str">
        <f ca="1">IF($FJ275+GL$244&gt;73,"",PRODUCT(INDEX($T$19:$T$93,GL$244):INDEX($T$19:$T$93,GL$244+$FJ275-1)))</f>
        <v/>
      </c>
      <c r="GM275" s="479" t="str">
        <f ca="1">IF($FJ275+GM$244&gt;73,"",PRODUCT(INDEX($T$19:$T$93,GM$244):INDEX($T$19:$T$93,GM$244+$FJ275-1)))</f>
        <v/>
      </c>
      <c r="GN275" s="479" t="str">
        <f ca="1">IF($FJ275+GN$244&gt;73,"",PRODUCT(INDEX($T$19:$T$93,GN$244):INDEX($T$19:$T$93,GN$244+$FJ275-1)))</f>
        <v/>
      </c>
      <c r="GO275" s="479">
        <f ca="1">IF($FJ275+GO$244&gt;73,"",PRODUCT(INDEX($T$19:$T$93,GO$244):INDEX($T$19:$T$93,GO$244+$FJ275-1)))</f>
        <v>0.99854053050716796</v>
      </c>
      <c r="GP275" s="479">
        <f ca="1">IF($FJ275+GP$244&gt;73,"",PRODUCT(INDEX($T$19:$T$93,GP$244):INDEX($T$19:$T$93,GP$244+$FJ275-1)))</f>
        <v>0.9982931466338304</v>
      </c>
      <c r="GQ275" s="479">
        <f ca="1">IF($FJ275+GQ$244&gt;73,"",PRODUCT(INDEX($T$19:$T$93,GQ$244):INDEX($T$19:$T$93,GQ$244+$FJ275-1)))</f>
        <v>0.99800385776142542</v>
      </c>
      <c r="GR275" s="479">
        <f ca="1">IF($FJ275+GR$244&gt;73,"",PRODUCT(INDEX($T$19:$T$93,GR$244):INDEX($T$19:$T$93,GR$244+$FJ275-1)))</f>
        <v>0.99766557578996395</v>
      </c>
      <c r="GS275" s="479">
        <f ca="1">IF($FJ275+GS$244&gt;73,"",PRODUCT(INDEX($T$19:$T$93,GS$244):INDEX($T$19:$T$93,GS$244+$FJ275-1)))</f>
        <v>0.99727001757538691</v>
      </c>
      <c r="GT275" s="479">
        <f ca="1">IF($FJ275+GT$244&gt;73,"",PRODUCT(INDEX($T$19:$T$93,GT$244):INDEX($T$19:$T$93,GT$244+$FJ275-1)))</f>
        <v>0.99680750491085313</v>
      </c>
      <c r="GU275" s="479">
        <f ca="1">IF($FJ275+GU$244&gt;73,"",PRODUCT(INDEX($T$19:$T$93,GU$244):INDEX($T$19:$T$93,GU$244+$FJ275-1)))</f>
        <v>0.99626673158196966</v>
      </c>
      <c r="GV275" s="479">
        <f ca="1">IF($FJ275+GV$244&gt;73,"",PRODUCT(INDEX($T$19:$T$93,GV$244):INDEX($T$19:$T$93,GV$244+$FJ275-1)))</f>
        <v>0.99563449228463441</v>
      </c>
      <c r="GW275" s="479">
        <f ca="1">IF($FJ275+GW$244&gt;73,"",PRODUCT(INDEX($T$19:$T$93,GW$244):INDEX($T$19:$T$93,GW$244+$FJ275-1)))</f>
        <v>0.99489536744942042</v>
      </c>
      <c r="GX275" s="479">
        <f ca="1">IF($FJ275+GX$244&gt;73,"",PRODUCT(INDEX($T$19:$T$93,GX$244):INDEX($T$19:$T$93,GX$244+$FJ275-1)))</f>
        <v>0.99403135719696811</v>
      </c>
      <c r="GY275" s="479">
        <f ca="1">IF($FJ275+GY$244&gt;73,"",PRODUCT(INDEX($T$19:$T$93,GY$244):INDEX($T$19:$T$93,GY$244+$FJ275-1)))</f>
        <v>0.99302145676113274</v>
      </c>
      <c r="GZ275" s="479">
        <f ca="1">IF($FJ275+GZ$244&gt;73,"",PRODUCT(INDEX($T$19:$T$93,GZ$244):INDEX($T$19:$T$93,GZ$244+$FJ275-1)))</f>
        <v>0.9918411647750659</v>
      </c>
      <c r="HA275" s="479">
        <f ca="1">IF($FJ275+HA$244&gt;73,"",PRODUCT(INDEX($T$19:$T$93,HA$244):INDEX($T$19:$T$93,HA$244+$FJ275-1)))</f>
        <v>0.99046191484630086</v>
      </c>
      <c r="HB275" s="479">
        <f ca="1">IF($FJ275+HB$244&gt;73,"",PRODUCT(INDEX($T$19:$T$93,HB$244):INDEX($T$19:$T$93,HB$244+$FJ275-1)))</f>
        <v>0.98885041989394273</v>
      </c>
      <c r="HC275" s="479">
        <f ca="1">IF($FJ275+HC$244&gt;73,"",PRODUCT(INDEX($T$19:$T$93,HC$244):INDEX($T$19:$T$93,HC$244+$FJ275-1)))</f>
        <v>0.98696791785257287</v>
      </c>
      <c r="HD275" s="479">
        <f ca="1">IF($FJ275+HD$244&gt;73,"",PRODUCT(INDEX($T$19:$T$93,HD$244):INDEX($T$19:$T$93,HD$244+$FJ275-1)))</f>
        <v>0.98476930666684492</v>
      </c>
      <c r="HE275" s="479">
        <f ca="1">IF($FJ275+HE$244&gt;73,"",PRODUCT(INDEX($T$19:$T$93,HE$244):INDEX($T$19:$T$93,HE$244+$FJ275-1)))</f>
        <v>0.98220215616029838</v>
      </c>
      <c r="HF275" s="479">
        <f ca="1">IF($FJ275+HF$244&gt;73,"",PRODUCT(INDEX($T$19:$T$93,HF$244):INDEX($T$19:$T$93,HF$244+$FJ275-1)))</f>
        <v>0.97920558458174189</v>
      </c>
      <c r="HG275" s="479">
        <f ca="1">IF($FJ275+HG$244&gt;73,"",PRODUCT(INDEX($T$19:$T$93,HG$244):INDEX($T$19:$T$93,HG$244+$FJ275-1)))</f>
        <v>0.97570898872593359</v>
      </c>
      <c r="HH275" s="479">
        <f ca="1">IF($FJ275+HH$244&gt;73,"",PRODUCT(INDEX($T$19:$T$93,HH$244):INDEX($T$19:$T$93,HH$244+$FJ275-1)))</f>
        <v>0.97163061893206815</v>
      </c>
      <c r="HI275" s="479">
        <f ca="1">IF($FJ275+HI$244&gt;73,"",PRODUCT(INDEX($T$19:$T$93,HI$244):INDEX($T$19:$T$93,HI$244+$FJ275-1)))</f>
        <v>0.96687599459419493</v>
      </c>
      <c r="HJ275" s="479">
        <f ca="1">IF($FJ275+HJ$244&gt;73,"",PRODUCT(INDEX($T$19:$T$93,HJ$244):INDEX($T$19:$T$93,HJ$244+$FJ275-1)))</f>
        <v>0.96133616290969193</v>
      </c>
      <c r="HK275" s="479">
        <f ca="1">IF($FJ275+HK$244&gt;73,"",PRODUCT(INDEX($T$19:$T$93,HK$244):INDEX($T$19:$T$93,HK$244+$FJ275-1)))</f>
        <v>0.95488581458141364</v>
      </c>
      <c r="HL275" s="479">
        <f ca="1">IF($FJ275+HL$244&gt;73,"",PRODUCT(INDEX($T$19:$T$93,HL$244):INDEX($T$19:$T$93,HL$244+$FJ275-1)))</f>
        <v>0.94738128659809229</v>
      </c>
      <c r="HM275" s="479">
        <f ca="1">IF($FJ275+HM$244&gt;73,"",PRODUCT(INDEX($T$19:$T$93,HM$244):INDEX($T$19:$T$93,HM$244+$FJ275-1)))</f>
        <v>0.93865850605676349</v>
      </c>
      <c r="HN275" s="479">
        <f ca="1">IF($FJ275+HN$244&gt;73,"",PRODUCT(INDEX($T$19:$T$93,HN$244):INDEX($T$19:$T$93,HN$244+$FJ275-1)))</f>
        <v>0.92853096287202663</v>
      </c>
      <c r="HO275" s="479">
        <f ca="1">IF($FJ275+HO$244&gt;73,"",PRODUCT(INDEX($T$19:$T$93,HO$244):INDEX($T$19:$T$93,HO$244+$FJ275-1)))</f>
        <v>0.91678784646055056</v>
      </c>
      <c r="HP275" s="479">
        <f ca="1">IF($FJ275+HP$244&gt;73,"",PRODUCT(INDEX($T$19:$T$93,HP$244):INDEX($T$19:$T$93,HP$244+$FJ275-1)))</f>
        <v>0.90319254619843525</v>
      </c>
      <c r="HQ275" s="479">
        <f ca="1">IF($FJ275+HQ$244&gt;73,"",PRODUCT(INDEX($T$19:$T$93,HQ$244):INDEX($T$19:$T$93,HQ$244+$FJ275-1)))</f>
        <v>0.88748180249146391</v>
      </c>
      <c r="HR275" s="479">
        <f ca="1">IF($FJ275+HR$244&gt;73,"",PRODUCT(INDEX($T$19:$T$93,HR$244):INDEX($T$19:$T$93,HR$244+$FJ275-1)))</f>
        <v>0.8693659100935559</v>
      </c>
      <c r="HS275" s="479">
        <f ca="1">IF($FJ275+HS$244&gt;73,"",PRODUCT(INDEX($T$19:$T$93,HS$244):INDEX($T$19:$T$93,HS$244+$FJ275-1)))</f>
        <v>0.84853052324631251</v>
      </c>
      <c r="HT275" s="479">
        <f ca="1">IF($FJ275+HT$244&gt;73,"",PRODUCT(INDEX($T$19:$T$93,HT$244):INDEX($T$19:$T$93,HT$244+$FJ275-1)))</f>
        <v>0.82464079740879415</v>
      </c>
      <c r="HU275" s="479">
        <f ca="1">IF($FJ275+HU$244&gt;73,"",PRODUCT(INDEX($T$19:$T$93,HU$244):INDEX($T$19:$T$93,HU$244+$FJ275-1)))</f>
        <v>0.79734882528355433</v>
      </c>
      <c r="HV275" s="479">
        <f ca="1">IF($FJ275+HV$244&gt;73,"",PRODUCT(INDEX($T$19:$T$93,HV$244):INDEX($T$19:$T$93,HV$244+$FJ275-1)))</f>
        <v>0.76630557819572642</v>
      </c>
      <c r="HW275" s="479">
        <f ca="1">IF($FJ275+HW$244&gt;73,"",PRODUCT(INDEX($T$19:$T$93,HW$244):INDEX($T$19:$T$93,HW$244+$FJ275-1)))</f>
        <v>0.73117882553941682</v>
      </c>
      <c r="HX275" s="479">
        <f ca="1">IF($FJ275+HX$244&gt;73,"",PRODUCT(INDEX($T$19:$T$93,HX$244):INDEX($T$19:$T$93,HX$244+$FJ275-1)))</f>
        <v>0.6916787270387218</v>
      </c>
      <c r="HY275" s="479">
        <f ca="1">IF($FJ275+HY$244&gt;73,"",PRODUCT(INDEX($T$19:$T$93,HY$244):INDEX($T$19:$T$93,HY$244+$FJ275-1)))</f>
        <v>0.64759288473803622</v>
      </c>
      <c r="HZ275" s="479">
        <f ca="1">IF($FJ275+HZ$244&gt;73,"",PRODUCT(INDEX($T$19:$T$93,HZ$244):INDEX($T$19:$T$93,HZ$244+$FJ275-1)))</f>
        <v>0.59883244862927165</v>
      </c>
      <c r="IA275" s="479">
        <f ca="1">IF($FJ275+IA$244&gt;73,"",PRODUCT(INDEX($T$19:$T$93,IA$244):INDEX($T$19:$T$93,IA$244+$FJ275-1)))</f>
        <v>0.54549014354806147</v>
      </c>
      <c r="IB275" s="479">
        <f ca="1">IF($FJ275+IB$244&gt;73,"",PRODUCT(INDEX($T$19:$T$93,IB$244):INDEX($T$19:$T$93,IB$244+$FJ275-1)))</f>
        <v>0.48790945873547553</v>
      </c>
      <c r="IC275" s="479">
        <f ca="1">IF($FJ275+IC$244&gt;73,"",PRODUCT(INDEX($T$19:$T$93,IC$244):INDEX($T$19:$T$93,IC$244+$FJ275-1)))</f>
        <v>0.42676122498634173</v>
      </c>
      <c r="ID275" s="678">
        <f ca="1">IF($FJ275+ID$244&gt;73,"",PRODUCT(INDEX($T$19:$T$93,ID$244):INDEX($T$19:$T$93,ID$244+$FJ275-1)))</f>
        <v>0.36311884133254319</v>
      </c>
      <c r="IE275" s="250"/>
    </row>
    <row r="276" spans="9:239">
      <c r="I276" s="137"/>
      <c r="J276" s="375"/>
      <c r="K276" s="138"/>
      <c r="L276" s="1"/>
      <c r="M276" s="376"/>
      <c r="P276" s="375"/>
      <c r="S276" s="55"/>
      <c r="T276" s="375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06"/>
      <c r="AM276" s="106"/>
      <c r="AN276" s="106"/>
      <c r="AO276" s="374"/>
      <c r="AP276" s="31"/>
      <c r="AQ276" s="374"/>
      <c r="AR276" s="31"/>
      <c r="AS276" s="31"/>
      <c r="AT276" s="31"/>
      <c r="AU276" s="31"/>
      <c r="AV276" s="154"/>
      <c r="AW276" s="106"/>
      <c r="AX276" s="106"/>
      <c r="AY276" s="106"/>
      <c r="AZ276" s="106"/>
      <c r="BA276" s="106"/>
      <c r="BB276" s="106"/>
      <c r="BC276" s="107"/>
      <c r="BD276" s="107"/>
      <c r="BE276" s="107"/>
      <c r="BF276" s="105"/>
      <c r="BG276" s="107"/>
      <c r="BH276" s="107"/>
      <c r="BI276" s="160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7"/>
      <c r="BW276" s="107"/>
      <c r="BX276" s="107"/>
      <c r="BY276" s="107"/>
      <c r="BZ276" s="107"/>
      <c r="CA276" s="107"/>
      <c r="CB276" s="107"/>
      <c r="CC276" s="107"/>
      <c r="CD276" s="107"/>
      <c r="CE276" s="107"/>
      <c r="CF276" s="106"/>
      <c r="CG276" s="106"/>
      <c r="CH276" s="106"/>
      <c r="CI276" s="106"/>
      <c r="CJ276" s="106"/>
      <c r="CK276" s="106"/>
      <c r="CL276" s="110"/>
      <c r="CM276" s="1"/>
      <c r="CN276" s="53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D276" s="53"/>
      <c r="DE276" s="53"/>
      <c r="DH276" s="475"/>
      <c r="DK276" s="475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3"/>
      <c r="EL276" s="55"/>
      <c r="EM276" s="1"/>
      <c r="EN276" s="106"/>
      <c r="EO276" s="106"/>
      <c r="EP276" s="1"/>
      <c r="EQ276" s="106"/>
      <c r="ER276" s="1"/>
      <c r="ES276" s="1"/>
      <c r="ET276" s="1"/>
      <c r="EU276" s="106"/>
      <c r="FJ276" s="673">
        <v>32</v>
      </c>
      <c r="FK276" s="479" t="str">
        <f ca="1">IF($FJ276+FK$244&gt;73,"",PRODUCT(INDEX($T$19:$T$93,FK$244):INDEX($T$19:$T$93,FK$244+$FJ276-1)))</f>
        <v/>
      </c>
      <c r="FL276" s="479" t="str">
        <f ca="1">IF($FJ276+FL$244&gt;73,"",PRODUCT(INDEX($T$19:$T$93,FL$244):INDEX($T$19:$T$93,FL$244+$FJ276-1)))</f>
        <v/>
      </c>
      <c r="FM276" s="479" t="str">
        <f ca="1">IF($FJ276+FM$244&gt;73,"",PRODUCT(INDEX($T$19:$T$93,FM$244):INDEX($T$19:$T$93,FM$244+$FJ276-1)))</f>
        <v/>
      </c>
      <c r="FN276" s="479" t="str">
        <f ca="1">IF($FJ276+FN$244&gt;73,"",PRODUCT(INDEX($T$19:$T$93,FN$244):INDEX($T$19:$T$93,FN$244+$FJ276-1)))</f>
        <v/>
      </c>
      <c r="FO276" s="479" t="str">
        <f ca="1">IF($FJ276+FO$244&gt;73,"",PRODUCT(INDEX($T$19:$T$93,FO$244):INDEX($T$19:$T$93,FO$244+$FJ276-1)))</f>
        <v/>
      </c>
      <c r="FP276" s="479" t="str">
        <f ca="1">IF($FJ276+FP$244&gt;73,"",PRODUCT(INDEX($T$19:$T$93,FP$244):INDEX($T$19:$T$93,FP$244+$FJ276-1)))</f>
        <v/>
      </c>
      <c r="FQ276" s="479" t="str">
        <f ca="1">IF($FJ276+FQ$244&gt;73,"",PRODUCT(INDEX($T$19:$T$93,FQ$244):INDEX($T$19:$T$93,FQ$244+$FJ276-1)))</f>
        <v/>
      </c>
      <c r="FR276" s="479" t="str">
        <f ca="1">IF($FJ276+FR$244&gt;73,"",PRODUCT(INDEX($T$19:$T$93,FR$244):INDEX($T$19:$T$93,FR$244+$FJ276-1)))</f>
        <v/>
      </c>
      <c r="FS276" s="479" t="str">
        <f ca="1">IF($FJ276+FS$244&gt;73,"",PRODUCT(INDEX($T$19:$T$93,FS$244):INDEX($T$19:$T$93,FS$244+$FJ276-1)))</f>
        <v/>
      </c>
      <c r="FT276" s="479" t="str">
        <f ca="1">IF($FJ276+FT$244&gt;73,"",PRODUCT(INDEX($T$19:$T$93,FT$244):INDEX($T$19:$T$93,FT$244+$FJ276-1)))</f>
        <v/>
      </c>
      <c r="FU276" s="479" t="str">
        <f ca="1">IF($FJ276+FU$244&gt;73,"",PRODUCT(INDEX($T$19:$T$93,FU$244):INDEX($T$19:$T$93,FU$244+$FJ276-1)))</f>
        <v/>
      </c>
      <c r="FV276" s="479" t="str">
        <f ca="1">IF($FJ276+FV$244&gt;73,"",PRODUCT(INDEX($T$19:$T$93,FV$244):INDEX($T$19:$T$93,FV$244+$FJ276-1)))</f>
        <v/>
      </c>
      <c r="FW276" s="479" t="str">
        <f ca="1">IF($FJ276+FW$244&gt;73,"",PRODUCT(INDEX($T$19:$T$93,FW$244):INDEX($T$19:$T$93,FW$244+$FJ276-1)))</f>
        <v/>
      </c>
      <c r="FX276" s="479" t="str">
        <f ca="1">IF($FJ276+FX$244&gt;73,"",PRODUCT(INDEX($T$19:$T$93,FX$244):INDEX($T$19:$T$93,FX$244+$FJ276-1)))</f>
        <v/>
      </c>
      <c r="FY276" s="479" t="str">
        <f ca="1">IF($FJ276+FY$244&gt;73,"",PRODUCT(INDEX($T$19:$T$93,FY$244):INDEX($T$19:$T$93,FY$244+$FJ276-1)))</f>
        <v/>
      </c>
      <c r="FZ276" s="479" t="str">
        <f ca="1">IF($FJ276+FZ$244&gt;73,"",PRODUCT(INDEX($T$19:$T$93,FZ$244):INDEX($T$19:$T$93,FZ$244+$FJ276-1)))</f>
        <v/>
      </c>
      <c r="GA276" s="479" t="str">
        <f ca="1">IF($FJ276+GA$244&gt;73,"",PRODUCT(INDEX($T$19:$T$93,GA$244):INDEX($T$19:$T$93,GA$244+$FJ276-1)))</f>
        <v/>
      </c>
      <c r="GB276" s="479" t="str">
        <f ca="1">IF($FJ276+GB$244&gt;73,"",PRODUCT(INDEX($T$19:$T$93,GB$244):INDEX($T$19:$T$93,GB$244+$FJ276-1)))</f>
        <v/>
      </c>
      <c r="GC276" s="479" t="str">
        <f ca="1">IF($FJ276+GC$244&gt;73,"",PRODUCT(INDEX($T$19:$T$93,GC$244):INDEX($T$19:$T$93,GC$244+$FJ276-1)))</f>
        <v/>
      </c>
      <c r="GD276" s="479" t="str">
        <f ca="1">IF($FJ276+GD$244&gt;73,"",PRODUCT(INDEX($T$19:$T$93,GD$244):INDEX($T$19:$T$93,GD$244+$FJ276-1)))</f>
        <v/>
      </c>
      <c r="GE276" s="479" t="str">
        <f ca="1">IF($FJ276+GE$244&gt;73,"",PRODUCT(INDEX($T$19:$T$93,GE$244):INDEX($T$19:$T$93,GE$244+$FJ276-1)))</f>
        <v/>
      </c>
      <c r="GF276" s="479" t="str">
        <f ca="1">IF($FJ276+GF$244&gt;73,"",PRODUCT(INDEX($T$19:$T$93,GF$244):INDEX($T$19:$T$93,GF$244+$FJ276-1)))</f>
        <v/>
      </c>
      <c r="GG276" s="479" t="str">
        <f ca="1">IF($FJ276+GG$244&gt;73,"",PRODUCT(INDEX($T$19:$T$93,GG$244):INDEX($T$19:$T$93,GG$244+$FJ276-1)))</f>
        <v/>
      </c>
      <c r="GH276" s="479" t="str">
        <f ca="1">IF($FJ276+GH$244&gt;73,"",PRODUCT(INDEX($T$19:$T$93,GH$244):INDEX($T$19:$T$93,GH$244+$FJ276-1)))</f>
        <v/>
      </c>
      <c r="GI276" s="479" t="str">
        <f ca="1">IF($FJ276+GI$244&gt;73,"",PRODUCT(INDEX($T$19:$T$93,GI$244):INDEX($T$19:$T$93,GI$244+$FJ276-1)))</f>
        <v/>
      </c>
      <c r="GJ276" s="479" t="str">
        <f ca="1">IF($FJ276+GJ$244&gt;73,"",PRODUCT(INDEX($T$19:$T$93,GJ$244):INDEX($T$19:$T$93,GJ$244+$FJ276-1)))</f>
        <v/>
      </c>
      <c r="GK276" s="479" t="str">
        <f ca="1">IF($FJ276+GK$244&gt;73,"",PRODUCT(INDEX($T$19:$T$93,GK$244):INDEX($T$19:$T$93,GK$244+$FJ276-1)))</f>
        <v/>
      </c>
      <c r="GL276" s="479" t="str">
        <f ca="1">IF($FJ276+GL$244&gt;73,"",PRODUCT(INDEX($T$19:$T$93,GL$244):INDEX($T$19:$T$93,GL$244+$FJ276-1)))</f>
        <v/>
      </c>
      <c r="GM276" s="479" t="str">
        <f ca="1">IF($FJ276+GM$244&gt;73,"",PRODUCT(INDEX($T$19:$T$93,GM$244):INDEX($T$19:$T$93,GM$244+$FJ276-1)))</f>
        <v/>
      </c>
      <c r="GN276" s="479" t="str">
        <f ca="1">IF($FJ276+GN$244&gt;73,"",PRODUCT(INDEX($T$19:$T$93,GN$244):INDEX($T$19:$T$93,GN$244+$FJ276-1)))</f>
        <v/>
      </c>
      <c r="GO276" s="479" t="str">
        <f ca="1">IF($FJ276+GO$244&gt;73,"",PRODUCT(INDEX($T$19:$T$93,GO$244):INDEX($T$19:$T$93,GO$244+$FJ276-1)))</f>
        <v/>
      </c>
      <c r="GP276" s="479">
        <f ca="1">IF($FJ276+GP$244&gt;73,"",PRODUCT(INDEX($T$19:$T$93,GP$244):INDEX($T$19:$T$93,GP$244+$FJ276-1)))</f>
        <v>0.99829120853092734</v>
      </c>
      <c r="GQ276" s="479">
        <f ca="1">IF($FJ276+GQ$244&gt;73,"",PRODUCT(INDEX($T$19:$T$93,GQ$244):INDEX($T$19:$T$93,GQ$244+$FJ276-1)))</f>
        <v>0.99800159162870761</v>
      </c>
      <c r="GR276" s="479">
        <f ca="1">IF($FJ276+GR$244&gt;73,"",PRODUCT(INDEX($T$19:$T$93,GR$244):INDEX($T$19:$T$93,GR$244+$FJ276-1)))</f>
        <v>0.99766292623728892</v>
      </c>
      <c r="GS276" s="479">
        <f ca="1">IF($FJ276+GS$244&gt;73,"",PRODUCT(INDEX($T$19:$T$93,GS$244):INDEX($T$19:$T$93,GS$244+$FJ276-1)))</f>
        <v>0.99726691990742189</v>
      </c>
      <c r="GT276" s="479">
        <f ca="1">IF($FJ276+GT$244&gt;73,"",PRODUCT(INDEX($T$19:$T$93,GT$244):INDEX($T$19:$T$93,GT$244+$FJ276-1)))</f>
        <v>0.99680388358149241</v>
      </c>
      <c r="GU276" s="479">
        <f ca="1">IF($FJ276+GU$244&gt;73,"",PRODUCT(INDEX($T$19:$T$93,GU$244):INDEX($T$19:$T$93,GU$244+$FJ276-1)))</f>
        <v>0.99626249839855108</v>
      </c>
      <c r="GV276" s="479">
        <f ca="1">IF($FJ276+GV$244&gt;73,"",PRODUCT(INDEX($T$19:$T$93,GV$244):INDEX($T$19:$T$93,GV$244+$FJ276-1)))</f>
        <v>0.9956295443238854</v>
      </c>
      <c r="GW276" s="479">
        <f ca="1">IF($FJ276+GW$244&gt;73,"",PRODUCT(INDEX($T$19:$T$93,GW$244):INDEX($T$19:$T$93,GW$244+$FJ276-1)))</f>
        <v>0.99488958464219535</v>
      </c>
      <c r="GX276" s="479">
        <f ca="1">IF($FJ276+GX$244&gt;73,"",PRODUCT(INDEX($T$19:$T$93,GX$244):INDEX($T$19:$T$93,GX$244+$FJ276-1)))</f>
        <v>0.9940245995337228</v>
      </c>
      <c r="GY276" s="479">
        <f ca="1">IF($FJ276+GY$244&gt;73,"",PRODUCT(INDEX($T$19:$T$93,GY$244):INDEX($T$19:$T$93,GY$244+$FJ276-1)))</f>
        <v>0.99301356106488015</v>
      </c>
      <c r="GZ276" s="479">
        <f ca="1">IF($FJ276+GZ$244&gt;73,"",PRODUCT(INDEX($T$19:$T$93,GZ$244):INDEX($T$19:$T$93,GZ$244+$FJ276-1)))</f>
        <v>0.99183194098353356</v>
      </c>
      <c r="HA276" s="479">
        <f ca="1">IF($FJ276+HA$244&gt;73,"",PRODUCT(INDEX($T$19:$T$93,HA$244):INDEX($T$19:$T$93,HA$244+$FJ276-1)))</f>
        <v>0.99045114174057236</v>
      </c>
      <c r="HB276" s="479">
        <f ca="1">IF($FJ276+HB$244&gt;73,"",PRODUCT(INDEX($T$19:$T$93,HB$244):INDEX($T$19:$T$93,HB$244+$FJ276-1)))</f>
        <v>0.98883784020761734</v>
      </c>
      <c r="HC276" s="479">
        <f ca="1">IF($FJ276+HC$244&gt;73,"",PRODUCT(INDEX($T$19:$T$93,HC$244):INDEX($T$19:$T$93,HC$244+$FJ276-1)))</f>
        <v>0.98695323269429958</v>
      </c>
      <c r="HD276" s="479">
        <f ca="1">IF($FJ276+HD$244&gt;73,"",PRODUCT(INDEX($T$19:$T$93,HD$244):INDEX($T$19:$T$93,HD$244+$FJ276-1)))</f>
        <v>0.98475216919123509</v>
      </c>
      <c r="HE276" s="479">
        <f ca="1">IF($FJ276+HE$244&gt;73,"",PRODUCT(INDEX($T$19:$T$93,HE$244):INDEX($T$19:$T$93,HE$244+$FJ276-1)))</f>
        <v>0.98218216442945994</v>
      </c>
      <c r="HF276" s="479">
        <f ca="1">IF($FJ276+HF$244&gt;73,"",PRODUCT(INDEX($T$19:$T$93,HF$244):INDEX($T$19:$T$93,HF$244+$FJ276-1)))</f>
        <v>0.97918227357446419</v>
      </c>
      <c r="HG276" s="479">
        <f ca="1">IF($FJ276+HG$244&gt;73,"",PRODUCT(INDEX($T$19:$T$93,HG$244):INDEX($T$19:$T$93,HG$244+$FJ276-1)))</f>
        <v>0.9756818214772458</v>
      </c>
      <c r="HH276" s="479">
        <f ca="1">IF($FJ276+HH$244&gt;73,"",PRODUCT(INDEX($T$19:$T$93,HH$244):INDEX($T$19:$T$93,HH$244+$FJ276-1)))</f>
        <v>0.97159897682704244</v>
      </c>
      <c r="HI276" s="479">
        <f ca="1">IF($FJ276+HI$244&gt;73,"",PRODUCT(INDEX($T$19:$T$93,HI$244):INDEX($T$19:$T$93,HI$244+$FJ276-1)))</f>
        <v>0.96683916690257354</v>
      </c>
      <c r="HJ276" s="479">
        <f ca="1">IF($FJ276+HJ$244&gt;73,"",PRODUCT(INDEX($T$19:$T$93,HJ$244):INDEX($T$19:$T$93,HJ$244+$FJ276-1)))</f>
        <v>0.96129333574021525</v>
      </c>
      <c r="HK276" s="479">
        <f ca="1">IF($FJ276+HK$244&gt;73,"",PRODUCT(INDEX($T$19:$T$93,HK$244):INDEX($T$19:$T$93,HK$244+$FJ276-1)))</f>
        <v>0.95483605956705309</v>
      </c>
      <c r="HL276" s="479">
        <f ca="1">IF($FJ276+HL$244&gt;73,"",PRODUCT(INDEX($T$19:$T$93,HL$244):INDEX($T$19:$T$93,HL$244+$FJ276-1)))</f>
        <v>0.94732354980905675</v>
      </c>
      <c r="HM276" s="479">
        <f ca="1">IF($FJ276+HM$244&gt;73,"",PRODUCT(INDEX($T$19:$T$93,HM$244):INDEX($T$19:$T$93,HM$244+$FJ276-1)))</f>
        <v>0.93859159789367375</v>
      </c>
      <c r="HN276" s="479">
        <f ca="1">IF($FJ276+HN$244&gt;73,"",PRODUCT(INDEX($T$19:$T$93,HN$244):INDEX($T$19:$T$93,HN$244+$FJ276-1)))</f>
        <v>0.92845355003691221</v>
      </c>
      <c r="HO276" s="479">
        <f ca="1">IF($FJ276+HO$244&gt;73,"",PRODUCT(INDEX($T$19:$T$93,HO$244):INDEX($T$19:$T$93,HO$244+$FJ276-1)))</f>
        <v>0.91669844756106311</v>
      </c>
      <c r="HP276" s="479">
        <f ca="1">IF($FJ276+HP$244&gt;73,"",PRODUCT(INDEX($T$19:$T$93,HP$244):INDEX($T$19:$T$93,HP$244+$FJ276-1)))</f>
        <v>0.9030895331349682</v>
      </c>
      <c r="HQ276" s="479">
        <f ca="1">IF($FJ276+HQ$244&gt;73,"",PRODUCT(INDEX($T$19:$T$93,HQ$244):INDEX($T$19:$T$93,HQ$244+$FJ276-1)))</f>
        <v>0.88736341052963408</v>
      </c>
      <c r="HR276" s="479">
        <f ca="1">IF($FJ276+HR$244&gt;73,"",PRODUCT(INDEX($T$19:$T$93,HR$244):INDEX($T$19:$T$93,HR$244+$FJ276-1)))</f>
        <v>0.86923026044879081</v>
      </c>
      <c r="HS276" s="479">
        <f ca="1">IF($FJ276+HS$244&gt;73,"",PRODUCT(INDEX($T$19:$T$93,HS$244):INDEX($T$19:$T$93,HS$244+$FJ276-1)))</f>
        <v>0.8483756630953061</v>
      </c>
      <c r="HT276" s="479">
        <f ca="1">IF($FJ276+HT$244&gt;73,"",PRODUCT(INDEX($T$19:$T$93,HT$244):INDEX($T$19:$T$93,HT$244+$FJ276-1)))</f>
        <v>0.82446476344581709</v>
      </c>
      <c r="HU276" s="479">
        <f ca="1">IF($FJ276+HU$244&gt;73,"",PRODUCT(INDEX($T$19:$T$93,HU$244):INDEX($T$19:$T$93,HU$244+$FJ276-1)))</f>
        <v>0.79714973813706458</v>
      </c>
      <c r="HV276" s="479">
        <f ca="1">IF($FJ276+HV$244&gt;73,"",PRODUCT(INDEX($T$19:$T$93,HV$244):INDEX($T$19:$T$93,HV$244+$FJ276-1)))</f>
        <v>0.76608177597136984</v>
      </c>
      <c r="HW276" s="479">
        <f ca="1">IF($FJ276+HW$244&gt;73,"",PRODUCT(INDEX($T$19:$T$93,HW$244):INDEX($T$19:$T$93,HW$244+$FJ276-1)))</f>
        <v>0.73092904503058531</v>
      </c>
      <c r="HX276" s="479">
        <f ca="1">IF($FJ276+HX$244&gt;73,"",PRODUCT(INDEX($T$19:$T$93,HX$244):INDEX($T$19:$T$93,HX$244+$FJ276-1)))</f>
        <v>0.69140234004085943</v>
      </c>
      <c r="HY276" s="479">
        <f ca="1">IF($FJ276+HY$244&gt;73,"",PRODUCT(INDEX($T$19:$T$93,HY$244):INDEX($T$19:$T$93,HY$244+$FJ276-1)))</f>
        <v>0.64729019333805393</v>
      </c>
      <c r="HZ276" s="479">
        <f ca="1">IF($FJ276+HZ$244&gt;73,"",PRODUCT(INDEX($T$19:$T$93,HZ$244):INDEX($T$19:$T$93,HZ$244+$FJ276-1)))</f>
        <v>0.59850503578108083</v>
      </c>
      <c r="IA276" s="479">
        <f ca="1">IF($FJ276+IA$244&gt;73,"",PRODUCT(INDEX($T$19:$T$93,IA$244):INDEX($T$19:$T$93,IA$244+$FJ276-1)))</f>
        <v>0.54514126170963295</v>
      </c>
      <c r="IB276" s="479">
        <f ca="1">IF($FJ276+IB$244&gt;73,"",PRODUCT(INDEX($T$19:$T$93,IB$244):INDEX($T$19:$T$93,IB$244+$FJ276-1)))</f>
        <v>0.48754441766121914</v>
      </c>
      <c r="IC276" s="479">
        <f ca="1">IF($FJ276+IC$244&gt;73,"",PRODUCT(INDEX($T$19:$T$93,IC$244):INDEX($T$19:$T$93,IC$244+$FJ276-1)))</f>
        <v>0.42638770833872208</v>
      </c>
      <c r="ID276" s="678">
        <f ca="1">IF($FJ276+ID$244&gt;73,"",PRODUCT(INDEX($T$19:$T$93,ID$244):INDEX($T$19:$T$93,ID$244+$FJ276-1)))</f>
        <v>0.36274704123839052</v>
      </c>
      <c r="IE276" s="250"/>
    </row>
    <row r="277" spans="9:239">
      <c r="I277" s="137"/>
      <c r="J277" s="375"/>
      <c r="K277" s="138"/>
      <c r="L277" s="1"/>
      <c r="M277" s="376"/>
      <c r="P277" s="375"/>
      <c r="S277" s="55"/>
      <c r="T277" s="375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06"/>
      <c r="AM277" s="106"/>
      <c r="AN277" s="106"/>
      <c r="AO277" s="374"/>
      <c r="AP277" s="31"/>
      <c r="AQ277" s="374"/>
      <c r="AR277" s="31"/>
      <c r="AS277" s="31"/>
      <c r="AT277" s="31"/>
      <c r="AU277" s="31"/>
      <c r="AV277" s="154"/>
      <c r="AW277" s="106"/>
      <c r="AX277" s="106"/>
      <c r="AY277" s="106"/>
      <c r="AZ277" s="106"/>
      <c r="BA277" s="106"/>
      <c r="BB277" s="106"/>
      <c r="BC277" s="107"/>
      <c r="BD277" s="107"/>
      <c r="BE277" s="107"/>
      <c r="BF277" s="105"/>
      <c r="BG277" s="107"/>
      <c r="BH277" s="107"/>
      <c r="BI277" s="160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6"/>
      <c r="CG277" s="106"/>
      <c r="CH277" s="106"/>
      <c r="CI277" s="106"/>
      <c r="CJ277" s="106"/>
      <c r="CK277" s="106"/>
      <c r="CL277" s="110"/>
      <c r="CM277" s="1"/>
      <c r="CN277" s="53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  <c r="DC277" s="53"/>
      <c r="DD277" s="53"/>
      <c r="DE277" s="53"/>
      <c r="DH277" s="475"/>
      <c r="DK277" s="475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3"/>
      <c r="EL277" s="55"/>
      <c r="EM277" s="1"/>
      <c r="EN277" s="106"/>
      <c r="EO277" s="106"/>
      <c r="EP277" s="1"/>
      <c r="EQ277" s="106"/>
      <c r="ER277" s="1"/>
      <c r="ES277" s="1"/>
      <c r="ET277" s="1"/>
      <c r="EU277" s="106"/>
      <c r="FJ277" s="673">
        <v>33</v>
      </c>
      <c r="FK277" s="479" t="str">
        <f ca="1">IF($FJ277+FK$244&gt;73,"",PRODUCT(INDEX($T$19:$T$93,FK$244):INDEX($T$19:$T$93,FK$244+$FJ277-1)))</f>
        <v/>
      </c>
      <c r="FL277" s="479" t="str">
        <f ca="1">IF($FJ277+FL$244&gt;73,"",PRODUCT(INDEX($T$19:$T$93,FL$244):INDEX($T$19:$T$93,FL$244+$FJ277-1)))</f>
        <v/>
      </c>
      <c r="FM277" s="479" t="str">
        <f ca="1">IF($FJ277+FM$244&gt;73,"",PRODUCT(INDEX($T$19:$T$93,FM$244):INDEX($T$19:$T$93,FM$244+$FJ277-1)))</f>
        <v/>
      </c>
      <c r="FN277" s="479" t="str">
        <f ca="1">IF($FJ277+FN$244&gt;73,"",PRODUCT(INDEX($T$19:$T$93,FN$244):INDEX($T$19:$T$93,FN$244+$FJ277-1)))</f>
        <v/>
      </c>
      <c r="FO277" s="479" t="str">
        <f ca="1">IF($FJ277+FO$244&gt;73,"",PRODUCT(INDEX($T$19:$T$93,FO$244):INDEX($T$19:$T$93,FO$244+$FJ277-1)))</f>
        <v/>
      </c>
      <c r="FP277" s="479" t="str">
        <f ca="1">IF($FJ277+FP$244&gt;73,"",PRODUCT(INDEX($T$19:$T$93,FP$244):INDEX($T$19:$T$93,FP$244+$FJ277-1)))</f>
        <v/>
      </c>
      <c r="FQ277" s="479" t="str">
        <f ca="1">IF($FJ277+FQ$244&gt;73,"",PRODUCT(INDEX($T$19:$T$93,FQ$244):INDEX($T$19:$T$93,FQ$244+$FJ277-1)))</f>
        <v/>
      </c>
      <c r="FR277" s="479" t="str">
        <f ca="1">IF($FJ277+FR$244&gt;73,"",PRODUCT(INDEX($T$19:$T$93,FR$244):INDEX($T$19:$T$93,FR$244+$FJ277-1)))</f>
        <v/>
      </c>
      <c r="FS277" s="479" t="str">
        <f ca="1">IF($FJ277+FS$244&gt;73,"",PRODUCT(INDEX($T$19:$T$93,FS$244):INDEX($T$19:$T$93,FS$244+$FJ277-1)))</f>
        <v/>
      </c>
      <c r="FT277" s="479" t="str">
        <f ca="1">IF($FJ277+FT$244&gt;73,"",PRODUCT(INDEX($T$19:$T$93,FT$244):INDEX($T$19:$T$93,FT$244+$FJ277-1)))</f>
        <v/>
      </c>
      <c r="FU277" s="479" t="str">
        <f ca="1">IF($FJ277+FU$244&gt;73,"",PRODUCT(INDEX($T$19:$T$93,FU$244):INDEX($T$19:$T$93,FU$244+$FJ277-1)))</f>
        <v/>
      </c>
      <c r="FV277" s="479" t="str">
        <f ca="1">IF($FJ277+FV$244&gt;73,"",PRODUCT(INDEX($T$19:$T$93,FV$244):INDEX($T$19:$T$93,FV$244+$FJ277-1)))</f>
        <v/>
      </c>
      <c r="FW277" s="479" t="str">
        <f ca="1">IF($FJ277+FW$244&gt;73,"",PRODUCT(INDEX($T$19:$T$93,FW$244):INDEX($T$19:$T$93,FW$244+$FJ277-1)))</f>
        <v/>
      </c>
      <c r="FX277" s="479" t="str">
        <f ca="1">IF($FJ277+FX$244&gt;73,"",PRODUCT(INDEX($T$19:$T$93,FX$244):INDEX($T$19:$T$93,FX$244+$FJ277-1)))</f>
        <v/>
      </c>
      <c r="FY277" s="479" t="str">
        <f ca="1">IF($FJ277+FY$244&gt;73,"",PRODUCT(INDEX($T$19:$T$93,FY$244):INDEX($T$19:$T$93,FY$244+$FJ277-1)))</f>
        <v/>
      </c>
      <c r="FZ277" s="479" t="str">
        <f ca="1">IF($FJ277+FZ$244&gt;73,"",PRODUCT(INDEX($T$19:$T$93,FZ$244):INDEX($T$19:$T$93,FZ$244+$FJ277-1)))</f>
        <v/>
      </c>
      <c r="GA277" s="479" t="str">
        <f ca="1">IF($FJ277+GA$244&gt;73,"",PRODUCT(INDEX($T$19:$T$93,GA$244):INDEX($T$19:$T$93,GA$244+$FJ277-1)))</f>
        <v/>
      </c>
      <c r="GB277" s="479" t="str">
        <f ca="1">IF($FJ277+GB$244&gt;73,"",PRODUCT(INDEX($T$19:$T$93,GB$244):INDEX($T$19:$T$93,GB$244+$FJ277-1)))</f>
        <v/>
      </c>
      <c r="GC277" s="479" t="str">
        <f ca="1">IF($FJ277+GC$244&gt;73,"",PRODUCT(INDEX($T$19:$T$93,GC$244):INDEX($T$19:$T$93,GC$244+$FJ277-1)))</f>
        <v/>
      </c>
      <c r="GD277" s="479" t="str">
        <f ca="1">IF($FJ277+GD$244&gt;73,"",PRODUCT(INDEX($T$19:$T$93,GD$244):INDEX($T$19:$T$93,GD$244+$FJ277-1)))</f>
        <v/>
      </c>
      <c r="GE277" s="479" t="str">
        <f ca="1">IF($FJ277+GE$244&gt;73,"",PRODUCT(INDEX($T$19:$T$93,GE$244):INDEX($T$19:$T$93,GE$244+$FJ277-1)))</f>
        <v/>
      </c>
      <c r="GF277" s="479" t="str">
        <f ca="1">IF($FJ277+GF$244&gt;73,"",PRODUCT(INDEX($T$19:$T$93,GF$244):INDEX($T$19:$T$93,GF$244+$FJ277-1)))</f>
        <v/>
      </c>
      <c r="GG277" s="479" t="str">
        <f ca="1">IF($FJ277+GG$244&gt;73,"",PRODUCT(INDEX($T$19:$T$93,GG$244):INDEX($T$19:$T$93,GG$244+$FJ277-1)))</f>
        <v/>
      </c>
      <c r="GH277" s="479" t="str">
        <f ca="1">IF($FJ277+GH$244&gt;73,"",PRODUCT(INDEX($T$19:$T$93,GH$244):INDEX($T$19:$T$93,GH$244+$FJ277-1)))</f>
        <v/>
      </c>
      <c r="GI277" s="479" t="str">
        <f ca="1">IF($FJ277+GI$244&gt;73,"",PRODUCT(INDEX($T$19:$T$93,GI$244):INDEX($T$19:$T$93,GI$244+$FJ277-1)))</f>
        <v/>
      </c>
      <c r="GJ277" s="479" t="str">
        <f ca="1">IF($FJ277+GJ$244&gt;73,"",PRODUCT(INDEX($T$19:$T$93,GJ$244):INDEX($T$19:$T$93,GJ$244+$FJ277-1)))</f>
        <v/>
      </c>
      <c r="GK277" s="479" t="str">
        <f ca="1">IF($FJ277+GK$244&gt;73,"",PRODUCT(INDEX($T$19:$T$93,GK$244):INDEX($T$19:$T$93,GK$244+$FJ277-1)))</f>
        <v/>
      </c>
      <c r="GL277" s="479" t="str">
        <f ca="1">IF($FJ277+GL$244&gt;73,"",PRODUCT(INDEX($T$19:$T$93,GL$244):INDEX($T$19:$T$93,GL$244+$FJ277-1)))</f>
        <v/>
      </c>
      <c r="GM277" s="479" t="str">
        <f ca="1">IF($FJ277+GM$244&gt;73,"",PRODUCT(INDEX($T$19:$T$93,GM$244):INDEX($T$19:$T$93,GM$244+$FJ277-1)))</f>
        <v/>
      </c>
      <c r="GN277" s="479" t="str">
        <f ca="1">IF($FJ277+GN$244&gt;73,"",PRODUCT(INDEX($T$19:$T$93,GN$244):INDEX($T$19:$T$93,GN$244+$FJ277-1)))</f>
        <v/>
      </c>
      <c r="GO277" s="479" t="str">
        <f ca="1">IF($FJ277+GO$244&gt;73,"",PRODUCT(INDEX($T$19:$T$93,GO$244):INDEX($T$19:$T$93,GO$244+$FJ277-1)))</f>
        <v/>
      </c>
      <c r="GP277" s="479" t="str">
        <f ca="1">IF($FJ277+GP$244&gt;73,"",PRODUCT(INDEX($T$19:$T$93,GP$244):INDEX($T$19:$T$93,GP$244+$FJ277-1)))</f>
        <v/>
      </c>
      <c r="GQ277" s="479">
        <f ca="1">IF($FJ277+GQ$244&gt;73,"",PRODUCT(INDEX($T$19:$T$93,GQ$244):INDEX($T$19:$T$93,GQ$244+$FJ277-1)))</f>
        <v>0.99799965409183422</v>
      </c>
      <c r="GR277" s="479">
        <f ca="1">IF($FJ277+GR$244&gt;73,"",PRODUCT(INDEX($T$19:$T$93,GR$244):INDEX($T$19:$T$93,GR$244+$FJ277-1)))</f>
        <v>0.99766066087871252</v>
      </c>
      <c r="GS277" s="479">
        <f ca="1">IF($FJ277+GS$244&gt;73,"",PRODUCT(INDEX($T$19:$T$93,GS$244):INDEX($T$19:$T$93,GS$244+$FJ277-1)))</f>
        <v>0.99726427141347807</v>
      </c>
      <c r="GT277" s="479">
        <f ca="1">IF($FJ277+GT$244&gt;73,"",PRODUCT(INDEX($T$19:$T$93,GT$244):INDEX($T$19:$T$93,GT$244+$FJ277-1)))</f>
        <v>0.99680078736140842</v>
      </c>
      <c r="GU277" s="479">
        <f ca="1">IF($FJ277+GU$244&gt;73,"",PRODUCT(INDEX($T$19:$T$93,GU$244):INDEX($T$19:$T$93,GU$244+$FJ277-1)))</f>
        <v>0.99625887904915955</v>
      </c>
      <c r="GV277" s="479">
        <f ca="1">IF($FJ277+GV$244&gt;73,"",PRODUCT(INDEX($T$19:$T$93,GV$244):INDEX($T$19:$T$93,GV$244+$FJ277-1)))</f>
        <v>0.99562531384790498</v>
      </c>
      <c r="GW277" s="479">
        <f ca="1">IF($FJ277+GW$244&gt;73,"",PRODUCT(INDEX($T$19:$T$93,GW$244):INDEX($T$19:$T$93,GW$244+$FJ277-1)))</f>
        <v>0.99488464038338087</v>
      </c>
      <c r="GX277" s="479">
        <f ca="1">IF($FJ277+GX$244&gt;73,"",PRODUCT(INDEX($T$19:$T$93,GX$244):INDEX($T$19:$T$93,GX$244+$FJ277-1)))</f>
        <v>0.99401882178781686</v>
      </c>
      <c r="GY277" s="479">
        <f ca="1">IF($FJ277+GY$244&gt;73,"",PRODUCT(INDEX($T$19:$T$93,GY$244):INDEX($T$19:$T$93,GY$244+$FJ277-1)))</f>
        <v>0.99300681032085669</v>
      </c>
      <c r="GZ277" s="479">
        <f ca="1">IF($FJ277+GZ$244&gt;73,"",PRODUCT(INDEX($T$19:$T$93,GZ$244):INDEX($T$19:$T$93,GZ$244+$FJ277-1)))</f>
        <v>0.99182405474533963</v>
      </c>
      <c r="HA277" s="479">
        <f ca="1">IF($FJ277+HA$244&gt;73,"",PRODUCT(INDEX($T$19:$T$93,HA$244):INDEX($T$19:$T$93,HA$244+$FJ277-1)))</f>
        <v>0.99044193087579002</v>
      </c>
      <c r="HB277" s="479">
        <f ca="1">IF($FJ277+HB$244&gt;73,"",PRODUCT(INDEX($T$19:$T$93,HB$244):INDEX($T$19:$T$93,HB$244+$FJ277-1)))</f>
        <v>0.98882708476670511</v>
      </c>
      <c r="HC277" s="479">
        <f ca="1">IF($FJ277+HC$244&gt;73,"",PRODUCT(INDEX($T$19:$T$93,HC$244):INDEX($T$19:$T$93,HC$244+$FJ277-1)))</f>
        <v>0.98694067714309042</v>
      </c>
      <c r="HD277" s="479">
        <f ca="1">IF($FJ277+HD$244&gt;73,"",PRODUCT(INDEX($T$19:$T$93,HD$244):INDEX($T$19:$T$93,HD$244+$FJ277-1)))</f>
        <v>0.98473751700122669</v>
      </c>
      <c r="HE277" s="479">
        <f ca="1">IF($FJ277+HE$244&gt;73,"",PRODUCT(INDEX($T$19:$T$93,HE$244):INDEX($T$19:$T$93,HE$244+$FJ277-1)))</f>
        <v>0.9821650719766658</v>
      </c>
      <c r="HF277" s="479">
        <f ca="1">IF($FJ277+HF$244&gt;73,"",PRODUCT(INDEX($T$19:$T$93,HF$244):INDEX($T$19:$T$93,HF$244+$FJ277-1)))</f>
        <v>0.9791623433102794</v>
      </c>
      <c r="HG277" s="479">
        <f ca="1">IF($FJ277+HG$244&gt;73,"",PRODUCT(INDEX($T$19:$T$93,HG$244):INDEX($T$19:$T$93,HG$244+$FJ277-1)))</f>
        <v>0.97565859435681346</v>
      </c>
      <c r="HH277" s="479">
        <f ca="1">IF($FJ277+HH$244&gt;73,"",PRODUCT(INDEX($T$19:$T$93,HH$244):INDEX($T$19:$T$93,HH$244+$FJ277-1)))</f>
        <v>0.97157192401587311</v>
      </c>
      <c r="HI277" s="479">
        <f ca="1">IF($FJ277+HI$244&gt;73,"",PRODUCT(INDEX($T$19:$T$93,HI$244):INDEX($T$19:$T$93,HI$244+$FJ277-1)))</f>
        <v>0.96680768083588731</v>
      </c>
      <c r="HJ277" s="479">
        <f ca="1">IF($FJ277+HJ$244&gt;73,"",PRODUCT(INDEX($T$19:$T$93,HJ$244):INDEX($T$19:$T$93,HJ$244+$FJ277-1)))</f>
        <v>0.96125672068851864</v>
      </c>
      <c r="HK277" s="479">
        <f ca="1">IF($FJ277+HK$244&gt;73,"",PRODUCT(INDEX($T$19:$T$93,HK$244):INDEX($T$19:$T$93,HK$244+$FJ277-1)))</f>
        <v>0.9547935219747693</v>
      </c>
      <c r="HL277" s="479">
        <f ca="1">IF($FJ277+HL$244&gt;73,"",PRODUCT(INDEX($T$19:$T$93,HL$244):INDEX($T$19:$T$93,HL$244+$FJ277-1)))</f>
        <v>0.94727418883195857</v>
      </c>
      <c r="HM277" s="479">
        <f ca="1">IF($FJ277+HM$244&gt;73,"",PRODUCT(INDEX($T$19:$T$93,HM$244):INDEX($T$19:$T$93,HM$244+$FJ277-1)))</f>
        <v>0.93853439677956618</v>
      </c>
      <c r="HN277" s="479">
        <f ca="1">IF($FJ277+HN$244&gt;73,"",PRODUCT(INDEX($T$19:$T$93,HN$244):INDEX($T$19:$T$93,HN$244+$FJ277-1)))</f>
        <v>0.92838736928944521</v>
      </c>
      <c r="HO277" s="479">
        <f ca="1">IF($FJ277+HO$244&gt;73,"",PRODUCT(INDEX($T$19:$T$93,HO$244):INDEX($T$19:$T$93,HO$244+$FJ277-1)))</f>
        <v>0.9166220212181535</v>
      </c>
      <c r="HP277" s="479">
        <f ca="1">IF($FJ277+HP$244&gt;73,"",PRODUCT(INDEX($T$19:$T$93,HP$244):INDEX($T$19:$T$93,HP$244+$FJ277-1)))</f>
        <v>0.9030014700015917</v>
      </c>
      <c r="HQ277" s="479">
        <f ca="1">IF($FJ277+HQ$244&gt;73,"",PRODUCT(INDEX($T$19:$T$93,HQ$244):INDEX($T$19:$T$93,HQ$244+$FJ277-1)))</f>
        <v>0.88726220284837942</v>
      </c>
      <c r="HR277" s="479">
        <f ca="1">IF($FJ277+HR$244&gt;73,"",PRODUCT(INDEX($T$19:$T$93,HR$244):INDEX($T$19:$T$93,HR$244+$FJ277-1)))</f>
        <v>0.86911430328152561</v>
      </c>
      <c r="HS277" s="479">
        <f ca="1">IF($FJ277+HS$244&gt;73,"",PRODUCT(INDEX($T$19:$T$93,HS$244):INDEX($T$19:$T$93,HS$244+$FJ277-1)))</f>
        <v>0.8482432886187018</v>
      </c>
      <c r="HT277" s="479">
        <f ca="1">IF($FJ277+HT$244&gt;73,"",PRODUCT(INDEX($T$19:$T$93,HT$244):INDEX($T$19:$T$93,HT$244+$FJ277-1)))</f>
        <v>0.82431429539043333</v>
      </c>
      <c r="HU277" s="479">
        <f ca="1">IF($FJ277+HU$244&gt;73,"",PRODUCT(INDEX($T$19:$T$93,HU$244):INDEX($T$19:$T$93,HU$244+$FJ277-1)))</f>
        <v>0.79697957262023433</v>
      </c>
      <c r="HV277" s="479">
        <f ca="1">IF($FJ277+HV$244&gt;73,"",PRODUCT(INDEX($T$19:$T$93,HV$244):INDEX($T$19:$T$93,HV$244+$FJ277-1)))</f>
        <v>0.76589049578142077</v>
      </c>
      <c r="HW277" s="479">
        <f ca="1">IF($FJ277+HW$244&gt;73,"",PRODUCT(INDEX($T$19:$T$93,HW$244):INDEX($T$19:$T$93,HW$244+$FJ277-1)))</f>
        <v>0.7307155746464733</v>
      </c>
      <c r="HX277" s="479">
        <f ca="1">IF($FJ277+HX$244&gt;73,"",PRODUCT(INDEX($T$19:$T$93,HX$244):INDEX($T$19:$T$93,HX$244+$FJ277-1)))</f>
        <v>0.69116614771379725</v>
      </c>
      <c r="HY277" s="479">
        <f ca="1">IF($FJ277+HY$244&gt;73,"",PRODUCT(INDEX($T$19:$T$93,HY$244):INDEX($T$19:$T$93,HY$244+$FJ277-1)))</f>
        <v>0.64703154349631542</v>
      </c>
      <c r="HZ277" s="479">
        <f ca="1">IF($FJ277+HZ$244&gt;73,"",PRODUCT(INDEX($T$19:$T$93,HZ$244):INDEX($T$19:$T$93,HZ$244+$FJ277-1)))</f>
        <v>0.5982252885333168</v>
      </c>
      <c r="IA277" s="479">
        <f ca="1">IF($FJ277+IA$244&gt;73,"",PRODUCT(INDEX($T$19:$T$93,IA$244):INDEX($T$19:$T$93,IA$244+$FJ277-1)))</f>
        <v>0.54484320462610114</v>
      </c>
      <c r="IB277" s="479">
        <f ca="1">IF($FJ277+IB$244&gt;73,"",PRODUCT(INDEX($T$19:$T$93,IB$244):INDEX($T$19:$T$93,IB$244+$FJ277-1)))</f>
        <v>0.4872325964582862</v>
      </c>
      <c r="IC277" s="479">
        <f ca="1">IF($FJ277+IC$244&gt;73,"",PRODUCT(INDEX($T$19:$T$93,IC$244):INDEX($T$19:$T$93,IC$244+$FJ277-1)))</f>
        <v>0.42606869622630045</v>
      </c>
      <c r="ID277" s="678">
        <f ca="1">IF($FJ277+ID$244&gt;73,"",PRODUCT(INDEX($T$19:$T$93,ID$244):INDEX($T$19:$T$93,ID$244+$FJ277-1)))</f>
        <v>0.36242955208791383</v>
      </c>
      <c r="IE277" s="250"/>
    </row>
    <row r="278" spans="9:239">
      <c r="I278" s="137"/>
      <c r="J278" s="375"/>
      <c r="K278" s="138"/>
      <c r="L278" s="1"/>
      <c r="M278" s="376"/>
      <c r="P278" s="375"/>
      <c r="S278" s="55"/>
      <c r="T278" s="375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374"/>
      <c r="AP278" s="1"/>
      <c r="AQ278" s="374"/>
      <c r="AR278" s="1"/>
      <c r="AS278" s="1"/>
      <c r="AT278" s="106"/>
      <c r="AU278" s="106"/>
      <c r="AV278" s="106"/>
      <c r="AW278" s="31"/>
      <c r="AX278" s="31"/>
      <c r="AY278" s="31"/>
      <c r="AZ278" s="31"/>
      <c r="BA278" s="154"/>
      <c r="BB278" s="154"/>
      <c r="BC278" s="106"/>
      <c r="BD278" s="106"/>
      <c r="BE278" s="106"/>
      <c r="BF278" s="107"/>
      <c r="BG278" s="107"/>
      <c r="BH278" s="107"/>
      <c r="BI278" s="105"/>
      <c r="BJ278" s="107"/>
      <c r="BK278" s="107"/>
      <c r="BL278" s="106"/>
      <c r="BM278" s="108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7"/>
      <c r="CE278" s="107"/>
      <c r="CF278" s="107"/>
      <c r="CG278" s="107"/>
      <c r="CH278" s="107"/>
      <c r="CI278" s="107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475"/>
      <c r="DI278" s="110"/>
      <c r="DJ278" s="110"/>
      <c r="DK278" s="475"/>
      <c r="DL278" s="53"/>
      <c r="DM278" s="54"/>
      <c r="DN278" s="54"/>
      <c r="DO278" s="54"/>
      <c r="DP278" s="54"/>
      <c r="DQ278" s="54"/>
      <c r="DR278" s="54"/>
      <c r="DS278" s="54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L278" s="55"/>
      <c r="EM278" s="1"/>
      <c r="EN278" s="106"/>
      <c r="EO278" s="105"/>
      <c r="EP278" s="1"/>
      <c r="EQ278" s="106"/>
      <c r="ER278" s="1"/>
      <c r="ES278" s="1"/>
      <c r="ET278" s="1"/>
      <c r="EU278" s="107"/>
      <c r="FJ278" s="673">
        <v>34</v>
      </c>
      <c r="FK278" s="479" t="str">
        <f ca="1">IF($FJ278+FK$244&gt;73,"",PRODUCT(INDEX($T$19:$T$93,FK$244):INDEX($T$19:$T$93,FK$244+$FJ278-1)))</f>
        <v/>
      </c>
      <c r="FL278" s="479" t="str">
        <f ca="1">IF($FJ278+FL$244&gt;73,"",PRODUCT(INDEX($T$19:$T$93,FL$244):INDEX($T$19:$T$93,FL$244+$FJ278-1)))</f>
        <v/>
      </c>
      <c r="FM278" s="479" t="str">
        <f ca="1">IF($FJ278+FM$244&gt;73,"",PRODUCT(INDEX($T$19:$T$93,FM$244):INDEX($T$19:$T$93,FM$244+$FJ278-1)))</f>
        <v/>
      </c>
      <c r="FN278" s="479" t="str">
        <f ca="1">IF($FJ278+FN$244&gt;73,"",PRODUCT(INDEX($T$19:$T$93,FN$244):INDEX($T$19:$T$93,FN$244+$FJ278-1)))</f>
        <v/>
      </c>
      <c r="FO278" s="479" t="str">
        <f ca="1">IF($FJ278+FO$244&gt;73,"",PRODUCT(INDEX($T$19:$T$93,FO$244):INDEX($T$19:$T$93,FO$244+$FJ278-1)))</f>
        <v/>
      </c>
      <c r="FP278" s="479" t="str">
        <f ca="1">IF($FJ278+FP$244&gt;73,"",PRODUCT(INDEX($T$19:$T$93,FP$244):INDEX($T$19:$T$93,FP$244+$FJ278-1)))</f>
        <v/>
      </c>
      <c r="FQ278" s="479" t="str">
        <f ca="1">IF($FJ278+FQ$244&gt;73,"",PRODUCT(INDEX($T$19:$T$93,FQ$244):INDEX($T$19:$T$93,FQ$244+$FJ278-1)))</f>
        <v/>
      </c>
      <c r="FR278" s="479" t="str">
        <f ca="1">IF($FJ278+FR$244&gt;73,"",PRODUCT(INDEX($T$19:$T$93,FR$244):INDEX($T$19:$T$93,FR$244+$FJ278-1)))</f>
        <v/>
      </c>
      <c r="FS278" s="479" t="str">
        <f ca="1">IF($FJ278+FS$244&gt;73,"",PRODUCT(INDEX($T$19:$T$93,FS$244):INDEX($T$19:$T$93,FS$244+$FJ278-1)))</f>
        <v/>
      </c>
      <c r="FT278" s="479" t="str">
        <f ca="1">IF($FJ278+FT$244&gt;73,"",PRODUCT(INDEX($T$19:$T$93,FT$244):INDEX($T$19:$T$93,FT$244+$FJ278-1)))</f>
        <v/>
      </c>
      <c r="FU278" s="479" t="str">
        <f ca="1">IF($FJ278+FU$244&gt;73,"",PRODUCT(INDEX($T$19:$T$93,FU$244):INDEX($T$19:$T$93,FU$244+$FJ278-1)))</f>
        <v/>
      </c>
      <c r="FV278" s="479" t="str">
        <f ca="1">IF($FJ278+FV$244&gt;73,"",PRODUCT(INDEX($T$19:$T$93,FV$244):INDEX($T$19:$T$93,FV$244+$FJ278-1)))</f>
        <v/>
      </c>
      <c r="FW278" s="479" t="str">
        <f ca="1">IF($FJ278+FW$244&gt;73,"",PRODUCT(INDEX($T$19:$T$93,FW$244):INDEX($T$19:$T$93,FW$244+$FJ278-1)))</f>
        <v/>
      </c>
      <c r="FX278" s="479" t="str">
        <f ca="1">IF($FJ278+FX$244&gt;73,"",PRODUCT(INDEX($T$19:$T$93,FX$244):INDEX($T$19:$T$93,FX$244+$FJ278-1)))</f>
        <v/>
      </c>
      <c r="FY278" s="479" t="str">
        <f ca="1">IF($FJ278+FY$244&gt;73,"",PRODUCT(INDEX($T$19:$T$93,FY$244):INDEX($T$19:$T$93,FY$244+$FJ278-1)))</f>
        <v/>
      </c>
      <c r="FZ278" s="479" t="str">
        <f ca="1">IF($FJ278+FZ$244&gt;73,"",PRODUCT(INDEX($T$19:$T$93,FZ$244):INDEX($T$19:$T$93,FZ$244+$FJ278-1)))</f>
        <v/>
      </c>
      <c r="GA278" s="479" t="str">
        <f ca="1">IF($FJ278+GA$244&gt;73,"",PRODUCT(INDEX($T$19:$T$93,GA$244):INDEX($T$19:$T$93,GA$244+$FJ278-1)))</f>
        <v/>
      </c>
      <c r="GB278" s="479" t="str">
        <f ca="1">IF($FJ278+GB$244&gt;73,"",PRODUCT(INDEX($T$19:$T$93,GB$244):INDEX($T$19:$T$93,GB$244+$FJ278-1)))</f>
        <v/>
      </c>
      <c r="GC278" s="479" t="str">
        <f ca="1">IF($FJ278+GC$244&gt;73,"",PRODUCT(INDEX($T$19:$T$93,GC$244):INDEX($T$19:$T$93,GC$244+$FJ278-1)))</f>
        <v/>
      </c>
      <c r="GD278" s="479" t="str">
        <f ca="1">IF($FJ278+GD$244&gt;73,"",PRODUCT(INDEX($T$19:$T$93,GD$244):INDEX($T$19:$T$93,GD$244+$FJ278-1)))</f>
        <v/>
      </c>
      <c r="GE278" s="479" t="str">
        <f ca="1">IF($FJ278+GE$244&gt;73,"",PRODUCT(INDEX($T$19:$T$93,GE$244):INDEX($T$19:$T$93,GE$244+$FJ278-1)))</f>
        <v/>
      </c>
      <c r="GF278" s="479" t="str">
        <f ca="1">IF($FJ278+GF$244&gt;73,"",PRODUCT(INDEX($T$19:$T$93,GF$244):INDEX($T$19:$T$93,GF$244+$FJ278-1)))</f>
        <v/>
      </c>
      <c r="GG278" s="479" t="str">
        <f ca="1">IF($FJ278+GG$244&gt;73,"",PRODUCT(INDEX($T$19:$T$93,GG$244):INDEX($T$19:$T$93,GG$244+$FJ278-1)))</f>
        <v/>
      </c>
      <c r="GH278" s="479" t="str">
        <f ca="1">IF($FJ278+GH$244&gt;73,"",PRODUCT(INDEX($T$19:$T$93,GH$244):INDEX($T$19:$T$93,GH$244+$FJ278-1)))</f>
        <v/>
      </c>
      <c r="GI278" s="479" t="str">
        <f ca="1">IF($FJ278+GI$244&gt;73,"",PRODUCT(INDEX($T$19:$T$93,GI$244):INDEX($T$19:$T$93,GI$244+$FJ278-1)))</f>
        <v/>
      </c>
      <c r="GJ278" s="479" t="str">
        <f ca="1">IF($FJ278+GJ$244&gt;73,"",PRODUCT(INDEX($T$19:$T$93,GJ$244):INDEX($T$19:$T$93,GJ$244+$FJ278-1)))</f>
        <v/>
      </c>
      <c r="GK278" s="479" t="str">
        <f ca="1">IF($FJ278+GK$244&gt;73,"",PRODUCT(INDEX($T$19:$T$93,GK$244):INDEX($T$19:$T$93,GK$244+$FJ278-1)))</f>
        <v/>
      </c>
      <c r="GL278" s="479" t="str">
        <f ca="1">IF($FJ278+GL$244&gt;73,"",PRODUCT(INDEX($T$19:$T$93,GL$244):INDEX($T$19:$T$93,GL$244+$FJ278-1)))</f>
        <v/>
      </c>
      <c r="GM278" s="479" t="str">
        <f ca="1">IF($FJ278+GM$244&gt;73,"",PRODUCT(INDEX($T$19:$T$93,GM$244):INDEX($T$19:$T$93,GM$244+$FJ278-1)))</f>
        <v/>
      </c>
      <c r="GN278" s="479" t="str">
        <f ca="1">IF($FJ278+GN$244&gt;73,"",PRODUCT(INDEX($T$19:$T$93,GN$244):INDEX($T$19:$T$93,GN$244+$FJ278-1)))</f>
        <v/>
      </c>
      <c r="GO278" s="479" t="str">
        <f ca="1">IF($FJ278+GO$244&gt;73,"",PRODUCT(INDEX($T$19:$T$93,GO$244):INDEX($T$19:$T$93,GO$244+$FJ278-1)))</f>
        <v/>
      </c>
      <c r="GP278" s="479" t="str">
        <f ca="1">IF($FJ278+GP$244&gt;73,"",PRODUCT(INDEX($T$19:$T$93,GP$244):INDEX($T$19:$T$93,GP$244+$FJ278-1)))</f>
        <v/>
      </c>
      <c r="GQ278" s="479" t="str">
        <f ca="1">IF($FJ278+GQ$244&gt;73,"",PRODUCT(INDEX($T$19:$T$93,GQ$244):INDEX($T$19:$T$93,GQ$244+$FJ278-1)))</f>
        <v/>
      </c>
      <c r="GR278" s="479">
        <f ca="1">IF($FJ278+GR$244&gt;73,"",PRODUCT(INDEX($T$19:$T$93,GR$244):INDEX($T$19:$T$93,GR$244+$FJ278-1)))</f>
        <v>0.99765872400372779</v>
      </c>
      <c r="GS278" s="479">
        <f ca="1">IF($FJ278+GS$244&gt;73,"",PRODUCT(INDEX($T$19:$T$93,GS$244):INDEX($T$19:$T$93,GS$244+$FJ278-1)))</f>
        <v>0.99726200696011336</v>
      </c>
      <c r="GT278" s="479">
        <f ca="1">IF($FJ278+GT$244&gt;73,"",PRODUCT(INDEX($T$19:$T$93,GT$244):INDEX($T$19:$T$93,GT$244+$FJ278-1)))</f>
        <v>0.99679814010539725</v>
      </c>
      <c r="GU278" s="479">
        <f ca="1">IF($FJ278+GU$244&gt;73,"",PRODUCT(INDEX($T$19:$T$93,GU$244):INDEX($T$19:$T$93,GU$244+$FJ278-1)))</f>
        <v>0.99625578452194019</v>
      </c>
      <c r="GV278" s="479">
        <f ca="1">IF($FJ278+GV$244&gt;73,"",PRODUCT(INDEX($T$19:$T$93,GV$244):INDEX($T$19:$T$93,GV$244+$FJ278-1)))</f>
        <v>0.99562169681335866</v>
      </c>
      <c r="GW278" s="479">
        <f ca="1">IF($FJ278+GW$244&gt;73,"",PRODUCT(INDEX($T$19:$T$93,GW$244):INDEX($T$19:$T$93,GW$244+$FJ278-1)))</f>
        <v>0.99488041307253172</v>
      </c>
      <c r="GX278" s="479">
        <f ca="1">IF($FJ278+GX$244&gt;73,"",PRODUCT(INDEX($T$19:$T$93,GX$244):INDEX($T$19:$T$93,GX$244+$FJ278-1)))</f>
        <v>0.99401388185639417</v>
      </c>
      <c r="GY278" s="479">
        <f ca="1">IF($FJ278+GY$244&gt;73,"",PRODUCT(INDEX($T$19:$T$93,GY$244):INDEX($T$19:$T$93,GY$244+$FJ278-1)))</f>
        <v>0.99300103849082799</v>
      </c>
      <c r="GZ278" s="479">
        <f ca="1">IF($FJ278+GZ$244&gt;73,"",PRODUCT(INDEX($T$19:$T$93,GZ$244):INDEX($T$19:$T$93,GZ$244+$FJ278-1)))</f>
        <v>0.99181731208786506</v>
      </c>
      <c r="HA278" s="479">
        <f ca="1">IF($FJ278+HA$244&gt;73,"",PRODUCT(INDEX($T$19:$T$93,HA$244):INDEX($T$19:$T$93,HA$244+$FJ278-1)))</f>
        <v>0.99043405568982223</v>
      </c>
      <c r="HB278" s="479">
        <f ca="1">IF($FJ278+HB$244&gt;73,"",PRODUCT(INDEX($T$19:$T$93,HB$244):INDEX($T$19:$T$93,HB$244+$FJ278-1)))</f>
        <v>0.98881788900511014</v>
      </c>
      <c r="HC278" s="479">
        <f ca="1">IF($FJ278+HC$244&gt;73,"",PRODUCT(INDEX($T$19:$T$93,HC$244):INDEX($T$19:$T$93,HC$244+$FJ278-1)))</f>
        <v>0.98692994233733633</v>
      </c>
      <c r="HD278" s="479">
        <f ca="1">IF($FJ278+HD$244&gt;73,"",PRODUCT(INDEX($T$19:$T$93,HD$244):INDEX($T$19:$T$93,HD$244+$FJ278-1)))</f>
        <v>0.98472498963730237</v>
      </c>
      <c r="HE278" s="479">
        <f ca="1">IF($FJ278+HE$244&gt;73,"",PRODUCT(INDEX($T$19:$T$93,HE$244):INDEX($T$19:$T$93,HE$244+$FJ278-1)))</f>
        <v>0.98215045828024106</v>
      </c>
      <c r="HF278" s="479">
        <f ca="1">IF($FJ278+HF$244&gt;73,"",PRODUCT(INDEX($T$19:$T$93,HF$244):INDEX($T$19:$T$93,HF$244+$FJ278-1)))</f>
        <v>0.97914530341000738</v>
      </c>
      <c r="HG278" s="479">
        <f ca="1">IF($FJ278+HG$244&gt;73,"",PRODUCT(INDEX($T$19:$T$93,HG$244):INDEX($T$19:$T$93,HG$244+$FJ278-1)))</f>
        <v>0.97563873581355298</v>
      </c>
      <c r="HH278" s="479">
        <f ca="1">IF($FJ278+HH$244&gt;73,"",PRODUCT(INDEX($T$19:$T$93,HH$244):INDEX($T$19:$T$93,HH$244+$FJ278-1)))</f>
        <v>0.9715487947358239</v>
      </c>
      <c r="HI278" s="479">
        <f ca="1">IF($FJ278+HI$244&gt;73,"",PRODUCT(INDEX($T$19:$T$93,HI$244):INDEX($T$19:$T$93,HI$244+$FJ278-1)))</f>
        <v>0.96678076143163671</v>
      </c>
      <c r="HJ278" s="479">
        <f ca="1">IF($FJ278+HJ$244&gt;73,"",PRODUCT(INDEX($T$19:$T$93,HJ$244):INDEX($T$19:$T$93,HJ$244+$FJ278-1)))</f>
        <v>0.96122541641967407</v>
      </c>
      <c r="HK278" s="479">
        <f ca="1">IF($FJ278+HK$244&gt;73,"",PRODUCT(INDEX($T$19:$T$93,HK$244):INDEX($T$19:$T$93,HK$244+$FJ278-1)))</f>
        <v>0.95475715449684451</v>
      </c>
      <c r="HL278" s="479">
        <f ca="1">IF($FJ278+HL$244&gt;73,"",PRODUCT(INDEX($T$19:$T$93,HL$244):INDEX($T$19:$T$93,HL$244+$FJ278-1)))</f>
        <v>0.94723198811821119</v>
      </c>
      <c r="HM278" s="479">
        <f ca="1">IF($FJ278+HM$244&gt;73,"",PRODUCT(INDEX($T$19:$T$93,HM$244):INDEX($T$19:$T$93,HM$244+$FJ278-1)))</f>
        <v>0.93848549376762846</v>
      </c>
      <c r="HN278" s="479">
        <f ca="1">IF($FJ278+HN$244&gt;73,"",PRODUCT(INDEX($T$19:$T$93,HN$244):INDEX($T$19:$T$93,HN$244+$FJ278-1)))</f>
        <v>0.92833079005736396</v>
      </c>
      <c r="HO278" s="479">
        <f ca="1">IF($FJ278+HO$244&gt;73,"",PRODUCT(INDEX($T$19:$T$93,HO$244):INDEX($T$19:$T$93,HO$244+$FJ278-1)))</f>
        <v>0.91655668382943167</v>
      </c>
      <c r="HP278" s="479">
        <f ca="1">IF($FJ278+HP$244&gt;73,"",PRODUCT(INDEX($T$19:$T$93,HP$244):INDEX($T$19:$T$93,HP$244+$FJ278-1)))</f>
        <v>0.90292618559353155</v>
      </c>
      <c r="HQ278" s="479">
        <f ca="1">IF($FJ278+HQ$244&gt;73,"",PRODUCT(INDEX($T$19:$T$93,HQ$244):INDEX($T$19:$T$93,HQ$244+$FJ278-1)))</f>
        <v>0.88717568308833061</v>
      </c>
      <c r="HR278" s="479">
        <f ca="1">IF($FJ278+HR$244&gt;73,"",PRODUCT(INDEX($T$19:$T$93,HR$244):INDEX($T$19:$T$93,HR$244+$FJ278-1)))</f>
        <v>0.86901517699083497</v>
      </c>
      <c r="HS278" s="479">
        <f ca="1">IF($FJ278+HS$244&gt;73,"",PRODUCT(INDEX($T$19:$T$93,HS$244):INDEX($T$19:$T$93,HS$244+$FJ278-1)))</f>
        <v>0.84813013115815827</v>
      </c>
      <c r="HT278" s="479">
        <f ca="1">IF($FJ278+HT$244&gt;73,"",PRODUCT(INDEX($T$19:$T$93,HT$244):INDEX($T$19:$T$93,HT$244+$FJ278-1)))</f>
        <v>0.82418567527772091</v>
      </c>
      <c r="HU278" s="479">
        <f ca="1">IF($FJ278+HU$244&gt;73,"",PRODUCT(INDEX($T$19:$T$93,HU$244):INDEX($T$19:$T$93,HU$244+$FJ278-1)))</f>
        <v>0.79683412072005666</v>
      </c>
      <c r="HV278" s="479">
        <f ca="1">IF($FJ278+HV$244&gt;73,"",PRODUCT(INDEX($T$19:$T$93,HV$244):INDEX($T$19:$T$93,HV$244+$FJ278-1)))</f>
        <v>0.76572700309514763</v>
      </c>
      <c r="HW278" s="479">
        <f ca="1">IF($FJ278+HW$244&gt;73,"",PRODUCT(INDEX($T$19:$T$93,HW$244):INDEX($T$19:$T$93,HW$244+$FJ278-1)))</f>
        <v>0.73053312491551614</v>
      </c>
      <c r="HX278" s="479">
        <f ca="1">IF($FJ278+HX$244&gt;73,"",PRODUCT(INDEX($T$19:$T$93,HX$244):INDEX($T$19:$T$93,HX$244+$FJ278-1)))</f>
        <v>0.69096429022292205</v>
      </c>
      <c r="HY278" s="479">
        <f ca="1">IF($FJ278+HY$244&gt;73,"",PRODUCT(INDEX($T$19:$T$93,HY$244):INDEX($T$19:$T$93,HY$244+$FJ278-1)))</f>
        <v>0.64681050882939195</v>
      </c>
      <c r="HZ278" s="479">
        <f ca="1">IF($FJ278+HZ$244&gt;73,"",PRODUCT(INDEX($T$19:$T$93,HZ$244):INDEX($T$19:$T$93,HZ$244+$FJ278-1)))</f>
        <v>0.5979862444727152</v>
      </c>
      <c r="IA278" s="479">
        <f ca="1">IF($FJ278+IA$244&gt;73,"",PRODUCT(INDEX($T$19:$T$93,IA$244):INDEX($T$19:$T$93,IA$244+$FJ278-1)))</f>
        <v>0.54458853945564334</v>
      </c>
      <c r="IB278" s="479">
        <f ca="1">IF($FJ278+IB$244&gt;73,"",PRODUCT(INDEX($T$19:$T$93,IB$244):INDEX($T$19:$T$93,IB$244+$FJ278-1)))</f>
        <v>0.48696620105419119</v>
      </c>
      <c r="IC278" s="479">
        <f ca="1">IF($FJ278+IC$244&gt;73,"",PRODUCT(INDEX($T$19:$T$93,IC$244):INDEX($T$19:$T$93,IC$244+$FJ278-1)))</f>
        <v>0.42579619335563551</v>
      </c>
      <c r="ID278" s="678">
        <f ca="1">IF($FJ278+ID$244&gt;73,"",PRODUCT(INDEX($T$19:$T$93,ID$244):INDEX($T$19:$T$93,ID$244+$FJ278-1)))</f>
        <v>0.36215839179235548</v>
      </c>
      <c r="IE278" s="250"/>
    </row>
    <row r="279" spans="9:239">
      <c r="I279" s="137"/>
      <c r="J279" s="375"/>
      <c r="K279" s="138"/>
      <c r="L279" s="1"/>
      <c r="M279" s="376"/>
      <c r="P279" s="375"/>
      <c r="S279" s="55"/>
      <c r="T279" s="375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374"/>
      <c r="AP279" s="1"/>
      <c r="AQ279" s="374"/>
      <c r="AR279" s="1"/>
      <c r="AS279" s="1"/>
      <c r="AT279" s="106"/>
      <c r="AU279" s="106"/>
      <c r="AV279" s="106"/>
      <c r="AW279" s="31"/>
      <c r="AX279" s="31"/>
      <c r="AY279" s="31"/>
      <c r="AZ279" s="31"/>
      <c r="BA279" s="154"/>
      <c r="BB279" s="154"/>
      <c r="BC279" s="106"/>
      <c r="BD279" s="106"/>
      <c r="BE279" s="106"/>
      <c r="BF279" s="107"/>
      <c r="BG279" s="107"/>
      <c r="BH279" s="107"/>
      <c r="BI279" s="105"/>
      <c r="BJ279" s="107"/>
      <c r="BK279" s="107"/>
      <c r="BL279" s="106"/>
      <c r="BM279" s="108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7"/>
      <c r="CE279" s="107"/>
      <c r="CF279" s="107"/>
      <c r="CG279" s="107"/>
      <c r="CH279" s="107"/>
      <c r="CI279" s="107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475"/>
      <c r="DI279" s="110"/>
      <c r="DJ279" s="110"/>
      <c r="DK279" s="475"/>
      <c r="DL279" s="53"/>
      <c r="DM279" s="54"/>
      <c r="DN279" s="54"/>
      <c r="DO279" s="54"/>
      <c r="DP279" s="54"/>
      <c r="DQ279" s="54"/>
      <c r="DR279" s="54"/>
      <c r="DS279" s="54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L279" s="55"/>
      <c r="EM279" s="1"/>
      <c r="EN279" s="106"/>
      <c r="EO279" s="105"/>
      <c r="EP279" s="1"/>
      <c r="EQ279" s="106"/>
      <c r="ER279" s="1"/>
      <c r="ES279" s="1"/>
      <c r="ET279" s="1"/>
      <c r="EU279" s="107"/>
      <c r="FJ279" s="673">
        <v>35</v>
      </c>
      <c r="FK279" s="479" t="str">
        <f ca="1">IF($FJ279+FK$244&gt;73,"",PRODUCT(INDEX($T$19:$T$93,FK$244):INDEX($T$19:$T$93,FK$244+$FJ279-1)))</f>
        <v/>
      </c>
      <c r="FL279" s="479" t="str">
        <f ca="1">IF($FJ279+FL$244&gt;73,"",PRODUCT(INDEX($T$19:$T$93,FL$244):INDEX($T$19:$T$93,FL$244+$FJ279-1)))</f>
        <v/>
      </c>
      <c r="FM279" s="479" t="str">
        <f ca="1">IF($FJ279+FM$244&gt;73,"",PRODUCT(INDEX($T$19:$T$93,FM$244):INDEX($T$19:$T$93,FM$244+$FJ279-1)))</f>
        <v/>
      </c>
      <c r="FN279" s="479" t="str">
        <f ca="1">IF($FJ279+FN$244&gt;73,"",PRODUCT(INDEX($T$19:$T$93,FN$244):INDEX($T$19:$T$93,FN$244+$FJ279-1)))</f>
        <v/>
      </c>
      <c r="FO279" s="479" t="str">
        <f ca="1">IF($FJ279+FO$244&gt;73,"",PRODUCT(INDEX($T$19:$T$93,FO$244):INDEX($T$19:$T$93,FO$244+$FJ279-1)))</f>
        <v/>
      </c>
      <c r="FP279" s="479" t="str">
        <f ca="1">IF($FJ279+FP$244&gt;73,"",PRODUCT(INDEX($T$19:$T$93,FP$244):INDEX($T$19:$T$93,FP$244+$FJ279-1)))</f>
        <v/>
      </c>
      <c r="FQ279" s="479" t="str">
        <f ca="1">IF($FJ279+FQ$244&gt;73,"",PRODUCT(INDEX($T$19:$T$93,FQ$244):INDEX($T$19:$T$93,FQ$244+$FJ279-1)))</f>
        <v/>
      </c>
      <c r="FR279" s="479" t="str">
        <f ca="1">IF($FJ279+FR$244&gt;73,"",PRODUCT(INDEX($T$19:$T$93,FR$244):INDEX($T$19:$T$93,FR$244+$FJ279-1)))</f>
        <v/>
      </c>
      <c r="FS279" s="479" t="str">
        <f ca="1">IF($FJ279+FS$244&gt;73,"",PRODUCT(INDEX($T$19:$T$93,FS$244):INDEX($T$19:$T$93,FS$244+$FJ279-1)))</f>
        <v/>
      </c>
      <c r="FT279" s="479" t="str">
        <f ca="1">IF($FJ279+FT$244&gt;73,"",PRODUCT(INDEX($T$19:$T$93,FT$244):INDEX($T$19:$T$93,FT$244+$FJ279-1)))</f>
        <v/>
      </c>
      <c r="FU279" s="479" t="str">
        <f ca="1">IF($FJ279+FU$244&gt;73,"",PRODUCT(INDEX($T$19:$T$93,FU$244):INDEX($T$19:$T$93,FU$244+$FJ279-1)))</f>
        <v/>
      </c>
      <c r="FV279" s="479" t="str">
        <f ca="1">IF($FJ279+FV$244&gt;73,"",PRODUCT(INDEX($T$19:$T$93,FV$244):INDEX($T$19:$T$93,FV$244+$FJ279-1)))</f>
        <v/>
      </c>
      <c r="FW279" s="479" t="str">
        <f ca="1">IF($FJ279+FW$244&gt;73,"",PRODUCT(INDEX($T$19:$T$93,FW$244):INDEX($T$19:$T$93,FW$244+$FJ279-1)))</f>
        <v/>
      </c>
      <c r="FX279" s="479" t="str">
        <f ca="1">IF($FJ279+FX$244&gt;73,"",PRODUCT(INDEX($T$19:$T$93,FX$244):INDEX($T$19:$T$93,FX$244+$FJ279-1)))</f>
        <v/>
      </c>
      <c r="FY279" s="479" t="str">
        <f ca="1">IF($FJ279+FY$244&gt;73,"",PRODUCT(INDEX($T$19:$T$93,FY$244):INDEX($T$19:$T$93,FY$244+$FJ279-1)))</f>
        <v/>
      </c>
      <c r="FZ279" s="479" t="str">
        <f ca="1">IF($FJ279+FZ$244&gt;73,"",PRODUCT(INDEX($T$19:$T$93,FZ$244):INDEX($T$19:$T$93,FZ$244+$FJ279-1)))</f>
        <v/>
      </c>
      <c r="GA279" s="479" t="str">
        <f ca="1">IF($FJ279+GA$244&gt;73,"",PRODUCT(INDEX($T$19:$T$93,GA$244):INDEX($T$19:$T$93,GA$244+$FJ279-1)))</f>
        <v/>
      </c>
      <c r="GB279" s="479" t="str">
        <f ca="1">IF($FJ279+GB$244&gt;73,"",PRODUCT(INDEX($T$19:$T$93,GB$244):INDEX($T$19:$T$93,GB$244+$FJ279-1)))</f>
        <v/>
      </c>
      <c r="GC279" s="479" t="str">
        <f ca="1">IF($FJ279+GC$244&gt;73,"",PRODUCT(INDEX($T$19:$T$93,GC$244):INDEX($T$19:$T$93,GC$244+$FJ279-1)))</f>
        <v/>
      </c>
      <c r="GD279" s="479" t="str">
        <f ca="1">IF($FJ279+GD$244&gt;73,"",PRODUCT(INDEX($T$19:$T$93,GD$244):INDEX($T$19:$T$93,GD$244+$FJ279-1)))</f>
        <v/>
      </c>
      <c r="GE279" s="479" t="str">
        <f ca="1">IF($FJ279+GE$244&gt;73,"",PRODUCT(INDEX($T$19:$T$93,GE$244):INDEX($T$19:$T$93,GE$244+$FJ279-1)))</f>
        <v/>
      </c>
      <c r="GF279" s="479" t="str">
        <f ca="1">IF($FJ279+GF$244&gt;73,"",PRODUCT(INDEX($T$19:$T$93,GF$244):INDEX($T$19:$T$93,GF$244+$FJ279-1)))</f>
        <v/>
      </c>
      <c r="GG279" s="479" t="str">
        <f ca="1">IF($FJ279+GG$244&gt;73,"",PRODUCT(INDEX($T$19:$T$93,GG$244):INDEX($T$19:$T$93,GG$244+$FJ279-1)))</f>
        <v/>
      </c>
      <c r="GH279" s="479" t="str">
        <f ca="1">IF($FJ279+GH$244&gt;73,"",PRODUCT(INDEX($T$19:$T$93,GH$244):INDEX($T$19:$T$93,GH$244+$FJ279-1)))</f>
        <v/>
      </c>
      <c r="GI279" s="479" t="str">
        <f ca="1">IF($FJ279+GI$244&gt;73,"",PRODUCT(INDEX($T$19:$T$93,GI$244):INDEX($T$19:$T$93,GI$244+$FJ279-1)))</f>
        <v/>
      </c>
      <c r="GJ279" s="479" t="str">
        <f ca="1">IF($FJ279+GJ$244&gt;73,"",PRODUCT(INDEX($T$19:$T$93,GJ$244):INDEX($T$19:$T$93,GJ$244+$FJ279-1)))</f>
        <v/>
      </c>
      <c r="GK279" s="479" t="str">
        <f ca="1">IF($FJ279+GK$244&gt;73,"",PRODUCT(INDEX($T$19:$T$93,GK$244):INDEX($T$19:$T$93,GK$244+$FJ279-1)))</f>
        <v/>
      </c>
      <c r="GL279" s="479" t="str">
        <f ca="1">IF($FJ279+GL$244&gt;73,"",PRODUCT(INDEX($T$19:$T$93,GL$244):INDEX($T$19:$T$93,GL$244+$FJ279-1)))</f>
        <v/>
      </c>
      <c r="GM279" s="479" t="str">
        <f ca="1">IF($FJ279+GM$244&gt;73,"",PRODUCT(INDEX($T$19:$T$93,GM$244):INDEX($T$19:$T$93,GM$244+$FJ279-1)))</f>
        <v/>
      </c>
      <c r="GN279" s="479" t="str">
        <f ca="1">IF($FJ279+GN$244&gt;73,"",PRODUCT(INDEX($T$19:$T$93,GN$244):INDEX($T$19:$T$93,GN$244+$FJ279-1)))</f>
        <v/>
      </c>
      <c r="GO279" s="479" t="str">
        <f ca="1">IF($FJ279+GO$244&gt;73,"",PRODUCT(INDEX($T$19:$T$93,GO$244):INDEX($T$19:$T$93,GO$244+$FJ279-1)))</f>
        <v/>
      </c>
      <c r="GP279" s="479" t="str">
        <f ca="1">IF($FJ279+GP$244&gt;73,"",PRODUCT(INDEX($T$19:$T$93,GP$244):INDEX($T$19:$T$93,GP$244+$FJ279-1)))</f>
        <v/>
      </c>
      <c r="GQ279" s="479" t="str">
        <f ca="1">IF($FJ279+GQ$244&gt;73,"",PRODUCT(INDEX($T$19:$T$93,GQ$244):INDEX($T$19:$T$93,GQ$244+$FJ279-1)))</f>
        <v/>
      </c>
      <c r="GR279" s="479" t="str">
        <f ca="1">IF($FJ279+GR$244&gt;73,"",PRODUCT(INDEX($T$19:$T$93,GR$244):INDEX($T$19:$T$93,GR$244+$FJ279-1)))</f>
        <v/>
      </c>
      <c r="GS279" s="479">
        <f ca="1">IF($FJ279+GS$244&gt;73,"",PRODUCT(INDEX($T$19:$T$93,GS$244):INDEX($T$19:$T$93,GS$244+$FJ279-1)))</f>
        <v>0.99726007085908197</v>
      </c>
      <c r="GT279" s="479">
        <f ca="1">IF($FJ279+GT$244&gt;73,"",PRODUCT(INDEX($T$19:$T$93,GT$244):INDEX($T$19:$T$93,GT$244+$FJ279-1)))</f>
        <v>0.99679587671046066</v>
      </c>
      <c r="GU279" s="479">
        <f ca="1">IF($FJ279+GU$244&gt;73,"",PRODUCT(INDEX($T$19:$T$93,GU$244):INDEX($T$19:$T$93,GU$244+$FJ279-1)))</f>
        <v>0.99625313871332155</v>
      </c>
      <c r="GV279" s="479">
        <f ca="1">IF($FJ279+GV$244&gt;73,"",PRODUCT(INDEX($T$19:$T$93,GV$244):INDEX($T$19:$T$93,GV$244+$FJ279-1)))</f>
        <v>0.99561860426532134</v>
      </c>
      <c r="GW279" s="479">
        <f ca="1">IF($FJ279+GW$244&gt;73,"",PRODUCT(INDEX($T$19:$T$93,GW$244):INDEX($T$19:$T$93,GW$244+$FJ279-1)))</f>
        <v>0.99487679874415591</v>
      </c>
      <c r="GX279" s="479">
        <f ca="1">IF($FJ279+GX$244&gt;73,"",PRODUCT(INDEX($T$19:$T$93,GX$244):INDEX($T$19:$T$93,GX$244+$FJ279-1)))</f>
        <v>0.9940096582454383</v>
      </c>
      <c r="GY279" s="479">
        <f ca="1">IF($FJ279+GY$244&gt;73,"",PRODUCT(INDEX($T$19:$T$93,GY$244):INDEX($T$19:$T$93,GY$244+$FJ279-1)))</f>
        <v>0.99299610361743795</v>
      </c>
      <c r="GZ279" s="479">
        <f ca="1">IF($FJ279+GZ$244&gt;73,"",PRODUCT(INDEX($T$19:$T$93,GZ$244):INDEX($T$19:$T$93,GZ$244+$FJ279-1)))</f>
        <v>0.99181154717176834</v>
      </c>
      <c r="HA279" s="479">
        <f ca="1">IF($FJ279+HA$244&gt;73,"",PRODUCT(INDEX($T$19:$T$93,HA$244):INDEX($T$19:$T$93,HA$244+$FJ279-1)))</f>
        <v>0.99042732248189413</v>
      </c>
      <c r="HB279" s="479">
        <f ca="1">IF($FJ279+HB$244&gt;73,"",PRODUCT(INDEX($T$19:$T$93,HB$244):INDEX($T$19:$T$93,HB$244+$FJ279-1)))</f>
        <v>0.98881002673219798</v>
      </c>
      <c r="HC279" s="479">
        <f ca="1">IF($FJ279+HC$244&gt;73,"",PRODUCT(INDEX($T$19:$T$93,HC$244):INDEX($T$19:$T$93,HC$244+$FJ279-1)))</f>
        <v>0.98692076421853225</v>
      </c>
      <c r="HD279" s="479">
        <f ca="1">IF($FJ279+HD$244&gt;73,"",PRODUCT(INDEX($T$19:$T$93,HD$244):INDEX($T$19:$T$93,HD$244+$FJ279-1)))</f>
        <v>0.98471427893124908</v>
      </c>
      <c r="HE279" s="479">
        <f ca="1">IF($FJ279+HE$244&gt;73,"",PRODUCT(INDEX($T$19:$T$93,HE$244):INDEX($T$19:$T$93,HE$244+$FJ279-1)))</f>
        <v>0.98213796382765151</v>
      </c>
      <c r="HF279" s="479">
        <f ca="1">IF($FJ279+HF$244&gt;73,"",PRODUCT(INDEX($T$19:$T$93,HF$244):INDEX($T$19:$T$93,HF$244+$FJ279-1)))</f>
        <v>0.97913073464491074</v>
      </c>
      <c r="HG279" s="479">
        <f ca="1">IF($FJ279+HG$244&gt;73,"",PRODUCT(INDEX($T$19:$T$93,HG$244):INDEX($T$19:$T$93,HG$244+$FJ279-1)))</f>
        <v>0.97562175723295974</v>
      </c>
      <c r="HH279" s="479">
        <f ca="1">IF($FJ279+HH$244&gt;73,"",PRODUCT(INDEX($T$19:$T$93,HH$244):INDEX($T$19:$T$93,HH$244+$FJ279-1)))</f>
        <v>0.97152901984337536</v>
      </c>
      <c r="HI279" s="479">
        <f ca="1">IF($FJ279+HI$244&gt;73,"",PRODUCT(INDEX($T$19:$T$93,HI$244):INDEX($T$19:$T$93,HI$244+$FJ279-1)))</f>
        <v>0.9667577462101955</v>
      </c>
      <c r="HJ279" s="479">
        <f ca="1">IF($FJ279+HJ$244&gt;73,"",PRODUCT(INDEX($T$19:$T$93,HJ$244):INDEX($T$19:$T$93,HJ$244+$FJ279-1)))</f>
        <v>0.96119865244574887</v>
      </c>
      <c r="HK279" s="479">
        <f ca="1">IF($FJ279+HK$244&gt;73,"",PRODUCT(INDEX($T$19:$T$93,HK$244):INDEX($T$19:$T$93,HK$244+$FJ279-1)))</f>
        <v>0.954726061892754</v>
      </c>
      <c r="HL279" s="479">
        <f ca="1">IF($FJ279+HL$244&gt;73,"",PRODUCT(INDEX($T$19:$T$93,HL$244):INDEX($T$19:$T$93,HL$244+$FJ279-1)))</f>
        <v>0.94719590865430126</v>
      </c>
      <c r="HM279" s="479">
        <f ca="1">IF($FJ279+HM$244&gt;73,"",PRODUCT(INDEX($T$19:$T$93,HM$244):INDEX($T$19:$T$93,HM$244+$FJ279-1)))</f>
        <v>0.93844368458698624</v>
      </c>
      <c r="HN279" s="479">
        <f ca="1">IF($FJ279+HN$244&gt;73,"",PRODUCT(INDEX($T$19:$T$93,HN$244):INDEX($T$19:$T$93,HN$244+$FJ279-1)))</f>
        <v>0.92828241871171679</v>
      </c>
      <c r="HO279" s="479">
        <f ca="1">IF($FJ279+HO$244&gt;73,"",PRODUCT(INDEX($T$19:$T$93,HO$244):INDEX($T$19:$T$93,HO$244+$FJ279-1)))</f>
        <v>0.91650082560144897</v>
      </c>
      <c r="HP279" s="479">
        <f ca="1">IF($FJ279+HP$244&gt;73,"",PRODUCT(INDEX($T$19:$T$93,HP$244):INDEX($T$19:$T$93,HP$244+$FJ279-1)))</f>
        <v>0.9028618244525054</v>
      </c>
      <c r="HQ279" s="479">
        <f ca="1">IF($FJ279+HQ$244&gt;73,"",PRODUCT(INDEX($T$19:$T$93,HQ$244):INDEX($T$19:$T$93,HQ$244+$FJ279-1)))</f>
        <v>0.88710171809672711</v>
      </c>
      <c r="HR279" s="479">
        <f ca="1">IF($FJ279+HR$244&gt;73,"",PRODUCT(INDEX($T$19:$T$93,HR$244):INDEX($T$19:$T$93,HR$244+$FJ279-1)))</f>
        <v>0.86893043655632685</v>
      </c>
      <c r="HS279" s="479">
        <f ca="1">IF($FJ279+HS$244&gt;73,"",PRODUCT(INDEX($T$19:$T$93,HS$244):INDEX($T$19:$T$93,HS$244+$FJ279-1)))</f>
        <v>0.84803339820415302</v>
      </c>
      <c r="HT279" s="479">
        <f ca="1">IF($FJ279+HT$244&gt;73,"",PRODUCT(INDEX($T$19:$T$93,HT$244):INDEX($T$19:$T$93,HT$244+$FJ279-1)))</f>
        <v>0.82407572715401378</v>
      </c>
      <c r="HU279" s="479">
        <f ca="1">IF($FJ279+HU$244&gt;73,"",PRODUCT(INDEX($T$19:$T$93,HU$244):INDEX($T$19:$T$93,HU$244+$FJ279-1)))</f>
        <v>0.79670978841744688</v>
      </c>
      <c r="HV279" s="479">
        <f ca="1">IF($FJ279+HV$244&gt;73,"",PRODUCT(INDEX($T$19:$T$93,HV$244):INDEX($T$19:$T$93,HV$244+$FJ279-1)))</f>
        <v>0.76558725491157575</v>
      </c>
      <c r="HW279" s="479">
        <f ca="1">IF($FJ279+HW$244&gt;73,"",PRODUCT(INDEX($T$19:$T$93,HW$244):INDEX($T$19:$T$93,HW$244+$FJ279-1)))</f>
        <v>0.73037717987681694</v>
      </c>
      <c r="HX279" s="479">
        <f ca="1">IF($FJ279+HX$244&gt;73,"",PRODUCT(INDEX($T$19:$T$93,HX$244):INDEX($T$19:$T$93,HX$244+$FJ279-1)))</f>
        <v>0.6907917658465077</v>
      </c>
      <c r="HY279" s="479">
        <f ca="1">IF($FJ279+HY$244&gt;73,"",PRODUCT(INDEX($T$19:$T$93,HY$244):INDEX($T$19:$T$93,HY$244+$FJ279-1)))</f>
        <v>0.64662160555799197</v>
      </c>
      <c r="HZ279" s="479">
        <f ca="1">IF($FJ279+HZ$244&gt;73,"",PRODUCT(INDEX($T$19:$T$93,HZ$244):INDEX($T$19:$T$93,HZ$244+$FJ279-1)))</f>
        <v>0.59778196433877062</v>
      </c>
      <c r="IA279" s="479">
        <f ca="1">IF($FJ279+IA$244&gt;73,"",PRODUCT(INDEX($T$19:$T$93,IA$244):INDEX($T$19:$T$93,IA$244+$FJ279-1)))</f>
        <v>0.544370928033452</v>
      </c>
      <c r="IB279" s="479">
        <f ca="1">IF($FJ279+IB$244&gt;73,"",PRODUCT(INDEX($T$19:$T$93,IB$244):INDEX($T$19:$T$93,IB$244+$FJ279-1)))</f>
        <v>0.48673858817484222</v>
      </c>
      <c r="IC279" s="479">
        <f ca="1">IF($FJ279+IC$244&gt;73,"",PRODUCT(INDEX($T$19:$T$93,IC$244):INDEX($T$19:$T$93,IC$244+$FJ279-1)))</f>
        <v>0.42556338842875741</v>
      </c>
      <c r="ID279" s="678">
        <f ca="1">IF($FJ279+ID$244&gt;73,"",PRODUCT(INDEX($T$19:$T$93,ID$244):INDEX($T$19:$T$93,ID$244+$FJ279-1)))</f>
        <v>0.36192676435229026</v>
      </c>
      <c r="IE279" s="250"/>
    </row>
    <row r="280" spans="9:239">
      <c r="I280" s="137"/>
      <c r="J280" s="375"/>
      <c r="K280" s="138"/>
      <c r="L280" s="1"/>
      <c r="M280" s="376"/>
      <c r="P280" s="375"/>
      <c r="S280" s="55"/>
      <c r="T280" s="375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374"/>
      <c r="AP280" s="1"/>
      <c r="AQ280" s="374"/>
      <c r="AR280" s="1"/>
      <c r="AS280" s="1"/>
      <c r="AT280" s="106"/>
      <c r="AU280" s="106"/>
      <c r="AV280" s="106"/>
      <c r="AW280" s="31"/>
      <c r="AX280" s="31"/>
      <c r="AY280" s="31"/>
      <c r="AZ280" s="31"/>
      <c r="BA280" s="154"/>
      <c r="BB280" s="154"/>
      <c r="BC280" s="106"/>
      <c r="BD280" s="106"/>
      <c r="BE280" s="106"/>
      <c r="BF280" s="107"/>
      <c r="BG280" s="107"/>
      <c r="BH280" s="107"/>
      <c r="BI280" s="105"/>
      <c r="BJ280" s="107"/>
      <c r="BK280" s="107"/>
      <c r="BL280" s="106"/>
      <c r="BM280" s="108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7"/>
      <c r="CE280" s="107"/>
      <c r="CF280" s="107"/>
      <c r="CG280" s="107"/>
      <c r="CH280" s="107"/>
      <c r="CI280" s="107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475"/>
      <c r="DI280" s="110"/>
      <c r="DJ280" s="110"/>
      <c r="DK280" s="475"/>
      <c r="DL280" s="53"/>
      <c r="DM280" s="54"/>
      <c r="DN280" s="54"/>
      <c r="DO280" s="54"/>
      <c r="DP280" s="54"/>
      <c r="DQ280" s="54"/>
      <c r="DR280" s="54"/>
      <c r="DS280" s="54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L280" s="55"/>
      <c r="EM280" s="1"/>
      <c r="EN280" s="106"/>
      <c r="EO280" s="105"/>
      <c r="EP280" s="1"/>
      <c r="EQ280" s="106"/>
      <c r="ER280" s="1"/>
      <c r="ES280" s="1"/>
      <c r="ET280" s="1"/>
      <c r="EU280" s="107"/>
      <c r="FJ280" s="673">
        <v>36</v>
      </c>
      <c r="FK280" s="479" t="str">
        <f ca="1">IF($FJ280+FK$244&gt;73,"",PRODUCT(INDEX($T$19:$T$93,FK$244):INDEX($T$19:$T$93,FK$244+$FJ280-1)))</f>
        <v/>
      </c>
      <c r="FL280" s="479" t="str">
        <f ca="1">IF($FJ280+FL$244&gt;73,"",PRODUCT(INDEX($T$19:$T$93,FL$244):INDEX($T$19:$T$93,FL$244+$FJ280-1)))</f>
        <v/>
      </c>
      <c r="FM280" s="479" t="str">
        <f ca="1">IF($FJ280+FM$244&gt;73,"",PRODUCT(INDEX($T$19:$T$93,FM$244):INDEX($T$19:$T$93,FM$244+$FJ280-1)))</f>
        <v/>
      </c>
      <c r="FN280" s="479" t="str">
        <f ca="1">IF($FJ280+FN$244&gt;73,"",PRODUCT(INDEX($T$19:$T$93,FN$244):INDEX($T$19:$T$93,FN$244+$FJ280-1)))</f>
        <v/>
      </c>
      <c r="FO280" s="479" t="str">
        <f ca="1">IF($FJ280+FO$244&gt;73,"",PRODUCT(INDEX($T$19:$T$93,FO$244):INDEX($T$19:$T$93,FO$244+$FJ280-1)))</f>
        <v/>
      </c>
      <c r="FP280" s="479" t="str">
        <f ca="1">IF($FJ280+FP$244&gt;73,"",PRODUCT(INDEX($T$19:$T$93,FP$244):INDEX($T$19:$T$93,FP$244+$FJ280-1)))</f>
        <v/>
      </c>
      <c r="FQ280" s="479" t="str">
        <f ca="1">IF($FJ280+FQ$244&gt;73,"",PRODUCT(INDEX($T$19:$T$93,FQ$244):INDEX($T$19:$T$93,FQ$244+$FJ280-1)))</f>
        <v/>
      </c>
      <c r="FR280" s="479" t="str">
        <f ca="1">IF($FJ280+FR$244&gt;73,"",PRODUCT(INDEX($T$19:$T$93,FR$244):INDEX($T$19:$T$93,FR$244+$FJ280-1)))</f>
        <v/>
      </c>
      <c r="FS280" s="479" t="str">
        <f ca="1">IF($FJ280+FS$244&gt;73,"",PRODUCT(INDEX($T$19:$T$93,FS$244):INDEX($T$19:$T$93,FS$244+$FJ280-1)))</f>
        <v/>
      </c>
      <c r="FT280" s="479" t="str">
        <f ca="1">IF($FJ280+FT$244&gt;73,"",PRODUCT(INDEX($T$19:$T$93,FT$244):INDEX($T$19:$T$93,FT$244+$FJ280-1)))</f>
        <v/>
      </c>
      <c r="FU280" s="479" t="str">
        <f ca="1">IF($FJ280+FU$244&gt;73,"",PRODUCT(INDEX($T$19:$T$93,FU$244):INDEX($T$19:$T$93,FU$244+$FJ280-1)))</f>
        <v/>
      </c>
      <c r="FV280" s="479" t="str">
        <f ca="1">IF($FJ280+FV$244&gt;73,"",PRODUCT(INDEX($T$19:$T$93,FV$244):INDEX($T$19:$T$93,FV$244+$FJ280-1)))</f>
        <v/>
      </c>
      <c r="FW280" s="479" t="str">
        <f ca="1">IF($FJ280+FW$244&gt;73,"",PRODUCT(INDEX($T$19:$T$93,FW$244):INDEX($T$19:$T$93,FW$244+$FJ280-1)))</f>
        <v/>
      </c>
      <c r="FX280" s="479" t="str">
        <f ca="1">IF($FJ280+FX$244&gt;73,"",PRODUCT(INDEX($T$19:$T$93,FX$244):INDEX($T$19:$T$93,FX$244+$FJ280-1)))</f>
        <v/>
      </c>
      <c r="FY280" s="479" t="str">
        <f ca="1">IF($FJ280+FY$244&gt;73,"",PRODUCT(INDEX($T$19:$T$93,FY$244):INDEX($T$19:$T$93,FY$244+$FJ280-1)))</f>
        <v/>
      </c>
      <c r="FZ280" s="479" t="str">
        <f ca="1">IF($FJ280+FZ$244&gt;73,"",PRODUCT(INDEX($T$19:$T$93,FZ$244):INDEX($T$19:$T$93,FZ$244+$FJ280-1)))</f>
        <v/>
      </c>
      <c r="GA280" s="479" t="str">
        <f ca="1">IF($FJ280+GA$244&gt;73,"",PRODUCT(INDEX($T$19:$T$93,GA$244):INDEX($T$19:$T$93,GA$244+$FJ280-1)))</f>
        <v/>
      </c>
      <c r="GB280" s="479" t="str">
        <f ca="1">IF($FJ280+GB$244&gt;73,"",PRODUCT(INDEX($T$19:$T$93,GB$244):INDEX($T$19:$T$93,GB$244+$FJ280-1)))</f>
        <v/>
      </c>
      <c r="GC280" s="479" t="str">
        <f ca="1">IF($FJ280+GC$244&gt;73,"",PRODUCT(INDEX($T$19:$T$93,GC$244):INDEX($T$19:$T$93,GC$244+$FJ280-1)))</f>
        <v/>
      </c>
      <c r="GD280" s="479" t="str">
        <f ca="1">IF($FJ280+GD$244&gt;73,"",PRODUCT(INDEX($T$19:$T$93,GD$244):INDEX($T$19:$T$93,GD$244+$FJ280-1)))</f>
        <v/>
      </c>
      <c r="GE280" s="479" t="str">
        <f ca="1">IF($FJ280+GE$244&gt;73,"",PRODUCT(INDEX($T$19:$T$93,GE$244):INDEX($T$19:$T$93,GE$244+$FJ280-1)))</f>
        <v/>
      </c>
      <c r="GF280" s="479" t="str">
        <f ca="1">IF($FJ280+GF$244&gt;73,"",PRODUCT(INDEX($T$19:$T$93,GF$244):INDEX($T$19:$T$93,GF$244+$FJ280-1)))</f>
        <v/>
      </c>
      <c r="GG280" s="479" t="str">
        <f ca="1">IF($FJ280+GG$244&gt;73,"",PRODUCT(INDEX($T$19:$T$93,GG$244):INDEX($T$19:$T$93,GG$244+$FJ280-1)))</f>
        <v/>
      </c>
      <c r="GH280" s="479" t="str">
        <f ca="1">IF($FJ280+GH$244&gt;73,"",PRODUCT(INDEX($T$19:$T$93,GH$244):INDEX($T$19:$T$93,GH$244+$FJ280-1)))</f>
        <v/>
      </c>
      <c r="GI280" s="479" t="str">
        <f ca="1">IF($FJ280+GI$244&gt;73,"",PRODUCT(INDEX($T$19:$T$93,GI$244):INDEX($T$19:$T$93,GI$244+$FJ280-1)))</f>
        <v/>
      </c>
      <c r="GJ280" s="479" t="str">
        <f ca="1">IF($FJ280+GJ$244&gt;73,"",PRODUCT(INDEX($T$19:$T$93,GJ$244):INDEX($T$19:$T$93,GJ$244+$FJ280-1)))</f>
        <v/>
      </c>
      <c r="GK280" s="479" t="str">
        <f ca="1">IF($FJ280+GK$244&gt;73,"",PRODUCT(INDEX($T$19:$T$93,GK$244):INDEX($T$19:$T$93,GK$244+$FJ280-1)))</f>
        <v/>
      </c>
      <c r="GL280" s="479" t="str">
        <f ca="1">IF($FJ280+GL$244&gt;73,"",PRODUCT(INDEX($T$19:$T$93,GL$244):INDEX($T$19:$T$93,GL$244+$FJ280-1)))</f>
        <v/>
      </c>
      <c r="GM280" s="479" t="str">
        <f ca="1">IF($FJ280+GM$244&gt;73,"",PRODUCT(INDEX($T$19:$T$93,GM$244):INDEX($T$19:$T$93,GM$244+$FJ280-1)))</f>
        <v/>
      </c>
      <c r="GN280" s="479" t="str">
        <f ca="1">IF($FJ280+GN$244&gt;73,"",PRODUCT(INDEX($T$19:$T$93,GN$244):INDEX($T$19:$T$93,GN$244+$FJ280-1)))</f>
        <v/>
      </c>
      <c r="GO280" s="479" t="str">
        <f ca="1">IF($FJ280+GO$244&gt;73,"",PRODUCT(INDEX($T$19:$T$93,GO$244):INDEX($T$19:$T$93,GO$244+$FJ280-1)))</f>
        <v/>
      </c>
      <c r="GP280" s="479" t="str">
        <f ca="1">IF($FJ280+GP$244&gt;73,"",PRODUCT(INDEX($T$19:$T$93,GP$244):INDEX($T$19:$T$93,GP$244+$FJ280-1)))</f>
        <v/>
      </c>
      <c r="GQ280" s="479" t="str">
        <f ca="1">IF($FJ280+GQ$244&gt;73,"",PRODUCT(INDEX($T$19:$T$93,GQ$244):INDEX($T$19:$T$93,GQ$244+$FJ280-1)))</f>
        <v/>
      </c>
      <c r="GR280" s="479" t="str">
        <f ca="1">IF($FJ280+GR$244&gt;73,"",PRODUCT(INDEX($T$19:$T$93,GR$244):INDEX($T$19:$T$93,GR$244+$FJ280-1)))</f>
        <v/>
      </c>
      <c r="GS280" s="479" t="str">
        <f ca="1">IF($FJ280+GS$244&gt;73,"",PRODUCT(INDEX($T$19:$T$93,GS$244):INDEX($T$19:$T$93,GS$244+$FJ280-1)))</f>
        <v/>
      </c>
      <c r="GT280" s="479">
        <f ca="1">IF($FJ280+GT$244&gt;73,"",PRODUCT(INDEX($T$19:$T$93,GT$244):INDEX($T$19:$T$93,GT$244+$FJ280-1)))</f>
        <v>0.99679394151438228</v>
      </c>
      <c r="GU280" s="479">
        <f ca="1">IF($FJ280+GU$244&gt;73,"",PRODUCT(INDEX($T$19:$T$93,GU$244):INDEX($T$19:$T$93,GU$244+$FJ280-1)))</f>
        <v>0.99625087655590072</v>
      </c>
      <c r="GV280" s="479">
        <f ca="1">IF($FJ280+GV$244&gt;73,"",PRODUCT(INDEX($T$19:$T$93,GV$244):INDEX($T$19:$T$93,GV$244+$FJ280-1)))</f>
        <v>0.99561596014889564</v>
      </c>
      <c r="GW280" s="479">
        <f ca="1">IF($FJ280+GW$244&gt;73,"",PRODUCT(INDEX($T$19:$T$93,GW$244):INDEX($T$19:$T$93,GW$244+$FJ280-1)))</f>
        <v>0.9948737085098821</v>
      </c>
      <c r="GX280" s="479">
        <f ca="1">IF($FJ280+GX$244&gt;73,"",PRODUCT(INDEX($T$19:$T$93,GX$244):INDEX($T$19:$T$93,GX$244+$FJ280-1)))</f>
        <v>0.99400604708045159</v>
      </c>
      <c r="GY280" s="479">
        <f ca="1">IF($FJ280+GY$244&gt;73,"",PRODUCT(INDEX($T$19:$T$93,GY$244):INDEX($T$19:$T$93,GY$244+$FJ280-1)))</f>
        <v>0.99299188433106889</v>
      </c>
      <c r="GZ280" s="479">
        <f ca="1">IF($FJ280+GZ$244&gt;73,"",PRODUCT(INDEX($T$19:$T$93,GZ$244):INDEX($T$19:$T$93,GZ$244+$FJ280-1)))</f>
        <v>0.9918066182097407</v>
      </c>
      <c r="HA280" s="479">
        <f ca="1">IF($FJ280+HA$244&gt;73,"",PRODUCT(INDEX($T$19:$T$93,HA$244):INDEX($T$19:$T$93,HA$244+$FJ280-1)))</f>
        <v>0.99042156564508121</v>
      </c>
      <c r="HB280" s="479">
        <f ca="1">IF($FJ280+HB$244&gt;73,"",PRODUCT(INDEX($T$19:$T$93,HB$244):INDEX($T$19:$T$93,HB$244+$FJ280-1)))</f>
        <v>0.98880330456480769</v>
      </c>
      <c r="HC280" s="479">
        <f ca="1">IF($FJ280+HC$244&gt;73,"",PRODUCT(INDEX($T$19:$T$93,HC$244):INDEX($T$19:$T$93,HC$244+$FJ280-1)))</f>
        <v>0.98691291703000816</v>
      </c>
      <c r="HD280" s="479">
        <f ca="1">IF($FJ280+HD$244&gt;73,"",PRODUCT(INDEX($T$19:$T$93,HD$244):INDEX($T$19:$T$93,HD$244+$FJ280-1)))</f>
        <v>0.98470512141737454</v>
      </c>
      <c r="HE280" s="479">
        <f ca="1">IF($FJ280+HE$244&gt;73,"",PRODUCT(INDEX($T$19:$T$93,HE$244):INDEX($T$19:$T$93,HE$244+$FJ280-1)))</f>
        <v>0.98212728126029003</v>
      </c>
      <c r="HF280" s="479">
        <f ca="1">IF($FJ280+HF$244&gt;73,"",PRODUCT(INDEX($T$19:$T$93,HF$244):INDEX($T$19:$T$93,HF$244+$FJ280-1)))</f>
        <v>0.97911827860781386</v>
      </c>
      <c r="HG280" s="479">
        <f ca="1">IF($FJ280+HG$244&gt;73,"",PRODUCT(INDEX($T$19:$T$93,HG$244):INDEX($T$19:$T$93,HG$244+$FJ280-1)))</f>
        <v>0.97560724089493023</v>
      </c>
      <c r="HH280" s="479">
        <f ca="1">IF($FJ280+HH$244&gt;73,"",PRODUCT(INDEX($T$19:$T$93,HH$244):INDEX($T$19:$T$93,HH$244+$FJ280-1)))</f>
        <v>0.97151211278223015</v>
      </c>
      <c r="HI280" s="479">
        <f ca="1">IF($FJ280+HI$244&gt;73,"",PRODUCT(INDEX($T$19:$T$93,HI$244):INDEX($T$19:$T$93,HI$244+$FJ280-1)))</f>
        <v>0.96673806883469082</v>
      </c>
      <c r="HJ280" s="479">
        <f ca="1">IF($FJ280+HJ$244&gt;73,"",PRODUCT(INDEX($T$19:$T$93,HJ$244):INDEX($T$19:$T$93,HJ$244+$FJ280-1)))</f>
        <v>0.96117577011221722</v>
      </c>
      <c r="HK280" s="479">
        <f ca="1">IF($FJ280+HK$244&gt;73,"",PRODUCT(INDEX($T$19:$T$93,HK$244):INDEX($T$19:$T$93,HK$244+$FJ280-1)))</f>
        <v>0.95469947888424245</v>
      </c>
      <c r="HL280" s="479">
        <f ca="1">IF($FJ280+HL$244&gt;73,"",PRODUCT(INDEX($T$19:$T$93,HL$244):INDEX($T$19:$T$93,HL$244+$FJ280-1)))</f>
        <v>0.94716506228960506</v>
      </c>
      <c r="HM280" s="479">
        <f ca="1">IF($FJ280+HM$244&gt;73,"",PRODUCT(INDEX($T$19:$T$93,HM$244):INDEX($T$19:$T$93,HM$244+$FJ280-1)))</f>
        <v>0.93840793986396775</v>
      </c>
      <c r="HN280" s="479">
        <f ca="1">IF($FJ280+HN$244&gt;73,"",PRODUCT(INDEX($T$19:$T$93,HN$244):INDEX($T$19:$T$93,HN$244+$FJ280-1)))</f>
        <v>0.92824106407428375</v>
      </c>
      <c r="HO280" s="479">
        <f ca="1">IF($FJ280+HO$244&gt;73,"",PRODUCT(INDEX($T$19:$T$93,HO$244):INDEX($T$19:$T$93,HO$244+$FJ280-1)))</f>
        <v>0.91645307066463566</v>
      </c>
      <c r="HP280" s="479">
        <f ca="1">IF($FJ280+HP$244&gt;73,"",PRODUCT(INDEX($T$19:$T$93,HP$244):INDEX($T$19:$T$93,HP$244+$FJ280-1)))</f>
        <v>0.90280680083801768</v>
      </c>
      <c r="HQ280" s="479">
        <f ca="1">IF($FJ280+HQ$244&gt;73,"",PRODUCT(INDEX($T$19:$T$93,HQ$244):INDEX($T$19:$T$93,HQ$244+$FJ280-1)))</f>
        <v>0.88703848493360271</v>
      </c>
      <c r="HR280" s="479">
        <f ca="1">IF($FJ280+HR$244&gt;73,"",PRODUCT(INDEX($T$19:$T$93,HR$244):INDEX($T$19:$T$93,HR$244+$FJ280-1)))</f>
        <v>0.86885799269467789</v>
      </c>
      <c r="HS280" s="479">
        <f ca="1">IF($FJ280+HS$244&gt;73,"",PRODUCT(INDEX($T$19:$T$93,HS$244):INDEX($T$19:$T$93,HS$244+$FJ280-1)))</f>
        <v>0.84795070376964377</v>
      </c>
      <c r="HT280" s="479">
        <f ca="1">IF($FJ280+HT$244&gt;73,"",PRODUCT(INDEX($T$19:$T$93,HT$244):INDEX($T$19:$T$93,HT$244+$FJ280-1)))</f>
        <v>0.82398173771007921</v>
      </c>
      <c r="HU280" s="479">
        <f ca="1">IF($FJ280+HU$244&gt;73,"",PRODUCT(INDEX($T$19:$T$93,HU$244):INDEX($T$19:$T$93,HU$244+$FJ280-1)))</f>
        <v>0.79660350563554083</v>
      </c>
      <c r="HV280" s="479">
        <f ca="1">IF($FJ280+HV$244&gt;73,"",PRODUCT(INDEX($T$19:$T$93,HV$244):INDEX($T$19:$T$93,HV$244+$FJ280-1)))</f>
        <v>0.76546779814663968</v>
      </c>
      <c r="HW280" s="479">
        <f ca="1">IF($FJ280+HW$244&gt;73,"",PRODUCT(INDEX($T$19:$T$93,HW$244):INDEX($T$19:$T$93,HW$244+$FJ280-1)))</f>
        <v>0.73024388317473177</v>
      </c>
      <c r="HX280" s="479">
        <f ca="1">IF($FJ280+HX$244&gt;73,"",PRODUCT(INDEX($T$19:$T$93,HX$244):INDEX($T$19:$T$93,HX$244+$FJ280-1)))</f>
        <v>0.69064430429413737</v>
      </c>
      <c r="HY280" s="479">
        <f ca="1">IF($FJ280+HY$244&gt;73,"",PRODUCT(INDEX($T$19:$T$93,HY$244):INDEX($T$19:$T$93,HY$244+$FJ280-1)))</f>
        <v>0.64646015294625281</v>
      </c>
      <c r="HZ280" s="479">
        <f ca="1">IF($FJ280+HZ$244&gt;73,"",PRODUCT(INDEX($T$19:$T$93,HZ$244):INDEX($T$19:$T$93,HZ$244+$FJ280-1)))</f>
        <v>0.59760738002527225</v>
      </c>
      <c r="IA280" s="479">
        <f ca="1">IF($FJ280+IA$244&gt;73,"",PRODUCT(INDEX($T$19:$T$93,IA$244):INDEX($T$19:$T$93,IA$244+$FJ280-1)))</f>
        <v>0.54418496361182511</v>
      </c>
      <c r="IB280" s="479">
        <f ca="1">IF($FJ280+IB$244&gt;73,"",PRODUCT(INDEX($T$19:$T$93,IB$244):INDEX($T$19:$T$93,IB$244+$FJ280-1)))</f>
        <v>0.48654409293901885</v>
      </c>
      <c r="IC280" s="479">
        <f ca="1">IF($FJ280+IC$244&gt;73,"",PRODUCT(INDEX($T$19:$T$93,IC$244):INDEX($T$19:$T$93,IC$244+$FJ280-1)))</f>
        <v>0.42536447583897996</v>
      </c>
      <c r="ID280" s="678">
        <f ca="1">IF($FJ280+ID$244&gt;73,"",PRODUCT(INDEX($T$19:$T$93,ID$244):INDEX($T$19:$T$93,ID$244+$FJ280-1)))</f>
        <v>0.36172888016444388</v>
      </c>
      <c r="IE280" s="250"/>
    </row>
    <row r="281" spans="9:239">
      <c r="I281" s="137"/>
      <c r="J281" s="375"/>
      <c r="K281" s="138"/>
      <c r="L281" s="1"/>
      <c r="M281" s="376"/>
      <c r="P281" s="375"/>
      <c r="S281" s="55"/>
      <c r="T281" s="375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374"/>
      <c r="AP281" s="1"/>
      <c r="AQ281" s="374"/>
      <c r="AR281" s="1"/>
      <c r="AS281" s="1"/>
      <c r="AT281" s="106"/>
      <c r="AU281" s="106"/>
      <c r="AV281" s="106"/>
      <c r="AW281" s="31"/>
      <c r="AX281" s="31"/>
      <c r="AY281" s="31"/>
      <c r="AZ281" s="31"/>
      <c r="BA281" s="154"/>
      <c r="BB281" s="154"/>
      <c r="BC281" s="106"/>
      <c r="BD281" s="106"/>
      <c r="BE281" s="106"/>
      <c r="BF281" s="107"/>
      <c r="BG281" s="107"/>
      <c r="BH281" s="107"/>
      <c r="BI281" s="105"/>
      <c r="BJ281" s="107"/>
      <c r="BK281" s="107"/>
      <c r="BL281" s="106"/>
      <c r="BM281" s="108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7"/>
      <c r="CE281" s="107"/>
      <c r="CF281" s="107"/>
      <c r="CG281" s="107"/>
      <c r="CH281" s="107"/>
      <c r="CI281" s="107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475"/>
      <c r="DI281" s="110"/>
      <c r="DJ281" s="110"/>
      <c r="DK281" s="475"/>
      <c r="DL281" s="53"/>
      <c r="DM281" s="54"/>
      <c r="DN281" s="54"/>
      <c r="DO281" s="54"/>
      <c r="DP281" s="54"/>
      <c r="DQ281" s="54"/>
      <c r="DR281" s="54"/>
      <c r="DS281" s="54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L281" s="55"/>
      <c r="EM281" s="1"/>
      <c r="EN281" s="106"/>
      <c r="EO281" s="105"/>
      <c r="EP281" s="1"/>
      <c r="EQ281" s="106"/>
      <c r="ER281" s="1"/>
      <c r="ES281" s="1"/>
      <c r="ET281" s="1"/>
      <c r="EU281" s="107"/>
      <c r="FJ281" s="673">
        <v>37</v>
      </c>
      <c r="FK281" s="479" t="str">
        <f ca="1">IF($FJ281+FK$244&gt;73,"",PRODUCT(INDEX($T$19:$T$93,FK$244):INDEX($T$19:$T$93,FK$244+$FJ281-1)))</f>
        <v/>
      </c>
      <c r="FL281" s="479" t="str">
        <f ca="1">IF($FJ281+FL$244&gt;73,"",PRODUCT(INDEX($T$19:$T$93,FL$244):INDEX($T$19:$T$93,FL$244+$FJ281-1)))</f>
        <v/>
      </c>
      <c r="FM281" s="479" t="str">
        <f ca="1">IF($FJ281+FM$244&gt;73,"",PRODUCT(INDEX($T$19:$T$93,FM$244):INDEX($T$19:$T$93,FM$244+$FJ281-1)))</f>
        <v/>
      </c>
      <c r="FN281" s="479" t="str">
        <f ca="1">IF($FJ281+FN$244&gt;73,"",PRODUCT(INDEX($T$19:$T$93,FN$244):INDEX($T$19:$T$93,FN$244+$FJ281-1)))</f>
        <v/>
      </c>
      <c r="FO281" s="479" t="str">
        <f ca="1">IF($FJ281+FO$244&gt;73,"",PRODUCT(INDEX($T$19:$T$93,FO$244):INDEX($T$19:$T$93,FO$244+$FJ281-1)))</f>
        <v/>
      </c>
      <c r="FP281" s="479" t="str">
        <f ca="1">IF($FJ281+FP$244&gt;73,"",PRODUCT(INDEX($T$19:$T$93,FP$244):INDEX($T$19:$T$93,FP$244+$FJ281-1)))</f>
        <v/>
      </c>
      <c r="FQ281" s="479" t="str">
        <f ca="1">IF($FJ281+FQ$244&gt;73,"",PRODUCT(INDEX($T$19:$T$93,FQ$244):INDEX($T$19:$T$93,FQ$244+$FJ281-1)))</f>
        <v/>
      </c>
      <c r="FR281" s="479" t="str">
        <f ca="1">IF($FJ281+FR$244&gt;73,"",PRODUCT(INDEX($T$19:$T$93,FR$244):INDEX($T$19:$T$93,FR$244+$FJ281-1)))</f>
        <v/>
      </c>
      <c r="FS281" s="479" t="str">
        <f ca="1">IF($FJ281+FS$244&gt;73,"",PRODUCT(INDEX($T$19:$T$93,FS$244):INDEX($T$19:$T$93,FS$244+$FJ281-1)))</f>
        <v/>
      </c>
      <c r="FT281" s="479" t="str">
        <f ca="1">IF($FJ281+FT$244&gt;73,"",PRODUCT(INDEX($T$19:$T$93,FT$244):INDEX($T$19:$T$93,FT$244+$FJ281-1)))</f>
        <v/>
      </c>
      <c r="FU281" s="479" t="str">
        <f ca="1">IF($FJ281+FU$244&gt;73,"",PRODUCT(INDEX($T$19:$T$93,FU$244):INDEX($T$19:$T$93,FU$244+$FJ281-1)))</f>
        <v/>
      </c>
      <c r="FV281" s="479" t="str">
        <f ca="1">IF($FJ281+FV$244&gt;73,"",PRODUCT(INDEX($T$19:$T$93,FV$244):INDEX($T$19:$T$93,FV$244+$FJ281-1)))</f>
        <v/>
      </c>
      <c r="FW281" s="479" t="str">
        <f ca="1">IF($FJ281+FW$244&gt;73,"",PRODUCT(INDEX($T$19:$T$93,FW$244):INDEX($T$19:$T$93,FW$244+$FJ281-1)))</f>
        <v/>
      </c>
      <c r="FX281" s="479" t="str">
        <f ca="1">IF($FJ281+FX$244&gt;73,"",PRODUCT(INDEX($T$19:$T$93,FX$244):INDEX($T$19:$T$93,FX$244+$FJ281-1)))</f>
        <v/>
      </c>
      <c r="FY281" s="479" t="str">
        <f ca="1">IF($FJ281+FY$244&gt;73,"",PRODUCT(INDEX($T$19:$T$93,FY$244):INDEX($T$19:$T$93,FY$244+$FJ281-1)))</f>
        <v/>
      </c>
      <c r="FZ281" s="479" t="str">
        <f ca="1">IF($FJ281+FZ$244&gt;73,"",PRODUCT(INDEX($T$19:$T$93,FZ$244):INDEX($T$19:$T$93,FZ$244+$FJ281-1)))</f>
        <v/>
      </c>
      <c r="GA281" s="479" t="str">
        <f ca="1">IF($FJ281+GA$244&gt;73,"",PRODUCT(INDEX($T$19:$T$93,GA$244):INDEX($T$19:$T$93,GA$244+$FJ281-1)))</f>
        <v/>
      </c>
      <c r="GB281" s="479" t="str">
        <f ca="1">IF($FJ281+GB$244&gt;73,"",PRODUCT(INDEX($T$19:$T$93,GB$244):INDEX($T$19:$T$93,GB$244+$FJ281-1)))</f>
        <v/>
      </c>
      <c r="GC281" s="479" t="str">
        <f ca="1">IF($FJ281+GC$244&gt;73,"",PRODUCT(INDEX($T$19:$T$93,GC$244):INDEX($T$19:$T$93,GC$244+$FJ281-1)))</f>
        <v/>
      </c>
      <c r="GD281" s="479" t="str">
        <f ca="1">IF($FJ281+GD$244&gt;73,"",PRODUCT(INDEX($T$19:$T$93,GD$244):INDEX($T$19:$T$93,GD$244+$FJ281-1)))</f>
        <v/>
      </c>
      <c r="GE281" s="479" t="str">
        <f ca="1">IF($FJ281+GE$244&gt;73,"",PRODUCT(INDEX($T$19:$T$93,GE$244):INDEX($T$19:$T$93,GE$244+$FJ281-1)))</f>
        <v/>
      </c>
      <c r="GF281" s="479" t="str">
        <f ca="1">IF($FJ281+GF$244&gt;73,"",PRODUCT(INDEX($T$19:$T$93,GF$244):INDEX($T$19:$T$93,GF$244+$FJ281-1)))</f>
        <v/>
      </c>
      <c r="GG281" s="479" t="str">
        <f ca="1">IF($FJ281+GG$244&gt;73,"",PRODUCT(INDEX($T$19:$T$93,GG$244):INDEX($T$19:$T$93,GG$244+$FJ281-1)))</f>
        <v/>
      </c>
      <c r="GH281" s="479" t="str">
        <f ca="1">IF($FJ281+GH$244&gt;73,"",PRODUCT(INDEX($T$19:$T$93,GH$244):INDEX($T$19:$T$93,GH$244+$FJ281-1)))</f>
        <v/>
      </c>
      <c r="GI281" s="479" t="str">
        <f ca="1">IF($FJ281+GI$244&gt;73,"",PRODUCT(INDEX($T$19:$T$93,GI$244):INDEX($T$19:$T$93,GI$244+$FJ281-1)))</f>
        <v/>
      </c>
      <c r="GJ281" s="479" t="str">
        <f ca="1">IF($FJ281+GJ$244&gt;73,"",PRODUCT(INDEX($T$19:$T$93,GJ$244):INDEX($T$19:$T$93,GJ$244+$FJ281-1)))</f>
        <v/>
      </c>
      <c r="GK281" s="479" t="str">
        <f ca="1">IF($FJ281+GK$244&gt;73,"",PRODUCT(INDEX($T$19:$T$93,GK$244):INDEX($T$19:$T$93,GK$244+$FJ281-1)))</f>
        <v/>
      </c>
      <c r="GL281" s="479" t="str">
        <f ca="1">IF($FJ281+GL$244&gt;73,"",PRODUCT(INDEX($T$19:$T$93,GL$244):INDEX($T$19:$T$93,GL$244+$FJ281-1)))</f>
        <v/>
      </c>
      <c r="GM281" s="479" t="str">
        <f ca="1">IF($FJ281+GM$244&gt;73,"",PRODUCT(INDEX($T$19:$T$93,GM$244):INDEX($T$19:$T$93,GM$244+$FJ281-1)))</f>
        <v/>
      </c>
      <c r="GN281" s="479" t="str">
        <f ca="1">IF($FJ281+GN$244&gt;73,"",PRODUCT(INDEX($T$19:$T$93,GN$244):INDEX($T$19:$T$93,GN$244+$FJ281-1)))</f>
        <v/>
      </c>
      <c r="GO281" s="479" t="str">
        <f ca="1">IF($FJ281+GO$244&gt;73,"",PRODUCT(INDEX($T$19:$T$93,GO$244):INDEX($T$19:$T$93,GO$244+$FJ281-1)))</f>
        <v/>
      </c>
      <c r="GP281" s="479" t="str">
        <f ca="1">IF($FJ281+GP$244&gt;73,"",PRODUCT(INDEX($T$19:$T$93,GP$244):INDEX($T$19:$T$93,GP$244+$FJ281-1)))</f>
        <v/>
      </c>
      <c r="GQ281" s="479" t="str">
        <f ca="1">IF($FJ281+GQ$244&gt;73,"",PRODUCT(INDEX($T$19:$T$93,GQ$244):INDEX($T$19:$T$93,GQ$244+$FJ281-1)))</f>
        <v/>
      </c>
      <c r="GR281" s="479" t="str">
        <f ca="1">IF($FJ281+GR$244&gt;73,"",PRODUCT(INDEX($T$19:$T$93,GR$244):INDEX($T$19:$T$93,GR$244+$FJ281-1)))</f>
        <v/>
      </c>
      <c r="GS281" s="479" t="str">
        <f ca="1">IF($FJ281+GS$244&gt;73,"",PRODUCT(INDEX($T$19:$T$93,GS$244):INDEX($T$19:$T$93,GS$244+$FJ281-1)))</f>
        <v/>
      </c>
      <c r="GT281" s="479" t="str">
        <f ca="1">IF($FJ281+GT$244&gt;73,"",PRODUCT(INDEX($T$19:$T$93,GT$244):INDEX($T$19:$T$93,GT$244+$FJ281-1)))</f>
        <v/>
      </c>
      <c r="GU281" s="479">
        <f ca="1">IF($FJ281+GU$244&gt;73,"",PRODUCT(INDEX($T$19:$T$93,GU$244):INDEX($T$19:$T$93,GU$244+$FJ281-1)))</f>
        <v>0.99624894241789475</v>
      </c>
      <c r="GV281" s="479">
        <f ca="1">IF($FJ281+GV$244&gt;73,"",PRODUCT(INDEX($T$19:$T$93,GV$244):INDEX($T$19:$T$93,GV$244+$FJ281-1)))</f>
        <v>0.99561369943829403</v>
      </c>
      <c r="GW281" s="479">
        <f ca="1">IF($FJ281+GW$244&gt;73,"",PRODUCT(INDEX($T$19:$T$93,GW$244):INDEX($T$19:$T$93,GW$244+$FJ281-1)))</f>
        <v>0.99487106637171507</v>
      </c>
      <c r="GX281" s="479">
        <f ca="1">IF($FJ281+GX$244&gt;73,"",PRODUCT(INDEX($T$19:$T$93,GX$244):INDEX($T$19:$T$93,GX$244+$FJ281-1)))</f>
        <v>0.99400295955086104</v>
      </c>
      <c r="GY281" s="479">
        <f ca="1">IF($FJ281+GY$244&gt;73,"",PRODUCT(INDEX($T$19:$T$93,GY$244):INDEX($T$19:$T$93,GY$244+$FJ281-1)))</f>
        <v>0.99298827686358104</v>
      </c>
      <c r="GZ281" s="479">
        <f ca="1">IF($FJ281+GZ$244&gt;73,"",PRODUCT(INDEX($T$19:$T$93,GZ$244):INDEX($T$19:$T$93,GZ$244+$FJ281-1)))</f>
        <v>0.99180240397755015</v>
      </c>
      <c r="HA281" s="479">
        <f ca="1">IF($FJ281+HA$244&gt;73,"",PRODUCT(INDEX($T$19:$T$93,HA$244):INDEX($T$19:$T$93,HA$244+$FJ281-1)))</f>
        <v>0.99041664359078341</v>
      </c>
      <c r="HB281" s="479">
        <f ca="1">IF($FJ281+HB$244&gt;73,"",PRODUCT(INDEX($T$19:$T$93,HB$244):INDEX($T$19:$T$93,HB$244+$FJ281-1)))</f>
        <v>0.98879755716756279</v>
      </c>
      <c r="HC281" s="479">
        <f ca="1">IF($FJ281+HC$244&gt;73,"",PRODUCT(INDEX($T$19:$T$93,HC$244):INDEX($T$19:$T$93,HC$244+$FJ281-1)))</f>
        <v>0.98690620775962401</v>
      </c>
      <c r="HD281" s="479">
        <f ca="1">IF($FJ281+HD$244&gt;73,"",PRODUCT(INDEX($T$19:$T$93,HD$244):INDEX($T$19:$T$93,HD$244+$FJ281-1)))</f>
        <v>0.98469729184583388</v>
      </c>
      <c r="HE281" s="479">
        <f ca="1">IF($FJ281+HE$244&gt;73,"",PRODUCT(INDEX($T$19:$T$93,HE$244):INDEX($T$19:$T$93,HE$244+$FJ281-1)))</f>
        <v>0.98211814780462969</v>
      </c>
      <c r="HF281" s="479">
        <f ca="1">IF($FJ281+HF$244&gt;73,"",PRODUCT(INDEX($T$19:$T$93,HF$244):INDEX($T$19:$T$93,HF$244+$FJ281-1)))</f>
        <v>0.97910762888511571</v>
      </c>
      <c r="HG281" s="479">
        <f ca="1">IF($FJ281+HG$244&gt;73,"",PRODUCT(INDEX($T$19:$T$93,HG$244):INDEX($T$19:$T$93,HG$244+$FJ281-1)))</f>
        <v>0.97559482968205069</v>
      </c>
      <c r="HH281" s="479">
        <f ca="1">IF($FJ281+HH$244&gt;73,"",PRODUCT(INDEX($T$19:$T$93,HH$244):INDEX($T$19:$T$93,HH$244+$FJ281-1)))</f>
        <v>0.97149765759186124</v>
      </c>
      <c r="HI281" s="479">
        <f ca="1">IF($FJ281+HI$244&gt;73,"",PRODUCT(INDEX($T$19:$T$93,HI$244):INDEX($T$19:$T$93,HI$244+$FJ281-1)))</f>
        <v>0.96672124514820557</v>
      </c>
      <c r="HJ281" s="479">
        <f ca="1">IF($FJ281+HJ$244&gt;73,"",PRODUCT(INDEX($T$19:$T$93,HJ$244):INDEX($T$19:$T$93,HJ$244+$FJ281-1)))</f>
        <v>0.96115620635218668</v>
      </c>
      <c r="HK281" s="479">
        <f ca="1">IF($FJ281+HK$244&gt;73,"",PRODUCT(INDEX($T$19:$T$93,HK$244):INDEX($T$19:$T$93,HK$244+$FJ281-1)))</f>
        <v>0.95467675127029628</v>
      </c>
      <c r="HL281" s="479">
        <f ca="1">IF($FJ281+HL$244&gt;73,"",PRODUCT(INDEX($T$19:$T$93,HL$244):INDEX($T$19:$T$93,HL$244+$FJ281-1)))</f>
        <v>0.94713868980652571</v>
      </c>
      <c r="HM281" s="479">
        <f ca="1">IF($FJ281+HM$244&gt;73,"",PRODUCT(INDEX($T$19:$T$93,HM$244):INDEX($T$19:$T$93,HM$244+$FJ281-1)))</f>
        <v>0.93837737968810297</v>
      </c>
      <c r="HN281" s="479">
        <f ca="1">IF($FJ281+HN$244&gt;73,"",PRODUCT(INDEX($T$19:$T$93,HN$244):INDEX($T$19:$T$93,HN$244+$FJ281-1)))</f>
        <v>0.92820570796259083</v>
      </c>
      <c r="HO281" s="479">
        <f ca="1">IF($FJ281+HO$244&gt;73,"",PRODUCT(INDEX($T$19:$T$93,HO$244):INDEX($T$19:$T$93,HO$244+$FJ281-1)))</f>
        <v>0.91641224302027036</v>
      </c>
      <c r="HP281" s="479">
        <f ca="1">IF($FJ281+HP$244&gt;73,"",PRODUCT(INDEX($T$19:$T$93,HP$244):INDEX($T$19:$T$93,HP$244+$FJ281-1)))</f>
        <v>0.90275975943824549</v>
      </c>
      <c r="HQ281" s="479">
        <f ca="1">IF($FJ281+HQ$244&gt;73,"",PRODUCT(INDEX($T$19:$T$93,HQ$244):INDEX($T$19:$T$93,HQ$244+$FJ281-1)))</f>
        <v>0.88698442564976898</v>
      </c>
      <c r="HR281" s="479">
        <f ca="1">IF($FJ281+HR$244&gt;73,"",PRODUCT(INDEX($T$19:$T$93,HR$244):INDEX($T$19:$T$93,HR$244+$FJ281-1)))</f>
        <v>0.86879605995566589</v>
      </c>
      <c r="HS281" s="479">
        <f ca="1">IF($FJ281+HS$244&gt;73,"",PRODUCT(INDEX($T$19:$T$93,HS$244):INDEX($T$19:$T$93,HS$244+$FJ281-1)))</f>
        <v>0.84788000901562821</v>
      </c>
      <c r="HT281" s="479">
        <f ca="1">IF($FJ281+HT$244&gt;73,"",PRODUCT(INDEX($T$19:$T$93,HT$244):INDEX($T$19:$T$93,HT$244+$FJ281-1)))</f>
        <v>0.82390138862950035</v>
      </c>
      <c r="HU281" s="479">
        <f ca="1">IF($FJ281+HU$244&gt;73,"",PRODUCT(INDEX($T$19:$T$93,HU$244):INDEX($T$19:$T$93,HU$244+$FJ281-1)))</f>
        <v>0.79651264951872547</v>
      </c>
      <c r="HV281" s="479">
        <f ca="1">IF($FJ281+HV$244&gt;73,"",PRODUCT(INDEX($T$19:$T$93,HV$244):INDEX($T$19:$T$93,HV$244+$FJ281-1)))</f>
        <v>0.76536568311274744</v>
      </c>
      <c r="HW281" s="479">
        <f ca="1">IF($FJ281+HW$244&gt;73,"",PRODUCT(INDEX($T$19:$T$93,HW$244):INDEX($T$19:$T$93,HW$244+$FJ281-1)))</f>
        <v>0.73012994113698393</v>
      </c>
      <c r="HX281" s="479">
        <f ca="1">IF($FJ281+HX$244&gt;73,"",PRODUCT(INDEX($T$19:$T$93,HX$244):INDEX($T$19:$T$93,HX$244+$FJ281-1)))</f>
        <v>0.69051825899779906</v>
      </c>
      <c r="HY281" s="479">
        <f ca="1">IF($FJ281+HY$244&gt;73,"",PRODUCT(INDEX($T$19:$T$93,HY$244):INDEX($T$19:$T$93,HY$244+$FJ281-1)))</f>
        <v>0.64632215474996246</v>
      </c>
      <c r="HZ281" s="479">
        <f ca="1">IF($FJ281+HZ$244&gt;73,"",PRODUCT(INDEX($T$19:$T$93,HZ$244):INDEX($T$19:$T$93,HZ$244+$FJ281-1)))</f>
        <v>0.59745816559836429</v>
      </c>
      <c r="IA281" s="479">
        <f ca="1">IF($FJ281+IA$244&gt;73,"",PRODUCT(INDEX($T$19:$T$93,IA$244):INDEX($T$19:$T$93,IA$244+$FJ281-1)))</f>
        <v>0.54402603248985093</v>
      </c>
      <c r="IB281" s="479">
        <f ca="1">IF($FJ281+IB$244&gt;73,"",PRODUCT(INDEX($T$19:$T$93,IB$244):INDEX($T$19:$T$93,IB$244+$FJ281-1)))</f>
        <v>0.48637788294105611</v>
      </c>
      <c r="IC281" s="479">
        <f ca="1">IF($FJ281+IC$244&gt;73,"",PRODUCT(INDEX($T$19:$T$93,IC$244):INDEX($T$19:$T$93,IC$244+$FJ281-1)))</f>
        <v>0.42519450500443112</v>
      </c>
      <c r="ID281" s="678">
        <f ca="1">IF($FJ281+ID$244&gt;73,"",PRODUCT(INDEX($T$19:$T$93,ID$244):INDEX($T$19:$T$93,ID$244+$FJ281-1)))</f>
        <v>0.36155980446313302</v>
      </c>
      <c r="IE281" s="250"/>
    </row>
    <row r="282" spans="9:239">
      <c r="I282" s="137"/>
      <c r="J282" s="375"/>
      <c r="K282" s="138"/>
      <c r="L282" s="1"/>
      <c r="M282" s="376"/>
      <c r="P282" s="375"/>
      <c r="S282" s="55"/>
      <c r="T282" s="375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374"/>
      <c r="AP282" s="1"/>
      <c r="AQ282" s="374"/>
      <c r="AR282" s="1"/>
      <c r="AS282" s="1"/>
      <c r="AT282" s="106"/>
      <c r="AU282" s="106"/>
      <c r="AV282" s="106"/>
      <c r="AW282" s="31"/>
      <c r="AX282" s="31"/>
      <c r="AY282" s="31"/>
      <c r="AZ282" s="31"/>
      <c r="BA282" s="154"/>
      <c r="BB282" s="154"/>
      <c r="BC282" s="106"/>
      <c r="BD282" s="106"/>
      <c r="BE282" s="106"/>
      <c r="BF282" s="107"/>
      <c r="BG282" s="107"/>
      <c r="BH282" s="107"/>
      <c r="BI282" s="105"/>
      <c r="BJ282" s="107"/>
      <c r="BK282" s="107"/>
      <c r="BL282" s="106"/>
      <c r="BM282" s="108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7"/>
      <c r="CE282" s="107"/>
      <c r="CF282" s="107"/>
      <c r="CG282" s="107"/>
      <c r="CH282" s="107"/>
      <c r="CI282" s="107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475"/>
      <c r="DI282" s="110"/>
      <c r="DJ282" s="110"/>
      <c r="DK282" s="475"/>
      <c r="DL282" s="53"/>
      <c r="DM282" s="54"/>
      <c r="DN282" s="54"/>
      <c r="DO282" s="54"/>
      <c r="DP282" s="54"/>
      <c r="DQ282" s="54"/>
      <c r="DR282" s="54"/>
      <c r="DS282" s="54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L282" s="55"/>
      <c r="EM282" s="1"/>
      <c r="EN282" s="106"/>
      <c r="EO282" s="105"/>
      <c r="EP282" s="1"/>
      <c r="EQ282" s="106"/>
      <c r="ER282" s="1"/>
      <c r="ES282" s="1"/>
      <c r="ET282" s="1"/>
      <c r="EU282" s="107"/>
      <c r="FJ282" s="673">
        <v>38</v>
      </c>
      <c r="FK282" s="479" t="str">
        <f ca="1">IF($FJ282+FK$244&gt;73,"",PRODUCT(INDEX($T$19:$T$93,FK$244):INDEX($T$19:$T$93,FK$244+$FJ282-1)))</f>
        <v/>
      </c>
      <c r="FL282" s="479" t="str">
        <f ca="1">IF($FJ282+FL$244&gt;73,"",PRODUCT(INDEX($T$19:$T$93,FL$244):INDEX($T$19:$T$93,FL$244+$FJ282-1)))</f>
        <v/>
      </c>
      <c r="FM282" s="479" t="str">
        <f ca="1">IF($FJ282+FM$244&gt;73,"",PRODUCT(INDEX($T$19:$T$93,FM$244):INDEX($T$19:$T$93,FM$244+$FJ282-1)))</f>
        <v/>
      </c>
      <c r="FN282" s="479" t="str">
        <f ca="1">IF($FJ282+FN$244&gt;73,"",PRODUCT(INDEX($T$19:$T$93,FN$244):INDEX($T$19:$T$93,FN$244+$FJ282-1)))</f>
        <v/>
      </c>
      <c r="FO282" s="479" t="str">
        <f ca="1">IF($FJ282+FO$244&gt;73,"",PRODUCT(INDEX($T$19:$T$93,FO$244):INDEX($T$19:$T$93,FO$244+$FJ282-1)))</f>
        <v/>
      </c>
      <c r="FP282" s="479" t="str">
        <f ca="1">IF($FJ282+FP$244&gt;73,"",PRODUCT(INDEX($T$19:$T$93,FP$244):INDEX($T$19:$T$93,FP$244+$FJ282-1)))</f>
        <v/>
      </c>
      <c r="FQ282" s="479" t="str">
        <f ca="1">IF($FJ282+FQ$244&gt;73,"",PRODUCT(INDEX($T$19:$T$93,FQ$244):INDEX($T$19:$T$93,FQ$244+$FJ282-1)))</f>
        <v/>
      </c>
      <c r="FR282" s="479" t="str">
        <f ca="1">IF($FJ282+FR$244&gt;73,"",PRODUCT(INDEX($T$19:$T$93,FR$244):INDEX($T$19:$T$93,FR$244+$FJ282-1)))</f>
        <v/>
      </c>
      <c r="FS282" s="479" t="str">
        <f ca="1">IF($FJ282+FS$244&gt;73,"",PRODUCT(INDEX($T$19:$T$93,FS$244):INDEX($T$19:$T$93,FS$244+$FJ282-1)))</f>
        <v/>
      </c>
      <c r="FT282" s="479" t="str">
        <f ca="1">IF($FJ282+FT$244&gt;73,"",PRODUCT(INDEX($T$19:$T$93,FT$244):INDEX($T$19:$T$93,FT$244+$FJ282-1)))</f>
        <v/>
      </c>
      <c r="FU282" s="479" t="str">
        <f ca="1">IF($FJ282+FU$244&gt;73,"",PRODUCT(INDEX($T$19:$T$93,FU$244):INDEX($T$19:$T$93,FU$244+$FJ282-1)))</f>
        <v/>
      </c>
      <c r="FV282" s="479" t="str">
        <f ca="1">IF($FJ282+FV$244&gt;73,"",PRODUCT(INDEX($T$19:$T$93,FV$244):INDEX($T$19:$T$93,FV$244+$FJ282-1)))</f>
        <v/>
      </c>
      <c r="FW282" s="479" t="str">
        <f ca="1">IF($FJ282+FW$244&gt;73,"",PRODUCT(INDEX($T$19:$T$93,FW$244):INDEX($T$19:$T$93,FW$244+$FJ282-1)))</f>
        <v/>
      </c>
      <c r="FX282" s="479" t="str">
        <f ca="1">IF($FJ282+FX$244&gt;73,"",PRODUCT(INDEX($T$19:$T$93,FX$244):INDEX($T$19:$T$93,FX$244+$FJ282-1)))</f>
        <v/>
      </c>
      <c r="FY282" s="479" t="str">
        <f ca="1">IF($FJ282+FY$244&gt;73,"",PRODUCT(INDEX($T$19:$T$93,FY$244):INDEX($T$19:$T$93,FY$244+$FJ282-1)))</f>
        <v/>
      </c>
      <c r="FZ282" s="479" t="str">
        <f ca="1">IF($FJ282+FZ$244&gt;73,"",PRODUCT(INDEX($T$19:$T$93,FZ$244):INDEX($T$19:$T$93,FZ$244+$FJ282-1)))</f>
        <v/>
      </c>
      <c r="GA282" s="479" t="str">
        <f ca="1">IF($FJ282+GA$244&gt;73,"",PRODUCT(INDEX($T$19:$T$93,GA$244):INDEX($T$19:$T$93,GA$244+$FJ282-1)))</f>
        <v/>
      </c>
      <c r="GB282" s="479" t="str">
        <f ca="1">IF($FJ282+GB$244&gt;73,"",PRODUCT(INDEX($T$19:$T$93,GB$244):INDEX($T$19:$T$93,GB$244+$FJ282-1)))</f>
        <v/>
      </c>
      <c r="GC282" s="479" t="str">
        <f ca="1">IF($FJ282+GC$244&gt;73,"",PRODUCT(INDEX($T$19:$T$93,GC$244):INDEX($T$19:$T$93,GC$244+$FJ282-1)))</f>
        <v/>
      </c>
      <c r="GD282" s="479" t="str">
        <f ca="1">IF($FJ282+GD$244&gt;73,"",PRODUCT(INDEX($T$19:$T$93,GD$244):INDEX($T$19:$T$93,GD$244+$FJ282-1)))</f>
        <v/>
      </c>
      <c r="GE282" s="479" t="str">
        <f ca="1">IF($FJ282+GE$244&gt;73,"",PRODUCT(INDEX($T$19:$T$93,GE$244):INDEX($T$19:$T$93,GE$244+$FJ282-1)))</f>
        <v/>
      </c>
      <c r="GF282" s="479" t="str">
        <f ca="1">IF($FJ282+GF$244&gt;73,"",PRODUCT(INDEX($T$19:$T$93,GF$244):INDEX($T$19:$T$93,GF$244+$FJ282-1)))</f>
        <v/>
      </c>
      <c r="GG282" s="479" t="str">
        <f ca="1">IF($FJ282+GG$244&gt;73,"",PRODUCT(INDEX($T$19:$T$93,GG$244):INDEX($T$19:$T$93,GG$244+$FJ282-1)))</f>
        <v/>
      </c>
      <c r="GH282" s="479" t="str">
        <f ca="1">IF($FJ282+GH$244&gt;73,"",PRODUCT(INDEX($T$19:$T$93,GH$244):INDEX($T$19:$T$93,GH$244+$FJ282-1)))</f>
        <v/>
      </c>
      <c r="GI282" s="479" t="str">
        <f ca="1">IF($FJ282+GI$244&gt;73,"",PRODUCT(INDEX($T$19:$T$93,GI$244):INDEX($T$19:$T$93,GI$244+$FJ282-1)))</f>
        <v/>
      </c>
      <c r="GJ282" s="479" t="str">
        <f ca="1">IF($FJ282+GJ$244&gt;73,"",PRODUCT(INDEX($T$19:$T$93,GJ$244):INDEX($T$19:$T$93,GJ$244+$FJ282-1)))</f>
        <v/>
      </c>
      <c r="GK282" s="479" t="str">
        <f ca="1">IF($FJ282+GK$244&gt;73,"",PRODUCT(INDEX($T$19:$T$93,GK$244):INDEX($T$19:$T$93,GK$244+$FJ282-1)))</f>
        <v/>
      </c>
      <c r="GL282" s="479" t="str">
        <f ca="1">IF($FJ282+GL$244&gt;73,"",PRODUCT(INDEX($T$19:$T$93,GL$244):INDEX($T$19:$T$93,GL$244+$FJ282-1)))</f>
        <v/>
      </c>
      <c r="GM282" s="479" t="str">
        <f ca="1">IF($FJ282+GM$244&gt;73,"",PRODUCT(INDEX($T$19:$T$93,GM$244):INDEX($T$19:$T$93,GM$244+$FJ282-1)))</f>
        <v/>
      </c>
      <c r="GN282" s="479" t="str">
        <f ca="1">IF($FJ282+GN$244&gt;73,"",PRODUCT(INDEX($T$19:$T$93,GN$244):INDEX($T$19:$T$93,GN$244+$FJ282-1)))</f>
        <v/>
      </c>
      <c r="GO282" s="479" t="str">
        <f ca="1">IF($FJ282+GO$244&gt;73,"",PRODUCT(INDEX($T$19:$T$93,GO$244):INDEX($T$19:$T$93,GO$244+$FJ282-1)))</f>
        <v/>
      </c>
      <c r="GP282" s="479" t="str">
        <f ca="1">IF($FJ282+GP$244&gt;73,"",PRODUCT(INDEX($T$19:$T$93,GP$244):INDEX($T$19:$T$93,GP$244+$FJ282-1)))</f>
        <v/>
      </c>
      <c r="GQ282" s="479" t="str">
        <f ca="1">IF($FJ282+GQ$244&gt;73,"",PRODUCT(INDEX($T$19:$T$93,GQ$244):INDEX($T$19:$T$93,GQ$244+$FJ282-1)))</f>
        <v/>
      </c>
      <c r="GR282" s="479" t="str">
        <f ca="1">IF($FJ282+GR$244&gt;73,"",PRODUCT(INDEX($T$19:$T$93,GR$244):INDEX($T$19:$T$93,GR$244+$FJ282-1)))</f>
        <v/>
      </c>
      <c r="GS282" s="479" t="str">
        <f ca="1">IF($FJ282+GS$244&gt;73,"",PRODUCT(INDEX($T$19:$T$93,GS$244):INDEX($T$19:$T$93,GS$244+$FJ282-1)))</f>
        <v/>
      </c>
      <c r="GT282" s="479" t="str">
        <f ca="1">IF($FJ282+GT$244&gt;73,"",PRODUCT(INDEX($T$19:$T$93,GT$244):INDEX($T$19:$T$93,GT$244+$FJ282-1)))</f>
        <v/>
      </c>
      <c r="GU282" s="479" t="str">
        <f ca="1">IF($FJ282+GU$244&gt;73,"",PRODUCT(INDEX($T$19:$T$93,GU$244):INDEX($T$19:$T$93,GU$244+$FJ282-1)))</f>
        <v/>
      </c>
      <c r="GV282" s="479">
        <f ca="1">IF($FJ282+GV$244&gt;73,"",PRODUCT(INDEX($T$19:$T$93,GV$244):INDEX($T$19:$T$93,GV$244+$FJ282-1)))</f>
        <v>0.9956117665373142</v>
      </c>
      <c r="GW282" s="479">
        <f ca="1">IF($FJ282+GW$244&gt;73,"",PRODUCT(INDEX($T$19:$T$93,GW$244):INDEX($T$19:$T$93,GW$244+$FJ282-1)))</f>
        <v>0.99486880735251793</v>
      </c>
      <c r="GX282" s="479">
        <f ca="1">IF($FJ282+GX$244&gt;73,"",PRODUCT(INDEX($T$19:$T$93,GX$244):INDEX($T$19:$T$93,GX$244+$FJ282-1)))</f>
        <v>0.99400031972518754</v>
      </c>
      <c r="GY282" s="479">
        <f ca="1">IF($FJ282+GY$244&gt;73,"",PRODUCT(INDEX($T$19:$T$93,GY$244):INDEX($T$19:$T$93,GY$244+$FJ282-1)))</f>
        <v>0.99298519249533512</v>
      </c>
      <c r="GZ282" s="479">
        <f ca="1">IF($FJ282+GZ$244&gt;73,"",PRODUCT(INDEX($T$19:$T$93,GZ$244):INDEX($T$19:$T$93,GZ$244+$FJ282-1)))</f>
        <v>0.99179880083135818</v>
      </c>
      <c r="HA282" s="479">
        <f ca="1">IF($FJ282+HA$244&gt;73,"",PRODUCT(INDEX($T$19:$T$93,HA$244):INDEX($T$19:$T$93,HA$244+$FJ282-1)))</f>
        <v>0.99041243526465927</v>
      </c>
      <c r="HB282" s="479">
        <f ca="1">IF($FJ282+HB$244&gt;73,"",PRODUCT(INDEX($T$19:$T$93,HB$244):INDEX($T$19:$T$93,HB$244+$FJ282-1)))</f>
        <v>0.98879264318402815</v>
      </c>
      <c r="HC282" s="479">
        <f ca="1">IF($FJ282+HC$244&gt;73,"",PRODUCT(INDEX($T$19:$T$93,HC$244):INDEX($T$19:$T$93,HC$244+$FJ282-1)))</f>
        <v>0.98690047138921211</v>
      </c>
      <c r="HD282" s="479">
        <f ca="1">IF($FJ282+HD$244&gt;73,"",PRODUCT(INDEX($T$19:$T$93,HD$244):INDEX($T$19:$T$93,HD$244+$FJ282-1)))</f>
        <v>0.98469059763780042</v>
      </c>
      <c r="HE282" s="479">
        <f ca="1">IF($FJ282+HE$244&gt;73,"",PRODUCT(INDEX($T$19:$T$93,HE$244):INDEX($T$19:$T$93,HE$244+$FJ282-1)))</f>
        <v>0.98211033880259213</v>
      </c>
      <c r="HF282" s="479">
        <f ca="1">IF($FJ282+HF$244&gt;73,"",PRODUCT(INDEX($T$19:$T$93,HF$244):INDEX($T$19:$T$93,HF$244+$FJ282-1)))</f>
        <v>0.97909852351121385</v>
      </c>
      <c r="HG282" s="479">
        <f ca="1">IF($FJ282+HG$244&gt;73,"",PRODUCT(INDEX($T$19:$T$93,HG$244):INDEX($T$19:$T$93,HG$244+$FJ282-1)))</f>
        <v>0.97558421828337816</v>
      </c>
      <c r="HH282" s="479">
        <f ca="1">IF($FJ282+HH$244&gt;73,"",PRODUCT(INDEX($T$19:$T$93,HH$244):INDEX($T$19:$T$93,HH$244+$FJ282-1)))</f>
        <v>0.97148529865915256</v>
      </c>
      <c r="HI282" s="479">
        <f ca="1">IF($FJ282+HI$244&gt;73,"",PRODUCT(INDEX($T$19:$T$93,HI$244):INDEX($T$19:$T$93,HI$244+$FJ282-1)))</f>
        <v>0.9667068612414601</v>
      </c>
      <c r="HJ282" s="479">
        <f ca="1">IF($FJ282+HJ$244&gt;73,"",PRODUCT(INDEX($T$19:$T$93,HJ$244):INDEX($T$19:$T$93,HJ$244+$FJ282-1)))</f>
        <v>0.96113947980422054</v>
      </c>
      <c r="HK282" s="479">
        <f ca="1">IF($FJ282+HK$244&gt;73,"",PRODUCT(INDEX($T$19:$T$93,HK$244):INDEX($T$19:$T$93,HK$244+$FJ282-1)))</f>
        <v>0.95465731979121693</v>
      </c>
      <c r="HL282" s="479">
        <f ca="1">IF($FJ282+HL$244&gt;73,"",PRODUCT(INDEX($T$19:$T$93,HL$244):INDEX($T$19:$T$93,HL$244+$FJ282-1)))</f>
        <v>0.94711614218502649</v>
      </c>
      <c r="HM282" s="479">
        <f ca="1">IF($FJ282+HM$244&gt;73,"",PRODUCT(INDEX($T$19:$T$93,HM$244):INDEX($T$19:$T$93,HM$244+$FJ282-1)))</f>
        <v>0.93835125188572388</v>
      </c>
      <c r="HN282" s="479">
        <f ca="1">IF($FJ282+HN$244&gt;73,"",PRODUCT(INDEX($T$19:$T$93,HN$244):INDEX($T$19:$T$93,HN$244+$FJ282-1)))</f>
        <v>0.92817548003242423</v>
      </c>
      <c r="HO282" s="479">
        <f ca="1">IF($FJ282+HO$244&gt;73,"",PRODUCT(INDEX($T$19:$T$93,HO$244):INDEX($T$19:$T$93,HO$244+$FJ282-1)))</f>
        <v>0.91637733746084737</v>
      </c>
      <c r="HP282" s="479">
        <f ca="1">IF($FJ282+HP$244&gt;73,"",PRODUCT(INDEX($T$19:$T$93,HP$244):INDEX($T$19:$T$93,HP$244+$FJ282-1)))</f>
        <v>0.90271954182581626</v>
      </c>
      <c r="HQ282" s="479">
        <f ca="1">IF($FJ282+HQ$244&gt;73,"",PRODUCT(INDEX($T$19:$T$93,HQ$244):INDEX($T$19:$T$93,HQ$244+$FJ282-1)))</f>
        <v>0.88693820868627249</v>
      </c>
      <c r="HR282" s="479">
        <f ca="1">IF($FJ282+HR$244&gt;73,"",PRODUCT(INDEX($T$19:$T$93,HR$244):INDEX($T$19:$T$93,HR$244+$FJ282-1)))</f>
        <v>0.86874311243016777</v>
      </c>
      <c r="HS282" s="479">
        <f ca="1">IF($FJ282+HS$244&gt;73,"",PRODUCT(INDEX($T$19:$T$93,HS$244):INDEX($T$19:$T$93,HS$244+$FJ282-1)))</f>
        <v>0.84781957160036203</v>
      </c>
      <c r="HT282" s="479">
        <f ca="1">IF($FJ282+HT$244&gt;73,"",PRODUCT(INDEX($T$19:$T$93,HT$244):INDEX($T$19:$T$93,HT$244+$FJ282-1)))</f>
        <v>0.82383269889819488</v>
      </c>
      <c r="HU282" s="479">
        <f ca="1">IF($FJ282+HU$244&gt;73,"",PRODUCT(INDEX($T$19:$T$93,HU$244):INDEX($T$19:$T$93,HU$244+$FJ282-1)))</f>
        <v>0.79643497903632354</v>
      </c>
      <c r="HV282" s="479">
        <f ca="1">IF($FJ282+HV$244&gt;73,"",PRODUCT(INDEX($T$19:$T$93,HV$244):INDEX($T$19:$T$93,HV$244+$FJ282-1)))</f>
        <v>0.76527838980632912</v>
      </c>
      <c r="HW282" s="479">
        <f ca="1">IF($FJ282+HW$244&gt;73,"",PRODUCT(INDEX($T$19:$T$93,HW$244):INDEX($T$19:$T$93,HW$244+$FJ282-1)))</f>
        <v>0.73003254024844833</v>
      </c>
      <c r="HX282" s="479">
        <f ca="1">IF($FJ282+HX$244&gt;73,"",PRODUCT(INDEX($T$19:$T$93,HX$244):INDEX($T$19:$T$93,HX$244+$FJ282-1)))</f>
        <v>0.69041051546259791</v>
      </c>
      <c r="HY282" s="479">
        <f ca="1">IF($FJ282+HY$244&gt;73,"",PRODUCT(INDEX($T$19:$T$93,HY$244):INDEX($T$19:$T$93,HY$244+$FJ282-1)))</f>
        <v>0.64620419841988208</v>
      </c>
      <c r="HZ282" s="479">
        <f ca="1">IF($FJ282+HZ$244&gt;73,"",PRODUCT(INDEX($T$19:$T$93,HZ$244):INDEX($T$19:$T$93,HZ$244+$FJ282-1)))</f>
        <v>0.59733062773104828</v>
      </c>
      <c r="IA282" s="479">
        <f ca="1">IF($FJ282+IA$244&gt;73,"",PRODUCT(INDEX($T$19:$T$93,IA$244):INDEX($T$19:$T$93,IA$244+$FJ282-1)))</f>
        <v>0.54389019659596094</v>
      </c>
      <c r="IB282" s="479">
        <f ca="1">IF($FJ282+IB$244&gt;73,"",PRODUCT(INDEX($T$19:$T$93,IB$244):INDEX($T$19:$T$93,IB$244+$FJ282-1)))</f>
        <v>0.48623583457917896</v>
      </c>
      <c r="IC282" s="479">
        <f ca="1">IF($FJ282+IC$244&gt;73,"",PRODUCT(INDEX($T$19:$T$93,IC$244):INDEX($T$19:$T$93,IC$244+$FJ282-1)))</f>
        <v>0.42504925284982442</v>
      </c>
      <c r="ID282" s="678">
        <f ca="1">IF($FJ282+ID$244&gt;73,"",PRODUCT(INDEX($T$19:$T$93,ID$244):INDEX($T$19:$T$93,ID$244+$FJ282-1)))</f>
        <v>0.36141532925376652</v>
      </c>
      <c r="IE282" s="250"/>
    </row>
    <row r="283" spans="9:239">
      <c r="I283" s="137"/>
      <c r="J283" s="375"/>
      <c r="K283" s="138"/>
      <c r="L283" s="1"/>
      <c r="M283" s="376"/>
      <c r="P283" s="375"/>
      <c r="S283" s="55"/>
      <c r="T283" s="375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374"/>
      <c r="AP283" s="1"/>
      <c r="AQ283" s="374"/>
      <c r="AR283" s="1"/>
      <c r="AS283" s="1"/>
      <c r="AT283" s="106"/>
      <c r="AU283" s="106"/>
      <c r="AV283" s="106"/>
      <c r="AW283" s="31"/>
      <c r="AX283" s="31"/>
      <c r="AY283" s="31"/>
      <c r="AZ283" s="31"/>
      <c r="BA283" s="154"/>
      <c r="BB283" s="154"/>
      <c r="BC283" s="106"/>
      <c r="BD283" s="106"/>
      <c r="BE283" s="106"/>
      <c r="BF283" s="107"/>
      <c r="BG283" s="107"/>
      <c r="BH283" s="107"/>
      <c r="BI283" s="105"/>
      <c r="BJ283" s="107"/>
      <c r="BK283" s="107"/>
      <c r="BL283" s="106"/>
      <c r="BM283" s="108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7"/>
      <c r="CE283" s="107"/>
      <c r="CF283" s="107"/>
      <c r="CG283" s="107"/>
      <c r="CH283" s="107"/>
      <c r="CI283" s="107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475"/>
      <c r="DI283" s="110"/>
      <c r="DJ283" s="110"/>
      <c r="DK283" s="475"/>
      <c r="DL283" s="53"/>
      <c r="DM283" s="54"/>
      <c r="DN283" s="54"/>
      <c r="DO283" s="54"/>
      <c r="DP283" s="54"/>
      <c r="DQ283" s="54"/>
      <c r="DR283" s="54"/>
      <c r="DS283" s="54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L283" s="55"/>
      <c r="EM283" s="1"/>
      <c r="EN283" s="106"/>
      <c r="EO283" s="105"/>
      <c r="EP283" s="1"/>
      <c r="EQ283" s="106"/>
      <c r="ER283" s="1"/>
      <c r="ES283" s="1"/>
      <c r="ET283" s="1"/>
      <c r="EU283" s="107"/>
      <c r="FJ283" s="673">
        <v>39</v>
      </c>
      <c r="FK283" s="479" t="str">
        <f ca="1">IF($FJ283+FK$244&gt;73,"",PRODUCT(INDEX($T$19:$T$93,FK$244):INDEX($T$19:$T$93,FK$244+$FJ283-1)))</f>
        <v/>
      </c>
      <c r="FL283" s="479" t="str">
        <f ca="1">IF($FJ283+FL$244&gt;73,"",PRODUCT(INDEX($T$19:$T$93,FL$244):INDEX($T$19:$T$93,FL$244+$FJ283-1)))</f>
        <v/>
      </c>
      <c r="FM283" s="479" t="str">
        <f ca="1">IF($FJ283+FM$244&gt;73,"",PRODUCT(INDEX($T$19:$T$93,FM$244):INDEX($T$19:$T$93,FM$244+$FJ283-1)))</f>
        <v/>
      </c>
      <c r="FN283" s="479" t="str">
        <f ca="1">IF($FJ283+FN$244&gt;73,"",PRODUCT(INDEX($T$19:$T$93,FN$244):INDEX($T$19:$T$93,FN$244+$FJ283-1)))</f>
        <v/>
      </c>
      <c r="FO283" s="479" t="str">
        <f ca="1">IF($FJ283+FO$244&gt;73,"",PRODUCT(INDEX($T$19:$T$93,FO$244):INDEX($T$19:$T$93,FO$244+$FJ283-1)))</f>
        <v/>
      </c>
      <c r="FP283" s="479" t="str">
        <f ca="1">IF($FJ283+FP$244&gt;73,"",PRODUCT(INDEX($T$19:$T$93,FP$244):INDEX($T$19:$T$93,FP$244+$FJ283-1)))</f>
        <v/>
      </c>
      <c r="FQ283" s="479" t="str">
        <f ca="1">IF($FJ283+FQ$244&gt;73,"",PRODUCT(INDEX($T$19:$T$93,FQ$244):INDEX($T$19:$T$93,FQ$244+$FJ283-1)))</f>
        <v/>
      </c>
      <c r="FR283" s="479" t="str">
        <f ca="1">IF($FJ283+FR$244&gt;73,"",PRODUCT(INDEX($T$19:$T$93,FR$244):INDEX($T$19:$T$93,FR$244+$FJ283-1)))</f>
        <v/>
      </c>
      <c r="FS283" s="479" t="str">
        <f ca="1">IF($FJ283+FS$244&gt;73,"",PRODUCT(INDEX($T$19:$T$93,FS$244):INDEX($T$19:$T$93,FS$244+$FJ283-1)))</f>
        <v/>
      </c>
      <c r="FT283" s="479" t="str">
        <f ca="1">IF($FJ283+FT$244&gt;73,"",PRODUCT(INDEX($T$19:$T$93,FT$244):INDEX($T$19:$T$93,FT$244+$FJ283-1)))</f>
        <v/>
      </c>
      <c r="FU283" s="479" t="str">
        <f ca="1">IF($FJ283+FU$244&gt;73,"",PRODUCT(INDEX($T$19:$T$93,FU$244):INDEX($T$19:$T$93,FU$244+$FJ283-1)))</f>
        <v/>
      </c>
      <c r="FV283" s="479" t="str">
        <f ca="1">IF($FJ283+FV$244&gt;73,"",PRODUCT(INDEX($T$19:$T$93,FV$244):INDEX($T$19:$T$93,FV$244+$FJ283-1)))</f>
        <v/>
      </c>
      <c r="FW283" s="479" t="str">
        <f ca="1">IF($FJ283+FW$244&gt;73,"",PRODUCT(INDEX($T$19:$T$93,FW$244):INDEX($T$19:$T$93,FW$244+$FJ283-1)))</f>
        <v/>
      </c>
      <c r="FX283" s="479" t="str">
        <f ca="1">IF($FJ283+FX$244&gt;73,"",PRODUCT(INDEX($T$19:$T$93,FX$244):INDEX($T$19:$T$93,FX$244+$FJ283-1)))</f>
        <v/>
      </c>
      <c r="FY283" s="479" t="str">
        <f ca="1">IF($FJ283+FY$244&gt;73,"",PRODUCT(INDEX($T$19:$T$93,FY$244):INDEX($T$19:$T$93,FY$244+$FJ283-1)))</f>
        <v/>
      </c>
      <c r="FZ283" s="479" t="str">
        <f ca="1">IF($FJ283+FZ$244&gt;73,"",PRODUCT(INDEX($T$19:$T$93,FZ$244):INDEX($T$19:$T$93,FZ$244+$FJ283-1)))</f>
        <v/>
      </c>
      <c r="GA283" s="479" t="str">
        <f ca="1">IF($FJ283+GA$244&gt;73,"",PRODUCT(INDEX($T$19:$T$93,GA$244):INDEX($T$19:$T$93,GA$244+$FJ283-1)))</f>
        <v/>
      </c>
      <c r="GB283" s="479" t="str">
        <f ca="1">IF($FJ283+GB$244&gt;73,"",PRODUCT(INDEX($T$19:$T$93,GB$244):INDEX($T$19:$T$93,GB$244+$FJ283-1)))</f>
        <v/>
      </c>
      <c r="GC283" s="479" t="str">
        <f ca="1">IF($FJ283+GC$244&gt;73,"",PRODUCT(INDEX($T$19:$T$93,GC$244):INDEX($T$19:$T$93,GC$244+$FJ283-1)))</f>
        <v/>
      </c>
      <c r="GD283" s="479" t="str">
        <f ca="1">IF($FJ283+GD$244&gt;73,"",PRODUCT(INDEX($T$19:$T$93,GD$244):INDEX($T$19:$T$93,GD$244+$FJ283-1)))</f>
        <v/>
      </c>
      <c r="GE283" s="479" t="str">
        <f ca="1">IF($FJ283+GE$244&gt;73,"",PRODUCT(INDEX($T$19:$T$93,GE$244):INDEX($T$19:$T$93,GE$244+$FJ283-1)))</f>
        <v/>
      </c>
      <c r="GF283" s="479" t="str">
        <f ca="1">IF($FJ283+GF$244&gt;73,"",PRODUCT(INDEX($T$19:$T$93,GF$244):INDEX($T$19:$T$93,GF$244+$FJ283-1)))</f>
        <v/>
      </c>
      <c r="GG283" s="479" t="str">
        <f ca="1">IF($FJ283+GG$244&gt;73,"",PRODUCT(INDEX($T$19:$T$93,GG$244):INDEX($T$19:$T$93,GG$244+$FJ283-1)))</f>
        <v/>
      </c>
      <c r="GH283" s="479" t="str">
        <f ca="1">IF($FJ283+GH$244&gt;73,"",PRODUCT(INDEX($T$19:$T$93,GH$244):INDEX($T$19:$T$93,GH$244+$FJ283-1)))</f>
        <v/>
      </c>
      <c r="GI283" s="479" t="str">
        <f ca="1">IF($FJ283+GI$244&gt;73,"",PRODUCT(INDEX($T$19:$T$93,GI$244):INDEX($T$19:$T$93,GI$244+$FJ283-1)))</f>
        <v/>
      </c>
      <c r="GJ283" s="479" t="str">
        <f ca="1">IF($FJ283+GJ$244&gt;73,"",PRODUCT(INDEX($T$19:$T$93,GJ$244):INDEX($T$19:$T$93,GJ$244+$FJ283-1)))</f>
        <v/>
      </c>
      <c r="GK283" s="479" t="str">
        <f ca="1">IF($FJ283+GK$244&gt;73,"",PRODUCT(INDEX($T$19:$T$93,GK$244):INDEX($T$19:$T$93,GK$244+$FJ283-1)))</f>
        <v/>
      </c>
      <c r="GL283" s="479" t="str">
        <f ca="1">IF($FJ283+GL$244&gt;73,"",PRODUCT(INDEX($T$19:$T$93,GL$244):INDEX($T$19:$T$93,GL$244+$FJ283-1)))</f>
        <v/>
      </c>
      <c r="GM283" s="479" t="str">
        <f ca="1">IF($FJ283+GM$244&gt;73,"",PRODUCT(INDEX($T$19:$T$93,GM$244):INDEX($T$19:$T$93,GM$244+$FJ283-1)))</f>
        <v/>
      </c>
      <c r="GN283" s="479" t="str">
        <f ca="1">IF($FJ283+GN$244&gt;73,"",PRODUCT(INDEX($T$19:$T$93,GN$244):INDEX($T$19:$T$93,GN$244+$FJ283-1)))</f>
        <v/>
      </c>
      <c r="GO283" s="479" t="str">
        <f ca="1">IF($FJ283+GO$244&gt;73,"",PRODUCT(INDEX($T$19:$T$93,GO$244):INDEX($T$19:$T$93,GO$244+$FJ283-1)))</f>
        <v/>
      </c>
      <c r="GP283" s="479" t="str">
        <f ca="1">IF($FJ283+GP$244&gt;73,"",PRODUCT(INDEX($T$19:$T$93,GP$244):INDEX($T$19:$T$93,GP$244+$FJ283-1)))</f>
        <v/>
      </c>
      <c r="GQ283" s="479" t="str">
        <f ca="1">IF($FJ283+GQ$244&gt;73,"",PRODUCT(INDEX($T$19:$T$93,GQ$244):INDEX($T$19:$T$93,GQ$244+$FJ283-1)))</f>
        <v/>
      </c>
      <c r="GR283" s="479" t="str">
        <f ca="1">IF($FJ283+GR$244&gt;73,"",PRODUCT(INDEX($T$19:$T$93,GR$244):INDEX($T$19:$T$93,GR$244+$FJ283-1)))</f>
        <v/>
      </c>
      <c r="GS283" s="479" t="str">
        <f ca="1">IF($FJ283+GS$244&gt;73,"",PRODUCT(INDEX($T$19:$T$93,GS$244):INDEX($T$19:$T$93,GS$244+$FJ283-1)))</f>
        <v/>
      </c>
      <c r="GT283" s="479" t="str">
        <f ca="1">IF($FJ283+GT$244&gt;73,"",PRODUCT(INDEX($T$19:$T$93,GT$244):INDEX($T$19:$T$93,GT$244+$FJ283-1)))</f>
        <v/>
      </c>
      <c r="GU283" s="479" t="str">
        <f ca="1">IF($FJ283+GU$244&gt;73,"",PRODUCT(INDEX($T$19:$T$93,GU$244):INDEX($T$19:$T$93,GU$244+$FJ283-1)))</f>
        <v/>
      </c>
      <c r="GV283" s="479" t="str">
        <f ca="1">IF($FJ283+GV$244&gt;73,"",PRODUCT(INDEX($T$19:$T$93,GV$244):INDEX($T$19:$T$93,GV$244+$FJ283-1)))</f>
        <v/>
      </c>
      <c r="GW283" s="479">
        <f ca="1">IF($FJ283+GW$244&gt;73,"",PRODUCT(INDEX($T$19:$T$93,GW$244):INDEX($T$19:$T$93,GW$244+$FJ283-1)))</f>
        <v>0.99486687589768397</v>
      </c>
      <c r="GX283" s="479">
        <f ca="1">IF($FJ283+GX$244&gt;73,"",PRODUCT(INDEX($T$19:$T$93,GX$244):INDEX($T$19:$T$93,GX$244+$FJ283-1)))</f>
        <v>0.9939980626831646</v>
      </c>
      <c r="GY283" s="479">
        <f ca="1">IF($FJ283+GY$244&gt;73,"",PRODUCT(INDEX($T$19:$T$93,GY$244):INDEX($T$19:$T$93,GY$244+$FJ283-1)))</f>
        <v>0.99298255537259883</v>
      </c>
      <c r="GZ283" s="479">
        <f ca="1">IF($FJ283+GZ$244&gt;73,"",PRODUCT(INDEX($T$19:$T$93,GZ$244):INDEX($T$19:$T$93,GZ$244+$FJ283-1)))</f>
        <v>0.99179572015780049</v>
      </c>
      <c r="HA283" s="479">
        <f ca="1">IF($FJ283+HA$244&gt;73,"",PRODUCT(INDEX($T$19:$T$93,HA$244):INDEX($T$19:$T$93,HA$244+$FJ283-1)))</f>
        <v>0.99040883716812278</v>
      </c>
      <c r="HB283" s="479">
        <f ca="1">IF($FJ283+HB$244&gt;73,"",PRODUCT(INDEX($T$19:$T$93,HB$244):INDEX($T$19:$T$93,HB$244+$FJ283-1)))</f>
        <v>0.9887884417583569</v>
      </c>
      <c r="HC283" s="479">
        <f ca="1">IF($FJ283+HC$244&gt;73,"",PRODUCT(INDEX($T$19:$T$93,HC$244):INDEX($T$19:$T$93,HC$244+$FJ283-1)))</f>
        <v>0.98689556683354085</v>
      </c>
      <c r="HD283" s="479">
        <f ca="1">IF($FJ283+HD$244&gt;73,"",PRODUCT(INDEX($T$19:$T$93,HD$244):INDEX($T$19:$T$93,HD$244+$FJ283-1)))</f>
        <v>0.98468487414557315</v>
      </c>
      <c r="HE283" s="479">
        <f ca="1">IF($FJ283+HE$244&gt;73,"",PRODUCT(INDEX($T$19:$T$93,HE$244):INDEX($T$19:$T$93,HE$244+$FJ283-1)))</f>
        <v>0.98210366218128498</v>
      </c>
      <c r="HF283" s="479">
        <f ca="1">IF($FJ283+HF$244&gt;73,"",PRODUCT(INDEX($T$19:$T$93,HF$244):INDEX($T$19:$T$93,HF$244+$FJ283-1)))</f>
        <v>0.97909073851876438</v>
      </c>
      <c r="HG283" s="479">
        <f ca="1">IF($FJ283+HG$244&gt;73,"",PRODUCT(INDEX($T$19:$T$93,HG$244):INDEX($T$19:$T$93,HG$244+$FJ283-1)))</f>
        <v>0.975575145676018</v>
      </c>
      <c r="HH283" s="479">
        <f ca="1">IF($FJ283+HH$244&gt;73,"",PRODUCT(INDEX($T$19:$T$93,HH$244):INDEX($T$19:$T$93,HH$244+$FJ283-1)))</f>
        <v>0.97147473195923273</v>
      </c>
      <c r="HI283" s="479">
        <f ca="1">IF($FJ283+HI$244&gt;73,"",PRODUCT(INDEX($T$19:$T$93,HI$244):INDEX($T$19:$T$93,HI$244+$FJ283-1)))</f>
        <v>0.96669456325499181</v>
      </c>
      <c r="HJ283" s="479">
        <f ca="1">IF($FJ283+HJ$244&gt;73,"",PRODUCT(INDEX($T$19:$T$93,HJ$244):INDEX($T$19:$T$93,HJ$244+$FJ283-1)))</f>
        <v>0.9611251789489158</v>
      </c>
      <c r="HK283" s="479">
        <f ca="1">IF($FJ283+HK$244&gt;73,"",PRODUCT(INDEX($T$19:$T$93,HK$244):INDEX($T$19:$T$93,HK$244+$FJ283-1)))</f>
        <v>0.95464070634030729</v>
      </c>
      <c r="HL283" s="479">
        <f ca="1">IF($FJ283+HL$244&gt;73,"",PRODUCT(INDEX($T$19:$T$93,HL$244):INDEX($T$19:$T$93,HL$244+$FJ283-1)))</f>
        <v>0.94709686459449327</v>
      </c>
      <c r="HM283" s="479">
        <f ca="1">IF($FJ283+HM$244&gt;73,"",PRODUCT(INDEX($T$19:$T$93,HM$244):INDEX($T$19:$T$93,HM$244+$FJ283-1)))</f>
        <v>0.93832891345832303</v>
      </c>
      <c r="HN283" s="479">
        <f ca="1">IF($FJ283+HN$244&gt;73,"",PRODUCT(INDEX($T$19:$T$93,HN$244):INDEX($T$19:$T$93,HN$244+$FJ283-1)))</f>
        <v>0.92814963628763636</v>
      </c>
      <c r="HO283" s="479">
        <f ca="1">IF($FJ283+HO$244&gt;73,"",PRODUCT(INDEX($T$19:$T$93,HO$244):INDEX($T$19:$T$93,HO$244+$FJ283-1)))</f>
        <v>0.91634749473317889</v>
      </c>
      <c r="HP283" s="479">
        <f ca="1">IF($FJ283+HP$244&gt;73,"",PRODUCT(INDEX($T$19:$T$93,HP$244):INDEX($T$19:$T$93,HP$244+$FJ283-1)))</f>
        <v>0.902685157812672</v>
      </c>
      <c r="HQ283" s="479">
        <f ca="1">IF($FJ283+HQ$244&gt;73,"",PRODUCT(INDEX($T$19:$T$93,HQ$244):INDEX($T$19:$T$93,HQ$244+$FJ283-1)))</f>
        <v>0.88689869591806059</v>
      </c>
      <c r="HR283" s="479">
        <f ca="1">IF($FJ283+HR$244&gt;73,"",PRODUCT(INDEX($T$19:$T$93,HR$244):INDEX($T$19:$T$93,HR$244+$FJ283-1)))</f>
        <v>0.86869784594345845</v>
      </c>
      <c r="HS283" s="479">
        <f ca="1">IF($FJ283+HS$244&gt;73,"",PRODUCT(INDEX($T$19:$T$93,HS$244):INDEX($T$19:$T$93,HS$244+$FJ283-1)))</f>
        <v>0.84776790245675726</v>
      </c>
      <c r="HT283" s="479">
        <f ca="1">IF($FJ283+HT$244&gt;73,"",PRODUCT(INDEX($T$19:$T$93,HT$244):INDEX($T$19:$T$93,HT$244+$FJ283-1)))</f>
        <v>0.82377397559017518</v>
      </c>
      <c r="HU283" s="479">
        <f ca="1">IF($FJ283+HU$244&gt;73,"",PRODUCT(INDEX($T$19:$T$93,HU$244):INDEX($T$19:$T$93,HU$244+$FJ283-1)))</f>
        <v>0.79636857921534099</v>
      </c>
      <c r="HV283" s="479">
        <f ca="1">IF($FJ283+HV$244&gt;73,"",PRODUCT(INDEX($T$19:$T$93,HV$244):INDEX($T$19:$T$93,HV$244+$FJ283-1)))</f>
        <v>0.76520376507595744</v>
      </c>
      <c r="HW283" s="479">
        <f ca="1">IF($FJ283+HW$244&gt;73,"",PRODUCT(INDEX($T$19:$T$93,HW$244):INDEX($T$19:$T$93,HW$244+$FJ283-1)))</f>
        <v>0.72994927684163857</v>
      </c>
      <c r="HX283" s="479">
        <f ca="1">IF($FJ283+HX$244&gt;73,"",PRODUCT(INDEX($T$19:$T$93,HX$244):INDEX($T$19:$T$93,HX$244+$FJ283-1)))</f>
        <v>0.69031841323000664</v>
      </c>
      <c r="HY283" s="479">
        <f ca="1">IF($FJ283+HY$244&gt;73,"",PRODUCT(INDEX($T$19:$T$93,HY$244):INDEX($T$19:$T$93,HY$244+$FJ283-1)))</f>
        <v>0.64610336933405799</v>
      </c>
      <c r="HZ283" s="479">
        <f ca="1">IF($FJ283+HZ$244&gt;73,"",PRODUCT(INDEX($T$19:$T$93,HZ$244):INDEX($T$19:$T$93,HZ$244+$FJ283-1)))</f>
        <v>0.59722161254694239</v>
      </c>
      <c r="IA283" s="479">
        <f ca="1">IF($FJ283+IA$244&gt;73,"",PRODUCT(INDEX($T$19:$T$93,IA$244):INDEX($T$19:$T$93,IA$244+$FJ283-1)))</f>
        <v>0.54377409374605101</v>
      </c>
      <c r="IB283" s="479">
        <f ca="1">IF($FJ283+IB$244&gt;73,"",PRODUCT(INDEX($T$19:$T$93,IB$244):INDEX($T$19:$T$93,IB$244+$FJ283-1)))</f>
        <v>0.48611442811094596</v>
      </c>
      <c r="IC283" s="479">
        <f ca="1">IF($FJ283+IC$244&gt;73,"",PRODUCT(INDEX($T$19:$T$93,IC$244):INDEX($T$19:$T$93,IC$244+$FJ283-1)))</f>
        <v>0.42492511572886954</v>
      </c>
      <c r="ID283" s="678">
        <f ca="1">IF($FJ283+ID$244&gt;73,"",PRODUCT(INDEX($T$19:$T$93,ID$244):INDEX($T$19:$T$93,ID$244+$FJ283-1)))</f>
        <v>0.36129186492235082</v>
      </c>
      <c r="IE283" s="250"/>
    </row>
    <row r="284" spans="9:239">
      <c r="I284" s="137"/>
      <c r="J284" s="375"/>
      <c r="K284" s="138"/>
      <c r="L284" s="1"/>
      <c r="M284" s="376"/>
      <c r="P284" s="375"/>
      <c r="S284" s="55"/>
      <c r="T284" s="375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374"/>
      <c r="AP284" s="1"/>
      <c r="AQ284" s="374"/>
      <c r="AR284" s="1"/>
      <c r="AS284" s="1"/>
      <c r="AT284" s="106"/>
      <c r="AU284" s="106"/>
      <c r="AV284" s="106"/>
      <c r="AW284" s="31"/>
      <c r="AX284" s="31"/>
      <c r="AY284" s="31"/>
      <c r="AZ284" s="31"/>
      <c r="BA284" s="154"/>
      <c r="BB284" s="154"/>
      <c r="BC284" s="106"/>
      <c r="BD284" s="106"/>
      <c r="BE284" s="106"/>
      <c r="BF284" s="107"/>
      <c r="BG284" s="107"/>
      <c r="BH284" s="107"/>
      <c r="BI284" s="105"/>
      <c r="BJ284" s="107"/>
      <c r="BK284" s="107"/>
      <c r="BL284" s="106"/>
      <c r="BM284" s="108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7"/>
      <c r="CE284" s="107"/>
      <c r="CF284" s="107"/>
      <c r="CG284" s="107"/>
      <c r="CH284" s="107"/>
      <c r="CI284" s="107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475"/>
      <c r="DI284" s="110"/>
      <c r="DJ284" s="110"/>
      <c r="DK284" s="475"/>
      <c r="DL284" s="53"/>
      <c r="DM284" s="54"/>
      <c r="DN284" s="54"/>
      <c r="DO284" s="54"/>
      <c r="DP284" s="54"/>
      <c r="DQ284" s="54"/>
      <c r="DR284" s="54"/>
      <c r="DS284" s="54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L284" s="55"/>
      <c r="EM284" s="1"/>
      <c r="EN284" s="106"/>
      <c r="EO284" s="105"/>
      <c r="EP284" s="1"/>
      <c r="EQ284" s="106"/>
      <c r="ER284" s="1"/>
      <c r="ES284" s="1"/>
      <c r="ET284" s="1"/>
      <c r="EU284" s="107"/>
      <c r="FJ284" s="673">
        <v>40</v>
      </c>
      <c r="FK284" s="479" t="str">
        <f ca="1">IF($FJ284+FK$244&gt;73,"",PRODUCT(INDEX($T$19:$T$93,FK$244):INDEX($T$19:$T$93,FK$244+$FJ284-1)))</f>
        <v/>
      </c>
      <c r="FL284" s="479" t="str">
        <f ca="1">IF($FJ284+FL$244&gt;73,"",PRODUCT(INDEX($T$19:$T$93,FL$244):INDEX($T$19:$T$93,FL$244+$FJ284-1)))</f>
        <v/>
      </c>
      <c r="FM284" s="479" t="str">
        <f ca="1">IF($FJ284+FM$244&gt;73,"",PRODUCT(INDEX($T$19:$T$93,FM$244):INDEX($T$19:$T$93,FM$244+$FJ284-1)))</f>
        <v/>
      </c>
      <c r="FN284" s="479" t="str">
        <f ca="1">IF($FJ284+FN$244&gt;73,"",PRODUCT(INDEX($T$19:$T$93,FN$244):INDEX($T$19:$T$93,FN$244+$FJ284-1)))</f>
        <v/>
      </c>
      <c r="FO284" s="479" t="str">
        <f ca="1">IF($FJ284+FO$244&gt;73,"",PRODUCT(INDEX($T$19:$T$93,FO$244):INDEX($T$19:$T$93,FO$244+$FJ284-1)))</f>
        <v/>
      </c>
      <c r="FP284" s="479" t="str">
        <f ca="1">IF($FJ284+FP$244&gt;73,"",PRODUCT(INDEX($T$19:$T$93,FP$244):INDEX($T$19:$T$93,FP$244+$FJ284-1)))</f>
        <v/>
      </c>
      <c r="FQ284" s="479" t="str">
        <f ca="1">IF($FJ284+FQ$244&gt;73,"",PRODUCT(INDEX($T$19:$T$93,FQ$244):INDEX($T$19:$T$93,FQ$244+$FJ284-1)))</f>
        <v/>
      </c>
      <c r="FR284" s="479" t="str">
        <f ca="1">IF($FJ284+FR$244&gt;73,"",PRODUCT(INDEX($T$19:$T$93,FR$244):INDEX($T$19:$T$93,FR$244+$FJ284-1)))</f>
        <v/>
      </c>
      <c r="FS284" s="479" t="str">
        <f ca="1">IF($FJ284+FS$244&gt;73,"",PRODUCT(INDEX($T$19:$T$93,FS$244):INDEX($T$19:$T$93,FS$244+$FJ284-1)))</f>
        <v/>
      </c>
      <c r="FT284" s="479" t="str">
        <f ca="1">IF($FJ284+FT$244&gt;73,"",PRODUCT(INDEX($T$19:$T$93,FT$244):INDEX($T$19:$T$93,FT$244+$FJ284-1)))</f>
        <v/>
      </c>
      <c r="FU284" s="479" t="str">
        <f ca="1">IF($FJ284+FU$244&gt;73,"",PRODUCT(INDEX($T$19:$T$93,FU$244):INDEX($T$19:$T$93,FU$244+$FJ284-1)))</f>
        <v/>
      </c>
      <c r="FV284" s="479" t="str">
        <f ca="1">IF($FJ284+FV$244&gt;73,"",PRODUCT(INDEX($T$19:$T$93,FV$244):INDEX($T$19:$T$93,FV$244+$FJ284-1)))</f>
        <v/>
      </c>
      <c r="FW284" s="479" t="str">
        <f ca="1">IF($FJ284+FW$244&gt;73,"",PRODUCT(INDEX($T$19:$T$93,FW$244):INDEX($T$19:$T$93,FW$244+$FJ284-1)))</f>
        <v/>
      </c>
      <c r="FX284" s="479" t="str">
        <f ca="1">IF($FJ284+FX$244&gt;73,"",PRODUCT(INDEX($T$19:$T$93,FX$244):INDEX($T$19:$T$93,FX$244+$FJ284-1)))</f>
        <v/>
      </c>
      <c r="FY284" s="479" t="str">
        <f ca="1">IF($FJ284+FY$244&gt;73,"",PRODUCT(INDEX($T$19:$T$93,FY$244):INDEX($T$19:$T$93,FY$244+$FJ284-1)))</f>
        <v/>
      </c>
      <c r="FZ284" s="479" t="str">
        <f ca="1">IF($FJ284+FZ$244&gt;73,"",PRODUCT(INDEX($T$19:$T$93,FZ$244):INDEX($T$19:$T$93,FZ$244+$FJ284-1)))</f>
        <v/>
      </c>
      <c r="GA284" s="479" t="str">
        <f ca="1">IF($FJ284+GA$244&gt;73,"",PRODUCT(INDEX($T$19:$T$93,GA$244):INDEX($T$19:$T$93,GA$244+$FJ284-1)))</f>
        <v/>
      </c>
      <c r="GB284" s="479" t="str">
        <f ca="1">IF($FJ284+GB$244&gt;73,"",PRODUCT(INDEX($T$19:$T$93,GB$244):INDEX($T$19:$T$93,GB$244+$FJ284-1)))</f>
        <v/>
      </c>
      <c r="GC284" s="479" t="str">
        <f ca="1">IF($FJ284+GC$244&gt;73,"",PRODUCT(INDEX($T$19:$T$93,GC$244):INDEX($T$19:$T$93,GC$244+$FJ284-1)))</f>
        <v/>
      </c>
      <c r="GD284" s="479" t="str">
        <f ca="1">IF($FJ284+GD$244&gt;73,"",PRODUCT(INDEX($T$19:$T$93,GD$244):INDEX($T$19:$T$93,GD$244+$FJ284-1)))</f>
        <v/>
      </c>
      <c r="GE284" s="479" t="str">
        <f ca="1">IF($FJ284+GE$244&gt;73,"",PRODUCT(INDEX($T$19:$T$93,GE$244):INDEX($T$19:$T$93,GE$244+$FJ284-1)))</f>
        <v/>
      </c>
      <c r="GF284" s="479" t="str">
        <f ca="1">IF($FJ284+GF$244&gt;73,"",PRODUCT(INDEX($T$19:$T$93,GF$244):INDEX($T$19:$T$93,GF$244+$FJ284-1)))</f>
        <v/>
      </c>
      <c r="GG284" s="479" t="str">
        <f ca="1">IF($FJ284+GG$244&gt;73,"",PRODUCT(INDEX($T$19:$T$93,GG$244):INDEX($T$19:$T$93,GG$244+$FJ284-1)))</f>
        <v/>
      </c>
      <c r="GH284" s="479" t="str">
        <f ca="1">IF($FJ284+GH$244&gt;73,"",PRODUCT(INDEX($T$19:$T$93,GH$244):INDEX($T$19:$T$93,GH$244+$FJ284-1)))</f>
        <v/>
      </c>
      <c r="GI284" s="479" t="str">
        <f ca="1">IF($FJ284+GI$244&gt;73,"",PRODUCT(INDEX($T$19:$T$93,GI$244):INDEX($T$19:$T$93,GI$244+$FJ284-1)))</f>
        <v/>
      </c>
      <c r="GJ284" s="479" t="str">
        <f ca="1">IF($FJ284+GJ$244&gt;73,"",PRODUCT(INDEX($T$19:$T$93,GJ$244):INDEX($T$19:$T$93,GJ$244+$FJ284-1)))</f>
        <v/>
      </c>
      <c r="GK284" s="479" t="str">
        <f ca="1">IF($FJ284+GK$244&gt;73,"",PRODUCT(INDEX($T$19:$T$93,GK$244):INDEX($T$19:$T$93,GK$244+$FJ284-1)))</f>
        <v/>
      </c>
      <c r="GL284" s="479" t="str">
        <f ca="1">IF($FJ284+GL$244&gt;73,"",PRODUCT(INDEX($T$19:$T$93,GL$244):INDEX($T$19:$T$93,GL$244+$FJ284-1)))</f>
        <v/>
      </c>
      <c r="GM284" s="479" t="str">
        <f ca="1">IF($FJ284+GM$244&gt;73,"",PRODUCT(INDEX($T$19:$T$93,GM$244):INDEX($T$19:$T$93,GM$244+$FJ284-1)))</f>
        <v/>
      </c>
      <c r="GN284" s="479" t="str">
        <f ca="1">IF($FJ284+GN$244&gt;73,"",PRODUCT(INDEX($T$19:$T$93,GN$244):INDEX($T$19:$T$93,GN$244+$FJ284-1)))</f>
        <v/>
      </c>
      <c r="GO284" s="479" t="str">
        <f ca="1">IF($FJ284+GO$244&gt;73,"",PRODUCT(INDEX($T$19:$T$93,GO$244):INDEX($T$19:$T$93,GO$244+$FJ284-1)))</f>
        <v/>
      </c>
      <c r="GP284" s="479" t="str">
        <f ca="1">IF($FJ284+GP$244&gt;73,"",PRODUCT(INDEX($T$19:$T$93,GP$244):INDEX($T$19:$T$93,GP$244+$FJ284-1)))</f>
        <v/>
      </c>
      <c r="GQ284" s="479" t="str">
        <f ca="1">IF($FJ284+GQ$244&gt;73,"",PRODUCT(INDEX($T$19:$T$93,GQ$244):INDEX($T$19:$T$93,GQ$244+$FJ284-1)))</f>
        <v/>
      </c>
      <c r="GR284" s="479" t="str">
        <f ca="1">IF($FJ284+GR$244&gt;73,"",PRODUCT(INDEX($T$19:$T$93,GR$244):INDEX($T$19:$T$93,GR$244+$FJ284-1)))</f>
        <v/>
      </c>
      <c r="GS284" s="479" t="str">
        <f ca="1">IF($FJ284+GS$244&gt;73,"",PRODUCT(INDEX($T$19:$T$93,GS$244):INDEX($T$19:$T$93,GS$244+$FJ284-1)))</f>
        <v/>
      </c>
      <c r="GT284" s="479" t="str">
        <f ca="1">IF($FJ284+GT$244&gt;73,"",PRODUCT(INDEX($T$19:$T$93,GT$244):INDEX($T$19:$T$93,GT$244+$FJ284-1)))</f>
        <v/>
      </c>
      <c r="GU284" s="479" t="str">
        <f ca="1">IF($FJ284+GU$244&gt;73,"",PRODUCT(INDEX($T$19:$T$93,GU$244):INDEX($T$19:$T$93,GU$244+$FJ284-1)))</f>
        <v/>
      </c>
      <c r="GV284" s="479" t="str">
        <f ca="1">IF($FJ284+GV$244&gt;73,"",PRODUCT(INDEX($T$19:$T$93,GV$244):INDEX($T$19:$T$93,GV$244+$FJ284-1)))</f>
        <v/>
      </c>
      <c r="GW284" s="479" t="str">
        <f ca="1">IF($FJ284+GW$244&gt;73,"",PRODUCT(INDEX($T$19:$T$93,GW$244):INDEX($T$19:$T$93,GW$244+$FJ284-1)))</f>
        <v/>
      </c>
      <c r="GX284" s="479">
        <f ca="1">IF($FJ284+GX$244&gt;73,"",PRODUCT(INDEX($T$19:$T$93,GX$244):INDEX($T$19:$T$93,GX$244+$FJ284-1)))</f>
        <v>0.99399613291880884</v>
      </c>
      <c r="GY284" s="479">
        <f ca="1">IF($FJ284+GY$244&gt;73,"",PRODUCT(INDEX($T$19:$T$93,GY$244):INDEX($T$19:$T$93,GY$244+$FJ284-1)))</f>
        <v>0.99298030064157805</v>
      </c>
      <c r="GZ284" s="479">
        <f ca="1">IF($FJ284+GZ$244&gt;73,"",PRODUCT(INDEX($T$19:$T$93,GZ$244):INDEX($T$19:$T$93,GZ$244+$FJ284-1)))</f>
        <v>0.99179308619400819</v>
      </c>
      <c r="HA284" s="479">
        <f ca="1">IF($FJ284+HA$244&gt;73,"",PRODUCT(INDEX($T$19:$T$93,HA$244):INDEX($T$19:$T$93,HA$244+$FJ284-1)))</f>
        <v>0.99040576081199749</v>
      </c>
      <c r="HB284" s="479">
        <f ca="1">IF($FJ284+HB$244&gt;73,"",PRODUCT(INDEX($T$19:$T$93,HB$244):INDEX($T$19:$T$93,HB$244+$FJ284-1)))</f>
        <v>0.98878484956167101</v>
      </c>
      <c r="HC284" s="479">
        <f ca="1">IF($FJ284+HC$244&gt;73,"",PRODUCT(INDEX($T$19:$T$93,HC$244):INDEX($T$19:$T$93,HC$244+$FJ284-1)))</f>
        <v>0.98689137346863465</v>
      </c>
      <c r="HD284" s="479">
        <f ca="1">IF($FJ284+HD$244&gt;73,"",PRODUCT(INDEX($T$19:$T$93,HD$244):INDEX($T$19:$T$93,HD$244+$FJ284-1)))</f>
        <v>0.98467998060065764</v>
      </c>
      <c r="HE284" s="479">
        <f ca="1">IF($FJ284+HE$244&gt;73,"",PRODUCT(INDEX($T$19:$T$93,HE$244):INDEX($T$19:$T$93,HE$244+$FJ284-1)))</f>
        <v>0.98209795372556263</v>
      </c>
      <c r="HF284" s="479">
        <f ca="1">IF($FJ284+HF$244&gt;73,"",PRODUCT(INDEX($T$19:$T$93,HF$244):INDEX($T$19:$T$93,HF$244+$FJ284-1)))</f>
        <v>0.97908408242542322</v>
      </c>
      <c r="HG284" s="479">
        <f ca="1">IF($FJ284+HG$244&gt;73,"",PRODUCT(INDEX($T$19:$T$93,HG$244):INDEX($T$19:$T$93,HG$244+$FJ284-1)))</f>
        <v>0.97556738869859383</v>
      </c>
      <c r="HH284" s="479">
        <f ca="1">IF($FJ284+HH$244&gt;73,"",PRODUCT(INDEX($T$19:$T$93,HH$244):INDEX($T$19:$T$93,HH$244+$FJ284-1)))</f>
        <v>0.9714656975687227</v>
      </c>
      <c r="HI284" s="479">
        <f ca="1">IF($FJ284+HI$244&gt;73,"",PRODUCT(INDEX($T$19:$T$93,HI$244):INDEX($T$19:$T$93,HI$244+$FJ284-1)))</f>
        <v>0.96668404866318258</v>
      </c>
      <c r="HJ284" s="479">
        <f ca="1">IF($FJ284+HJ$244&gt;73,"",PRODUCT(INDEX($T$19:$T$93,HJ$244):INDEX($T$19:$T$93,HJ$244+$FJ284-1)))</f>
        <v>0.96111295196996382</v>
      </c>
      <c r="HK284" s="479">
        <f ca="1">IF($FJ284+HK$244&gt;73,"",PRODUCT(INDEX($T$19:$T$93,HK$244):INDEX($T$19:$T$93,HK$244+$FJ284-1)))</f>
        <v>0.95462650218066525</v>
      </c>
      <c r="HL284" s="479">
        <f ca="1">IF($FJ284+HL$244&gt;73,"",PRODUCT(INDEX($T$19:$T$93,HL$244):INDEX($T$19:$T$93,HL$244+$FJ284-1)))</f>
        <v>0.94708038271461825</v>
      </c>
      <c r="HM284" s="479">
        <f ca="1">IF($FJ284+HM$244&gt;73,"",PRODUCT(INDEX($T$19:$T$93,HM$244):INDEX($T$19:$T$93,HM$244+$FJ284-1)))</f>
        <v>0.93830981472293729</v>
      </c>
      <c r="HN284" s="479">
        <f ca="1">IF($FJ284+HN$244&gt;73,"",PRODUCT(INDEX($T$19:$T$93,HN$244):INDEX($T$19:$T$93,HN$244+$FJ284-1)))</f>
        <v>0.92812754072030412</v>
      </c>
      <c r="HO284" s="479">
        <f ca="1">IF($FJ284+HO$244&gt;73,"",PRODUCT(INDEX($T$19:$T$93,HO$244):INDEX($T$19:$T$93,HO$244+$FJ284-1)))</f>
        <v>0.91632198032205692</v>
      </c>
      <c r="HP284" s="479">
        <f ca="1">IF($FJ284+HP$244&gt;73,"",PRODUCT(INDEX($T$19:$T$93,HP$244):INDEX($T$19:$T$93,HP$244+$FJ284-1)))</f>
        <v>0.90265576098427636</v>
      </c>
      <c r="HQ284" s="479">
        <f ca="1">IF($FJ284+HQ$244&gt;73,"",PRODUCT(INDEX($T$19:$T$93,HQ$244):INDEX($T$19:$T$93,HQ$244+$FJ284-1)))</f>
        <v>0.88686491451087368</v>
      </c>
      <c r="HR284" s="479">
        <f ca="1">IF($FJ284+HR$244&gt;73,"",PRODUCT(INDEX($T$19:$T$93,HR$244):INDEX($T$19:$T$93,HR$244+$FJ284-1)))</f>
        <v>0.86865914577664105</v>
      </c>
      <c r="HS284" s="479">
        <f ca="1">IF($FJ284+HS$244&gt;73,"",PRODUCT(INDEX($T$19:$T$93,HS$244):INDEX($T$19:$T$93,HS$244+$FJ284-1)))</f>
        <v>0.84772372889849823</v>
      </c>
      <c r="HT284" s="479">
        <f ca="1">IF($FJ284+HT$244&gt;73,"",PRODUCT(INDEX($T$19:$T$93,HT$244):INDEX($T$19:$T$93,HT$244+$FJ284-1)))</f>
        <v>0.82372377187081269</v>
      </c>
      <c r="HU284" s="479">
        <f ca="1">IF($FJ284+HU$244&gt;73,"",PRODUCT(INDEX($T$19:$T$93,HU$244):INDEX($T$19:$T$93,HU$244+$FJ284-1)))</f>
        <v>0.79631181356688219</v>
      </c>
      <c r="HV284" s="479">
        <f ca="1">IF($FJ284+HV$244&gt;73,"",PRODUCT(INDEX($T$19:$T$93,HV$244):INDEX($T$19:$T$93,HV$244+$FJ284-1)))</f>
        <v>0.76513996904193882</v>
      </c>
      <c r="HW284" s="479">
        <f ca="1">IF($FJ284+HW$244&gt;73,"",PRODUCT(INDEX($T$19:$T$93,HW$244):INDEX($T$19:$T$93,HW$244+$FJ284-1)))</f>
        <v>0.72987809716546459</v>
      </c>
      <c r="HX284" s="479">
        <f ca="1">IF($FJ284+HX$244&gt;73,"",PRODUCT(INDEX($T$19:$T$93,HX$244):INDEX($T$19:$T$93,HX$244+$FJ284-1)))</f>
        <v>0.69023967939322528</v>
      </c>
      <c r="HY284" s="479">
        <f ca="1">IF($FJ284+HY$244&gt;73,"",PRODUCT(INDEX($T$19:$T$93,HY$244):INDEX($T$19:$T$93,HY$244+$FJ284-1)))</f>
        <v>0.64601717776908663</v>
      </c>
      <c r="HZ284" s="479">
        <f ca="1">IF($FJ284+HZ$244&gt;73,"",PRODUCT(INDEX($T$19:$T$93,HZ$244):INDEX($T$19:$T$93,HZ$244+$FJ284-1)))</f>
        <v>0.59712842635382457</v>
      </c>
      <c r="IA284" s="479">
        <f ca="1">IF($FJ284+IA$244&gt;73,"",PRODUCT(INDEX($T$19:$T$93,IA$244):INDEX($T$19:$T$93,IA$244+$FJ284-1)))</f>
        <v>0.54367485283960881</v>
      </c>
      <c r="IB284" s="479">
        <f ca="1">IF($FJ284+IB$244&gt;73,"",PRODUCT(INDEX($T$19:$T$93,IB$244):INDEX($T$19:$T$93,IB$244+$FJ284-1)))</f>
        <v>0.48601065850664121</v>
      </c>
      <c r="IC284" s="479">
        <f ca="1">IF($FJ284+IC$244&gt;73,"",PRODUCT(INDEX($T$19:$T$93,IC$244):INDEX($T$19:$T$93,IC$244+$FJ284-1)))</f>
        <v>0.4248190177124434</v>
      </c>
      <c r="ID284" s="678">
        <f ca="1">IF($FJ284+ID$244&gt;73,"",PRODUCT(INDEX($T$19:$T$93,ID$244):INDEX($T$19:$T$93,ID$244+$FJ284-1)))</f>
        <v>0.36118634836953917</v>
      </c>
      <c r="IE284" s="250"/>
    </row>
    <row r="285" spans="9:239">
      <c r="I285" s="137"/>
      <c r="J285" s="375"/>
      <c r="K285" s="138"/>
      <c r="L285" s="1"/>
      <c r="M285" s="376"/>
      <c r="P285" s="375"/>
      <c r="S285" s="55"/>
      <c r="T285" s="375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374"/>
      <c r="AP285" s="1"/>
      <c r="AQ285" s="374"/>
      <c r="AR285" s="1"/>
      <c r="AS285" s="1"/>
      <c r="AT285" s="106"/>
      <c r="AU285" s="106"/>
      <c r="AV285" s="106"/>
      <c r="AW285" s="31"/>
      <c r="AX285" s="31"/>
      <c r="AY285" s="31"/>
      <c r="AZ285" s="31"/>
      <c r="BA285" s="154"/>
      <c r="BB285" s="154"/>
      <c r="BC285" s="106"/>
      <c r="BD285" s="106"/>
      <c r="BE285" s="106"/>
      <c r="BF285" s="107"/>
      <c r="BG285" s="107"/>
      <c r="BH285" s="107"/>
      <c r="BI285" s="105"/>
      <c r="BJ285" s="107"/>
      <c r="BK285" s="107"/>
      <c r="BL285" s="106"/>
      <c r="BM285" s="108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7"/>
      <c r="CE285" s="107"/>
      <c r="CF285" s="107"/>
      <c r="CG285" s="107"/>
      <c r="CH285" s="107"/>
      <c r="CI285" s="107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475"/>
      <c r="DI285" s="110"/>
      <c r="DJ285" s="110"/>
      <c r="DK285" s="475"/>
      <c r="DL285" s="53"/>
      <c r="DM285" s="54"/>
      <c r="DN285" s="54"/>
      <c r="DO285" s="54"/>
      <c r="DP285" s="54"/>
      <c r="DQ285" s="54"/>
      <c r="DR285" s="54"/>
      <c r="DS285" s="54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L285" s="55"/>
      <c r="EM285" s="1"/>
      <c r="EN285" s="106"/>
      <c r="EO285" s="105"/>
      <c r="EP285" s="1"/>
      <c r="EQ285" s="106"/>
      <c r="ER285" s="1"/>
      <c r="ES285" s="1"/>
      <c r="ET285" s="1"/>
      <c r="EU285" s="107"/>
      <c r="FJ285" s="673">
        <v>41</v>
      </c>
      <c r="FK285" s="479" t="str">
        <f ca="1">IF($FJ285+FK$244&gt;73,"",PRODUCT(INDEX($T$19:$T$93,FK$244):INDEX($T$19:$T$93,FK$244+$FJ285-1)))</f>
        <v/>
      </c>
      <c r="FL285" s="479" t="str">
        <f ca="1">IF($FJ285+FL$244&gt;73,"",PRODUCT(INDEX($T$19:$T$93,FL$244):INDEX($T$19:$T$93,FL$244+$FJ285-1)))</f>
        <v/>
      </c>
      <c r="FM285" s="479" t="str">
        <f ca="1">IF($FJ285+FM$244&gt;73,"",PRODUCT(INDEX($T$19:$T$93,FM$244):INDEX($T$19:$T$93,FM$244+$FJ285-1)))</f>
        <v/>
      </c>
      <c r="FN285" s="479" t="str">
        <f ca="1">IF($FJ285+FN$244&gt;73,"",PRODUCT(INDEX($T$19:$T$93,FN$244):INDEX($T$19:$T$93,FN$244+$FJ285-1)))</f>
        <v/>
      </c>
      <c r="FO285" s="479" t="str">
        <f ca="1">IF($FJ285+FO$244&gt;73,"",PRODUCT(INDEX($T$19:$T$93,FO$244):INDEX($T$19:$T$93,FO$244+$FJ285-1)))</f>
        <v/>
      </c>
      <c r="FP285" s="479" t="str">
        <f ca="1">IF($FJ285+FP$244&gt;73,"",PRODUCT(INDEX($T$19:$T$93,FP$244):INDEX($T$19:$T$93,FP$244+$FJ285-1)))</f>
        <v/>
      </c>
      <c r="FQ285" s="479" t="str">
        <f ca="1">IF($FJ285+FQ$244&gt;73,"",PRODUCT(INDEX($T$19:$T$93,FQ$244):INDEX($T$19:$T$93,FQ$244+$FJ285-1)))</f>
        <v/>
      </c>
      <c r="FR285" s="479" t="str">
        <f ca="1">IF($FJ285+FR$244&gt;73,"",PRODUCT(INDEX($T$19:$T$93,FR$244):INDEX($T$19:$T$93,FR$244+$FJ285-1)))</f>
        <v/>
      </c>
      <c r="FS285" s="479" t="str">
        <f ca="1">IF($FJ285+FS$244&gt;73,"",PRODUCT(INDEX($T$19:$T$93,FS$244):INDEX($T$19:$T$93,FS$244+$FJ285-1)))</f>
        <v/>
      </c>
      <c r="FT285" s="479" t="str">
        <f ca="1">IF($FJ285+FT$244&gt;73,"",PRODUCT(INDEX($T$19:$T$93,FT$244):INDEX($T$19:$T$93,FT$244+$FJ285-1)))</f>
        <v/>
      </c>
      <c r="FU285" s="479" t="str">
        <f ca="1">IF($FJ285+FU$244&gt;73,"",PRODUCT(INDEX($T$19:$T$93,FU$244):INDEX($T$19:$T$93,FU$244+$FJ285-1)))</f>
        <v/>
      </c>
      <c r="FV285" s="479" t="str">
        <f ca="1">IF($FJ285+FV$244&gt;73,"",PRODUCT(INDEX($T$19:$T$93,FV$244):INDEX($T$19:$T$93,FV$244+$FJ285-1)))</f>
        <v/>
      </c>
      <c r="FW285" s="479" t="str">
        <f ca="1">IF($FJ285+FW$244&gt;73,"",PRODUCT(INDEX($T$19:$T$93,FW$244):INDEX($T$19:$T$93,FW$244+$FJ285-1)))</f>
        <v/>
      </c>
      <c r="FX285" s="479" t="str">
        <f ca="1">IF($FJ285+FX$244&gt;73,"",PRODUCT(INDEX($T$19:$T$93,FX$244):INDEX($T$19:$T$93,FX$244+$FJ285-1)))</f>
        <v/>
      </c>
      <c r="FY285" s="479" t="str">
        <f ca="1">IF($FJ285+FY$244&gt;73,"",PRODUCT(INDEX($T$19:$T$93,FY$244):INDEX($T$19:$T$93,FY$244+$FJ285-1)))</f>
        <v/>
      </c>
      <c r="FZ285" s="479" t="str">
        <f ca="1">IF($FJ285+FZ$244&gt;73,"",PRODUCT(INDEX($T$19:$T$93,FZ$244):INDEX($T$19:$T$93,FZ$244+$FJ285-1)))</f>
        <v/>
      </c>
      <c r="GA285" s="479" t="str">
        <f ca="1">IF($FJ285+GA$244&gt;73,"",PRODUCT(INDEX($T$19:$T$93,GA$244):INDEX($T$19:$T$93,GA$244+$FJ285-1)))</f>
        <v/>
      </c>
      <c r="GB285" s="479" t="str">
        <f ca="1">IF($FJ285+GB$244&gt;73,"",PRODUCT(INDEX($T$19:$T$93,GB$244):INDEX($T$19:$T$93,GB$244+$FJ285-1)))</f>
        <v/>
      </c>
      <c r="GC285" s="479" t="str">
        <f ca="1">IF($FJ285+GC$244&gt;73,"",PRODUCT(INDEX($T$19:$T$93,GC$244):INDEX($T$19:$T$93,GC$244+$FJ285-1)))</f>
        <v/>
      </c>
      <c r="GD285" s="479" t="str">
        <f ca="1">IF($FJ285+GD$244&gt;73,"",PRODUCT(INDEX($T$19:$T$93,GD$244):INDEX($T$19:$T$93,GD$244+$FJ285-1)))</f>
        <v/>
      </c>
      <c r="GE285" s="479" t="str">
        <f ca="1">IF($FJ285+GE$244&gt;73,"",PRODUCT(INDEX($T$19:$T$93,GE$244):INDEX($T$19:$T$93,GE$244+$FJ285-1)))</f>
        <v/>
      </c>
      <c r="GF285" s="479" t="str">
        <f ca="1">IF($FJ285+GF$244&gt;73,"",PRODUCT(INDEX($T$19:$T$93,GF$244):INDEX($T$19:$T$93,GF$244+$FJ285-1)))</f>
        <v/>
      </c>
      <c r="GG285" s="479" t="str">
        <f ca="1">IF($FJ285+GG$244&gt;73,"",PRODUCT(INDEX($T$19:$T$93,GG$244):INDEX($T$19:$T$93,GG$244+$FJ285-1)))</f>
        <v/>
      </c>
      <c r="GH285" s="479" t="str">
        <f ca="1">IF($FJ285+GH$244&gt;73,"",PRODUCT(INDEX($T$19:$T$93,GH$244):INDEX($T$19:$T$93,GH$244+$FJ285-1)))</f>
        <v/>
      </c>
      <c r="GI285" s="479" t="str">
        <f ca="1">IF($FJ285+GI$244&gt;73,"",PRODUCT(INDEX($T$19:$T$93,GI$244):INDEX($T$19:$T$93,GI$244+$FJ285-1)))</f>
        <v/>
      </c>
      <c r="GJ285" s="479" t="str">
        <f ca="1">IF($FJ285+GJ$244&gt;73,"",PRODUCT(INDEX($T$19:$T$93,GJ$244):INDEX($T$19:$T$93,GJ$244+$FJ285-1)))</f>
        <v/>
      </c>
      <c r="GK285" s="479" t="str">
        <f ca="1">IF($FJ285+GK$244&gt;73,"",PRODUCT(INDEX($T$19:$T$93,GK$244):INDEX($T$19:$T$93,GK$244+$FJ285-1)))</f>
        <v/>
      </c>
      <c r="GL285" s="479" t="str">
        <f ca="1">IF($FJ285+GL$244&gt;73,"",PRODUCT(INDEX($T$19:$T$93,GL$244):INDEX($T$19:$T$93,GL$244+$FJ285-1)))</f>
        <v/>
      </c>
      <c r="GM285" s="479" t="str">
        <f ca="1">IF($FJ285+GM$244&gt;73,"",PRODUCT(INDEX($T$19:$T$93,GM$244):INDEX($T$19:$T$93,GM$244+$FJ285-1)))</f>
        <v/>
      </c>
      <c r="GN285" s="479" t="str">
        <f ca="1">IF($FJ285+GN$244&gt;73,"",PRODUCT(INDEX($T$19:$T$93,GN$244):INDEX($T$19:$T$93,GN$244+$FJ285-1)))</f>
        <v/>
      </c>
      <c r="GO285" s="479" t="str">
        <f ca="1">IF($FJ285+GO$244&gt;73,"",PRODUCT(INDEX($T$19:$T$93,GO$244):INDEX($T$19:$T$93,GO$244+$FJ285-1)))</f>
        <v/>
      </c>
      <c r="GP285" s="479" t="str">
        <f ca="1">IF($FJ285+GP$244&gt;73,"",PRODUCT(INDEX($T$19:$T$93,GP$244):INDEX($T$19:$T$93,GP$244+$FJ285-1)))</f>
        <v/>
      </c>
      <c r="GQ285" s="479" t="str">
        <f ca="1">IF($FJ285+GQ$244&gt;73,"",PRODUCT(INDEX($T$19:$T$93,GQ$244):INDEX($T$19:$T$93,GQ$244+$FJ285-1)))</f>
        <v/>
      </c>
      <c r="GR285" s="479" t="str">
        <f ca="1">IF($FJ285+GR$244&gt;73,"",PRODUCT(INDEX($T$19:$T$93,GR$244):INDEX($T$19:$T$93,GR$244+$FJ285-1)))</f>
        <v/>
      </c>
      <c r="GS285" s="479" t="str">
        <f ca="1">IF($FJ285+GS$244&gt;73,"",PRODUCT(INDEX($T$19:$T$93,GS$244):INDEX($T$19:$T$93,GS$244+$FJ285-1)))</f>
        <v/>
      </c>
      <c r="GT285" s="479" t="str">
        <f ca="1">IF($FJ285+GT$244&gt;73,"",PRODUCT(INDEX($T$19:$T$93,GT$244):INDEX($T$19:$T$93,GT$244+$FJ285-1)))</f>
        <v/>
      </c>
      <c r="GU285" s="479" t="str">
        <f ca="1">IF($FJ285+GU$244&gt;73,"",PRODUCT(INDEX($T$19:$T$93,GU$244):INDEX($T$19:$T$93,GU$244+$FJ285-1)))</f>
        <v/>
      </c>
      <c r="GV285" s="479" t="str">
        <f ca="1">IF($FJ285+GV$244&gt;73,"",PRODUCT(INDEX($T$19:$T$93,GV$244):INDEX($T$19:$T$93,GV$244+$FJ285-1)))</f>
        <v/>
      </c>
      <c r="GW285" s="479" t="str">
        <f ca="1">IF($FJ285+GW$244&gt;73,"",PRODUCT(INDEX($T$19:$T$93,GW$244):INDEX($T$19:$T$93,GW$244+$FJ285-1)))</f>
        <v/>
      </c>
      <c r="GX285" s="479" t="str">
        <f ca="1">IF($FJ285+GX$244&gt;73,"",PRODUCT(INDEX($T$19:$T$93,GX$244):INDEX($T$19:$T$93,GX$244+$FJ285-1)))</f>
        <v/>
      </c>
      <c r="GY285" s="479">
        <f ca="1">IF($FJ285+GY$244&gt;73,"",PRODUCT(INDEX($T$19:$T$93,GY$244):INDEX($T$19:$T$93,GY$244+$FJ285-1)))</f>
        <v>0.9929783728531224</v>
      </c>
      <c r="GZ285" s="479">
        <f ca="1">IF($FJ285+GZ$244&gt;73,"",PRODUCT(INDEX($T$19:$T$93,GZ$244):INDEX($T$19:$T$93,GZ$244+$FJ285-1)))</f>
        <v>0.99179083416387381</v>
      </c>
      <c r="HA285" s="479">
        <f ca="1">IF($FJ285+HA$244&gt;73,"",PRODUCT(INDEX($T$19:$T$93,HA$244):INDEX($T$19:$T$93,HA$244+$FJ285-1)))</f>
        <v>0.99040313053959295</v>
      </c>
      <c r="HB285" s="479">
        <f ca="1">IF($FJ285+HB$244&gt;73,"",PRODUCT(INDEX($T$19:$T$93,HB$244):INDEX($T$19:$T$93,HB$244+$FJ285-1)))</f>
        <v>0.98878177824989111</v>
      </c>
      <c r="HC285" s="479">
        <f ca="1">IF($FJ285+HC$244&gt;73,"",PRODUCT(INDEX($T$19:$T$93,HC$244):INDEX($T$19:$T$93,HC$244+$FJ285-1)))</f>
        <v>0.98688778816386025</v>
      </c>
      <c r="HD285" s="479">
        <f ca="1">IF($FJ285+HD$244&gt;73,"",PRODUCT(INDEX($T$19:$T$93,HD$244):INDEX($T$19:$T$93,HD$244+$FJ285-1)))</f>
        <v>0.98467579664987992</v>
      </c>
      <c r="HE285" s="479">
        <f ca="1">IF($FJ285+HE$244&gt;73,"",PRODUCT(INDEX($T$19:$T$93,HE$244):INDEX($T$19:$T$93,HE$244+$FJ285-1)))</f>
        <v>0.9820930730367512</v>
      </c>
      <c r="HF285" s="479">
        <f ca="1">IF($FJ285+HF$244&gt;73,"",PRODUCT(INDEX($T$19:$T$93,HF$244):INDEX($T$19:$T$93,HF$244+$FJ285-1)))</f>
        <v>0.97907839152094112</v>
      </c>
      <c r="HG285" s="479">
        <f ca="1">IF($FJ285+HG$244&gt;73,"",PRODUCT(INDEX($T$19:$T$93,HG$244):INDEX($T$19:$T$93,HG$244+$FJ285-1)))</f>
        <v>0.97556075655782859</v>
      </c>
      <c r="HH285" s="479">
        <f ca="1">IF($FJ285+HH$244&gt;73,"",PRODUCT(INDEX($T$19:$T$93,HH$244):INDEX($T$19:$T$93,HH$244+$FJ285-1)))</f>
        <v>0.97145797326627625</v>
      </c>
      <c r="HI285" s="479">
        <f ca="1">IF($FJ285+HI$244&gt;73,"",PRODUCT(INDEX($T$19:$T$93,HI$244):INDEX($T$19:$T$93,HI$244+$FJ285-1)))</f>
        <v>0.96667505882442706</v>
      </c>
      <c r="HJ285" s="479">
        <f ca="1">IF($FJ285+HJ$244&gt;73,"",PRODUCT(INDEX($T$19:$T$93,HJ$244):INDEX($T$19:$T$93,HJ$244+$FJ285-1)))</f>
        <v>0.96110249808850368</v>
      </c>
      <c r="HK285" s="479">
        <f ca="1">IF($FJ285+HK$244&gt;73,"",PRODUCT(INDEX($T$19:$T$93,HK$244):INDEX($T$19:$T$93,HK$244+$FJ285-1)))</f>
        <v>0.95461435787479876</v>
      </c>
      <c r="HL285" s="479">
        <f ca="1">IF($FJ285+HL$244&gt;73,"",PRODUCT(INDEX($T$19:$T$93,HL$244):INDEX($T$19:$T$93,HL$244+$FJ285-1)))</f>
        <v>0.94706629104551121</v>
      </c>
      <c r="HM285" s="479">
        <f ca="1">IF($FJ285+HM$244&gt;73,"",PRODUCT(INDEX($T$19:$T$93,HM$244):INDEX($T$19:$T$93,HM$244+$FJ285-1)))</f>
        <v>0.93829348575994531</v>
      </c>
      <c r="HN285" s="479">
        <f ca="1">IF($FJ285+HN$244&gt;73,"",PRODUCT(INDEX($T$19:$T$93,HN$244):INDEX($T$19:$T$93,HN$244+$FJ285-1)))</f>
        <v>0.92810864962353601</v>
      </c>
      <c r="HO285" s="479">
        <f ca="1">IF($FJ285+HO$244&gt;73,"",PRODUCT(INDEX($T$19:$T$93,HO$244):INDEX($T$19:$T$93,HO$244+$FJ285-1)))</f>
        <v>0.91630016632437516</v>
      </c>
      <c r="HP285" s="479">
        <f ca="1">IF($FJ285+HP$244&gt;73,"",PRODUCT(INDEX($T$19:$T$93,HP$244):INDEX($T$19:$T$93,HP$244+$FJ285-1)))</f>
        <v>0.90263062780028258</v>
      </c>
      <c r="HQ285" s="479">
        <f ca="1">IF($FJ285+HQ$244&gt;73,"",PRODUCT(INDEX($T$19:$T$93,HQ$244):INDEX($T$19:$T$93,HQ$244+$FJ285-1)))</f>
        <v>0.88683603288423307</v>
      </c>
      <c r="HR285" s="479">
        <f ca="1">IF($FJ285+HR$244&gt;73,"",PRODUCT(INDEX($T$19:$T$93,HR$244):INDEX($T$19:$T$93,HR$244+$FJ285-1)))</f>
        <v>0.86862605910231716</v>
      </c>
      <c r="HS285" s="479">
        <f ca="1">IF($FJ285+HS$244&gt;73,"",PRODUCT(INDEX($T$19:$T$93,HS$244):INDEX($T$19:$T$93,HS$244+$FJ285-1)))</f>
        <v>0.84768596312081546</v>
      </c>
      <c r="HT285" s="479">
        <f ca="1">IF($FJ285+HT$244&gt;73,"",PRODUCT(INDEX($T$19:$T$93,HT$244):INDEX($T$19:$T$93,HT$244+$FJ285-1)))</f>
        <v>0.82368085114932665</v>
      </c>
      <c r="HU285" s="479">
        <f ca="1">IF($FJ285+HU$244&gt;73,"",PRODUCT(INDEX($T$19:$T$93,HU$244):INDEX($T$19:$T$93,HU$244+$FJ285-1)))</f>
        <v>0.79626328348946052</v>
      </c>
      <c r="HV285" s="479">
        <f ca="1">IF($FJ285+HV$244&gt;73,"",PRODUCT(INDEX($T$19:$T$93,HV$244):INDEX($T$19:$T$93,HV$244+$FJ285-1)))</f>
        <v>0.7650854293882684</v>
      </c>
      <c r="HW285" s="479">
        <f ca="1">IF($FJ285+HW$244&gt;73,"",PRODUCT(INDEX($T$19:$T$93,HW$244):INDEX($T$19:$T$93,HW$244+$FJ285-1)))</f>
        <v>0.72981724627836575</v>
      </c>
      <c r="HX285" s="479">
        <f ca="1">IF($FJ285+HX$244&gt;73,"",PRODUCT(INDEX($T$19:$T$93,HX$244):INDEX($T$19:$T$93,HX$244+$FJ285-1)))</f>
        <v>0.69017237192622671</v>
      </c>
      <c r="HY285" s="479">
        <f ca="1">IF($FJ285+HY$244&gt;73,"",PRODUCT(INDEX($T$19:$T$93,HY$244):INDEX($T$19:$T$93,HY$244+$FJ285-1)))</f>
        <v>0.64594349668213069</v>
      </c>
      <c r="HZ285" s="479">
        <f ca="1">IF($FJ285+HZ$244&gt;73,"",PRODUCT(INDEX($T$19:$T$93,HZ$244):INDEX($T$19:$T$93,HZ$244+$FJ285-1)))</f>
        <v>0.59704876815051056</v>
      </c>
      <c r="IA285" s="479">
        <f ca="1">IF($FJ285+IA$244&gt;73,"",PRODUCT(INDEX($T$19:$T$93,IA$244):INDEX($T$19:$T$93,IA$244+$FJ285-1)))</f>
        <v>0.54359002170027015</v>
      </c>
      <c r="IB285" s="479">
        <f ca="1">IF($FJ285+IB$244&gt;73,"",PRODUCT(INDEX($T$19:$T$93,IB$244):INDEX($T$19:$T$93,IB$244+$FJ285-1)))</f>
        <v>0.48592195965385382</v>
      </c>
      <c r="IC285" s="479">
        <f ca="1">IF($FJ285+IC$244&gt;73,"",PRODUCT(INDEX($T$19:$T$93,IC$244):INDEX($T$19:$T$93,IC$244+$FJ285-1)))</f>
        <v>0.42472833268270571</v>
      </c>
      <c r="ID285" s="678">
        <f ca="1">IF($FJ285+ID$244&gt;73,"",PRODUCT(INDEX($T$19:$T$93,ID$244):INDEX($T$19:$T$93,ID$244+$FJ285-1)))</f>
        <v>0.36109616505557696</v>
      </c>
      <c r="IE285" s="250"/>
    </row>
    <row r="286" spans="9:239">
      <c r="I286" s="137"/>
      <c r="J286" s="375"/>
      <c r="K286" s="138"/>
      <c r="L286" s="1"/>
      <c r="M286" s="376"/>
      <c r="P286" s="375"/>
      <c r="S286" s="55"/>
      <c r="T286" s="375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374"/>
      <c r="AP286" s="1"/>
      <c r="AQ286" s="374"/>
      <c r="AR286" s="1"/>
      <c r="AS286" s="1"/>
      <c r="AT286" s="106"/>
      <c r="AU286" s="106"/>
      <c r="AV286" s="106"/>
      <c r="AW286" s="31"/>
      <c r="AX286" s="31"/>
      <c r="AY286" s="31"/>
      <c r="AZ286" s="31"/>
      <c r="BA286" s="154"/>
      <c r="BB286" s="154"/>
      <c r="BC286" s="106"/>
      <c r="BD286" s="106"/>
      <c r="BE286" s="106"/>
      <c r="BF286" s="107"/>
      <c r="BG286" s="107"/>
      <c r="BH286" s="107"/>
      <c r="BI286" s="105"/>
      <c r="BJ286" s="107"/>
      <c r="BK286" s="107"/>
      <c r="BL286" s="106"/>
      <c r="BM286" s="108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7"/>
      <c r="CE286" s="107"/>
      <c r="CF286" s="107"/>
      <c r="CG286" s="107"/>
      <c r="CH286" s="107"/>
      <c r="CI286" s="107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475"/>
      <c r="DI286" s="110"/>
      <c r="DJ286" s="110"/>
      <c r="DK286" s="475"/>
      <c r="DL286" s="53"/>
      <c r="DM286" s="54"/>
      <c r="DN286" s="54"/>
      <c r="DO286" s="54"/>
      <c r="DP286" s="54"/>
      <c r="DQ286" s="54"/>
      <c r="DR286" s="54"/>
      <c r="DS286" s="54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L286" s="55"/>
      <c r="EM286" s="1"/>
      <c r="EN286" s="106"/>
      <c r="EO286" s="105"/>
      <c r="EP286" s="1"/>
      <c r="EQ286" s="106"/>
      <c r="ER286" s="1"/>
      <c r="ES286" s="1"/>
      <c r="ET286" s="1"/>
      <c r="EU286" s="107"/>
      <c r="FJ286" s="673">
        <v>42</v>
      </c>
      <c r="FK286" s="479" t="str">
        <f ca="1">IF($FJ286+FK$244&gt;73,"",PRODUCT(INDEX($T$19:$T$93,FK$244):INDEX($T$19:$T$93,FK$244+$FJ286-1)))</f>
        <v/>
      </c>
      <c r="FL286" s="479" t="str">
        <f ca="1">IF($FJ286+FL$244&gt;73,"",PRODUCT(INDEX($T$19:$T$93,FL$244):INDEX($T$19:$T$93,FL$244+$FJ286-1)))</f>
        <v/>
      </c>
      <c r="FM286" s="479" t="str">
        <f ca="1">IF($FJ286+FM$244&gt;73,"",PRODUCT(INDEX($T$19:$T$93,FM$244):INDEX($T$19:$T$93,FM$244+$FJ286-1)))</f>
        <v/>
      </c>
      <c r="FN286" s="479" t="str">
        <f ca="1">IF($FJ286+FN$244&gt;73,"",PRODUCT(INDEX($T$19:$T$93,FN$244):INDEX($T$19:$T$93,FN$244+$FJ286-1)))</f>
        <v/>
      </c>
      <c r="FO286" s="479" t="str">
        <f ca="1">IF($FJ286+FO$244&gt;73,"",PRODUCT(INDEX($T$19:$T$93,FO$244):INDEX($T$19:$T$93,FO$244+$FJ286-1)))</f>
        <v/>
      </c>
      <c r="FP286" s="479" t="str">
        <f ca="1">IF($FJ286+FP$244&gt;73,"",PRODUCT(INDEX($T$19:$T$93,FP$244):INDEX($T$19:$T$93,FP$244+$FJ286-1)))</f>
        <v/>
      </c>
      <c r="FQ286" s="479" t="str">
        <f ca="1">IF($FJ286+FQ$244&gt;73,"",PRODUCT(INDEX($T$19:$T$93,FQ$244):INDEX($T$19:$T$93,FQ$244+$FJ286-1)))</f>
        <v/>
      </c>
      <c r="FR286" s="479" t="str">
        <f ca="1">IF($FJ286+FR$244&gt;73,"",PRODUCT(INDEX($T$19:$T$93,FR$244):INDEX($T$19:$T$93,FR$244+$FJ286-1)))</f>
        <v/>
      </c>
      <c r="FS286" s="479" t="str">
        <f ca="1">IF($FJ286+FS$244&gt;73,"",PRODUCT(INDEX($T$19:$T$93,FS$244):INDEX($T$19:$T$93,FS$244+$FJ286-1)))</f>
        <v/>
      </c>
      <c r="FT286" s="479" t="str">
        <f ca="1">IF($FJ286+FT$244&gt;73,"",PRODUCT(INDEX($T$19:$T$93,FT$244):INDEX($T$19:$T$93,FT$244+$FJ286-1)))</f>
        <v/>
      </c>
      <c r="FU286" s="479" t="str">
        <f ca="1">IF($FJ286+FU$244&gt;73,"",PRODUCT(INDEX($T$19:$T$93,FU$244):INDEX($T$19:$T$93,FU$244+$FJ286-1)))</f>
        <v/>
      </c>
      <c r="FV286" s="479" t="str">
        <f ca="1">IF($FJ286+FV$244&gt;73,"",PRODUCT(INDEX($T$19:$T$93,FV$244):INDEX($T$19:$T$93,FV$244+$FJ286-1)))</f>
        <v/>
      </c>
      <c r="FW286" s="479" t="str">
        <f ca="1">IF($FJ286+FW$244&gt;73,"",PRODUCT(INDEX($T$19:$T$93,FW$244):INDEX($T$19:$T$93,FW$244+$FJ286-1)))</f>
        <v/>
      </c>
      <c r="FX286" s="479" t="str">
        <f ca="1">IF($FJ286+FX$244&gt;73,"",PRODUCT(INDEX($T$19:$T$93,FX$244):INDEX($T$19:$T$93,FX$244+$FJ286-1)))</f>
        <v/>
      </c>
      <c r="FY286" s="479" t="str">
        <f ca="1">IF($FJ286+FY$244&gt;73,"",PRODUCT(INDEX($T$19:$T$93,FY$244):INDEX($T$19:$T$93,FY$244+$FJ286-1)))</f>
        <v/>
      </c>
      <c r="FZ286" s="479" t="str">
        <f ca="1">IF($FJ286+FZ$244&gt;73,"",PRODUCT(INDEX($T$19:$T$93,FZ$244):INDEX($T$19:$T$93,FZ$244+$FJ286-1)))</f>
        <v/>
      </c>
      <c r="GA286" s="479" t="str">
        <f ca="1">IF($FJ286+GA$244&gt;73,"",PRODUCT(INDEX($T$19:$T$93,GA$244):INDEX($T$19:$T$93,GA$244+$FJ286-1)))</f>
        <v/>
      </c>
      <c r="GB286" s="479" t="str">
        <f ca="1">IF($FJ286+GB$244&gt;73,"",PRODUCT(INDEX($T$19:$T$93,GB$244):INDEX($T$19:$T$93,GB$244+$FJ286-1)))</f>
        <v/>
      </c>
      <c r="GC286" s="479" t="str">
        <f ca="1">IF($FJ286+GC$244&gt;73,"",PRODUCT(INDEX($T$19:$T$93,GC$244):INDEX($T$19:$T$93,GC$244+$FJ286-1)))</f>
        <v/>
      </c>
      <c r="GD286" s="479" t="str">
        <f ca="1">IF($FJ286+GD$244&gt;73,"",PRODUCT(INDEX($T$19:$T$93,GD$244):INDEX($T$19:$T$93,GD$244+$FJ286-1)))</f>
        <v/>
      </c>
      <c r="GE286" s="479" t="str">
        <f ca="1">IF($FJ286+GE$244&gt;73,"",PRODUCT(INDEX($T$19:$T$93,GE$244):INDEX($T$19:$T$93,GE$244+$FJ286-1)))</f>
        <v/>
      </c>
      <c r="GF286" s="479" t="str">
        <f ca="1">IF($FJ286+GF$244&gt;73,"",PRODUCT(INDEX($T$19:$T$93,GF$244):INDEX($T$19:$T$93,GF$244+$FJ286-1)))</f>
        <v/>
      </c>
      <c r="GG286" s="479" t="str">
        <f ca="1">IF($FJ286+GG$244&gt;73,"",PRODUCT(INDEX($T$19:$T$93,GG$244):INDEX($T$19:$T$93,GG$244+$FJ286-1)))</f>
        <v/>
      </c>
      <c r="GH286" s="479" t="str">
        <f ca="1">IF($FJ286+GH$244&gt;73,"",PRODUCT(INDEX($T$19:$T$93,GH$244):INDEX($T$19:$T$93,GH$244+$FJ286-1)))</f>
        <v/>
      </c>
      <c r="GI286" s="479" t="str">
        <f ca="1">IF($FJ286+GI$244&gt;73,"",PRODUCT(INDEX($T$19:$T$93,GI$244):INDEX($T$19:$T$93,GI$244+$FJ286-1)))</f>
        <v/>
      </c>
      <c r="GJ286" s="479" t="str">
        <f ca="1">IF($FJ286+GJ$244&gt;73,"",PRODUCT(INDEX($T$19:$T$93,GJ$244):INDEX($T$19:$T$93,GJ$244+$FJ286-1)))</f>
        <v/>
      </c>
      <c r="GK286" s="479" t="str">
        <f ca="1">IF($FJ286+GK$244&gt;73,"",PRODUCT(INDEX($T$19:$T$93,GK$244):INDEX($T$19:$T$93,GK$244+$FJ286-1)))</f>
        <v/>
      </c>
      <c r="GL286" s="479" t="str">
        <f ca="1">IF($FJ286+GL$244&gt;73,"",PRODUCT(INDEX($T$19:$T$93,GL$244):INDEX($T$19:$T$93,GL$244+$FJ286-1)))</f>
        <v/>
      </c>
      <c r="GM286" s="479" t="str">
        <f ca="1">IF($FJ286+GM$244&gt;73,"",PRODUCT(INDEX($T$19:$T$93,GM$244):INDEX($T$19:$T$93,GM$244+$FJ286-1)))</f>
        <v/>
      </c>
      <c r="GN286" s="479" t="str">
        <f ca="1">IF($FJ286+GN$244&gt;73,"",PRODUCT(INDEX($T$19:$T$93,GN$244):INDEX($T$19:$T$93,GN$244+$FJ286-1)))</f>
        <v/>
      </c>
      <c r="GO286" s="479" t="str">
        <f ca="1">IF($FJ286+GO$244&gt;73,"",PRODUCT(INDEX($T$19:$T$93,GO$244):INDEX($T$19:$T$93,GO$244+$FJ286-1)))</f>
        <v/>
      </c>
      <c r="GP286" s="479" t="str">
        <f ca="1">IF($FJ286+GP$244&gt;73,"",PRODUCT(INDEX($T$19:$T$93,GP$244):INDEX($T$19:$T$93,GP$244+$FJ286-1)))</f>
        <v/>
      </c>
      <c r="GQ286" s="479" t="str">
        <f ca="1">IF($FJ286+GQ$244&gt;73,"",PRODUCT(INDEX($T$19:$T$93,GQ$244):INDEX($T$19:$T$93,GQ$244+$FJ286-1)))</f>
        <v/>
      </c>
      <c r="GR286" s="479" t="str">
        <f ca="1">IF($FJ286+GR$244&gt;73,"",PRODUCT(INDEX($T$19:$T$93,GR$244):INDEX($T$19:$T$93,GR$244+$FJ286-1)))</f>
        <v/>
      </c>
      <c r="GS286" s="479" t="str">
        <f ca="1">IF($FJ286+GS$244&gt;73,"",PRODUCT(INDEX($T$19:$T$93,GS$244):INDEX($T$19:$T$93,GS$244+$FJ286-1)))</f>
        <v/>
      </c>
      <c r="GT286" s="479" t="str">
        <f ca="1">IF($FJ286+GT$244&gt;73,"",PRODUCT(INDEX($T$19:$T$93,GT$244):INDEX($T$19:$T$93,GT$244+$FJ286-1)))</f>
        <v/>
      </c>
      <c r="GU286" s="479" t="str">
        <f ca="1">IF($FJ286+GU$244&gt;73,"",PRODUCT(INDEX($T$19:$T$93,GU$244):INDEX($T$19:$T$93,GU$244+$FJ286-1)))</f>
        <v/>
      </c>
      <c r="GV286" s="479" t="str">
        <f ca="1">IF($FJ286+GV$244&gt;73,"",PRODUCT(INDEX($T$19:$T$93,GV$244):INDEX($T$19:$T$93,GV$244+$FJ286-1)))</f>
        <v/>
      </c>
      <c r="GW286" s="479" t="str">
        <f ca="1">IF($FJ286+GW$244&gt;73,"",PRODUCT(INDEX($T$19:$T$93,GW$244):INDEX($T$19:$T$93,GW$244+$FJ286-1)))</f>
        <v/>
      </c>
      <c r="GX286" s="479" t="str">
        <f ca="1">IF($FJ286+GX$244&gt;73,"",PRODUCT(INDEX($T$19:$T$93,GX$244):INDEX($T$19:$T$93,GX$244+$FJ286-1)))</f>
        <v/>
      </c>
      <c r="GY286" s="479" t="str">
        <f ca="1">IF($FJ286+GY$244&gt;73,"",PRODUCT(INDEX($T$19:$T$93,GY$244):INDEX($T$19:$T$93,GY$244+$FJ286-1)))</f>
        <v/>
      </c>
      <c r="GZ286" s="479">
        <f ca="1">IF($FJ286+GZ$244&gt;73,"",PRODUCT(INDEX($T$19:$T$93,GZ$244):INDEX($T$19:$T$93,GZ$244+$FJ286-1)))</f>
        <v>0.99178890868466818</v>
      </c>
      <c r="HA286" s="479">
        <f ca="1">IF($FJ286+HA$244&gt;73,"",PRODUCT(INDEX($T$19:$T$93,HA$244):INDEX($T$19:$T$93,HA$244+$FJ286-1)))</f>
        <v>0.9904008816655826</v>
      </c>
      <c r="HB286" s="479">
        <f ca="1">IF($FJ286+HB$244&gt;73,"",PRODUCT(INDEX($T$19:$T$93,HB$244):INDEX($T$19:$T$93,HB$244+$FJ286-1)))</f>
        <v>0.98877915229038205</v>
      </c>
      <c r="HC286" s="479">
        <f ca="1">IF($FJ286+HC$244&gt;73,"",PRODUCT(INDEX($T$19:$T$93,HC$244):INDEX($T$19:$T$93,HC$244+$FJ286-1)))</f>
        <v>0.98688472274463324</v>
      </c>
      <c r="HD286" s="479">
        <f ca="1">IF($FJ286+HD$244&gt;73,"",PRODUCT(INDEX($T$19:$T$93,HD$244):INDEX($T$19:$T$93,HD$244+$FJ286-1)))</f>
        <v>0.98467221939413541</v>
      </c>
      <c r="HE286" s="479">
        <f ca="1">IF($FJ286+HE$244&gt;73,"",PRODUCT(INDEX($T$19:$T$93,HE$244):INDEX($T$19:$T$93,HE$244+$FJ286-1)))</f>
        <v>0.98208890007786331</v>
      </c>
      <c r="HF286" s="479">
        <f ca="1">IF($FJ286+HF$244&gt;73,"",PRODUCT(INDEX($T$19:$T$93,HF$244):INDEX($T$19:$T$93,HF$244+$FJ286-1)))</f>
        <v>0.97907352583831464</v>
      </c>
      <c r="HG286" s="479">
        <f ca="1">IF($FJ286+HG$244&gt;73,"",PRODUCT(INDEX($T$19:$T$93,HG$244):INDEX($T$19:$T$93,HG$244+$FJ286-1)))</f>
        <v>0.97555508613259989</v>
      </c>
      <c r="HH286" s="479">
        <f ca="1">IF($FJ286+HH$244&gt;73,"",PRODUCT(INDEX($T$19:$T$93,HH$244):INDEX($T$19:$T$93,HH$244+$FJ286-1)))</f>
        <v>0.97145136906230134</v>
      </c>
      <c r="HI286" s="479">
        <f ca="1">IF($FJ286+HI$244&gt;73,"",PRODUCT(INDEX($T$19:$T$93,HI$244):INDEX($T$19:$T$93,HI$244+$FJ286-1)))</f>
        <v>0.96666737261323044</v>
      </c>
      <c r="HJ286" s="479">
        <f ca="1">IF($FJ286+HJ$244&gt;73,"",PRODUCT(INDEX($T$19:$T$93,HJ$244):INDEX($T$19:$T$93,HJ$244+$FJ286-1)))</f>
        <v>0.96109356015630409</v>
      </c>
      <c r="HK286" s="479">
        <f ca="1">IF($FJ286+HK$244&gt;73,"",PRODUCT(INDEX($T$19:$T$93,HK$244):INDEX($T$19:$T$93,HK$244+$FJ286-1)))</f>
        <v>0.95460397467757208</v>
      </c>
      <c r="HL286" s="479">
        <f ca="1">IF($FJ286+HL$244&gt;73,"",PRODUCT(INDEX($T$19:$T$93,HL$244):INDEX($T$19:$T$93,HL$244+$FJ286-1)))</f>
        <v>0.9470542429170673</v>
      </c>
      <c r="HM286" s="479">
        <f ca="1">IF($FJ286+HM$244&gt;73,"",PRODUCT(INDEX($T$19:$T$93,HM$244):INDEX($T$19:$T$93,HM$244+$FJ286-1)))</f>
        <v>0.93827952483163557</v>
      </c>
      <c r="HN286" s="479">
        <f ca="1">IF($FJ286+HN$244&gt;73,"",PRODUCT(INDEX($T$19:$T$93,HN$244):INDEX($T$19:$T$93,HN$244+$FJ286-1)))</f>
        <v>0.92809249818660711</v>
      </c>
      <c r="HO286" s="479">
        <f ca="1">IF($FJ286+HO$244&gt;73,"",PRODUCT(INDEX($T$19:$T$93,HO$244):INDEX($T$19:$T$93,HO$244+$FJ286-1)))</f>
        <v>0.91628151596184282</v>
      </c>
      <c r="HP286" s="479">
        <f ca="1">IF($FJ286+HP$244&gt;73,"",PRODUCT(INDEX($T$19:$T$93,HP$244):INDEX($T$19:$T$93,HP$244+$FJ286-1)))</f>
        <v>0.9026091397394862</v>
      </c>
      <c r="HQ286" s="479">
        <f ca="1">IF($FJ286+HQ$244&gt;73,"",PRODUCT(INDEX($T$19:$T$93,HQ$244):INDEX($T$19:$T$93,HQ$244+$FJ286-1)))</f>
        <v>0.88681134017838636</v>
      </c>
      <c r="HR286" s="479">
        <f ca="1">IF($FJ286+HR$244&gt;73,"",PRODUCT(INDEX($T$19:$T$93,HR$244):INDEX($T$19:$T$93,HR$244+$FJ286-1)))</f>
        <v>0.86859777144190931</v>
      </c>
      <c r="HS286" s="479">
        <f ca="1">IF($FJ286+HS$244&gt;73,"",PRODUCT(INDEX($T$19:$T$93,HS$244):INDEX($T$19:$T$93,HS$244+$FJ286-1)))</f>
        <v>0.84765367530167823</v>
      </c>
      <c r="HT286" s="479">
        <f ca="1">IF($FJ286+HT$244&gt;73,"",PRODUCT(INDEX($T$19:$T$93,HT$244):INDEX($T$19:$T$93,HT$244+$FJ286-1)))</f>
        <v>0.82364415647292955</v>
      </c>
      <c r="HU286" s="479">
        <f ca="1">IF($FJ286+HU$244&gt;73,"",PRODUCT(INDEX($T$19:$T$93,HU$244):INDEX($T$19:$T$93,HU$244+$FJ286-1)))</f>
        <v>0.79622179361653556</v>
      </c>
      <c r="HV286" s="479">
        <f ca="1">IF($FJ286+HV$244&gt;73,"",PRODUCT(INDEX($T$19:$T$93,HV$244):INDEX($T$19:$T$93,HV$244+$FJ286-1)))</f>
        <v>0.76503880235788935</v>
      </c>
      <c r="HW286" s="479">
        <f ca="1">IF($FJ286+HW$244&gt;73,"",PRODUCT(INDEX($T$19:$T$93,HW$244):INDEX($T$19:$T$93,HW$244+$FJ286-1)))</f>
        <v>0.72976522445037972</v>
      </c>
      <c r="HX286" s="479">
        <f ca="1">IF($FJ286+HX$244&gt;73,"",PRODUCT(INDEX($T$19:$T$93,HX$244):INDEX($T$19:$T$93,HX$244+$FJ286-1)))</f>
        <v>0.69011483135712903</v>
      </c>
      <c r="HY286" s="479">
        <f ca="1">IF($FJ286+HY$244&gt;73,"",PRODUCT(INDEX($T$19:$T$93,HY$244):INDEX($T$19:$T$93,HY$244+$FJ286-1)))</f>
        <v>0.64588050867682789</v>
      </c>
      <c r="HZ286" s="479">
        <f ca="1">IF($FJ286+HZ$244&gt;73,"",PRODUCT(INDEX($T$19:$T$93,HZ$244):INDEX($T$19:$T$93,HZ$244+$FJ286-1)))</f>
        <v>0.59698067212502259</v>
      </c>
      <c r="IA286" s="479">
        <f ca="1">IF($FJ286+IA$244&gt;73,"",PRODUCT(INDEX($T$19:$T$93,IA$244):INDEX($T$19:$T$93,IA$244+$FJ286-1)))</f>
        <v>0.54351750563411583</v>
      </c>
      <c r="IB286" s="479">
        <f ca="1">IF($FJ286+IB$244&gt;73,"",PRODUCT(INDEX($T$19:$T$93,IB$244):INDEX($T$19:$T$93,IB$244+$FJ286-1)))</f>
        <v>0.48584613986330838</v>
      </c>
      <c r="IC286" s="479">
        <f ca="1">IF($FJ286+IC$244&gt;73,"",PRODUCT(INDEX($T$19:$T$93,IC$244):INDEX($T$19:$T$93,IC$244+$FJ286-1)))</f>
        <v>0.42465081809491656</v>
      </c>
      <c r="ID286" s="678">
        <f ca="1">IF($FJ286+ID$244&gt;73,"",PRODUCT(INDEX($T$19:$T$93,ID$244):INDEX($T$19:$T$93,ID$244+$FJ286-1)))</f>
        <v>0.36101908278029993</v>
      </c>
      <c r="IE286" s="250"/>
    </row>
    <row r="287" spans="9:239">
      <c r="I287" s="137"/>
      <c r="J287" s="375"/>
      <c r="K287" s="138"/>
      <c r="L287" s="1"/>
      <c r="M287" s="376"/>
      <c r="P287" s="375"/>
      <c r="S287" s="55"/>
      <c r="T287" s="375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374"/>
      <c r="AP287" s="1"/>
      <c r="AQ287" s="374"/>
      <c r="AR287" s="1"/>
      <c r="AS287" s="1"/>
      <c r="AT287" s="106"/>
      <c r="AU287" s="106"/>
      <c r="AV287" s="106"/>
      <c r="AW287" s="31"/>
      <c r="AX287" s="31"/>
      <c r="AY287" s="31"/>
      <c r="AZ287" s="31"/>
      <c r="BA287" s="154"/>
      <c r="BB287" s="154"/>
      <c r="BC287" s="106"/>
      <c r="BD287" s="106"/>
      <c r="BE287" s="106"/>
      <c r="BF287" s="107"/>
      <c r="BG287" s="107"/>
      <c r="BH287" s="107"/>
      <c r="BI287" s="105"/>
      <c r="BJ287" s="107"/>
      <c r="BK287" s="107"/>
      <c r="BL287" s="106"/>
      <c r="BM287" s="108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7"/>
      <c r="CE287" s="107"/>
      <c r="CF287" s="107"/>
      <c r="CG287" s="107"/>
      <c r="CH287" s="107"/>
      <c r="CI287" s="107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475"/>
      <c r="DI287" s="110"/>
      <c r="DJ287" s="110"/>
      <c r="DK287" s="475"/>
      <c r="DL287" s="53"/>
      <c r="DM287" s="54"/>
      <c r="DN287" s="54"/>
      <c r="DO287" s="54"/>
      <c r="DP287" s="54"/>
      <c r="DQ287" s="54"/>
      <c r="DR287" s="54"/>
      <c r="DS287" s="54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L287" s="55"/>
      <c r="EM287" s="1"/>
      <c r="EN287" s="106"/>
      <c r="EO287" s="105"/>
      <c r="EP287" s="1"/>
      <c r="EQ287" s="106"/>
      <c r="ER287" s="1"/>
      <c r="ES287" s="1"/>
      <c r="ET287" s="1"/>
      <c r="EU287" s="107"/>
      <c r="FJ287" s="673">
        <v>43</v>
      </c>
      <c r="FK287" s="479" t="str">
        <f ca="1">IF($FJ287+FK$244&gt;73,"",PRODUCT(INDEX($T$19:$T$93,FK$244):INDEX($T$19:$T$93,FK$244+$FJ287-1)))</f>
        <v/>
      </c>
      <c r="FL287" s="479" t="str">
        <f ca="1">IF($FJ287+FL$244&gt;73,"",PRODUCT(INDEX($T$19:$T$93,FL$244):INDEX($T$19:$T$93,FL$244+$FJ287-1)))</f>
        <v/>
      </c>
      <c r="FM287" s="479" t="str">
        <f ca="1">IF($FJ287+FM$244&gt;73,"",PRODUCT(INDEX($T$19:$T$93,FM$244):INDEX($T$19:$T$93,FM$244+$FJ287-1)))</f>
        <v/>
      </c>
      <c r="FN287" s="479" t="str">
        <f ca="1">IF($FJ287+FN$244&gt;73,"",PRODUCT(INDEX($T$19:$T$93,FN$244):INDEX($T$19:$T$93,FN$244+$FJ287-1)))</f>
        <v/>
      </c>
      <c r="FO287" s="479" t="str">
        <f ca="1">IF($FJ287+FO$244&gt;73,"",PRODUCT(INDEX($T$19:$T$93,FO$244):INDEX($T$19:$T$93,FO$244+$FJ287-1)))</f>
        <v/>
      </c>
      <c r="FP287" s="479" t="str">
        <f ca="1">IF($FJ287+FP$244&gt;73,"",PRODUCT(INDEX($T$19:$T$93,FP$244):INDEX($T$19:$T$93,FP$244+$FJ287-1)))</f>
        <v/>
      </c>
      <c r="FQ287" s="479" t="str">
        <f ca="1">IF($FJ287+FQ$244&gt;73,"",PRODUCT(INDEX($T$19:$T$93,FQ$244):INDEX($T$19:$T$93,FQ$244+$FJ287-1)))</f>
        <v/>
      </c>
      <c r="FR287" s="479" t="str">
        <f ca="1">IF($FJ287+FR$244&gt;73,"",PRODUCT(INDEX($T$19:$T$93,FR$244):INDEX($T$19:$T$93,FR$244+$FJ287-1)))</f>
        <v/>
      </c>
      <c r="FS287" s="479" t="str">
        <f ca="1">IF($FJ287+FS$244&gt;73,"",PRODUCT(INDEX($T$19:$T$93,FS$244):INDEX($T$19:$T$93,FS$244+$FJ287-1)))</f>
        <v/>
      </c>
      <c r="FT287" s="479" t="str">
        <f ca="1">IF($FJ287+FT$244&gt;73,"",PRODUCT(INDEX($T$19:$T$93,FT$244):INDEX($T$19:$T$93,FT$244+$FJ287-1)))</f>
        <v/>
      </c>
      <c r="FU287" s="479" t="str">
        <f ca="1">IF($FJ287+FU$244&gt;73,"",PRODUCT(INDEX($T$19:$T$93,FU$244):INDEX($T$19:$T$93,FU$244+$FJ287-1)))</f>
        <v/>
      </c>
      <c r="FV287" s="479" t="str">
        <f ca="1">IF($FJ287+FV$244&gt;73,"",PRODUCT(INDEX($T$19:$T$93,FV$244):INDEX($T$19:$T$93,FV$244+$FJ287-1)))</f>
        <v/>
      </c>
      <c r="FW287" s="479" t="str">
        <f ca="1">IF($FJ287+FW$244&gt;73,"",PRODUCT(INDEX($T$19:$T$93,FW$244):INDEX($T$19:$T$93,FW$244+$FJ287-1)))</f>
        <v/>
      </c>
      <c r="FX287" s="479" t="str">
        <f ca="1">IF($FJ287+FX$244&gt;73,"",PRODUCT(INDEX($T$19:$T$93,FX$244):INDEX($T$19:$T$93,FX$244+$FJ287-1)))</f>
        <v/>
      </c>
      <c r="FY287" s="479" t="str">
        <f ca="1">IF($FJ287+FY$244&gt;73,"",PRODUCT(INDEX($T$19:$T$93,FY$244):INDEX($T$19:$T$93,FY$244+$FJ287-1)))</f>
        <v/>
      </c>
      <c r="FZ287" s="479" t="str">
        <f ca="1">IF($FJ287+FZ$244&gt;73,"",PRODUCT(INDEX($T$19:$T$93,FZ$244):INDEX($T$19:$T$93,FZ$244+$FJ287-1)))</f>
        <v/>
      </c>
      <c r="GA287" s="479" t="str">
        <f ca="1">IF($FJ287+GA$244&gt;73,"",PRODUCT(INDEX($T$19:$T$93,GA$244):INDEX($T$19:$T$93,GA$244+$FJ287-1)))</f>
        <v/>
      </c>
      <c r="GB287" s="479" t="str">
        <f ca="1">IF($FJ287+GB$244&gt;73,"",PRODUCT(INDEX($T$19:$T$93,GB$244):INDEX($T$19:$T$93,GB$244+$FJ287-1)))</f>
        <v/>
      </c>
      <c r="GC287" s="479" t="str">
        <f ca="1">IF($FJ287+GC$244&gt;73,"",PRODUCT(INDEX($T$19:$T$93,GC$244):INDEX($T$19:$T$93,GC$244+$FJ287-1)))</f>
        <v/>
      </c>
      <c r="GD287" s="479" t="str">
        <f ca="1">IF($FJ287+GD$244&gt;73,"",PRODUCT(INDEX($T$19:$T$93,GD$244):INDEX($T$19:$T$93,GD$244+$FJ287-1)))</f>
        <v/>
      </c>
      <c r="GE287" s="479" t="str">
        <f ca="1">IF($FJ287+GE$244&gt;73,"",PRODUCT(INDEX($T$19:$T$93,GE$244):INDEX($T$19:$T$93,GE$244+$FJ287-1)))</f>
        <v/>
      </c>
      <c r="GF287" s="479" t="str">
        <f ca="1">IF($FJ287+GF$244&gt;73,"",PRODUCT(INDEX($T$19:$T$93,GF$244):INDEX($T$19:$T$93,GF$244+$FJ287-1)))</f>
        <v/>
      </c>
      <c r="GG287" s="479" t="str">
        <f ca="1">IF($FJ287+GG$244&gt;73,"",PRODUCT(INDEX($T$19:$T$93,GG$244):INDEX($T$19:$T$93,GG$244+$FJ287-1)))</f>
        <v/>
      </c>
      <c r="GH287" s="479" t="str">
        <f ca="1">IF($FJ287+GH$244&gt;73,"",PRODUCT(INDEX($T$19:$T$93,GH$244):INDEX($T$19:$T$93,GH$244+$FJ287-1)))</f>
        <v/>
      </c>
      <c r="GI287" s="479" t="str">
        <f ca="1">IF($FJ287+GI$244&gt;73,"",PRODUCT(INDEX($T$19:$T$93,GI$244):INDEX($T$19:$T$93,GI$244+$FJ287-1)))</f>
        <v/>
      </c>
      <c r="GJ287" s="479" t="str">
        <f ca="1">IF($FJ287+GJ$244&gt;73,"",PRODUCT(INDEX($T$19:$T$93,GJ$244):INDEX($T$19:$T$93,GJ$244+$FJ287-1)))</f>
        <v/>
      </c>
      <c r="GK287" s="479" t="str">
        <f ca="1">IF($FJ287+GK$244&gt;73,"",PRODUCT(INDEX($T$19:$T$93,GK$244):INDEX($T$19:$T$93,GK$244+$FJ287-1)))</f>
        <v/>
      </c>
      <c r="GL287" s="479" t="str">
        <f ca="1">IF($FJ287+GL$244&gt;73,"",PRODUCT(INDEX($T$19:$T$93,GL$244):INDEX($T$19:$T$93,GL$244+$FJ287-1)))</f>
        <v/>
      </c>
      <c r="GM287" s="479" t="str">
        <f ca="1">IF($FJ287+GM$244&gt;73,"",PRODUCT(INDEX($T$19:$T$93,GM$244):INDEX($T$19:$T$93,GM$244+$FJ287-1)))</f>
        <v/>
      </c>
      <c r="GN287" s="479" t="str">
        <f ca="1">IF($FJ287+GN$244&gt;73,"",PRODUCT(INDEX($T$19:$T$93,GN$244):INDEX($T$19:$T$93,GN$244+$FJ287-1)))</f>
        <v/>
      </c>
      <c r="GO287" s="479" t="str">
        <f ca="1">IF($FJ287+GO$244&gt;73,"",PRODUCT(INDEX($T$19:$T$93,GO$244):INDEX($T$19:$T$93,GO$244+$FJ287-1)))</f>
        <v/>
      </c>
      <c r="GP287" s="479" t="str">
        <f ca="1">IF($FJ287+GP$244&gt;73,"",PRODUCT(INDEX($T$19:$T$93,GP$244):INDEX($T$19:$T$93,GP$244+$FJ287-1)))</f>
        <v/>
      </c>
      <c r="GQ287" s="479" t="str">
        <f ca="1">IF($FJ287+GQ$244&gt;73,"",PRODUCT(INDEX($T$19:$T$93,GQ$244):INDEX($T$19:$T$93,GQ$244+$FJ287-1)))</f>
        <v/>
      </c>
      <c r="GR287" s="479" t="str">
        <f ca="1">IF($FJ287+GR$244&gt;73,"",PRODUCT(INDEX($T$19:$T$93,GR$244):INDEX($T$19:$T$93,GR$244+$FJ287-1)))</f>
        <v/>
      </c>
      <c r="GS287" s="479" t="str">
        <f ca="1">IF($FJ287+GS$244&gt;73,"",PRODUCT(INDEX($T$19:$T$93,GS$244):INDEX($T$19:$T$93,GS$244+$FJ287-1)))</f>
        <v/>
      </c>
      <c r="GT287" s="479" t="str">
        <f ca="1">IF($FJ287+GT$244&gt;73,"",PRODUCT(INDEX($T$19:$T$93,GT$244):INDEX($T$19:$T$93,GT$244+$FJ287-1)))</f>
        <v/>
      </c>
      <c r="GU287" s="479" t="str">
        <f ca="1">IF($FJ287+GU$244&gt;73,"",PRODUCT(INDEX($T$19:$T$93,GU$244):INDEX($T$19:$T$93,GU$244+$FJ287-1)))</f>
        <v/>
      </c>
      <c r="GV287" s="479" t="str">
        <f ca="1">IF($FJ287+GV$244&gt;73,"",PRODUCT(INDEX($T$19:$T$93,GV$244):INDEX($T$19:$T$93,GV$244+$FJ287-1)))</f>
        <v/>
      </c>
      <c r="GW287" s="479" t="str">
        <f ca="1">IF($FJ287+GW$244&gt;73,"",PRODUCT(INDEX($T$19:$T$93,GW$244):INDEX($T$19:$T$93,GW$244+$FJ287-1)))</f>
        <v/>
      </c>
      <c r="GX287" s="479" t="str">
        <f ca="1">IF($FJ287+GX$244&gt;73,"",PRODUCT(INDEX($T$19:$T$93,GX$244):INDEX($T$19:$T$93,GX$244+$FJ287-1)))</f>
        <v/>
      </c>
      <c r="GY287" s="479" t="str">
        <f ca="1">IF($FJ287+GY$244&gt;73,"",PRODUCT(INDEX($T$19:$T$93,GY$244):INDEX($T$19:$T$93,GY$244+$FJ287-1)))</f>
        <v/>
      </c>
      <c r="GZ287" s="479" t="str">
        <f ca="1">IF($FJ287+GZ$244&gt;73,"",PRODUCT(INDEX($T$19:$T$93,GZ$244):INDEX($T$19:$T$93,GZ$244+$FJ287-1)))</f>
        <v/>
      </c>
      <c r="HA287" s="479">
        <f ca="1">IF($FJ287+HA$244&gt;73,"",PRODUCT(INDEX($T$19:$T$93,HA$244):INDEX($T$19:$T$93,HA$244+$FJ287-1)))</f>
        <v>0.99039895888485385</v>
      </c>
      <c r="HB287" s="479">
        <f ca="1">IF($FJ287+HB$244&gt;73,"",PRODUCT(INDEX($T$19:$T$93,HB$244):INDEX($T$19:$T$93,HB$244+$FJ287-1)))</f>
        <v>0.98877690710388277</v>
      </c>
      <c r="HC287" s="479">
        <f ca="1">IF($FJ287+HC$244&gt;73,"",PRODUCT(INDEX($T$19:$T$93,HC$244):INDEX($T$19:$T$93,HC$244+$FJ287-1)))</f>
        <v>0.98688210182323377</v>
      </c>
      <c r="HD287" s="479">
        <f ca="1">IF($FJ287+HD$244&gt;73,"",PRODUCT(INDEX($T$19:$T$93,HD$244):INDEX($T$19:$T$93,HD$244+$FJ287-1)))</f>
        <v>0.98466916085679213</v>
      </c>
      <c r="HE287" s="479">
        <f ca="1">IF($FJ287+HE$244&gt;73,"",PRODUCT(INDEX($T$19:$T$93,HE$244):INDEX($T$19:$T$93,HE$244+$FJ287-1)))</f>
        <v>0.98208533222012639</v>
      </c>
      <c r="HF287" s="479">
        <f ca="1">IF($FJ287+HF$244&gt;73,"",PRODUCT(INDEX($T$19:$T$93,HF$244):INDEX($T$19:$T$93,HF$244+$FJ287-1)))</f>
        <v>0.97906936570962244</v>
      </c>
      <c r="HG287" s="479">
        <f ca="1">IF($FJ287+HG$244&gt;73,"",PRODUCT(INDEX($T$19:$T$93,HG$244):INDEX($T$19:$T$93,HG$244+$FJ287-1)))</f>
        <v>0.97555023795958851</v>
      </c>
      <c r="HH287" s="479">
        <f ca="1">IF($FJ287+HH$244&gt;73,"",PRODUCT(INDEX($T$19:$T$93,HH$244):INDEX($T$19:$T$93,HH$244+$FJ287-1)))</f>
        <v>0.97144572252279615</v>
      </c>
      <c r="HI287" s="479">
        <f ca="1">IF($FJ287+HI$244&gt;73,"",PRODUCT(INDEX($T$19:$T$93,HI$244):INDEX($T$19:$T$93,HI$244+$FJ287-1)))</f>
        <v>0.96666080097690621</v>
      </c>
      <c r="HJ287" s="479">
        <f ca="1">IF($FJ287+HJ$244&gt;73,"",PRODUCT(INDEX($T$19:$T$93,HJ$244):INDEX($T$19:$T$93,HJ$244+$FJ287-1)))</f>
        <v>0.96108591832462997</v>
      </c>
      <c r="HK287" s="479">
        <f ca="1">IF($FJ287+HK$244&gt;73,"",PRODUCT(INDEX($T$19:$T$93,HK$244):INDEX($T$19:$T$93,HK$244+$FJ287-1)))</f>
        <v>0.95459509717946955</v>
      </c>
      <c r="HL287" s="479">
        <f ca="1">IF($FJ287+HL$244&gt;73,"",PRODUCT(INDEX($T$19:$T$93,HL$244):INDEX($T$19:$T$93,HL$244+$FJ287-1)))</f>
        <v>0.94704394195007735</v>
      </c>
      <c r="HM287" s="479">
        <f ca="1">IF($FJ287+HM$244&gt;73,"",PRODUCT(INDEX($T$19:$T$93,HM$244):INDEX($T$19:$T$93,HM$244+$FJ287-1)))</f>
        <v>0.93826758848426639</v>
      </c>
      <c r="HN287" s="479">
        <f ca="1">IF($FJ287+HN$244&gt;73,"",PRODUCT(INDEX($T$19:$T$93,HN$244):INDEX($T$19:$T$93,HN$244+$FJ287-1)))</f>
        <v>0.92807868903943869</v>
      </c>
      <c r="HO287" s="479">
        <f ca="1">IF($FJ287+HO$244&gt;73,"",PRODUCT(INDEX($T$19:$T$93,HO$244):INDEX($T$19:$T$93,HO$244+$FJ287-1)))</f>
        <v>0.91626557034694078</v>
      </c>
      <c r="HP287" s="479">
        <f ca="1">IF($FJ287+HP$244&gt;73,"",PRODUCT(INDEX($T$19:$T$93,HP$244):INDEX($T$19:$T$93,HP$244+$FJ287-1)))</f>
        <v>0.90259076804394378</v>
      </c>
      <c r="HQ287" s="479">
        <f ca="1">IF($FJ287+HQ$244&gt;73,"",PRODUCT(INDEX($T$19:$T$93,HQ$244):INDEX($T$19:$T$93,HQ$244+$FJ287-1)))</f>
        <v>0.88679022871218327</v>
      </c>
      <c r="HR287" s="479">
        <f ca="1">IF($FJ287+HR$244&gt;73,"",PRODUCT(INDEX($T$19:$T$93,HR$244):INDEX($T$19:$T$93,HR$244+$FJ287-1)))</f>
        <v>0.86857358655487937</v>
      </c>
      <c r="HS287" s="479">
        <f ca="1">IF($FJ287+HS$244&gt;73,"",PRODUCT(INDEX($T$19:$T$93,HS$244):INDEX($T$19:$T$93,HS$244+$FJ287-1)))</f>
        <v>0.84762607062753903</v>
      </c>
      <c r="HT287" s="479">
        <f ca="1">IF($FJ287+HT$244&gt;73,"",PRODUCT(INDEX($T$19:$T$93,HT$244):INDEX($T$19:$T$93,HT$244+$FJ287-1)))</f>
        <v>0.82361278439091501</v>
      </c>
      <c r="HU287" s="479">
        <f ca="1">IF($FJ287+HU$244&gt;73,"",PRODUCT(INDEX($T$19:$T$93,HU$244):INDEX($T$19:$T$93,HU$244+$FJ287-1)))</f>
        <v>0.7961863222309663</v>
      </c>
      <c r="HV287" s="479">
        <f ca="1">IF($FJ287+HV$244&gt;73,"",PRODUCT(INDEX($T$19:$T$93,HV$244):INDEX($T$19:$T$93,HV$244+$FJ287-1)))</f>
        <v>0.76499893945908359</v>
      </c>
      <c r="HW287" s="479">
        <f ca="1">IF($FJ287+HW$244&gt;73,"",PRODUCT(INDEX($T$19:$T$93,HW$244):INDEX($T$19:$T$93,HW$244+$FJ287-1)))</f>
        <v>0.72972074995905756</v>
      </c>
      <c r="HX287" s="479">
        <f ca="1">IF($FJ287+HX$244&gt;73,"",PRODUCT(INDEX($T$19:$T$93,HX$244):INDEX($T$19:$T$93,HX$244+$FJ287-1)))</f>
        <v>0.69006563954201294</v>
      </c>
      <c r="HY287" s="479">
        <f ca="1">IF($FJ287+HY$244&gt;73,"",PRODUCT(INDEX($T$19:$T$93,HY$244):INDEX($T$19:$T$93,HY$244+$FJ287-1)))</f>
        <v>0.64582666077802742</v>
      </c>
      <c r="HZ287" s="479">
        <f ca="1">IF($FJ287+HZ$244&gt;73,"",PRODUCT(INDEX($T$19:$T$93,HZ$244):INDEX($T$19:$T$93,HZ$244+$FJ287-1)))</f>
        <v>0.59692245864050786</v>
      </c>
      <c r="IA287" s="479">
        <f ca="1">IF($FJ287+IA$244&gt;73,"",PRODUCT(INDEX($T$19:$T$93,IA$244):INDEX($T$19:$T$93,IA$244+$FJ287-1)))</f>
        <v>0.54345551508344192</v>
      </c>
      <c r="IB287" s="479">
        <f ca="1">IF($FJ287+IB$244&gt;73,"",PRODUCT(INDEX($T$19:$T$93,IB$244):INDEX($T$19:$T$93,IB$244+$FJ287-1)))</f>
        <v>0.48578132695392323</v>
      </c>
      <c r="IC287" s="479">
        <f ca="1">IF($FJ287+IC$244&gt;73,"",PRODUCT(INDEX($T$19:$T$93,IC$244):INDEX($T$19:$T$93,IC$244+$FJ287-1)))</f>
        <v>0.42458455861550171</v>
      </c>
      <c r="ID287" s="678">
        <f ca="1">IF($FJ287+ID$244&gt;73,"",PRODUCT(INDEX($T$19:$T$93,ID$244):INDEX($T$19:$T$93,ID$244+$FJ287-1)))</f>
        <v>0.36095319538067916</v>
      </c>
      <c r="IE287" s="250"/>
    </row>
    <row r="288" spans="9:239">
      <c r="I288" s="137"/>
      <c r="J288" s="375"/>
      <c r="K288" s="138"/>
      <c r="L288" s="1"/>
      <c r="M288" s="376"/>
      <c r="P288" s="375"/>
      <c r="S288" s="55"/>
      <c r="T288" s="375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374"/>
      <c r="AP288" s="1"/>
      <c r="AQ288" s="374"/>
      <c r="AR288" s="1"/>
      <c r="AS288" s="1"/>
      <c r="AT288" s="106"/>
      <c r="AU288" s="106"/>
      <c r="AV288" s="106"/>
      <c r="AW288" s="31"/>
      <c r="AX288" s="31"/>
      <c r="AY288" s="31"/>
      <c r="AZ288" s="31"/>
      <c r="BA288" s="154"/>
      <c r="BB288" s="154"/>
      <c r="BC288" s="106"/>
      <c r="BD288" s="106"/>
      <c r="BE288" s="106"/>
      <c r="BF288" s="107"/>
      <c r="BG288" s="107"/>
      <c r="BH288" s="107"/>
      <c r="BI288" s="105"/>
      <c r="BJ288" s="107"/>
      <c r="BK288" s="107"/>
      <c r="BL288" s="106"/>
      <c r="BM288" s="108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7"/>
      <c r="CE288" s="107"/>
      <c r="CF288" s="107"/>
      <c r="CG288" s="107"/>
      <c r="CH288" s="107"/>
      <c r="CI288" s="107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475"/>
      <c r="DI288" s="110"/>
      <c r="DJ288" s="110"/>
      <c r="DK288" s="475"/>
      <c r="DL288" s="53"/>
      <c r="DM288" s="54"/>
      <c r="DN288" s="54"/>
      <c r="DO288" s="54"/>
      <c r="DP288" s="54"/>
      <c r="DQ288" s="54"/>
      <c r="DR288" s="54"/>
      <c r="DS288" s="54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L288" s="55"/>
      <c r="EM288" s="1"/>
      <c r="EN288" s="106"/>
      <c r="EO288" s="105"/>
      <c r="EP288" s="1"/>
      <c r="EQ288" s="106"/>
      <c r="ER288" s="1"/>
      <c r="ES288" s="1"/>
      <c r="ET288" s="1"/>
      <c r="EU288" s="107"/>
      <c r="FJ288" s="673">
        <v>44</v>
      </c>
      <c r="FK288" s="479" t="str">
        <f ca="1">IF($FJ288+FK$244&gt;73,"",PRODUCT(INDEX($T$19:$T$93,FK$244):INDEX($T$19:$T$93,FK$244+$FJ288-1)))</f>
        <v/>
      </c>
      <c r="FL288" s="479" t="str">
        <f ca="1">IF($FJ288+FL$244&gt;73,"",PRODUCT(INDEX($T$19:$T$93,FL$244):INDEX($T$19:$T$93,FL$244+$FJ288-1)))</f>
        <v/>
      </c>
      <c r="FM288" s="479" t="str">
        <f ca="1">IF($FJ288+FM$244&gt;73,"",PRODUCT(INDEX($T$19:$T$93,FM$244):INDEX($T$19:$T$93,FM$244+$FJ288-1)))</f>
        <v/>
      </c>
      <c r="FN288" s="479" t="str">
        <f ca="1">IF($FJ288+FN$244&gt;73,"",PRODUCT(INDEX($T$19:$T$93,FN$244):INDEX($T$19:$T$93,FN$244+$FJ288-1)))</f>
        <v/>
      </c>
      <c r="FO288" s="479" t="str">
        <f ca="1">IF($FJ288+FO$244&gt;73,"",PRODUCT(INDEX($T$19:$T$93,FO$244):INDEX($T$19:$T$93,FO$244+$FJ288-1)))</f>
        <v/>
      </c>
      <c r="FP288" s="479" t="str">
        <f ca="1">IF($FJ288+FP$244&gt;73,"",PRODUCT(INDEX($T$19:$T$93,FP$244):INDEX($T$19:$T$93,FP$244+$FJ288-1)))</f>
        <v/>
      </c>
      <c r="FQ288" s="479" t="str">
        <f ca="1">IF($FJ288+FQ$244&gt;73,"",PRODUCT(INDEX($T$19:$T$93,FQ$244):INDEX($T$19:$T$93,FQ$244+$FJ288-1)))</f>
        <v/>
      </c>
      <c r="FR288" s="479" t="str">
        <f ca="1">IF($FJ288+FR$244&gt;73,"",PRODUCT(INDEX($T$19:$T$93,FR$244):INDEX($T$19:$T$93,FR$244+$FJ288-1)))</f>
        <v/>
      </c>
      <c r="FS288" s="479" t="str">
        <f ca="1">IF($FJ288+FS$244&gt;73,"",PRODUCT(INDEX($T$19:$T$93,FS$244):INDEX($T$19:$T$93,FS$244+$FJ288-1)))</f>
        <v/>
      </c>
      <c r="FT288" s="479" t="str">
        <f ca="1">IF($FJ288+FT$244&gt;73,"",PRODUCT(INDEX($T$19:$T$93,FT$244):INDEX($T$19:$T$93,FT$244+$FJ288-1)))</f>
        <v/>
      </c>
      <c r="FU288" s="479" t="str">
        <f ca="1">IF($FJ288+FU$244&gt;73,"",PRODUCT(INDEX($T$19:$T$93,FU$244):INDEX($T$19:$T$93,FU$244+$FJ288-1)))</f>
        <v/>
      </c>
      <c r="FV288" s="479" t="str">
        <f ca="1">IF($FJ288+FV$244&gt;73,"",PRODUCT(INDEX($T$19:$T$93,FV$244):INDEX($T$19:$T$93,FV$244+$FJ288-1)))</f>
        <v/>
      </c>
      <c r="FW288" s="479" t="str">
        <f ca="1">IF($FJ288+FW$244&gt;73,"",PRODUCT(INDEX($T$19:$T$93,FW$244):INDEX($T$19:$T$93,FW$244+$FJ288-1)))</f>
        <v/>
      </c>
      <c r="FX288" s="479" t="str">
        <f ca="1">IF($FJ288+FX$244&gt;73,"",PRODUCT(INDEX($T$19:$T$93,FX$244):INDEX($T$19:$T$93,FX$244+$FJ288-1)))</f>
        <v/>
      </c>
      <c r="FY288" s="479" t="str">
        <f ca="1">IF($FJ288+FY$244&gt;73,"",PRODUCT(INDEX($T$19:$T$93,FY$244):INDEX($T$19:$T$93,FY$244+$FJ288-1)))</f>
        <v/>
      </c>
      <c r="FZ288" s="479" t="str">
        <f ca="1">IF($FJ288+FZ$244&gt;73,"",PRODUCT(INDEX($T$19:$T$93,FZ$244):INDEX($T$19:$T$93,FZ$244+$FJ288-1)))</f>
        <v/>
      </c>
      <c r="GA288" s="479" t="str">
        <f ca="1">IF($FJ288+GA$244&gt;73,"",PRODUCT(INDEX($T$19:$T$93,GA$244):INDEX($T$19:$T$93,GA$244+$FJ288-1)))</f>
        <v/>
      </c>
      <c r="GB288" s="479" t="str">
        <f ca="1">IF($FJ288+GB$244&gt;73,"",PRODUCT(INDEX($T$19:$T$93,GB$244):INDEX($T$19:$T$93,GB$244+$FJ288-1)))</f>
        <v/>
      </c>
      <c r="GC288" s="479" t="str">
        <f ca="1">IF($FJ288+GC$244&gt;73,"",PRODUCT(INDEX($T$19:$T$93,GC$244):INDEX($T$19:$T$93,GC$244+$FJ288-1)))</f>
        <v/>
      </c>
      <c r="GD288" s="479" t="str">
        <f ca="1">IF($FJ288+GD$244&gt;73,"",PRODUCT(INDEX($T$19:$T$93,GD$244):INDEX($T$19:$T$93,GD$244+$FJ288-1)))</f>
        <v/>
      </c>
      <c r="GE288" s="479" t="str">
        <f ca="1">IF($FJ288+GE$244&gt;73,"",PRODUCT(INDEX($T$19:$T$93,GE$244):INDEX($T$19:$T$93,GE$244+$FJ288-1)))</f>
        <v/>
      </c>
      <c r="GF288" s="479" t="str">
        <f ca="1">IF($FJ288+GF$244&gt;73,"",PRODUCT(INDEX($T$19:$T$93,GF$244):INDEX($T$19:$T$93,GF$244+$FJ288-1)))</f>
        <v/>
      </c>
      <c r="GG288" s="479" t="str">
        <f ca="1">IF($FJ288+GG$244&gt;73,"",PRODUCT(INDEX($T$19:$T$93,GG$244):INDEX($T$19:$T$93,GG$244+$FJ288-1)))</f>
        <v/>
      </c>
      <c r="GH288" s="479" t="str">
        <f ca="1">IF($FJ288+GH$244&gt;73,"",PRODUCT(INDEX($T$19:$T$93,GH$244):INDEX($T$19:$T$93,GH$244+$FJ288-1)))</f>
        <v/>
      </c>
      <c r="GI288" s="479" t="str">
        <f ca="1">IF($FJ288+GI$244&gt;73,"",PRODUCT(INDEX($T$19:$T$93,GI$244):INDEX($T$19:$T$93,GI$244+$FJ288-1)))</f>
        <v/>
      </c>
      <c r="GJ288" s="479" t="str">
        <f ca="1">IF($FJ288+GJ$244&gt;73,"",PRODUCT(INDEX($T$19:$T$93,GJ$244):INDEX($T$19:$T$93,GJ$244+$FJ288-1)))</f>
        <v/>
      </c>
      <c r="GK288" s="479" t="str">
        <f ca="1">IF($FJ288+GK$244&gt;73,"",PRODUCT(INDEX($T$19:$T$93,GK$244):INDEX($T$19:$T$93,GK$244+$FJ288-1)))</f>
        <v/>
      </c>
      <c r="GL288" s="479" t="str">
        <f ca="1">IF($FJ288+GL$244&gt;73,"",PRODUCT(INDEX($T$19:$T$93,GL$244):INDEX($T$19:$T$93,GL$244+$FJ288-1)))</f>
        <v/>
      </c>
      <c r="GM288" s="479" t="str">
        <f ca="1">IF($FJ288+GM$244&gt;73,"",PRODUCT(INDEX($T$19:$T$93,GM$244):INDEX($T$19:$T$93,GM$244+$FJ288-1)))</f>
        <v/>
      </c>
      <c r="GN288" s="479" t="str">
        <f ca="1">IF($FJ288+GN$244&gt;73,"",PRODUCT(INDEX($T$19:$T$93,GN$244):INDEX($T$19:$T$93,GN$244+$FJ288-1)))</f>
        <v/>
      </c>
      <c r="GO288" s="479" t="str">
        <f ca="1">IF($FJ288+GO$244&gt;73,"",PRODUCT(INDEX($T$19:$T$93,GO$244):INDEX($T$19:$T$93,GO$244+$FJ288-1)))</f>
        <v/>
      </c>
      <c r="GP288" s="479" t="str">
        <f ca="1">IF($FJ288+GP$244&gt;73,"",PRODUCT(INDEX($T$19:$T$93,GP$244):INDEX($T$19:$T$93,GP$244+$FJ288-1)))</f>
        <v/>
      </c>
      <c r="GQ288" s="479" t="str">
        <f ca="1">IF($FJ288+GQ$244&gt;73,"",PRODUCT(INDEX($T$19:$T$93,GQ$244):INDEX($T$19:$T$93,GQ$244+$FJ288-1)))</f>
        <v/>
      </c>
      <c r="GR288" s="479" t="str">
        <f ca="1">IF($FJ288+GR$244&gt;73,"",PRODUCT(INDEX($T$19:$T$93,GR$244):INDEX($T$19:$T$93,GR$244+$FJ288-1)))</f>
        <v/>
      </c>
      <c r="GS288" s="479" t="str">
        <f ca="1">IF($FJ288+GS$244&gt;73,"",PRODUCT(INDEX($T$19:$T$93,GS$244):INDEX($T$19:$T$93,GS$244+$FJ288-1)))</f>
        <v/>
      </c>
      <c r="GT288" s="479" t="str">
        <f ca="1">IF($FJ288+GT$244&gt;73,"",PRODUCT(INDEX($T$19:$T$93,GT$244):INDEX($T$19:$T$93,GT$244+$FJ288-1)))</f>
        <v/>
      </c>
      <c r="GU288" s="479" t="str">
        <f ca="1">IF($FJ288+GU$244&gt;73,"",PRODUCT(INDEX($T$19:$T$93,GU$244):INDEX($T$19:$T$93,GU$244+$FJ288-1)))</f>
        <v/>
      </c>
      <c r="GV288" s="479" t="str">
        <f ca="1">IF($FJ288+GV$244&gt;73,"",PRODUCT(INDEX($T$19:$T$93,GV$244):INDEX($T$19:$T$93,GV$244+$FJ288-1)))</f>
        <v/>
      </c>
      <c r="GW288" s="479" t="str">
        <f ca="1">IF($FJ288+GW$244&gt;73,"",PRODUCT(INDEX($T$19:$T$93,GW$244):INDEX($T$19:$T$93,GW$244+$FJ288-1)))</f>
        <v/>
      </c>
      <c r="GX288" s="479" t="str">
        <f ca="1">IF($FJ288+GX$244&gt;73,"",PRODUCT(INDEX($T$19:$T$93,GX$244):INDEX($T$19:$T$93,GX$244+$FJ288-1)))</f>
        <v/>
      </c>
      <c r="GY288" s="479" t="str">
        <f ca="1">IF($FJ288+GY$244&gt;73,"",PRODUCT(INDEX($T$19:$T$93,GY$244):INDEX($T$19:$T$93,GY$244+$FJ288-1)))</f>
        <v/>
      </c>
      <c r="GZ288" s="479" t="str">
        <f ca="1">IF($FJ288+GZ$244&gt;73,"",PRODUCT(INDEX($T$19:$T$93,GZ$244):INDEX($T$19:$T$93,GZ$244+$FJ288-1)))</f>
        <v/>
      </c>
      <c r="HA288" s="479" t="str">
        <f ca="1">IF($FJ288+HA$244&gt;73,"",PRODUCT(INDEX($T$19:$T$93,HA$244):INDEX($T$19:$T$93,HA$244+$FJ288-1)))</f>
        <v/>
      </c>
      <c r="HB288" s="479">
        <f ca="1">IF($FJ288+HB$244&gt;73,"",PRODUCT(INDEX($T$19:$T$93,HB$244):INDEX($T$19:$T$93,HB$244+$FJ288-1)))</f>
        <v>0.98877498747596526</v>
      </c>
      <c r="HC288" s="479">
        <f ca="1">IF($FJ288+HC$244&gt;73,"",PRODUCT(INDEX($T$19:$T$93,HC$244):INDEX($T$19:$T$93,HC$244+$FJ288-1)))</f>
        <v>0.98687986094430113</v>
      </c>
      <c r="HD288" s="479">
        <f ca="1">IF($FJ288+HD$244&gt;73,"",PRODUCT(INDEX($T$19:$T$93,HD$244):INDEX($T$19:$T$93,HD$244+$FJ288-1)))</f>
        <v>0.98466654581937629</v>
      </c>
      <c r="HE288" s="479">
        <f ca="1">IF($FJ288+HE$244&gt;73,"",PRODUCT(INDEX($T$19:$T$93,HE$244):INDEX($T$19:$T$93,HE$244+$FJ288-1)))</f>
        <v>0.9820822817180368</v>
      </c>
      <c r="HF288" s="479">
        <f ca="1">IF($FJ288+HF$244&gt;73,"",PRODUCT(INDEX($T$19:$T$93,HF$244):INDEX($T$19:$T$93,HF$244+$FJ288-1)))</f>
        <v>0.97906580882163485</v>
      </c>
      <c r="HG288" s="479">
        <f ca="1">IF($FJ288+HG$244&gt;73,"",PRODUCT(INDEX($T$19:$T$93,HG$244):INDEX($T$19:$T$93,HG$244+$FJ288-1)))</f>
        <v>0.9755460928015095</v>
      </c>
      <c r="HH288" s="479">
        <f ca="1">IF($FJ288+HH$244&gt;73,"",PRODUCT(INDEX($T$19:$T$93,HH$244):INDEX($T$19:$T$93,HH$244+$FJ288-1)))</f>
        <v>0.97144089477190754</v>
      </c>
      <c r="HI288" s="479">
        <f ca="1">IF($FJ288+HI$244&gt;73,"",PRODUCT(INDEX($T$19:$T$93,HI$244):INDEX($T$19:$T$93,HI$244+$FJ288-1)))</f>
        <v>0.9666551822824716</v>
      </c>
      <c r="HJ288" s="479">
        <f ca="1">IF($FJ288+HJ$244&gt;73,"",PRODUCT(INDEX($T$19:$T$93,HJ$244):INDEX($T$19:$T$93,HJ$244+$FJ288-1)))</f>
        <v>0.96107938463236875</v>
      </c>
      <c r="HK288" s="479">
        <f ca="1">IF($FJ288+HK$244&gt;73,"",PRODUCT(INDEX($T$19:$T$93,HK$244):INDEX($T$19:$T$93,HK$244+$FJ288-1)))</f>
        <v>0.95458750701826989</v>
      </c>
      <c r="HL288" s="479">
        <f ca="1">IF($FJ288+HL$244&gt;73,"",PRODUCT(INDEX($T$19:$T$93,HL$244):INDEX($T$19:$T$93,HL$244+$FJ288-1)))</f>
        <v>0.94703513475775392</v>
      </c>
      <c r="HM288" s="479">
        <f ca="1">IF($FJ288+HM$244&gt;73,"",PRODUCT(INDEX($T$19:$T$93,HM$244):INDEX($T$19:$T$93,HM$244+$FJ288-1)))</f>
        <v>0.93825738308839923</v>
      </c>
      <c r="HN288" s="479">
        <f ca="1">IF($FJ288+HN$244&gt;73,"",PRODUCT(INDEX($T$19:$T$93,HN$244):INDEX($T$19:$T$93,HN$244+$FJ288-1)))</f>
        <v>0.92806688246226732</v>
      </c>
      <c r="HO288" s="479">
        <f ca="1">IF($FJ288+HO$244&gt;73,"",PRODUCT(INDEX($T$19:$T$93,HO$244):INDEX($T$19:$T$93,HO$244+$FJ288-1)))</f>
        <v>0.91625193717338216</v>
      </c>
      <c r="HP288" s="479">
        <f ca="1">IF($FJ288+HP$244&gt;73,"",PRODUCT(INDEX($T$19:$T$93,HP$244):INDEX($T$19:$T$93,HP$244+$FJ288-1)))</f>
        <v>0.90257506068266813</v>
      </c>
      <c r="HQ288" s="479">
        <f ca="1">IF($FJ288+HQ$244&gt;73,"",PRODUCT(INDEX($T$19:$T$93,HQ$244):INDEX($T$19:$T$93,HQ$244+$FJ288-1)))</f>
        <v>0.88677217899456517</v>
      </c>
      <c r="HR288" s="479">
        <f ca="1">IF($FJ288+HR$244&gt;73,"",PRODUCT(INDEX($T$19:$T$93,HR$244):INDEX($T$19:$T$93,HR$244+$FJ288-1)))</f>
        <v>0.86855290925736783</v>
      </c>
      <c r="HS288" s="479">
        <f ca="1">IF($FJ288+HS$244&gt;73,"",PRODUCT(INDEX($T$19:$T$93,HS$244):INDEX($T$19:$T$93,HS$244+$FJ288-1)))</f>
        <v>0.84760246966811259</v>
      </c>
      <c r="HT288" s="479">
        <f ca="1">IF($FJ288+HT$244&gt;73,"",PRODUCT(INDEX($T$19:$T$93,HT$244):INDEX($T$19:$T$93,HT$244+$FJ288-1)))</f>
        <v>0.82358596263199091</v>
      </c>
      <c r="HU288" s="479">
        <f ca="1">IF($FJ288+HU$244&gt;73,"",PRODUCT(INDEX($T$19:$T$93,HU$244):INDEX($T$19:$T$93,HU$244+$FJ288-1)))</f>
        <v>0.79615599600039255</v>
      </c>
      <c r="HV288" s="479">
        <f ca="1">IF($FJ288+HV$244&gt;73,"",PRODUCT(INDEX($T$19:$T$93,HV$244):INDEX($T$19:$T$93,HV$244+$FJ288-1)))</f>
        <v>0.76496485904008582</v>
      </c>
      <c r="HW288" s="479">
        <f ca="1">IF($FJ288+HW$244&gt;73,"",PRODUCT(INDEX($T$19:$T$93,HW$244):INDEX($T$19:$T$93,HW$244+$FJ288-1)))</f>
        <v>0.72968272733285555</v>
      </c>
      <c r="HX288" s="479">
        <f ca="1">IF($FJ288+HX$244&gt;73,"",PRODUCT(INDEX($T$19:$T$93,HX$244):INDEX($T$19:$T$93,HX$244+$FJ288-1)))</f>
        <v>0.6900235844847572</v>
      </c>
      <c r="HY288" s="479">
        <f ca="1">IF($FJ288+HY$244&gt;73,"",PRODUCT(INDEX($T$19:$T$93,HY$244):INDEX($T$19:$T$93,HY$244+$FJ288-1)))</f>
        <v>0.64578062585130147</v>
      </c>
      <c r="HZ288" s="479">
        <f ca="1">IF($FJ288+HZ$244&gt;73,"",PRODUCT(INDEX($T$19:$T$93,HZ$244):INDEX($T$19:$T$93,HZ$244+$FJ288-1)))</f>
        <v>0.59687269243807139</v>
      </c>
      <c r="IA288" s="479">
        <f ca="1">IF($FJ288+IA$244&gt;73,"",PRODUCT(INDEX($T$19:$T$93,IA$244):INDEX($T$19:$T$93,IA$244+$FJ288-1)))</f>
        <v>0.54340252100727005</v>
      </c>
      <c r="IB288" s="479">
        <f ca="1">IF($FJ288+IB$244&gt;73,"",PRODUCT(INDEX($T$19:$T$93,IB$244):INDEX($T$19:$T$93,IB$244+$FJ288-1)))</f>
        <v>0.48572592146715826</v>
      </c>
      <c r="IC288" s="479">
        <f ca="1">IF($FJ288+IC$244&gt;73,"",PRODUCT(INDEX($T$19:$T$93,IC$244):INDEX($T$19:$T$93,IC$244+$FJ288-1)))</f>
        <v>0.424527918131476</v>
      </c>
      <c r="ID288" s="678">
        <f ca="1">IF($FJ288+ID$244&gt;73,"",PRODUCT(INDEX($T$19:$T$93,ID$244):INDEX($T$19:$T$93,ID$244+$FJ288-1)))</f>
        <v>0.36089687482317656</v>
      </c>
      <c r="IE288" s="250"/>
    </row>
    <row r="289" spans="9:239">
      <c r="I289" s="137"/>
      <c r="J289" s="375"/>
      <c r="K289" s="138"/>
      <c r="L289" s="1"/>
      <c r="M289" s="376"/>
      <c r="P289" s="375"/>
      <c r="S289" s="55"/>
      <c r="T289" s="375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374"/>
      <c r="AP289" s="1"/>
      <c r="AQ289" s="374"/>
      <c r="AR289" s="1"/>
      <c r="AS289" s="1"/>
      <c r="AT289" s="106"/>
      <c r="AU289" s="106"/>
      <c r="AV289" s="106"/>
      <c r="AW289" s="31"/>
      <c r="AX289" s="31"/>
      <c r="AY289" s="31"/>
      <c r="AZ289" s="31"/>
      <c r="BA289" s="154"/>
      <c r="BB289" s="154"/>
      <c r="BC289" s="106"/>
      <c r="BD289" s="106"/>
      <c r="BE289" s="106"/>
      <c r="BF289" s="107"/>
      <c r="BG289" s="107"/>
      <c r="BH289" s="107"/>
      <c r="BI289" s="105"/>
      <c r="BJ289" s="107"/>
      <c r="BK289" s="107"/>
      <c r="BL289" s="106"/>
      <c r="BM289" s="108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7"/>
      <c r="CE289" s="107"/>
      <c r="CF289" s="107"/>
      <c r="CG289" s="107"/>
      <c r="CH289" s="107"/>
      <c r="CI289" s="107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475"/>
      <c r="DI289" s="110"/>
      <c r="DJ289" s="110"/>
      <c r="DK289" s="475"/>
      <c r="DL289" s="53"/>
      <c r="DM289" s="54"/>
      <c r="DN289" s="54"/>
      <c r="DO289" s="54"/>
      <c r="DP289" s="54"/>
      <c r="DQ289" s="54"/>
      <c r="DR289" s="54"/>
      <c r="DS289" s="54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L289" s="55"/>
      <c r="EM289" s="1"/>
      <c r="EN289" s="106"/>
      <c r="EO289" s="105"/>
      <c r="EP289" s="1"/>
      <c r="EQ289" s="106"/>
      <c r="ER289" s="1"/>
      <c r="ES289" s="1"/>
      <c r="ET289" s="1"/>
      <c r="EU289" s="107"/>
      <c r="FJ289" s="673">
        <v>45</v>
      </c>
      <c r="FK289" s="479" t="str">
        <f ca="1">IF($FJ289+FK$244&gt;73,"",PRODUCT(INDEX($T$19:$T$93,FK$244):INDEX($T$19:$T$93,FK$244+$FJ289-1)))</f>
        <v/>
      </c>
      <c r="FL289" s="479" t="str">
        <f ca="1">IF($FJ289+FL$244&gt;73,"",PRODUCT(INDEX($T$19:$T$93,FL$244):INDEX($T$19:$T$93,FL$244+$FJ289-1)))</f>
        <v/>
      </c>
      <c r="FM289" s="479" t="str">
        <f ca="1">IF($FJ289+FM$244&gt;73,"",PRODUCT(INDEX($T$19:$T$93,FM$244):INDEX($T$19:$T$93,FM$244+$FJ289-1)))</f>
        <v/>
      </c>
      <c r="FN289" s="479" t="str">
        <f ca="1">IF($FJ289+FN$244&gt;73,"",PRODUCT(INDEX($T$19:$T$93,FN$244):INDEX($T$19:$T$93,FN$244+$FJ289-1)))</f>
        <v/>
      </c>
      <c r="FO289" s="479" t="str">
        <f ca="1">IF($FJ289+FO$244&gt;73,"",PRODUCT(INDEX($T$19:$T$93,FO$244):INDEX($T$19:$T$93,FO$244+$FJ289-1)))</f>
        <v/>
      </c>
      <c r="FP289" s="479" t="str">
        <f ca="1">IF($FJ289+FP$244&gt;73,"",PRODUCT(INDEX($T$19:$T$93,FP$244):INDEX($T$19:$T$93,FP$244+$FJ289-1)))</f>
        <v/>
      </c>
      <c r="FQ289" s="479" t="str">
        <f ca="1">IF($FJ289+FQ$244&gt;73,"",PRODUCT(INDEX($T$19:$T$93,FQ$244):INDEX($T$19:$T$93,FQ$244+$FJ289-1)))</f>
        <v/>
      </c>
      <c r="FR289" s="479" t="str">
        <f ca="1">IF($FJ289+FR$244&gt;73,"",PRODUCT(INDEX($T$19:$T$93,FR$244):INDEX($T$19:$T$93,FR$244+$FJ289-1)))</f>
        <v/>
      </c>
      <c r="FS289" s="479" t="str">
        <f ca="1">IF($FJ289+FS$244&gt;73,"",PRODUCT(INDEX($T$19:$T$93,FS$244):INDEX($T$19:$T$93,FS$244+$FJ289-1)))</f>
        <v/>
      </c>
      <c r="FT289" s="479" t="str">
        <f ca="1">IF($FJ289+FT$244&gt;73,"",PRODUCT(INDEX($T$19:$T$93,FT$244):INDEX($T$19:$T$93,FT$244+$FJ289-1)))</f>
        <v/>
      </c>
      <c r="FU289" s="479" t="str">
        <f ca="1">IF($FJ289+FU$244&gt;73,"",PRODUCT(INDEX($T$19:$T$93,FU$244):INDEX($T$19:$T$93,FU$244+$FJ289-1)))</f>
        <v/>
      </c>
      <c r="FV289" s="479" t="str">
        <f ca="1">IF($FJ289+FV$244&gt;73,"",PRODUCT(INDEX($T$19:$T$93,FV$244):INDEX($T$19:$T$93,FV$244+$FJ289-1)))</f>
        <v/>
      </c>
      <c r="FW289" s="479" t="str">
        <f ca="1">IF($FJ289+FW$244&gt;73,"",PRODUCT(INDEX($T$19:$T$93,FW$244):INDEX($T$19:$T$93,FW$244+$FJ289-1)))</f>
        <v/>
      </c>
      <c r="FX289" s="479" t="str">
        <f ca="1">IF($FJ289+FX$244&gt;73,"",PRODUCT(INDEX($T$19:$T$93,FX$244):INDEX($T$19:$T$93,FX$244+$FJ289-1)))</f>
        <v/>
      </c>
      <c r="FY289" s="479" t="str">
        <f ca="1">IF($FJ289+FY$244&gt;73,"",PRODUCT(INDEX($T$19:$T$93,FY$244):INDEX($T$19:$T$93,FY$244+$FJ289-1)))</f>
        <v/>
      </c>
      <c r="FZ289" s="479" t="str">
        <f ca="1">IF($FJ289+FZ$244&gt;73,"",PRODUCT(INDEX($T$19:$T$93,FZ$244):INDEX($T$19:$T$93,FZ$244+$FJ289-1)))</f>
        <v/>
      </c>
      <c r="GA289" s="479" t="str">
        <f ca="1">IF($FJ289+GA$244&gt;73,"",PRODUCT(INDEX($T$19:$T$93,GA$244):INDEX($T$19:$T$93,GA$244+$FJ289-1)))</f>
        <v/>
      </c>
      <c r="GB289" s="479" t="str">
        <f ca="1">IF($FJ289+GB$244&gt;73,"",PRODUCT(INDEX($T$19:$T$93,GB$244):INDEX($T$19:$T$93,GB$244+$FJ289-1)))</f>
        <v/>
      </c>
      <c r="GC289" s="479" t="str">
        <f ca="1">IF($FJ289+GC$244&gt;73,"",PRODUCT(INDEX($T$19:$T$93,GC$244):INDEX($T$19:$T$93,GC$244+$FJ289-1)))</f>
        <v/>
      </c>
      <c r="GD289" s="479" t="str">
        <f ca="1">IF($FJ289+GD$244&gt;73,"",PRODUCT(INDEX($T$19:$T$93,GD$244):INDEX($T$19:$T$93,GD$244+$FJ289-1)))</f>
        <v/>
      </c>
      <c r="GE289" s="479" t="str">
        <f ca="1">IF($FJ289+GE$244&gt;73,"",PRODUCT(INDEX($T$19:$T$93,GE$244):INDEX($T$19:$T$93,GE$244+$FJ289-1)))</f>
        <v/>
      </c>
      <c r="GF289" s="479" t="str">
        <f ca="1">IF($FJ289+GF$244&gt;73,"",PRODUCT(INDEX($T$19:$T$93,GF$244):INDEX($T$19:$T$93,GF$244+$FJ289-1)))</f>
        <v/>
      </c>
      <c r="GG289" s="479" t="str">
        <f ca="1">IF($FJ289+GG$244&gt;73,"",PRODUCT(INDEX($T$19:$T$93,GG$244):INDEX($T$19:$T$93,GG$244+$FJ289-1)))</f>
        <v/>
      </c>
      <c r="GH289" s="479" t="str">
        <f ca="1">IF($FJ289+GH$244&gt;73,"",PRODUCT(INDEX($T$19:$T$93,GH$244):INDEX($T$19:$T$93,GH$244+$FJ289-1)))</f>
        <v/>
      </c>
      <c r="GI289" s="479" t="str">
        <f ca="1">IF($FJ289+GI$244&gt;73,"",PRODUCT(INDEX($T$19:$T$93,GI$244):INDEX($T$19:$T$93,GI$244+$FJ289-1)))</f>
        <v/>
      </c>
      <c r="GJ289" s="479" t="str">
        <f ca="1">IF($FJ289+GJ$244&gt;73,"",PRODUCT(INDEX($T$19:$T$93,GJ$244):INDEX($T$19:$T$93,GJ$244+$FJ289-1)))</f>
        <v/>
      </c>
      <c r="GK289" s="479" t="str">
        <f ca="1">IF($FJ289+GK$244&gt;73,"",PRODUCT(INDEX($T$19:$T$93,GK$244):INDEX($T$19:$T$93,GK$244+$FJ289-1)))</f>
        <v/>
      </c>
      <c r="GL289" s="479" t="str">
        <f ca="1">IF($FJ289+GL$244&gt;73,"",PRODUCT(INDEX($T$19:$T$93,GL$244):INDEX($T$19:$T$93,GL$244+$FJ289-1)))</f>
        <v/>
      </c>
      <c r="GM289" s="479" t="str">
        <f ca="1">IF($FJ289+GM$244&gt;73,"",PRODUCT(INDEX($T$19:$T$93,GM$244):INDEX($T$19:$T$93,GM$244+$FJ289-1)))</f>
        <v/>
      </c>
      <c r="GN289" s="479" t="str">
        <f ca="1">IF($FJ289+GN$244&gt;73,"",PRODUCT(INDEX($T$19:$T$93,GN$244):INDEX($T$19:$T$93,GN$244+$FJ289-1)))</f>
        <v/>
      </c>
      <c r="GO289" s="479" t="str">
        <f ca="1">IF($FJ289+GO$244&gt;73,"",PRODUCT(INDEX($T$19:$T$93,GO$244):INDEX($T$19:$T$93,GO$244+$FJ289-1)))</f>
        <v/>
      </c>
      <c r="GP289" s="479" t="str">
        <f ca="1">IF($FJ289+GP$244&gt;73,"",PRODUCT(INDEX($T$19:$T$93,GP$244):INDEX($T$19:$T$93,GP$244+$FJ289-1)))</f>
        <v/>
      </c>
      <c r="GQ289" s="479" t="str">
        <f ca="1">IF($FJ289+GQ$244&gt;73,"",PRODUCT(INDEX($T$19:$T$93,GQ$244):INDEX($T$19:$T$93,GQ$244+$FJ289-1)))</f>
        <v/>
      </c>
      <c r="GR289" s="479" t="str">
        <f ca="1">IF($FJ289+GR$244&gt;73,"",PRODUCT(INDEX($T$19:$T$93,GR$244):INDEX($T$19:$T$93,GR$244+$FJ289-1)))</f>
        <v/>
      </c>
      <c r="GS289" s="479" t="str">
        <f ca="1">IF($FJ289+GS$244&gt;73,"",PRODUCT(INDEX($T$19:$T$93,GS$244):INDEX($T$19:$T$93,GS$244+$FJ289-1)))</f>
        <v/>
      </c>
      <c r="GT289" s="479" t="str">
        <f ca="1">IF($FJ289+GT$244&gt;73,"",PRODUCT(INDEX($T$19:$T$93,GT$244):INDEX($T$19:$T$93,GT$244+$FJ289-1)))</f>
        <v/>
      </c>
      <c r="GU289" s="479" t="str">
        <f ca="1">IF($FJ289+GU$244&gt;73,"",PRODUCT(INDEX($T$19:$T$93,GU$244):INDEX($T$19:$T$93,GU$244+$FJ289-1)))</f>
        <v/>
      </c>
      <c r="GV289" s="479" t="str">
        <f ca="1">IF($FJ289+GV$244&gt;73,"",PRODUCT(INDEX($T$19:$T$93,GV$244):INDEX($T$19:$T$93,GV$244+$FJ289-1)))</f>
        <v/>
      </c>
      <c r="GW289" s="479" t="str">
        <f ca="1">IF($FJ289+GW$244&gt;73,"",PRODUCT(INDEX($T$19:$T$93,GW$244):INDEX($T$19:$T$93,GW$244+$FJ289-1)))</f>
        <v/>
      </c>
      <c r="GX289" s="479" t="str">
        <f ca="1">IF($FJ289+GX$244&gt;73,"",PRODUCT(INDEX($T$19:$T$93,GX$244):INDEX($T$19:$T$93,GX$244+$FJ289-1)))</f>
        <v/>
      </c>
      <c r="GY289" s="479" t="str">
        <f ca="1">IF($FJ289+GY$244&gt;73,"",PRODUCT(INDEX($T$19:$T$93,GY$244):INDEX($T$19:$T$93,GY$244+$FJ289-1)))</f>
        <v/>
      </c>
      <c r="GZ289" s="479" t="str">
        <f ca="1">IF($FJ289+GZ$244&gt;73,"",PRODUCT(INDEX($T$19:$T$93,GZ$244):INDEX($T$19:$T$93,GZ$244+$FJ289-1)))</f>
        <v/>
      </c>
      <c r="HA289" s="479" t="str">
        <f ca="1">IF($FJ289+HA$244&gt;73,"",PRODUCT(INDEX($T$19:$T$93,HA$244):INDEX($T$19:$T$93,HA$244+$FJ289-1)))</f>
        <v/>
      </c>
      <c r="HB289" s="479" t="str">
        <f ca="1">IF($FJ289+HB$244&gt;73,"",PRODUCT(INDEX($T$19:$T$93,HB$244):INDEX($T$19:$T$93,HB$244+$FJ289-1)))</f>
        <v/>
      </c>
      <c r="HC289" s="479">
        <f ca="1">IF($FJ289+HC$244&gt;73,"",PRODUCT(INDEX($T$19:$T$93,HC$244):INDEX($T$19:$T$93,HC$244+$FJ289-1)))</f>
        <v>0.98687794499934056</v>
      </c>
      <c r="HD289" s="479">
        <f ca="1">IF($FJ289+HD$244&gt;73,"",PRODUCT(INDEX($T$19:$T$93,HD$244):INDEX($T$19:$T$93,HD$244+$FJ289-1)))</f>
        <v>0.98466430997122978</v>
      </c>
      <c r="HE289" s="479">
        <f ca="1">IF($FJ289+HE$244&gt;73,"",PRODUCT(INDEX($T$19:$T$93,HE$244):INDEX($T$19:$T$93,HE$244+$FJ289-1)))</f>
        <v>0.98207967355073122</v>
      </c>
      <c r="HF289" s="479">
        <f ca="1">IF($FJ289+HF$244&gt;73,"",PRODUCT(INDEX($T$19:$T$93,HF$244):INDEX($T$19:$T$93,HF$244+$FJ289-1)))</f>
        <v>0.97906276769863088</v>
      </c>
      <c r="HG289" s="479">
        <f ca="1">IF($FJ289+HG$244&gt;73,"",PRODUCT(INDEX($T$19:$T$93,HG$244):INDEX($T$19:$T$93,HG$244+$FJ289-1)))</f>
        <v>0.9755425487133168</v>
      </c>
      <c r="HH289" s="479">
        <f ca="1">IF($FJ289+HH$244&gt;73,"",PRODUCT(INDEX($T$19:$T$93,HH$244):INDEX($T$19:$T$93,HH$244+$FJ289-1)))</f>
        <v>0.97143676707461768</v>
      </c>
      <c r="HI289" s="479">
        <f ca="1">IF($FJ289+HI$244&gt;73,"",PRODUCT(INDEX($T$19:$T$93,HI$244):INDEX($T$19:$T$93,HI$244+$FJ289-1)))</f>
        <v>0.9666503783389192</v>
      </c>
      <c r="HJ289" s="479">
        <f ca="1">IF($FJ289+HJ$244&gt;73,"",PRODUCT(INDEX($T$19:$T$93,HJ$244):INDEX($T$19:$T$93,HJ$244+$FJ289-1)))</f>
        <v>0.96107379837979268</v>
      </c>
      <c r="HK289" s="479">
        <f ca="1">IF($FJ289+HK$244&gt;73,"",PRODUCT(INDEX($T$19:$T$93,HK$244):INDEX($T$19:$T$93,HK$244+$FJ289-1)))</f>
        <v>0.95458101750376523</v>
      </c>
      <c r="HL289" s="479">
        <f ca="1">IF($FJ289+HL$244&gt;73,"",PRODUCT(INDEX($T$19:$T$93,HL$244):INDEX($T$19:$T$93,HL$244+$FJ289-1)))</f>
        <v>0.94702760470720604</v>
      </c>
      <c r="HM289" s="479">
        <f ca="1">IF($FJ289+HM$244&gt;73,"",PRODUCT(INDEX($T$19:$T$93,HM$244):INDEX($T$19:$T$93,HM$244+$FJ289-1)))</f>
        <v>0.93824865760813825</v>
      </c>
      <c r="HN289" s="479">
        <f ca="1">IF($FJ289+HN$244&gt;73,"",PRODUCT(INDEX($T$19:$T$93,HN$244):INDEX($T$19:$T$93,HN$244+$FJ289-1)))</f>
        <v>0.92805678801794989</v>
      </c>
      <c r="HO289" s="479">
        <f ca="1">IF($FJ289+HO$244&gt;73,"",PRODUCT(INDEX($T$19:$T$93,HO$244):INDEX($T$19:$T$93,HO$244+$FJ289-1)))</f>
        <v>0.91624028105054212</v>
      </c>
      <c r="HP289" s="479">
        <f ca="1">IF($FJ289+HP$244&gt;73,"",PRODUCT(INDEX($T$19:$T$93,HP$244):INDEX($T$19:$T$93,HP$244+$FJ289-1)))</f>
        <v>0.90256163121107147</v>
      </c>
      <c r="HQ289" s="479">
        <f ca="1">IF($FJ289+HQ$244&gt;73,"",PRODUCT(INDEX($T$19:$T$93,HQ$244):INDEX($T$19:$T$93,HQ$244+$FJ289-1)))</f>
        <v>0.88675674691673123</v>
      </c>
      <c r="HR289" s="479">
        <f ca="1">IF($FJ289+HR$244&gt;73,"",PRODUCT(INDEX($T$19:$T$93,HR$244):INDEX($T$19:$T$93,HR$244+$FJ289-1)))</f>
        <v>0.86853523074192984</v>
      </c>
      <c r="HS289" s="479">
        <f ca="1">IF($FJ289+HS$244&gt;73,"",PRODUCT(INDEX($T$19:$T$93,HS$244):INDEX($T$19:$T$93,HS$244+$FJ289-1)))</f>
        <v>0.84758229160984766</v>
      </c>
      <c r="HT289" s="479">
        <f ca="1">IF($FJ289+HT$244&gt;73,"",PRODUCT(INDEX($T$19:$T$93,HT$244):INDEX($T$19:$T$93,HT$244+$FJ289-1)))</f>
        <v>0.82356303103566342</v>
      </c>
      <c r="HU289" s="479">
        <f ca="1">IF($FJ289+HU$244&gt;73,"",PRODUCT(INDEX($T$19:$T$93,HU$244):INDEX($T$19:$T$93,HU$244+$FJ289-1)))</f>
        <v>0.79613006839873879</v>
      </c>
      <c r="HV289" s="479">
        <f ca="1">IF($FJ289+HV$244&gt;73,"",PRODUCT(INDEX($T$19:$T$93,HV$244):INDEX($T$19:$T$93,HV$244+$FJ289-1)))</f>
        <v>0.76493572201518556</v>
      </c>
      <c r="HW289" s="479">
        <f ca="1">IF($FJ289+HW$244&gt;73,"",PRODUCT(INDEX($T$19:$T$93,HW$244):INDEX($T$19:$T$93,HW$244+$FJ289-1)))</f>
        <v>0.72965022023800841</v>
      </c>
      <c r="HX289" s="479">
        <f ca="1">IF($FJ289+HX$244&gt;73,"",PRODUCT(INDEX($T$19:$T$93,HX$244):INDEX($T$19:$T$93,HX$244+$FJ289-1)))</f>
        <v>0.68998763030800547</v>
      </c>
      <c r="HY289" s="479">
        <f ca="1">IF($FJ289+HY$244&gt;73,"",PRODUCT(INDEX($T$19:$T$93,HY$244):INDEX($T$19:$T$93,HY$244+$FJ289-1)))</f>
        <v>0.64574126968046985</v>
      </c>
      <c r="HZ289" s="479">
        <f ca="1">IF($FJ289+HZ$244&gt;73,"",PRODUCT(INDEX($T$19:$T$93,HZ$244):INDEX($T$19:$T$93,HZ$244+$FJ289-1)))</f>
        <v>0.59683014698070669</v>
      </c>
      <c r="IA289" s="479">
        <f ca="1">IF($FJ289+IA$244&gt;73,"",PRODUCT(INDEX($T$19:$T$93,IA$244):INDEX($T$19:$T$93,IA$244+$FJ289-1)))</f>
        <v>0.54335721683170501</v>
      </c>
      <c r="IB289" s="479">
        <f ca="1">IF($FJ289+IB$244&gt;73,"",PRODUCT(INDEX($T$19:$T$93,IB$244):INDEX($T$19:$T$93,IB$244+$FJ289-1)))</f>
        <v>0.48567855678731514</v>
      </c>
      <c r="IC289" s="479">
        <f ca="1">IF($FJ289+IC$244&gt;73,"",PRODUCT(INDEX($T$19:$T$93,IC$244):INDEX($T$19:$T$93,IC$244+$FJ289-1)))</f>
        <v>0.42447949886411368</v>
      </c>
      <c r="ID289" s="678">
        <f ca="1">IF($FJ289+ID$244&gt;73,"",PRODUCT(INDEX($T$19:$T$93,ID$244):INDEX($T$19:$T$93,ID$244+$FJ289-1)))</f>
        <v>0.36084873041175469</v>
      </c>
      <c r="IE289" s="250"/>
    </row>
    <row r="290" spans="9:239">
      <c r="I290" s="137"/>
      <c r="J290" s="375"/>
      <c r="K290" s="138"/>
      <c r="L290" s="1"/>
      <c r="M290" s="376"/>
      <c r="P290" s="375"/>
      <c r="S290" s="55"/>
      <c r="T290" s="375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374"/>
      <c r="AP290" s="1"/>
      <c r="AQ290" s="374"/>
      <c r="AR290" s="1"/>
      <c r="AS290" s="1"/>
      <c r="AT290" s="106"/>
      <c r="AU290" s="106"/>
      <c r="AV290" s="106"/>
      <c r="AW290" s="31"/>
      <c r="AX290" s="31"/>
      <c r="AY290" s="31"/>
      <c r="AZ290" s="31"/>
      <c r="BA290" s="154"/>
      <c r="BB290" s="154"/>
      <c r="BC290" s="106"/>
      <c r="BD290" s="106"/>
      <c r="BE290" s="106"/>
      <c r="BF290" s="107"/>
      <c r="BG290" s="107"/>
      <c r="BH290" s="107"/>
      <c r="BI290" s="105"/>
      <c r="BJ290" s="107"/>
      <c r="BK290" s="107"/>
      <c r="BL290" s="106"/>
      <c r="BM290" s="108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7"/>
      <c r="CE290" s="107"/>
      <c r="CF290" s="107"/>
      <c r="CG290" s="107"/>
      <c r="CH290" s="107"/>
      <c r="CI290" s="107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475"/>
      <c r="DI290" s="110"/>
      <c r="DJ290" s="110"/>
      <c r="DK290" s="475"/>
      <c r="DL290" s="53"/>
      <c r="DM290" s="54"/>
      <c r="DN290" s="54"/>
      <c r="DO290" s="54"/>
      <c r="DP290" s="54"/>
      <c r="DQ290" s="54"/>
      <c r="DR290" s="54"/>
      <c r="DS290" s="54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L290" s="55"/>
      <c r="EM290" s="1"/>
      <c r="EN290" s="106"/>
      <c r="EO290" s="105"/>
      <c r="EP290" s="1"/>
      <c r="EQ290" s="106"/>
      <c r="ER290" s="1"/>
      <c r="ES290" s="1"/>
      <c r="ET290" s="1"/>
      <c r="EU290" s="107"/>
      <c r="FJ290" s="673">
        <v>46</v>
      </c>
      <c r="FK290" s="479" t="str">
        <f ca="1">IF($FJ290+FK$244&gt;73,"",PRODUCT(INDEX($T$19:$T$93,FK$244):INDEX($T$19:$T$93,FK$244+$FJ290-1)))</f>
        <v/>
      </c>
      <c r="FL290" s="479" t="str">
        <f ca="1">IF($FJ290+FL$244&gt;73,"",PRODUCT(INDEX($T$19:$T$93,FL$244):INDEX($T$19:$T$93,FL$244+$FJ290-1)))</f>
        <v/>
      </c>
      <c r="FM290" s="479" t="str">
        <f ca="1">IF($FJ290+FM$244&gt;73,"",PRODUCT(INDEX($T$19:$T$93,FM$244):INDEX($T$19:$T$93,FM$244+$FJ290-1)))</f>
        <v/>
      </c>
      <c r="FN290" s="479" t="str">
        <f ca="1">IF($FJ290+FN$244&gt;73,"",PRODUCT(INDEX($T$19:$T$93,FN$244):INDEX($T$19:$T$93,FN$244+$FJ290-1)))</f>
        <v/>
      </c>
      <c r="FO290" s="479" t="str">
        <f ca="1">IF($FJ290+FO$244&gt;73,"",PRODUCT(INDEX($T$19:$T$93,FO$244):INDEX($T$19:$T$93,FO$244+$FJ290-1)))</f>
        <v/>
      </c>
      <c r="FP290" s="479" t="str">
        <f ca="1">IF($FJ290+FP$244&gt;73,"",PRODUCT(INDEX($T$19:$T$93,FP$244):INDEX($T$19:$T$93,FP$244+$FJ290-1)))</f>
        <v/>
      </c>
      <c r="FQ290" s="479" t="str">
        <f ca="1">IF($FJ290+FQ$244&gt;73,"",PRODUCT(INDEX($T$19:$T$93,FQ$244):INDEX($T$19:$T$93,FQ$244+$FJ290-1)))</f>
        <v/>
      </c>
      <c r="FR290" s="479" t="str">
        <f ca="1">IF($FJ290+FR$244&gt;73,"",PRODUCT(INDEX($T$19:$T$93,FR$244):INDEX($T$19:$T$93,FR$244+$FJ290-1)))</f>
        <v/>
      </c>
      <c r="FS290" s="479" t="str">
        <f ca="1">IF($FJ290+FS$244&gt;73,"",PRODUCT(INDEX($T$19:$T$93,FS$244):INDEX($T$19:$T$93,FS$244+$FJ290-1)))</f>
        <v/>
      </c>
      <c r="FT290" s="479" t="str">
        <f ca="1">IF($FJ290+FT$244&gt;73,"",PRODUCT(INDEX($T$19:$T$93,FT$244):INDEX($T$19:$T$93,FT$244+$FJ290-1)))</f>
        <v/>
      </c>
      <c r="FU290" s="479" t="str">
        <f ca="1">IF($FJ290+FU$244&gt;73,"",PRODUCT(INDEX($T$19:$T$93,FU$244):INDEX($T$19:$T$93,FU$244+$FJ290-1)))</f>
        <v/>
      </c>
      <c r="FV290" s="479" t="str">
        <f ca="1">IF($FJ290+FV$244&gt;73,"",PRODUCT(INDEX($T$19:$T$93,FV$244):INDEX($T$19:$T$93,FV$244+$FJ290-1)))</f>
        <v/>
      </c>
      <c r="FW290" s="479" t="str">
        <f ca="1">IF($FJ290+FW$244&gt;73,"",PRODUCT(INDEX($T$19:$T$93,FW$244):INDEX($T$19:$T$93,FW$244+$FJ290-1)))</f>
        <v/>
      </c>
      <c r="FX290" s="479" t="str">
        <f ca="1">IF($FJ290+FX$244&gt;73,"",PRODUCT(INDEX($T$19:$T$93,FX$244):INDEX($T$19:$T$93,FX$244+$FJ290-1)))</f>
        <v/>
      </c>
      <c r="FY290" s="479" t="str">
        <f ca="1">IF($FJ290+FY$244&gt;73,"",PRODUCT(INDEX($T$19:$T$93,FY$244):INDEX($T$19:$T$93,FY$244+$FJ290-1)))</f>
        <v/>
      </c>
      <c r="FZ290" s="479" t="str">
        <f ca="1">IF($FJ290+FZ$244&gt;73,"",PRODUCT(INDEX($T$19:$T$93,FZ$244):INDEX($T$19:$T$93,FZ$244+$FJ290-1)))</f>
        <v/>
      </c>
      <c r="GA290" s="479" t="str">
        <f ca="1">IF($FJ290+GA$244&gt;73,"",PRODUCT(INDEX($T$19:$T$93,GA$244):INDEX($T$19:$T$93,GA$244+$FJ290-1)))</f>
        <v/>
      </c>
      <c r="GB290" s="479" t="str">
        <f ca="1">IF($FJ290+GB$244&gt;73,"",PRODUCT(INDEX($T$19:$T$93,GB$244):INDEX($T$19:$T$93,GB$244+$FJ290-1)))</f>
        <v/>
      </c>
      <c r="GC290" s="479" t="str">
        <f ca="1">IF($FJ290+GC$244&gt;73,"",PRODUCT(INDEX($T$19:$T$93,GC$244):INDEX($T$19:$T$93,GC$244+$FJ290-1)))</f>
        <v/>
      </c>
      <c r="GD290" s="479" t="str">
        <f ca="1">IF($FJ290+GD$244&gt;73,"",PRODUCT(INDEX($T$19:$T$93,GD$244):INDEX($T$19:$T$93,GD$244+$FJ290-1)))</f>
        <v/>
      </c>
      <c r="GE290" s="479" t="str">
        <f ca="1">IF($FJ290+GE$244&gt;73,"",PRODUCT(INDEX($T$19:$T$93,GE$244):INDEX($T$19:$T$93,GE$244+$FJ290-1)))</f>
        <v/>
      </c>
      <c r="GF290" s="479" t="str">
        <f ca="1">IF($FJ290+GF$244&gt;73,"",PRODUCT(INDEX($T$19:$T$93,GF$244):INDEX($T$19:$T$93,GF$244+$FJ290-1)))</f>
        <v/>
      </c>
      <c r="GG290" s="479" t="str">
        <f ca="1">IF($FJ290+GG$244&gt;73,"",PRODUCT(INDEX($T$19:$T$93,GG$244):INDEX($T$19:$T$93,GG$244+$FJ290-1)))</f>
        <v/>
      </c>
      <c r="GH290" s="479" t="str">
        <f ca="1">IF($FJ290+GH$244&gt;73,"",PRODUCT(INDEX($T$19:$T$93,GH$244):INDEX($T$19:$T$93,GH$244+$FJ290-1)))</f>
        <v/>
      </c>
      <c r="GI290" s="479" t="str">
        <f ca="1">IF($FJ290+GI$244&gt;73,"",PRODUCT(INDEX($T$19:$T$93,GI$244):INDEX($T$19:$T$93,GI$244+$FJ290-1)))</f>
        <v/>
      </c>
      <c r="GJ290" s="479" t="str">
        <f ca="1">IF($FJ290+GJ$244&gt;73,"",PRODUCT(INDEX($T$19:$T$93,GJ$244):INDEX($T$19:$T$93,GJ$244+$FJ290-1)))</f>
        <v/>
      </c>
      <c r="GK290" s="479" t="str">
        <f ca="1">IF($FJ290+GK$244&gt;73,"",PRODUCT(INDEX($T$19:$T$93,GK$244):INDEX($T$19:$T$93,GK$244+$FJ290-1)))</f>
        <v/>
      </c>
      <c r="GL290" s="479" t="str">
        <f ca="1">IF($FJ290+GL$244&gt;73,"",PRODUCT(INDEX($T$19:$T$93,GL$244):INDEX($T$19:$T$93,GL$244+$FJ290-1)))</f>
        <v/>
      </c>
      <c r="GM290" s="479" t="str">
        <f ca="1">IF($FJ290+GM$244&gt;73,"",PRODUCT(INDEX($T$19:$T$93,GM$244):INDEX($T$19:$T$93,GM$244+$FJ290-1)))</f>
        <v/>
      </c>
      <c r="GN290" s="479" t="str">
        <f ca="1">IF($FJ290+GN$244&gt;73,"",PRODUCT(INDEX($T$19:$T$93,GN$244):INDEX($T$19:$T$93,GN$244+$FJ290-1)))</f>
        <v/>
      </c>
      <c r="GO290" s="479" t="str">
        <f ca="1">IF($FJ290+GO$244&gt;73,"",PRODUCT(INDEX($T$19:$T$93,GO$244):INDEX($T$19:$T$93,GO$244+$FJ290-1)))</f>
        <v/>
      </c>
      <c r="GP290" s="479" t="str">
        <f ca="1">IF($FJ290+GP$244&gt;73,"",PRODUCT(INDEX($T$19:$T$93,GP$244):INDEX($T$19:$T$93,GP$244+$FJ290-1)))</f>
        <v/>
      </c>
      <c r="GQ290" s="479" t="str">
        <f ca="1">IF($FJ290+GQ$244&gt;73,"",PRODUCT(INDEX($T$19:$T$93,GQ$244):INDEX($T$19:$T$93,GQ$244+$FJ290-1)))</f>
        <v/>
      </c>
      <c r="GR290" s="479" t="str">
        <f ca="1">IF($FJ290+GR$244&gt;73,"",PRODUCT(INDEX($T$19:$T$93,GR$244):INDEX($T$19:$T$93,GR$244+$FJ290-1)))</f>
        <v/>
      </c>
      <c r="GS290" s="479" t="str">
        <f ca="1">IF($FJ290+GS$244&gt;73,"",PRODUCT(INDEX($T$19:$T$93,GS$244):INDEX($T$19:$T$93,GS$244+$FJ290-1)))</f>
        <v/>
      </c>
      <c r="GT290" s="479" t="str">
        <f ca="1">IF($FJ290+GT$244&gt;73,"",PRODUCT(INDEX($T$19:$T$93,GT$244):INDEX($T$19:$T$93,GT$244+$FJ290-1)))</f>
        <v/>
      </c>
      <c r="GU290" s="479" t="str">
        <f ca="1">IF($FJ290+GU$244&gt;73,"",PRODUCT(INDEX($T$19:$T$93,GU$244):INDEX($T$19:$T$93,GU$244+$FJ290-1)))</f>
        <v/>
      </c>
      <c r="GV290" s="479" t="str">
        <f ca="1">IF($FJ290+GV$244&gt;73,"",PRODUCT(INDEX($T$19:$T$93,GV$244):INDEX($T$19:$T$93,GV$244+$FJ290-1)))</f>
        <v/>
      </c>
      <c r="GW290" s="479" t="str">
        <f ca="1">IF($FJ290+GW$244&gt;73,"",PRODUCT(INDEX($T$19:$T$93,GW$244):INDEX($T$19:$T$93,GW$244+$FJ290-1)))</f>
        <v/>
      </c>
      <c r="GX290" s="479" t="str">
        <f ca="1">IF($FJ290+GX$244&gt;73,"",PRODUCT(INDEX($T$19:$T$93,GX$244):INDEX($T$19:$T$93,GX$244+$FJ290-1)))</f>
        <v/>
      </c>
      <c r="GY290" s="479" t="str">
        <f ca="1">IF($FJ290+GY$244&gt;73,"",PRODUCT(INDEX($T$19:$T$93,GY$244):INDEX($T$19:$T$93,GY$244+$FJ290-1)))</f>
        <v/>
      </c>
      <c r="GZ290" s="479" t="str">
        <f ca="1">IF($FJ290+GZ$244&gt;73,"",PRODUCT(INDEX($T$19:$T$93,GZ$244):INDEX($T$19:$T$93,GZ$244+$FJ290-1)))</f>
        <v/>
      </c>
      <c r="HA290" s="479" t="str">
        <f ca="1">IF($FJ290+HA$244&gt;73,"",PRODUCT(INDEX($T$19:$T$93,HA$244):INDEX($T$19:$T$93,HA$244+$FJ290-1)))</f>
        <v/>
      </c>
      <c r="HB290" s="479" t="str">
        <f ca="1">IF($FJ290+HB$244&gt;73,"",PRODUCT(INDEX($T$19:$T$93,HB$244):INDEX($T$19:$T$93,HB$244+$FJ290-1)))</f>
        <v/>
      </c>
      <c r="HC290" s="479" t="str">
        <f ca="1">IF($FJ290+HC$244&gt;73,"",PRODUCT(INDEX($T$19:$T$93,HC$244):INDEX($T$19:$T$93,HC$244+$FJ290-1)))</f>
        <v/>
      </c>
      <c r="HD290" s="479">
        <f ca="1">IF($FJ290+HD$244&gt;73,"",PRODUCT(INDEX($T$19:$T$93,HD$244):INDEX($T$19:$T$93,HD$244+$FJ290-1)))</f>
        <v>0.98466239832757663</v>
      </c>
      <c r="HE290" s="479">
        <f ca="1">IF($FJ290+HE$244&gt;73,"",PRODUCT(INDEX($T$19:$T$93,HE$244):INDEX($T$19:$T$93,HE$244+$FJ290-1)))</f>
        <v>0.98207744357650573</v>
      </c>
      <c r="HF290" s="479">
        <f ca="1">IF($FJ290+HF$244&gt;73,"",PRODUCT(INDEX($T$19:$T$93,HF$244):INDEX($T$19:$T$93,HF$244+$FJ290-1)))</f>
        <v>0.9790601675504067</v>
      </c>
      <c r="HG290" s="479">
        <f ca="1">IF($FJ290+HG$244&gt;73,"",PRODUCT(INDEX($T$19:$T$93,HG$244):INDEX($T$19:$T$93,HG$244+$FJ290-1)))</f>
        <v>0.97553951853407905</v>
      </c>
      <c r="HH290" s="479">
        <f ca="1">IF($FJ290+HH$244&gt;73,"",PRODUCT(INDEX($T$19:$T$93,HH$244):INDEX($T$19:$T$93,HH$244+$FJ290-1)))</f>
        <v>0.97143323791530733</v>
      </c>
      <c r="HI290" s="479">
        <f ca="1">IF($FJ290+HI$244&gt;73,"",PRODUCT(INDEX($T$19:$T$93,HI$244):INDEX($T$19:$T$93,HI$244+$FJ290-1)))</f>
        <v>0.96664627099675526</v>
      </c>
      <c r="HJ290" s="479">
        <f ca="1">IF($FJ290+HJ$244&gt;73,"",PRODUCT(INDEX($T$19:$T$93,HJ$244):INDEX($T$19:$T$93,HJ$244+$FJ290-1)))</f>
        <v>0.96106902217379719</v>
      </c>
      <c r="HK290" s="479">
        <f ca="1">IF($FJ290+HK$244&gt;73,"",PRODUCT(INDEX($T$19:$T$93,HK$244):INDEX($T$19:$T$93,HK$244+$FJ290-1)))</f>
        <v>0.95457546902280377</v>
      </c>
      <c r="HL290" s="479">
        <f ca="1">IF($FJ290+HL$244&gt;73,"",PRODUCT(INDEX($T$19:$T$93,HL$244):INDEX($T$19:$T$93,HL$244+$FJ290-1)))</f>
        <v>0.94702116658672797</v>
      </c>
      <c r="HM290" s="479">
        <f ca="1">IF($FJ290+HM$244&gt;73,"",PRODUCT(INDEX($T$19:$T$93,HM$244):INDEX($T$19:$T$93,HM$244+$FJ290-1)))</f>
        <v>0.93824119742048628</v>
      </c>
      <c r="HN290" s="479">
        <f ca="1">IF($FJ290+HN$244&gt;73,"",PRODUCT(INDEX($T$19:$T$93,HN$244):INDEX($T$19:$T$93,HN$244+$FJ290-1)))</f>
        <v>0.92804815739981583</v>
      </c>
      <c r="HO290" s="479">
        <f ca="1">IF($FJ290+HO$244&gt;73,"",PRODUCT(INDEX($T$19:$T$93,HO$244):INDEX($T$19:$T$93,HO$244+$FJ290-1)))</f>
        <v>0.91623031524239484</v>
      </c>
      <c r="HP290" s="479">
        <f ca="1">IF($FJ290+HP$244&gt;73,"",PRODUCT(INDEX($T$19:$T$93,HP$244):INDEX($T$19:$T$93,HP$244+$FJ290-1)))</f>
        <v>0.90255014924981469</v>
      </c>
      <c r="HQ290" s="479">
        <f ca="1">IF($FJ290+HQ$244&gt;73,"",PRODUCT(INDEX($T$19:$T$93,HQ$244):INDEX($T$19:$T$93,HQ$244+$FJ290-1)))</f>
        <v>0.88674355280682871</v>
      </c>
      <c r="HR290" s="479">
        <f ca="1">IF($FJ290+HR$244&gt;73,"",PRODUCT(INDEX($T$19:$T$93,HR$244):INDEX($T$19:$T$93,HR$244+$FJ290-1)))</f>
        <v>0.86852011603310175</v>
      </c>
      <c r="HS290" s="479">
        <f ca="1">IF($FJ290+HS$244&gt;73,"",PRODUCT(INDEX($T$19:$T$93,HS$244):INDEX($T$19:$T$93,HS$244+$FJ290-1)))</f>
        <v>0.84756503993010834</v>
      </c>
      <c r="HT290" s="479">
        <f ca="1">IF($FJ290+HT$244&gt;73,"",PRODUCT(INDEX($T$19:$T$93,HT$244):INDEX($T$19:$T$93,HT$244+$FJ290-1)))</f>
        <v>0.82354342526123525</v>
      </c>
      <c r="HU290" s="479">
        <f ca="1">IF($FJ290+HU$244&gt;73,"",PRODUCT(INDEX($T$19:$T$93,HU$244):INDEX($T$19:$T$93,HU$244+$FJ290-1)))</f>
        <v>0.79610790127328857</v>
      </c>
      <c r="HV290" s="479">
        <f ca="1">IF($FJ290+HV$244&gt;73,"",PRODUCT(INDEX($T$19:$T$93,HV$244):INDEX($T$19:$T$93,HV$244+$FJ290-1)))</f>
        <v>0.76491081113240533</v>
      </c>
      <c r="HW290" s="479">
        <f ca="1">IF($FJ290+HW$244&gt;73,"",PRODUCT(INDEX($T$19:$T$93,HW$244):INDEX($T$19:$T$93,HW$244+$FJ290-1)))</f>
        <v>0.72962242832523716</v>
      </c>
      <c r="HX290" s="479">
        <f ca="1">IF($FJ290+HX$244&gt;73,"",PRODUCT(INDEX($T$19:$T$93,HX$244):INDEX($T$19:$T$93,HX$244+$FJ290-1)))</f>
        <v>0.68995689161500706</v>
      </c>
      <c r="HY290" s="479">
        <f ca="1">IF($FJ290+HY$244&gt;73,"",PRODUCT(INDEX($T$19:$T$93,HY$244):INDEX($T$19:$T$93,HY$244+$FJ290-1)))</f>
        <v>0.64570762286568262</v>
      </c>
      <c r="HZ290" s="479">
        <f ca="1">IF($FJ290+HZ$244&gt;73,"",PRODUCT(INDEX($T$19:$T$93,HZ$244):INDEX($T$19:$T$93,HZ$244+$FJ290-1)))</f>
        <v>0.59679377402636002</v>
      </c>
      <c r="IA290" s="479">
        <f ca="1">IF($FJ290+IA$244&gt;73,"",PRODUCT(INDEX($T$19:$T$93,IA$244):INDEX($T$19:$T$93,IA$244+$FJ290-1)))</f>
        <v>0.54331848599078136</v>
      </c>
      <c r="IB290" s="479">
        <f ca="1">IF($FJ290+IB$244&gt;73,"",PRODUCT(INDEX($T$19:$T$93,IB$244):INDEX($T$19:$T$93,IB$244+$FJ290-1)))</f>
        <v>0.48563806513379087</v>
      </c>
      <c r="IC290" s="479">
        <f ca="1">IF($FJ290+IC$244&gt;73,"",PRODUCT(INDEX($T$19:$T$93,IC$244):INDEX($T$19:$T$93,IC$244+$FJ290-1)))</f>
        <v>0.42443810651778197</v>
      </c>
      <c r="ID290" s="678">
        <f ca="1">IF($FJ290+ID$244&gt;73,"",PRODUCT(INDEX($T$19:$T$93,ID$244):INDEX($T$19:$T$93,ID$244+$FJ290-1)))</f>
        <v>0.3608075740344967</v>
      </c>
      <c r="IE290" s="250"/>
    </row>
    <row r="291" spans="9:239">
      <c r="I291" s="137"/>
      <c r="J291" s="375"/>
      <c r="K291" s="138"/>
      <c r="L291" s="1"/>
      <c r="M291" s="376"/>
      <c r="P291" s="375"/>
      <c r="S291" s="55"/>
      <c r="T291" s="375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374"/>
      <c r="AP291" s="1"/>
      <c r="AQ291" s="374"/>
      <c r="AR291" s="1"/>
      <c r="AS291" s="1"/>
      <c r="AT291" s="106"/>
      <c r="AU291" s="106"/>
      <c r="AV291" s="106"/>
      <c r="AW291" s="31"/>
      <c r="AX291" s="31"/>
      <c r="AY291" s="31"/>
      <c r="AZ291" s="31"/>
      <c r="BA291" s="154"/>
      <c r="BB291" s="154"/>
      <c r="BC291" s="106"/>
      <c r="BD291" s="106"/>
      <c r="BE291" s="106"/>
      <c r="BF291" s="107"/>
      <c r="BG291" s="107"/>
      <c r="BH291" s="107"/>
      <c r="BI291" s="105"/>
      <c r="BJ291" s="107"/>
      <c r="BK291" s="107"/>
      <c r="BL291" s="106"/>
      <c r="BM291" s="108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7"/>
      <c r="CE291" s="107"/>
      <c r="CF291" s="107"/>
      <c r="CG291" s="107"/>
      <c r="CH291" s="107"/>
      <c r="CI291" s="107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475"/>
      <c r="DI291" s="110"/>
      <c r="DJ291" s="110"/>
      <c r="DK291" s="475"/>
      <c r="DL291" s="53"/>
      <c r="DM291" s="54"/>
      <c r="DN291" s="54"/>
      <c r="DO291" s="54"/>
      <c r="DP291" s="54"/>
      <c r="DQ291" s="54"/>
      <c r="DR291" s="54"/>
      <c r="DS291" s="54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L291" s="55"/>
      <c r="EM291" s="1"/>
      <c r="EN291" s="106"/>
      <c r="EO291" s="105"/>
      <c r="EP291" s="1"/>
      <c r="EQ291" s="106"/>
      <c r="ER291" s="1"/>
      <c r="ES291" s="1"/>
      <c r="ET291" s="1"/>
      <c r="EU291" s="107"/>
      <c r="FJ291" s="673">
        <v>47</v>
      </c>
      <c r="FK291" s="479" t="str">
        <f ca="1">IF($FJ291+FK$244&gt;73,"",PRODUCT(INDEX($T$19:$T$93,FK$244):INDEX($T$19:$T$93,FK$244+$FJ291-1)))</f>
        <v/>
      </c>
      <c r="FL291" s="479" t="str">
        <f ca="1">IF($FJ291+FL$244&gt;73,"",PRODUCT(INDEX($T$19:$T$93,FL$244):INDEX($T$19:$T$93,FL$244+$FJ291-1)))</f>
        <v/>
      </c>
      <c r="FM291" s="479" t="str">
        <f ca="1">IF($FJ291+FM$244&gt;73,"",PRODUCT(INDEX($T$19:$T$93,FM$244):INDEX($T$19:$T$93,FM$244+$FJ291-1)))</f>
        <v/>
      </c>
      <c r="FN291" s="479" t="str">
        <f ca="1">IF($FJ291+FN$244&gt;73,"",PRODUCT(INDEX($T$19:$T$93,FN$244):INDEX($T$19:$T$93,FN$244+$FJ291-1)))</f>
        <v/>
      </c>
      <c r="FO291" s="479" t="str">
        <f ca="1">IF($FJ291+FO$244&gt;73,"",PRODUCT(INDEX($T$19:$T$93,FO$244):INDEX($T$19:$T$93,FO$244+$FJ291-1)))</f>
        <v/>
      </c>
      <c r="FP291" s="479" t="str">
        <f ca="1">IF($FJ291+FP$244&gt;73,"",PRODUCT(INDEX($T$19:$T$93,FP$244):INDEX($T$19:$T$93,FP$244+$FJ291-1)))</f>
        <v/>
      </c>
      <c r="FQ291" s="479" t="str">
        <f ca="1">IF($FJ291+FQ$244&gt;73,"",PRODUCT(INDEX($T$19:$T$93,FQ$244):INDEX($T$19:$T$93,FQ$244+$FJ291-1)))</f>
        <v/>
      </c>
      <c r="FR291" s="479" t="str">
        <f ca="1">IF($FJ291+FR$244&gt;73,"",PRODUCT(INDEX($T$19:$T$93,FR$244):INDEX($T$19:$T$93,FR$244+$FJ291-1)))</f>
        <v/>
      </c>
      <c r="FS291" s="479" t="str">
        <f ca="1">IF($FJ291+FS$244&gt;73,"",PRODUCT(INDEX($T$19:$T$93,FS$244):INDEX($T$19:$T$93,FS$244+$FJ291-1)))</f>
        <v/>
      </c>
      <c r="FT291" s="479" t="str">
        <f ca="1">IF($FJ291+FT$244&gt;73,"",PRODUCT(INDEX($T$19:$T$93,FT$244):INDEX($T$19:$T$93,FT$244+$FJ291-1)))</f>
        <v/>
      </c>
      <c r="FU291" s="479" t="str">
        <f ca="1">IF($FJ291+FU$244&gt;73,"",PRODUCT(INDEX($T$19:$T$93,FU$244):INDEX($T$19:$T$93,FU$244+$FJ291-1)))</f>
        <v/>
      </c>
      <c r="FV291" s="479" t="str">
        <f ca="1">IF($FJ291+FV$244&gt;73,"",PRODUCT(INDEX($T$19:$T$93,FV$244):INDEX($T$19:$T$93,FV$244+$FJ291-1)))</f>
        <v/>
      </c>
      <c r="FW291" s="479" t="str">
        <f ca="1">IF($FJ291+FW$244&gt;73,"",PRODUCT(INDEX($T$19:$T$93,FW$244):INDEX($T$19:$T$93,FW$244+$FJ291-1)))</f>
        <v/>
      </c>
      <c r="FX291" s="479" t="str">
        <f ca="1">IF($FJ291+FX$244&gt;73,"",PRODUCT(INDEX($T$19:$T$93,FX$244):INDEX($T$19:$T$93,FX$244+$FJ291-1)))</f>
        <v/>
      </c>
      <c r="FY291" s="479" t="str">
        <f ca="1">IF($FJ291+FY$244&gt;73,"",PRODUCT(INDEX($T$19:$T$93,FY$244):INDEX($T$19:$T$93,FY$244+$FJ291-1)))</f>
        <v/>
      </c>
      <c r="FZ291" s="479" t="str">
        <f ca="1">IF($FJ291+FZ$244&gt;73,"",PRODUCT(INDEX($T$19:$T$93,FZ$244):INDEX($T$19:$T$93,FZ$244+$FJ291-1)))</f>
        <v/>
      </c>
      <c r="GA291" s="479" t="str">
        <f ca="1">IF($FJ291+GA$244&gt;73,"",PRODUCT(INDEX($T$19:$T$93,GA$244):INDEX($T$19:$T$93,GA$244+$FJ291-1)))</f>
        <v/>
      </c>
      <c r="GB291" s="479" t="str">
        <f ca="1">IF($FJ291+GB$244&gt;73,"",PRODUCT(INDEX($T$19:$T$93,GB$244):INDEX($T$19:$T$93,GB$244+$FJ291-1)))</f>
        <v/>
      </c>
      <c r="GC291" s="479" t="str">
        <f ca="1">IF($FJ291+GC$244&gt;73,"",PRODUCT(INDEX($T$19:$T$93,GC$244):INDEX($T$19:$T$93,GC$244+$FJ291-1)))</f>
        <v/>
      </c>
      <c r="GD291" s="479" t="str">
        <f ca="1">IF($FJ291+GD$244&gt;73,"",PRODUCT(INDEX($T$19:$T$93,GD$244):INDEX($T$19:$T$93,GD$244+$FJ291-1)))</f>
        <v/>
      </c>
      <c r="GE291" s="479" t="str">
        <f ca="1">IF($FJ291+GE$244&gt;73,"",PRODUCT(INDEX($T$19:$T$93,GE$244):INDEX($T$19:$T$93,GE$244+$FJ291-1)))</f>
        <v/>
      </c>
      <c r="GF291" s="479" t="str">
        <f ca="1">IF($FJ291+GF$244&gt;73,"",PRODUCT(INDEX($T$19:$T$93,GF$244):INDEX($T$19:$T$93,GF$244+$FJ291-1)))</f>
        <v/>
      </c>
      <c r="GG291" s="479" t="str">
        <f ca="1">IF($FJ291+GG$244&gt;73,"",PRODUCT(INDEX($T$19:$T$93,GG$244):INDEX($T$19:$T$93,GG$244+$FJ291-1)))</f>
        <v/>
      </c>
      <c r="GH291" s="479" t="str">
        <f ca="1">IF($FJ291+GH$244&gt;73,"",PRODUCT(INDEX($T$19:$T$93,GH$244):INDEX($T$19:$T$93,GH$244+$FJ291-1)))</f>
        <v/>
      </c>
      <c r="GI291" s="479" t="str">
        <f ca="1">IF($FJ291+GI$244&gt;73,"",PRODUCT(INDEX($T$19:$T$93,GI$244):INDEX($T$19:$T$93,GI$244+$FJ291-1)))</f>
        <v/>
      </c>
      <c r="GJ291" s="479" t="str">
        <f ca="1">IF($FJ291+GJ$244&gt;73,"",PRODUCT(INDEX($T$19:$T$93,GJ$244):INDEX($T$19:$T$93,GJ$244+$FJ291-1)))</f>
        <v/>
      </c>
      <c r="GK291" s="479" t="str">
        <f ca="1">IF($FJ291+GK$244&gt;73,"",PRODUCT(INDEX($T$19:$T$93,GK$244):INDEX($T$19:$T$93,GK$244+$FJ291-1)))</f>
        <v/>
      </c>
      <c r="GL291" s="479" t="str">
        <f ca="1">IF($FJ291+GL$244&gt;73,"",PRODUCT(INDEX($T$19:$T$93,GL$244):INDEX($T$19:$T$93,GL$244+$FJ291-1)))</f>
        <v/>
      </c>
      <c r="GM291" s="479" t="str">
        <f ca="1">IF($FJ291+GM$244&gt;73,"",PRODUCT(INDEX($T$19:$T$93,GM$244):INDEX($T$19:$T$93,GM$244+$FJ291-1)))</f>
        <v/>
      </c>
      <c r="GN291" s="479" t="str">
        <f ca="1">IF($FJ291+GN$244&gt;73,"",PRODUCT(INDEX($T$19:$T$93,GN$244):INDEX($T$19:$T$93,GN$244+$FJ291-1)))</f>
        <v/>
      </c>
      <c r="GO291" s="479" t="str">
        <f ca="1">IF($FJ291+GO$244&gt;73,"",PRODUCT(INDEX($T$19:$T$93,GO$244):INDEX($T$19:$T$93,GO$244+$FJ291-1)))</f>
        <v/>
      </c>
      <c r="GP291" s="479" t="str">
        <f ca="1">IF($FJ291+GP$244&gt;73,"",PRODUCT(INDEX($T$19:$T$93,GP$244):INDEX($T$19:$T$93,GP$244+$FJ291-1)))</f>
        <v/>
      </c>
      <c r="GQ291" s="479" t="str">
        <f ca="1">IF($FJ291+GQ$244&gt;73,"",PRODUCT(INDEX($T$19:$T$93,GQ$244):INDEX($T$19:$T$93,GQ$244+$FJ291-1)))</f>
        <v/>
      </c>
      <c r="GR291" s="479" t="str">
        <f ca="1">IF($FJ291+GR$244&gt;73,"",PRODUCT(INDEX($T$19:$T$93,GR$244):INDEX($T$19:$T$93,GR$244+$FJ291-1)))</f>
        <v/>
      </c>
      <c r="GS291" s="479" t="str">
        <f ca="1">IF($FJ291+GS$244&gt;73,"",PRODUCT(INDEX($T$19:$T$93,GS$244):INDEX($T$19:$T$93,GS$244+$FJ291-1)))</f>
        <v/>
      </c>
      <c r="GT291" s="479" t="str">
        <f ca="1">IF($FJ291+GT$244&gt;73,"",PRODUCT(INDEX($T$19:$T$93,GT$244):INDEX($T$19:$T$93,GT$244+$FJ291-1)))</f>
        <v/>
      </c>
      <c r="GU291" s="479" t="str">
        <f ca="1">IF($FJ291+GU$244&gt;73,"",PRODUCT(INDEX($T$19:$T$93,GU$244):INDEX($T$19:$T$93,GU$244+$FJ291-1)))</f>
        <v/>
      </c>
      <c r="GV291" s="479" t="str">
        <f ca="1">IF($FJ291+GV$244&gt;73,"",PRODUCT(INDEX($T$19:$T$93,GV$244):INDEX($T$19:$T$93,GV$244+$FJ291-1)))</f>
        <v/>
      </c>
      <c r="GW291" s="479" t="str">
        <f ca="1">IF($FJ291+GW$244&gt;73,"",PRODUCT(INDEX($T$19:$T$93,GW$244):INDEX($T$19:$T$93,GW$244+$FJ291-1)))</f>
        <v/>
      </c>
      <c r="GX291" s="479" t="str">
        <f ca="1">IF($FJ291+GX$244&gt;73,"",PRODUCT(INDEX($T$19:$T$93,GX$244):INDEX($T$19:$T$93,GX$244+$FJ291-1)))</f>
        <v/>
      </c>
      <c r="GY291" s="479" t="str">
        <f ca="1">IF($FJ291+GY$244&gt;73,"",PRODUCT(INDEX($T$19:$T$93,GY$244):INDEX($T$19:$T$93,GY$244+$FJ291-1)))</f>
        <v/>
      </c>
      <c r="GZ291" s="479" t="str">
        <f ca="1">IF($FJ291+GZ$244&gt;73,"",PRODUCT(INDEX($T$19:$T$93,GZ$244):INDEX($T$19:$T$93,GZ$244+$FJ291-1)))</f>
        <v/>
      </c>
      <c r="HA291" s="479" t="str">
        <f ca="1">IF($FJ291+HA$244&gt;73,"",PRODUCT(INDEX($T$19:$T$93,HA$244):INDEX($T$19:$T$93,HA$244+$FJ291-1)))</f>
        <v/>
      </c>
      <c r="HB291" s="479" t="str">
        <f ca="1">IF($FJ291+HB$244&gt;73,"",PRODUCT(INDEX($T$19:$T$93,HB$244):INDEX($T$19:$T$93,HB$244+$FJ291-1)))</f>
        <v/>
      </c>
      <c r="HC291" s="479" t="str">
        <f ca="1">IF($FJ291+HC$244&gt;73,"",PRODUCT(INDEX($T$19:$T$93,HC$244):INDEX($T$19:$T$93,HC$244+$FJ291-1)))</f>
        <v/>
      </c>
      <c r="HD291" s="479" t="str">
        <f ca="1">IF($FJ291+HD$244&gt;73,"",PRODUCT(INDEX($T$19:$T$93,HD$244):INDEX($T$19:$T$93,HD$244+$FJ291-1)))</f>
        <v/>
      </c>
      <c r="HE291" s="479">
        <f ca="1">IF($FJ291+HE$244&gt;73,"",PRODUCT(INDEX($T$19:$T$93,HE$244):INDEX($T$19:$T$93,HE$244+$FJ291-1)))</f>
        <v>0.98207553695503802</v>
      </c>
      <c r="HF291" s="479">
        <f ca="1">IF($FJ291+HF$244&gt;73,"",PRODUCT(INDEX($T$19:$T$93,HF$244):INDEX($T$19:$T$93,HF$244+$FJ291-1)))</f>
        <v>0.97905794443246874</v>
      </c>
      <c r="HG291" s="479">
        <f ca="1">IF($FJ291+HG$244&gt;73,"",PRODUCT(INDEX($T$19:$T$93,HG$244):INDEX($T$19:$T$93,HG$244+$FJ291-1)))</f>
        <v>0.97553692774273204</v>
      </c>
      <c r="HH291" s="479">
        <f ca="1">IF($FJ291+HH$244&gt;73,"",PRODUCT(INDEX($T$19:$T$93,HH$244):INDEX($T$19:$T$93,HH$244+$FJ291-1)))</f>
        <v>0.9714302205001959</v>
      </c>
      <c r="HI291" s="479">
        <f ca="1">IF($FJ291+HI$244&gt;73,"",PRODUCT(INDEX($T$19:$T$93,HI$244):INDEX($T$19:$T$93,HI$244+$FJ291-1)))</f>
        <v>0.96664275924096965</v>
      </c>
      <c r="HJ291" s="479">
        <f ca="1">IF($FJ291+HJ$244&gt;73,"",PRODUCT(INDEX($T$19:$T$93,HJ$244):INDEX($T$19:$T$93,HJ$244+$FJ291-1)))</f>
        <v>0.96106493854707375</v>
      </c>
      <c r="HK291" s="479">
        <f ca="1">IF($FJ291+HK$244&gt;73,"",PRODUCT(INDEX($T$19:$T$93,HK$244):INDEX($T$19:$T$93,HK$244+$FJ291-1)))</f>
        <v>0.95457072511126861</v>
      </c>
      <c r="HL291" s="479">
        <f ca="1">IF($FJ291+HL$244&gt;73,"",PRODUCT(INDEX($T$19:$T$93,HL$244):INDEX($T$19:$T$93,HL$244+$FJ291-1)))</f>
        <v>0.94701566204723198</v>
      </c>
      <c r="HM291" s="479">
        <f ca="1">IF($FJ291+HM$244&gt;73,"",PRODUCT(INDEX($T$19:$T$93,HM$244):INDEX($T$19:$T$93,HM$244+$FJ291-1)))</f>
        <v>0.93823481903210937</v>
      </c>
      <c r="HN291" s="479">
        <f ca="1">IF($FJ291+HN$244&gt;73,"",PRODUCT(INDEX($T$19:$T$93,HN$244):INDEX($T$19:$T$93,HN$244+$FJ291-1)))</f>
        <v>0.92804077831821719</v>
      </c>
      <c r="HO291" s="479">
        <f ca="1">IF($FJ291+HO$244&gt;73,"",PRODUCT(INDEX($T$19:$T$93,HO$244):INDEX($T$19:$T$93,HO$244+$FJ291-1)))</f>
        <v>0.91622179460650721</v>
      </c>
      <c r="HP291" s="479">
        <f ca="1">IF($FJ291+HP$244&gt;73,"",PRODUCT(INDEX($T$19:$T$93,HP$244):INDEX($T$19:$T$93,HP$244+$FJ291-1)))</f>
        <v>0.90254033234717823</v>
      </c>
      <c r="HQ291" s="479">
        <f ca="1">IF($FJ291+HQ$244&gt;73,"",PRODUCT(INDEX($T$19:$T$93,HQ$244):INDEX($T$19:$T$93,HQ$244+$FJ291-1)))</f>
        <v>0.88673227207566752</v>
      </c>
      <c r="HR291" s="479">
        <f ca="1">IF($FJ291+HR$244&gt;73,"",PRODUCT(INDEX($T$19:$T$93,HR$244):INDEX($T$19:$T$93,HR$244+$FJ291-1)))</f>
        <v>0.86850719326718728</v>
      </c>
      <c r="HS291" s="479">
        <f ca="1">IF($FJ291+HS$244&gt;73,"",PRODUCT(INDEX($T$19:$T$93,HS$244):INDEX($T$19:$T$93,HS$244+$FJ291-1)))</f>
        <v>0.84755029015561678</v>
      </c>
      <c r="HT291" s="479">
        <f ca="1">IF($FJ291+HT$244&gt;73,"",PRODUCT(INDEX($T$19:$T$93,HT$244):INDEX($T$19:$T$93,HT$244+$FJ291-1)))</f>
        <v>0.82352666286829168</v>
      </c>
      <c r="HU291" s="479">
        <f ca="1">IF($FJ291+HU$244&gt;73,"",PRODUCT(INDEX($T$19:$T$93,HU$244):INDEX($T$19:$T$93,HU$244+$FJ291-1)))</f>
        <v>0.79608894909677674</v>
      </c>
      <c r="HV291" s="479">
        <f ca="1">IF($FJ291+HV$244&gt;73,"",PRODUCT(INDEX($T$19:$T$93,HV$244):INDEX($T$19:$T$93,HV$244+$FJ291-1)))</f>
        <v>0.76488951326339927</v>
      </c>
      <c r="HW291" s="479">
        <f ca="1">IF($FJ291+HW$244&gt;73,"",PRODUCT(INDEX($T$19:$T$93,HW$244):INDEX($T$19:$T$93,HW$244+$FJ291-1)))</f>
        <v>0.7295986674545355</v>
      </c>
      <c r="HX291" s="479">
        <f ca="1">IF($FJ291+HX$244&gt;73,"",PRODUCT(INDEX($T$19:$T$93,HX$244):INDEX($T$19:$T$93,HX$244+$FJ291-1)))</f>
        <v>0.68993061159587477</v>
      </c>
      <c r="HY291" s="479">
        <f ca="1">IF($FJ291+HY$244&gt;73,"",PRODUCT(INDEX($T$19:$T$93,HY$244):INDEX($T$19:$T$93,HY$244+$FJ291-1)))</f>
        <v>0.64567885683059123</v>
      </c>
      <c r="HZ291" s="479">
        <f ca="1">IF($FJ291+HZ$244&gt;73,"",PRODUCT(INDEX($T$19:$T$93,HZ$244):INDEX($T$19:$T$93,HZ$244+$FJ291-1)))</f>
        <v>0.59676267765615165</v>
      </c>
      <c r="IA291" s="479">
        <f ca="1">IF($FJ291+IA$244&gt;73,"",PRODUCT(INDEX($T$19:$T$93,IA$244):INDEX($T$19:$T$93,IA$244+$FJ291-1)))</f>
        <v>0.54328537422759948</v>
      </c>
      <c r="IB291" s="479">
        <f ca="1">IF($FJ291+IB$244&gt;73,"",PRODUCT(INDEX($T$19:$T$93,IB$244):INDEX($T$19:$T$93,IB$244+$FJ291-1)))</f>
        <v>0.48560344854995885</v>
      </c>
      <c r="IC291" s="479">
        <f ca="1">IF($FJ291+IC$244&gt;73,"",PRODUCT(INDEX($T$19:$T$93,IC$244):INDEX($T$19:$T$93,IC$244+$FJ291-1)))</f>
        <v>0.42440272056031803</v>
      </c>
      <c r="ID291" s="678">
        <f ca="1">IF($FJ291+ID$244&gt;73,"",PRODUCT(INDEX($T$19:$T$93,ID$244):INDEX($T$19:$T$93,ID$244+$FJ291-1)))</f>
        <v>0.36077239054011473</v>
      </c>
      <c r="IE291" s="250"/>
    </row>
    <row r="292" spans="9:239">
      <c r="I292" s="137"/>
      <c r="J292" s="375"/>
      <c r="K292" s="138"/>
      <c r="L292" s="1"/>
      <c r="M292" s="376"/>
      <c r="P292" s="375"/>
      <c r="S292" s="55"/>
      <c r="T292" s="375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374"/>
      <c r="AP292" s="1"/>
      <c r="AQ292" s="374"/>
      <c r="AR292" s="1"/>
      <c r="AS292" s="1"/>
      <c r="AT292" s="106"/>
      <c r="AU292" s="106"/>
      <c r="AV292" s="106"/>
      <c r="AW292" s="31"/>
      <c r="AX292" s="31"/>
      <c r="AY292" s="31"/>
      <c r="AZ292" s="31"/>
      <c r="BA292" s="154"/>
      <c r="BB292" s="154"/>
      <c r="BC292" s="106"/>
      <c r="BD292" s="106"/>
      <c r="BE292" s="106"/>
      <c r="BF292" s="107"/>
      <c r="BG292" s="107"/>
      <c r="BH292" s="107"/>
      <c r="BI292" s="105"/>
      <c r="BJ292" s="107"/>
      <c r="BK292" s="107"/>
      <c r="BL292" s="106"/>
      <c r="BM292" s="108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7"/>
      <c r="CE292" s="107"/>
      <c r="CF292" s="107"/>
      <c r="CG292" s="107"/>
      <c r="CH292" s="107"/>
      <c r="CI292" s="107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475"/>
      <c r="DI292" s="110"/>
      <c r="DJ292" s="110"/>
      <c r="DK292" s="475"/>
      <c r="DL292" s="53"/>
      <c r="DM292" s="54"/>
      <c r="DN292" s="54"/>
      <c r="DO292" s="54"/>
      <c r="DP292" s="54"/>
      <c r="DQ292" s="54"/>
      <c r="DR292" s="54"/>
      <c r="DS292" s="54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L292" s="55"/>
      <c r="EM292" s="1"/>
      <c r="EN292" s="106"/>
      <c r="EO292" s="105"/>
      <c r="EP292" s="1"/>
      <c r="EQ292" s="106"/>
      <c r="ER292" s="1"/>
      <c r="ES292" s="1"/>
      <c r="ET292" s="1"/>
      <c r="EU292" s="107"/>
      <c r="FJ292" s="673">
        <v>48</v>
      </c>
      <c r="FK292" s="479" t="str">
        <f ca="1">IF($FJ292+FK$244&gt;73,"",PRODUCT(INDEX($T$19:$T$93,FK$244):INDEX($T$19:$T$93,FK$244+$FJ292-1)))</f>
        <v/>
      </c>
      <c r="FL292" s="479" t="str">
        <f ca="1">IF($FJ292+FL$244&gt;73,"",PRODUCT(INDEX($T$19:$T$93,FL$244):INDEX($T$19:$T$93,FL$244+$FJ292-1)))</f>
        <v/>
      </c>
      <c r="FM292" s="479" t="str">
        <f ca="1">IF($FJ292+FM$244&gt;73,"",PRODUCT(INDEX($T$19:$T$93,FM$244):INDEX($T$19:$T$93,FM$244+$FJ292-1)))</f>
        <v/>
      </c>
      <c r="FN292" s="479" t="str">
        <f ca="1">IF($FJ292+FN$244&gt;73,"",PRODUCT(INDEX($T$19:$T$93,FN$244):INDEX($T$19:$T$93,FN$244+$FJ292-1)))</f>
        <v/>
      </c>
      <c r="FO292" s="479" t="str">
        <f ca="1">IF($FJ292+FO$244&gt;73,"",PRODUCT(INDEX($T$19:$T$93,FO$244):INDEX($T$19:$T$93,FO$244+$FJ292-1)))</f>
        <v/>
      </c>
      <c r="FP292" s="479" t="str">
        <f ca="1">IF($FJ292+FP$244&gt;73,"",PRODUCT(INDEX($T$19:$T$93,FP$244):INDEX($T$19:$T$93,FP$244+$FJ292-1)))</f>
        <v/>
      </c>
      <c r="FQ292" s="479" t="str">
        <f ca="1">IF($FJ292+FQ$244&gt;73,"",PRODUCT(INDEX($T$19:$T$93,FQ$244):INDEX($T$19:$T$93,FQ$244+$FJ292-1)))</f>
        <v/>
      </c>
      <c r="FR292" s="479" t="str">
        <f ca="1">IF($FJ292+FR$244&gt;73,"",PRODUCT(INDEX($T$19:$T$93,FR$244):INDEX($T$19:$T$93,FR$244+$FJ292-1)))</f>
        <v/>
      </c>
      <c r="FS292" s="479" t="str">
        <f ca="1">IF($FJ292+FS$244&gt;73,"",PRODUCT(INDEX($T$19:$T$93,FS$244):INDEX($T$19:$T$93,FS$244+$FJ292-1)))</f>
        <v/>
      </c>
      <c r="FT292" s="479" t="str">
        <f ca="1">IF($FJ292+FT$244&gt;73,"",PRODUCT(INDEX($T$19:$T$93,FT$244):INDEX($T$19:$T$93,FT$244+$FJ292-1)))</f>
        <v/>
      </c>
      <c r="FU292" s="479" t="str">
        <f ca="1">IF($FJ292+FU$244&gt;73,"",PRODUCT(INDEX($T$19:$T$93,FU$244):INDEX($T$19:$T$93,FU$244+$FJ292-1)))</f>
        <v/>
      </c>
      <c r="FV292" s="479" t="str">
        <f ca="1">IF($FJ292+FV$244&gt;73,"",PRODUCT(INDEX($T$19:$T$93,FV$244):INDEX($T$19:$T$93,FV$244+$FJ292-1)))</f>
        <v/>
      </c>
      <c r="FW292" s="479" t="str">
        <f ca="1">IF($FJ292+FW$244&gt;73,"",PRODUCT(INDEX($T$19:$T$93,FW$244):INDEX($T$19:$T$93,FW$244+$FJ292-1)))</f>
        <v/>
      </c>
      <c r="FX292" s="479" t="str">
        <f ca="1">IF($FJ292+FX$244&gt;73,"",PRODUCT(INDEX($T$19:$T$93,FX$244):INDEX($T$19:$T$93,FX$244+$FJ292-1)))</f>
        <v/>
      </c>
      <c r="FY292" s="479" t="str">
        <f ca="1">IF($FJ292+FY$244&gt;73,"",PRODUCT(INDEX($T$19:$T$93,FY$244):INDEX($T$19:$T$93,FY$244+$FJ292-1)))</f>
        <v/>
      </c>
      <c r="FZ292" s="479" t="str">
        <f ca="1">IF($FJ292+FZ$244&gt;73,"",PRODUCT(INDEX($T$19:$T$93,FZ$244):INDEX($T$19:$T$93,FZ$244+$FJ292-1)))</f>
        <v/>
      </c>
      <c r="GA292" s="479" t="str">
        <f ca="1">IF($FJ292+GA$244&gt;73,"",PRODUCT(INDEX($T$19:$T$93,GA$244):INDEX($T$19:$T$93,GA$244+$FJ292-1)))</f>
        <v/>
      </c>
      <c r="GB292" s="479" t="str">
        <f ca="1">IF($FJ292+GB$244&gt;73,"",PRODUCT(INDEX($T$19:$T$93,GB$244):INDEX($T$19:$T$93,GB$244+$FJ292-1)))</f>
        <v/>
      </c>
      <c r="GC292" s="479" t="str">
        <f ca="1">IF($FJ292+GC$244&gt;73,"",PRODUCT(INDEX($T$19:$T$93,GC$244):INDEX($T$19:$T$93,GC$244+$FJ292-1)))</f>
        <v/>
      </c>
      <c r="GD292" s="479" t="str">
        <f ca="1">IF($FJ292+GD$244&gt;73,"",PRODUCT(INDEX($T$19:$T$93,GD$244):INDEX($T$19:$T$93,GD$244+$FJ292-1)))</f>
        <v/>
      </c>
      <c r="GE292" s="479" t="str">
        <f ca="1">IF($FJ292+GE$244&gt;73,"",PRODUCT(INDEX($T$19:$T$93,GE$244):INDEX($T$19:$T$93,GE$244+$FJ292-1)))</f>
        <v/>
      </c>
      <c r="GF292" s="479" t="str">
        <f ca="1">IF($FJ292+GF$244&gt;73,"",PRODUCT(INDEX($T$19:$T$93,GF$244):INDEX($T$19:$T$93,GF$244+$FJ292-1)))</f>
        <v/>
      </c>
      <c r="GG292" s="479" t="str">
        <f ca="1">IF($FJ292+GG$244&gt;73,"",PRODUCT(INDEX($T$19:$T$93,GG$244):INDEX($T$19:$T$93,GG$244+$FJ292-1)))</f>
        <v/>
      </c>
      <c r="GH292" s="479" t="str">
        <f ca="1">IF($FJ292+GH$244&gt;73,"",PRODUCT(INDEX($T$19:$T$93,GH$244):INDEX($T$19:$T$93,GH$244+$FJ292-1)))</f>
        <v/>
      </c>
      <c r="GI292" s="479" t="str">
        <f ca="1">IF($FJ292+GI$244&gt;73,"",PRODUCT(INDEX($T$19:$T$93,GI$244):INDEX($T$19:$T$93,GI$244+$FJ292-1)))</f>
        <v/>
      </c>
      <c r="GJ292" s="479" t="str">
        <f ca="1">IF($FJ292+GJ$244&gt;73,"",PRODUCT(INDEX($T$19:$T$93,GJ$244):INDEX($T$19:$T$93,GJ$244+$FJ292-1)))</f>
        <v/>
      </c>
      <c r="GK292" s="479" t="str">
        <f ca="1">IF($FJ292+GK$244&gt;73,"",PRODUCT(INDEX($T$19:$T$93,GK$244):INDEX($T$19:$T$93,GK$244+$FJ292-1)))</f>
        <v/>
      </c>
      <c r="GL292" s="479" t="str">
        <f ca="1">IF($FJ292+GL$244&gt;73,"",PRODUCT(INDEX($T$19:$T$93,GL$244):INDEX($T$19:$T$93,GL$244+$FJ292-1)))</f>
        <v/>
      </c>
      <c r="GM292" s="479" t="str">
        <f ca="1">IF($FJ292+GM$244&gt;73,"",PRODUCT(INDEX($T$19:$T$93,GM$244):INDEX($T$19:$T$93,GM$244+$FJ292-1)))</f>
        <v/>
      </c>
      <c r="GN292" s="479" t="str">
        <f ca="1">IF($FJ292+GN$244&gt;73,"",PRODUCT(INDEX($T$19:$T$93,GN$244):INDEX($T$19:$T$93,GN$244+$FJ292-1)))</f>
        <v/>
      </c>
      <c r="GO292" s="479" t="str">
        <f ca="1">IF($FJ292+GO$244&gt;73,"",PRODUCT(INDEX($T$19:$T$93,GO$244):INDEX($T$19:$T$93,GO$244+$FJ292-1)))</f>
        <v/>
      </c>
      <c r="GP292" s="479" t="str">
        <f ca="1">IF($FJ292+GP$244&gt;73,"",PRODUCT(INDEX($T$19:$T$93,GP$244):INDEX($T$19:$T$93,GP$244+$FJ292-1)))</f>
        <v/>
      </c>
      <c r="GQ292" s="479" t="str">
        <f ca="1">IF($FJ292+GQ$244&gt;73,"",PRODUCT(INDEX($T$19:$T$93,GQ$244):INDEX($T$19:$T$93,GQ$244+$FJ292-1)))</f>
        <v/>
      </c>
      <c r="GR292" s="479" t="str">
        <f ca="1">IF($FJ292+GR$244&gt;73,"",PRODUCT(INDEX($T$19:$T$93,GR$244):INDEX($T$19:$T$93,GR$244+$FJ292-1)))</f>
        <v/>
      </c>
      <c r="GS292" s="479" t="str">
        <f ca="1">IF($FJ292+GS$244&gt;73,"",PRODUCT(INDEX($T$19:$T$93,GS$244):INDEX($T$19:$T$93,GS$244+$FJ292-1)))</f>
        <v/>
      </c>
      <c r="GT292" s="479" t="str">
        <f ca="1">IF($FJ292+GT$244&gt;73,"",PRODUCT(INDEX($T$19:$T$93,GT$244):INDEX($T$19:$T$93,GT$244+$FJ292-1)))</f>
        <v/>
      </c>
      <c r="GU292" s="479" t="str">
        <f ca="1">IF($FJ292+GU$244&gt;73,"",PRODUCT(INDEX($T$19:$T$93,GU$244):INDEX($T$19:$T$93,GU$244+$FJ292-1)))</f>
        <v/>
      </c>
      <c r="GV292" s="479" t="str">
        <f ca="1">IF($FJ292+GV$244&gt;73,"",PRODUCT(INDEX($T$19:$T$93,GV$244):INDEX($T$19:$T$93,GV$244+$FJ292-1)))</f>
        <v/>
      </c>
      <c r="GW292" s="479" t="str">
        <f ca="1">IF($FJ292+GW$244&gt;73,"",PRODUCT(INDEX($T$19:$T$93,GW$244):INDEX($T$19:$T$93,GW$244+$FJ292-1)))</f>
        <v/>
      </c>
      <c r="GX292" s="479" t="str">
        <f ca="1">IF($FJ292+GX$244&gt;73,"",PRODUCT(INDEX($T$19:$T$93,GX$244):INDEX($T$19:$T$93,GX$244+$FJ292-1)))</f>
        <v/>
      </c>
      <c r="GY292" s="479" t="str">
        <f ca="1">IF($FJ292+GY$244&gt;73,"",PRODUCT(INDEX($T$19:$T$93,GY$244):INDEX($T$19:$T$93,GY$244+$FJ292-1)))</f>
        <v/>
      </c>
      <c r="GZ292" s="479" t="str">
        <f ca="1">IF($FJ292+GZ$244&gt;73,"",PRODUCT(INDEX($T$19:$T$93,GZ$244):INDEX($T$19:$T$93,GZ$244+$FJ292-1)))</f>
        <v/>
      </c>
      <c r="HA292" s="479" t="str">
        <f ca="1">IF($FJ292+HA$244&gt;73,"",PRODUCT(INDEX($T$19:$T$93,HA$244):INDEX($T$19:$T$93,HA$244+$FJ292-1)))</f>
        <v/>
      </c>
      <c r="HB292" s="479" t="str">
        <f ca="1">IF($FJ292+HB$244&gt;73,"",PRODUCT(INDEX($T$19:$T$93,HB$244):INDEX($T$19:$T$93,HB$244+$FJ292-1)))</f>
        <v/>
      </c>
      <c r="HC292" s="479" t="str">
        <f ca="1">IF($FJ292+HC$244&gt;73,"",PRODUCT(INDEX($T$19:$T$93,HC$244):INDEX($T$19:$T$93,HC$244+$FJ292-1)))</f>
        <v/>
      </c>
      <c r="HD292" s="479" t="str">
        <f ca="1">IF($FJ292+HD$244&gt;73,"",PRODUCT(INDEX($T$19:$T$93,HD$244):INDEX($T$19:$T$93,HD$244+$FJ292-1)))</f>
        <v/>
      </c>
      <c r="HE292" s="479" t="str">
        <f ca="1">IF($FJ292+HE$244&gt;73,"",PRODUCT(INDEX($T$19:$T$93,HE$244):INDEX($T$19:$T$93,HE$244+$FJ292-1)))</f>
        <v/>
      </c>
      <c r="HF292" s="479">
        <f ca="1">IF($FJ292+HF$244&gt;73,"",PRODUCT(INDEX($T$19:$T$93,HF$244):INDEX($T$19:$T$93,HF$244+$FJ292-1)))</f>
        <v>0.97905604367310684</v>
      </c>
      <c r="HG292" s="479">
        <f ca="1">IF($FJ292+HG$244&gt;73,"",PRODUCT(INDEX($T$19:$T$93,HG$244):INDEX($T$19:$T$93,HG$244+$FJ292-1)))</f>
        <v>0.97553471262489233</v>
      </c>
      <c r="HH292" s="479">
        <f ca="1">IF($FJ292+HH$244&gt;73,"",PRODUCT(INDEX($T$19:$T$93,HH$244):INDEX($T$19:$T$93,HH$244+$FJ292-1)))</f>
        <v>0.97142764062212672</v>
      </c>
      <c r="HI292" s="479">
        <f ca="1">IF($FJ292+HI$244&gt;73,"",PRODUCT(INDEX($T$19:$T$93,HI$244):INDEX($T$19:$T$93,HI$244+$FJ292-1)))</f>
        <v>0.9666397567057925</v>
      </c>
      <c r="HJ292" s="479">
        <f ca="1">IF($FJ292+HJ$244&gt;73,"",PRODUCT(INDEX($T$19:$T$93,HJ$244):INDEX($T$19:$T$93,HJ$244+$FJ292-1)))</f>
        <v>0.96106144706786412</v>
      </c>
      <c r="HK292" s="479">
        <f ca="1">IF($FJ292+HK$244&gt;73,"",PRODUCT(INDEX($T$19:$T$93,HK$244):INDEX($T$19:$T$93,HK$244+$FJ292-1)))</f>
        <v>0.95456666909610988</v>
      </c>
      <c r="HL292" s="479">
        <f ca="1">IF($FJ292+HL$244&gt;73,"",PRODUCT(INDEX($T$19:$T$93,HL$244):INDEX($T$19:$T$93,HL$244+$FJ292-1)))</f>
        <v>0.94701095570533556</v>
      </c>
      <c r="HM292" s="479">
        <f ca="1">IF($FJ292+HM$244&gt;73,"",PRODUCT(INDEX($T$19:$T$93,HM$244):INDEX($T$19:$T$93,HM$244+$FJ292-1)))</f>
        <v>0.93822936556306347</v>
      </c>
      <c r="HN292" s="479">
        <f ca="1">IF($FJ292+HN$244&gt;73,"",PRODUCT(INDEX($T$19:$T$93,HN$244):INDEX($T$19:$T$93,HN$244+$FJ292-1)))</f>
        <v>0.92803446927473232</v>
      </c>
      <c r="HO292" s="479">
        <f ca="1">IF($FJ292+HO$244&gt;73,"",PRODUCT(INDEX($T$19:$T$93,HO$244):INDEX($T$19:$T$93,HO$244+$FJ292-1)))</f>
        <v>0.91621450955849437</v>
      </c>
      <c r="HP292" s="479">
        <f ca="1">IF($FJ292+HP$244&gt;73,"",PRODUCT(INDEX($T$19:$T$93,HP$244):INDEX($T$19:$T$93,HP$244+$FJ292-1)))</f>
        <v>0.90253193902355877</v>
      </c>
      <c r="HQ292" s="479">
        <f ca="1">IF($FJ292+HQ$244&gt;73,"",PRODUCT(INDEX($T$19:$T$93,HQ$244):INDEX($T$19:$T$93,HQ$244+$FJ292-1)))</f>
        <v>0.88672262722170914</v>
      </c>
      <c r="HR292" s="479">
        <f ca="1">IF($FJ292+HR$244&gt;73,"",PRODUCT(INDEX($T$19:$T$93,HR$244):INDEX($T$19:$T$93,HR$244+$FJ292-1)))</f>
        <v>0.86849614453034818</v>
      </c>
      <c r="HS292" s="479">
        <f ca="1">IF($FJ292+HS$244&gt;73,"",PRODUCT(INDEX($T$19:$T$93,HS$244):INDEX($T$19:$T$93,HS$244+$FJ292-1)))</f>
        <v>0.84753767940107216</v>
      </c>
      <c r="HT292" s="479">
        <f ca="1">IF($FJ292+HT$244&gt;73,"",PRODUCT(INDEX($T$19:$T$93,HT$244):INDEX($T$19:$T$93,HT$244+$FJ292-1)))</f>
        <v>0.82351233142233438</v>
      </c>
      <c r="HU292" s="479">
        <f ca="1">IF($FJ292+HU$244&gt;73,"",PRODUCT(INDEX($T$19:$T$93,HU$244):INDEX($T$19:$T$93,HU$244+$FJ292-1)))</f>
        <v>0.79607274551190976</v>
      </c>
      <c r="HV292" s="479">
        <f ca="1">IF($FJ292+HV$244&gt;73,"",PRODUCT(INDEX($T$19:$T$93,HV$244):INDEX($T$19:$T$93,HV$244+$FJ292-1)))</f>
        <v>0.76487130427307992</v>
      </c>
      <c r="HW292" s="479">
        <f ca="1">IF($FJ292+HW$244&gt;73,"",PRODUCT(INDEX($T$19:$T$93,HW$244):INDEX($T$19:$T$93,HW$244+$FJ292-1)))</f>
        <v>0.7295783528026567</v>
      </c>
      <c r="HX292" s="479">
        <f ca="1">IF($FJ292+HX$244&gt;73,"",PRODUCT(INDEX($T$19:$T$93,HX$244):INDEX($T$19:$T$93,HX$244+$FJ292-1)))</f>
        <v>0.68990814332815331</v>
      </c>
      <c r="HY292" s="479">
        <f ca="1">IF($FJ292+HY$244&gt;73,"",PRODUCT(INDEX($T$19:$T$93,HY$244):INDEX($T$19:$T$93,HY$244+$FJ292-1)))</f>
        <v>0.6456542633336394</v>
      </c>
      <c r="HZ292" s="479">
        <f ca="1">IF($FJ292+HZ$244&gt;73,"",PRODUCT(INDEX($T$19:$T$93,HZ$244):INDEX($T$19:$T$93,HZ$244+$FJ292-1)))</f>
        <v>0.59673609210021461</v>
      </c>
      <c r="IA292" s="479">
        <f ca="1">IF($FJ292+IA$244&gt;73,"",PRODUCT(INDEX($T$19:$T$93,IA$244):INDEX($T$19:$T$93,IA$244+$FJ292-1)))</f>
        <v>0.54325706595117118</v>
      </c>
      <c r="IB292" s="479">
        <f ca="1">IF($FJ292+IB$244&gt;73,"",PRODUCT(INDEX($T$19:$T$93,IB$244):INDEX($T$19:$T$93,IB$244+$FJ292-1)))</f>
        <v>0.48557385414667004</v>
      </c>
      <c r="IC292" s="479">
        <f ca="1">IF($FJ292+IC$244&gt;73,"",PRODUCT(INDEX($T$19:$T$93,IC$244):INDEX($T$19:$T$93,IC$244+$FJ292-1)))</f>
        <v>0.42437246886999641</v>
      </c>
      <c r="ID292" s="678">
        <f ca="1">IF($FJ292+ID$244&gt;73,"",PRODUCT(INDEX($T$19:$T$93,ID$244):INDEX($T$19:$T$93,ID$244+$FJ292-1)))</f>
        <v>0.36074231247627037</v>
      </c>
      <c r="IE292" s="250"/>
    </row>
    <row r="293" spans="9:239">
      <c r="I293" s="137"/>
      <c r="J293" s="375"/>
      <c r="K293" s="138"/>
      <c r="L293" s="1"/>
      <c r="M293" s="376"/>
      <c r="P293" s="375"/>
      <c r="S293" s="55"/>
      <c r="T293" s="375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374"/>
      <c r="AP293" s="1"/>
      <c r="AQ293" s="374"/>
      <c r="AR293" s="1"/>
      <c r="AS293" s="1"/>
      <c r="AT293" s="106"/>
      <c r="AU293" s="106"/>
      <c r="AV293" s="106"/>
      <c r="AW293" s="31"/>
      <c r="AX293" s="31"/>
      <c r="AY293" s="31"/>
      <c r="AZ293" s="31"/>
      <c r="BA293" s="154"/>
      <c r="BB293" s="154"/>
      <c r="BC293" s="106"/>
      <c r="BD293" s="106"/>
      <c r="BE293" s="106"/>
      <c r="BF293" s="107"/>
      <c r="BG293" s="107"/>
      <c r="BH293" s="107"/>
      <c r="BI293" s="105"/>
      <c r="BJ293" s="107"/>
      <c r="BK293" s="107"/>
      <c r="BL293" s="106"/>
      <c r="BM293" s="108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7"/>
      <c r="CE293" s="107"/>
      <c r="CF293" s="107"/>
      <c r="CG293" s="107"/>
      <c r="CH293" s="107"/>
      <c r="CI293" s="107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475"/>
      <c r="DI293" s="110"/>
      <c r="DJ293" s="110"/>
      <c r="DK293" s="475"/>
      <c r="DL293" s="53"/>
      <c r="DM293" s="54"/>
      <c r="DN293" s="54"/>
      <c r="DO293" s="54"/>
      <c r="DP293" s="54"/>
      <c r="DQ293" s="54"/>
      <c r="DR293" s="54"/>
      <c r="DS293" s="54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L293" s="55"/>
      <c r="EM293" s="1"/>
      <c r="EN293" s="106"/>
      <c r="EO293" s="105"/>
      <c r="EP293" s="1"/>
      <c r="EQ293" s="106"/>
      <c r="ER293" s="1"/>
      <c r="ES293" s="1"/>
      <c r="ET293" s="1"/>
      <c r="EU293" s="107"/>
      <c r="FJ293" s="673">
        <v>49</v>
      </c>
      <c r="FK293" s="479" t="str">
        <f ca="1">IF($FJ293+FK$244&gt;73,"",PRODUCT(INDEX($T$19:$T$93,FK$244):INDEX($T$19:$T$93,FK$244+$FJ293-1)))</f>
        <v/>
      </c>
      <c r="FL293" s="479" t="str">
        <f ca="1">IF($FJ293+FL$244&gt;73,"",PRODUCT(INDEX($T$19:$T$93,FL$244):INDEX($T$19:$T$93,FL$244+$FJ293-1)))</f>
        <v/>
      </c>
      <c r="FM293" s="479" t="str">
        <f ca="1">IF($FJ293+FM$244&gt;73,"",PRODUCT(INDEX($T$19:$T$93,FM$244):INDEX($T$19:$T$93,FM$244+$FJ293-1)))</f>
        <v/>
      </c>
      <c r="FN293" s="479" t="str">
        <f ca="1">IF($FJ293+FN$244&gt;73,"",PRODUCT(INDEX($T$19:$T$93,FN$244):INDEX($T$19:$T$93,FN$244+$FJ293-1)))</f>
        <v/>
      </c>
      <c r="FO293" s="479" t="str">
        <f ca="1">IF($FJ293+FO$244&gt;73,"",PRODUCT(INDEX($T$19:$T$93,FO$244):INDEX($T$19:$T$93,FO$244+$FJ293-1)))</f>
        <v/>
      </c>
      <c r="FP293" s="479" t="str">
        <f ca="1">IF($FJ293+FP$244&gt;73,"",PRODUCT(INDEX($T$19:$T$93,FP$244):INDEX($T$19:$T$93,FP$244+$FJ293-1)))</f>
        <v/>
      </c>
      <c r="FQ293" s="479" t="str">
        <f ca="1">IF($FJ293+FQ$244&gt;73,"",PRODUCT(INDEX($T$19:$T$93,FQ$244):INDEX($T$19:$T$93,FQ$244+$FJ293-1)))</f>
        <v/>
      </c>
      <c r="FR293" s="479" t="str">
        <f ca="1">IF($FJ293+FR$244&gt;73,"",PRODUCT(INDEX($T$19:$T$93,FR$244):INDEX($T$19:$T$93,FR$244+$FJ293-1)))</f>
        <v/>
      </c>
      <c r="FS293" s="479" t="str">
        <f ca="1">IF($FJ293+FS$244&gt;73,"",PRODUCT(INDEX($T$19:$T$93,FS$244):INDEX($T$19:$T$93,FS$244+$FJ293-1)))</f>
        <v/>
      </c>
      <c r="FT293" s="479" t="str">
        <f ca="1">IF($FJ293+FT$244&gt;73,"",PRODUCT(INDEX($T$19:$T$93,FT$244):INDEX($T$19:$T$93,FT$244+$FJ293-1)))</f>
        <v/>
      </c>
      <c r="FU293" s="479" t="str">
        <f ca="1">IF($FJ293+FU$244&gt;73,"",PRODUCT(INDEX($T$19:$T$93,FU$244):INDEX($T$19:$T$93,FU$244+$FJ293-1)))</f>
        <v/>
      </c>
      <c r="FV293" s="479" t="str">
        <f ca="1">IF($FJ293+FV$244&gt;73,"",PRODUCT(INDEX($T$19:$T$93,FV$244):INDEX($T$19:$T$93,FV$244+$FJ293-1)))</f>
        <v/>
      </c>
      <c r="FW293" s="479" t="str">
        <f ca="1">IF($FJ293+FW$244&gt;73,"",PRODUCT(INDEX($T$19:$T$93,FW$244):INDEX($T$19:$T$93,FW$244+$FJ293-1)))</f>
        <v/>
      </c>
      <c r="FX293" s="479" t="str">
        <f ca="1">IF($FJ293+FX$244&gt;73,"",PRODUCT(INDEX($T$19:$T$93,FX$244):INDEX($T$19:$T$93,FX$244+$FJ293-1)))</f>
        <v/>
      </c>
      <c r="FY293" s="479" t="str">
        <f ca="1">IF($FJ293+FY$244&gt;73,"",PRODUCT(INDEX($T$19:$T$93,FY$244):INDEX($T$19:$T$93,FY$244+$FJ293-1)))</f>
        <v/>
      </c>
      <c r="FZ293" s="479" t="str">
        <f ca="1">IF($FJ293+FZ$244&gt;73,"",PRODUCT(INDEX($T$19:$T$93,FZ$244):INDEX($T$19:$T$93,FZ$244+$FJ293-1)))</f>
        <v/>
      </c>
      <c r="GA293" s="479" t="str">
        <f ca="1">IF($FJ293+GA$244&gt;73,"",PRODUCT(INDEX($T$19:$T$93,GA$244):INDEX($T$19:$T$93,GA$244+$FJ293-1)))</f>
        <v/>
      </c>
      <c r="GB293" s="479" t="str">
        <f ca="1">IF($FJ293+GB$244&gt;73,"",PRODUCT(INDEX($T$19:$T$93,GB$244):INDEX($T$19:$T$93,GB$244+$FJ293-1)))</f>
        <v/>
      </c>
      <c r="GC293" s="479" t="str">
        <f ca="1">IF($FJ293+GC$244&gt;73,"",PRODUCT(INDEX($T$19:$T$93,GC$244):INDEX($T$19:$T$93,GC$244+$FJ293-1)))</f>
        <v/>
      </c>
      <c r="GD293" s="479" t="str">
        <f ca="1">IF($FJ293+GD$244&gt;73,"",PRODUCT(INDEX($T$19:$T$93,GD$244):INDEX($T$19:$T$93,GD$244+$FJ293-1)))</f>
        <v/>
      </c>
      <c r="GE293" s="479" t="str">
        <f ca="1">IF($FJ293+GE$244&gt;73,"",PRODUCT(INDEX($T$19:$T$93,GE$244):INDEX($T$19:$T$93,GE$244+$FJ293-1)))</f>
        <v/>
      </c>
      <c r="GF293" s="479" t="str">
        <f ca="1">IF($FJ293+GF$244&gt;73,"",PRODUCT(INDEX($T$19:$T$93,GF$244):INDEX($T$19:$T$93,GF$244+$FJ293-1)))</f>
        <v/>
      </c>
      <c r="GG293" s="479" t="str">
        <f ca="1">IF($FJ293+GG$244&gt;73,"",PRODUCT(INDEX($T$19:$T$93,GG$244):INDEX($T$19:$T$93,GG$244+$FJ293-1)))</f>
        <v/>
      </c>
      <c r="GH293" s="479" t="str">
        <f ca="1">IF($FJ293+GH$244&gt;73,"",PRODUCT(INDEX($T$19:$T$93,GH$244):INDEX($T$19:$T$93,GH$244+$FJ293-1)))</f>
        <v/>
      </c>
      <c r="GI293" s="479" t="str">
        <f ca="1">IF($FJ293+GI$244&gt;73,"",PRODUCT(INDEX($T$19:$T$93,GI$244):INDEX($T$19:$T$93,GI$244+$FJ293-1)))</f>
        <v/>
      </c>
      <c r="GJ293" s="479" t="str">
        <f ca="1">IF($FJ293+GJ$244&gt;73,"",PRODUCT(INDEX($T$19:$T$93,GJ$244):INDEX($T$19:$T$93,GJ$244+$FJ293-1)))</f>
        <v/>
      </c>
      <c r="GK293" s="479" t="str">
        <f ca="1">IF($FJ293+GK$244&gt;73,"",PRODUCT(INDEX($T$19:$T$93,GK$244):INDEX($T$19:$T$93,GK$244+$FJ293-1)))</f>
        <v/>
      </c>
      <c r="GL293" s="479" t="str">
        <f ca="1">IF($FJ293+GL$244&gt;73,"",PRODUCT(INDEX($T$19:$T$93,GL$244):INDEX($T$19:$T$93,GL$244+$FJ293-1)))</f>
        <v/>
      </c>
      <c r="GM293" s="479" t="str">
        <f ca="1">IF($FJ293+GM$244&gt;73,"",PRODUCT(INDEX($T$19:$T$93,GM$244):INDEX($T$19:$T$93,GM$244+$FJ293-1)))</f>
        <v/>
      </c>
      <c r="GN293" s="479" t="str">
        <f ca="1">IF($FJ293+GN$244&gt;73,"",PRODUCT(INDEX($T$19:$T$93,GN$244):INDEX($T$19:$T$93,GN$244+$FJ293-1)))</f>
        <v/>
      </c>
      <c r="GO293" s="479" t="str">
        <f ca="1">IF($FJ293+GO$244&gt;73,"",PRODUCT(INDEX($T$19:$T$93,GO$244):INDEX($T$19:$T$93,GO$244+$FJ293-1)))</f>
        <v/>
      </c>
      <c r="GP293" s="479" t="str">
        <f ca="1">IF($FJ293+GP$244&gt;73,"",PRODUCT(INDEX($T$19:$T$93,GP$244):INDEX($T$19:$T$93,GP$244+$FJ293-1)))</f>
        <v/>
      </c>
      <c r="GQ293" s="479" t="str">
        <f ca="1">IF($FJ293+GQ$244&gt;73,"",PRODUCT(INDEX($T$19:$T$93,GQ$244):INDEX($T$19:$T$93,GQ$244+$FJ293-1)))</f>
        <v/>
      </c>
      <c r="GR293" s="479" t="str">
        <f ca="1">IF($FJ293+GR$244&gt;73,"",PRODUCT(INDEX($T$19:$T$93,GR$244):INDEX($T$19:$T$93,GR$244+$FJ293-1)))</f>
        <v/>
      </c>
      <c r="GS293" s="479" t="str">
        <f ca="1">IF($FJ293+GS$244&gt;73,"",PRODUCT(INDEX($T$19:$T$93,GS$244):INDEX($T$19:$T$93,GS$244+$FJ293-1)))</f>
        <v/>
      </c>
      <c r="GT293" s="479" t="str">
        <f ca="1">IF($FJ293+GT$244&gt;73,"",PRODUCT(INDEX($T$19:$T$93,GT$244):INDEX($T$19:$T$93,GT$244+$FJ293-1)))</f>
        <v/>
      </c>
      <c r="GU293" s="479" t="str">
        <f ca="1">IF($FJ293+GU$244&gt;73,"",PRODUCT(INDEX($T$19:$T$93,GU$244):INDEX($T$19:$T$93,GU$244+$FJ293-1)))</f>
        <v/>
      </c>
      <c r="GV293" s="479" t="str">
        <f ca="1">IF($FJ293+GV$244&gt;73,"",PRODUCT(INDEX($T$19:$T$93,GV$244):INDEX($T$19:$T$93,GV$244+$FJ293-1)))</f>
        <v/>
      </c>
      <c r="GW293" s="479" t="str">
        <f ca="1">IF($FJ293+GW$244&gt;73,"",PRODUCT(INDEX($T$19:$T$93,GW$244):INDEX($T$19:$T$93,GW$244+$FJ293-1)))</f>
        <v/>
      </c>
      <c r="GX293" s="479" t="str">
        <f ca="1">IF($FJ293+GX$244&gt;73,"",PRODUCT(INDEX($T$19:$T$93,GX$244):INDEX($T$19:$T$93,GX$244+$FJ293-1)))</f>
        <v/>
      </c>
      <c r="GY293" s="479" t="str">
        <f ca="1">IF($FJ293+GY$244&gt;73,"",PRODUCT(INDEX($T$19:$T$93,GY$244):INDEX($T$19:$T$93,GY$244+$FJ293-1)))</f>
        <v/>
      </c>
      <c r="GZ293" s="479" t="str">
        <f ca="1">IF($FJ293+GZ$244&gt;73,"",PRODUCT(INDEX($T$19:$T$93,GZ$244):INDEX($T$19:$T$93,GZ$244+$FJ293-1)))</f>
        <v/>
      </c>
      <c r="HA293" s="479" t="str">
        <f ca="1">IF($FJ293+HA$244&gt;73,"",PRODUCT(INDEX($T$19:$T$93,HA$244):INDEX($T$19:$T$93,HA$244+$FJ293-1)))</f>
        <v/>
      </c>
      <c r="HB293" s="479" t="str">
        <f ca="1">IF($FJ293+HB$244&gt;73,"",PRODUCT(INDEX($T$19:$T$93,HB$244):INDEX($T$19:$T$93,HB$244+$FJ293-1)))</f>
        <v/>
      </c>
      <c r="HC293" s="479" t="str">
        <f ca="1">IF($FJ293+HC$244&gt;73,"",PRODUCT(INDEX($T$19:$T$93,HC$244):INDEX($T$19:$T$93,HC$244+$FJ293-1)))</f>
        <v/>
      </c>
      <c r="HD293" s="479" t="str">
        <f ca="1">IF($FJ293+HD$244&gt;73,"",PRODUCT(INDEX($T$19:$T$93,HD$244):INDEX($T$19:$T$93,HD$244+$FJ293-1)))</f>
        <v/>
      </c>
      <c r="HE293" s="479" t="str">
        <f ca="1">IF($FJ293+HE$244&gt;73,"",PRODUCT(INDEX($T$19:$T$93,HE$244):INDEX($T$19:$T$93,HE$244+$FJ293-1)))</f>
        <v/>
      </c>
      <c r="HF293" s="479" t="str">
        <f ca="1">IF($FJ293+HF$244&gt;73,"",PRODUCT(INDEX($T$19:$T$93,HF$244):INDEX($T$19:$T$93,HF$244+$FJ293-1)))</f>
        <v/>
      </c>
      <c r="HG293" s="479">
        <f ca="1">IF($FJ293+HG$244&gt;73,"",PRODUCT(INDEX($T$19:$T$93,HG$244):INDEX($T$19:$T$93,HG$244+$FJ293-1)))</f>
        <v>0.97553281870559116</v>
      </c>
      <c r="HH293" s="479">
        <f ca="1">IF($FJ293+HH$244&gt;73,"",PRODUCT(INDEX($T$19:$T$93,HH$244):INDEX($T$19:$T$93,HH$244+$FJ293-1)))</f>
        <v>0.97142543483510269</v>
      </c>
      <c r="HI293" s="479">
        <f ca="1">IF($FJ293+HI$244&gt;73,"",PRODUCT(INDEX($T$19:$T$93,HI$244):INDEX($T$19:$T$93,HI$244+$FJ293-1)))</f>
        <v>0.96663718955000866</v>
      </c>
      <c r="HJ293" s="479">
        <f ca="1">IF($FJ293+HJ$244&gt;73,"",PRODUCT(INDEX($T$19:$T$93,HJ$244):INDEX($T$19:$T$93,HJ$244+$FJ293-1)))</f>
        <v>0.96105846186906685</v>
      </c>
      <c r="HK293" s="479">
        <f ca="1">IF($FJ293+HK$244&gt;73,"",PRODUCT(INDEX($T$19:$T$93,HK$244):INDEX($T$19:$T$93,HK$244+$FJ293-1)))</f>
        <v>0.95456320122464178</v>
      </c>
      <c r="HL293" s="479">
        <f ca="1">IF($FJ293+HL$244&gt;73,"",PRODUCT(INDEX($T$19:$T$93,HL$244):INDEX($T$19:$T$93,HL$244+$FJ293-1)))</f>
        <v>0.9470069318119867</v>
      </c>
      <c r="HM293" s="479">
        <f ca="1">IF($FJ293+HM$244&gt;73,"",PRODUCT(INDEX($T$19:$T$93,HM$244):INDEX($T$19:$T$93,HM$244+$FJ293-1)))</f>
        <v>0.93822470288603654</v>
      </c>
      <c r="HN293" s="479">
        <f ca="1">IF($FJ293+HN$244&gt;73,"",PRODUCT(INDEX($T$19:$T$93,HN$244):INDEX($T$19:$T$93,HN$244+$FJ293-1)))</f>
        <v>0.92802907509499277</v>
      </c>
      <c r="HO293" s="479">
        <f ca="1">IF($FJ293+HO$244&gt;73,"",PRODUCT(INDEX($T$19:$T$93,HO$244):INDEX($T$19:$T$93,HO$244+$FJ293-1)))</f>
        <v>0.91620828091281703</v>
      </c>
      <c r="HP293" s="479">
        <f ca="1">IF($FJ293+HP$244&gt;73,"",PRODUCT(INDEX($T$19:$T$93,HP$244):INDEX($T$19:$T$93,HP$244+$FJ293-1)))</f>
        <v>0.90252476282610572</v>
      </c>
      <c r="HQ293" s="479">
        <f ca="1">IF($FJ293+HQ$244&gt;73,"",PRODUCT(INDEX($T$19:$T$93,HQ$244):INDEX($T$19:$T$93,HQ$244+$FJ293-1)))</f>
        <v>0.8867143809974638</v>
      </c>
      <c r="HR293" s="479">
        <f ca="1">IF($FJ293+HR$244&gt;73,"",PRODUCT(INDEX($T$19:$T$93,HR$244):INDEX($T$19:$T$93,HR$244+$FJ293-1)))</f>
        <v>0.8684866980280147</v>
      </c>
      <c r="HS293" s="479">
        <f ca="1">IF($FJ293+HS$244&gt;73,"",PRODUCT(INDEX($T$19:$T$93,HS$244):INDEX($T$19:$T$93,HS$244+$FJ293-1)))</f>
        <v>0.84752689742844889</v>
      </c>
      <c r="HT293" s="479">
        <f ca="1">IF($FJ293+HT$244&gt;73,"",PRODUCT(INDEX($T$19:$T$93,HT$244):INDEX($T$19:$T$93,HT$244+$FJ293-1)))</f>
        <v>0.82350007833010297</v>
      </c>
      <c r="HU293" s="479">
        <f ca="1">IF($FJ293+HU$244&gt;73,"",PRODUCT(INDEX($T$19:$T$93,HU$244):INDEX($T$19:$T$93,HU$244+$FJ293-1)))</f>
        <v>0.79605889183352285</v>
      </c>
      <c r="HV293" s="479">
        <f ca="1">IF($FJ293+HV$244&gt;73,"",PRODUCT(INDEX($T$19:$T$93,HV$244):INDEX($T$19:$T$93,HV$244+$FJ293-1)))</f>
        <v>0.76485573609177915</v>
      </c>
      <c r="HW293" s="479">
        <f ca="1">IF($FJ293+HW$244&gt;73,"",PRODUCT(INDEX($T$19:$T$93,HW$244):INDEX($T$19:$T$93,HW$244+$FJ293-1)))</f>
        <v>0.72956098443123441</v>
      </c>
      <c r="HX293" s="479">
        <f ca="1">IF($FJ293+HX$244&gt;73,"",PRODUCT(INDEX($T$19:$T$93,HX$244):INDEX($T$19:$T$93,HX$244+$FJ293-1)))</f>
        <v>0.68988893380326621</v>
      </c>
      <c r="HY293" s="479">
        <f ca="1">IF($FJ293+HY$244&gt;73,"",PRODUCT(INDEX($T$19:$T$93,HY$244):INDEX($T$19:$T$93,HY$244+$FJ293-1)))</f>
        <v>0.64563323696866837</v>
      </c>
      <c r="HZ293" s="479">
        <f ca="1">IF($FJ293+HZ$244&gt;73,"",PRODUCT(INDEX($T$19:$T$93,HZ$244):INDEX($T$19:$T$93,HZ$244+$FJ293-1)))</f>
        <v>0.59671336280203979</v>
      </c>
      <c r="IA293" s="479">
        <f ca="1">IF($FJ293+IA$244&gt;73,"",PRODUCT(INDEX($T$19:$T$93,IA$244):INDEX($T$19:$T$93,IA$244+$FJ293-1)))</f>
        <v>0.54323286405038917</v>
      </c>
      <c r="IB293" s="479">
        <f ca="1">IF($FJ293+IB$244&gt;73,"",PRODUCT(INDEX($T$19:$T$93,IB$244):INDEX($T$19:$T$93,IB$244+$FJ293-1)))</f>
        <v>0.48554855297063698</v>
      </c>
      <c r="IC293" s="479">
        <f ca="1">IF($FJ293+IC$244&gt;73,"",PRODUCT(INDEX($T$19:$T$93,IC$244):INDEX($T$19:$T$93,IC$244+$FJ293-1)))</f>
        <v>0.42434660610064023</v>
      </c>
      <c r="ID293" s="678">
        <f ca="1">IF($FJ293+ID$244&gt;73,"",PRODUCT(INDEX($T$19:$T$93,ID$244):INDEX($T$19:$T$93,ID$244+$FJ293-1)))</f>
        <v>0.360716598539497</v>
      </c>
      <c r="IE293" s="250"/>
    </row>
    <row r="294" spans="9:239">
      <c r="I294" s="137"/>
      <c r="J294" s="375"/>
      <c r="K294" s="138"/>
      <c r="L294" s="1"/>
      <c r="M294" s="376"/>
      <c r="P294" s="375"/>
      <c r="S294" s="55"/>
      <c r="T294" s="375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374"/>
      <c r="AP294" s="1"/>
      <c r="AQ294" s="374"/>
      <c r="AR294" s="1"/>
      <c r="AS294" s="1"/>
      <c r="AT294" s="106"/>
      <c r="AU294" s="106"/>
      <c r="AV294" s="106"/>
      <c r="AW294" s="31"/>
      <c r="AX294" s="31"/>
      <c r="AY294" s="31"/>
      <c r="AZ294" s="31"/>
      <c r="BA294" s="154"/>
      <c r="BB294" s="154"/>
      <c r="BC294" s="106"/>
      <c r="BD294" s="106"/>
      <c r="BE294" s="106"/>
      <c r="BF294" s="107"/>
      <c r="BG294" s="107"/>
      <c r="BH294" s="107"/>
      <c r="BI294" s="105"/>
      <c r="BJ294" s="107"/>
      <c r="BK294" s="107"/>
      <c r="BL294" s="106"/>
      <c r="BM294" s="108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7"/>
      <c r="CE294" s="107"/>
      <c r="CF294" s="107"/>
      <c r="CG294" s="107"/>
      <c r="CH294" s="107"/>
      <c r="CI294" s="107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475"/>
      <c r="DI294" s="110"/>
      <c r="DJ294" s="110"/>
      <c r="DK294" s="475"/>
      <c r="DL294" s="53"/>
      <c r="DM294" s="54"/>
      <c r="DN294" s="54"/>
      <c r="DO294" s="54"/>
      <c r="DP294" s="54"/>
      <c r="DQ294" s="54"/>
      <c r="DR294" s="54"/>
      <c r="DS294" s="54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L294" s="55"/>
      <c r="EM294" s="1"/>
      <c r="EN294" s="106"/>
      <c r="EO294" s="105"/>
      <c r="EP294" s="1"/>
      <c r="EQ294" s="106"/>
      <c r="ER294" s="1"/>
      <c r="ES294" s="1"/>
      <c r="ET294" s="1"/>
      <c r="EU294" s="107"/>
      <c r="FJ294" s="673">
        <v>50</v>
      </c>
      <c r="FK294" s="479" t="str">
        <f ca="1">IF($FJ294+FK$244&gt;73,"",PRODUCT(INDEX($T$19:$T$93,FK$244):INDEX($T$19:$T$93,FK$244+$FJ294-1)))</f>
        <v/>
      </c>
      <c r="FL294" s="479" t="str">
        <f ca="1">IF($FJ294+FL$244&gt;73,"",PRODUCT(INDEX($T$19:$T$93,FL$244):INDEX($T$19:$T$93,FL$244+$FJ294-1)))</f>
        <v/>
      </c>
      <c r="FM294" s="479" t="str">
        <f ca="1">IF($FJ294+FM$244&gt;73,"",PRODUCT(INDEX($T$19:$T$93,FM$244):INDEX($T$19:$T$93,FM$244+$FJ294-1)))</f>
        <v/>
      </c>
      <c r="FN294" s="479" t="str">
        <f ca="1">IF($FJ294+FN$244&gt;73,"",PRODUCT(INDEX($T$19:$T$93,FN$244):INDEX($T$19:$T$93,FN$244+$FJ294-1)))</f>
        <v/>
      </c>
      <c r="FO294" s="479" t="str">
        <f ca="1">IF($FJ294+FO$244&gt;73,"",PRODUCT(INDEX($T$19:$T$93,FO$244):INDEX($T$19:$T$93,FO$244+$FJ294-1)))</f>
        <v/>
      </c>
      <c r="FP294" s="479" t="str">
        <f ca="1">IF($FJ294+FP$244&gt;73,"",PRODUCT(INDEX($T$19:$T$93,FP$244):INDEX($T$19:$T$93,FP$244+$FJ294-1)))</f>
        <v/>
      </c>
      <c r="FQ294" s="479" t="str">
        <f ca="1">IF($FJ294+FQ$244&gt;73,"",PRODUCT(INDEX($T$19:$T$93,FQ$244):INDEX($T$19:$T$93,FQ$244+$FJ294-1)))</f>
        <v/>
      </c>
      <c r="FR294" s="479" t="str">
        <f ca="1">IF($FJ294+FR$244&gt;73,"",PRODUCT(INDEX($T$19:$T$93,FR$244):INDEX($T$19:$T$93,FR$244+$FJ294-1)))</f>
        <v/>
      </c>
      <c r="FS294" s="479" t="str">
        <f ca="1">IF($FJ294+FS$244&gt;73,"",PRODUCT(INDEX($T$19:$T$93,FS$244):INDEX($T$19:$T$93,FS$244+$FJ294-1)))</f>
        <v/>
      </c>
      <c r="FT294" s="479" t="str">
        <f ca="1">IF($FJ294+FT$244&gt;73,"",PRODUCT(INDEX($T$19:$T$93,FT$244):INDEX($T$19:$T$93,FT$244+$FJ294-1)))</f>
        <v/>
      </c>
      <c r="FU294" s="479" t="str">
        <f ca="1">IF($FJ294+FU$244&gt;73,"",PRODUCT(INDEX($T$19:$T$93,FU$244):INDEX($T$19:$T$93,FU$244+$FJ294-1)))</f>
        <v/>
      </c>
      <c r="FV294" s="479" t="str">
        <f ca="1">IF($FJ294+FV$244&gt;73,"",PRODUCT(INDEX($T$19:$T$93,FV$244):INDEX($T$19:$T$93,FV$244+$FJ294-1)))</f>
        <v/>
      </c>
      <c r="FW294" s="479" t="str">
        <f ca="1">IF($FJ294+FW$244&gt;73,"",PRODUCT(INDEX($T$19:$T$93,FW$244):INDEX($T$19:$T$93,FW$244+$FJ294-1)))</f>
        <v/>
      </c>
      <c r="FX294" s="479" t="str">
        <f ca="1">IF($FJ294+FX$244&gt;73,"",PRODUCT(INDEX($T$19:$T$93,FX$244):INDEX($T$19:$T$93,FX$244+$FJ294-1)))</f>
        <v/>
      </c>
      <c r="FY294" s="479" t="str">
        <f ca="1">IF($FJ294+FY$244&gt;73,"",PRODUCT(INDEX($T$19:$T$93,FY$244):INDEX($T$19:$T$93,FY$244+$FJ294-1)))</f>
        <v/>
      </c>
      <c r="FZ294" s="479" t="str">
        <f ca="1">IF($FJ294+FZ$244&gt;73,"",PRODUCT(INDEX($T$19:$T$93,FZ$244):INDEX($T$19:$T$93,FZ$244+$FJ294-1)))</f>
        <v/>
      </c>
      <c r="GA294" s="479" t="str">
        <f ca="1">IF($FJ294+GA$244&gt;73,"",PRODUCT(INDEX($T$19:$T$93,GA$244):INDEX($T$19:$T$93,GA$244+$FJ294-1)))</f>
        <v/>
      </c>
      <c r="GB294" s="479" t="str">
        <f ca="1">IF($FJ294+GB$244&gt;73,"",PRODUCT(INDEX($T$19:$T$93,GB$244):INDEX($T$19:$T$93,GB$244+$FJ294-1)))</f>
        <v/>
      </c>
      <c r="GC294" s="479" t="str">
        <f ca="1">IF($FJ294+GC$244&gt;73,"",PRODUCT(INDEX($T$19:$T$93,GC$244):INDEX($T$19:$T$93,GC$244+$FJ294-1)))</f>
        <v/>
      </c>
      <c r="GD294" s="479" t="str">
        <f ca="1">IF($FJ294+GD$244&gt;73,"",PRODUCT(INDEX($T$19:$T$93,GD$244):INDEX($T$19:$T$93,GD$244+$FJ294-1)))</f>
        <v/>
      </c>
      <c r="GE294" s="479" t="str">
        <f ca="1">IF($FJ294+GE$244&gt;73,"",PRODUCT(INDEX($T$19:$T$93,GE$244):INDEX($T$19:$T$93,GE$244+$FJ294-1)))</f>
        <v/>
      </c>
      <c r="GF294" s="479" t="str">
        <f ca="1">IF($FJ294+GF$244&gt;73,"",PRODUCT(INDEX($T$19:$T$93,GF$244):INDEX($T$19:$T$93,GF$244+$FJ294-1)))</f>
        <v/>
      </c>
      <c r="GG294" s="479" t="str">
        <f ca="1">IF($FJ294+GG$244&gt;73,"",PRODUCT(INDEX($T$19:$T$93,GG$244):INDEX($T$19:$T$93,GG$244+$FJ294-1)))</f>
        <v/>
      </c>
      <c r="GH294" s="479" t="str">
        <f ca="1">IF($FJ294+GH$244&gt;73,"",PRODUCT(INDEX($T$19:$T$93,GH$244):INDEX($T$19:$T$93,GH$244+$FJ294-1)))</f>
        <v/>
      </c>
      <c r="GI294" s="479" t="str">
        <f ca="1">IF($FJ294+GI$244&gt;73,"",PRODUCT(INDEX($T$19:$T$93,GI$244):INDEX($T$19:$T$93,GI$244+$FJ294-1)))</f>
        <v/>
      </c>
      <c r="GJ294" s="479" t="str">
        <f ca="1">IF($FJ294+GJ$244&gt;73,"",PRODUCT(INDEX($T$19:$T$93,GJ$244):INDEX($T$19:$T$93,GJ$244+$FJ294-1)))</f>
        <v/>
      </c>
      <c r="GK294" s="479" t="str">
        <f ca="1">IF($FJ294+GK$244&gt;73,"",PRODUCT(INDEX($T$19:$T$93,GK$244):INDEX($T$19:$T$93,GK$244+$FJ294-1)))</f>
        <v/>
      </c>
      <c r="GL294" s="479" t="str">
        <f ca="1">IF($FJ294+GL$244&gt;73,"",PRODUCT(INDEX($T$19:$T$93,GL$244):INDEX($T$19:$T$93,GL$244+$FJ294-1)))</f>
        <v/>
      </c>
      <c r="GM294" s="479" t="str">
        <f ca="1">IF($FJ294+GM$244&gt;73,"",PRODUCT(INDEX($T$19:$T$93,GM$244):INDEX($T$19:$T$93,GM$244+$FJ294-1)))</f>
        <v/>
      </c>
      <c r="GN294" s="479" t="str">
        <f ca="1">IF($FJ294+GN$244&gt;73,"",PRODUCT(INDEX($T$19:$T$93,GN$244):INDEX($T$19:$T$93,GN$244+$FJ294-1)))</f>
        <v/>
      </c>
      <c r="GO294" s="479" t="str">
        <f ca="1">IF($FJ294+GO$244&gt;73,"",PRODUCT(INDEX($T$19:$T$93,GO$244):INDEX($T$19:$T$93,GO$244+$FJ294-1)))</f>
        <v/>
      </c>
      <c r="GP294" s="479" t="str">
        <f ca="1">IF($FJ294+GP$244&gt;73,"",PRODUCT(INDEX($T$19:$T$93,GP$244):INDEX($T$19:$T$93,GP$244+$FJ294-1)))</f>
        <v/>
      </c>
      <c r="GQ294" s="479" t="str">
        <f ca="1">IF($FJ294+GQ$244&gt;73,"",PRODUCT(INDEX($T$19:$T$93,GQ$244):INDEX($T$19:$T$93,GQ$244+$FJ294-1)))</f>
        <v/>
      </c>
      <c r="GR294" s="479" t="str">
        <f ca="1">IF($FJ294+GR$244&gt;73,"",PRODUCT(INDEX($T$19:$T$93,GR$244):INDEX($T$19:$T$93,GR$244+$FJ294-1)))</f>
        <v/>
      </c>
      <c r="GS294" s="479" t="str">
        <f ca="1">IF($FJ294+GS$244&gt;73,"",PRODUCT(INDEX($T$19:$T$93,GS$244):INDEX($T$19:$T$93,GS$244+$FJ294-1)))</f>
        <v/>
      </c>
      <c r="GT294" s="479" t="str">
        <f ca="1">IF($FJ294+GT$244&gt;73,"",PRODUCT(INDEX($T$19:$T$93,GT$244):INDEX($T$19:$T$93,GT$244+$FJ294-1)))</f>
        <v/>
      </c>
      <c r="GU294" s="479" t="str">
        <f ca="1">IF($FJ294+GU$244&gt;73,"",PRODUCT(INDEX($T$19:$T$93,GU$244):INDEX($T$19:$T$93,GU$244+$FJ294-1)))</f>
        <v/>
      </c>
      <c r="GV294" s="479" t="str">
        <f ca="1">IF($FJ294+GV$244&gt;73,"",PRODUCT(INDEX($T$19:$T$93,GV$244):INDEX($T$19:$T$93,GV$244+$FJ294-1)))</f>
        <v/>
      </c>
      <c r="GW294" s="479" t="str">
        <f ca="1">IF($FJ294+GW$244&gt;73,"",PRODUCT(INDEX($T$19:$T$93,GW$244):INDEX($T$19:$T$93,GW$244+$FJ294-1)))</f>
        <v/>
      </c>
      <c r="GX294" s="479" t="str">
        <f ca="1">IF($FJ294+GX$244&gt;73,"",PRODUCT(INDEX($T$19:$T$93,GX$244):INDEX($T$19:$T$93,GX$244+$FJ294-1)))</f>
        <v/>
      </c>
      <c r="GY294" s="479" t="str">
        <f ca="1">IF($FJ294+GY$244&gt;73,"",PRODUCT(INDEX($T$19:$T$93,GY$244):INDEX($T$19:$T$93,GY$244+$FJ294-1)))</f>
        <v/>
      </c>
      <c r="GZ294" s="479" t="str">
        <f ca="1">IF($FJ294+GZ$244&gt;73,"",PRODUCT(INDEX($T$19:$T$93,GZ$244):INDEX($T$19:$T$93,GZ$244+$FJ294-1)))</f>
        <v/>
      </c>
      <c r="HA294" s="479" t="str">
        <f ca="1">IF($FJ294+HA$244&gt;73,"",PRODUCT(INDEX($T$19:$T$93,HA$244):INDEX($T$19:$T$93,HA$244+$FJ294-1)))</f>
        <v/>
      </c>
      <c r="HB294" s="479" t="str">
        <f ca="1">IF($FJ294+HB$244&gt;73,"",PRODUCT(INDEX($T$19:$T$93,HB$244):INDEX($T$19:$T$93,HB$244+$FJ294-1)))</f>
        <v/>
      </c>
      <c r="HC294" s="479" t="str">
        <f ca="1">IF($FJ294+HC$244&gt;73,"",PRODUCT(INDEX($T$19:$T$93,HC$244):INDEX($T$19:$T$93,HC$244+$FJ294-1)))</f>
        <v/>
      </c>
      <c r="HD294" s="479" t="str">
        <f ca="1">IF($FJ294+HD$244&gt;73,"",PRODUCT(INDEX($T$19:$T$93,HD$244):INDEX($T$19:$T$93,HD$244+$FJ294-1)))</f>
        <v/>
      </c>
      <c r="HE294" s="479" t="str">
        <f ca="1">IF($FJ294+HE$244&gt;73,"",PRODUCT(INDEX($T$19:$T$93,HE$244):INDEX($T$19:$T$93,HE$244+$FJ294-1)))</f>
        <v/>
      </c>
      <c r="HF294" s="479" t="str">
        <f ca="1">IF($FJ294+HF$244&gt;73,"",PRODUCT(INDEX($T$19:$T$93,HF$244):INDEX($T$19:$T$93,HF$244+$FJ294-1)))</f>
        <v/>
      </c>
      <c r="HG294" s="479" t="str">
        <f ca="1">IF($FJ294+HG$244&gt;73,"",PRODUCT(INDEX($T$19:$T$93,HG$244):INDEX($T$19:$T$93,HG$244+$FJ294-1)))</f>
        <v/>
      </c>
      <c r="HH294" s="479">
        <f ca="1">IF($FJ294+HH$244&gt;73,"",PRODUCT(INDEX($T$19:$T$93,HH$244):INDEX($T$19:$T$93,HH$244+$FJ294-1)))</f>
        <v>0.9714235488936217</v>
      </c>
      <c r="HI294" s="479">
        <f ca="1">IF($FJ294+HI$244&gt;73,"",PRODUCT(INDEX($T$19:$T$93,HI$244):INDEX($T$19:$T$93,HI$244+$FJ294-1)))</f>
        <v>0.96663499464049563</v>
      </c>
      <c r="HJ294" s="479">
        <f ca="1">IF($FJ294+HJ$244&gt;73,"",PRODUCT(INDEX($T$19:$T$93,HJ$244):INDEX($T$19:$T$93,HJ$244+$FJ294-1)))</f>
        <v>0.96105590953581976</v>
      </c>
      <c r="HK294" s="479">
        <f ca="1">IF($FJ294+HK$244&gt;73,"",PRODUCT(INDEX($T$19:$T$93,HK$244):INDEX($T$19:$T$93,HK$244+$FJ294-1)))</f>
        <v>0.95456023621035591</v>
      </c>
      <c r="HL294" s="479">
        <f ca="1">IF($FJ294+HL$244&gt;73,"",PRODUCT(INDEX($T$19:$T$93,HL$244):INDEX($T$19:$T$93,HL$244+$FJ294-1)))</f>
        <v>0.9470034914044958</v>
      </c>
      <c r="HM294" s="479">
        <f ca="1">IF($FJ294+HM$244&gt;73,"",PRODUCT(INDEX($T$19:$T$93,HM$244):INDEX($T$19:$T$93,HM$244+$FJ294-1)))</f>
        <v>0.93822071632588222</v>
      </c>
      <c r="HN294" s="479">
        <f ca="1">IF($FJ294+HN$244&gt;73,"",PRODUCT(INDEX($T$19:$T$93,HN$244):INDEX($T$19:$T$93,HN$244+$FJ294-1)))</f>
        <v>0.92802446310989872</v>
      </c>
      <c r="HO294" s="479">
        <f ca="1">IF($FJ294+HO$244&gt;73,"",PRODUCT(INDEX($T$19:$T$93,HO$244):INDEX($T$19:$T$93,HO$244+$FJ294-1)))</f>
        <v>0.91620295547253461</v>
      </c>
      <c r="HP294" s="479">
        <f ca="1">IF($FJ294+HP$244&gt;73,"",PRODUCT(INDEX($T$19:$T$93,HP$244):INDEX($T$19:$T$93,HP$244+$FJ294-1)))</f>
        <v>0.90251862724660548</v>
      </c>
      <c r="HQ294" s="479">
        <f ca="1">IF($FJ294+HQ$244&gt;73,"",PRODUCT(INDEX($T$19:$T$93,HQ$244):INDEX($T$19:$T$93,HQ$244+$FJ294-1)))</f>
        <v>0.88670733056832407</v>
      </c>
      <c r="HR294" s="479">
        <f ca="1">IF($FJ294+HR$244&gt;73,"",PRODUCT(INDEX($T$19:$T$93,HR$244):INDEX($T$19:$T$93,HR$244+$FJ294-1)))</f>
        <v>0.86847862139181964</v>
      </c>
      <c r="HS294" s="479">
        <f ca="1">IF($FJ294+HS$244&gt;73,"",PRODUCT(INDEX($T$19:$T$93,HS$244):INDEX($T$19:$T$93,HS$244+$FJ294-1)))</f>
        <v>0.84751767900547181</v>
      </c>
      <c r="HT294" s="479">
        <f ca="1">IF($FJ294+HT$244&gt;73,"",PRODUCT(INDEX($T$19:$T$93,HT$244):INDEX($T$19:$T$93,HT$244+$FJ294-1)))</f>
        <v>0.8234896021524466</v>
      </c>
      <c r="HU294" s="479">
        <f ca="1">IF($FJ294+HU$244&gt;73,"",PRODUCT(INDEX($T$19:$T$93,HU$244):INDEX($T$19:$T$93,HU$244+$FJ294-1)))</f>
        <v>0.79604704722276098</v>
      </c>
      <c r="HV294" s="479">
        <f ca="1">IF($FJ294+HV$244&gt;73,"",PRODUCT(INDEX($T$19:$T$93,HV$244):INDEX($T$19:$T$93,HV$244+$FJ294-1)))</f>
        <v>0.76484242566827843</v>
      </c>
      <c r="HW294" s="479">
        <f ca="1">IF($FJ294+HW$244&gt;73,"",PRODUCT(INDEX($T$19:$T$93,HW$244):INDEX($T$19:$T$93,HW$244+$FJ294-1)))</f>
        <v>0.72954613495575771</v>
      </c>
      <c r="HX294" s="479">
        <f ca="1">IF($FJ294+HX$244&gt;73,"",PRODUCT(INDEX($T$19:$T$93,HX$244):INDEX($T$19:$T$93,HX$244+$FJ294-1)))</f>
        <v>0.68987251027973873</v>
      </c>
      <c r="HY294" s="479">
        <f ca="1">IF($FJ294+HY$244&gt;73,"",PRODUCT(INDEX($T$19:$T$93,HY$244):INDEX($T$19:$T$93,HY$244+$FJ294-1)))</f>
        <v>0.6456152602164682</v>
      </c>
      <c r="HZ294" s="479">
        <f ca="1">IF($FJ294+HZ$244&gt;73,"",PRODUCT(INDEX($T$19:$T$93,HZ$244):INDEX($T$19:$T$93,HZ$244+$FJ294-1)))</f>
        <v>0.5966939302455434</v>
      </c>
      <c r="IA294" s="479">
        <f ca="1">IF($FJ294+IA$244&gt;73,"",PRODUCT(INDEX($T$19:$T$93,IA$244):INDEX($T$19:$T$93,IA$244+$FJ294-1)))</f>
        <v>0.5432121726561383</v>
      </c>
      <c r="IB294" s="479">
        <f ca="1">IF($FJ294+IB$244&gt;73,"",PRODUCT(INDEX($T$19:$T$93,IB$244):INDEX($T$19:$T$93,IB$244+$FJ294-1)))</f>
        <v>0.48552692196270292</v>
      </c>
      <c r="IC294" s="479">
        <f ca="1">IF($FJ294+IC$244&gt;73,"",PRODUCT(INDEX($T$19:$T$93,IC$244):INDEX($T$19:$T$93,IC$244+$FJ294-1)))</f>
        <v>0.42432449521454474</v>
      </c>
      <c r="ID294" s="678">
        <f ca="1">IF($FJ294+ID$244&gt;73,"",PRODUCT(INDEX($T$19:$T$93,ID$244):INDEX($T$19:$T$93,ID$244+$FJ294-1)))</f>
        <v>0.36069461518554424</v>
      </c>
      <c r="IE294" s="250"/>
    </row>
    <row r="295" spans="9:239">
      <c r="I295" s="137"/>
      <c r="J295" s="375"/>
      <c r="K295" s="138"/>
      <c r="L295" s="1"/>
      <c r="M295" s="376"/>
      <c r="P295" s="375"/>
      <c r="S295" s="55"/>
      <c r="T295" s="375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374"/>
      <c r="AP295" s="1"/>
      <c r="AQ295" s="374"/>
      <c r="AR295" s="1"/>
      <c r="AS295" s="1"/>
      <c r="AT295" s="106"/>
      <c r="AU295" s="106"/>
      <c r="AV295" s="106"/>
      <c r="AW295" s="31"/>
      <c r="AX295" s="31"/>
      <c r="AY295" s="31"/>
      <c r="AZ295" s="31"/>
      <c r="BA295" s="154"/>
      <c r="BB295" s="154"/>
      <c r="BC295" s="106"/>
      <c r="BD295" s="106"/>
      <c r="BE295" s="106"/>
      <c r="BF295" s="107"/>
      <c r="BG295" s="107"/>
      <c r="BH295" s="107"/>
      <c r="BI295" s="105"/>
      <c r="BJ295" s="107"/>
      <c r="BK295" s="107"/>
      <c r="BL295" s="106"/>
      <c r="BM295" s="108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7"/>
      <c r="CE295" s="107"/>
      <c r="CF295" s="107"/>
      <c r="CG295" s="107"/>
      <c r="CH295" s="107"/>
      <c r="CI295" s="107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475"/>
      <c r="DI295" s="110"/>
      <c r="DJ295" s="110"/>
      <c r="DK295" s="475"/>
      <c r="DL295" s="53"/>
      <c r="DM295" s="54"/>
      <c r="DN295" s="54"/>
      <c r="DO295" s="54"/>
      <c r="DP295" s="54"/>
      <c r="DQ295" s="54"/>
      <c r="DR295" s="54"/>
      <c r="DS295" s="54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L295" s="55"/>
      <c r="EM295" s="1"/>
      <c r="EN295" s="106"/>
      <c r="EO295" s="105"/>
      <c r="EP295" s="1"/>
      <c r="EQ295" s="106"/>
      <c r="ER295" s="1"/>
      <c r="ES295" s="1"/>
      <c r="ET295" s="1"/>
      <c r="EU295" s="107"/>
      <c r="FJ295" s="673">
        <v>51</v>
      </c>
      <c r="FK295" s="479" t="str">
        <f ca="1">IF($FJ295+FK$244&gt;73,"",PRODUCT(INDEX($T$19:$T$93,FK$244):INDEX($T$19:$T$93,FK$244+$FJ295-1)))</f>
        <v/>
      </c>
      <c r="FL295" s="479" t="str">
        <f ca="1">IF($FJ295+FL$244&gt;73,"",PRODUCT(INDEX($T$19:$T$93,FL$244):INDEX($T$19:$T$93,FL$244+$FJ295-1)))</f>
        <v/>
      </c>
      <c r="FM295" s="479" t="str">
        <f ca="1">IF($FJ295+FM$244&gt;73,"",PRODUCT(INDEX($T$19:$T$93,FM$244):INDEX($T$19:$T$93,FM$244+$FJ295-1)))</f>
        <v/>
      </c>
      <c r="FN295" s="479" t="str">
        <f ca="1">IF($FJ295+FN$244&gt;73,"",PRODUCT(INDEX($T$19:$T$93,FN$244):INDEX($T$19:$T$93,FN$244+$FJ295-1)))</f>
        <v/>
      </c>
      <c r="FO295" s="479" t="str">
        <f ca="1">IF($FJ295+FO$244&gt;73,"",PRODUCT(INDEX($T$19:$T$93,FO$244):INDEX($T$19:$T$93,FO$244+$FJ295-1)))</f>
        <v/>
      </c>
      <c r="FP295" s="479" t="str">
        <f ca="1">IF($FJ295+FP$244&gt;73,"",PRODUCT(INDEX($T$19:$T$93,FP$244):INDEX($T$19:$T$93,FP$244+$FJ295-1)))</f>
        <v/>
      </c>
      <c r="FQ295" s="479" t="str">
        <f ca="1">IF($FJ295+FQ$244&gt;73,"",PRODUCT(INDEX($T$19:$T$93,FQ$244):INDEX($T$19:$T$93,FQ$244+$FJ295-1)))</f>
        <v/>
      </c>
      <c r="FR295" s="479" t="str">
        <f ca="1">IF($FJ295+FR$244&gt;73,"",PRODUCT(INDEX($T$19:$T$93,FR$244):INDEX($T$19:$T$93,FR$244+$FJ295-1)))</f>
        <v/>
      </c>
      <c r="FS295" s="479" t="str">
        <f ca="1">IF($FJ295+FS$244&gt;73,"",PRODUCT(INDEX($T$19:$T$93,FS$244):INDEX($T$19:$T$93,FS$244+$FJ295-1)))</f>
        <v/>
      </c>
      <c r="FT295" s="479" t="str">
        <f ca="1">IF($FJ295+FT$244&gt;73,"",PRODUCT(INDEX($T$19:$T$93,FT$244):INDEX($T$19:$T$93,FT$244+$FJ295-1)))</f>
        <v/>
      </c>
      <c r="FU295" s="479" t="str">
        <f ca="1">IF($FJ295+FU$244&gt;73,"",PRODUCT(INDEX($T$19:$T$93,FU$244):INDEX($T$19:$T$93,FU$244+$FJ295-1)))</f>
        <v/>
      </c>
      <c r="FV295" s="479" t="str">
        <f ca="1">IF($FJ295+FV$244&gt;73,"",PRODUCT(INDEX($T$19:$T$93,FV$244):INDEX($T$19:$T$93,FV$244+$FJ295-1)))</f>
        <v/>
      </c>
      <c r="FW295" s="479" t="str">
        <f ca="1">IF($FJ295+FW$244&gt;73,"",PRODUCT(INDEX($T$19:$T$93,FW$244):INDEX($T$19:$T$93,FW$244+$FJ295-1)))</f>
        <v/>
      </c>
      <c r="FX295" s="479" t="str">
        <f ca="1">IF($FJ295+FX$244&gt;73,"",PRODUCT(INDEX($T$19:$T$93,FX$244):INDEX($T$19:$T$93,FX$244+$FJ295-1)))</f>
        <v/>
      </c>
      <c r="FY295" s="479" t="str">
        <f ca="1">IF($FJ295+FY$244&gt;73,"",PRODUCT(INDEX($T$19:$T$93,FY$244):INDEX($T$19:$T$93,FY$244+$FJ295-1)))</f>
        <v/>
      </c>
      <c r="FZ295" s="479" t="str">
        <f ca="1">IF($FJ295+FZ$244&gt;73,"",PRODUCT(INDEX($T$19:$T$93,FZ$244):INDEX($T$19:$T$93,FZ$244+$FJ295-1)))</f>
        <v/>
      </c>
      <c r="GA295" s="479" t="str">
        <f ca="1">IF($FJ295+GA$244&gt;73,"",PRODUCT(INDEX($T$19:$T$93,GA$244):INDEX($T$19:$T$93,GA$244+$FJ295-1)))</f>
        <v/>
      </c>
      <c r="GB295" s="479" t="str">
        <f ca="1">IF($FJ295+GB$244&gt;73,"",PRODUCT(INDEX($T$19:$T$93,GB$244):INDEX($T$19:$T$93,GB$244+$FJ295-1)))</f>
        <v/>
      </c>
      <c r="GC295" s="479" t="str">
        <f ca="1">IF($FJ295+GC$244&gt;73,"",PRODUCT(INDEX($T$19:$T$93,GC$244):INDEX($T$19:$T$93,GC$244+$FJ295-1)))</f>
        <v/>
      </c>
      <c r="GD295" s="479" t="str">
        <f ca="1">IF($FJ295+GD$244&gt;73,"",PRODUCT(INDEX($T$19:$T$93,GD$244):INDEX($T$19:$T$93,GD$244+$FJ295-1)))</f>
        <v/>
      </c>
      <c r="GE295" s="479" t="str">
        <f ca="1">IF($FJ295+GE$244&gt;73,"",PRODUCT(INDEX($T$19:$T$93,GE$244):INDEX($T$19:$T$93,GE$244+$FJ295-1)))</f>
        <v/>
      </c>
      <c r="GF295" s="479" t="str">
        <f ca="1">IF($FJ295+GF$244&gt;73,"",PRODUCT(INDEX($T$19:$T$93,GF$244):INDEX($T$19:$T$93,GF$244+$FJ295-1)))</f>
        <v/>
      </c>
      <c r="GG295" s="479" t="str">
        <f ca="1">IF($FJ295+GG$244&gt;73,"",PRODUCT(INDEX($T$19:$T$93,GG$244):INDEX($T$19:$T$93,GG$244+$FJ295-1)))</f>
        <v/>
      </c>
      <c r="GH295" s="479" t="str">
        <f ca="1">IF($FJ295+GH$244&gt;73,"",PRODUCT(INDEX($T$19:$T$93,GH$244):INDEX($T$19:$T$93,GH$244+$FJ295-1)))</f>
        <v/>
      </c>
      <c r="GI295" s="479" t="str">
        <f ca="1">IF($FJ295+GI$244&gt;73,"",PRODUCT(INDEX($T$19:$T$93,GI$244):INDEX($T$19:$T$93,GI$244+$FJ295-1)))</f>
        <v/>
      </c>
      <c r="GJ295" s="479" t="str">
        <f ca="1">IF($FJ295+GJ$244&gt;73,"",PRODUCT(INDEX($T$19:$T$93,GJ$244):INDEX($T$19:$T$93,GJ$244+$FJ295-1)))</f>
        <v/>
      </c>
      <c r="GK295" s="479" t="str">
        <f ca="1">IF($FJ295+GK$244&gt;73,"",PRODUCT(INDEX($T$19:$T$93,GK$244):INDEX($T$19:$T$93,GK$244+$FJ295-1)))</f>
        <v/>
      </c>
      <c r="GL295" s="479" t="str">
        <f ca="1">IF($FJ295+GL$244&gt;73,"",PRODUCT(INDEX($T$19:$T$93,GL$244):INDEX($T$19:$T$93,GL$244+$FJ295-1)))</f>
        <v/>
      </c>
      <c r="GM295" s="479" t="str">
        <f ca="1">IF($FJ295+GM$244&gt;73,"",PRODUCT(INDEX($T$19:$T$93,GM$244):INDEX($T$19:$T$93,GM$244+$FJ295-1)))</f>
        <v/>
      </c>
      <c r="GN295" s="479" t="str">
        <f ca="1">IF($FJ295+GN$244&gt;73,"",PRODUCT(INDEX($T$19:$T$93,GN$244):INDEX($T$19:$T$93,GN$244+$FJ295-1)))</f>
        <v/>
      </c>
      <c r="GO295" s="479" t="str">
        <f ca="1">IF($FJ295+GO$244&gt;73,"",PRODUCT(INDEX($T$19:$T$93,GO$244):INDEX($T$19:$T$93,GO$244+$FJ295-1)))</f>
        <v/>
      </c>
      <c r="GP295" s="479" t="str">
        <f ca="1">IF($FJ295+GP$244&gt;73,"",PRODUCT(INDEX($T$19:$T$93,GP$244):INDEX($T$19:$T$93,GP$244+$FJ295-1)))</f>
        <v/>
      </c>
      <c r="GQ295" s="479" t="str">
        <f ca="1">IF($FJ295+GQ$244&gt;73,"",PRODUCT(INDEX($T$19:$T$93,GQ$244):INDEX($T$19:$T$93,GQ$244+$FJ295-1)))</f>
        <v/>
      </c>
      <c r="GR295" s="479" t="str">
        <f ca="1">IF($FJ295+GR$244&gt;73,"",PRODUCT(INDEX($T$19:$T$93,GR$244):INDEX($T$19:$T$93,GR$244+$FJ295-1)))</f>
        <v/>
      </c>
      <c r="GS295" s="479" t="str">
        <f ca="1">IF($FJ295+GS$244&gt;73,"",PRODUCT(INDEX($T$19:$T$93,GS$244):INDEX($T$19:$T$93,GS$244+$FJ295-1)))</f>
        <v/>
      </c>
      <c r="GT295" s="479" t="str">
        <f ca="1">IF($FJ295+GT$244&gt;73,"",PRODUCT(INDEX($T$19:$T$93,GT$244):INDEX($T$19:$T$93,GT$244+$FJ295-1)))</f>
        <v/>
      </c>
      <c r="GU295" s="479" t="str">
        <f ca="1">IF($FJ295+GU$244&gt;73,"",PRODUCT(INDEX($T$19:$T$93,GU$244):INDEX($T$19:$T$93,GU$244+$FJ295-1)))</f>
        <v/>
      </c>
      <c r="GV295" s="479" t="str">
        <f ca="1">IF($FJ295+GV$244&gt;73,"",PRODUCT(INDEX($T$19:$T$93,GV$244):INDEX($T$19:$T$93,GV$244+$FJ295-1)))</f>
        <v/>
      </c>
      <c r="GW295" s="479" t="str">
        <f ca="1">IF($FJ295+GW$244&gt;73,"",PRODUCT(INDEX($T$19:$T$93,GW$244):INDEX($T$19:$T$93,GW$244+$FJ295-1)))</f>
        <v/>
      </c>
      <c r="GX295" s="479" t="str">
        <f ca="1">IF($FJ295+GX$244&gt;73,"",PRODUCT(INDEX($T$19:$T$93,GX$244):INDEX($T$19:$T$93,GX$244+$FJ295-1)))</f>
        <v/>
      </c>
      <c r="GY295" s="479" t="str">
        <f ca="1">IF($FJ295+GY$244&gt;73,"",PRODUCT(INDEX($T$19:$T$93,GY$244):INDEX($T$19:$T$93,GY$244+$FJ295-1)))</f>
        <v/>
      </c>
      <c r="GZ295" s="479" t="str">
        <f ca="1">IF($FJ295+GZ$244&gt;73,"",PRODUCT(INDEX($T$19:$T$93,GZ$244):INDEX($T$19:$T$93,GZ$244+$FJ295-1)))</f>
        <v/>
      </c>
      <c r="HA295" s="479" t="str">
        <f ca="1">IF($FJ295+HA$244&gt;73,"",PRODUCT(INDEX($T$19:$T$93,HA$244):INDEX($T$19:$T$93,HA$244+$FJ295-1)))</f>
        <v/>
      </c>
      <c r="HB295" s="479" t="str">
        <f ca="1">IF($FJ295+HB$244&gt;73,"",PRODUCT(INDEX($T$19:$T$93,HB$244):INDEX($T$19:$T$93,HB$244+$FJ295-1)))</f>
        <v/>
      </c>
      <c r="HC295" s="479" t="str">
        <f ca="1">IF($FJ295+HC$244&gt;73,"",PRODUCT(INDEX($T$19:$T$93,HC$244):INDEX($T$19:$T$93,HC$244+$FJ295-1)))</f>
        <v/>
      </c>
      <c r="HD295" s="479" t="str">
        <f ca="1">IF($FJ295+HD$244&gt;73,"",PRODUCT(INDEX($T$19:$T$93,HD$244):INDEX($T$19:$T$93,HD$244+$FJ295-1)))</f>
        <v/>
      </c>
      <c r="HE295" s="479" t="str">
        <f ca="1">IF($FJ295+HE$244&gt;73,"",PRODUCT(INDEX($T$19:$T$93,HE$244):INDEX($T$19:$T$93,HE$244+$FJ295-1)))</f>
        <v/>
      </c>
      <c r="HF295" s="479" t="str">
        <f ca="1">IF($FJ295+HF$244&gt;73,"",PRODUCT(INDEX($T$19:$T$93,HF$244):INDEX($T$19:$T$93,HF$244+$FJ295-1)))</f>
        <v/>
      </c>
      <c r="HG295" s="479" t="str">
        <f ca="1">IF($FJ295+HG$244&gt;73,"",PRODUCT(INDEX($T$19:$T$93,HG$244):INDEX($T$19:$T$93,HG$244+$FJ295-1)))</f>
        <v/>
      </c>
      <c r="HH295" s="479" t="str">
        <f ca="1">IF($FJ295+HH$244&gt;73,"",PRODUCT(INDEX($T$19:$T$93,HH$244):INDEX($T$19:$T$93,HH$244+$FJ295-1)))</f>
        <v/>
      </c>
      <c r="HI295" s="479">
        <f ca="1">IF($FJ295+HI$244&gt;73,"",PRODUCT(INDEX($T$19:$T$93,HI$244):INDEX($T$19:$T$93,HI$244+$FJ295-1)))</f>
        <v>0.96663311799925489</v>
      </c>
      <c r="HJ295" s="479">
        <f ca="1">IF($FJ295+HJ$244&gt;73,"",PRODUCT(INDEX($T$19:$T$93,HJ$244):INDEX($T$19:$T$93,HJ$244+$FJ295-1)))</f>
        <v>0.96105372729952554</v>
      </c>
      <c r="HK295" s="479">
        <f ca="1">IF($FJ295+HK$244&gt;73,"",PRODUCT(INDEX($T$19:$T$93,HK$244):INDEX($T$19:$T$93,HK$244+$FJ295-1)))</f>
        <v>0.95455770113478677</v>
      </c>
      <c r="HL295" s="479">
        <f ca="1">IF($FJ295+HL$244&gt;73,"",PRODUCT(INDEX($T$19:$T$93,HL$244):INDEX($T$19:$T$93,HL$244+$FJ295-1)))</f>
        <v>0.94700054987178517</v>
      </c>
      <c r="HM295" s="479">
        <f ca="1">IF($FJ295+HM$244&gt;73,"",PRODUCT(INDEX($T$19:$T$93,HM$244):INDEX($T$19:$T$93,HM$244+$FJ295-1)))</f>
        <v>0.93821730783807478</v>
      </c>
      <c r="HN295" s="479">
        <f ca="1">IF($FJ295+HN$244&gt;73,"",PRODUCT(INDEX($T$19:$T$93,HN$244):INDEX($T$19:$T$93,HN$244+$FJ295-1)))</f>
        <v>0.92802051989103496</v>
      </c>
      <c r="HO295" s="479">
        <f ca="1">IF($FJ295+HO$244&gt;73,"",PRODUCT(INDEX($T$19:$T$93,HO$244):INDEX($T$19:$T$93,HO$244+$FJ295-1)))</f>
        <v>0.91619840225918481</v>
      </c>
      <c r="HP295" s="479">
        <f ca="1">IF($FJ295+HP$244&gt;73,"",PRODUCT(INDEX($T$19:$T$93,HP$244):INDEX($T$19:$T$93,HP$244+$FJ295-1)))</f>
        <v>0.902513381377131</v>
      </c>
      <c r="HQ295" s="479">
        <f ca="1">IF($FJ295+HQ$244&gt;73,"",PRODUCT(INDEX($T$19:$T$93,HQ$244):INDEX($T$19:$T$93,HQ$244+$FJ295-1)))</f>
        <v>0.88670130251951673</v>
      </c>
      <c r="HR295" s="479">
        <f ca="1">IF($FJ295+HR$244&gt;73,"",PRODUCT(INDEX($T$19:$T$93,HR$244):INDEX($T$19:$T$93,HR$244+$FJ295-1)))</f>
        <v>0.86847171595855865</v>
      </c>
      <c r="HS295" s="479">
        <f ca="1">IF($FJ295+HS$244&gt;73,"",PRODUCT(INDEX($T$19:$T$93,HS$244):INDEX($T$19:$T$93,HS$244+$FJ295-1)))</f>
        <v>0.84750979737414944</v>
      </c>
      <c r="HT295" s="479">
        <f ca="1">IF($FJ295+HT$244&gt;73,"",PRODUCT(INDEX($T$19:$T$93,HT$244):INDEX($T$19:$T$93,HT$244+$FJ295-1)))</f>
        <v>0.82348064517952579</v>
      </c>
      <c r="HU295" s="479">
        <f ca="1">IF($FJ295+HU$244&gt;73,"",PRODUCT(INDEX($T$19:$T$93,HU$244):INDEX($T$19:$T$93,HU$244+$FJ295-1)))</f>
        <v>0.79603692028955364</v>
      </c>
      <c r="HV295" s="479">
        <f ca="1">IF($FJ295+HV$244&gt;73,"",PRODUCT(INDEX($T$19:$T$93,HV$244):INDEX($T$19:$T$93,HV$244+$FJ295-1)))</f>
        <v>0.76483104552929737</v>
      </c>
      <c r="HW295" s="479">
        <f ca="1">IF($FJ295+HW$244&gt;73,"",PRODUCT(INDEX($T$19:$T$93,HW$244):INDEX($T$19:$T$93,HW$244+$FJ295-1)))</f>
        <v>0.72953343900858569</v>
      </c>
      <c r="HX295" s="479">
        <f ca="1">IF($FJ295+HX$244&gt;73,"",PRODUCT(INDEX($T$19:$T$93,HX$244):INDEX($T$19:$T$93,HX$244+$FJ295-1)))</f>
        <v>0.68985846862298617</v>
      </c>
      <c r="HY295" s="479">
        <f ca="1">IF($FJ295+HY$244&gt;73,"",PRODUCT(INDEX($T$19:$T$93,HY$244):INDEX($T$19:$T$93,HY$244+$FJ295-1)))</f>
        <v>0.64559989067378332</v>
      </c>
      <c r="HZ295" s="479">
        <f ca="1">IF($FJ295+HZ$244&gt;73,"",PRODUCT(INDEX($T$19:$T$93,HZ$244):INDEX($T$19:$T$93,HZ$244+$FJ295-1)))</f>
        <v>0.59667731613971808</v>
      </c>
      <c r="IA295" s="479">
        <f ca="1">IF($FJ295+IA$244&gt;73,"",PRODUCT(INDEX($T$19:$T$93,IA$244):INDEX($T$19:$T$93,IA$244+$FJ295-1)))</f>
        <v>0.54319448241842494</v>
      </c>
      <c r="IB295" s="479">
        <f ca="1">IF($FJ295+IB$244&gt;73,"",PRODUCT(INDEX($T$19:$T$93,IB$244):INDEX($T$19:$T$93,IB$244+$FJ295-1)))</f>
        <v>0.48550842855108045</v>
      </c>
      <c r="IC295" s="479">
        <f ca="1">IF($FJ295+IC$244&gt;73,"",PRODUCT(INDEX($T$19:$T$93,IC$244):INDEX($T$19:$T$93,IC$244+$FJ295-1)))</f>
        <v>0.42430559171567434</v>
      </c>
      <c r="ID295" s="678">
        <f ca="1">IF($FJ295+ID$244&gt;73,"",PRODUCT(INDEX($T$19:$T$93,ID$244):INDEX($T$19:$T$93,ID$244+$FJ295-1)))</f>
        <v>0.36067582093236306</v>
      </c>
      <c r="IE295" s="250"/>
    </row>
    <row r="296" spans="9:239">
      <c r="I296" s="137"/>
      <c r="J296" s="375"/>
      <c r="K296" s="138"/>
      <c r="L296" s="1"/>
      <c r="M296" s="376"/>
      <c r="P296" s="375"/>
      <c r="S296" s="55"/>
      <c r="T296" s="375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374"/>
      <c r="AP296" s="1"/>
      <c r="AQ296" s="374"/>
      <c r="AR296" s="1"/>
      <c r="AS296" s="1"/>
      <c r="AT296" s="106"/>
      <c r="AU296" s="106"/>
      <c r="AV296" s="106"/>
      <c r="AW296" s="31"/>
      <c r="AX296" s="31"/>
      <c r="AY296" s="31"/>
      <c r="AZ296" s="31"/>
      <c r="BA296" s="154"/>
      <c r="BB296" s="154"/>
      <c r="BC296" s="106"/>
      <c r="BD296" s="106"/>
      <c r="BE296" s="106"/>
      <c r="BF296" s="107"/>
      <c r="BG296" s="107"/>
      <c r="BH296" s="107"/>
      <c r="BI296" s="105"/>
      <c r="BJ296" s="107"/>
      <c r="BK296" s="107"/>
      <c r="BL296" s="106"/>
      <c r="BM296" s="108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7"/>
      <c r="CE296" s="107"/>
      <c r="CF296" s="107"/>
      <c r="CG296" s="107"/>
      <c r="CH296" s="107"/>
      <c r="CI296" s="107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475"/>
      <c r="DI296" s="110"/>
      <c r="DJ296" s="110"/>
      <c r="DK296" s="475"/>
      <c r="DL296" s="53"/>
      <c r="DM296" s="54"/>
      <c r="DN296" s="54"/>
      <c r="DO296" s="54"/>
      <c r="DP296" s="54"/>
      <c r="DQ296" s="54"/>
      <c r="DR296" s="54"/>
      <c r="DS296" s="54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L296" s="55"/>
      <c r="EM296" s="1"/>
      <c r="EN296" s="106"/>
      <c r="EO296" s="105"/>
      <c r="EP296" s="1"/>
      <c r="EQ296" s="106"/>
      <c r="ER296" s="1"/>
      <c r="ES296" s="1"/>
      <c r="ET296" s="1"/>
      <c r="EU296" s="107"/>
      <c r="FJ296" s="673">
        <v>52</v>
      </c>
      <c r="FK296" s="479" t="str">
        <f ca="1">IF($FJ296+FK$244&gt;73,"",PRODUCT(INDEX($T$19:$T$93,FK$244):INDEX($T$19:$T$93,FK$244+$FJ296-1)))</f>
        <v/>
      </c>
      <c r="FL296" s="479" t="str">
        <f ca="1">IF($FJ296+FL$244&gt;73,"",PRODUCT(INDEX($T$19:$T$93,FL$244):INDEX($T$19:$T$93,FL$244+$FJ296-1)))</f>
        <v/>
      </c>
      <c r="FM296" s="479" t="str">
        <f ca="1">IF($FJ296+FM$244&gt;73,"",PRODUCT(INDEX($T$19:$T$93,FM$244):INDEX($T$19:$T$93,FM$244+$FJ296-1)))</f>
        <v/>
      </c>
      <c r="FN296" s="479" t="str">
        <f ca="1">IF($FJ296+FN$244&gt;73,"",PRODUCT(INDEX($T$19:$T$93,FN$244):INDEX($T$19:$T$93,FN$244+$FJ296-1)))</f>
        <v/>
      </c>
      <c r="FO296" s="479" t="str">
        <f ca="1">IF($FJ296+FO$244&gt;73,"",PRODUCT(INDEX($T$19:$T$93,FO$244):INDEX($T$19:$T$93,FO$244+$FJ296-1)))</f>
        <v/>
      </c>
      <c r="FP296" s="479" t="str">
        <f ca="1">IF($FJ296+FP$244&gt;73,"",PRODUCT(INDEX($T$19:$T$93,FP$244):INDEX($T$19:$T$93,FP$244+$FJ296-1)))</f>
        <v/>
      </c>
      <c r="FQ296" s="479" t="str">
        <f ca="1">IF($FJ296+FQ$244&gt;73,"",PRODUCT(INDEX($T$19:$T$93,FQ$244):INDEX($T$19:$T$93,FQ$244+$FJ296-1)))</f>
        <v/>
      </c>
      <c r="FR296" s="479" t="str">
        <f ca="1">IF($FJ296+FR$244&gt;73,"",PRODUCT(INDEX($T$19:$T$93,FR$244):INDEX($T$19:$T$93,FR$244+$FJ296-1)))</f>
        <v/>
      </c>
      <c r="FS296" s="479" t="str">
        <f ca="1">IF($FJ296+FS$244&gt;73,"",PRODUCT(INDEX($T$19:$T$93,FS$244):INDEX($T$19:$T$93,FS$244+$FJ296-1)))</f>
        <v/>
      </c>
      <c r="FT296" s="479" t="str">
        <f ca="1">IF($FJ296+FT$244&gt;73,"",PRODUCT(INDEX($T$19:$T$93,FT$244):INDEX($T$19:$T$93,FT$244+$FJ296-1)))</f>
        <v/>
      </c>
      <c r="FU296" s="479" t="str">
        <f ca="1">IF($FJ296+FU$244&gt;73,"",PRODUCT(INDEX($T$19:$T$93,FU$244):INDEX($T$19:$T$93,FU$244+$FJ296-1)))</f>
        <v/>
      </c>
      <c r="FV296" s="479" t="str">
        <f ca="1">IF($FJ296+FV$244&gt;73,"",PRODUCT(INDEX($T$19:$T$93,FV$244):INDEX($T$19:$T$93,FV$244+$FJ296-1)))</f>
        <v/>
      </c>
      <c r="FW296" s="479" t="str">
        <f ca="1">IF($FJ296+FW$244&gt;73,"",PRODUCT(INDEX($T$19:$T$93,FW$244):INDEX($T$19:$T$93,FW$244+$FJ296-1)))</f>
        <v/>
      </c>
      <c r="FX296" s="479" t="str">
        <f ca="1">IF($FJ296+FX$244&gt;73,"",PRODUCT(INDEX($T$19:$T$93,FX$244):INDEX($T$19:$T$93,FX$244+$FJ296-1)))</f>
        <v/>
      </c>
      <c r="FY296" s="479" t="str">
        <f ca="1">IF($FJ296+FY$244&gt;73,"",PRODUCT(INDEX($T$19:$T$93,FY$244):INDEX($T$19:$T$93,FY$244+$FJ296-1)))</f>
        <v/>
      </c>
      <c r="FZ296" s="479" t="str">
        <f ca="1">IF($FJ296+FZ$244&gt;73,"",PRODUCT(INDEX($T$19:$T$93,FZ$244):INDEX($T$19:$T$93,FZ$244+$FJ296-1)))</f>
        <v/>
      </c>
      <c r="GA296" s="479" t="str">
        <f ca="1">IF($FJ296+GA$244&gt;73,"",PRODUCT(INDEX($T$19:$T$93,GA$244):INDEX($T$19:$T$93,GA$244+$FJ296-1)))</f>
        <v/>
      </c>
      <c r="GB296" s="479" t="str">
        <f ca="1">IF($FJ296+GB$244&gt;73,"",PRODUCT(INDEX($T$19:$T$93,GB$244):INDEX($T$19:$T$93,GB$244+$FJ296-1)))</f>
        <v/>
      </c>
      <c r="GC296" s="479" t="str">
        <f ca="1">IF($FJ296+GC$244&gt;73,"",PRODUCT(INDEX($T$19:$T$93,GC$244):INDEX($T$19:$T$93,GC$244+$FJ296-1)))</f>
        <v/>
      </c>
      <c r="GD296" s="479" t="str">
        <f ca="1">IF($FJ296+GD$244&gt;73,"",PRODUCT(INDEX($T$19:$T$93,GD$244):INDEX($T$19:$T$93,GD$244+$FJ296-1)))</f>
        <v/>
      </c>
      <c r="GE296" s="479" t="str">
        <f ca="1">IF($FJ296+GE$244&gt;73,"",PRODUCT(INDEX($T$19:$T$93,GE$244):INDEX($T$19:$T$93,GE$244+$FJ296-1)))</f>
        <v/>
      </c>
      <c r="GF296" s="479" t="str">
        <f ca="1">IF($FJ296+GF$244&gt;73,"",PRODUCT(INDEX($T$19:$T$93,GF$244):INDEX($T$19:$T$93,GF$244+$FJ296-1)))</f>
        <v/>
      </c>
      <c r="GG296" s="479" t="str">
        <f ca="1">IF($FJ296+GG$244&gt;73,"",PRODUCT(INDEX($T$19:$T$93,GG$244):INDEX($T$19:$T$93,GG$244+$FJ296-1)))</f>
        <v/>
      </c>
      <c r="GH296" s="479" t="str">
        <f ca="1">IF($FJ296+GH$244&gt;73,"",PRODUCT(INDEX($T$19:$T$93,GH$244):INDEX($T$19:$T$93,GH$244+$FJ296-1)))</f>
        <v/>
      </c>
      <c r="GI296" s="479" t="str">
        <f ca="1">IF($FJ296+GI$244&gt;73,"",PRODUCT(INDEX($T$19:$T$93,GI$244):INDEX($T$19:$T$93,GI$244+$FJ296-1)))</f>
        <v/>
      </c>
      <c r="GJ296" s="479" t="str">
        <f ca="1">IF($FJ296+GJ$244&gt;73,"",PRODUCT(INDEX($T$19:$T$93,GJ$244):INDEX($T$19:$T$93,GJ$244+$FJ296-1)))</f>
        <v/>
      </c>
      <c r="GK296" s="479" t="str">
        <f ca="1">IF($FJ296+GK$244&gt;73,"",PRODUCT(INDEX($T$19:$T$93,GK$244):INDEX($T$19:$T$93,GK$244+$FJ296-1)))</f>
        <v/>
      </c>
      <c r="GL296" s="479" t="str">
        <f ca="1">IF($FJ296+GL$244&gt;73,"",PRODUCT(INDEX($T$19:$T$93,GL$244):INDEX($T$19:$T$93,GL$244+$FJ296-1)))</f>
        <v/>
      </c>
      <c r="GM296" s="479" t="str">
        <f ca="1">IF($FJ296+GM$244&gt;73,"",PRODUCT(INDEX($T$19:$T$93,GM$244):INDEX($T$19:$T$93,GM$244+$FJ296-1)))</f>
        <v/>
      </c>
      <c r="GN296" s="479" t="str">
        <f ca="1">IF($FJ296+GN$244&gt;73,"",PRODUCT(INDEX($T$19:$T$93,GN$244):INDEX($T$19:$T$93,GN$244+$FJ296-1)))</f>
        <v/>
      </c>
      <c r="GO296" s="479" t="str">
        <f ca="1">IF($FJ296+GO$244&gt;73,"",PRODUCT(INDEX($T$19:$T$93,GO$244):INDEX($T$19:$T$93,GO$244+$FJ296-1)))</f>
        <v/>
      </c>
      <c r="GP296" s="479" t="str">
        <f ca="1">IF($FJ296+GP$244&gt;73,"",PRODUCT(INDEX($T$19:$T$93,GP$244):INDEX($T$19:$T$93,GP$244+$FJ296-1)))</f>
        <v/>
      </c>
      <c r="GQ296" s="479" t="str">
        <f ca="1">IF($FJ296+GQ$244&gt;73,"",PRODUCT(INDEX($T$19:$T$93,GQ$244):INDEX($T$19:$T$93,GQ$244+$FJ296-1)))</f>
        <v/>
      </c>
      <c r="GR296" s="479" t="str">
        <f ca="1">IF($FJ296+GR$244&gt;73,"",PRODUCT(INDEX($T$19:$T$93,GR$244):INDEX($T$19:$T$93,GR$244+$FJ296-1)))</f>
        <v/>
      </c>
      <c r="GS296" s="479" t="str">
        <f ca="1">IF($FJ296+GS$244&gt;73,"",PRODUCT(INDEX($T$19:$T$93,GS$244):INDEX($T$19:$T$93,GS$244+$FJ296-1)))</f>
        <v/>
      </c>
      <c r="GT296" s="479" t="str">
        <f ca="1">IF($FJ296+GT$244&gt;73,"",PRODUCT(INDEX($T$19:$T$93,GT$244):INDEX($T$19:$T$93,GT$244+$FJ296-1)))</f>
        <v/>
      </c>
      <c r="GU296" s="479" t="str">
        <f ca="1">IF($FJ296+GU$244&gt;73,"",PRODUCT(INDEX($T$19:$T$93,GU$244):INDEX($T$19:$T$93,GU$244+$FJ296-1)))</f>
        <v/>
      </c>
      <c r="GV296" s="479" t="str">
        <f ca="1">IF($FJ296+GV$244&gt;73,"",PRODUCT(INDEX($T$19:$T$93,GV$244):INDEX($T$19:$T$93,GV$244+$FJ296-1)))</f>
        <v/>
      </c>
      <c r="GW296" s="479" t="str">
        <f ca="1">IF($FJ296+GW$244&gt;73,"",PRODUCT(INDEX($T$19:$T$93,GW$244):INDEX($T$19:$T$93,GW$244+$FJ296-1)))</f>
        <v/>
      </c>
      <c r="GX296" s="479" t="str">
        <f ca="1">IF($FJ296+GX$244&gt;73,"",PRODUCT(INDEX($T$19:$T$93,GX$244):INDEX($T$19:$T$93,GX$244+$FJ296-1)))</f>
        <v/>
      </c>
      <c r="GY296" s="479" t="str">
        <f ca="1">IF($FJ296+GY$244&gt;73,"",PRODUCT(INDEX($T$19:$T$93,GY$244):INDEX($T$19:$T$93,GY$244+$FJ296-1)))</f>
        <v/>
      </c>
      <c r="GZ296" s="479" t="str">
        <f ca="1">IF($FJ296+GZ$244&gt;73,"",PRODUCT(INDEX($T$19:$T$93,GZ$244):INDEX($T$19:$T$93,GZ$244+$FJ296-1)))</f>
        <v/>
      </c>
      <c r="HA296" s="479" t="str">
        <f ca="1">IF($FJ296+HA$244&gt;73,"",PRODUCT(INDEX($T$19:$T$93,HA$244):INDEX($T$19:$T$93,HA$244+$FJ296-1)))</f>
        <v/>
      </c>
      <c r="HB296" s="479" t="str">
        <f ca="1">IF($FJ296+HB$244&gt;73,"",PRODUCT(INDEX($T$19:$T$93,HB$244):INDEX($T$19:$T$93,HB$244+$FJ296-1)))</f>
        <v/>
      </c>
      <c r="HC296" s="479" t="str">
        <f ca="1">IF($FJ296+HC$244&gt;73,"",PRODUCT(INDEX($T$19:$T$93,HC$244):INDEX($T$19:$T$93,HC$244+$FJ296-1)))</f>
        <v/>
      </c>
      <c r="HD296" s="479" t="str">
        <f ca="1">IF($FJ296+HD$244&gt;73,"",PRODUCT(INDEX($T$19:$T$93,HD$244):INDEX($T$19:$T$93,HD$244+$FJ296-1)))</f>
        <v/>
      </c>
      <c r="HE296" s="479" t="str">
        <f ca="1">IF($FJ296+HE$244&gt;73,"",PRODUCT(INDEX($T$19:$T$93,HE$244):INDEX($T$19:$T$93,HE$244+$FJ296-1)))</f>
        <v/>
      </c>
      <c r="HF296" s="479" t="str">
        <f ca="1">IF($FJ296+HF$244&gt;73,"",PRODUCT(INDEX($T$19:$T$93,HF$244):INDEX($T$19:$T$93,HF$244+$FJ296-1)))</f>
        <v/>
      </c>
      <c r="HG296" s="479" t="str">
        <f ca="1">IF($FJ296+HG$244&gt;73,"",PRODUCT(INDEX($T$19:$T$93,HG$244):INDEX($T$19:$T$93,HG$244+$FJ296-1)))</f>
        <v/>
      </c>
      <c r="HH296" s="479" t="str">
        <f ca="1">IF($FJ296+HH$244&gt;73,"",PRODUCT(INDEX($T$19:$T$93,HH$244):INDEX($T$19:$T$93,HH$244+$FJ296-1)))</f>
        <v/>
      </c>
      <c r="HI296" s="479" t="str">
        <f ca="1">IF($FJ296+HI$244&gt;73,"",PRODUCT(INDEX($T$19:$T$93,HI$244):INDEX($T$19:$T$93,HI$244+$FJ296-1)))</f>
        <v/>
      </c>
      <c r="HJ296" s="479">
        <f ca="1">IF($FJ296+HJ$244&gt;73,"",PRODUCT(INDEX($T$19:$T$93,HJ$244):INDEX($T$19:$T$93,HJ$244+$FJ296-1)))</f>
        <v>0.96105186149384991</v>
      </c>
      <c r="HK296" s="479">
        <f ca="1">IF($FJ296+HK$244&gt;73,"",PRODUCT(INDEX($T$19:$T$93,HK$244):INDEX($T$19:$T$93,HK$244+$FJ296-1)))</f>
        <v>0.95455553365374879</v>
      </c>
      <c r="HL296" s="479">
        <f ca="1">IF($FJ296+HL$244&gt;73,"",PRODUCT(INDEX($T$19:$T$93,HL$244):INDEX($T$19:$T$93,HL$244+$FJ296-1)))</f>
        <v>0.9469980348728706</v>
      </c>
      <c r="HM296" s="479">
        <f ca="1">IF($FJ296+HM$244&gt;73,"",PRODUCT(INDEX($T$19:$T$93,HM$244):INDEX($T$19:$T$93,HM$244+$FJ296-1)))</f>
        <v>0.9382143935965479</v>
      </c>
      <c r="HN296" s="479">
        <f ca="1">IF($FJ296+HN$244&gt;73,"",PRODUCT(INDEX($T$19:$T$93,HN$244):INDEX($T$19:$T$93,HN$244+$FJ296-1)))</f>
        <v>0.92801714845980132</v>
      </c>
      <c r="HO296" s="479">
        <f ca="1">IF($FJ296+HO$244&gt;73,"",PRODUCT(INDEX($T$19:$T$93,HO$244):INDEX($T$19:$T$93,HO$244+$FJ296-1)))</f>
        <v>0.91619450928980062</v>
      </c>
      <c r="HP296" s="479">
        <f ca="1">IF($FJ296+HP$244&gt;73,"",PRODUCT(INDEX($T$19:$T$93,HP$244):INDEX($T$19:$T$93,HP$244+$FJ296-1)))</f>
        <v>0.90250889619625274</v>
      </c>
      <c r="HQ296" s="479">
        <f ca="1">IF($FJ296+HQ$244&gt;73,"",PRODUCT(INDEX($T$19:$T$93,HQ$244):INDEX($T$19:$T$93,HQ$244+$FJ296-1)))</f>
        <v>0.88669614858789092</v>
      </c>
      <c r="HR296" s="479">
        <f ca="1">IF($FJ296+HR$244&gt;73,"",PRODUCT(INDEX($T$19:$T$93,HR$244):INDEX($T$19:$T$93,HR$244+$FJ296-1)))</f>
        <v>0.86846581187982708</v>
      </c>
      <c r="HS296" s="479">
        <f ca="1">IF($FJ296+HS$244&gt;73,"",PRODUCT(INDEX($T$19:$T$93,HS$244):INDEX($T$19:$T$93,HS$244+$FJ296-1)))</f>
        <v>0.84750305866786513</v>
      </c>
      <c r="HT296" s="479">
        <f ca="1">IF($FJ296+HT$244&gt;73,"",PRODUCT(INDEX($T$19:$T$93,HT$244):INDEX($T$19:$T$93,HT$244+$FJ296-1)))</f>
        <v>0.82347298708458905</v>
      </c>
      <c r="HU296" s="479">
        <f ca="1">IF($FJ296+HU$244&gt;73,"",PRODUCT(INDEX($T$19:$T$93,HU$244):INDEX($T$19:$T$93,HU$244+$FJ296-1)))</f>
        <v>0.79602826191533693</v>
      </c>
      <c r="HV296" s="479">
        <f ca="1">IF($FJ296+HV$244&gt;73,"",PRODUCT(INDEX($T$19:$T$93,HV$244):INDEX($T$19:$T$93,HV$244+$FJ296-1)))</f>
        <v>0.7648213157112671</v>
      </c>
      <c r="HW296" s="479">
        <f ca="1">IF($FJ296+HW$244&gt;73,"",PRODUCT(INDEX($T$19:$T$93,HW$244):INDEX($T$19:$T$93,HW$244+$FJ296-1)))</f>
        <v>0.72952258423425742</v>
      </c>
      <c r="HX296" s="479">
        <f ca="1">IF($FJ296+HX$244&gt;73,"",PRODUCT(INDEX($T$19:$T$93,HX$244):INDEX($T$19:$T$93,HX$244+$FJ296-1)))</f>
        <v>0.68984646334154598</v>
      </c>
      <c r="HY296" s="479">
        <f ca="1">IF($FJ296+HY$244&gt;73,"",PRODUCT(INDEX($T$19:$T$93,HY$244):INDEX($T$19:$T$93,HY$244+$FJ296-1)))</f>
        <v>0.64558675014139622</v>
      </c>
      <c r="HZ296" s="479">
        <f ca="1">IF($FJ296+HZ$244&gt;73,"",PRODUCT(INDEX($T$19:$T$93,HZ$244):INDEX($T$19:$T$93,HZ$244+$FJ296-1)))</f>
        <v>0.59666311161568553</v>
      </c>
      <c r="IA296" s="479">
        <f ca="1">IF($FJ296+IA$244&gt;73,"",PRODUCT(INDEX($T$19:$T$93,IA$244):INDEX($T$19:$T$93,IA$244+$FJ296-1)))</f>
        <v>0.54317935792970939</v>
      </c>
      <c r="IB296" s="479">
        <f ca="1">IF($FJ296+IB$244&gt;73,"",PRODUCT(INDEX($T$19:$T$93,IB$244):INDEX($T$19:$T$93,IB$244+$FJ296-1)))</f>
        <v>0.48549261749244588</v>
      </c>
      <c r="IC296" s="479">
        <f ca="1">IF($FJ296+IC$244&gt;73,"",PRODUCT(INDEX($T$19:$T$93,IC$244):INDEX($T$19:$T$93,IC$244+$FJ296-1)))</f>
        <v>0.42428943018557919</v>
      </c>
      <c r="ID296" s="678">
        <f ca="1">IF($FJ296+ID$244&gt;73,"",PRODUCT(INDEX($T$19:$T$93,ID$244):INDEX($T$19:$T$93,ID$244+$FJ296-1)))</f>
        <v>0.3606597529583232</v>
      </c>
      <c r="IE296" s="250"/>
    </row>
    <row r="297" spans="9:239">
      <c r="I297" s="137"/>
      <c r="J297" s="375"/>
      <c r="K297" s="138"/>
      <c r="L297" s="1"/>
      <c r="M297" s="376"/>
      <c r="P297" s="375"/>
      <c r="S297" s="55"/>
      <c r="T297" s="375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374"/>
      <c r="AP297" s="1"/>
      <c r="AQ297" s="374"/>
      <c r="AR297" s="1"/>
      <c r="AS297" s="1"/>
      <c r="AT297" s="106"/>
      <c r="AU297" s="106"/>
      <c r="AV297" s="106"/>
      <c r="AW297" s="31"/>
      <c r="AX297" s="31"/>
      <c r="AY297" s="31"/>
      <c r="AZ297" s="31"/>
      <c r="BA297" s="154"/>
      <c r="BB297" s="154"/>
      <c r="BC297" s="106"/>
      <c r="BD297" s="106"/>
      <c r="BE297" s="106"/>
      <c r="BF297" s="107"/>
      <c r="BG297" s="107"/>
      <c r="BH297" s="107"/>
      <c r="BI297" s="105"/>
      <c r="BJ297" s="107"/>
      <c r="BK297" s="107"/>
      <c r="BL297" s="106"/>
      <c r="BM297" s="108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7"/>
      <c r="CE297" s="107"/>
      <c r="CF297" s="107"/>
      <c r="CG297" s="107"/>
      <c r="CH297" s="107"/>
      <c r="CI297" s="107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475"/>
      <c r="DI297" s="110"/>
      <c r="DJ297" s="110"/>
      <c r="DK297" s="475"/>
      <c r="DL297" s="53"/>
      <c r="DM297" s="54"/>
      <c r="DN297" s="54"/>
      <c r="DO297" s="54"/>
      <c r="DP297" s="54"/>
      <c r="DQ297" s="54"/>
      <c r="DR297" s="54"/>
      <c r="DS297" s="54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L297" s="55"/>
      <c r="EM297" s="1"/>
      <c r="EN297" s="106"/>
      <c r="EO297" s="105"/>
      <c r="EP297" s="1"/>
      <c r="EQ297" s="106"/>
      <c r="ER297" s="1"/>
      <c r="ES297" s="1"/>
      <c r="ET297" s="1"/>
      <c r="EU297" s="107"/>
      <c r="FJ297" s="673">
        <v>53</v>
      </c>
      <c r="FK297" s="479" t="str">
        <f ca="1">IF($FJ297+FK$244&gt;73,"",PRODUCT(INDEX($T$19:$T$93,FK$244):INDEX($T$19:$T$93,FK$244+$FJ297-1)))</f>
        <v/>
      </c>
      <c r="FL297" s="479" t="str">
        <f ca="1">IF($FJ297+FL$244&gt;73,"",PRODUCT(INDEX($T$19:$T$93,FL$244):INDEX($T$19:$T$93,FL$244+$FJ297-1)))</f>
        <v/>
      </c>
      <c r="FM297" s="479" t="str">
        <f ca="1">IF($FJ297+FM$244&gt;73,"",PRODUCT(INDEX($T$19:$T$93,FM$244):INDEX($T$19:$T$93,FM$244+$FJ297-1)))</f>
        <v/>
      </c>
      <c r="FN297" s="479" t="str">
        <f ca="1">IF($FJ297+FN$244&gt;73,"",PRODUCT(INDEX($T$19:$T$93,FN$244):INDEX($T$19:$T$93,FN$244+$FJ297-1)))</f>
        <v/>
      </c>
      <c r="FO297" s="479" t="str">
        <f ca="1">IF($FJ297+FO$244&gt;73,"",PRODUCT(INDEX($T$19:$T$93,FO$244):INDEX($T$19:$T$93,FO$244+$FJ297-1)))</f>
        <v/>
      </c>
      <c r="FP297" s="479" t="str">
        <f ca="1">IF($FJ297+FP$244&gt;73,"",PRODUCT(INDEX($T$19:$T$93,FP$244):INDEX($T$19:$T$93,FP$244+$FJ297-1)))</f>
        <v/>
      </c>
      <c r="FQ297" s="479" t="str">
        <f ca="1">IF($FJ297+FQ$244&gt;73,"",PRODUCT(INDEX($T$19:$T$93,FQ$244):INDEX($T$19:$T$93,FQ$244+$FJ297-1)))</f>
        <v/>
      </c>
      <c r="FR297" s="479" t="str">
        <f ca="1">IF($FJ297+FR$244&gt;73,"",PRODUCT(INDEX($T$19:$T$93,FR$244):INDEX($T$19:$T$93,FR$244+$FJ297-1)))</f>
        <v/>
      </c>
      <c r="FS297" s="479" t="str">
        <f ca="1">IF($FJ297+FS$244&gt;73,"",PRODUCT(INDEX($T$19:$T$93,FS$244):INDEX($T$19:$T$93,FS$244+$FJ297-1)))</f>
        <v/>
      </c>
      <c r="FT297" s="479" t="str">
        <f ca="1">IF($FJ297+FT$244&gt;73,"",PRODUCT(INDEX($T$19:$T$93,FT$244):INDEX($T$19:$T$93,FT$244+$FJ297-1)))</f>
        <v/>
      </c>
      <c r="FU297" s="479" t="str">
        <f ca="1">IF($FJ297+FU$244&gt;73,"",PRODUCT(INDEX($T$19:$T$93,FU$244):INDEX($T$19:$T$93,FU$244+$FJ297-1)))</f>
        <v/>
      </c>
      <c r="FV297" s="479" t="str">
        <f ca="1">IF($FJ297+FV$244&gt;73,"",PRODUCT(INDEX($T$19:$T$93,FV$244):INDEX($T$19:$T$93,FV$244+$FJ297-1)))</f>
        <v/>
      </c>
      <c r="FW297" s="479" t="str">
        <f ca="1">IF($FJ297+FW$244&gt;73,"",PRODUCT(INDEX($T$19:$T$93,FW$244):INDEX($T$19:$T$93,FW$244+$FJ297-1)))</f>
        <v/>
      </c>
      <c r="FX297" s="479" t="str">
        <f ca="1">IF($FJ297+FX$244&gt;73,"",PRODUCT(INDEX($T$19:$T$93,FX$244):INDEX($T$19:$T$93,FX$244+$FJ297-1)))</f>
        <v/>
      </c>
      <c r="FY297" s="479" t="str">
        <f ca="1">IF($FJ297+FY$244&gt;73,"",PRODUCT(INDEX($T$19:$T$93,FY$244):INDEX($T$19:$T$93,FY$244+$FJ297-1)))</f>
        <v/>
      </c>
      <c r="FZ297" s="479" t="str">
        <f ca="1">IF($FJ297+FZ$244&gt;73,"",PRODUCT(INDEX($T$19:$T$93,FZ$244):INDEX($T$19:$T$93,FZ$244+$FJ297-1)))</f>
        <v/>
      </c>
      <c r="GA297" s="479" t="str">
        <f ca="1">IF($FJ297+GA$244&gt;73,"",PRODUCT(INDEX($T$19:$T$93,GA$244):INDEX($T$19:$T$93,GA$244+$FJ297-1)))</f>
        <v/>
      </c>
      <c r="GB297" s="479" t="str">
        <f ca="1">IF($FJ297+GB$244&gt;73,"",PRODUCT(INDEX($T$19:$T$93,GB$244):INDEX($T$19:$T$93,GB$244+$FJ297-1)))</f>
        <v/>
      </c>
      <c r="GC297" s="479" t="str">
        <f ca="1">IF($FJ297+GC$244&gt;73,"",PRODUCT(INDEX($T$19:$T$93,GC$244):INDEX($T$19:$T$93,GC$244+$FJ297-1)))</f>
        <v/>
      </c>
      <c r="GD297" s="479" t="str">
        <f ca="1">IF($FJ297+GD$244&gt;73,"",PRODUCT(INDEX($T$19:$T$93,GD$244):INDEX($T$19:$T$93,GD$244+$FJ297-1)))</f>
        <v/>
      </c>
      <c r="GE297" s="479" t="str">
        <f ca="1">IF($FJ297+GE$244&gt;73,"",PRODUCT(INDEX($T$19:$T$93,GE$244):INDEX($T$19:$T$93,GE$244+$FJ297-1)))</f>
        <v/>
      </c>
      <c r="GF297" s="479" t="str">
        <f ca="1">IF($FJ297+GF$244&gt;73,"",PRODUCT(INDEX($T$19:$T$93,GF$244):INDEX($T$19:$T$93,GF$244+$FJ297-1)))</f>
        <v/>
      </c>
      <c r="GG297" s="479" t="str">
        <f ca="1">IF($FJ297+GG$244&gt;73,"",PRODUCT(INDEX($T$19:$T$93,GG$244):INDEX($T$19:$T$93,GG$244+$FJ297-1)))</f>
        <v/>
      </c>
      <c r="GH297" s="479" t="str">
        <f ca="1">IF($FJ297+GH$244&gt;73,"",PRODUCT(INDEX($T$19:$T$93,GH$244):INDEX($T$19:$T$93,GH$244+$FJ297-1)))</f>
        <v/>
      </c>
      <c r="GI297" s="479" t="str">
        <f ca="1">IF($FJ297+GI$244&gt;73,"",PRODUCT(INDEX($T$19:$T$93,GI$244):INDEX($T$19:$T$93,GI$244+$FJ297-1)))</f>
        <v/>
      </c>
      <c r="GJ297" s="479" t="str">
        <f ca="1">IF($FJ297+GJ$244&gt;73,"",PRODUCT(INDEX($T$19:$T$93,GJ$244):INDEX($T$19:$T$93,GJ$244+$FJ297-1)))</f>
        <v/>
      </c>
      <c r="GK297" s="479" t="str">
        <f ca="1">IF($FJ297+GK$244&gt;73,"",PRODUCT(INDEX($T$19:$T$93,GK$244):INDEX($T$19:$T$93,GK$244+$FJ297-1)))</f>
        <v/>
      </c>
      <c r="GL297" s="479" t="str">
        <f ca="1">IF($FJ297+GL$244&gt;73,"",PRODUCT(INDEX($T$19:$T$93,GL$244):INDEX($T$19:$T$93,GL$244+$FJ297-1)))</f>
        <v/>
      </c>
      <c r="GM297" s="479" t="str">
        <f ca="1">IF($FJ297+GM$244&gt;73,"",PRODUCT(INDEX($T$19:$T$93,GM$244):INDEX($T$19:$T$93,GM$244+$FJ297-1)))</f>
        <v/>
      </c>
      <c r="GN297" s="479" t="str">
        <f ca="1">IF($FJ297+GN$244&gt;73,"",PRODUCT(INDEX($T$19:$T$93,GN$244):INDEX($T$19:$T$93,GN$244+$FJ297-1)))</f>
        <v/>
      </c>
      <c r="GO297" s="479" t="str">
        <f ca="1">IF($FJ297+GO$244&gt;73,"",PRODUCT(INDEX($T$19:$T$93,GO$244):INDEX($T$19:$T$93,GO$244+$FJ297-1)))</f>
        <v/>
      </c>
      <c r="GP297" s="479" t="str">
        <f ca="1">IF($FJ297+GP$244&gt;73,"",PRODUCT(INDEX($T$19:$T$93,GP$244):INDEX($T$19:$T$93,GP$244+$FJ297-1)))</f>
        <v/>
      </c>
      <c r="GQ297" s="479" t="str">
        <f ca="1">IF($FJ297+GQ$244&gt;73,"",PRODUCT(INDEX($T$19:$T$93,GQ$244):INDEX($T$19:$T$93,GQ$244+$FJ297-1)))</f>
        <v/>
      </c>
      <c r="GR297" s="479" t="str">
        <f ca="1">IF($FJ297+GR$244&gt;73,"",PRODUCT(INDEX($T$19:$T$93,GR$244):INDEX($T$19:$T$93,GR$244+$FJ297-1)))</f>
        <v/>
      </c>
      <c r="GS297" s="479" t="str">
        <f ca="1">IF($FJ297+GS$244&gt;73,"",PRODUCT(INDEX($T$19:$T$93,GS$244):INDEX($T$19:$T$93,GS$244+$FJ297-1)))</f>
        <v/>
      </c>
      <c r="GT297" s="479" t="str">
        <f ca="1">IF($FJ297+GT$244&gt;73,"",PRODUCT(INDEX($T$19:$T$93,GT$244):INDEX($T$19:$T$93,GT$244+$FJ297-1)))</f>
        <v/>
      </c>
      <c r="GU297" s="479" t="str">
        <f ca="1">IF($FJ297+GU$244&gt;73,"",PRODUCT(INDEX($T$19:$T$93,GU$244):INDEX($T$19:$T$93,GU$244+$FJ297-1)))</f>
        <v/>
      </c>
      <c r="GV297" s="479" t="str">
        <f ca="1">IF($FJ297+GV$244&gt;73,"",PRODUCT(INDEX($T$19:$T$93,GV$244):INDEX($T$19:$T$93,GV$244+$FJ297-1)))</f>
        <v/>
      </c>
      <c r="GW297" s="479" t="str">
        <f ca="1">IF($FJ297+GW$244&gt;73,"",PRODUCT(INDEX($T$19:$T$93,GW$244):INDEX($T$19:$T$93,GW$244+$FJ297-1)))</f>
        <v/>
      </c>
      <c r="GX297" s="479" t="str">
        <f ca="1">IF($FJ297+GX$244&gt;73,"",PRODUCT(INDEX($T$19:$T$93,GX$244):INDEX($T$19:$T$93,GX$244+$FJ297-1)))</f>
        <v/>
      </c>
      <c r="GY297" s="479" t="str">
        <f ca="1">IF($FJ297+GY$244&gt;73,"",PRODUCT(INDEX($T$19:$T$93,GY$244):INDEX($T$19:$T$93,GY$244+$FJ297-1)))</f>
        <v/>
      </c>
      <c r="GZ297" s="479" t="str">
        <f ca="1">IF($FJ297+GZ$244&gt;73,"",PRODUCT(INDEX($T$19:$T$93,GZ$244):INDEX($T$19:$T$93,GZ$244+$FJ297-1)))</f>
        <v/>
      </c>
      <c r="HA297" s="479" t="str">
        <f ca="1">IF($FJ297+HA$244&gt;73,"",PRODUCT(INDEX($T$19:$T$93,HA$244):INDEX($T$19:$T$93,HA$244+$FJ297-1)))</f>
        <v/>
      </c>
      <c r="HB297" s="479" t="str">
        <f ca="1">IF($FJ297+HB$244&gt;73,"",PRODUCT(INDEX($T$19:$T$93,HB$244):INDEX($T$19:$T$93,HB$244+$FJ297-1)))</f>
        <v/>
      </c>
      <c r="HC297" s="479" t="str">
        <f ca="1">IF($FJ297+HC$244&gt;73,"",PRODUCT(INDEX($T$19:$T$93,HC$244):INDEX($T$19:$T$93,HC$244+$FJ297-1)))</f>
        <v/>
      </c>
      <c r="HD297" s="479" t="str">
        <f ca="1">IF($FJ297+HD$244&gt;73,"",PRODUCT(INDEX($T$19:$T$93,HD$244):INDEX($T$19:$T$93,HD$244+$FJ297-1)))</f>
        <v/>
      </c>
      <c r="HE297" s="479" t="str">
        <f ca="1">IF($FJ297+HE$244&gt;73,"",PRODUCT(INDEX($T$19:$T$93,HE$244):INDEX($T$19:$T$93,HE$244+$FJ297-1)))</f>
        <v/>
      </c>
      <c r="HF297" s="479" t="str">
        <f ca="1">IF($FJ297+HF$244&gt;73,"",PRODUCT(INDEX($T$19:$T$93,HF$244):INDEX($T$19:$T$93,HF$244+$FJ297-1)))</f>
        <v/>
      </c>
      <c r="HG297" s="479" t="str">
        <f ca="1">IF($FJ297+HG$244&gt;73,"",PRODUCT(INDEX($T$19:$T$93,HG$244):INDEX($T$19:$T$93,HG$244+$FJ297-1)))</f>
        <v/>
      </c>
      <c r="HH297" s="479" t="str">
        <f ca="1">IF($FJ297+HH$244&gt;73,"",PRODUCT(INDEX($T$19:$T$93,HH$244):INDEX($T$19:$T$93,HH$244+$FJ297-1)))</f>
        <v/>
      </c>
      <c r="HI297" s="479" t="str">
        <f ca="1">IF($FJ297+HI$244&gt;73,"",PRODUCT(INDEX($T$19:$T$93,HI$244):INDEX($T$19:$T$93,HI$244+$FJ297-1)))</f>
        <v/>
      </c>
      <c r="HJ297" s="479" t="str">
        <f ca="1">IF($FJ297+HJ$244&gt;73,"",PRODUCT(INDEX($T$19:$T$93,HJ$244):INDEX($T$19:$T$93,HJ$244+$FJ297-1)))</f>
        <v/>
      </c>
      <c r="HK297" s="479">
        <f ca="1">IF($FJ297+HK$244&gt;73,"",PRODUCT(INDEX($T$19:$T$93,HK$244):INDEX($T$19:$T$93,HK$244+$FJ297-1)))</f>
        <v>0.95455368046377431</v>
      </c>
      <c r="HL297" s="479">
        <f ca="1">IF($FJ297+HL$244&gt;73,"",PRODUCT(INDEX($T$19:$T$93,HL$244):INDEX($T$19:$T$93,HL$244+$FJ297-1)))</f>
        <v>0.94699588455730432</v>
      </c>
      <c r="HM297" s="479">
        <f ca="1">IF($FJ297+HM$244&gt;73,"",PRODUCT(INDEX($T$19:$T$93,HM$244):INDEX($T$19:$T$93,HM$244+$FJ297-1)))</f>
        <v>0.93821190193148829</v>
      </c>
      <c r="HN297" s="479">
        <f ca="1">IF($FJ297+HN$244&gt;73,"",PRODUCT(INDEX($T$19:$T$93,HN$244):INDEX($T$19:$T$93,HN$244+$FJ297-1)))</f>
        <v>0.92801426590147595</v>
      </c>
      <c r="HO297" s="479">
        <f ca="1">IF($FJ297+HO$244&gt;73,"",PRODUCT(INDEX($T$19:$T$93,HO$244):INDEX($T$19:$T$93,HO$244+$FJ297-1)))</f>
        <v>0.91619118082160567</v>
      </c>
      <c r="HP297" s="479">
        <f ca="1">IF($FJ297+HP$244&gt;73,"",PRODUCT(INDEX($T$19:$T$93,HP$244):INDEX($T$19:$T$93,HP$244+$FJ297-1)))</f>
        <v>0.90250506139421294</v>
      </c>
      <c r="HQ297" s="479">
        <f ca="1">IF($FJ297+HQ$244&gt;73,"",PRODUCT(INDEX($T$19:$T$93,HQ$244):INDEX($T$19:$T$93,HQ$244+$FJ297-1)))</f>
        <v>0.88669174201321566</v>
      </c>
      <c r="HR297" s="479">
        <f ca="1">IF($FJ297+HR$244&gt;73,"",PRODUCT(INDEX($T$19:$T$93,HR$244):INDEX($T$19:$T$93,HR$244+$FJ297-1)))</f>
        <v>0.86846076394158556</v>
      </c>
      <c r="HS297" s="479">
        <f ca="1">IF($FJ297+HS$244&gt;73,"",PRODUCT(INDEX($T$19:$T$93,HS$244):INDEX($T$19:$T$93,HS$244+$FJ297-1)))</f>
        <v>0.84749729713908795</v>
      </c>
      <c r="HT297" s="479">
        <f ca="1">IF($FJ297+HT$244&gt;73,"",PRODUCT(INDEX($T$19:$T$93,HT$244):INDEX($T$19:$T$93,HT$244+$FJ297-1)))</f>
        <v>0.82346643949940446</v>
      </c>
      <c r="HU297" s="479">
        <f ca="1">IF($FJ297+HU$244&gt;73,"",PRODUCT(INDEX($T$19:$T$93,HU$244):INDEX($T$19:$T$93,HU$244+$FJ297-1)))</f>
        <v>0.79602085911839471</v>
      </c>
      <c r="HV297" s="479">
        <f ca="1">IF($FJ297+HV$244&gt;73,"",PRODUCT(INDEX($T$19:$T$93,HV$244):INDEX($T$19:$T$93,HV$244+$FJ297-1)))</f>
        <v>0.76481299686450066</v>
      </c>
      <c r="HW297" s="479">
        <f ca="1">IF($FJ297+HW$244&gt;73,"",PRODUCT(INDEX($T$19:$T$93,HW$244):INDEX($T$19:$T$93,HW$244+$FJ297-1)))</f>
        <v>0.72951330359373545</v>
      </c>
      <c r="HX297" s="479">
        <f ca="1">IF($FJ297+HX$244&gt;73,"",PRODUCT(INDEX($T$19:$T$93,HX$244):INDEX($T$19:$T$93,HX$244+$FJ297-1)))</f>
        <v>0.68983619907224691</v>
      </c>
      <c r="HY297" s="479">
        <f ca="1">IF($FJ297+HY$244&gt;73,"",PRODUCT(INDEX($T$19:$T$93,HY$244):INDEX($T$19:$T$93,HY$244+$FJ297-1)))</f>
        <v>0.64557551529978441</v>
      </c>
      <c r="HZ297" s="479">
        <f ca="1">IF($FJ297+HZ$244&gt;73,"",PRODUCT(INDEX($T$19:$T$93,HZ$244):INDEX($T$19:$T$93,HZ$244+$FJ297-1)))</f>
        <v>0.59665096714190902</v>
      </c>
      <c r="IA297" s="479">
        <f ca="1">IF($FJ297+IA$244&gt;73,"",PRODUCT(INDEX($T$19:$T$93,IA$244):INDEX($T$19:$T$93,IA$244+$FJ297-1)))</f>
        <v>0.54316642698020789</v>
      </c>
      <c r="IB297" s="479">
        <f ca="1">IF($FJ297+IB$244&gt;73,"",PRODUCT(INDEX($T$19:$T$93,IB$244):INDEX($T$19:$T$93,IB$244+$FJ297-1)))</f>
        <v>0.48547909963125174</v>
      </c>
      <c r="IC297" s="479">
        <f ca="1">IF($FJ297+IC$244&gt;73,"",PRODUCT(INDEX($T$19:$T$93,IC$244):INDEX($T$19:$T$93,IC$244+$FJ297-1)))</f>
        <v>0.42427561278372949</v>
      </c>
      <c r="ID297" s="678">
        <f ca="1">IF($FJ297+ID$244&gt;73,"",PRODUCT(INDEX($T$19:$T$93,ID$244):INDEX($T$19:$T$93,ID$244+$FJ297-1)))</f>
        <v>0.36064601565774229</v>
      </c>
      <c r="IE297" s="250"/>
    </row>
    <row r="298" spans="9:239">
      <c r="I298" s="137"/>
      <c r="J298" s="375"/>
      <c r="K298" s="138"/>
      <c r="L298" s="1"/>
      <c r="M298" s="376"/>
      <c r="P298" s="375"/>
      <c r="S298" s="55"/>
      <c r="T298" s="375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374"/>
      <c r="AP298" s="1"/>
      <c r="AQ298" s="374"/>
      <c r="AR298" s="1"/>
      <c r="AS298" s="1"/>
      <c r="AT298" s="106"/>
      <c r="AU298" s="106"/>
      <c r="AV298" s="106"/>
      <c r="AW298" s="31"/>
      <c r="AX298" s="31"/>
      <c r="AY298" s="31"/>
      <c r="AZ298" s="31"/>
      <c r="BA298" s="154"/>
      <c r="BB298" s="154"/>
      <c r="BC298" s="106"/>
      <c r="BD298" s="106"/>
      <c r="BE298" s="106"/>
      <c r="BF298" s="107"/>
      <c r="BG298" s="107"/>
      <c r="BH298" s="107"/>
      <c r="BI298" s="105"/>
      <c r="BJ298" s="107"/>
      <c r="BK298" s="107"/>
      <c r="BL298" s="106"/>
      <c r="BM298" s="108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7"/>
      <c r="CE298" s="107"/>
      <c r="CF298" s="107"/>
      <c r="CG298" s="107"/>
      <c r="CH298" s="107"/>
      <c r="CI298" s="107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475"/>
      <c r="DI298" s="110"/>
      <c r="DJ298" s="110"/>
      <c r="DK298" s="475"/>
      <c r="DL298" s="53"/>
      <c r="DM298" s="54"/>
      <c r="DN298" s="54"/>
      <c r="DO298" s="54"/>
      <c r="DP298" s="54"/>
      <c r="DQ298" s="54"/>
      <c r="DR298" s="54"/>
      <c r="DS298" s="54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L298" s="55"/>
      <c r="EM298" s="1"/>
      <c r="EN298" s="106"/>
      <c r="EO298" s="105"/>
      <c r="EP298" s="1"/>
      <c r="EQ298" s="106"/>
      <c r="ER298" s="1"/>
      <c r="ES298" s="1"/>
      <c r="ET298" s="1"/>
      <c r="EU298" s="107"/>
      <c r="FJ298" s="673">
        <v>54</v>
      </c>
      <c r="FK298" s="479" t="str">
        <f ca="1">IF($FJ298+FK$244&gt;73,"",PRODUCT(INDEX($T$19:$T$93,FK$244):INDEX($T$19:$T$93,FK$244+$FJ298-1)))</f>
        <v/>
      </c>
      <c r="FL298" s="479" t="str">
        <f ca="1">IF($FJ298+FL$244&gt;73,"",PRODUCT(INDEX($T$19:$T$93,FL$244):INDEX($T$19:$T$93,FL$244+$FJ298-1)))</f>
        <v/>
      </c>
      <c r="FM298" s="479" t="str">
        <f ca="1">IF($FJ298+FM$244&gt;73,"",PRODUCT(INDEX($T$19:$T$93,FM$244):INDEX($T$19:$T$93,FM$244+$FJ298-1)))</f>
        <v/>
      </c>
      <c r="FN298" s="479" t="str">
        <f ca="1">IF($FJ298+FN$244&gt;73,"",PRODUCT(INDEX($T$19:$T$93,FN$244):INDEX($T$19:$T$93,FN$244+$FJ298-1)))</f>
        <v/>
      </c>
      <c r="FO298" s="479" t="str">
        <f ca="1">IF($FJ298+FO$244&gt;73,"",PRODUCT(INDEX($T$19:$T$93,FO$244):INDEX($T$19:$T$93,FO$244+$FJ298-1)))</f>
        <v/>
      </c>
      <c r="FP298" s="479" t="str">
        <f ca="1">IF($FJ298+FP$244&gt;73,"",PRODUCT(INDEX($T$19:$T$93,FP$244):INDEX($T$19:$T$93,FP$244+$FJ298-1)))</f>
        <v/>
      </c>
      <c r="FQ298" s="479" t="str">
        <f ca="1">IF($FJ298+FQ$244&gt;73,"",PRODUCT(INDEX($T$19:$T$93,FQ$244):INDEX($T$19:$T$93,FQ$244+$FJ298-1)))</f>
        <v/>
      </c>
      <c r="FR298" s="479" t="str">
        <f ca="1">IF($FJ298+FR$244&gt;73,"",PRODUCT(INDEX($T$19:$T$93,FR$244):INDEX($T$19:$T$93,FR$244+$FJ298-1)))</f>
        <v/>
      </c>
      <c r="FS298" s="479" t="str">
        <f ca="1">IF($FJ298+FS$244&gt;73,"",PRODUCT(INDEX($T$19:$T$93,FS$244):INDEX($T$19:$T$93,FS$244+$FJ298-1)))</f>
        <v/>
      </c>
      <c r="FT298" s="479" t="str">
        <f ca="1">IF($FJ298+FT$244&gt;73,"",PRODUCT(INDEX($T$19:$T$93,FT$244):INDEX($T$19:$T$93,FT$244+$FJ298-1)))</f>
        <v/>
      </c>
      <c r="FU298" s="479" t="str">
        <f ca="1">IF($FJ298+FU$244&gt;73,"",PRODUCT(INDEX($T$19:$T$93,FU$244):INDEX($T$19:$T$93,FU$244+$FJ298-1)))</f>
        <v/>
      </c>
      <c r="FV298" s="479" t="str">
        <f ca="1">IF($FJ298+FV$244&gt;73,"",PRODUCT(INDEX($T$19:$T$93,FV$244):INDEX($T$19:$T$93,FV$244+$FJ298-1)))</f>
        <v/>
      </c>
      <c r="FW298" s="479" t="str">
        <f ca="1">IF($FJ298+FW$244&gt;73,"",PRODUCT(INDEX($T$19:$T$93,FW$244):INDEX($T$19:$T$93,FW$244+$FJ298-1)))</f>
        <v/>
      </c>
      <c r="FX298" s="479" t="str">
        <f ca="1">IF($FJ298+FX$244&gt;73,"",PRODUCT(INDEX($T$19:$T$93,FX$244):INDEX($T$19:$T$93,FX$244+$FJ298-1)))</f>
        <v/>
      </c>
      <c r="FY298" s="479" t="str">
        <f ca="1">IF($FJ298+FY$244&gt;73,"",PRODUCT(INDEX($T$19:$T$93,FY$244):INDEX($T$19:$T$93,FY$244+$FJ298-1)))</f>
        <v/>
      </c>
      <c r="FZ298" s="479" t="str">
        <f ca="1">IF($FJ298+FZ$244&gt;73,"",PRODUCT(INDEX($T$19:$T$93,FZ$244):INDEX($T$19:$T$93,FZ$244+$FJ298-1)))</f>
        <v/>
      </c>
      <c r="GA298" s="479" t="str">
        <f ca="1">IF($FJ298+GA$244&gt;73,"",PRODUCT(INDEX($T$19:$T$93,GA$244):INDEX($T$19:$T$93,GA$244+$FJ298-1)))</f>
        <v/>
      </c>
      <c r="GB298" s="479" t="str">
        <f ca="1">IF($FJ298+GB$244&gt;73,"",PRODUCT(INDEX($T$19:$T$93,GB$244):INDEX($T$19:$T$93,GB$244+$FJ298-1)))</f>
        <v/>
      </c>
      <c r="GC298" s="479" t="str">
        <f ca="1">IF($FJ298+GC$244&gt;73,"",PRODUCT(INDEX($T$19:$T$93,GC$244):INDEX($T$19:$T$93,GC$244+$FJ298-1)))</f>
        <v/>
      </c>
      <c r="GD298" s="479" t="str">
        <f ca="1">IF($FJ298+GD$244&gt;73,"",PRODUCT(INDEX($T$19:$T$93,GD$244):INDEX($T$19:$T$93,GD$244+$FJ298-1)))</f>
        <v/>
      </c>
      <c r="GE298" s="479" t="str">
        <f ca="1">IF($FJ298+GE$244&gt;73,"",PRODUCT(INDEX($T$19:$T$93,GE$244):INDEX($T$19:$T$93,GE$244+$FJ298-1)))</f>
        <v/>
      </c>
      <c r="GF298" s="479" t="str">
        <f ca="1">IF($FJ298+GF$244&gt;73,"",PRODUCT(INDEX($T$19:$T$93,GF$244):INDEX($T$19:$T$93,GF$244+$FJ298-1)))</f>
        <v/>
      </c>
      <c r="GG298" s="479" t="str">
        <f ca="1">IF($FJ298+GG$244&gt;73,"",PRODUCT(INDEX($T$19:$T$93,GG$244):INDEX($T$19:$T$93,GG$244+$FJ298-1)))</f>
        <v/>
      </c>
      <c r="GH298" s="479" t="str">
        <f ca="1">IF($FJ298+GH$244&gt;73,"",PRODUCT(INDEX($T$19:$T$93,GH$244):INDEX($T$19:$T$93,GH$244+$FJ298-1)))</f>
        <v/>
      </c>
      <c r="GI298" s="479" t="str">
        <f ca="1">IF($FJ298+GI$244&gt;73,"",PRODUCT(INDEX($T$19:$T$93,GI$244):INDEX($T$19:$T$93,GI$244+$FJ298-1)))</f>
        <v/>
      </c>
      <c r="GJ298" s="479" t="str">
        <f ca="1">IF($FJ298+GJ$244&gt;73,"",PRODUCT(INDEX($T$19:$T$93,GJ$244):INDEX($T$19:$T$93,GJ$244+$FJ298-1)))</f>
        <v/>
      </c>
      <c r="GK298" s="479" t="str">
        <f ca="1">IF($FJ298+GK$244&gt;73,"",PRODUCT(INDEX($T$19:$T$93,GK$244):INDEX($T$19:$T$93,GK$244+$FJ298-1)))</f>
        <v/>
      </c>
      <c r="GL298" s="479" t="str">
        <f ca="1">IF($FJ298+GL$244&gt;73,"",PRODUCT(INDEX($T$19:$T$93,GL$244):INDEX($T$19:$T$93,GL$244+$FJ298-1)))</f>
        <v/>
      </c>
      <c r="GM298" s="479" t="str">
        <f ca="1">IF($FJ298+GM$244&gt;73,"",PRODUCT(INDEX($T$19:$T$93,GM$244):INDEX($T$19:$T$93,GM$244+$FJ298-1)))</f>
        <v/>
      </c>
      <c r="GN298" s="479" t="str">
        <f ca="1">IF($FJ298+GN$244&gt;73,"",PRODUCT(INDEX($T$19:$T$93,GN$244):INDEX($T$19:$T$93,GN$244+$FJ298-1)))</f>
        <v/>
      </c>
      <c r="GO298" s="479" t="str">
        <f ca="1">IF($FJ298+GO$244&gt;73,"",PRODUCT(INDEX($T$19:$T$93,GO$244):INDEX($T$19:$T$93,GO$244+$FJ298-1)))</f>
        <v/>
      </c>
      <c r="GP298" s="479" t="str">
        <f ca="1">IF($FJ298+GP$244&gt;73,"",PRODUCT(INDEX($T$19:$T$93,GP$244):INDEX($T$19:$T$93,GP$244+$FJ298-1)))</f>
        <v/>
      </c>
      <c r="GQ298" s="479" t="str">
        <f ca="1">IF($FJ298+GQ$244&gt;73,"",PRODUCT(INDEX($T$19:$T$93,GQ$244):INDEX($T$19:$T$93,GQ$244+$FJ298-1)))</f>
        <v/>
      </c>
      <c r="GR298" s="479" t="str">
        <f ca="1">IF($FJ298+GR$244&gt;73,"",PRODUCT(INDEX($T$19:$T$93,GR$244):INDEX($T$19:$T$93,GR$244+$FJ298-1)))</f>
        <v/>
      </c>
      <c r="GS298" s="479" t="str">
        <f ca="1">IF($FJ298+GS$244&gt;73,"",PRODUCT(INDEX($T$19:$T$93,GS$244):INDEX($T$19:$T$93,GS$244+$FJ298-1)))</f>
        <v/>
      </c>
      <c r="GT298" s="479" t="str">
        <f ca="1">IF($FJ298+GT$244&gt;73,"",PRODUCT(INDEX($T$19:$T$93,GT$244):INDEX($T$19:$T$93,GT$244+$FJ298-1)))</f>
        <v/>
      </c>
      <c r="GU298" s="479" t="str">
        <f ca="1">IF($FJ298+GU$244&gt;73,"",PRODUCT(INDEX($T$19:$T$93,GU$244):INDEX($T$19:$T$93,GU$244+$FJ298-1)))</f>
        <v/>
      </c>
      <c r="GV298" s="479" t="str">
        <f ca="1">IF($FJ298+GV$244&gt;73,"",PRODUCT(INDEX($T$19:$T$93,GV$244):INDEX($T$19:$T$93,GV$244+$FJ298-1)))</f>
        <v/>
      </c>
      <c r="GW298" s="479" t="str">
        <f ca="1">IF($FJ298+GW$244&gt;73,"",PRODUCT(INDEX($T$19:$T$93,GW$244):INDEX($T$19:$T$93,GW$244+$FJ298-1)))</f>
        <v/>
      </c>
      <c r="GX298" s="479" t="str">
        <f ca="1">IF($FJ298+GX$244&gt;73,"",PRODUCT(INDEX($T$19:$T$93,GX$244):INDEX($T$19:$T$93,GX$244+$FJ298-1)))</f>
        <v/>
      </c>
      <c r="GY298" s="479" t="str">
        <f ca="1">IF($FJ298+GY$244&gt;73,"",PRODUCT(INDEX($T$19:$T$93,GY$244):INDEX($T$19:$T$93,GY$244+$FJ298-1)))</f>
        <v/>
      </c>
      <c r="GZ298" s="479" t="str">
        <f ca="1">IF($FJ298+GZ$244&gt;73,"",PRODUCT(INDEX($T$19:$T$93,GZ$244):INDEX($T$19:$T$93,GZ$244+$FJ298-1)))</f>
        <v/>
      </c>
      <c r="HA298" s="479" t="str">
        <f ca="1">IF($FJ298+HA$244&gt;73,"",PRODUCT(INDEX($T$19:$T$93,HA$244):INDEX($T$19:$T$93,HA$244+$FJ298-1)))</f>
        <v/>
      </c>
      <c r="HB298" s="479" t="str">
        <f ca="1">IF($FJ298+HB$244&gt;73,"",PRODUCT(INDEX($T$19:$T$93,HB$244):INDEX($T$19:$T$93,HB$244+$FJ298-1)))</f>
        <v/>
      </c>
      <c r="HC298" s="479" t="str">
        <f ca="1">IF($FJ298+HC$244&gt;73,"",PRODUCT(INDEX($T$19:$T$93,HC$244):INDEX($T$19:$T$93,HC$244+$FJ298-1)))</f>
        <v/>
      </c>
      <c r="HD298" s="479" t="str">
        <f ca="1">IF($FJ298+HD$244&gt;73,"",PRODUCT(INDEX($T$19:$T$93,HD$244):INDEX($T$19:$T$93,HD$244+$FJ298-1)))</f>
        <v/>
      </c>
      <c r="HE298" s="479" t="str">
        <f ca="1">IF($FJ298+HE$244&gt;73,"",PRODUCT(INDEX($T$19:$T$93,HE$244):INDEX($T$19:$T$93,HE$244+$FJ298-1)))</f>
        <v/>
      </c>
      <c r="HF298" s="479" t="str">
        <f ca="1">IF($FJ298+HF$244&gt;73,"",PRODUCT(INDEX($T$19:$T$93,HF$244):INDEX($T$19:$T$93,HF$244+$FJ298-1)))</f>
        <v/>
      </c>
      <c r="HG298" s="479" t="str">
        <f ca="1">IF($FJ298+HG$244&gt;73,"",PRODUCT(INDEX($T$19:$T$93,HG$244):INDEX($T$19:$T$93,HG$244+$FJ298-1)))</f>
        <v/>
      </c>
      <c r="HH298" s="479" t="str">
        <f ca="1">IF($FJ298+HH$244&gt;73,"",PRODUCT(INDEX($T$19:$T$93,HH$244):INDEX($T$19:$T$93,HH$244+$FJ298-1)))</f>
        <v/>
      </c>
      <c r="HI298" s="479" t="str">
        <f ca="1">IF($FJ298+HI$244&gt;73,"",PRODUCT(INDEX($T$19:$T$93,HI$244):INDEX($T$19:$T$93,HI$244+$FJ298-1)))</f>
        <v/>
      </c>
      <c r="HJ298" s="479" t="str">
        <f ca="1">IF($FJ298+HJ$244&gt;73,"",PRODUCT(INDEX($T$19:$T$93,HJ$244):INDEX($T$19:$T$93,HJ$244+$FJ298-1)))</f>
        <v/>
      </c>
      <c r="HK298" s="479" t="str">
        <f ca="1">IF($FJ298+HK$244&gt;73,"",PRODUCT(INDEX($T$19:$T$93,HK$244):INDEX($T$19:$T$93,HK$244+$FJ298-1)))</f>
        <v/>
      </c>
      <c r="HL298" s="479">
        <f ca="1">IF($FJ298+HL$244&gt;73,"",PRODUCT(INDEX($T$19:$T$93,HL$244):INDEX($T$19:$T$93,HL$244+$FJ298-1)))</f>
        <v>0.94699404604375825</v>
      </c>
      <c r="HM298" s="479">
        <f ca="1">IF($FJ298+HM$244&gt;73,"",PRODUCT(INDEX($T$19:$T$93,HM$244):INDEX($T$19:$T$93,HM$244+$FJ298-1)))</f>
        <v>0.93820977156628915</v>
      </c>
      <c r="HN298" s="479">
        <f ca="1">IF($FJ298+HN$244&gt;73,"",PRODUCT(INDEX($T$19:$T$93,HN$244):INDEX($T$19:$T$93,HN$244+$FJ298-1)))</f>
        <v>0.92801180132542926</v>
      </c>
      <c r="HO298" s="479">
        <f ca="1">IF($FJ298+HO$244&gt;73,"",PRODUCT(INDEX($T$19:$T$93,HO$244):INDEX($T$19:$T$93,HO$244+$FJ298-1)))</f>
        <v>0.91618833499648245</v>
      </c>
      <c r="HP298" s="479">
        <f ca="1">IF($FJ298+HP$244&gt;73,"",PRODUCT(INDEX($T$19:$T$93,HP$244):INDEX($T$19:$T$93,HP$244+$FJ298-1)))</f>
        <v>0.90250178265878922</v>
      </c>
      <c r="HQ298" s="479">
        <f ca="1">IF($FJ298+HQ$244&gt;73,"",PRODUCT(INDEX($T$19:$T$93,HQ$244):INDEX($T$19:$T$93,HQ$244+$FJ298-1)))</f>
        <v>0.88668797441899549</v>
      </c>
      <c r="HR298" s="479">
        <f ca="1">IF($FJ298+HR$244&gt;73,"",PRODUCT(INDEX($T$19:$T$93,HR$244):INDEX($T$19:$T$93,HR$244+$FJ298-1)))</f>
        <v>0.86845644799049571</v>
      </c>
      <c r="HS298" s="479">
        <f ca="1">IF($FJ298+HS$244&gt;73,"",PRODUCT(INDEX($T$19:$T$93,HS$244):INDEX($T$19:$T$93,HS$244+$FJ298-1)))</f>
        <v>0.84749237107987263</v>
      </c>
      <c r="HT298" s="479">
        <f ca="1">IF($FJ298+HT$244&gt;73,"",PRODUCT(INDEX($T$19:$T$93,HT$244):INDEX($T$19:$T$93,HT$244+$FJ298-1)))</f>
        <v>0.82346084137732134</v>
      </c>
      <c r="HU298" s="479">
        <f ca="1">IF($FJ298+HU$244&gt;73,"",PRODUCT(INDEX($T$19:$T$93,HU$244):INDEX($T$19:$T$93,HU$244+$FJ298-1)))</f>
        <v>0.79601452981012899</v>
      </c>
      <c r="HV298" s="479">
        <f ca="1">IF($FJ298+HV$244&gt;73,"",PRODUCT(INDEX($T$19:$T$93,HV$244):INDEX($T$19:$T$93,HV$244+$FJ298-1)))</f>
        <v>0.7648058843590968</v>
      </c>
      <c r="HW298" s="479">
        <f ca="1">IF($FJ298+HW$244&gt;73,"",PRODUCT(INDEX($T$19:$T$93,HW$244):INDEX($T$19:$T$93,HW$244+$FJ298-1)))</f>
        <v>0.7295053687869224</v>
      </c>
      <c r="HX298" s="479">
        <f ca="1">IF($FJ298+HX$244&gt;73,"",PRODUCT(INDEX($T$19:$T$93,HX$244):INDEX($T$19:$T$93,HX$244+$FJ298-1)))</f>
        <v>0.68982742330310565</v>
      </c>
      <c r="HY298" s="479">
        <f ca="1">IF($FJ298+HY$244&gt;73,"",PRODUCT(INDEX($T$19:$T$93,HY$244):INDEX($T$19:$T$93,HY$244+$FJ298-1)))</f>
        <v>0.64556590974073025</v>
      </c>
      <c r="HZ298" s="479">
        <f ca="1">IF($FJ298+HZ$244&gt;73,"",PRODUCT(INDEX($T$19:$T$93,HZ$244):INDEX($T$19:$T$93,HZ$244+$FJ298-1)))</f>
        <v>0.59664058390663988</v>
      </c>
      <c r="IA298" s="479">
        <f ca="1">IF($FJ298+IA$244&gt;73,"",PRODUCT(INDEX($T$19:$T$93,IA$244):INDEX($T$19:$T$93,IA$244+$FJ298-1)))</f>
        <v>0.54315537137730519</v>
      </c>
      <c r="IB298" s="479">
        <f ca="1">IF($FJ298+IB$244&gt;73,"",PRODUCT(INDEX($T$19:$T$93,IB$244):INDEX($T$19:$T$93,IB$244+$FJ298-1)))</f>
        <v>0.48546754229640515</v>
      </c>
      <c r="IC298" s="479">
        <f ca="1">IF($FJ298+IC$244&gt;73,"",PRODUCT(INDEX($T$19:$T$93,IC$244):INDEX($T$19:$T$93,IC$244+$FJ298-1)))</f>
        <v>0.42426379942419523</v>
      </c>
      <c r="ID298" s="678">
        <f ca="1">IF($FJ298+ID$244&gt;73,"",PRODUCT(INDEX($T$19:$T$93,ID$244):INDEX($T$19:$T$93,ID$244+$FJ298-1)))</f>
        <v>0.36063427086617006</v>
      </c>
      <c r="IE298" s="250"/>
    </row>
    <row r="299" spans="9:239">
      <c r="I299" s="137"/>
      <c r="J299" s="375"/>
      <c r="K299" s="138"/>
      <c r="L299" s="1"/>
      <c r="M299" s="376"/>
      <c r="P299" s="375"/>
      <c r="S299" s="55"/>
      <c r="T299" s="375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374"/>
      <c r="AP299" s="1"/>
      <c r="AQ299" s="374"/>
      <c r="AR299" s="1"/>
      <c r="AS299" s="1"/>
      <c r="AT299" s="106"/>
      <c r="AU299" s="106"/>
      <c r="AV299" s="106"/>
      <c r="AW299" s="31"/>
      <c r="AX299" s="31"/>
      <c r="AY299" s="31"/>
      <c r="AZ299" s="31"/>
      <c r="BA299" s="154"/>
      <c r="BB299" s="154"/>
      <c r="BC299" s="106"/>
      <c r="BD299" s="106"/>
      <c r="BE299" s="106"/>
      <c r="BF299" s="107"/>
      <c r="BG299" s="107"/>
      <c r="BH299" s="107"/>
      <c r="BI299" s="105"/>
      <c r="BJ299" s="107"/>
      <c r="BK299" s="107"/>
      <c r="BL299" s="106"/>
      <c r="BM299" s="108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7"/>
      <c r="CE299" s="107"/>
      <c r="CF299" s="107"/>
      <c r="CG299" s="107"/>
      <c r="CH299" s="107"/>
      <c r="CI299" s="107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475"/>
      <c r="DI299" s="110"/>
      <c r="DJ299" s="110"/>
      <c r="DK299" s="475"/>
      <c r="DL299" s="53"/>
      <c r="DM299" s="54"/>
      <c r="DN299" s="54"/>
      <c r="DO299" s="54"/>
      <c r="DP299" s="54"/>
      <c r="DQ299" s="54"/>
      <c r="DR299" s="54"/>
      <c r="DS299" s="54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L299" s="55"/>
      <c r="EM299" s="1"/>
      <c r="EN299" s="106"/>
      <c r="EO299" s="105"/>
      <c r="EP299" s="1"/>
      <c r="EQ299" s="106"/>
      <c r="ER299" s="1"/>
      <c r="ES299" s="1"/>
      <c r="ET299" s="1"/>
      <c r="EU299" s="107"/>
      <c r="FJ299" s="673">
        <v>55</v>
      </c>
      <c r="FK299" s="479" t="str">
        <f ca="1">IF($FJ299+FK$244&gt;73,"",PRODUCT(INDEX($T$19:$T$93,FK$244):INDEX($T$19:$T$93,FK$244+$FJ299-1)))</f>
        <v/>
      </c>
      <c r="FL299" s="479" t="str">
        <f ca="1">IF($FJ299+FL$244&gt;73,"",PRODUCT(INDEX($T$19:$T$93,FL$244):INDEX($T$19:$T$93,FL$244+$FJ299-1)))</f>
        <v/>
      </c>
      <c r="FM299" s="479" t="str">
        <f ca="1">IF($FJ299+FM$244&gt;73,"",PRODUCT(INDEX($T$19:$T$93,FM$244):INDEX($T$19:$T$93,FM$244+$FJ299-1)))</f>
        <v/>
      </c>
      <c r="FN299" s="479" t="str">
        <f ca="1">IF($FJ299+FN$244&gt;73,"",PRODUCT(INDEX($T$19:$T$93,FN$244):INDEX($T$19:$T$93,FN$244+$FJ299-1)))</f>
        <v/>
      </c>
      <c r="FO299" s="479" t="str">
        <f ca="1">IF($FJ299+FO$244&gt;73,"",PRODUCT(INDEX($T$19:$T$93,FO$244):INDEX($T$19:$T$93,FO$244+$FJ299-1)))</f>
        <v/>
      </c>
      <c r="FP299" s="479" t="str">
        <f ca="1">IF($FJ299+FP$244&gt;73,"",PRODUCT(INDEX($T$19:$T$93,FP$244):INDEX($T$19:$T$93,FP$244+$FJ299-1)))</f>
        <v/>
      </c>
      <c r="FQ299" s="479" t="str">
        <f ca="1">IF($FJ299+FQ$244&gt;73,"",PRODUCT(INDEX($T$19:$T$93,FQ$244):INDEX($T$19:$T$93,FQ$244+$FJ299-1)))</f>
        <v/>
      </c>
      <c r="FR299" s="479" t="str">
        <f ca="1">IF($FJ299+FR$244&gt;73,"",PRODUCT(INDEX($T$19:$T$93,FR$244):INDEX($T$19:$T$93,FR$244+$FJ299-1)))</f>
        <v/>
      </c>
      <c r="FS299" s="479" t="str">
        <f ca="1">IF($FJ299+FS$244&gt;73,"",PRODUCT(INDEX($T$19:$T$93,FS$244):INDEX($T$19:$T$93,FS$244+$FJ299-1)))</f>
        <v/>
      </c>
      <c r="FT299" s="479" t="str">
        <f ca="1">IF($FJ299+FT$244&gt;73,"",PRODUCT(INDEX($T$19:$T$93,FT$244):INDEX($T$19:$T$93,FT$244+$FJ299-1)))</f>
        <v/>
      </c>
      <c r="FU299" s="479" t="str">
        <f ca="1">IF($FJ299+FU$244&gt;73,"",PRODUCT(INDEX($T$19:$T$93,FU$244):INDEX($T$19:$T$93,FU$244+$FJ299-1)))</f>
        <v/>
      </c>
      <c r="FV299" s="479" t="str">
        <f ca="1">IF($FJ299+FV$244&gt;73,"",PRODUCT(INDEX($T$19:$T$93,FV$244):INDEX($T$19:$T$93,FV$244+$FJ299-1)))</f>
        <v/>
      </c>
      <c r="FW299" s="479" t="str">
        <f ca="1">IF($FJ299+FW$244&gt;73,"",PRODUCT(INDEX($T$19:$T$93,FW$244):INDEX($T$19:$T$93,FW$244+$FJ299-1)))</f>
        <v/>
      </c>
      <c r="FX299" s="479" t="str">
        <f ca="1">IF($FJ299+FX$244&gt;73,"",PRODUCT(INDEX($T$19:$T$93,FX$244):INDEX($T$19:$T$93,FX$244+$FJ299-1)))</f>
        <v/>
      </c>
      <c r="FY299" s="479" t="str">
        <f ca="1">IF($FJ299+FY$244&gt;73,"",PRODUCT(INDEX($T$19:$T$93,FY$244):INDEX($T$19:$T$93,FY$244+$FJ299-1)))</f>
        <v/>
      </c>
      <c r="FZ299" s="479" t="str">
        <f ca="1">IF($FJ299+FZ$244&gt;73,"",PRODUCT(INDEX($T$19:$T$93,FZ$244):INDEX($T$19:$T$93,FZ$244+$FJ299-1)))</f>
        <v/>
      </c>
      <c r="GA299" s="479" t="str">
        <f ca="1">IF($FJ299+GA$244&gt;73,"",PRODUCT(INDEX($T$19:$T$93,GA$244):INDEX($T$19:$T$93,GA$244+$FJ299-1)))</f>
        <v/>
      </c>
      <c r="GB299" s="479" t="str">
        <f ca="1">IF($FJ299+GB$244&gt;73,"",PRODUCT(INDEX($T$19:$T$93,GB$244):INDEX($T$19:$T$93,GB$244+$FJ299-1)))</f>
        <v/>
      </c>
      <c r="GC299" s="479" t="str">
        <f ca="1">IF($FJ299+GC$244&gt;73,"",PRODUCT(INDEX($T$19:$T$93,GC$244):INDEX($T$19:$T$93,GC$244+$FJ299-1)))</f>
        <v/>
      </c>
      <c r="GD299" s="479" t="str">
        <f ca="1">IF($FJ299+GD$244&gt;73,"",PRODUCT(INDEX($T$19:$T$93,GD$244):INDEX($T$19:$T$93,GD$244+$FJ299-1)))</f>
        <v/>
      </c>
      <c r="GE299" s="479" t="str">
        <f ca="1">IF($FJ299+GE$244&gt;73,"",PRODUCT(INDEX($T$19:$T$93,GE$244):INDEX($T$19:$T$93,GE$244+$FJ299-1)))</f>
        <v/>
      </c>
      <c r="GF299" s="479" t="str">
        <f ca="1">IF($FJ299+GF$244&gt;73,"",PRODUCT(INDEX($T$19:$T$93,GF$244):INDEX($T$19:$T$93,GF$244+$FJ299-1)))</f>
        <v/>
      </c>
      <c r="GG299" s="479" t="str">
        <f ca="1">IF($FJ299+GG$244&gt;73,"",PRODUCT(INDEX($T$19:$T$93,GG$244):INDEX($T$19:$T$93,GG$244+$FJ299-1)))</f>
        <v/>
      </c>
      <c r="GH299" s="479" t="str">
        <f ca="1">IF($FJ299+GH$244&gt;73,"",PRODUCT(INDEX($T$19:$T$93,GH$244):INDEX($T$19:$T$93,GH$244+$FJ299-1)))</f>
        <v/>
      </c>
      <c r="GI299" s="479" t="str">
        <f ca="1">IF($FJ299+GI$244&gt;73,"",PRODUCT(INDEX($T$19:$T$93,GI$244):INDEX($T$19:$T$93,GI$244+$FJ299-1)))</f>
        <v/>
      </c>
      <c r="GJ299" s="479" t="str">
        <f ca="1">IF($FJ299+GJ$244&gt;73,"",PRODUCT(INDEX($T$19:$T$93,GJ$244):INDEX($T$19:$T$93,GJ$244+$FJ299-1)))</f>
        <v/>
      </c>
      <c r="GK299" s="479" t="str">
        <f ca="1">IF($FJ299+GK$244&gt;73,"",PRODUCT(INDEX($T$19:$T$93,GK$244):INDEX($T$19:$T$93,GK$244+$FJ299-1)))</f>
        <v/>
      </c>
      <c r="GL299" s="479" t="str">
        <f ca="1">IF($FJ299+GL$244&gt;73,"",PRODUCT(INDEX($T$19:$T$93,GL$244):INDEX($T$19:$T$93,GL$244+$FJ299-1)))</f>
        <v/>
      </c>
      <c r="GM299" s="479" t="str">
        <f ca="1">IF($FJ299+GM$244&gt;73,"",PRODUCT(INDEX($T$19:$T$93,GM$244):INDEX($T$19:$T$93,GM$244+$FJ299-1)))</f>
        <v/>
      </c>
      <c r="GN299" s="479" t="str">
        <f ca="1">IF($FJ299+GN$244&gt;73,"",PRODUCT(INDEX($T$19:$T$93,GN$244):INDEX($T$19:$T$93,GN$244+$FJ299-1)))</f>
        <v/>
      </c>
      <c r="GO299" s="479" t="str">
        <f ca="1">IF($FJ299+GO$244&gt;73,"",PRODUCT(INDEX($T$19:$T$93,GO$244):INDEX($T$19:$T$93,GO$244+$FJ299-1)))</f>
        <v/>
      </c>
      <c r="GP299" s="479" t="str">
        <f ca="1">IF($FJ299+GP$244&gt;73,"",PRODUCT(INDEX($T$19:$T$93,GP$244):INDEX($T$19:$T$93,GP$244+$FJ299-1)))</f>
        <v/>
      </c>
      <c r="GQ299" s="479" t="str">
        <f ca="1">IF($FJ299+GQ$244&gt;73,"",PRODUCT(INDEX($T$19:$T$93,GQ$244):INDEX($T$19:$T$93,GQ$244+$FJ299-1)))</f>
        <v/>
      </c>
      <c r="GR299" s="479" t="str">
        <f ca="1">IF($FJ299+GR$244&gt;73,"",PRODUCT(INDEX($T$19:$T$93,GR$244):INDEX($T$19:$T$93,GR$244+$FJ299-1)))</f>
        <v/>
      </c>
      <c r="GS299" s="479" t="str">
        <f ca="1">IF($FJ299+GS$244&gt;73,"",PRODUCT(INDEX($T$19:$T$93,GS$244):INDEX($T$19:$T$93,GS$244+$FJ299-1)))</f>
        <v/>
      </c>
      <c r="GT299" s="479" t="str">
        <f ca="1">IF($FJ299+GT$244&gt;73,"",PRODUCT(INDEX($T$19:$T$93,GT$244):INDEX($T$19:$T$93,GT$244+$FJ299-1)))</f>
        <v/>
      </c>
      <c r="GU299" s="479" t="str">
        <f ca="1">IF($FJ299+GU$244&gt;73,"",PRODUCT(INDEX($T$19:$T$93,GU$244):INDEX($T$19:$T$93,GU$244+$FJ299-1)))</f>
        <v/>
      </c>
      <c r="GV299" s="479" t="str">
        <f ca="1">IF($FJ299+GV$244&gt;73,"",PRODUCT(INDEX($T$19:$T$93,GV$244):INDEX($T$19:$T$93,GV$244+$FJ299-1)))</f>
        <v/>
      </c>
      <c r="GW299" s="479" t="str">
        <f ca="1">IF($FJ299+GW$244&gt;73,"",PRODUCT(INDEX($T$19:$T$93,GW$244):INDEX($T$19:$T$93,GW$244+$FJ299-1)))</f>
        <v/>
      </c>
      <c r="GX299" s="479" t="str">
        <f ca="1">IF($FJ299+GX$244&gt;73,"",PRODUCT(INDEX($T$19:$T$93,GX$244):INDEX($T$19:$T$93,GX$244+$FJ299-1)))</f>
        <v/>
      </c>
      <c r="GY299" s="479" t="str">
        <f ca="1">IF($FJ299+GY$244&gt;73,"",PRODUCT(INDEX($T$19:$T$93,GY$244):INDEX($T$19:$T$93,GY$244+$FJ299-1)))</f>
        <v/>
      </c>
      <c r="GZ299" s="479" t="str">
        <f ca="1">IF($FJ299+GZ$244&gt;73,"",PRODUCT(INDEX($T$19:$T$93,GZ$244):INDEX($T$19:$T$93,GZ$244+$FJ299-1)))</f>
        <v/>
      </c>
      <c r="HA299" s="479" t="str">
        <f ca="1">IF($FJ299+HA$244&gt;73,"",PRODUCT(INDEX($T$19:$T$93,HA$244):INDEX($T$19:$T$93,HA$244+$FJ299-1)))</f>
        <v/>
      </c>
      <c r="HB299" s="479" t="str">
        <f ca="1">IF($FJ299+HB$244&gt;73,"",PRODUCT(INDEX($T$19:$T$93,HB$244):INDEX($T$19:$T$93,HB$244+$FJ299-1)))</f>
        <v/>
      </c>
      <c r="HC299" s="479" t="str">
        <f ca="1">IF($FJ299+HC$244&gt;73,"",PRODUCT(INDEX($T$19:$T$93,HC$244):INDEX($T$19:$T$93,HC$244+$FJ299-1)))</f>
        <v/>
      </c>
      <c r="HD299" s="479" t="str">
        <f ca="1">IF($FJ299+HD$244&gt;73,"",PRODUCT(INDEX($T$19:$T$93,HD$244):INDEX($T$19:$T$93,HD$244+$FJ299-1)))</f>
        <v/>
      </c>
      <c r="HE299" s="479" t="str">
        <f ca="1">IF($FJ299+HE$244&gt;73,"",PRODUCT(INDEX($T$19:$T$93,HE$244):INDEX($T$19:$T$93,HE$244+$FJ299-1)))</f>
        <v/>
      </c>
      <c r="HF299" s="479" t="str">
        <f ca="1">IF($FJ299+HF$244&gt;73,"",PRODUCT(INDEX($T$19:$T$93,HF$244):INDEX($T$19:$T$93,HF$244+$FJ299-1)))</f>
        <v/>
      </c>
      <c r="HG299" s="479" t="str">
        <f ca="1">IF($FJ299+HG$244&gt;73,"",PRODUCT(INDEX($T$19:$T$93,HG$244):INDEX($T$19:$T$93,HG$244+$FJ299-1)))</f>
        <v/>
      </c>
      <c r="HH299" s="479" t="str">
        <f ca="1">IF($FJ299+HH$244&gt;73,"",PRODUCT(INDEX($T$19:$T$93,HH$244):INDEX($T$19:$T$93,HH$244+$FJ299-1)))</f>
        <v/>
      </c>
      <c r="HI299" s="479" t="str">
        <f ca="1">IF($FJ299+HI$244&gt;73,"",PRODUCT(INDEX($T$19:$T$93,HI$244):INDEX($T$19:$T$93,HI$244+$FJ299-1)))</f>
        <v/>
      </c>
      <c r="HJ299" s="479" t="str">
        <f ca="1">IF($FJ299+HJ$244&gt;73,"",PRODUCT(INDEX($T$19:$T$93,HJ$244):INDEX($T$19:$T$93,HJ$244+$FJ299-1)))</f>
        <v/>
      </c>
      <c r="HK299" s="479" t="str">
        <f ca="1">IF($FJ299+HK$244&gt;73,"",PRODUCT(INDEX($T$19:$T$93,HK$244):INDEX($T$19:$T$93,HK$244+$FJ299-1)))</f>
        <v/>
      </c>
      <c r="HL299" s="479" t="str">
        <f ca="1">IF($FJ299+HL$244&gt;73,"",PRODUCT(INDEX($T$19:$T$93,HL$244):INDEX($T$19:$T$93,HL$244+$FJ299-1)))</f>
        <v/>
      </c>
      <c r="HM299" s="479">
        <f ca="1">IF($FJ299+HM$244&gt;73,"",PRODUCT(INDEX($T$19:$T$93,HM$244):INDEX($T$19:$T$93,HM$244+$FJ299-1)))</f>
        <v>0.93820795011024882</v>
      </c>
      <c r="HN299" s="479">
        <f ca="1">IF($FJ299+HN$244&gt;73,"",PRODUCT(INDEX($T$19:$T$93,HN$244):INDEX($T$19:$T$93,HN$244+$FJ299-1)))</f>
        <v>0.92800969412124446</v>
      </c>
      <c r="HO299" s="479">
        <f ca="1">IF($FJ299+HO$244&gt;73,"",PRODUCT(INDEX($T$19:$T$93,HO$244):INDEX($T$19:$T$93,HO$244+$FJ299-1)))</f>
        <v>0.91618590182717929</v>
      </c>
      <c r="HP299" s="479">
        <f ca="1">IF($FJ299+HP$244&gt;73,"",PRODUCT(INDEX($T$19:$T$93,HP$244):INDEX($T$19:$T$93,HP$244+$FJ299-1)))</f>
        <v>0.90249897935495849</v>
      </c>
      <c r="HQ299" s="479">
        <f ca="1">IF($FJ299+HQ$244&gt;73,"",PRODUCT(INDEX($T$19:$T$93,HQ$244):INDEX($T$19:$T$93,HQ$244+$FJ299-1)))</f>
        <v>0.88668475314590145</v>
      </c>
      <c r="HR299" s="479">
        <f ca="1">IF($FJ299+HR$244&gt;73,"",PRODUCT(INDEX($T$19:$T$93,HR$244):INDEX($T$19:$T$93,HR$244+$FJ299-1)))</f>
        <v>0.86845275787888321</v>
      </c>
      <c r="HS299" s="479">
        <f ca="1">IF($FJ299+HS$244&gt;73,"",PRODUCT(INDEX($T$19:$T$93,HS$244):INDEX($T$19:$T$93,HS$244+$FJ299-1)))</f>
        <v>0.84748815933447841</v>
      </c>
      <c r="HT299" s="479">
        <f ca="1">IF($FJ299+HT$244&gt;73,"",PRODUCT(INDEX($T$19:$T$93,HT$244):INDEX($T$19:$T$93,HT$244+$FJ299-1)))</f>
        <v>0.82345605502947117</v>
      </c>
      <c r="HU299" s="479">
        <f ca="1">IF($FJ299+HU$244&gt;73,"",PRODUCT(INDEX($T$19:$T$93,HU$244):INDEX($T$19:$T$93,HU$244+$FJ299-1)))</f>
        <v>0.79600911831270293</v>
      </c>
      <c r="HV299" s="479">
        <f ca="1">IF($FJ299+HV$244&gt;73,"",PRODUCT(INDEX($T$19:$T$93,HV$244):INDEX($T$19:$T$93,HV$244+$FJ299-1)))</f>
        <v>0.76479980324683683</v>
      </c>
      <c r="HW299" s="479">
        <f ca="1">IF($FJ299+HW$244&gt;73,"",PRODUCT(INDEX($T$19:$T$93,HW$244):INDEX($T$19:$T$93,HW$244+$FJ299-1)))</f>
        <v>0.72949858463066597</v>
      </c>
      <c r="HX299" s="479">
        <f ca="1">IF($FJ299+HX$244&gt;73,"",PRODUCT(INDEX($T$19:$T$93,HX$244):INDEX($T$19:$T$93,HX$244+$FJ299-1)))</f>
        <v>0.68981992015366167</v>
      </c>
      <c r="HY299" s="479">
        <f ca="1">IF($FJ299+HY$244&gt;73,"",PRODUCT(INDEX($T$19:$T$93,HY$244):INDEX($T$19:$T$93,HY$244+$FJ299-1)))</f>
        <v>0.64555769715722566</v>
      </c>
      <c r="HZ299" s="479">
        <f ca="1">IF($FJ299+HZ$244&gt;73,"",PRODUCT(INDEX($T$19:$T$93,HZ$244):INDEX($T$19:$T$93,HZ$244+$FJ299-1)))</f>
        <v>0.5966317064535348</v>
      </c>
      <c r="IA299" s="479">
        <f ca="1">IF($FJ299+IA$244&gt;73,"",PRODUCT(INDEX($T$19:$T$93,IA$244):INDEX($T$19:$T$93,IA$244+$FJ299-1)))</f>
        <v>0.5431459191006488</v>
      </c>
      <c r="IB299" s="479">
        <f ca="1">IF($FJ299+IB$244&gt;73,"",PRODUCT(INDEX($T$19:$T$93,IB$244):INDEX($T$19:$T$93,IB$244+$FJ299-1)))</f>
        <v>0.48545766109590527</v>
      </c>
      <c r="IC299" s="479">
        <f ca="1">IF($FJ299+IC$244&gt;73,"",PRODUCT(INDEX($T$19:$T$93,IC$244):INDEX($T$19:$T$93,IC$244+$FJ299-1)))</f>
        <v>0.42425369938323165</v>
      </c>
      <c r="ID299" s="678">
        <f ca="1">IF($FJ299+ID$244&gt;73,"",PRODUCT(INDEX($T$19:$T$93,ID$244):INDEX($T$19:$T$93,ID$244+$FJ299-1)))</f>
        <v>0.36062422951056594</v>
      </c>
      <c r="IE299" s="250"/>
    </row>
    <row r="300" spans="9:239">
      <c r="I300" s="137"/>
      <c r="J300" s="375"/>
      <c r="K300" s="138"/>
      <c r="L300" s="1"/>
      <c r="M300" s="376"/>
      <c r="P300" s="375"/>
      <c r="S300" s="55"/>
      <c r="T300" s="375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374"/>
      <c r="AP300" s="1"/>
      <c r="AQ300" s="374"/>
      <c r="AR300" s="1"/>
      <c r="AS300" s="1"/>
      <c r="AT300" s="106"/>
      <c r="AU300" s="106"/>
      <c r="AV300" s="106"/>
      <c r="AW300" s="31"/>
      <c r="AX300" s="31"/>
      <c r="AY300" s="31"/>
      <c r="AZ300" s="31"/>
      <c r="BA300" s="154"/>
      <c r="BB300" s="154"/>
      <c r="BC300" s="106"/>
      <c r="BD300" s="106"/>
      <c r="BE300" s="106"/>
      <c r="BF300" s="107"/>
      <c r="BG300" s="107"/>
      <c r="BH300" s="107"/>
      <c r="BI300" s="105"/>
      <c r="BJ300" s="107"/>
      <c r="BK300" s="107"/>
      <c r="BL300" s="106"/>
      <c r="BM300" s="108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7"/>
      <c r="CE300" s="107"/>
      <c r="CF300" s="107"/>
      <c r="CG300" s="107"/>
      <c r="CH300" s="107"/>
      <c r="CI300" s="107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475"/>
      <c r="DI300" s="110"/>
      <c r="DJ300" s="110"/>
      <c r="DK300" s="475"/>
      <c r="DL300" s="53"/>
      <c r="DM300" s="54"/>
      <c r="DN300" s="54"/>
      <c r="DO300" s="54"/>
      <c r="DP300" s="54"/>
      <c r="DQ300" s="54"/>
      <c r="DR300" s="54"/>
      <c r="DS300" s="54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L300" s="55"/>
      <c r="EM300" s="1"/>
      <c r="EN300" s="106"/>
      <c r="EO300" s="105"/>
      <c r="EP300" s="1"/>
      <c r="EQ300" s="106"/>
      <c r="ER300" s="1"/>
      <c r="ES300" s="1"/>
      <c r="ET300" s="1"/>
      <c r="EU300" s="107"/>
      <c r="FJ300" s="673">
        <v>56</v>
      </c>
      <c r="FK300" s="479" t="str">
        <f ca="1">IF($FJ300+FK$244&gt;73,"",PRODUCT(INDEX($T$19:$T$93,FK$244):INDEX($T$19:$T$93,FK$244+$FJ300-1)))</f>
        <v/>
      </c>
      <c r="FL300" s="479" t="str">
        <f ca="1">IF($FJ300+FL$244&gt;73,"",PRODUCT(INDEX($T$19:$T$93,FL$244):INDEX($T$19:$T$93,FL$244+$FJ300-1)))</f>
        <v/>
      </c>
      <c r="FM300" s="479" t="str">
        <f ca="1">IF($FJ300+FM$244&gt;73,"",PRODUCT(INDEX($T$19:$T$93,FM$244):INDEX($T$19:$T$93,FM$244+$FJ300-1)))</f>
        <v/>
      </c>
      <c r="FN300" s="479" t="str">
        <f ca="1">IF($FJ300+FN$244&gt;73,"",PRODUCT(INDEX($T$19:$T$93,FN$244):INDEX($T$19:$T$93,FN$244+$FJ300-1)))</f>
        <v/>
      </c>
      <c r="FO300" s="479" t="str">
        <f ca="1">IF($FJ300+FO$244&gt;73,"",PRODUCT(INDEX($T$19:$T$93,FO$244):INDEX($T$19:$T$93,FO$244+$FJ300-1)))</f>
        <v/>
      </c>
      <c r="FP300" s="479" t="str">
        <f ca="1">IF($FJ300+FP$244&gt;73,"",PRODUCT(INDEX($T$19:$T$93,FP$244):INDEX($T$19:$T$93,FP$244+$FJ300-1)))</f>
        <v/>
      </c>
      <c r="FQ300" s="479" t="str">
        <f ca="1">IF($FJ300+FQ$244&gt;73,"",PRODUCT(INDEX($T$19:$T$93,FQ$244):INDEX($T$19:$T$93,FQ$244+$FJ300-1)))</f>
        <v/>
      </c>
      <c r="FR300" s="479" t="str">
        <f ca="1">IF($FJ300+FR$244&gt;73,"",PRODUCT(INDEX($T$19:$T$93,FR$244):INDEX($T$19:$T$93,FR$244+$FJ300-1)))</f>
        <v/>
      </c>
      <c r="FS300" s="479" t="str">
        <f ca="1">IF($FJ300+FS$244&gt;73,"",PRODUCT(INDEX($T$19:$T$93,FS$244):INDEX($T$19:$T$93,FS$244+$FJ300-1)))</f>
        <v/>
      </c>
      <c r="FT300" s="479" t="str">
        <f ca="1">IF($FJ300+FT$244&gt;73,"",PRODUCT(INDEX($T$19:$T$93,FT$244):INDEX($T$19:$T$93,FT$244+$FJ300-1)))</f>
        <v/>
      </c>
      <c r="FU300" s="479" t="str">
        <f ca="1">IF($FJ300+FU$244&gt;73,"",PRODUCT(INDEX($T$19:$T$93,FU$244):INDEX($T$19:$T$93,FU$244+$FJ300-1)))</f>
        <v/>
      </c>
      <c r="FV300" s="479" t="str">
        <f ca="1">IF($FJ300+FV$244&gt;73,"",PRODUCT(INDEX($T$19:$T$93,FV$244):INDEX($T$19:$T$93,FV$244+$FJ300-1)))</f>
        <v/>
      </c>
      <c r="FW300" s="479" t="str">
        <f ca="1">IF($FJ300+FW$244&gt;73,"",PRODUCT(INDEX($T$19:$T$93,FW$244):INDEX($T$19:$T$93,FW$244+$FJ300-1)))</f>
        <v/>
      </c>
      <c r="FX300" s="479" t="str">
        <f ca="1">IF($FJ300+FX$244&gt;73,"",PRODUCT(INDEX($T$19:$T$93,FX$244):INDEX($T$19:$T$93,FX$244+$FJ300-1)))</f>
        <v/>
      </c>
      <c r="FY300" s="479" t="str">
        <f ca="1">IF($FJ300+FY$244&gt;73,"",PRODUCT(INDEX($T$19:$T$93,FY$244):INDEX($T$19:$T$93,FY$244+$FJ300-1)))</f>
        <v/>
      </c>
      <c r="FZ300" s="479" t="str">
        <f ca="1">IF($FJ300+FZ$244&gt;73,"",PRODUCT(INDEX($T$19:$T$93,FZ$244):INDEX($T$19:$T$93,FZ$244+$FJ300-1)))</f>
        <v/>
      </c>
      <c r="GA300" s="479" t="str">
        <f ca="1">IF($FJ300+GA$244&gt;73,"",PRODUCT(INDEX($T$19:$T$93,GA$244):INDEX($T$19:$T$93,GA$244+$FJ300-1)))</f>
        <v/>
      </c>
      <c r="GB300" s="479" t="str">
        <f ca="1">IF($FJ300+GB$244&gt;73,"",PRODUCT(INDEX($T$19:$T$93,GB$244):INDEX($T$19:$T$93,GB$244+$FJ300-1)))</f>
        <v/>
      </c>
      <c r="GC300" s="479" t="str">
        <f ca="1">IF($FJ300+GC$244&gt;73,"",PRODUCT(INDEX($T$19:$T$93,GC$244):INDEX($T$19:$T$93,GC$244+$FJ300-1)))</f>
        <v/>
      </c>
      <c r="GD300" s="479" t="str">
        <f ca="1">IF($FJ300+GD$244&gt;73,"",PRODUCT(INDEX($T$19:$T$93,GD$244):INDEX($T$19:$T$93,GD$244+$FJ300-1)))</f>
        <v/>
      </c>
      <c r="GE300" s="479" t="str">
        <f ca="1">IF($FJ300+GE$244&gt;73,"",PRODUCT(INDEX($T$19:$T$93,GE$244):INDEX($T$19:$T$93,GE$244+$FJ300-1)))</f>
        <v/>
      </c>
      <c r="GF300" s="479" t="str">
        <f ca="1">IF($FJ300+GF$244&gt;73,"",PRODUCT(INDEX($T$19:$T$93,GF$244):INDEX($T$19:$T$93,GF$244+$FJ300-1)))</f>
        <v/>
      </c>
      <c r="GG300" s="479" t="str">
        <f ca="1">IF($FJ300+GG$244&gt;73,"",PRODUCT(INDEX($T$19:$T$93,GG$244):INDEX($T$19:$T$93,GG$244+$FJ300-1)))</f>
        <v/>
      </c>
      <c r="GH300" s="479" t="str">
        <f ca="1">IF($FJ300+GH$244&gt;73,"",PRODUCT(INDEX($T$19:$T$93,GH$244):INDEX($T$19:$T$93,GH$244+$FJ300-1)))</f>
        <v/>
      </c>
      <c r="GI300" s="479" t="str">
        <f ca="1">IF($FJ300+GI$244&gt;73,"",PRODUCT(INDEX($T$19:$T$93,GI$244):INDEX($T$19:$T$93,GI$244+$FJ300-1)))</f>
        <v/>
      </c>
      <c r="GJ300" s="479" t="str">
        <f ca="1">IF($FJ300+GJ$244&gt;73,"",PRODUCT(INDEX($T$19:$T$93,GJ$244):INDEX($T$19:$T$93,GJ$244+$FJ300-1)))</f>
        <v/>
      </c>
      <c r="GK300" s="479" t="str">
        <f ca="1">IF($FJ300+GK$244&gt;73,"",PRODUCT(INDEX($T$19:$T$93,GK$244):INDEX($T$19:$T$93,GK$244+$FJ300-1)))</f>
        <v/>
      </c>
      <c r="GL300" s="479" t="str">
        <f ca="1">IF($FJ300+GL$244&gt;73,"",PRODUCT(INDEX($T$19:$T$93,GL$244):INDEX($T$19:$T$93,GL$244+$FJ300-1)))</f>
        <v/>
      </c>
      <c r="GM300" s="479" t="str">
        <f ca="1">IF($FJ300+GM$244&gt;73,"",PRODUCT(INDEX($T$19:$T$93,GM$244):INDEX($T$19:$T$93,GM$244+$FJ300-1)))</f>
        <v/>
      </c>
      <c r="GN300" s="479" t="str">
        <f ca="1">IF($FJ300+GN$244&gt;73,"",PRODUCT(INDEX($T$19:$T$93,GN$244):INDEX($T$19:$T$93,GN$244+$FJ300-1)))</f>
        <v/>
      </c>
      <c r="GO300" s="479" t="str">
        <f ca="1">IF($FJ300+GO$244&gt;73,"",PRODUCT(INDEX($T$19:$T$93,GO$244):INDEX($T$19:$T$93,GO$244+$FJ300-1)))</f>
        <v/>
      </c>
      <c r="GP300" s="479" t="str">
        <f ca="1">IF($FJ300+GP$244&gt;73,"",PRODUCT(INDEX($T$19:$T$93,GP$244):INDEX($T$19:$T$93,GP$244+$FJ300-1)))</f>
        <v/>
      </c>
      <c r="GQ300" s="479" t="str">
        <f ca="1">IF($FJ300+GQ$244&gt;73,"",PRODUCT(INDEX($T$19:$T$93,GQ$244):INDEX($T$19:$T$93,GQ$244+$FJ300-1)))</f>
        <v/>
      </c>
      <c r="GR300" s="479" t="str">
        <f ca="1">IF($FJ300+GR$244&gt;73,"",PRODUCT(INDEX($T$19:$T$93,GR$244):INDEX($T$19:$T$93,GR$244+$FJ300-1)))</f>
        <v/>
      </c>
      <c r="GS300" s="479" t="str">
        <f ca="1">IF($FJ300+GS$244&gt;73,"",PRODUCT(INDEX($T$19:$T$93,GS$244):INDEX($T$19:$T$93,GS$244+$FJ300-1)))</f>
        <v/>
      </c>
      <c r="GT300" s="479" t="str">
        <f ca="1">IF($FJ300+GT$244&gt;73,"",PRODUCT(INDEX($T$19:$T$93,GT$244):INDEX($T$19:$T$93,GT$244+$FJ300-1)))</f>
        <v/>
      </c>
      <c r="GU300" s="479" t="str">
        <f ca="1">IF($FJ300+GU$244&gt;73,"",PRODUCT(INDEX($T$19:$T$93,GU$244):INDEX($T$19:$T$93,GU$244+$FJ300-1)))</f>
        <v/>
      </c>
      <c r="GV300" s="479" t="str">
        <f ca="1">IF($FJ300+GV$244&gt;73,"",PRODUCT(INDEX($T$19:$T$93,GV$244):INDEX($T$19:$T$93,GV$244+$FJ300-1)))</f>
        <v/>
      </c>
      <c r="GW300" s="479" t="str">
        <f ca="1">IF($FJ300+GW$244&gt;73,"",PRODUCT(INDEX($T$19:$T$93,GW$244):INDEX($T$19:$T$93,GW$244+$FJ300-1)))</f>
        <v/>
      </c>
      <c r="GX300" s="479" t="str">
        <f ca="1">IF($FJ300+GX$244&gt;73,"",PRODUCT(INDEX($T$19:$T$93,GX$244):INDEX($T$19:$T$93,GX$244+$FJ300-1)))</f>
        <v/>
      </c>
      <c r="GY300" s="479" t="str">
        <f ca="1">IF($FJ300+GY$244&gt;73,"",PRODUCT(INDEX($T$19:$T$93,GY$244):INDEX($T$19:$T$93,GY$244+$FJ300-1)))</f>
        <v/>
      </c>
      <c r="GZ300" s="479" t="str">
        <f ca="1">IF($FJ300+GZ$244&gt;73,"",PRODUCT(INDEX($T$19:$T$93,GZ$244):INDEX($T$19:$T$93,GZ$244+$FJ300-1)))</f>
        <v/>
      </c>
      <c r="HA300" s="479" t="str">
        <f ca="1">IF($FJ300+HA$244&gt;73,"",PRODUCT(INDEX($T$19:$T$93,HA$244):INDEX($T$19:$T$93,HA$244+$FJ300-1)))</f>
        <v/>
      </c>
      <c r="HB300" s="479" t="str">
        <f ca="1">IF($FJ300+HB$244&gt;73,"",PRODUCT(INDEX($T$19:$T$93,HB$244):INDEX($T$19:$T$93,HB$244+$FJ300-1)))</f>
        <v/>
      </c>
      <c r="HC300" s="479" t="str">
        <f ca="1">IF($FJ300+HC$244&gt;73,"",PRODUCT(INDEX($T$19:$T$93,HC$244):INDEX($T$19:$T$93,HC$244+$FJ300-1)))</f>
        <v/>
      </c>
      <c r="HD300" s="479" t="str">
        <f ca="1">IF($FJ300+HD$244&gt;73,"",PRODUCT(INDEX($T$19:$T$93,HD$244):INDEX($T$19:$T$93,HD$244+$FJ300-1)))</f>
        <v/>
      </c>
      <c r="HE300" s="479" t="str">
        <f ca="1">IF($FJ300+HE$244&gt;73,"",PRODUCT(INDEX($T$19:$T$93,HE$244):INDEX($T$19:$T$93,HE$244+$FJ300-1)))</f>
        <v/>
      </c>
      <c r="HF300" s="479" t="str">
        <f ca="1">IF($FJ300+HF$244&gt;73,"",PRODUCT(INDEX($T$19:$T$93,HF$244):INDEX($T$19:$T$93,HF$244+$FJ300-1)))</f>
        <v/>
      </c>
      <c r="HG300" s="479" t="str">
        <f ca="1">IF($FJ300+HG$244&gt;73,"",PRODUCT(INDEX($T$19:$T$93,HG$244):INDEX($T$19:$T$93,HG$244+$FJ300-1)))</f>
        <v/>
      </c>
      <c r="HH300" s="479" t="str">
        <f ca="1">IF($FJ300+HH$244&gt;73,"",PRODUCT(INDEX($T$19:$T$93,HH$244):INDEX($T$19:$T$93,HH$244+$FJ300-1)))</f>
        <v/>
      </c>
      <c r="HI300" s="479" t="str">
        <f ca="1">IF($FJ300+HI$244&gt;73,"",PRODUCT(INDEX($T$19:$T$93,HI$244):INDEX($T$19:$T$93,HI$244+$FJ300-1)))</f>
        <v/>
      </c>
      <c r="HJ300" s="479" t="str">
        <f ca="1">IF($FJ300+HJ$244&gt;73,"",PRODUCT(INDEX($T$19:$T$93,HJ$244):INDEX($T$19:$T$93,HJ$244+$FJ300-1)))</f>
        <v/>
      </c>
      <c r="HK300" s="479" t="str">
        <f ca="1">IF($FJ300+HK$244&gt;73,"",PRODUCT(INDEX($T$19:$T$93,HK$244):INDEX($T$19:$T$93,HK$244+$FJ300-1)))</f>
        <v/>
      </c>
      <c r="HL300" s="479" t="str">
        <f ca="1">IF($FJ300+HL$244&gt;73,"",PRODUCT(INDEX($T$19:$T$93,HL$244):INDEX($T$19:$T$93,HL$244+$FJ300-1)))</f>
        <v/>
      </c>
      <c r="HM300" s="479" t="str">
        <f ca="1">IF($FJ300+HM$244&gt;73,"",PRODUCT(INDEX($T$19:$T$93,HM$244):INDEX($T$19:$T$93,HM$244+$FJ300-1)))</f>
        <v/>
      </c>
      <c r="HN300" s="479">
        <f ca="1">IF($FJ300+HN$244&gt;73,"",PRODUCT(INDEX($T$19:$T$93,HN$244):INDEX($T$19:$T$93,HN$244+$FJ300-1)))</f>
        <v>0.92800789246780391</v>
      </c>
      <c r="HO300" s="479">
        <f ca="1">IF($FJ300+HO$244&gt;73,"",PRODUCT(INDEX($T$19:$T$93,HO$244):INDEX($T$19:$T$93,HO$244+$FJ300-1)))</f>
        <v>0.91618382147565403</v>
      </c>
      <c r="HP300" s="479">
        <f ca="1">IF($FJ300+HP$244&gt;73,"",PRODUCT(INDEX($T$19:$T$93,HP$244):INDEX($T$19:$T$93,HP$244+$FJ300-1)))</f>
        <v>0.90249658254119336</v>
      </c>
      <c r="HQ300" s="479">
        <f ca="1">IF($FJ300+HQ$244&gt;73,"",PRODUCT(INDEX($T$19:$T$93,HQ$244):INDEX($T$19:$T$93,HQ$244+$FJ300-1)))</f>
        <v>0.88668199897210054</v>
      </c>
      <c r="HR300" s="479">
        <f ca="1">IF($FJ300+HR$244&gt;73,"",PRODUCT(INDEX($T$19:$T$93,HR$244):INDEX($T$19:$T$93,HR$244+$FJ300-1)))</f>
        <v>0.8684496028530081</v>
      </c>
      <c r="HS300" s="479">
        <f ca="1">IF($FJ300+HS$244&gt;73,"",PRODUCT(INDEX($T$19:$T$93,HS$244):INDEX($T$19:$T$93,HS$244+$FJ300-1)))</f>
        <v>0.84748455831809411</v>
      </c>
      <c r="HT300" s="479">
        <f ca="1">IF($FJ300+HT$244&gt;73,"",PRODUCT(INDEX($T$19:$T$93,HT$244):INDEX($T$19:$T$93,HT$244+$FJ300-1)))</f>
        <v>0.82345196273629484</v>
      </c>
      <c r="HU300" s="479">
        <f ca="1">IF($FJ300+HU$244&gt;73,"",PRODUCT(INDEX($T$19:$T$93,HU$244):INDEX($T$19:$T$93,HU$244+$FJ300-1)))</f>
        <v>0.7960044915273834</v>
      </c>
      <c r="HV300" s="479">
        <f ca="1">IF($FJ300+HV$244&gt;73,"",PRODUCT(INDEX($T$19:$T$93,HV$244):INDEX($T$19:$T$93,HV$244+$FJ300-1)))</f>
        <v>0.7647946039545982</v>
      </c>
      <c r="HW300" s="479">
        <f ca="1">IF($FJ300+HW$244&gt;73,"",PRODUCT(INDEX($T$19:$T$93,HW$244):INDEX($T$19:$T$93,HW$244+$FJ300-1)))</f>
        <v>0.72949278425324038</v>
      </c>
      <c r="HX300" s="479">
        <f ca="1">IF($FJ300+HX$244&gt;73,"",PRODUCT(INDEX($T$19:$T$93,HX$244):INDEX($T$19:$T$93,HX$244+$FJ300-1)))</f>
        <v>0.68981350505882155</v>
      </c>
      <c r="HY300" s="479">
        <f ca="1">IF($FJ300+HY$244&gt;73,"",PRODUCT(INDEX($T$19:$T$93,HY$244):INDEX($T$19:$T$93,HY$244+$FJ300-1)))</f>
        <v>0.64555067552295475</v>
      </c>
      <c r="HZ300" s="479">
        <f ca="1">IF($FJ300+HZ$244&gt;73,"",PRODUCT(INDEX($T$19:$T$93,HZ$244):INDEX($T$19:$T$93,HZ$244+$FJ300-1)))</f>
        <v>0.59662411638776958</v>
      </c>
      <c r="IA300" s="479">
        <f ca="1">IF($FJ300+IA$244&gt;73,"",PRODUCT(INDEX($T$19:$T$93,IA$244):INDEX($T$19:$T$93,IA$244+$FJ300-1)))</f>
        <v>0.54313783759805567</v>
      </c>
      <c r="IB300" s="479">
        <f ca="1">IF($FJ300+IB$244&gt;73,"",PRODUCT(INDEX($T$19:$T$93,IB$244):INDEX($T$19:$T$93,IB$244+$FJ300-1)))</f>
        <v>0.48544921290527798</v>
      </c>
      <c r="IC300" s="479">
        <f ca="1">IF($FJ300+IC$244&gt;73,"",PRODUCT(INDEX($T$19:$T$93,IC$244):INDEX($T$19:$T$93,IC$244+$FJ300-1)))</f>
        <v>0.42424506412855206</v>
      </c>
      <c r="ID300" s="678">
        <f ca="1">IF($FJ300+ID$244&gt;73,"",PRODUCT(INDEX($T$19:$T$93,ID$244):INDEX($T$19:$T$93,ID$244+$FJ300-1)))</f>
        <v>0.3606156444757469</v>
      </c>
      <c r="IE300" s="250"/>
    </row>
    <row r="301" spans="9:239">
      <c r="I301" s="137"/>
      <c r="J301" s="375"/>
      <c r="K301" s="138"/>
      <c r="L301" s="1"/>
      <c r="M301" s="376"/>
      <c r="P301" s="375"/>
      <c r="S301" s="55"/>
      <c r="T301" s="375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374"/>
      <c r="AP301" s="1"/>
      <c r="AQ301" s="374"/>
      <c r="AR301" s="1"/>
      <c r="AS301" s="1"/>
      <c r="AT301" s="106"/>
      <c r="AU301" s="106"/>
      <c r="AV301" s="106"/>
      <c r="AW301" s="31"/>
      <c r="AX301" s="31"/>
      <c r="AY301" s="31"/>
      <c r="AZ301" s="31"/>
      <c r="BA301" s="154"/>
      <c r="BB301" s="154"/>
      <c r="BC301" s="106"/>
      <c r="BD301" s="106"/>
      <c r="BE301" s="106"/>
      <c r="BF301" s="107"/>
      <c r="BG301" s="107"/>
      <c r="BH301" s="107"/>
      <c r="BI301" s="105"/>
      <c r="BJ301" s="107"/>
      <c r="BK301" s="107"/>
      <c r="BL301" s="106"/>
      <c r="BM301" s="108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7"/>
      <c r="CE301" s="107"/>
      <c r="CF301" s="107"/>
      <c r="CG301" s="107"/>
      <c r="CH301" s="107"/>
      <c r="CI301" s="107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475"/>
      <c r="DI301" s="110"/>
      <c r="DJ301" s="110"/>
      <c r="DK301" s="475"/>
      <c r="DL301" s="53"/>
      <c r="DM301" s="54"/>
      <c r="DN301" s="54"/>
      <c r="DO301" s="54"/>
      <c r="DP301" s="54"/>
      <c r="DQ301" s="54"/>
      <c r="DR301" s="54"/>
      <c r="DS301" s="54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L301" s="55"/>
      <c r="EM301" s="1"/>
      <c r="EN301" s="106"/>
      <c r="EO301" s="105"/>
      <c r="EP301" s="1"/>
      <c r="EQ301" s="106"/>
      <c r="ER301" s="1"/>
      <c r="ES301" s="1"/>
      <c r="ET301" s="1"/>
      <c r="EU301" s="107"/>
      <c r="FJ301" s="673">
        <v>57</v>
      </c>
      <c r="FK301" s="479" t="str">
        <f ca="1">IF($FJ301+FK$244&gt;73,"",PRODUCT(INDEX($T$19:$T$93,FK$244):INDEX($T$19:$T$93,FK$244+$FJ301-1)))</f>
        <v/>
      </c>
      <c r="FL301" s="479" t="str">
        <f ca="1">IF($FJ301+FL$244&gt;73,"",PRODUCT(INDEX($T$19:$T$93,FL$244):INDEX($T$19:$T$93,FL$244+$FJ301-1)))</f>
        <v/>
      </c>
      <c r="FM301" s="479" t="str">
        <f ca="1">IF($FJ301+FM$244&gt;73,"",PRODUCT(INDEX($T$19:$T$93,FM$244):INDEX($T$19:$T$93,FM$244+$FJ301-1)))</f>
        <v/>
      </c>
      <c r="FN301" s="479" t="str">
        <f ca="1">IF($FJ301+FN$244&gt;73,"",PRODUCT(INDEX($T$19:$T$93,FN$244):INDEX($T$19:$T$93,FN$244+$FJ301-1)))</f>
        <v/>
      </c>
      <c r="FO301" s="479" t="str">
        <f ca="1">IF($FJ301+FO$244&gt;73,"",PRODUCT(INDEX($T$19:$T$93,FO$244):INDEX($T$19:$T$93,FO$244+$FJ301-1)))</f>
        <v/>
      </c>
      <c r="FP301" s="479" t="str">
        <f ca="1">IF($FJ301+FP$244&gt;73,"",PRODUCT(INDEX($T$19:$T$93,FP$244):INDEX($T$19:$T$93,FP$244+$FJ301-1)))</f>
        <v/>
      </c>
      <c r="FQ301" s="479" t="str">
        <f ca="1">IF($FJ301+FQ$244&gt;73,"",PRODUCT(INDEX($T$19:$T$93,FQ$244):INDEX($T$19:$T$93,FQ$244+$FJ301-1)))</f>
        <v/>
      </c>
      <c r="FR301" s="479" t="str">
        <f ca="1">IF($FJ301+FR$244&gt;73,"",PRODUCT(INDEX($T$19:$T$93,FR$244):INDEX($T$19:$T$93,FR$244+$FJ301-1)))</f>
        <v/>
      </c>
      <c r="FS301" s="479" t="str">
        <f ca="1">IF($FJ301+FS$244&gt;73,"",PRODUCT(INDEX($T$19:$T$93,FS$244):INDEX($T$19:$T$93,FS$244+$FJ301-1)))</f>
        <v/>
      </c>
      <c r="FT301" s="479" t="str">
        <f ca="1">IF($FJ301+FT$244&gt;73,"",PRODUCT(INDEX($T$19:$T$93,FT$244):INDEX($T$19:$T$93,FT$244+$FJ301-1)))</f>
        <v/>
      </c>
      <c r="FU301" s="479" t="str">
        <f ca="1">IF($FJ301+FU$244&gt;73,"",PRODUCT(INDEX($T$19:$T$93,FU$244):INDEX($T$19:$T$93,FU$244+$FJ301-1)))</f>
        <v/>
      </c>
      <c r="FV301" s="479" t="str">
        <f ca="1">IF($FJ301+FV$244&gt;73,"",PRODUCT(INDEX($T$19:$T$93,FV$244):INDEX($T$19:$T$93,FV$244+$FJ301-1)))</f>
        <v/>
      </c>
      <c r="FW301" s="479" t="str">
        <f ca="1">IF($FJ301+FW$244&gt;73,"",PRODUCT(INDEX($T$19:$T$93,FW$244):INDEX($T$19:$T$93,FW$244+$FJ301-1)))</f>
        <v/>
      </c>
      <c r="FX301" s="479" t="str">
        <f ca="1">IF($FJ301+FX$244&gt;73,"",PRODUCT(INDEX($T$19:$T$93,FX$244):INDEX($T$19:$T$93,FX$244+$FJ301-1)))</f>
        <v/>
      </c>
      <c r="FY301" s="479" t="str">
        <f ca="1">IF($FJ301+FY$244&gt;73,"",PRODUCT(INDEX($T$19:$T$93,FY$244):INDEX($T$19:$T$93,FY$244+$FJ301-1)))</f>
        <v/>
      </c>
      <c r="FZ301" s="479" t="str">
        <f ca="1">IF($FJ301+FZ$244&gt;73,"",PRODUCT(INDEX($T$19:$T$93,FZ$244):INDEX($T$19:$T$93,FZ$244+$FJ301-1)))</f>
        <v/>
      </c>
      <c r="GA301" s="479" t="str">
        <f ca="1">IF($FJ301+GA$244&gt;73,"",PRODUCT(INDEX($T$19:$T$93,GA$244):INDEX($T$19:$T$93,GA$244+$FJ301-1)))</f>
        <v/>
      </c>
      <c r="GB301" s="479" t="str">
        <f ca="1">IF($FJ301+GB$244&gt;73,"",PRODUCT(INDEX($T$19:$T$93,GB$244):INDEX($T$19:$T$93,GB$244+$FJ301-1)))</f>
        <v/>
      </c>
      <c r="GC301" s="479" t="str">
        <f ca="1">IF($FJ301+GC$244&gt;73,"",PRODUCT(INDEX($T$19:$T$93,GC$244):INDEX($T$19:$T$93,GC$244+$FJ301-1)))</f>
        <v/>
      </c>
      <c r="GD301" s="479" t="str">
        <f ca="1">IF($FJ301+GD$244&gt;73,"",PRODUCT(INDEX($T$19:$T$93,GD$244):INDEX($T$19:$T$93,GD$244+$FJ301-1)))</f>
        <v/>
      </c>
      <c r="GE301" s="479" t="str">
        <f ca="1">IF($FJ301+GE$244&gt;73,"",PRODUCT(INDEX($T$19:$T$93,GE$244):INDEX($T$19:$T$93,GE$244+$FJ301-1)))</f>
        <v/>
      </c>
      <c r="GF301" s="479" t="str">
        <f ca="1">IF($FJ301+GF$244&gt;73,"",PRODUCT(INDEX($T$19:$T$93,GF$244):INDEX($T$19:$T$93,GF$244+$FJ301-1)))</f>
        <v/>
      </c>
      <c r="GG301" s="479" t="str">
        <f ca="1">IF($FJ301+GG$244&gt;73,"",PRODUCT(INDEX($T$19:$T$93,GG$244):INDEX($T$19:$T$93,GG$244+$FJ301-1)))</f>
        <v/>
      </c>
      <c r="GH301" s="479" t="str">
        <f ca="1">IF($FJ301+GH$244&gt;73,"",PRODUCT(INDEX($T$19:$T$93,GH$244):INDEX($T$19:$T$93,GH$244+$FJ301-1)))</f>
        <v/>
      </c>
      <c r="GI301" s="479" t="str">
        <f ca="1">IF($FJ301+GI$244&gt;73,"",PRODUCT(INDEX($T$19:$T$93,GI$244):INDEX($T$19:$T$93,GI$244+$FJ301-1)))</f>
        <v/>
      </c>
      <c r="GJ301" s="479" t="str">
        <f ca="1">IF($FJ301+GJ$244&gt;73,"",PRODUCT(INDEX($T$19:$T$93,GJ$244):INDEX($T$19:$T$93,GJ$244+$FJ301-1)))</f>
        <v/>
      </c>
      <c r="GK301" s="479" t="str">
        <f ca="1">IF($FJ301+GK$244&gt;73,"",PRODUCT(INDEX($T$19:$T$93,GK$244):INDEX($T$19:$T$93,GK$244+$FJ301-1)))</f>
        <v/>
      </c>
      <c r="GL301" s="479" t="str">
        <f ca="1">IF($FJ301+GL$244&gt;73,"",PRODUCT(INDEX($T$19:$T$93,GL$244):INDEX($T$19:$T$93,GL$244+$FJ301-1)))</f>
        <v/>
      </c>
      <c r="GM301" s="479" t="str">
        <f ca="1">IF($FJ301+GM$244&gt;73,"",PRODUCT(INDEX($T$19:$T$93,GM$244):INDEX($T$19:$T$93,GM$244+$FJ301-1)))</f>
        <v/>
      </c>
      <c r="GN301" s="479" t="str">
        <f ca="1">IF($FJ301+GN$244&gt;73,"",PRODUCT(INDEX($T$19:$T$93,GN$244):INDEX($T$19:$T$93,GN$244+$FJ301-1)))</f>
        <v/>
      </c>
      <c r="GO301" s="479" t="str">
        <f ca="1">IF($FJ301+GO$244&gt;73,"",PRODUCT(INDEX($T$19:$T$93,GO$244):INDEX($T$19:$T$93,GO$244+$FJ301-1)))</f>
        <v/>
      </c>
      <c r="GP301" s="479" t="str">
        <f ca="1">IF($FJ301+GP$244&gt;73,"",PRODUCT(INDEX($T$19:$T$93,GP$244):INDEX($T$19:$T$93,GP$244+$FJ301-1)))</f>
        <v/>
      </c>
      <c r="GQ301" s="479" t="str">
        <f ca="1">IF($FJ301+GQ$244&gt;73,"",PRODUCT(INDEX($T$19:$T$93,GQ$244):INDEX($T$19:$T$93,GQ$244+$FJ301-1)))</f>
        <v/>
      </c>
      <c r="GR301" s="479" t="str">
        <f ca="1">IF($FJ301+GR$244&gt;73,"",PRODUCT(INDEX($T$19:$T$93,GR$244):INDEX($T$19:$T$93,GR$244+$FJ301-1)))</f>
        <v/>
      </c>
      <c r="GS301" s="479" t="str">
        <f ca="1">IF($FJ301+GS$244&gt;73,"",PRODUCT(INDEX($T$19:$T$93,GS$244):INDEX($T$19:$T$93,GS$244+$FJ301-1)))</f>
        <v/>
      </c>
      <c r="GT301" s="479" t="str">
        <f ca="1">IF($FJ301+GT$244&gt;73,"",PRODUCT(INDEX($T$19:$T$93,GT$244):INDEX($T$19:$T$93,GT$244+$FJ301-1)))</f>
        <v/>
      </c>
      <c r="GU301" s="479" t="str">
        <f ca="1">IF($FJ301+GU$244&gt;73,"",PRODUCT(INDEX($T$19:$T$93,GU$244):INDEX($T$19:$T$93,GU$244+$FJ301-1)))</f>
        <v/>
      </c>
      <c r="GV301" s="479" t="str">
        <f ca="1">IF($FJ301+GV$244&gt;73,"",PRODUCT(INDEX($T$19:$T$93,GV$244):INDEX($T$19:$T$93,GV$244+$FJ301-1)))</f>
        <v/>
      </c>
      <c r="GW301" s="479" t="str">
        <f ca="1">IF($FJ301+GW$244&gt;73,"",PRODUCT(INDEX($T$19:$T$93,GW$244):INDEX($T$19:$T$93,GW$244+$FJ301-1)))</f>
        <v/>
      </c>
      <c r="GX301" s="479" t="str">
        <f ca="1">IF($FJ301+GX$244&gt;73,"",PRODUCT(INDEX($T$19:$T$93,GX$244):INDEX($T$19:$T$93,GX$244+$FJ301-1)))</f>
        <v/>
      </c>
      <c r="GY301" s="479" t="str">
        <f ca="1">IF($FJ301+GY$244&gt;73,"",PRODUCT(INDEX($T$19:$T$93,GY$244):INDEX($T$19:$T$93,GY$244+$FJ301-1)))</f>
        <v/>
      </c>
      <c r="GZ301" s="479" t="str">
        <f ca="1">IF($FJ301+GZ$244&gt;73,"",PRODUCT(INDEX($T$19:$T$93,GZ$244):INDEX($T$19:$T$93,GZ$244+$FJ301-1)))</f>
        <v/>
      </c>
      <c r="HA301" s="479" t="str">
        <f ca="1">IF($FJ301+HA$244&gt;73,"",PRODUCT(INDEX($T$19:$T$93,HA$244):INDEX($T$19:$T$93,HA$244+$FJ301-1)))</f>
        <v/>
      </c>
      <c r="HB301" s="479" t="str">
        <f ca="1">IF($FJ301+HB$244&gt;73,"",PRODUCT(INDEX($T$19:$T$93,HB$244):INDEX($T$19:$T$93,HB$244+$FJ301-1)))</f>
        <v/>
      </c>
      <c r="HC301" s="479" t="str">
        <f ca="1">IF($FJ301+HC$244&gt;73,"",PRODUCT(INDEX($T$19:$T$93,HC$244):INDEX($T$19:$T$93,HC$244+$FJ301-1)))</f>
        <v/>
      </c>
      <c r="HD301" s="479" t="str">
        <f ca="1">IF($FJ301+HD$244&gt;73,"",PRODUCT(INDEX($T$19:$T$93,HD$244):INDEX($T$19:$T$93,HD$244+$FJ301-1)))</f>
        <v/>
      </c>
      <c r="HE301" s="479" t="str">
        <f ca="1">IF($FJ301+HE$244&gt;73,"",PRODUCT(INDEX($T$19:$T$93,HE$244):INDEX($T$19:$T$93,HE$244+$FJ301-1)))</f>
        <v/>
      </c>
      <c r="HF301" s="479" t="str">
        <f ca="1">IF($FJ301+HF$244&gt;73,"",PRODUCT(INDEX($T$19:$T$93,HF$244):INDEX($T$19:$T$93,HF$244+$FJ301-1)))</f>
        <v/>
      </c>
      <c r="HG301" s="479" t="str">
        <f ca="1">IF($FJ301+HG$244&gt;73,"",PRODUCT(INDEX($T$19:$T$93,HG$244):INDEX($T$19:$T$93,HG$244+$FJ301-1)))</f>
        <v/>
      </c>
      <c r="HH301" s="479" t="str">
        <f ca="1">IF($FJ301+HH$244&gt;73,"",PRODUCT(INDEX($T$19:$T$93,HH$244):INDEX($T$19:$T$93,HH$244+$FJ301-1)))</f>
        <v/>
      </c>
      <c r="HI301" s="479" t="str">
        <f ca="1">IF($FJ301+HI$244&gt;73,"",PRODUCT(INDEX($T$19:$T$93,HI$244):INDEX($T$19:$T$93,HI$244+$FJ301-1)))</f>
        <v/>
      </c>
      <c r="HJ301" s="479" t="str">
        <f ca="1">IF($FJ301+HJ$244&gt;73,"",PRODUCT(INDEX($T$19:$T$93,HJ$244):INDEX($T$19:$T$93,HJ$244+$FJ301-1)))</f>
        <v/>
      </c>
      <c r="HK301" s="479" t="str">
        <f ca="1">IF($FJ301+HK$244&gt;73,"",PRODUCT(INDEX($T$19:$T$93,HK$244):INDEX($T$19:$T$93,HK$244+$FJ301-1)))</f>
        <v/>
      </c>
      <c r="HL301" s="479" t="str">
        <f ca="1">IF($FJ301+HL$244&gt;73,"",PRODUCT(INDEX($T$19:$T$93,HL$244):INDEX($T$19:$T$93,HL$244+$FJ301-1)))</f>
        <v/>
      </c>
      <c r="HM301" s="479" t="str">
        <f ca="1">IF($FJ301+HM$244&gt;73,"",PRODUCT(INDEX($T$19:$T$93,HM$244):INDEX($T$19:$T$93,HM$244+$FJ301-1)))</f>
        <v/>
      </c>
      <c r="HN301" s="479" t="str">
        <f ca="1">IF($FJ301+HN$244&gt;73,"",PRODUCT(INDEX($T$19:$T$93,HN$244):INDEX($T$19:$T$93,HN$244+$FJ301-1)))</f>
        <v/>
      </c>
      <c r="HO301" s="479">
        <f ca="1">IF($FJ301+HO$244&gt;73,"",PRODUCT(INDEX($T$19:$T$93,HO$244):INDEX($T$19:$T$93,HO$244+$FJ301-1)))</f>
        <v>0.91618204278115922</v>
      </c>
      <c r="HP301" s="479">
        <f ca="1">IF($FJ301+HP$244&gt;73,"",PRODUCT(INDEX($T$19:$T$93,HP$244):INDEX($T$19:$T$93,HP$244+$FJ301-1)))</f>
        <v>0.90249453327353024</v>
      </c>
      <c r="HQ301" s="479">
        <f ca="1">IF($FJ301+HQ$244&gt;73,"",PRODUCT(INDEX($T$19:$T$93,HQ$244):INDEX($T$19:$T$93,HQ$244+$FJ301-1)))</f>
        <v>0.88667964416431788</v>
      </c>
      <c r="HR301" s="479">
        <f ca="1">IF($FJ301+HR$244&gt;73,"",PRODUCT(INDEX($T$19:$T$93,HR$244):INDEX($T$19:$T$93,HR$244+$FJ301-1)))</f>
        <v>0.86844690532027713</v>
      </c>
      <c r="HS301" s="479">
        <f ca="1">IF($FJ301+HS$244&gt;73,"",PRODUCT(INDEX($T$19:$T$93,HS$244):INDEX($T$19:$T$93,HS$244+$FJ301-1)))</f>
        <v>0.8474814794681671</v>
      </c>
      <c r="HT301" s="479">
        <f ca="1">IF($FJ301+HT$244&gt;73,"",PRODUCT(INDEX($T$19:$T$93,HT$244):INDEX($T$19:$T$93,HT$244+$FJ301-1)))</f>
        <v>0.8234484638508216</v>
      </c>
      <c r="HU301" s="479">
        <f ca="1">IF($FJ301+HU$244&gt;73,"",PRODUCT(INDEX($T$19:$T$93,HU$244):INDEX($T$19:$T$93,HU$244+$FJ301-1)))</f>
        <v>0.7960005356590294</v>
      </c>
      <c r="HV301" s="479">
        <f ca="1">IF($FJ301+HV$244&gt;73,"",PRODUCT(INDEX($T$19:$T$93,HV$244):INDEX($T$19:$T$93,HV$244+$FJ301-1)))</f>
        <v>0.76479015860294997</v>
      </c>
      <c r="HW301" s="479">
        <f ca="1">IF($FJ301+HW$244&gt;73,"",PRODUCT(INDEX($T$19:$T$93,HW$244):INDEX($T$19:$T$93,HW$244+$FJ301-1)))</f>
        <v>0.72948782498657316</v>
      </c>
      <c r="HX301" s="479">
        <f ca="1">IF($FJ301+HX$244&gt;73,"",PRODUCT(INDEX($T$19:$T$93,HX$244):INDEX($T$19:$T$93,HX$244+$FJ301-1)))</f>
        <v>0.68980802022476306</v>
      </c>
      <c r="HY301" s="479">
        <f ca="1">IF($FJ301+HY$244&gt;73,"",PRODUCT(INDEX($T$19:$T$93,HY$244):INDEX($T$19:$T$93,HY$244+$FJ301-1)))</f>
        <v>0.64554467211730271</v>
      </c>
      <c r="HZ301" s="479">
        <f ca="1">IF($FJ301+HZ$244&gt;73,"",PRODUCT(INDEX($T$19:$T$93,HZ$244):INDEX($T$19:$T$93,HZ$244+$FJ301-1)))</f>
        <v>0.59661762699671905</v>
      </c>
      <c r="IA301" s="479">
        <f ca="1">IF($FJ301+IA$244&gt;73,"",PRODUCT(INDEX($T$19:$T$93,IA$244):INDEX($T$19:$T$93,IA$244+$FJ301-1)))</f>
        <v>0.54313092805593388</v>
      </c>
      <c r="IB301" s="479">
        <f ca="1">IF($FJ301+IB$244&gt;73,"",PRODUCT(INDEX($T$19:$T$93,IB$244):INDEX($T$19:$T$93,IB$244+$FJ301-1)))</f>
        <v>0.48544198987563719</v>
      </c>
      <c r="IC301" s="479">
        <f ca="1">IF($FJ301+IC$244&gt;73,"",PRODUCT(INDEX($T$19:$T$93,IC$244):INDEX($T$19:$T$93,IC$244+$FJ301-1)))</f>
        <v>0.42423768119186844</v>
      </c>
      <c r="ID301" s="678">
        <f ca="1">IF($FJ301+ID$244&gt;73,"",PRODUCT(INDEX($T$19:$T$93,ID$244):INDEX($T$19:$T$93,ID$244+$FJ301-1)))</f>
        <v>0.36060830450926923</v>
      </c>
      <c r="IE301" s="250"/>
    </row>
    <row r="302" spans="9:239">
      <c r="I302" s="137"/>
      <c r="J302" s="375"/>
      <c r="K302" s="138"/>
      <c r="L302" s="1"/>
      <c r="M302" s="376"/>
      <c r="P302" s="375"/>
      <c r="S302" s="55"/>
      <c r="T302" s="375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374"/>
      <c r="AP302" s="1"/>
      <c r="AQ302" s="374"/>
      <c r="AR302" s="1"/>
      <c r="AS302" s="1"/>
      <c r="AT302" s="106"/>
      <c r="AU302" s="106"/>
      <c r="AV302" s="106"/>
      <c r="AW302" s="31"/>
      <c r="AX302" s="31"/>
      <c r="AY302" s="31"/>
      <c r="AZ302" s="31"/>
      <c r="BA302" s="154"/>
      <c r="BB302" s="154"/>
      <c r="BC302" s="106"/>
      <c r="BD302" s="106"/>
      <c r="BE302" s="106"/>
      <c r="BF302" s="107"/>
      <c r="BG302" s="107"/>
      <c r="BH302" s="107"/>
      <c r="BI302" s="105"/>
      <c r="BJ302" s="107"/>
      <c r="BK302" s="107"/>
      <c r="BL302" s="106"/>
      <c r="BM302" s="108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7"/>
      <c r="CE302" s="107"/>
      <c r="CF302" s="107"/>
      <c r="CG302" s="107"/>
      <c r="CH302" s="107"/>
      <c r="CI302" s="107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475"/>
      <c r="DI302" s="110"/>
      <c r="DJ302" s="110"/>
      <c r="DK302" s="475"/>
      <c r="DL302" s="53"/>
      <c r="DM302" s="54"/>
      <c r="DN302" s="54"/>
      <c r="DO302" s="54"/>
      <c r="DP302" s="54"/>
      <c r="DQ302" s="54"/>
      <c r="DR302" s="54"/>
      <c r="DS302" s="54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L302" s="55"/>
      <c r="EM302" s="1"/>
      <c r="EN302" s="106"/>
      <c r="EO302" s="105"/>
      <c r="EP302" s="1"/>
      <c r="EQ302" s="106"/>
      <c r="ER302" s="1"/>
      <c r="ES302" s="1"/>
      <c r="ET302" s="1"/>
      <c r="EU302" s="107"/>
      <c r="FJ302" s="673">
        <v>58</v>
      </c>
      <c r="FK302" s="479" t="str">
        <f ca="1">IF($FJ302+FK$244&gt;73,"",PRODUCT(INDEX($T$19:$T$93,FK$244):INDEX($T$19:$T$93,FK$244+$FJ302-1)))</f>
        <v/>
      </c>
      <c r="FL302" s="479" t="str">
        <f ca="1">IF($FJ302+FL$244&gt;73,"",PRODUCT(INDEX($T$19:$T$93,FL$244):INDEX($T$19:$T$93,FL$244+$FJ302-1)))</f>
        <v/>
      </c>
      <c r="FM302" s="479" t="str">
        <f ca="1">IF($FJ302+FM$244&gt;73,"",PRODUCT(INDEX($T$19:$T$93,FM$244):INDEX($T$19:$T$93,FM$244+$FJ302-1)))</f>
        <v/>
      </c>
      <c r="FN302" s="479" t="str">
        <f ca="1">IF($FJ302+FN$244&gt;73,"",PRODUCT(INDEX($T$19:$T$93,FN$244):INDEX($T$19:$T$93,FN$244+$FJ302-1)))</f>
        <v/>
      </c>
      <c r="FO302" s="479" t="str">
        <f ca="1">IF($FJ302+FO$244&gt;73,"",PRODUCT(INDEX($T$19:$T$93,FO$244):INDEX($T$19:$T$93,FO$244+$FJ302-1)))</f>
        <v/>
      </c>
      <c r="FP302" s="479" t="str">
        <f ca="1">IF($FJ302+FP$244&gt;73,"",PRODUCT(INDEX($T$19:$T$93,FP$244):INDEX($T$19:$T$93,FP$244+$FJ302-1)))</f>
        <v/>
      </c>
      <c r="FQ302" s="479" t="str">
        <f ca="1">IF($FJ302+FQ$244&gt;73,"",PRODUCT(INDEX($T$19:$T$93,FQ$244):INDEX($T$19:$T$93,FQ$244+$FJ302-1)))</f>
        <v/>
      </c>
      <c r="FR302" s="479" t="str">
        <f ca="1">IF($FJ302+FR$244&gt;73,"",PRODUCT(INDEX($T$19:$T$93,FR$244):INDEX($T$19:$T$93,FR$244+$FJ302-1)))</f>
        <v/>
      </c>
      <c r="FS302" s="479" t="str">
        <f ca="1">IF($FJ302+FS$244&gt;73,"",PRODUCT(INDEX($T$19:$T$93,FS$244):INDEX($T$19:$T$93,FS$244+$FJ302-1)))</f>
        <v/>
      </c>
      <c r="FT302" s="479" t="str">
        <f ca="1">IF($FJ302+FT$244&gt;73,"",PRODUCT(INDEX($T$19:$T$93,FT$244):INDEX($T$19:$T$93,FT$244+$FJ302-1)))</f>
        <v/>
      </c>
      <c r="FU302" s="479" t="str">
        <f ca="1">IF($FJ302+FU$244&gt;73,"",PRODUCT(INDEX($T$19:$T$93,FU$244):INDEX($T$19:$T$93,FU$244+$FJ302-1)))</f>
        <v/>
      </c>
      <c r="FV302" s="479" t="str">
        <f ca="1">IF($FJ302+FV$244&gt;73,"",PRODUCT(INDEX($T$19:$T$93,FV$244):INDEX($T$19:$T$93,FV$244+$FJ302-1)))</f>
        <v/>
      </c>
      <c r="FW302" s="479" t="str">
        <f ca="1">IF($FJ302+FW$244&gt;73,"",PRODUCT(INDEX($T$19:$T$93,FW$244):INDEX($T$19:$T$93,FW$244+$FJ302-1)))</f>
        <v/>
      </c>
      <c r="FX302" s="479" t="str">
        <f ca="1">IF($FJ302+FX$244&gt;73,"",PRODUCT(INDEX($T$19:$T$93,FX$244):INDEX($T$19:$T$93,FX$244+$FJ302-1)))</f>
        <v/>
      </c>
      <c r="FY302" s="479" t="str">
        <f ca="1">IF($FJ302+FY$244&gt;73,"",PRODUCT(INDEX($T$19:$T$93,FY$244):INDEX($T$19:$T$93,FY$244+$FJ302-1)))</f>
        <v/>
      </c>
      <c r="FZ302" s="479" t="str">
        <f ca="1">IF($FJ302+FZ$244&gt;73,"",PRODUCT(INDEX($T$19:$T$93,FZ$244):INDEX($T$19:$T$93,FZ$244+$FJ302-1)))</f>
        <v/>
      </c>
      <c r="GA302" s="479" t="str">
        <f ca="1">IF($FJ302+GA$244&gt;73,"",PRODUCT(INDEX($T$19:$T$93,GA$244):INDEX($T$19:$T$93,GA$244+$FJ302-1)))</f>
        <v/>
      </c>
      <c r="GB302" s="479" t="str">
        <f ca="1">IF($FJ302+GB$244&gt;73,"",PRODUCT(INDEX($T$19:$T$93,GB$244):INDEX($T$19:$T$93,GB$244+$FJ302-1)))</f>
        <v/>
      </c>
      <c r="GC302" s="479" t="str">
        <f ca="1">IF($FJ302+GC$244&gt;73,"",PRODUCT(INDEX($T$19:$T$93,GC$244):INDEX($T$19:$T$93,GC$244+$FJ302-1)))</f>
        <v/>
      </c>
      <c r="GD302" s="479" t="str">
        <f ca="1">IF($FJ302+GD$244&gt;73,"",PRODUCT(INDEX($T$19:$T$93,GD$244):INDEX($T$19:$T$93,GD$244+$FJ302-1)))</f>
        <v/>
      </c>
      <c r="GE302" s="479" t="str">
        <f ca="1">IF($FJ302+GE$244&gt;73,"",PRODUCT(INDEX($T$19:$T$93,GE$244):INDEX($T$19:$T$93,GE$244+$FJ302-1)))</f>
        <v/>
      </c>
      <c r="GF302" s="479" t="str">
        <f ca="1">IF($FJ302+GF$244&gt;73,"",PRODUCT(INDEX($T$19:$T$93,GF$244):INDEX($T$19:$T$93,GF$244+$FJ302-1)))</f>
        <v/>
      </c>
      <c r="GG302" s="479" t="str">
        <f ca="1">IF($FJ302+GG$244&gt;73,"",PRODUCT(INDEX($T$19:$T$93,GG$244):INDEX($T$19:$T$93,GG$244+$FJ302-1)))</f>
        <v/>
      </c>
      <c r="GH302" s="479" t="str">
        <f ca="1">IF($FJ302+GH$244&gt;73,"",PRODUCT(INDEX($T$19:$T$93,GH$244):INDEX($T$19:$T$93,GH$244+$FJ302-1)))</f>
        <v/>
      </c>
      <c r="GI302" s="479" t="str">
        <f ca="1">IF($FJ302+GI$244&gt;73,"",PRODUCT(INDEX($T$19:$T$93,GI$244):INDEX($T$19:$T$93,GI$244+$FJ302-1)))</f>
        <v/>
      </c>
      <c r="GJ302" s="479" t="str">
        <f ca="1">IF($FJ302+GJ$244&gt;73,"",PRODUCT(INDEX($T$19:$T$93,GJ$244):INDEX($T$19:$T$93,GJ$244+$FJ302-1)))</f>
        <v/>
      </c>
      <c r="GK302" s="479" t="str">
        <f ca="1">IF($FJ302+GK$244&gt;73,"",PRODUCT(INDEX($T$19:$T$93,GK$244):INDEX($T$19:$T$93,GK$244+$FJ302-1)))</f>
        <v/>
      </c>
      <c r="GL302" s="479" t="str">
        <f ca="1">IF($FJ302+GL$244&gt;73,"",PRODUCT(INDEX($T$19:$T$93,GL$244):INDEX($T$19:$T$93,GL$244+$FJ302-1)))</f>
        <v/>
      </c>
      <c r="GM302" s="479" t="str">
        <f ca="1">IF($FJ302+GM$244&gt;73,"",PRODUCT(INDEX($T$19:$T$93,GM$244):INDEX($T$19:$T$93,GM$244+$FJ302-1)))</f>
        <v/>
      </c>
      <c r="GN302" s="479" t="str">
        <f ca="1">IF($FJ302+GN$244&gt;73,"",PRODUCT(INDEX($T$19:$T$93,GN$244):INDEX($T$19:$T$93,GN$244+$FJ302-1)))</f>
        <v/>
      </c>
      <c r="GO302" s="479" t="str">
        <f ca="1">IF($FJ302+GO$244&gt;73,"",PRODUCT(INDEX($T$19:$T$93,GO$244):INDEX($T$19:$T$93,GO$244+$FJ302-1)))</f>
        <v/>
      </c>
      <c r="GP302" s="479" t="str">
        <f ca="1">IF($FJ302+GP$244&gt;73,"",PRODUCT(INDEX($T$19:$T$93,GP$244):INDEX($T$19:$T$93,GP$244+$FJ302-1)))</f>
        <v/>
      </c>
      <c r="GQ302" s="479" t="str">
        <f ca="1">IF($FJ302+GQ$244&gt;73,"",PRODUCT(INDEX($T$19:$T$93,GQ$244):INDEX($T$19:$T$93,GQ$244+$FJ302-1)))</f>
        <v/>
      </c>
      <c r="GR302" s="479" t="str">
        <f ca="1">IF($FJ302+GR$244&gt;73,"",PRODUCT(INDEX($T$19:$T$93,GR$244):INDEX($T$19:$T$93,GR$244+$FJ302-1)))</f>
        <v/>
      </c>
      <c r="GS302" s="479" t="str">
        <f ca="1">IF($FJ302+GS$244&gt;73,"",PRODUCT(INDEX($T$19:$T$93,GS$244):INDEX($T$19:$T$93,GS$244+$FJ302-1)))</f>
        <v/>
      </c>
      <c r="GT302" s="479" t="str">
        <f ca="1">IF($FJ302+GT$244&gt;73,"",PRODUCT(INDEX($T$19:$T$93,GT$244):INDEX($T$19:$T$93,GT$244+$FJ302-1)))</f>
        <v/>
      </c>
      <c r="GU302" s="479" t="str">
        <f ca="1">IF($FJ302+GU$244&gt;73,"",PRODUCT(INDEX($T$19:$T$93,GU$244):INDEX($T$19:$T$93,GU$244+$FJ302-1)))</f>
        <v/>
      </c>
      <c r="GV302" s="479" t="str">
        <f ca="1">IF($FJ302+GV$244&gt;73,"",PRODUCT(INDEX($T$19:$T$93,GV$244):INDEX($T$19:$T$93,GV$244+$FJ302-1)))</f>
        <v/>
      </c>
      <c r="GW302" s="479" t="str">
        <f ca="1">IF($FJ302+GW$244&gt;73,"",PRODUCT(INDEX($T$19:$T$93,GW$244):INDEX($T$19:$T$93,GW$244+$FJ302-1)))</f>
        <v/>
      </c>
      <c r="GX302" s="479" t="str">
        <f ca="1">IF($FJ302+GX$244&gt;73,"",PRODUCT(INDEX($T$19:$T$93,GX$244):INDEX($T$19:$T$93,GX$244+$FJ302-1)))</f>
        <v/>
      </c>
      <c r="GY302" s="479" t="str">
        <f ca="1">IF($FJ302+GY$244&gt;73,"",PRODUCT(INDEX($T$19:$T$93,GY$244):INDEX($T$19:$T$93,GY$244+$FJ302-1)))</f>
        <v/>
      </c>
      <c r="GZ302" s="479" t="str">
        <f ca="1">IF($FJ302+GZ$244&gt;73,"",PRODUCT(INDEX($T$19:$T$93,GZ$244):INDEX($T$19:$T$93,GZ$244+$FJ302-1)))</f>
        <v/>
      </c>
      <c r="HA302" s="479" t="str">
        <f ca="1">IF($FJ302+HA$244&gt;73,"",PRODUCT(INDEX($T$19:$T$93,HA$244):INDEX($T$19:$T$93,HA$244+$FJ302-1)))</f>
        <v/>
      </c>
      <c r="HB302" s="479" t="str">
        <f ca="1">IF($FJ302+HB$244&gt;73,"",PRODUCT(INDEX($T$19:$T$93,HB$244):INDEX($T$19:$T$93,HB$244+$FJ302-1)))</f>
        <v/>
      </c>
      <c r="HC302" s="479" t="str">
        <f ca="1">IF($FJ302+HC$244&gt;73,"",PRODUCT(INDEX($T$19:$T$93,HC$244):INDEX($T$19:$T$93,HC$244+$FJ302-1)))</f>
        <v/>
      </c>
      <c r="HD302" s="479" t="str">
        <f ca="1">IF($FJ302+HD$244&gt;73,"",PRODUCT(INDEX($T$19:$T$93,HD$244):INDEX($T$19:$T$93,HD$244+$FJ302-1)))</f>
        <v/>
      </c>
      <c r="HE302" s="479" t="str">
        <f ca="1">IF($FJ302+HE$244&gt;73,"",PRODUCT(INDEX($T$19:$T$93,HE$244):INDEX($T$19:$T$93,HE$244+$FJ302-1)))</f>
        <v/>
      </c>
      <c r="HF302" s="479" t="str">
        <f ca="1">IF($FJ302+HF$244&gt;73,"",PRODUCT(INDEX($T$19:$T$93,HF$244):INDEX($T$19:$T$93,HF$244+$FJ302-1)))</f>
        <v/>
      </c>
      <c r="HG302" s="479" t="str">
        <f ca="1">IF($FJ302+HG$244&gt;73,"",PRODUCT(INDEX($T$19:$T$93,HG$244):INDEX($T$19:$T$93,HG$244+$FJ302-1)))</f>
        <v/>
      </c>
      <c r="HH302" s="479" t="str">
        <f ca="1">IF($FJ302+HH$244&gt;73,"",PRODUCT(INDEX($T$19:$T$93,HH$244):INDEX($T$19:$T$93,HH$244+$FJ302-1)))</f>
        <v/>
      </c>
      <c r="HI302" s="479" t="str">
        <f ca="1">IF($FJ302+HI$244&gt;73,"",PRODUCT(INDEX($T$19:$T$93,HI$244):INDEX($T$19:$T$93,HI$244+$FJ302-1)))</f>
        <v/>
      </c>
      <c r="HJ302" s="479" t="str">
        <f ca="1">IF($FJ302+HJ$244&gt;73,"",PRODUCT(INDEX($T$19:$T$93,HJ$244):INDEX($T$19:$T$93,HJ$244+$FJ302-1)))</f>
        <v/>
      </c>
      <c r="HK302" s="479" t="str">
        <f ca="1">IF($FJ302+HK$244&gt;73,"",PRODUCT(INDEX($T$19:$T$93,HK$244):INDEX($T$19:$T$93,HK$244+$FJ302-1)))</f>
        <v/>
      </c>
      <c r="HL302" s="479" t="str">
        <f ca="1">IF($FJ302+HL$244&gt;73,"",PRODUCT(INDEX($T$19:$T$93,HL$244):INDEX($T$19:$T$93,HL$244+$FJ302-1)))</f>
        <v/>
      </c>
      <c r="HM302" s="479" t="str">
        <f ca="1">IF($FJ302+HM$244&gt;73,"",PRODUCT(INDEX($T$19:$T$93,HM$244):INDEX($T$19:$T$93,HM$244+$FJ302-1)))</f>
        <v/>
      </c>
      <c r="HN302" s="479" t="str">
        <f ca="1">IF($FJ302+HN$244&gt;73,"",PRODUCT(INDEX($T$19:$T$93,HN$244):INDEX($T$19:$T$93,HN$244+$FJ302-1)))</f>
        <v/>
      </c>
      <c r="HO302" s="479" t="str">
        <f ca="1">IF($FJ302+HO$244&gt;73,"",PRODUCT(INDEX($T$19:$T$93,HO$244):INDEX($T$19:$T$93,HO$244+$FJ302-1)))</f>
        <v/>
      </c>
      <c r="HP302" s="479">
        <f ca="1">IF($FJ302+HP$244&gt;73,"",PRODUCT(INDEX($T$19:$T$93,HP$244):INDEX($T$19:$T$93,HP$244+$FJ302-1)))</f>
        <v>0.90249278115564702</v>
      </c>
      <c r="HQ302" s="479">
        <f ca="1">IF($FJ302+HQ$244&gt;73,"",PRODUCT(INDEX($T$19:$T$93,HQ$244):INDEX($T$19:$T$93,HQ$244+$FJ302-1)))</f>
        <v>0.88667763081162765</v>
      </c>
      <c r="HR302" s="479">
        <f ca="1">IF($FJ302+HR$244&gt;73,"",PRODUCT(INDEX($T$19:$T$93,HR$244):INDEX($T$19:$T$93,HR$244+$FJ302-1)))</f>
        <v>0.86844459894038695</v>
      </c>
      <c r="HS302" s="479">
        <f ca="1">IF($FJ302+HS$244&gt;73,"",PRODUCT(INDEX($T$19:$T$93,HS$244):INDEX($T$19:$T$93,HS$244+$FJ302-1)))</f>
        <v>0.84747884706552423</v>
      </c>
      <c r="HT302" s="479">
        <f ca="1">IF($FJ302+HT$244&gt;73,"",PRODUCT(INDEX($T$19:$T$93,HT$244):INDEX($T$19:$T$93,HT$244+$FJ302-1)))</f>
        <v>0.82344547232228227</v>
      </c>
      <c r="HU302" s="479">
        <f ca="1">IF($FJ302+HU$244&gt;73,"",PRODUCT(INDEX($T$19:$T$93,HU$244):INDEX($T$19:$T$93,HU$244+$FJ302-1)))</f>
        <v>0.79599715341593935</v>
      </c>
      <c r="HV302" s="479">
        <f ca="1">IF($FJ302+HV$244&gt;73,"",PRODUCT(INDEX($T$19:$T$93,HV$244):INDEX($T$19:$T$93,HV$244+$FJ302-1)))</f>
        <v>0.76478635785908733</v>
      </c>
      <c r="HW302" s="479">
        <f ca="1">IF($FJ302+HW$244&gt;73,"",PRODUCT(INDEX($T$19:$T$93,HW$244):INDEX($T$19:$T$93,HW$244+$FJ302-1)))</f>
        <v>0.72948358485479348</v>
      </c>
      <c r="HX302" s="479">
        <f ca="1">IF($FJ302+HX$244&gt;73,"",PRODUCT(INDEX($T$19:$T$93,HX$244):INDEX($T$19:$T$93,HX$244+$FJ302-1)))</f>
        <v>0.68980333074462663</v>
      </c>
      <c r="HY302" s="479">
        <f ca="1">IF($FJ302+HY$244&gt;73,"",PRODUCT(INDEX($T$19:$T$93,HY$244):INDEX($T$19:$T$93,HY$244+$FJ302-1)))</f>
        <v>0.64553953927287744</v>
      </c>
      <c r="HZ302" s="479">
        <f ca="1">IF($FJ302+HZ$244&gt;73,"",PRODUCT(INDEX($T$19:$T$93,HZ$244):INDEX($T$19:$T$93,HZ$244+$FJ302-1)))</f>
        <v>0.59661207865207344</v>
      </c>
      <c r="IA302" s="479">
        <f ca="1">IF($FJ302+IA$244&gt;73,"",PRODUCT(INDEX($T$19:$T$93,IA$244):INDEX($T$19:$T$93,IA$244+$FJ302-1)))</f>
        <v>0.54312502050227163</v>
      </c>
      <c r="IB302" s="479">
        <f ca="1">IF($FJ302+IB$244&gt;73,"",PRODUCT(INDEX($T$19:$T$93,IB$244):INDEX($T$19:$T$93,IB$244+$FJ302-1)))</f>
        <v>0.48543581431274219</v>
      </c>
      <c r="IC302" s="479">
        <f ca="1">IF($FJ302+IC$244&gt;73,"",PRODUCT(INDEX($T$19:$T$93,IC$244):INDEX($T$19:$T$93,IC$244+$FJ302-1)))</f>
        <v>0.42423136893249191</v>
      </c>
      <c r="ID302" s="678">
        <f ca="1">IF($FJ302+ID$244&gt;73,"",PRODUCT(INDEX($T$19:$T$93,ID$244):INDEX($T$19:$T$93,ID$244+$FJ302-1)))</f>
        <v>0.36060202901308819</v>
      </c>
      <c r="IE302" s="250"/>
    </row>
    <row r="303" spans="9:239">
      <c r="I303" s="137"/>
      <c r="J303" s="375"/>
      <c r="K303" s="138"/>
      <c r="L303" s="1"/>
      <c r="M303" s="376"/>
      <c r="P303" s="375"/>
      <c r="S303" s="55"/>
      <c r="T303" s="375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374"/>
      <c r="AP303" s="1"/>
      <c r="AQ303" s="374"/>
      <c r="AR303" s="1"/>
      <c r="AS303" s="1"/>
      <c r="AT303" s="106"/>
      <c r="AU303" s="106"/>
      <c r="AV303" s="106"/>
      <c r="AW303" s="31"/>
      <c r="AX303" s="31"/>
      <c r="AY303" s="31"/>
      <c r="AZ303" s="31"/>
      <c r="BA303" s="154"/>
      <c r="BB303" s="154"/>
      <c r="BC303" s="106"/>
      <c r="BD303" s="106"/>
      <c r="BE303" s="106"/>
      <c r="BF303" s="107"/>
      <c r="BG303" s="107"/>
      <c r="BH303" s="107"/>
      <c r="BI303" s="105"/>
      <c r="BJ303" s="107"/>
      <c r="BK303" s="107"/>
      <c r="BL303" s="106"/>
      <c r="BM303" s="108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7"/>
      <c r="CE303" s="107"/>
      <c r="CF303" s="107"/>
      <c r="CG303" s="107"/>
      <c r="CH303" s="107"/>
      <c r="CI303" s="107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475"/>
      <c r="DI303" s="110"/>
      <c r="DJ303" s="110"/>
      <c r="DK303" s="475"/>
      <c r="DL303" s="53"/>
      <c r="DM303" s="54"/>
      <c r="DN303" s="54"/>
      <c r="DO303" s="54"/>
      <c r="DP303" s="54"/>
      <c r="DQ303" s="54"/>
      <c r="DR303" s="54"/>
      <c r="DS303" s="54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L303" s="55"/>
      <c r="EM303" s="1"/>
      <c r="EN303" s="106"/>
      <c r="EO303" s="105"/>
      <c r="EP303" s="1"/>
      <c r="EQ303" s="106"/>
      <c r="ER303" s="1"/>
      <c r="ES303" s="1"/>
      <c r="ET303" s="1"/>
      <c r="EU303" s="107"/>
      <c r="FJ303" s="673">
        <v>59</v>
      </c>
      <c r="FK303" s="479" t="str">
        <f ca="1">IF($FJ303+FK$244&gt;73,"",PRODUCT(INDEX($T$19:$T$93,FK$244):INDEX($T$19:$T$93,FK$244+$FJ303-1)))</f>
        <v/>
      </c>
      <c r="FL303" s="479" t="str">
        <f ca="1">IF($FJ303+FL$244&gt;73,"",PRODUCT(INDEX($T$19:$T$93,FL$244):INDEX($T$19:$T$93,FL$244+$FJ303-1)))</f>
        <v/>
      </c>
      <c r="FM303" s="479" t="str">
        <f ca="1">IF($FJ303+FM$244&gt;73,"",PRODUCT(INDEX($T$19:$T$93,FM$244):INDEX($T$19:$T$93,FM$244+$FJ303-1)))</f>
        <v/>
      </c>
      <c r="FN303" s="479" t="str">
        <f ca="1">IF($FJ303+FN$244&gt;73,"",PRODUCT(INDEX($T$19:$T$93,FN$244):INDEX($T$19:$T$93,FN$244+$FJ303-1)))</f>
        <v/>
      </c>
      <c r="FO303" s="479" t="str">
        <f ca="1">IF($FJ303+FO$244&gt;73,"",PRODUCT(INDEX($T$19:$T$93,FO$244):INDEX($T$19:$T$93,FO$244+$FJ303-1)))</f>
        <v/>
      </c>
      <c r="FP303" s="479" t="str">
        <f ca="1">IF($FJ303+FP$244&gt;73,"",PRODUCT(INDEX($T$19:$T$93,FP$244):INDEX($T$19:$T$93,FP$244+$FJ303-1)))</f>
        <v/>
      </c>
      <c r="FQ303" s="479" t="str">
        <f ca="1">IF($FJ303+FQ$244&gt;73,"",PRODUCT(INDEX($T$19:$T$93,FQ$244):INDEX($T$19:$T$93,FQ$244+$FJ303-1)))</f>
        <v/>
      </c>
      <c r="FR303" s="479" t="str">
        <f ca="1">IF($FJ303+FR$244&gt;73,"",PRODUCT(INDEX($T$19:$T$93,FR$244):INDEX($T$19:$T$93,FR$244+$FJ303-1)))</f>
        <v/>
      </c>
      <c r="FS303" s="479" t="str">
        <f ca="1">IF($FJ303+FS$244&gt;73,"",PRODUCT(INDEX($T$19:$T$93,FS$244):INDEX($T$19:$T$93,FS$244+$FJ303-1)))</f>
        <v/>
      </c>
      <c r="FT303" s="479" t="str">
        <f ca="1">IF($FJ303+FT$244&gt;73,"",PRODUCT(INDEX($T$19:$T$93,FT$244):INDEX($T$19:$T$93,FT$244+$FJ303-1)))</f>
        <v/>
      </c>
      <c r="FU303" s="479" t="str">
        <f ca="1">IF($FJ303+FU$244&gt;73,"",PRODUCT(INDEX($T$19:$T$93,FU$244):INDEX($T$19:$T$93,FU$244+$FJ303-1)))</f>
        <v/>
      </c>
      <c r="FV303" s="479" t="str">
        <f ca="1">IF($FJ303+FV$244&gt;73,"",PRODUCT(INDEX($T$19:$T$93,FV$244):INDEX($T$19:$T$93,FV$244+$FJ303-1)))</f>
        <v/>
      </c>
      <c r="FW303" s="479" t="str">
        <f ca="1">IF($FJ303+FW$244&gt;73,"",PRODUCT(INDEX($T$19:$T$93,FW$244):INDEX($T$19:$T$93,FW$244+$FJ303-1)))</f>
        <v/>
      </c>
      <c r="FX303" s="479" t="str">
        <f ca="1">IF($FJ303+FX$244&gt;73,"",PRODUCT(INDEX($T$19:$T$93,FX$244):INDEX($T$19:$T$93,FX$244+$FJ303-1)))</f>
        <v/>
      </c>
      <c r="FY303" s="479" t="str">
        <f ca="1">IF($FJ303+FY$244&gt;73,"",PRODUCT(INDEX($T$19:$T$93,FY$244):INDEX($T$19:$T$93,FY$244+$FJ303-1)))</f>
        <v/>
      </c>
      <c r="FZ303" s="479" t="str">
        <f ca="1">IF($FJ303+FZ$244&gt;73,"",PRODUCT(INDEX($T$19:$T$93,FZ$244):INDEX($T$19:$T$93,FZ$244+$FJ303-1)))</f>
        <v/>
      </c>
      <c r="GA303" s="479" t="str">
        <f ca="1">IF($FJ303+GA$244&gt;73,"",PRODUCT(INDEX($T$19:$T$93,GA$244):INDEX($T$19:$T$93,GA$244+$FJ303-1)))</f>
        <v/>
      </c>
      <c r="GB303" s="479" t="str">
        <f ca="1">IF($FJ303+GB$244&gt;73,"",PRODUCT(INDEX($T$19:$T$93,GB$244):INDEX($T$19:$T$93,GB$244+$FJ303-1)))</f>
        <v/>
      </c>
      <c r="GC303" s="479" t="str">
        <f ca="1">IF($FJ303+GC$244&gt;73,"",PRODUCT(INDEX($T$19:$T$93,GC$244):INDEX($T$19:$T$93,GC$244+$FJ303-1)))</f>
        <v/>
      </c>
      <c r="GD303" s="479" t="str">
        <f ca="1">IF($FJ303+GD$244&gt;73,"",PRODUCT(INDEX($T$19:$T$93,GD$244):INDEX($T$19:$T$93,GD$244+$FJ303-1)))</f>
        <v/>
      </c>
      <c r="GE303" s="479" t="str">
        <f ca="1">IF($FJ303+GE$244&gt;73,"",PRODUCT(INDEX($T$19:$T$93,GE$244):INDEX($T$19:$T$93,GE$244+$FJ303-1)))</f>
        <v/>
      </c>
      <c r="GF303" s="479" t="str">
        <f ca="1">IF($FJ303+GF$244&gt;73,"",PRODUCT(INDEX($T$19:$T$93,GF$244):INDEX($T$19:$T$93,GF$244+$FJ303-1)))</f>
        <v/>
      </c>
      <c r="GG303" s="479" t="str">
        <f ca="1">IF($FJ303+GG$244&gt;73,"",PRODUCT(INDEX($T$19:$T$93,GG$244):INDEX($T$19:$T$93,GG$244+$FJ303-1)))</f>
        <v/>
      </c>
      <c r="GH303" s="479" t="str">
        <f ca="1">IF($FJ303+GH$244&gt;73,"",PRODUCT(INDEX($T$19:$T$93,GH$244):INDEX($T$19:$T$93,GH$244+$FJ303-1)))</f>
        <v/>
      </c>
      <c r="GI303" s="479" t="str">
        <f ca="1">IF($FJ303+GI$244&gt;73,"",PRODUCT(INDEX($T$19:$T$93,GI$244):INDEX($T$19:$T$93,GI$244+$FJ303-1)))</f>
        <v/>
      </c>
      <c r="GJ303" s="479" t="str">
        <f ca="1">IF($FJ303+GJ$244&gt;73,"",PRODUCT(INDEX($T$19:$T$93,GJ$244):INDEX($T$19:$T$93,GJ$244+$FJ303-1)))</f>
        <v/>
      </c>
      <c r="GK303" s="479" t="str">
        <f ca="1">IF($FJ303+GK$244&gt;73,"",PRODUCT(INDEX($T$19:$T$93,GK$244):INDEX($T$19:$T$93,GK$244+$FJ303-1)))</f>
        <v/>
      </c>
      <c r="GL303" s="479" t="str">
        <f ca="1">IF($FJ303+GL$244&gt;73,"",PRODUCT(INDEX($T$19:$T$93,GL$244):INDEX($T$19:$T$93,GL$244+$FJ303-1)))</f>
        <v/>
      </c>
      <c r="GM303" s="479" t="str">
        <f ca="1">IF($FJ303+GM$244&gt;73,"",PRODUCT(INDEX($T$19:$T$93,GM$244):INDEX($T$19:$T$93,GM$244+$FJ303-1)))</f>
        <v/>
      </c>
      <c r="GN303" s="479" t="str">
        <f ca="1">IF($FJ303+GN$244&gt;73,"",PRODUCT(INDEX($T$19:$T$93,GN$244):INDEX($T$19:$T$93,GN$244+$FJ303-1)))</f>
        <v/>
      </c>
      <c r="GO303" s="479" t="str">
        <f ca="1">IF($FJ303+GO$244&gt;73,"",PRODUCT(INDEX($T$19:$T$93,GO$244):INDEX($T$19:$T$93,GO$244+$FJ303-1)))</f>
        <v/>
      </c>
      <c r="GP303" s="479" t="str">
        <f ca="1">IF($FJ303+GP$244&gt;73,"",PRODUCT(INDEX($T$19:$T$93,GP$244):INDEX($T$19:$T$93,GP$244+$FJ303-1)))</f>
        <v/>
      </c>
      <c r="GQ303" s="479" t="str">
        <f ca="1">IF($FJ303+GQ$244&gt;73,"",PRODUCT(INDEX($T$19:$T$93,GQ$244):INDEX($T$19:$T$93,GQ$244+$FJ303-1)))</f>
        <v/>
      </c>
      <c r="GR303" s="479" t="str">
        <f ca="1">IF($FJ303+GR$244&gt;73,"",PRODUCT(INDEX($T$19:$T$93,GR$244):INDEX($T$19:$T$93,GR$244+$FJ303-1)))</f>
        <v/>
      </c>
      <c r="GS303" s="479" t="str">
        <f ca="1">IF($FJ303+GS$244&gt;73,"",PRODUCT(INDEX($T$19:$T$93,GS$244):INDEX($T$19:$T$93,GS$244+$FJ303-1)))</f>
        <v/>
      </c>
      <c r="GT303" s="479" t="str">
        <f ca="1">IF($FJ303+GT$244&gt;73,"",PRODUCT(INDEX($T$19:$T$93,GT$244):INDEX($T$19:$T$93,GT$244+$FJ303-1)))</f>
        <v/>
      </c>
      <c r="GU303" s="479" t="str">
        <f ca="1">IF($FJ303+GU$244&gt;73,"",PRODUCT(INDEX($T$19:$T$93,GU$244):INDEX($T$19:$T$93,GU$244+$FJ303-1)))</f>
        <v/>
      </c>
      <c r="GV303" s="479" t="str">
        <f ca="1">IF($FJ303+GV$244&gt;73,"",PRODUCT(INDEX($T$19:$T$93,GV$244):INDEX($T$19:$T$93,GV$244+$FJ303-1)))</f>
        <v/>
      </c>
      <c r="GW303" s="479" t="str">
        <f ca="1">IF($FJ303+GW$244&gt;73,"",PRODUCT(INDEX($T$19:$T$93,GW$244):INDEX($T$19:$T$93,GW$244+$FJ303-1)))</f>
        <v/>
      </c>
      <c r="GX303" s="479" t="str">
        <f ca="1">IF($FJ303+GX$244&gt;73,"",PRODUCT(INDEX($T$19:$T$93,GX$244):INDEX($T$19:$T$93,GX$244+$FJ303-1)))</f>
        <v/>
      </c>
      <c r="GY303" s="479" t="str">
        <f ca="1">IF($FJ303+GY$244&gt;73,"",PRODUCT(INDEX($T$19:$T$93,GY$244):INDEX($T$19:$T$93,GY$244+$FJ303-1)))</f>
        <v/>
      </c>
      <c r="GZ303" s="479" t="str">
        <f ca="1">IF($FJ303+GZ$244&gt;73,"",PRODUCT(INDEX($T$19:$T$93,GZ$244):INDEX($T$19:$T$93,GZ$244+$FJ303-1)))</f>
        <v/>
      </c>
      <c r="HA303" s="479" t="str">
        <f ca="1">IF($FJ303+HA$244&gt;73,"",PRODUCT(INDEX($T$19:$T$93,HA$244):INDEX($T$19:$T$93,HA$244+$FJ303-1)))</f>
        <v/>
      </c>
      <c r="HB303" s="479" t="str">
        <f ca="1">IF($FJ303+HB$244&gt;73,"",PRODUCT(INDEX($T$19:$T$93,HB$244):INDEX($T$19:$T$93,HB$244+$FJ303-1)))</f>
        <v/>
      </c>
      <c r="HC303" s="479" t="str">
        <f ca="1">IF($FJ303+HC$244&gt;73,"",PRODUCT(INDEX($T$19:$T$93,HC$244):INDEX($T$19:$T$93,HC$244+$FJ303-1)))</f>
        <v/>
      </c>
      <c r="HD303" s="479" t="str">
        <f ca="1">IF($FJ303+HD$244&gt;73,"",PRODUCT(INDEX($T$19:$T$93,HD$244):INDEX($T$19:$T$93,HD$244+$FJ303-1)))</f>
        <v/>
      </c>
      <c r="HE303" s="479" t="str">
        <f ca="1">IF($FJ303+HE$244&gt;73,"",PRODUCT(INDEX($T$19:$T$93,HE$244):INDEX($T$19:$T$93,HE$244+$FJ303-1)))</f>
        <v/>
      </c>
      <c r="HF303" s="479" t="str">
        <f ca="1">IF($FJ303+HF$244&gt;73,"",PRODUCT(INDEX($T$19:$T$93,HF$244):INDEX($T$19:$T$93,HF$244+$FJ303-1)))</f>
        <v/>
      </c>
      <c r="HG303" s="479" t="str">
        <f ca="1">IF($FJ303+HG$244&gt;73,"",PRODUCT(INDEX($T$19:$T$93,HG$244):INDEX($T$19:$T$93,HG$244+$FJ303-1)))</f>
        <v/>
      </c>
      <c r="HH303" s="479" t="str">
        <f ca="1">IF($FJ303+HH$244&gt;73,"",PRODUCT(INDEX($T$19:$T$93,HH$244):INDEX($T$19:$T$93,HH$244+$FJ303-1)))</f>
        <v/>
      </c>
      <c r="HI303" s="479" t="str">
        <f ca="1">IF($FJ303+HI$244&gt;73,"",PRODUCT(INDEX($T$19:$T$93,HI$244):INDEX($T$19:$T$93,HI$244+$FJ303-1)))</f>
        <v/>
      </c>
      <c r="HJ303" s="479" t="str">
        <f ca="1">IF($FJ303+HJ$244&gt;73,"",PRODUCT(INDEX($T$19:$T$93,HJ$244):INDEX($T$19:$T$93,HJ$244+$FJ303-1)))</f>
        <v/>
      </c>
      <c r="HK303" s="479" t="str">
        <f ca="1">IF($FJ303+HK$244&gt;73,"",PRODUCT(INDEX($T$19:$T$93,HK$244):INDEX($T$19:$T$93,HK$244+$FJ303-1)))</f>
        <v/>
      </c>
      <c r="HL303" s="479" t="str">
        <f ca="1">IF($FJ303+HL$244&gt;73,"",PRODUCT(INDEX($T$19:$T$93,HL$244):INDEX($T$19:$T$93,HL$244+$FJ303-1)))</f>
        <v/>
      </c>
      <c r="HM303" s="479" t="str">
        <f ca="1">IF($FJ303+HM$244&gt;73,"",PRODUCT(INDEX($T$19:$T$93,HM$244):INDEX($T$19:$T$93,HM$244+$FJ303-1)))</f>
        <v/>
      </c>
      <c r="HN303" s="479" t="str">
        <f ca="1">IF($FJ303+HN$244&gt;73,"",PRODUCT(INDEX($T$19:$T$93,HN$244):INDEX($T$19:$T$93,HN$244+$FJ303-1)))</f>
        <v/>
      </c>
      <c r="HO303" s="479" t="str">
        <f ca="1">IF($FJ303+HO$244&gt;73,"",PRODUCT(INDEX($T$19:$T$93,HO$244):INDEX($T$19:$T$93,HO$244+$FJ303-1)))</f>
        <v/>
      </c>
      <c r="HP303" s="479" t="str">
        <f ca="1">IF($FJ303+HP$244&gt;73,"",PRODUCT(INDEX($T$19:$T$93,HP$244):INDEX($T$19:$T$93,HP$244+$FJ303-1)))</f>
        <v/>
      </c>
      <c r="HQ303" s="479">
        <f ca="1">IF($FJ303+HQ$244&gt;73,"",PRODUCT(INDEX($T$19:$T$93,HQ$244):INDEX($T$19:$T$93,HQ$244+$FJ303-1)))</f>
        <v>0.88667590940094165</v>
      </c>
      <c r="HR303" s="479">
        <f ca="1">IF($FJ303+HR$244&gt;73,"",PRODUCT(INDEX($T$19:$T$93,HR$244):INDEX($T$19:$T$93,HR$244+$FJ303-1)))</f>
        <v>0.86844262699338104</v>
      </c>
      <c r="HS303" s="479">
        <f ca="1">IF($FJ303+HS$244&gt;73,"",PRODUCT(INDEX($T$19:$T$93,HS$244):INDEX($T$19:$T$93,HS$244+$FJ303-1)))</f>
        <v>0.84747659637160355</v>
      </c>
      <c r="HT303" s="479">
        <f ca="1">IF($FJ303+HT$244&gt;73,"",PRODUCT(INDEX($T$19:$T$93,HT$244):INDEX($T$19:$T$93,HT$244+$FJ303-1)))</f>
        <v>0.82344291457902763</v>
      </c>
      <c r="HU303" s="479">
        <f ca="1">IF($FJ303+HU$244&gt;73,"",PRODUCT(INDEX($T$19:$T$93,HU$244):INDEX($T$19:$T$93,HU$244+$FJ303-1)))</f>
        <v>0.7959942616160196</v>
      </c>
      <c r="HV303" s="479">
        <f ca="1">IF($FJ303+HV$244&gt;73,"",PRODUCT(INDEX($T$19:$T$93,HV$244):INDEX($T$19:$T$93,HV$244+$FJ303-1)))</f>
        <v>0.76478310824648243</v>
      </c>
      <c r="HW303" s="479">
        <f ca="1">IF($FJ303+HW$244&gt;73,"",PRODUCT(INDEX($T$19:$T$93,HW$244):INDEX($T$19:$T$93,HW$244+$FJ303-1)))</f>
        <v>0.72947995957245049</v>
      </c>
      <c r="HX303" s="479">
        <f ca="1">IF($FJ303+HX$244&gt;73,"",PRODUCT(INDEX($T$19:$T$93,HX$244):INDEX($T$19:$T$93,HX$244+$FJ303-1)))</f>
        <v>0.6897993212780883</v>
      </c>
      <c r="HY303" s="479">
        <f ca="1">IF($FJ303+HY$244&gt;73,"",PRODUCT(INDEX($T$19:$T$93,HY$244):INDEX($T$19:$T$93,HY$244+$FJ303-1)))</f>
        <v>0.64553515074047718</v>
      </c>
      <c r="HZ303" s="479">
        <f ca="1">IF($FJ303+HZ$244&gt;73,"",PRODUCT(INDEX($T$19:$T$93,HZ$244):INDEX($T$19:$T$93,HZ$244+$FJ303-1)))</f>
        <v>0.59660733487969919</v>
      </c>
      <c r="IA303" s="479">
        <f ca="1">IF($FJ303+IA$244&gt;73,"",PRODUCT(INDEX($T$19:$T$93,IA$244):INDEX($T$19:$T$93,IA$244+$FJ303-1)))</f>
        <v>0.54311996962099851</v>
      </c>
      <c r="IB303" s="479">
        <f ca="1">IF($FJ303+IB$244&gt;73,"",PRODUCT(INDEX($T$19:$T$93,IB$244):INDEX($T$19:$T$93,IB$244+$FJ303-1)))</f>
        <v>0.48543053430018074</v>
      </c>
      <c r="IC303" s="479">
        <f ca="1">IF($FJ303+IC$244&gt;73,"",PRODUCT(INDEX($T$19:$T$93,IC$244):INDEX($T$19:$T$93,IC$244+$FJ303-1)))</f>
        <v>0.42422597206210261</v>
      </c>
      <c r="ID303" s="678">
        <f ca="1">IF($FJ303+ID$244&gt;73,"",PRODUCT(INDEX($T$19:$T$93,ID$244):INDEX($T$19:$T$93,ID$244+$FJ303-1)))</f>
        <v>0.36059666359261816</v>
      </c>
      <c r="IE303" s="250"/>
    </row>
    <row r="304" spans="9:239">
      <c r="I304" s="137"/>
      <c r="J304" s="375"/>
      <c r="K304" s="138"/>
      <c r="L304" s="1"/>
      <c r="M304" s="376"/>
      <c r="P304" s="375"/>
      <c r="S304" s="55"/>
      <c r="T304" s="375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374"/>
      <c r="AP304" s="1"/>
      <c r="AQ304" s="374"/>
      <c r="AR304" s="1"/>
      <c r="AS304" s="1"/>
      <c r="AT304" s="106"/>
      <c r="AU304" s="106"/>
      <c r="AV304" s="106"/>
      <c r="AW304" s="31"/>
      <c r="AX304" s="31"/>
      <c r="AY304" s="31"/>
      <c r="AZ304" s="31"/>
      <c r="BA304" s="154"/>
      <c r="BB304" s="154"/>
      <c r="BC304" s="106"/>
      <c r="BD304" s="106"/>
      <c r="BE304" s="106"/>
      <c r="BF304" s="107"/>
      <c r="BG304" s="107"/>
      <c r="BH304" s="107"/>
      <c r="BI304" s="105"/>
      <c r="BJ304" s="107"/>
      <c r="BK304" s="107"/>
      <c r="BL304" s="106"/>
      <c r="BM304" s="108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7"/>
      <c r="CE304" s="107"/>
      <c r="CF304" s="107"/>
      <c r="CG304" s="107"/>
      <c r="CH304" s="107"/>
      <c r="CI304" s="107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475"/>
      <c r="DI304" s="110"/>
      <c r="DJ304" s="110"/>
      <c r="DK304" s="475"/>
      <c r="DL304" s="53"/>
      <c r="DM304" s="54"/>
      <c r="DN304" s="54"/>
      <c r="DO304" s="54"/>
      <c r="DP304" s="54"/>
      <c r="DQ304" s="54"/>
      <c r="DR304" s="54"/>
      <c r="DS304" s="54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L304" s="55"/>
      <c r="EM304" s="1"/>
      <c r="EN304" s="106"/>
      <c r="EO304" s="105"/>
      <c r="EP304" s="1"/>
      <c r="EQ304" s="106"/>
      <c r="ER304" s="1"/>
      <c r="ES304" s="1"/>
      <c r="ET304" s="1"/>
      <c r="EU304" s="107"/>
      <c r="FJ304" s="673">
        <v>60</v>
      </c>
      <c r="FK304" s="479" t="str">
        <f ca="1">IF($FJ304+FK$244&gt;73,"",PRODUCT(INDEX($T$19:$T$93,FK$244):INDEX($T$19:$T$93,FK$244+$FJ304-1)))</f>
        <v/>
      </c>
      <c r="FL304" s="479" t="str">
        <f ca="1">IF($FJ304+FL$244&gt;73,"",PRODUCT(INDEX($T$19:$T$93,FL$244):INDEX($T$19:$T$93,FL$244+$FJ304-1)))</f>
        <v/>
      </c>
      <c r="FM304" s="479" t="str">
        <f ca="1">IF($FJ304+FM$244&gt;73,"",PRODUCT(INDEX($T$19:$T$93,FM$244):INDEX($T$19:$T$93,FM$244+$FJ304-1)))</f>
        <v/>
      </c>
      <c r="FN304" s="479" t="str">
        <f ca="1">IF($FJ304+FN$244&gt;73,"",PRODUCT(INDEX($T$19:$T$93,FN$244):INDEX($T$19:$T$93,FN$244+$FJ304-1)))</f>
        <v/>
      </c>
      <c r="FO304" s="479" t="str">
        <f ca="1">IF($FJ304+FO$244&gt;73,"",PRODUCT(INDEX($T$19:$T$93,FO$244):INDEX($T$19:$T$93,FO$244+$FJ304-1)))</f>
        <v/>
      </c>
      <c r="FP304" s="479" t="str">
        <f ca="1">IF($FJ304+FP$244&gt;73,"",PRODUCT(INDEX($T$19:$T$93,FP$244):INDEX($T$19:$T$93,FP$244+$FJ304-1)))</f>
        <v/>
      </c>
      <c r="FQ304" s="479" t="str">
        <f ca="1">IF($FJ304+FQ$244&gt;73,"",PRODUCT(INDEX($T$19:$T$93,FQ$244):INDEX($T$19:$T$93,FQ$244+$FJ304-1)))</f>
        <v/>
      </c>
      <c r="FR304" s="479" t="str">
        <f ca="1">IF($FJ304+FR$244&gt;73,"",PRODUCT(INDEX($T$19:$T$93,FR$244):INDEX($T$19:$T$93,FR$244+$FJ304-1)))</f>
        <v/>
      </c>
      <c r="FS304" s="479" t="str">
        <f ca="1">IF($FJ304+FS$244&gt;73,"",PRODUCT(INDEX($T$19:$T$93,FS$244):INDEX($T$19:$T$93,FS$244+$FJ304-1)))</f>
        <v/>
      </c>
      <c r="FT304" s="479" t="str">
        <f ca="1">IF($FJ304+FT$244&gt;73,"",PRODUCT(INDEX($T$19:$T$93,FT$244):INDEX($T$19:$T$93,FT$244+$FJ304-1)))</f>
        <v/>
      </c>
      <c r="FU304" s="479" t="str">
        <f ca="1">IF($FJ304+FU$244&gt;73,"",PRODUCT(INDEX($T$19:$T$93,FU$244):INDEX($T$19:$T$93,FU$244+$FJ304-1)))</f>
        <v/>
      </c>
      <c r="FV304" s="479" t="str">
        <f ca="1">IF($FJ304+FV$244&gt;73,"",PRODUCT(INDEX($T$19:$T$93,FV$244):INDEX($T$19:$T$93,FV$244+$FJ304-1)))</f>
        <v/>
      </c>
      <c r="FW304" s="479" t="str">
        <f ca="1">IF($FJ304+FW$244&gt;73,"",PRODUCT(INDEX($T$19:$T$93,FW$244):INDEX($T$19:$T$93,FW$244+$FJ304-1)))</f>
        <v/>
      </c>
      <c r="FX304" s="479" t="str">
        <f ca="1">IF($FJ304+FX$244&gt;73,"",PRODUCT(INDEX($T$19:$T$93,FX$244):INDEX($T$19:$T$93,FX$244+$FJ304-1)))</f>
        <v/>
      </c>
      <c r="FY304" s="479" t="str">
        <f ca="1">IF($FJ304+FY$244&gt;73,"",PRODUCT(INDEX($T$19:$T$93,FY$244):INDEX($T$19:$T$93,FY$244+$FJ304-1)))</f>
        <v/>
      </c>
      <c r="FZ304" s="479" t="str">
        <f ca="1">IF($FJ304+FZ$244&gt;73,"",PRODUCT(INDEX($T$19:$T$93,FZ$244):INDEX($T$19:$T$93,FZ$244+$FJ304-1)))</f>
        <v/>
      </c>
      <c r="GA304" s="479" t="str">
        <f ca="1">IF($FJ304+GA$244&gt;73,"",PRODUCT(INDEX($T$19:$T$93,GA$244):INDEX($T$19:$T$93,GA$244+$FJ304-1)))</f>
        <v/>
      </c>
      <c r="GB304" s="479" t="str">
        <f ca="1">IF($FJ304+GB$244&gt;73,"",PRODUCT(INDEX($T$19:$T$93,GB$244):INDEX($T$19:$T$93,GB$244+$FJ304-1)))</f>
        <v/>
      </c>
      <c r="GC304" s="479" t="str">
        <f ca="1">IF($FJ304+GC$244&gt;73,"",PRODUCT(INDEX($T$19:$T$93,GC$244):INDEX($T$19:$T$93,GC$244+$FJ304-1)))</f>
        <v/>
      </c>
      <c r="GD304" s="479" t="str">
        <f ca="1">IF($FJ304+GD$244&gt;73,"",PRODUCT(INDEX($T$19:$T$93,GD$244):INDEX($T$19:$T$93,GD$244+$FJ304-1)))</f>
        <v/>
      </c>
      <c r="GE304" s="479" t="str">
        <f ca="1">IF($FJ304+GE$244&gt;73,"",PRODUCT(INDEX($T$19:$T$93,GE$244):INDEX($T$19:$T$93,GE$244+$FJ304-1)))</f>
        <v/>
      </c>
      <c r="GF304" s="479" t="str">
        <f ca="1">IF($FJ304+GF$244&gt;73,"",PRODUCT(INDEX($T$19:$T$93,GF$244):INDEX($T$19:$T$93,GF$244+$FJ304-1)))</f>
        <v/>
      </c>
      <c r="GG304" s="479" t="str">
        <f ca="1">IF($FJ304+GG$244&gt;73,"",PRODUCT(INDEX($T$19:$T$93,GG$244):INDEX($T$19:$T$93,GG$244+$FJ304-1)))</f>
        <v/>
      </c>
      <c r="GH304" s="479" t="str">
        <f ca="1">IF($FJ304+GH$244&gt;73,"",PRODUCT(INDEX($T$19:$T$93,GH$244):INDEX($T$19:$T$93,GH$244+$FJ304-1)))</f>
        <v/>
      </c>
      <c r="GI304" s="479" t="str">
        <f ca="1">IF($FJ304+GI$244&gt;73,"",PRODUCT(INDEX($T$19:$T$93,GI$244):INDEX($T$19:$T$93,GI$244+$FJ304-1)))</f>
        <v/>
      </c>
      <c r="GJ304" s="479" t="str">
        <f ca="1">IF($FJ304+GJ$244&gt;73,"",PRODUCT(INDEX($T$19:$T$93,GJ$244):INDEX($T$19:$T$93,GJ$244+$FJ304-1)))</f>
        <v/>
      </c>
      <c r="GK304" s="479" t="str">
        <f ca="1">IF($FJ304+GK$244&gt;73,"",PRODUCT(INDEX($T$19:$T$93,GK$244):INDEX($T$19:$T$93,GK$244+$FJ304-1)))</f>
        <v/>
      </c>
      <c r="GL304" s="479" t="str">
        <f ca="1">IF($FJ304+GL$244&gt;73,"",PRODUCT(INDEX($T$19:$T$93,GL$244):INDEX($T$19:$T$93,GL$244+$FJ304-1)))</f>
        <v/>
      </c>
      <c r="GM304" s="479" t="str">
        <f ca="1">IF($FJ304+GM$244&gt;73,"",PRODUCT(INDEX($T$19:$T$93,GM$244):INDEX($T$19:$T$93,GM$244+$FJ304-1)))</f>
        <v/>
      </c>
      <c r="GN304" s="479" t="str">
        <f ca="1">IF($FJ304+GN$244&gt;73,"",PRODUCT(INDEX($T$19:$T$93,GN$244):INDEX($T$19:$T$93,GN$244+$FJ304-1)))</f>
        <v/>
      </c>
      <c r="GO304" s="479" t="str">
        <f ca="1">IF($FJ304+GO$244&gt;73,"",PRODUCT(INDEX($T$19:$T$93,GO$244):INDEX($T$19:$T$93,GO$244+$FJ304-1)))</f>
        <v/>
      </c>
      <c r="GP304" s="479" t="str">
        <f ca="1">IF($FJ304+GP$244&gt;73,"",PRODUCT(INDEX($T$19:$T$93,GP$244):INDEX($T$19:$T$93,GP$244+$FJ304-1)))</f>
        <v/>
      </c>
      <c r="GQ304" s="479" t="str">
        <f ca="1">IF($FJ304+GQ$244&gt;73,"",PRODUCT(INDEX($T$19:$T$93,GQ$244):INDEX($T$19:$T$93,GQ$244+$FJ304-1)))</f>
        <v/>
      </c>
      <c r="GR304" s="479" t="str">
        <f ca="1">IF($FJ304+GR$244&gt;73,"",PRODUCT(INDEX($T$19:$T$93,GR$244):INDEX($T$19:$T$93,GR$244+$FJ304-1)))</f>
        <v/>
      </c>
      <c r="GS304" s="479" t="str">
        <f ca="1">IF($FJ304+GS$244&gt;73,"",PRODUCT(INDEX($T$19:$T$93,GS$244):INDEX($T$19:$T$93,GS$244+$FJ304-1)))</f>
        <v/>
      </c>
      <c r="GT304" s="479" t="str">
        <f ca="1">IF($FJ304+GT$244&gt;73,"",PRODUCT(INDEX($T$19:$T$93,GT$244):INDEX($T$19:$T$93,GT$244+$FJ304-1)))</f>
        <v/>
      </c>
      <c r="GU304" s="479" t="str">
        <f ca="1">IF($FJ304+GU$244&gt;73,"",PRODUCT(INDEX($T$19:$T$93,GU$244):INDEX($T$19:$T$93,GU$244+$FJ304-1)))</f>
        <v/>
      </c>
      <c r="GV304" s="479" t="str">
        <f ca="1">IF($FJ304+GV$244&gt;73,"",PRODUCT(INDEX($T$19:$T$93,GV$244):INDEX($T$19:$T$93,GV$244+$FJ304-1)))</f>
        <v/>
      </c>
      <c r="GW304" s="479" t="str">
        <f ca="1">IF($FJ304+GW$244&gt;73,"",PRODUCT(INDEX($T$19:$T$93,GW$244):INDEX($T$19:$T$93,GW$244+$FJ304-1)))</f>
        <v/>
      </c>
      <c r="GX304" s="479" t="str">
        <f ca="1">IF($FJ304+GX$244&gt;73,"",PRODUCT(INDEX($T$19:$T$93,GX$244):INDEX($T$19:$T$93,GX$244+$FJ304-1)))</f>
        <v/>
      </c>
      <c r="GY304" s="479" t="str">
        <f ca="1">IF($FJ304+GY$244&gt;73,"",PRODUCT(INDEX($T$19:$T$93,GY$244):INDEX($T$19:$T$93,GY$244+$FJ304-1)))</f>
        <v/>
      </c>
      <c r="GZ304" s="479" t="str">
        <f ca="1">IF($FJ304+GZ$244&gt;73,"",PRODUCT(INDEX($T$19:$T$93,GZ$244):INDEX($T$19:$T$93,GZ$244+$FJ304-1)))</f>
        <v/>
      </c>
      <c r="HA304" s="479" t="str">
        <f ca="1">IF($FJ304+HA$244&gt;73,"",PRODUCT(INDEX($T$19:$T$93,HA$244):INDEX($T$19:$T$93,HA$244+$FJ304-1)))</f>
        <v/>
      </c>
      <c r="HB304" s="479" t="str">
        <f ca="1">IF($FJ304+HB$244&gt;73,"",PRODUCT(INDEX($T$19:$T$93,HB$244):INDEX($T$19:$T$93,HB$244+$FJ304-1)))</f>
        <v/>
      </c>
      <c r="HC304" s="479" t="str">
        <f ca="1">IF($FJ304+HC$244&gt;73,"",PRODUCT(INDEX($T$19:$T$93,HC$244):INDEX($T$19:$T$93,HC$244+$FJ304-1)))</f>
        <v/>
      </c>
      <c r="HD304" s="479" t="str">
        <f ca="1">IF($FJ304+HD$244&gt;73,"",PRODUCT(INDEX($T$19:$T$93,HD$244):INDEX($T$19:$T$93,HD$244+$FJ304-1)))</f>
        <v/>
      </c>
      <c r="HE304" s="479" t="str">
        <f ca="1">IF($FJ304+HE$244&gt;73,"",PRODUCT(INDEX($T$19:$T$93,HE$244):INDEX($T$19:$T$93,HE$244+$FJ304-1)))</f>
        <v/>
      </c>
      <c r="HF304" s="479" t="str">
        <f ca="1">IF($FJ304+HF$244&gt;73,"",PRODUCT(INDEX($T$19:$T$93,HF$244):INDEX($T$19:$T$93,HF$244+$FJ304-1)))</f>
        <v/>
      </c>
      <c r="HG304" s="479" t="str">
        <f ca="1">IF($FJ304+HG$244&gt;73,"",PRODUCT(INDEX($T$19:$T$93,HG$244):INDEX($T$19:$T$93,HG$244+$FJ304-1)))</f>
        <v/>
      </c>
      <c r="HH304" s="479" t="str">
        <f ca="1">IF($FJ304+HH$244&gt;73,"",PRODUCT(INDEX($T$19:$T$93,HH$244):INDEX($T$19:$T$93,HH$244+$FJ304-1)))</f>
        <v/>
      </c>
      <c r="HI304" s="479" t="str">
        <f ca="1">IF($FJ304+HI$244&gt;73,"",PRODUCT(INDEX($T$19:$T$93,HI$244):INDEX($T$19:$T$93,HI$244+$FJ304-1)))</f>
        <v/>
      </c>
      <c r="HJ304" s="479" t="str">
        <f ca="1">IF($FJ304+HJ$244&gt;73,"",PRODUCT(INDEX($T$19:$T$93,HJ$244):INDEX($T$19:$T$93,HJ$244+$FJ304-1)))</f>
        <v/>
      </c>
      <c r="HK304" s="479" t="str">
        <f ca="1">IF($FJ304+HK$244&gt;73,"",PRODUCT(INDEX($T$19:$T$93,HK$244):INDEX($T$19:$T$93,HK$244+$FJ304-1)))</f>
        <v/>
      </c>
      <c r="HL304" s="479" t="str">
        <f ca="1">IF($FJ304+HL$244&gt;73,"",PRODUCT(INDEX($T$19:$T$93,HL$244):INDEX($T$19:$T$93,HL$244+$FJ304-1)))</f>
        <v/>
      </c>
      <c r="HM304" s="479" t="str">
        <f ca="1">IF($FJ304+HM$244&gt;73,"",PRODUCT(INDEX($T$19:$T$93,HM$244):INDEX($T$19:$T$93,HM$244+$FJ304-1)))</f>
        <v/>
      </c>
      <c r="HN304" s="479" t="str">
        <f ca="1">IF($FJ304+HN$244&gt;73,"",PRODUCT(INDEX($T$19:$T$93,HN$244):INDEX($T$19:$T$93,HN$244+$FJ304-1)))</f>
        <v/>
      </c>
      <c r="HO304" s="479" t="str">
        <f ca="1">IF($FJ304+HO$244&gt;73,"",PRODUCT(INDEX($T$19:$T$93,HO$244):INDEX($T$19:$T$93,HO$244+$FJ304-1)))</f>
        <v/>
      </c>
      <c r="HP304" s="479" t="str">
        <f ca="1">IF($FJ304+HP$244&gt;73,"",PRODUCT(INDEX($T$19:$T$93,HP$244):INDEX($T$19:$T$93,HP$244+$FJ304-1)))</f>
        <v/>
      </c>
      <c r="HQ304" s="479" t="str">
        <f ca="1">IF($FJ304+HQ$244&gt;73,"",PRODUCT(INDEX($T$19:$T$93,HQ$244):INDEX($T$19:$T$93,HQ$244+$FJ304-1)))</f>
        <v/>
      </c>
      <c r="HR304" s="479">
        <f ca="1">IF($FJ304+HR$244&gt;73,"",PRODUCT(INDEX($T$19:$T$93,HR$244):INDEX($T$19:$T$93,HR$244+$FJ304-1)))</f>
        <v>0.86844094098443447</v>
      </c>
      <c r="HS304" s="479">
        <f ca="1">IF($FJ304+HS$244&gt;73,"",PRODUCT(INDEX($T$19:$T$93,HS$244):INDEX($T$19:$T$93,HS$244+$FJ304-1)))</f>
        <v>0.8474746720359132</v>
      </c>
      <c r="HT304" s="479">
        <f ca="1">IF($FJ304+HT$244&gt;73,"",PRODUCT(INDEX($T$19:$T$93,HT$244):INDEX($T$19:$T$93,HT$244+$FJ304-1)))</f>
        <v>0.82344072771859056</v>
      </c>
      <c r="HU304" s="479">
        <f ca="1">IF($FJ304+HU$244&gt;73,"",PRODUCT(INDEX($T$19:$T$93,HU$244):INDEX($T$19:$T$93,HU$244+$FJ304-1)))</f>
        <v>0.79599178914027979</v>
      </c>
      <c r="HV304" s="479">
        <f ca="1">IF($FJ304+HV$244&gt;73,"",PRODUCT(INDEX($T$19:$T$93,HV$244):INDEX($T$19:$T$93,HV$244+$FJ304-1)))</f>
        <v>0.76478032984492472</v>
      </c>
      <c r="HW304" s="479">
        <f ca="1">IF($FJ304+HW$244&gt;73,"",PRODUCT(INDEX($T$19:$T$93,HW$244):INDEX($T$19:$T$93,HW$244+$FJ304-1)))</f>
        <v>0.72947685997836476</v>
      </c>
      <c r="HX304" s="479">
        <f ca="1">IF($FJ304+HX$244&gt;73,"",PRODUCT(INDEX($T$19:$T$93,HX$244):INDEX($T$19:$T$93,HX$244+$FJ304-1)))</f>
        <v>0.68979589321287682</v>
      </c>
      <c r="HY304" s="479">
        <f ca="1">IF($FJ304+HY$244&gt;73,"",PRODUCT(INDEX($T$19:$T$93,HY$244):INDEX($T$19:$T$93,HY$244+$FJ304-1)))</f>
        <v>0.6455313985817519</v>
      </c>
      <c r="HZ304" s="479">
        <f ca="1">IF($FJ304+HZ$244&gt;73,"",PRODUCT(INDEX($T$19:$T$93,HZ$244):INDEX($T$19:$T$93,HZ$244+$FJ304-1)))</f>
        <v>0.59660327900014409</v>
      </c>
      <c r="IA304" s="479">
        <f ca="1">IF($FJ304+IA$244&gt;73,"",PRODUCT(INDEX($T$19:$T$93,IA$244):INDEX($T$19:$T$93,IA$244+$FJ304-1)))</f>
        <v>0.54311565117422211</v>
      </c>
      <c r="IB304" s="479">
        <f ca="1">IF($FJ304+IB$244&gt;73,"",PRODUCT(INDEX($T$19:$T$93,IB$244):INDEX($T$19:$T$93,IB$244+$FJ304-1)))</f>
        <v>0.48542601995835788</v>
      </c>
      <c r="IC304" s="479">
        <f ca="1">IF($FJ304+IC$244&gt;73,"",PRODUCT(INDEX($T$19:$T$93,IC$244):INDEX($T$19:$T$93,IC$244+$FJ304-1)))</f>
        <v>0.42422135781981696</v>
      </c>
      <c r="ID304" s="678">
        <f ca="1">IF($FJ304+ID$244&gt;73,"",PRODUCT(INDEX($T$19:$T$93,ID$244):INDEX($T$19:$T$93,ID$244+$FJ304-1)))</f>
        <v>0.36059207625278727</v>
      </c>
      <c r="IE304" s="250"/>
    </row>
    <row r="305" spans="9:239">
      <c r="I305" s="137"/>
      <c r="J305" s="375"/>
      <c r="K305" s="138"/>
      <c r="L305" s="1"/>
      <c r="M305" s="376"/>
      <c r="P305" s="375"/>
      <c r="S305" s="55"/>
      <c r="T305" s="375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374"/>
      <c r="AP305" s="1"/>
      <c r="AQ305" s="374"/>
      <c r="AR305" s="1"/>
      <c r="AS305" s="1"/>
      <c r="AT305" s="106"/>
      <c r="AU305" s="106"/>
      <c r="AV305" s="106"/>
      <c r="AW305" s="31"/>
      <c r="AX305" s="31"/>
      <c r="AY305" s="31"/>
      <c r="AZ305" s="31"/>
      <c r="BA305" s="154"/>
      <c r="BB305" s="154"/>
      <c r="BC305" s="106"/>
      <c r="BD305" s="106"/>
      <c r="BE305" s="106"/>
      <c r="BF305" s="107"/>
      <c r="BG305" s="107"/>
      <c r="BH305" s="107"/>
      <c r="BI305" s="105"/>
      <c r="BJ305" s="107"/>
      <c r="BK305" s="107"/>
      <c r="BL305" s="106"/>
      <c r="BM305" s="108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7"/>
      <c r="CE305" s="107"/>
      <c r="CF305" s="107"/>
      <c r="CG305" s="107"/>
      <c r="CH305" s="107"/>
      <c r="CI305" s="107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475"/>
      <c r="DI305" s="110"/>
      <c r="DJ305" s="110"/>
      <c r="DK305" s="475"/>
      <c r="DL305" s="53"/>
      <c r="DM305" s="54"/>
      <c r="DN305" s="54"/>
      <c r="DO305" s="54"/>
      <c r="DP305" s="54"/>
      <c r="DQ305" s="54"/>
      <c r="DR305" s="54"/>
      <c r="DS305" s="54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L305" s="55"/>
      <c r="EM305" s="1"/>
      <c r="EN305" s="106"/>
      <c r="EO305" s="105"/>
      <c r="EP305" s="1"/>
      <c r="EQ305" s="106"/>
      <c r="ER305" s="1"/>
      <c r="ES305" s="1"/>
      <c r="ET305" s="1"/>
      <c r="EU305" s="107"/>
      <c r="FJ305" s="673">
        <v>61</v>
      </c>
      <c r="FK305" s="479" t="str">
        <f ca="1">IF($FJ305+FK$244&gt;73,"",PRODUCT(INDEX($T$19:$T$93,FK$244):INDEX($T$19:$T$93,FK$244+$FJ305-1)))</f>
        <v/>
      </c>
      <c r="FL305" s="479" t="str">
        <f ca="1">IF($FJ305+FL$244&gt;73,"",PRODUCT(INDEX($T$19:$T$93,FL$244):INDEX($T$19:$T$93,FL$244+$FJ305-1)))</f>
        <v/>
      </c>
      <c r="FM305" s="479" t="str">
        <f ca="1">IF($FJ305+FM$244&gt;73,"",PRODUCT(INDEX($T$19:$T$93,FM$244):INDEX($T$19:$T$93,FM$244+$FJ305-1)))</f>
        <v/>
      </c>
      <c r="FN305" s="479" t="str">
        <f ca="1">IF($FJ305+FN$244&gt;73,"",PRODUCT(INDEX($T$19:$T$93,FN$244):INDEX($T$19:$T$93,FN$244+$FJ305-1)))</f>
        <v/>
      </c>
      <c r="FO305" s="479" t="str">
        <f ca="1">IF($FJ305+FO$244&gt;73,"",PRODUCT(INDEX($T$19:$T$93,FO$244):INDEX($T$19:$T$93,FO$244+$FJ305-1)))</f>
        <v/>
      </c>
      <c r="FP305" s="479" t="str">
        <f ca="1">IF($FJ305+FP$244&gt;73,"",PRODUCT(INDEX($T$19:$T$93,FP$244):INDEX($T$19:$T$93,FP$244+$FJ305-1)))</f>
        <v/>
      </c>
      <c r="FQ305" s="479" t="str">
        <f ca="1">IF($FJ305+FQ$244&gt;73,"",PRODUCT(INDEX($T$19:$T$93,FQ$244):INDEX($T$19:$T$93,FQ$244+$FJ305-1)))</f>
        <v/>
      </c>
      <c r="FR305" s="479" t="str">
        <f ca="1">IF($FJ305+FR$244&gt;73,"",PRODUCT(INDEX($T$19:$T$93,FR$244):INDEX($T$19:$T$93,FR$244+$FJ305-1)))</f>
        <v/>
      </c>
      <c r="FS305" s="479" t="str">
        <f ca="1">IF($FJ305+FS$244&gt;73,"",PRODUCT(INDEX($T$19:$T$93,FS$244):INDEX($T$19:$T$93,FS$244+$FJ305-1)))</f>
        <v/>
      </c>
      <c r="FT305" s="479" t="str">
        <f ca="1">IF($FJ305+FT$244&gt;73,"",PRODUCT(INDEX($T$19:$T$93,FT$244):INDEX($T$19:$T$93,FT$244+$FJ305-1)))</f>
        <v/>
      </c>
      <c r="FU305" s="479" t="str">
        <f ca="1">IF($FJ305+FU$244&gt;73,"",PRODUCT(INDEX($T$19:$T$93,FU$244):INDEX($T$19:$T$93,FU$244+$FJ305-1)))</f>
        <v/>
      </c>
      <c r="FV305" s="479" t="str">
        <f ca="1">IF($FJ305+FV$244&gt;73,"",PRODUCT(INDEX($T$19:$T$93,FV$244):INDEX($T$19:$T$93,FV$244+$FJ305-1)))</f>
        <v/>
      </c>
      <c r="FW305" s="479" t="str">
        <f ca="1">IF($FJ305+FW$244&gt;73,"",PRODUCT(INDEX($T$19:$T$93,FW$244):INDEX($T$19:$T$93,FW$244+$FJ305-1)))</f>
        <v/>
      </c>
      <c r="FX305" s="479" t="str">
        <f ca="1">IF($FJ305+FX$244&gt;73,"",PRODUCT(INDEX($T$19:$T$93,FX$244):INDEX($T$19:$T$93,FX$244+$FJ305-1)))</f>
        <v/>
      </c>
      <c r="FY305" s="479" t="str">
        <f ca="1">IF($FJ305+FY$244&gt;73,"",PRODUCT(INDEX($T$19:$T$93,FY$244):INDEX($T$19:$T$93,FY$244+$FJ305-1)))</f>
        <v/>
      </c>
      <c r="FZ305" s="479" t="str">
        <f ca="1">IF($FJ305+FZ$244&gt;73,"",PRODUCT(INDEX($T$19:$T$93,FZ$244):INDEX($T$19:$T$93,FZ$244+$FJ305-1)))</f>
        <v/>
      </c>
      <c r="GA305" s="479" t="str">
        <f ca="1">IF($FJ305+GA$244&gt;73,"",PRODUCT(INDEX($T$19:$T$93,GA$244):INDEX($T$19:$T$93,GA$244+$FJ305-1)))</f>
        <v/>
      </c>
      <c r="GB305" s="479" t="str">
        <f ca="1">IF($FJ305+GB$244&gt;73,"",PRODUCT(INDEX($T$19:$T$93,GB$244):INDEX($T$19:$T$93,GB$244+$FJ305-1)))</f>
        <v/>
      </c>
      <c r="GC305" s="479" t="str">
        <f ca="1">IF($FJ305+GC$244&gt;73,"",PRODUCT(INDEX($T$19:$T$93,GC$244):INDEX($T$19:$T$93,GC$244+$FJ305-1)))</f>
        <v/>
      </c>
      <c r="GD305" s="479" t="str">
        <f ca="1">IF($FJ305+GD$244&gt;73,"",PRODUCT(INDEX($T$19:$T$93,GD$244):INDEX($T$19:$T$93,GD$244+$FJ305-1)))</f>
        <v/>
      </c>
      <c r="GE305" s="479" t="str">
        <f ca="1">IF($FJ305+GE$244&gt;73,"",PRODUCT(INDEX($T$19:$T$93,GE$244):INDEX($T$19:$T$93,GE$244+$FJ305-1)))</f>
        <v/>
      </c>
      <c r="GF305" s="479" t="str">
        <f ca="1">IF($FJ305+GF$244&gt;73,"",PRODUCT(INDEX($T$19:$T$93,GF$244):INDEX($T$19:$T$93,GF$244+$FJ305-1)))</f>
        <v/>
      </c>
      <c r="GG305" s="479" t="str">
        <f ca="1">IF($FJ305+GG$244&gt;73,"",PRODUCT(INDEX($T$19:$T$93,GG$244):INDEX($T$19:$T$93,GG$244+$FJ305-1)))</f>
        <v/>
      </c>
      <c r="GH305" s="479" t="str">
        <f ca="1">IF($FJ305+GH$244&gt;73,"",PRODUCT(INDEX($T$19:$T$93,GH$244):INDEX($T$19:$T$93,GH$244+$FJ305-1)))</f>
        <v/>
      </c>
      <c r="GI305" s="479" t="str">
        <f ca="1">IF($FJ305+GI$244&gt;73,"",PRODUCT(INDEX($T$19:$T$93,GI$244):INDEX($T$19:$T$93,GI$244+$FJ305-1)))</f>
        <v/>
      </c>
      <c r="GJ305" s="479" t="str">
        <f ca="1">IF($FJ305+GJ$244&gt;73,"",PRODUCT(INDEX($T$19:$T$93,GJ$244):INDEX($T$19:$T$93,GJ$244+$FJ305-1)))</f>
        <v/>
      </c>
      <c r="GK305" s="479" t="str">
        <f ca="1">IF($FJ305+GK$244&gt;73,"",PRODUCT(INDEX($T$19:$T$93,GK$244):INDEX($T$19:$T$93,GK$244+$FJ305-1)))</f>
        <v/>
      </c>
      <c r="GL305" s="479" t="str">
        <f ca="1">IF($FJ305+GL$244&gt;73,"",PRODUCT(INDEX($T$19:$T$93,GL$244):INDEX($T$19:$T$93,GL$244+$FJ305-1)))</f>
        <v/>
      </c>
      <c r="GM305" s="479" t="str">
        <f ca="1">IF($FJ305+GM$244&gt;73,"",PRODUCT(INDEX($T$19:$T$93,GM$244):INDEX($T$19:$T$93,GM$244+$FJ305-1)))</f>
        <v/>
      </c>
      <c r="GN305" s="479" t="str">
        <f ca="1">IF($FJ305+GN$244&gt;73,"",PRODUCT(INDEX($T$19:$T$93,GN$244):INDEX($T$19:$T$93,GN$244+$FJ305-1)))</f>
        <v/>
      </c>
      <c r="GO305" s="479" t="str">
        <f ca="1">IF($FJ305+GO$244&gt;73,"",PRODUCT(INDEX($T$19:$T$93,GO$244):INDEX($T$19:$T$93,GO$244+$FJ305-1)))</f>
        <v/>
      </c>
      <c r="GP305" s="479" t="str">
        <f ca="1">IF($FJ305+GP$244&gt;73,"",PRODUCT(INDEX($T$19:$T$93,GP$244):INDEX($T$19:$T$93,GP$244+$FJ305-1)))</f>
        <v/>
      </c>
      <c r="GQ305" s="479" t="str">
        <f ca="1">IF($FJ305+GQ$244&gt;73,"",PRODUCT(INDEX($T$19:$T$93,GQ$244):INDEX($T$19:$T$93,GQ$244+$FJ305-1)))</f>
        <v/>
      </c>
      <c r="GR305" s="479" t="str">
        <f ca="1">IF($FJ305+GR$244&gt;73,"",PRODUCT(INDEX($T$19:$T$93,GR$244):INDEX($T$19:$T$93,GR$244+$FJ305-1)))</f>
        <v/>
      </c>
      <c r="GS305" s="479" t="str">
        <f ca="1">IF($FJ305+GS$244&gt;73,"",PRODUCT(INDEX($T$19:$T$93,GS$244):INDEX($T$19:$T$93,GS$244+$FJ305-1)))</f>
        <v/>
      </c>
      <c r="GT305" s="479" t="str">
        <f ca="1">IF($FJ305+GT$244&gt;73,"",PRODUCT(INDEX($T$19:$T$93,GT$244):INDEX($T$19:$T$93,GT$244+$FJ305-1)))</f>
        <v/>
      </c>
      <c r="GU305" s="479" t="str">
        <f ca="1">IF($FJ305+GU$244&gt;73,"",PRODUCT(INDEX($T$19:$T$93,GU$244):INDEX($T$19:$T$93,GU$244+$FJ305-1)))</f>
        <v/>
      </c>
      <c r="GV305" s="479" t="str">
        <f ca="1">IF($FJ305+GV$244&gt;73,"",PRODUCT(INDEX($T$19:$T$93,GV$244):INDEX($T$19:$T$93,GV$244+$FJ305-1)))</f>
        <v/>
      </c>
      <c r="GW305" s="479" t="str">
        <f ca="1">IF($FJ305+GW$244&gt;73,"",PRODUCT(INDEX($T$19:$T$93,GW$244):INDEX($T$19:$T$93,GW$244+$FJ305-1)))</f>
        <v/>
      </c>
      <c r="GX305" s="479" t="str">
        <f ca="1">IF($FJ305+GX$244&gt;73,"",PRODUCT(INDEX($T$19:$T$93,GX$244):INDEX($T$19:$T$93,GX$244+$FJ305-1)))</f>
        <v/>
      </c>
      <c r="GY305" s="479" t="str">
        <f ca="1">IF($FJ305+GY$244&gt;73,"",PRODUCT(INDEX($T$19:$T$93,GY$244):INDEX($T$19:$T$93,GY$244+$FJ305-1)))</f>
        <v/>
      </c>
      <c r="GZ305" s="479" t="str">
        <f ca="1">IF($FJ305+GZ$244&gt;73,"",PRODUCT(INDEX($T$19:$T$93,GZ$244):INDEX($T$19:$T$93,GZ$244+$FJ305-1)))</f>
        <v/>
      </c>
      <c r="HA305" s="479" t="str">
        <f ca="1">IF($FJ305+HA$244&gt;73,"",PRODUCT(INDEX($T$19:$T$93,HA$244):INDEX($T$19:$T$93,HA$244+$FJ305-1)))</f>
        <v/>
      </c>
      <c r="HB305" s="479" t="str">
        <f ca="1">IF($FJ305+HB$244&gt;73,"",PRODUCT(INDEX($T$19:$T$93,HB$244):INDEX($T$19:$T$93,HB$244+$FJ305-1)))</f>
        <v/>
      </c>
      <c r="HC305" s="479" t="str">
        <f ca="1">IF($FJ305+HC$244&gt;73,"",PRODUCT(INDEX($T$19:$T$93,HC$244):INDEX($T$19:$T$93,HC$244+$FJ305-1)))</f>
        <v/>
      </c>
      <c r="HD305" s="479" t="str">
        <f ca="1">IF($FJ305+HD$244&gt;73,"",PRODUCT(INDEX($T$19:$T$93,HD$244):INDEX($T$19:$T$93,HD$244+$FJ305-1)))</f>
        <v/>
      </c>
      <c r="HE305" s="479" t="str">
        <f ca="1">IF($FJ305+HE$244&gt;73,"",PRODUCT(INDEX($T$19:$T$93,HE$244):INDEX($T$19:$T$93,HE$244+$FJ305-1)))</f>
        <v/>
      </c>
      <c r="HF305" s="479" t="str">
        <f ca="1">IF($FJ305+HF$244&gt;73,"",PRODUCT(INDEX($T$19:$T$93,HF$244):INDEX($T$19:$T$93,HF$244+$FJ305-1)))</f>
        <v/>
      </c>
      <c r="HG305" s="479" t="str">
        <f ca="1">IF($FJ305+HG$244&gt;73,"",PRODUCT(INDEX($T$19:$T$93,HG$244):INDEX($T$19:$T$93,HG$244+$FJ305-1)))</f>
        <v/>
      </c>
      <c r="HH305" s="479" t="str">
        <f ca="1">IF($FJ305+HH$244&gt;73,"",PRODUCT(INDEX($T$19:$T$93,HH$244):INDEX($T$19:$T$93,HH$244+$FJ305-1)))</f>
        <v/>
      </c>
      <c r="HI305" s="479" t="str">
        <f ca="1">IF($FJ305+HI$244&gt;73,"",PRODUCT(INDEX($T$19:$T$93,HI$244):INDEX($T$19:$T$93,HI$244+$FJ305-1)))</f>
        <v/>
      </c>
      <c r="HJ305" s="479" t="str">
        <f ca="1">IF($FJ305+HJ$244&gt;73,"",PRODUCT(INDEX($T$19:$T$93,HJ$244):INDEX($T$19:$T$93,HJ$244+$FJ305-1)))</f>
        <v/>
      </c>
      <c r="HK305" s="479" t="str">
        <f ca="1">IF($FJ305+HK$244&gt;73,"",PRODUCT(INDEX($T$19:$T$93,HK$244):INDEX($T$19:$T$93,HK$244+$FJ305-1)))</f>
        <v/>
      </c>
      <c r="HL305" s="479" t="str">
        <f ca="1">IF($FJ305+HL$244&gt;73,"",PRODUCT(INDEX($T$19:$T$93,HL$244):INDEX($T$19:$T$93,HL$244+$FJ305-1)))</f>
        <v/>
      </c>
      <c r="HM305" s="479" t="str">
        <f ca="1">IF($FJ305+HM$244&gt;73,"",PRODUCT(INDEX($T$19:$T$93,HM$244):INDEX($T$19:$T$93,HM$244+$FJ305-1)))</f>
        <v/>
      </c>
      <c r="HN305" s="479" t="str">
        <f ca="1">IF($FJ305+HN$244&gt;73,"",PRODUCT(INDEX($T$19:$T$93,HN$244):INDEX($T$19:$T$93,HN$244+$FJ305-1)))</f>
        <v/>
      </c>
      <c r="HO305" s="479" t="str">
        <f ca="1">IF($FJ305+HO$244&gt;73,"",PRODUCT(INDEX($T$19:$T$93,HO$244):INDEX($T$19:$T$93,HO$244+$FJ305-1)))</f>
        <v/>
      </c>
      <c r="HP305" s="479" t="str">
        <f ca="1">IF($FJ305+HP$244&gt;73,"",PRODUCT(INDEX($T$19:$T$93,HP$244):INDEX($T$19:$T$93,HP$244+$FJ305-1)))</f>
        <v/>
      </c>
      <c r="HQ305" s="479" t="str">
        <f ca="1">IF($FJ305+HQ$244&gt;73,"",PRODUCT(INDEX($T$19:$T$93,HQ$244):INDEX($T$19:$T$93,HQ$244+$FJ305-1)))</f>
        <v/>
      </c>
      <c r="HR305" s="479" t="str">
        <f ca="1">IF($FJ305+HR$244&gt;73,"",PRODUCT(INDEX($T$19:$T$93,HR$244):INDEX($T$19:$T$93,HR$244+$FJ305-1)))</f>
        <v/>
      </c>
      <c r="HS305" s="479">
        <f ca="1">IF($FJ305+HS$244&gt;73,"",PRODUCT(INDEX($T$19:$T$93,HS$244):INDEX($T$19:$T$93,HS$244+$FJ305-1)))</f>
        <v>0.84747302673450275</v>
      </c>
      <c r="HT305" s="479">
        <f ca="1">IF($FJ305+HT$244&gt;73,"",PRODUCT(INDEX($T$19:$T$93,HT$244):INDEX($T$19:$T$93,HT$244+$FJ305-1)))</f>
        <v>0.8234388579603128</v>
      </c>
      <c r="HU305" s="479">
        <f ca="1">IF($FJ305+HU$244&gt;73,"",PRODUCT(INDEX($T$19:$T$93,HU$244):INDEX($T$19:$T$93,HU$244+$FJ305-1)))</f>
        <v>0.79598967518323305</v>
      </c>
      <c r="HV305" s="479">
        <f ca="1">IF($FJ305+HV$244&gt;73,"",PRODUCT(INDEX($T$19:$T$93,HV$244):INDEX($T$19:$T$93,HV$244+$FJ305-1)))</f>
        <v>0.7647779543242671</v>
      </c>
      <c r="HW305" s="479">
        <f ca="1">IF($FJ305+HW$244&gt;73,"",PRODUCT(INDEX($T$19:$T$93,HW$244):INDEX($T$19:$T$93,HW$244+$FJ305-1)))</f>
        <v>0.72947420984184597</v>
      </c>
      <c r="HX305" s="479">
        <f ca="1">IF($FJ305+HX$244&gt;73,"",PRODUCT(INDEX($T$19:$T$93,HX$244):INDEX($T$19:$T$93,HX$244+$FJ305-1)))</f>
        <v>0.68979296223822439</v>
      </c>
      <c r="HY305" s="479">
        <f ca="1">IF($FJ305+HY$244&gt;73,"",PRODUCT(INDEX($T$19:$T$93,HY$244):INDEX($T$19:$T$93,HY$244+$FJ305-1)))</f>
        <v>0.64552819051288002</v>
      </c>
      <c r="HZ305" s="479">
        <f ca="1">IF($FJ305+HZ$244&gt;73,"",PRODUCT(INDEX($T$19:$T$93,HZ$244):INDEX($T$19:$T$93,HZ$244+$FJ305-1)))</f>
        <v>0.59659981125683637</v>
      </c>
      <c r="IA305" s="479">
        <f ca="1">IF($FJ305+IA$244&gt;73,"",PRODUCT(INDEX($T$19:$T$93,IA$244):INDEX($T$19:$T$93,IA$244+$FJ305-1)))</f>
        <v>0.54311195894394448</v>
      </c>
      <c r="IB305" s="479">
        <f ca="1">IF($FJ305+IB$244&gt;73,"",PRODUCT(INDEX($T$19:$T$93,IB$244):INDEX($T$19:$T$93,IB$244+$FJ305-1)))</f>
        <v>0.48542216024678708</v>
      </c>
      <c r="IC305" s="479">
        <f ca="1">IF($FJ305+IC$244&gt;73,"",PRODUCT(INDEX($T$19:$T$93,IC$244):INDEX($T$19:$T$93,IC$244+$FJ305-1)))</f>
        <v>0.42421741270288993</v>
      </c>
      <c r="ID305" s="678">
        <f ca="1">IF($FJ305+ID$244&gt;73,"",PRODUCT(INDEX($T$19:$T$93,ID$244):INDEX($T$19:$T$93,ID$244+$FJ305-1)))</f>
        <v>0.36058815414684448</v>
      </c>
      <c r="IE305" s="250"/>
    </row>
    <row r="306" spans="9:239">
      <c r="I306" s="137"/>
      <c r="J306" s="375"/>
      <c r="K306" s="138"/>
      <c r="L306" s="1"/>
      <c r="M306" s="376"/>
      <c r="P306" s="375"/>
      <c r="S306" s="55"/>
      <c r="T306" s="375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374"/>
      <c r="AP306" s="1"/>
      <c r="AQ306" s="374"/>
      <c r="AR306" s="1"/>
      <c r="AS306" s="106"/>
      <c r="AT306" s="106"/>
      <c r="AU306" s="106"/>
      <c r="AV306" s="31"/>
      <c r="AW306" s="31"/>
      <c r="AX306" s="31"/>
      <c r="AY306" s="31"/>
      <c r="AZ306" s="154"/>
      <c r="BA306" s="154"/>
      <c r="BB306" s="106"/>
      <c r="BC306" s="106"/>
      <c r="BD306" s="106"/>
      <c r="BE306" s="106"/>
      <c r="BF306" s="107"/>
      <c r="BG306" s="107"/>
      <c r="BH306" s="107"/>
      <c r="BI306" s="107"/>
      <c r="BJ306" s="107"/>
      <c r="BK306" s="106"/>
      <c r="BL306" s="108"/>
      <c r="BM306" s="159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7"/>
      <c r="CD306" s="107"/>
      <c r="CE306" s="107"/>
      <c r="CF306" s="107"/>
      <c r="CG306" s="107"/>
      <c r="CH306" s="107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475"/>
      <c r="DI306" s="110"/>
      <c r="DJ306" s="1"/>
      <c r="DK306" s="475"/>
      <c r="DL306" s="54"/>
      <c r="DM306" s="54"/>
      <c r="DN306" s="54"/>
      <c r="DO306" s="54"/>
      <c r="DP306" s="54"/>
      <c r="DQ306" s="54"/>
      <c r="DR306" s="54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L306" s="55"/>
      <c r="EM306" s="1"/>
      <c r="EN306" s="105"/>
      <c r="EO306" s="106"/>
      <c r="EP306" s="1"/>
      <c r="EQ306" s="106"/>
      <c r="ER306" s="1"/>
      <c r="ES306" s="1"/>
      <c r="ET306" s="1"/>
      <c r="EU306" s="105"/>
      <c r="FJ306" s="673">
        <v>62</v>
      </c>
      <c r="FK306" s="479" t="str">
        <f ca="1">IF($FJ306+FK$244&gt;73,"",PRODUCT(INDEX($T$19:$T$93,FK$244):INDEX($T$19:$T$93,FK$244+$FJ306-1)))</f>
        <v/>
      </c>
      <c r="FL306" s="479" t="str">
        <f ca="1">IF($FJ306+FL$244&gt;73,"",PRODUCT(INDEX($T$19:$T$93,FL$244):INDEX($T$19:$T$93,FL$244+$FJ306-1)))</f>
        <v/>
      </c>
      <c r="FM306" s="479" t="str">
        <f ca="1">IF($FJ306+FM$244&gt;73,"",PRODUCT(INDEX($T$19:$T$93,FM$244):INDEX($T$19:$T$93,FM$244+$FJ306-1)))</f>
        <v/>
      </c>
      <c r="FN306" s="479" t="str">
        <f ca="1">IF($FJ306+FN$244&gt;73,"",PRODUCT(INDEX($T$19:$T$93,FN$244):INDEX($T$19:$T$93,FN$244+$FJ306-1)))</f>
        <v/>
      </c>
      <c r="FO306" s="479" t="str">
        <f ca="1">IF($FJ306+FO$244&gt;73,"",PRODUCT(INDEX($T$19:$T$93,FO$244):INDEX($T$19:$T$93,FO$244+$FJ306-1)))</f>
        <v/>
      </c>
      <c r="FP306" s="479" t="str">
        <f ca="1">IF($FJ306+FP$244&gt;73,"",PRODUCT(INDEX($T$19:$T$93,FP$244):INDEX($T$19:$T$93,FP$244+$FJ306-1)))</f>
        <v/>
      </c>
      <c r="FQ306" s="479" t="str">
        <f ca="1">IF($FJ306+FQ$244&gt;73,"",PRODUCT(INDEX($T$19:$T$93,FQ$244):INDEX($T$19:$T$93,FQ$244+$FJ306-1)))</f>
        <v/>
      </c>
      <c r="FR306" s="479" t="str">
        <f ca="1">IF($FJ306+FR$244&gt;73,"",PRODUCT(INDEX($T$19:$T$93,FR$244):INDEX($T$19:$T$93,FR$244+$FJ306-1)))</f>
        <v/>
      </c>
      <c r="FS306" s="479" t="str">
        <f ca="1">IF($FJ306+FS$244&gt;73,"",PRODUCT(INDEX($T$19:$T$93,FS$244):INDEX($T$19:$T$93,FS$244+$FJ306-1)))</f>
        <v/>
      </c>
      <c r="FT306" s="479" t="str">
        <f ca="1">IF($FJ306+FT$244&gt;73,"",PRODUCT(INDEX($T$19:$T$93,FT$244):INDEX($T$19:$T$93,FT$244+$FJ306-1)))</f>
        <v/>
      </c>
      <c r="FU306" s="479" t="str">
        <f ca="1">IF($FJ306+FU$244&gt;73,"",PRODUCT(INDEX($T$19:$T$93,FU$244):INDEX($T$19:$T$93,FU$244+$FJ306-1)))</f>
        <v/>
      </c>
      <c r="FV306" s="479" t="str">
        <f ca="1">IF($FJ306+FV$244&gt;73,"",PRODUCT(INDEX($T$19:$T$93,FV$244):INDEX($T$19:$T$93,FV$244+$FJ306-1)))</f>
        <v/>
      </c>
      <c r="FW306" s="479" t="str">
        <f ca="1">IF($FJ306+FW$244&gt;73,"",PRODUCT(INDEX($T$19:$T$93,FW$244):INDEX($T$19:$T$93,FW$244+$FJ306-1)))</f>
        <v/>
      </c>
      <c r="FX306" s="479" t="str">
        <f ca="1">IF($FJ306+FX$244&gt;73,"",PRODUCT(INDEX($T$19:$T$93,FX$244):INDEX($T$19:$T$93,FX$244+$FJ306-1)))</f>
        <v/>
      </c>
      <c r="FY306" s="479" t="str">
        <f ca="1">IF($FJ306+FY$244&gt;73,"",PRODUCT(INDEX($T$19:$T$93,FY$244):INDEX($T$19:$T$93,FY$244+$FJ306-1)))</f>
        <v/>
      </c>
      <c r="FZ306" s="479" t="str">
        <f ca="1">IF($FJ306+FZ$244&gt;73,"",PRODUCT(INDEX($T$19:$T$93,FZ$244):INDEX($T$19:$T$93,FZ$244+$FJ306-1)))</f>
        <v/>
      </c>
      <c r="GA306" s="479" t="str">
        <f ca="1">IF($FJ306+GA$244&gt;73,"",PRODUCT(INDEX($T$19:$T$93,GA$244):INDEX($T$19:$T$93,GA$244+$FJ306-1)))</f>
        <v/>
      </c>
      <c r="GB306" s="479" t="str">
        <f ca="1">IF($FJ306+GB$244&gt;73,"",PRODUCT(INDEX($T$19:$T$93,GB$244):INDEX($T$19:$T$93,GB$244+$FJ306-1)))</f>
        <v/>
      </c>
      <c r="GC306" s="479" t="str">
        <f ca="1">IF($FJ306+GC$244&gt;73,"",PRODUCT(INDEX($T$19:$T$93,GC$244):INDEX($T$19:$T$93,GC$244+$FJ306-1)))</f>
        <v/>
      </c>
      <c r="GD306" s="479" t="str">
        <f ca="1">IF($FJ306+GD$244&gt;73,"",PRODUCT(INDEX($T$19:$T$93,GD$244):INDEX($T$19:$T$93,GD$244+$FJ306-1)))</f>
        <v/>
      </c>
      <c r="GE306" s="479" t="str">
        <f ca="1">IF($FJ306+GE$244&gt;73,"",PRODUCT(INDEX($T$19:$T$93,GE$244):INDEX($T$19:$T$93,GE$244+$FJ306-1)))</f>
        <v/>
      </c>
      <c r="GF306" s="479" t="str">
        <f ca="1">IF($FJ306+GF$244&gt;73,"",PRODUCT(INDEX($T$19:$T$93,GF$244):INDEX($T$19:$T$93,GF$244+$FJ306-1)))</f>
        <v/>
      </c>
      <c r="GG306" s="479" t="str">
        <f ca="1">IF($FJ306+GG$244&gt;73,"",PRODUCT(INDEX($T$19:$T$93,GG$244):INDEX($T$19:$T$93,GG$244+$FJ306-1)))</f>
        <v/>
      </c>
      <c r="GH306" s="479" t="str">
        <f ca="1">IF($FJ306+GH$244&gt;73,"",PRODUCT(INDEX($T$19:$T$93,GH$244):INDEX($T$19:$T$93,GH$244+$FJ306-1)))</f>
        <v/>
      </c>
      <c r="GI306" s="479" t="str">
        <f ca="1">IF($FJ306+GI$244&gt;73,"",PRODUCT(INDEX($T$19:$T$93,GI$244):INDEX($T$19:$T$93,GI$244+$FJ306-1)))</f>
        <v/>
      </c>
      <c r="GJ306" s="479" t="str">
        <f ca="1">IF($FJ306+GJ$244&gt;73,"",PRODUCT(INDEX($T$19:$T$93,GJ$244):INDEX($T$19:$T$93,GJ$244+$FJ306-1)))</f>
        <v/>
      </c>
      <c r="GK306" s="479" t="str">
        <f ca="1">IF($FJ306+GK$244&gt;73,"",PRODUCT(INDEX($T$19:$T$93,GK$244):INDEX($T$19:$T$93,GK$244+$FJ306-1)))</f>
        <v/>
      </c>
      <c r="GL306" s="479" t="str">
        <f ca="1">IF($FJ306+GL$244&gt;73,"",PRODUCT(INDEX($T$19:$T$93,GL$244):INDEX($T$19:$T$93,GL$244+$FJ306-1)))</f>
        <v/>
      </c>
      <c r="GM306" s="479" t="str">
        <f ca="1">IF($FJ306+GM$244&gt;73,"",PRODUCT(INDEX($T$19:$T$93,GM$244):INDEX($T$19:$T$93,GM$244+$FJ306-1)))</f>
        <v/>
      </c>
      <c r="GN306" s="479" t="str">
        <f ca="1">IF($FJ306+GN$244&gt;73,"",PRODUCT(INDEX($T$19:$T$93,GN$244):INDEX($T$19:$T$93,GN$244+$FJ306-1)))</f>
        <v/>
      </c>
      <c r="GO306" s="479" t="str">
        <f ca="1">IF($FJ306+GO$244&gt;73,"",PRODUCT(INDEX($T$19:$T$93,GO$244):INDEX($T$19:$T$93,GO$244+$FJ306-1)))</f>
        <v/>
      </c>
      <c r="GP306" s="479" t="str">
        <f ca="1">IF($FJ306+GP$244&gt;73,"",PRODUCT(INDEX($T$19:$T$93,GP$244):INDEX($T$19:$T$93,GP$244+$FJ306-1)))</f>
        <v/>
      </c>
      <c r="GQ306" s="479" t="str">
        <f ca="1">IF($FJ306+GQ$244&gt;73,"",PRODUCT(INDEX($T$19:$T$93,GQ$244):INDEX($T$19:$T$93,GQ$244+$FJ306-1)))</f>
        <v/>
      </c>
      <c r="GR306" s="479" t="str">
        <f ca="1">IF($FJ306+GR$244&gt;73,"",PRODUCT(INDEX($T$19:$T$93,GR$244):INDEX($T$19:$T$93,GR$244+$FJ306-1)))</f>
        <v/>
      </c>
      <c r="GS306" s="479" t="str">
        <f ca="1">IF($FJ306+GS$244&gt;73,"",PRODUCT(INDEX($T$19:$T$93,GS$244):INDEX($T$19:$T$93,GS$244+$FJ306-1)))</f>
        <v/>
      </c>
      <c r="GT306" s="479" t="str">
        <f ca="1">IF($FJ306+GT$244&gt;73,"",PRODUCT(INDEX($T$19:$T$93,GT$244):INDEX($T$19:$T$93,GT$244+$FJ306-1)))</f>
        <v/>
      </c>
      <c r="GU306" s="479" t="str">
        <f ca="1">IF($FJ306+GU$244&gt;73,"",PRODUCT(INDEX($T$19:$T$93,GU$244):INDEX($T$19:$T$93,GU$244+$FJ306-1)))</f>
        <v/>
      </c>
      <c r="GV306" s="479" t="str">
        <f ca="1">IF($FJ306+GV$244&gt;73,"",PRODUCT(INDEX($T$19:$T$93,GV$244):INDEX($T$19:$T$93,GV$244+$FJ306-1)))</f>
        <v/>
      </c>
      <c r="GW306" s="479" t="str">
        <f ca="1">IF($FJ306+GW$244&gt;73,"",PRODUCT(INDEX($T$19:$T$93,GW$244):INDEX($T$19:$T$93,GW$244+$FJ306-1)))</f>
        <v/>
      </c>
      <c r="GX306" s="479" t="str">
        <f ca="1">IF($FJ306+GX$244&gt;73,"",PRODUCT(INDEX($T$19:$T$93,GX$244):INDEX($T$19:$T$93,GX$244+$FJ306-1)))</f>
        <v/>
      </c>
      <c r="GY306" s="479" t="str">
        <f ca="1">IF($FJ306+GY$244&gt;73,"",PRODUCT(INDEX($T$19:$T$93,GY$244):INDEX($T$19:$T$93,GY$244+$FJ306-1)))</f>
        <v/>
      </c>
      <c r="GZ306" s="479" t="str">
        <f ca="1">IF($FJ306+GZ$244&gt;73,"",PRODUCT(INDEX($T$19:$T$93,GZ$244):INDEX($T$19:$T$93,GZ$244+$FJ306-1)))</f>
        <v/>
      </c>
      <c r="HA306" s="479" t="str">
        <f ca="1">IF($FJ306+HA$244&gt;73,"",PRODUCT(INDEX($T$19:$T$93,HA$244):INDEX($T$19:$T$93,HA$244+$FJ306-1)))</f>
        <v/>
      </c>
      <c r="HB306" s="479" t="str">
        <f ca="1">IF($FJ306+HB$244&gt;73,"",PRODUCT(INDEX($T$19:$T$93,HB$244):INDEX($T$19:$T$93,HB$244+$FJ306-1)))</f>
        <v/>
      </c>
      <c r="HC306" s="479" t="str">
        <f ca="1">IF($FJ306+HC$244&gt;73,"",PRODUCT(INDEX($T$19:$T$93,HC$244):INDEX($T$19:$T$93,HC$244+$FJ306-1)))</f>
        <v/>
      </c>
      <c r="HD306" s="479" t="str">
        <f ca="1">IF($FJ306+HD$244&gt;73,"",PRODUCT(INDEX($T$19:$T$93,HD$244):INDEX($T$19:$T$93,HD$244+$FJ306-1)))</f>
        <v/>
      </c>
      <c r="HE306" s="479" t="str">
        <f ca="1">IF($FJ306+HE$244&gt;73,"",PRODUCT(INDEX($T$19:$T$93,HE$244):INDEX($T$19:$T$93,HE$244+$FJ306-1)))</f>
        <v/>
      </c>
      <c r="HF306" s="479" t="str">
        <f ca="1">IF($FJ306+HF$244&gt;73,"",PRODUCT(INDEX($T$19:$T$93,HF$244):INDEX($T$19:$T$93,HF$244+$FJ306-1)))</f>
        <v/>
      </c>
      <c r="HG306" s="479" t="str">
        <f ca="1">IF($FJ306+HG$244&gt;73,"",PRODUCT(INDEX($T$19:$T$93,HG$244):INDEX($T$19:$T$93,HG$244+$FJ306-1)))</f>
        <v/>
      </c>
      <c r="HH306" s="479" t="str">
        <f ca="1">IF($FJ306+HH$244&gt;73,"",PRODUCT(INDEX($T$19:$T$93,HH$244):INDEX($T$19:$T$93,HH$244+$FJ306-1)))</f>
        <v/>
      </c>
      <c r="HI306" s="479" t="str">
        <f ca="1">IF($FJ306+HI$244&gt;73,"",PRODUCT(INDEX($T$19:$T$93,HI$244):INDEX($T$19:$T$93,HI$244+$FJ306-1)))</f>
        <v/>
      </c>
      <c r="HJ306" s="479" t="str">
        <f ca="1">IF($FJ306+HJ$244&gt;73,"",PRODUCT(INDEX($T$19:$T$93,HJ$244):INDEX($T$19:$T$93,HJ$244+$FJ306-1)))</f>
        <v/>
      </c>
      <c r="HK306" s="479" t="str">
        <f ca="1">IF($FJ306+HK$244&gt;73,"",PRODUCT(INDEX($T$19:$T$93,HK$244):INDEX($T$19:$T$93,HK$244+$FJ306-1)))</f>
        <v/>
      </c>
      <c r="HL306" s="479" t="str">
        <f ca="1">IF($FJ306+HL$244&gt;73,"",PRODUCT(INDEX($T$19:$T$93,HL$244):INDEX($T$19:$T$93,HL$244+$FJ306-1)))</f>
        <v/>
      </c>
      <c r="HM306" s="479" t="str">
        <f ca="1">IF($FJ306+HM$244&gt;73,"",PRODUCT(INDEX($T$19:$T$93,HM$244):INDEX($T$19:$T$93,HM$244+$FJ306-1)))</f>
        <v/>
      </c>
      <c r="HN306" s="479" t="str">
        <f ca="1">IF($FJ306+HN$244&gt;73,"",PRODUCT(INDEX($T$19:$T$93,HN$244):INDEX($T$19:$T$93,HN$244+$FJ306-1)))</f>
        <v/>
      </c>
      <c r="HO306" s="479" t="str">
        <f ca="1">IF($FJ306+HO$244&gt;73,"",PRODUCT(INDEX($T$19:$T$93,HO$244):INDEX($T$19:$T$93,HO$244+$FJ306-1)))</f>
        <v/>
      </c>
      <c r="HP306" s="479" t="str">
        <f ca="1">IF($FJ306+HP$244&gt;73,"",PRODUCT(INDEX($T$19:$T$93,HP$244):INDEX($T$19:$T$93,HP$244+$FJ306-1)))</f>
        <v/>
      </c>
      <c r="HQ306" s="479" t="str">
        <f ca="1">IF($FJ306+HQ$244&gt;73,"",PRODUCT(INDEX($T$19:$T$93,HQ$244):INDEX($T$19:$T$93,HQ$244+$FJ306-1)))</f>
        <v/>
      </c>
      <c r="HR306" s="479" t="str">
        <f ca="1">IF($FJ306+HR$244&gt;73,"",PRODUCT(INDEX($T$19:$T$93,HR$244):INDEX($T$19:$T$93,HR$244+$FJ306-1)))</f>
        <v/>
      </c>
      <c r="HS306" s="479" t="str">
        <f ca="1">IF($FJ306+HS$244&gt;73,"",PRODUCT(INDEX($T$19:$T$93,HS$244):INDEX($T$19:$T$93,HS$244+$FJ306-1)))</f>
        <v/>
      </c>
      <c r="HT306" s="479">
        <f ca="1">IF($FJ306+HT$244&gt;73,"",PRODUCT(INDEX($T$19:$T$93,HT$244):INDEX($T$19:$T$93,HT$244+$FJ306-1)))</f>
        <v>0.82343725932243117</v>
      </c>
      <c r="HU306" s="479">
        <f ca="1">IF($FJ306+HU$244&gt;73,"",PRODUCT(INDEX($T$19:$T$93,HU$244):INDEX($T$19:$T$93,HU$244+$FJ306-1)))</f>
        <v>0.7959878677571075</v>
      </c>
      <c r="HV306" s="479">
        <f ca="1">IF($FJ306+HV$244&gt;73,"",PRODUCT(INDEX($T$19:$T$93,HV$244):INDEX($T$19:$T$93,HV$244+$FJ306-1)))</f>
        <v>0.7647759232634348</v>
      </c>
      <c r="HW306" s="479">
        <f ca="1">IF($FJ306+HW$244&gt;73,"",PRODUCT(INDEX($T$19:$T$93,HW$244):INDEX($T$19:$T$93,HW$244+$FJ306-1)))</f>
        <v>0.72947194398721149</v>
      </c>
      <c r="HX306" s="479">
        <f ca="1">IF($FJ306+HX$244&gt;73,"",PRODUCT(INDEX($T$19:$T$93,HX$244):INDEX($T$19:$T$93,HX$244+$FJ306-1)))</f>
        <v>0.68979045627042757</v>
      </c>
      <c r="HY306" s="479">
        <f ca="1">IF($FJ306+HY$244&gt;73,"",PRODUCT(INDEX($T$19:$T$93,HY$244):INDEX($T$19:$T$93,HY$244+$FJ306-1)))</f>
        <v>0.64552544763374364</v>
      </c>
      <c r="HZ306" s="479">
        <f ca="1">IF($FJ306+HZ$244&gt;73,"",PRODUCT(INDEX($T$19:$T$93,HZ$244):INDEX($T$19:$T$93,HZ$244+$FJ306-1)))</f>
        <v>0.59659684636111221</v>
      </c>
      <c r="IA306" s="479">
        <f ca="1">IF($FJ306+IA$244&gt;73,"",PRODUCT(INDEX($T$19:$T$93,IA$244):INDEX($T$19:$T$93,IA$244+$FJ306-1)))</f>
        <v>0.54310880211774648</v>
      </c>
      <c r="IB306" s="479">
        <f ca="1">IF($FJ306+IB$244&gt;73,"",PRODUCT(INDEX($T$19:$T$93,IB$244):INDEX($T$19:$T$93,IB$244+$FJ306-1)))</f>
        <v>0.48541886023067893</v>
      </c>
      <c r="IC306" s="479">
        <f ca="1">IF($FJ306+IC$244&gt;73,"",PRODUCT(INDEX($T$19:$T$93,IC$244):INDEX($T$19:$T$93,IC$244+$FJ306-1)))</f>
        <v>0.42421403967221372</v>
      </c>
      <c r="ID306" s="678">
        <f ca="1">IF($FJ306+ID$244&gt;73,"",PRODUCT(INDEX($T$19:$T$93,ID$244):INDEX($T$19:$T$93,ID$244+$FJ306-1)))</f>
        <v>0.36058480079745653</v>
      </c>
      <c r="IE306" s="250"/>
    </row>
    <row r="307" spans="9:239">
      <c r="I307" s="137"/>
      <c r="J307" s="375"/>
      <c r="K307" s="138"/>
      <c r="L307" s="1"/>
      <c r="M307" s="376"/>
      <c r="P307" s="375"/>
      <c r="S307" s="55"/>
      <c r="T307" s="375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374"/>
      <c r="AP307" s="1"/>
      <c r="AQ307" s="374"/>
      <c r="AR307" s="1"/>
      <c r="AS307" s="106"/>
      <c r="AT307" s="106"/>
      <c r="AU307" s="106"/>
      <c r="AV307" s="31"/>
      <c r="AW307" s="31"/>
      <c r="AX307" s="31"/>
      <c r="AY307" s="31"/>
      <c r="AZ307" s="154"/>
      <c r="BA307" s="154"/>
      <c r="BB307" s="106"/>
      <c r="BC307" s="106"/>
      <c r="BD307" s="106"/>
      <c r="BE307" s="106"/>
      <c r="BF307" s="107"/>
      <c r="BG307" s="107"/>
      <c r="BH307" s="107"/>
      <c r="BI307" s="107"/>
      <c r="BJ307" s="107"/>
      <c r="BK307" s="106"/>
      <c r="BL307" s="108"/>
      <c r="BM307" s="159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7"/>
      <c r="CD307" s="107"/>
      <c r="CE307" s="107"/>
      <c r="CF307" s="107"/>
      <c r="CG307" s="107"/>
      <c r="CH307" s="107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475"/>
      <c r="DI307" s="110"/>
      <c r="DJ307" s="1"/>
      <c r="DK307" s="475"/>
      <c r="DL307" s="54"/>
      <c r="DM307" s="54"/>
      <c r="DN307" s="54"/>
      <c r="DO307" s="54"/>
      <c r="DP307" s="54"/>
      <c r="DQ307" s="54"/>
      <c r="DR307" s="54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L307" s="55"/>
      <c r="EM307" s="1"/>
      <c r="EN307" s="105"/>
      <c r="EO307" s="106"/>
      <c r="EP307" s="1"/>
      <c r="EQ307" s="106"/>
      <c r="ER307" s="1"/>
      <c r="ES307" s="1"/>
      <c r="ET307" s="1"/>
      <c r="EU307" s="105"/>
      <c r="FJ307" s="673">
        <v>63</v>
      </c>
      <c r="FK307" s="479" t="str">
        <f ca="1">IF($FJ307+FK$244&gt;73,"",PRODUCT(INDEX($T$19:$T$93,FK$244):INDEX($T$19:$T$93,FK$244+$FJ307-1)))</f>
        <v/>
      </c>
      <c r="FL307" s="479" t="str">
        <f ca="1">IF($FJ307+FL$244&gt;73,"",PRODUCT(INDEX($T$19:$T$93,FL$244):INDEX($T$19:$T$93,FL$244+$FJ307-1)))</f>
        <v/>
      </c>
      <c r="FM307" s="479" t="str">
        <f ca="1">IF($FJ307+FM$244&gt;73,"",PRODUCT(INDEX($T$19:$T$93,FM$244):INDEX($T$19:$T$93,FM$244+$FJ307-1)))</f>
        <v/>
      </c>
      <c r="FN307" s="479" t="str">
        <f ca="1">IF($FJ307+FN$244&gt;73,"",PRODUCT(INDEX($T$19:$T$93,FN$244):INDEX($T$19:$T$93,FN$244+$FJ307-1)))</f>
        <v/>
      </c>
      <c r="FO307" s="479" t="str">
        <f ca="1">IF($FJ307+FO$244&gt;73,"",PRODUCT(INDEX($T$19:$T$93,FO$244):INDEX($T$19:$T$93,FO$244+$FJ307-1)))</f>
        <v/>
      </c>
      <c r="FP307" s="479" t="str">
        <f ca="1">IF($FJ307+FP$244&gt;73,"",PRODUCT(INDEX($T$19:$T$93,FP$244):INDEX($T$19:$T$93,FP$244+$FJ307-1)))</f>
        <v/>
      </c>
      <c r="FQ307" s="479" t="str">
        <f ca="1">IF($FJ307+FQ$244&gt;73,"",PRODUCT(INDEX($T$19:$T$93,FQ$244):INDEX($T$19:$T$93,FQ$244+$FJ307-1)))</f>
        <v/>
      </c>
      <c r="FR307" s="479" t="str">
        <f ca="1">IF($FJ307+FR$244&gt;73,"",PRODUCT(INDEX($T$19:$T$93,FR$244):INDEX($T$19:$T$93,FR$244+$FJ307-1)))</f>
        <v/>
      </c>
      <c r="FS307" s="479" t="str">
        <f ca="1">IF($FJ307+FS$244&gt;73,"",PRODUCT(INDEX($T$19:$T$93,FS$244):INDEX($T$19:$T$93,FS$244+$FJ307-1)))</f>
        <v/>
      </c>
      <c r="FT307" s="479" t="str">
        <f ca="1">IF($FJ307+FT$244&gt;73,"",PRODUCT(INDEX($T$19:$T$93,FT$244):INDEX($T$19:$T$93,FT$244+$FJ307-1)))</f>
        <v/>
      </c>
      <c r="FU307" s="479" t="str">
        <f ca="1">IF($FJ307+FU$244&gt;73,"",PRODUCT(INDEX($T$19:$T$93,FU$244):INDEX($T$19:$T$93,FU$244+$FJ307-1)))</f>
        <v/>
      </c>
      <c r="FV307" s="479" t="str">
        <f ca="1">IF($FJ307+FV$244&gt;73,"",PRODUCT(INDEX($T$19:$T$93,FV$244):INDEX($T$19:$T$93,FV$244+$FJ307-1)))</f>
        <v/>
      </c>
      <c r="FW307" s="479" t="str">
        <f ca="1">IF($FJ307+FW$244&gt;73,"",PRODUCT(INDEX($T$19:$T$93,FW$244):INDEX($T$19:$T$93,FW$244+$FJ307-1)))</f>
        <v/>
      </c>
      <c r="FX307" s="479" t="str">
        <f ca="1">IF($FJ307+FX$244&gt;73,"",PRODUCT(INDEX($T$19:$T$93,FX$244):INDEX($T$19:$T$93,FX$244+$FJ307-1)))</f>
        <v/>
      </c>
      <c r="FY307" s="479" t="str">
        <f ca="1">IF($FJ307+FY$244&gt;73,"",PRODUCT(INDEX($T$19:$T$93,FY$244):INDEX($T$19:$T$93,FY$244+$FJ307-1)))</f>
        <v/>
      </c>
      <c r="FZ307" s="479" t="str">
        <f ca="1">IF($FJ307+FZ$244&gt;73,"",PRODUCT(INDEX($T$19:$T$93,FZ$244):INDEX($T$19:$T$93,FZ$244+$FJ307-1)))</f>
        <v/>
      </c>
      <c r="GA307" s="479" t="str">
        <f ca="1">IF($FJ307+GA$244&gt;73,"",PRODUCT(INDEX($T$19:$T$93,GA$244):INDEX($T$19:$T$93,GA$244+$FJ307-1)))</f>
        <v/>
      </c>
      <c r="GB307" s="479" t="str">
        <f ca="1">IF($FJ307+GB$244&gt;73,"",PRODUCT(INDEX($T$19:$T$93,GB$244):INDEX($T$19:$T$93,GB$244+$FJ307-1)))</f>
        <v/>
      </c>
      <c r="GC307" s="479" t="str">
        <f ca="1">IF($FJ307+GC$244&gt;73,"",PRODUCT(INDEX($T$19:$T$93,GC$244):INDEX($T$19:$T$93,GC$244+$FJ307-1)))</f>
        <v/>
      </c>
      <c r="GD307" s="479" t="str">
        <f ca="1">IF($FJ307+GD$244&gt;73,"",PRODUCT(INDEX($T$19:$T$93,GD$244):INDEX($T$19:$T$93,GD$244+$FJ307-1)))</f>
        <v/>
      </c>
      <c r="GE307" s="479" t="str">
        <f ca="1">IF($FJ307+GE$244&gt;73,"",PRODUCT(INDEX($T$19:$T$93,GE$244):INDEX($T$19:$T$93,GE$244+$FJ307-1)))</f>
        <v/>
      </c>
      <c r="GF307" s="479" t="str">
        <f ca="1">IF($FJ307+GF$244&gt;73,"",PRODUCT(INDEX($T$19:$T$93,GF$244):INDEX($T$19:$T$93,GF$244+$FJ307-1)))</f>
        <v/>
      </c>
      <c r="GG307" s="479" t="str">
        <f ca="1">IF($FJ307+GG$244&gt;73,"",PRODUCT(INDEX($T$19:$T$93,GG$244):INDEX($T$19:$T$93,GG$244+$FJ307-1)))</f>
        <v/>
      </c>
      <c r="GH307" s="479" t="str">
        <f ca="1">IF($FJ307+GH$244&gt;73,"",PRODUCT(INDEX($T$19:$T$93,GH$244):INDEX($T$19:$T$93,GH$244+$FJ307-1)))</f>
        <v/>
      </c>
      <c r="GI307" s="479" t="str">
        <f ca="1">IF($FJ307+GI$244&gt;73,"",PRODUCT(INDEX($T$19:$T$93,GI$244):INDEX($T$19:$T$93,GI$244+$FJ307-1)))</f>
        <v/>
      </c>
      <c r="GJ307" s="479" t="str">
        <f ca="1">IF($FJ307+GJ$244&gt;73,"",PRODUCT(INDEX($T$19:$T$93,GJ$244):INDEX($T$19:$T$93,GJ$244+$FJ307-1)))</f>
        <v/>
      </c>
      <c r="GK307" s="479" t="str">
        <f ca="1">IF($FJ307+GK$244&gt;73,"",PRODUCT(INDEX($T$19:$T$93,GK$244):INDEX($T$19:$T$93,GK$244+$FJ307-1)))</f>
        <v/>
      </c>
      <c r="GL307" s="479" t="str">
        <f ca="1">IF($FJ307+GL$244&gt;73,"",PRODUCT(INDEX($T$19:$T$93,GL$244):INDEX($T$19:$T$93,GL$244+$FJ307-1)))</f>
        <v/>
      </c>
      <c r="GM307" s="479" t="str">
        <f ca="1">IF($FJ307+GM$244&gt;73,"",PRODUCT(INDEX($T$19:$T$93,GM$244):INDEX($T$19:$T$93,GM$244+$FJ307-1)))</f>
        <v/>
      </c>
      <c r="GN307" s="479" t="str">
        <f ca="1">IF($FJ307+GN$244&gt;73,"",PRODUCT(INDEX($T$19:$T$93,GN$244):INDEX($T$19:$T$93,GN$244+$FJ307-1)))</f>
        <v/>
      </c>
      <c r="GO307" s="479" t="str">
        <f ca="1">IF($FJ307+GO$244&gt;73,"",PRODUCT(INDEX($T$19:$T$93,GO$244):INDEX($T$19:$T$93,GO$244+$FJ307-1)))</f>
        <v/>
      </c>
      <c r="GP307" s="479" t="str">
        <f ca="1">IF($FJ307+GP$244&gt;73,"",PRODUCT(INDEX($T$19:$T$93,GP$244):INDEX($T$19:$T$93,GP$244+$FJ307-1)))</f>
        <v/>
      </c>
      <c r="GQ307" s="479" t="str">
        <f ca="1">IF($FJ307+GQ$244&gt;73,"",PRODUCT(INDEX($T$19:$T$93,GQ$244):INDEX($T$19:$T$93,GQ$244+$FJ307-1)))</f>
        <v/>
      </c>
      <c r="GR307" s="479" t="str">
        <f ca="1">IF($FJ307+GR$244&gt;73,"",PRODUCT(INDEX($T$19:$T$93,GR$244):INDEX($T$19:$T$93,GR$244+$FJ307-1)))</f>
        <v/>
      </c>
      <c r="GS307" s="479" t="str">
        <f ca="1">IF($FJ307+GS$244&gt;73,"",PRODUCT(INDEX($T$19:$T$93,GS$244):INDEX($T$19:$T$93,GS$244+$FJ307-1)))</f>
        <v/>
      </c>
      <c r="GT307" s="479" t="str">
        <f ca="1">IF($FJ307+GT$244&gt;73,"",PRODUCT(INDEX($T$19:$T$93,GT$244):INDEX($T$19:$T$93,GT$244+$FJ307-1)))</f>
        <v/>
      </c>
      <c r="GU307" s="479" t="str">
        <f ca="1">IF($FJ307+GU$244&gt;73,"",PRODUCT(INDEX($T$19:$T$93,GU$244):INDEX($T$19:$T$93,GU$244+$FJ307-1)))</f>
        <v/>
      </c>
      <c r="GV307" s="479" t="str">
        <f ca="1">IF($FJ307+GV$244&gt;73,"",PRODUCT(INDEX($T$19:$T$93,GV$244):INDEX($T$19:$T$93,GV$244+$FJ307-1)))</f>
        <v/>
      </c>
      <c r="GW307" s="479" t="str">
        <f ca="1">IF($FJ307+GW$244&gt;73,"",PRODUCT(INDEX($T$19:$T$93,GW$244):INDEX($T$19:$T$93,GW$244+$FJ307-1)))</f>
        <v/>
      </c>
      <c r="GX307" s="479" t="str">
        <f ca="1">IF($FJ307+GX$244&gt;73,"",PRODUCT(INDEX($T$19:$T$93,GX$244):INDEX($T$19:$T$93,GX$244+$FJ307-1)))</f>
        <v/>
      </c>
      <c r="GY307" s="479" t="str">
        <f ca="1">IF($FJ307+GY$244&gt;73,"",PRODUCT(INDEX($T$19:$T$93,GY$244):INDEX($T$19:$T$93,GY$244+$FJ307-1)))</f>
        <v/>
      </c>
      <c r="GZ307" s="479" t="str">
        <f ca="1">IF($FJ307+GZ$244&gt;73,"",PRODUCT(INDEX($T$19:$T$93,GZ$244):INDEX($T$19:$T$93,GZ$244+$FJ307-1)))</f>
        <v/>
      </c>
      <c r="HA307" s="479" t="str">
        <f ca="1">IF($FJ307+HA$244&gt;73,"",PRODUCT(INDEX($T$19:$T$93,HA$244):INDEX($T$19:$T$93,HA$244+$FJ307-1)))</f>
        <v/>
      </c>
      <c r="HB307" s="479" t="str">
        <f ca="1">IF($FJ307+HB$244&gt;73,"",PRODUCT(INDEX($T$19:$T$93,HB$244):INDEX($T$19:$T$93,HB$244+$FJ307-1)))</f>
        <v/>
      </c>
      <c r="HC307" s="479" t="str">
        <f ca="1">IF($FJ307+HC$244&gt;73,"",PRODUCT(INDEX($T$19:$T$93,HC$244):INDEX($T$19:$T$93,HC$244+$FJ307-1)))</f>
        <v/>
      </c>
      <c r="HD307" s="479" t="str">
        <f ca="1">IF($FJ307+HD$244&gt;73,"",PRODUCT(INDEX($T$19:$T$93,HD$244):INDEX($T$19:$T$93,HD$244+$FJ307-1)))</f>
        <v/>
      </c>
      <c r="HE307" s="479" t="str">
        <f ca="1">IF($FJ307+HE$244&gt;73,"",PRODUCT(INDEX($T$19:$T$93,HE$244):INDEX($T$19:$T$93,HE$244+$FJ307-1)))</f>
        <v/>
      </c>
      <c r="HF307" s="479" t="str">
        <f ca="1">IF($FJ307+HF$244&gt;73,"",PRODUCT(INDEX($T$19:$T$93,HF$244):INDEX($T$19:$T$93,HF$244+$FJ307-1)))</f>
        <v/>
      </c>
      <c r="HG307" s="479" t="str">
        <f ca="1">IF($FJ307+HG$244&gt;73,"",PRODUCT(INDEX($T$19:$T$93,HG$244):INDEX($T$19:$T$93,HG$244+$FJ307-1)))</f>
        <v/>
      </c>
      <c r="HH307" s="479" t="str">
        <f ca="1">IF($FJ307+HH$244&gt;73,"",PRODUCT(INDEX($T$19:$T$93,HH$244):INDEX($T$19:$T$93,HH$244+$FJ307-1)))</f>
        <v/>
      </c>
      <c r="HI307" s="479" t="str">
        <f ca="1">IF($FJ307+HI$244&gt;73,"",PRODUCT(INDEX($T$19:$T$93,HI$244):INDEX($T$19:$T$93,HI$244+$FJ307-1)))</f>
        <v/>
      </c>
      <c r="HJ307" s="479" t="str">
        <f ca="1">IF($FJ307+HJ$244&gt;73,"",PRODUCT(INDEX($T$19:$T$93,HJ$244):INDEX($T$19:$T$93,HJ$244+$FJ307-1)))</f>
        <v/>
      </c>
      <c r="HK307" s="479" t="str">
        <f ca="1">IF($FJ307+HK$244&gt;73,"",PRODUCT(INDEX($T$19:$T$93,HK$244):INDEX($T$19:$T$93,HK$244+$FJ307-1)))</f>
        <v/>
      </c>
      <c r="HL307" s="479" t="str">
        <f ca="1">IF($FJ307+HL$244&gt;73,"",PRODUCT(INDEX($T$19:$T$93,HL$244):INDEX($T$19:$T$93,HL$244+$FJ307-1)))</f>
        <v/>
      </c>
      <c r="HM307" s="479" t="str">
        <f ca="1">IF($FJ307+HM$244&gt;73,"",PRODUCT(INDEX($T$19:$T$93,HM$244):INDEX($T$19:$T$93,HM$244+$FJ307-1)))</f>
        <v/>
      </c>
      <c r="HN307" s="479" t="str">
        <f ca="1">IF($FJ307+HN$244&gt;73,"",PRODUCT(INDEX($T$19:$T$93,HN$244):INDEX($T$19:$T$93,HN$244+$FJ307-1)))</f>
        <v/>
      </c>
      <c r="HO307" s="479" t="str">
        <f ca="1">IF($FJ307+HO$244&gt;73,"",PRODUCT(INDEX($T$19:$T$93,HO$244):INDEX($T$19:$T$93,HO$244+$FJ307-1)))</f>
        <v/>
      </c>
      <c r="HP307" s="479" t="str">
        <f ca="1">IF($FJ307+HP$244&gt;73,"",PRODUCT(INDEX($T$19:$T$93,HP$244):INDEX($T$19:$T$93,HP$244+$FJ307-1)))</f>
        <v/>
      </c>
      <c r="HQ307" s="479" t="str">
        <f ca="1">IF($FJ307+HQ$244&gt;73,"",PRODUCT(INDEX($T$19:$T$93,HQ$244):INDEX($T$19:$T$93,HQ$244+$FJ307-1)))</f>
        <v/>
      </c>
      <c r="HR307" s="479" t="str">
        <f ca="1">IF($FJ307+HR$244&gt;73,"",PRODUCT(INDEX($T$19:$T$93,HR$244):INDEX($T$19:$T$93,HR$244+$FJ307-1)))</f>
        <v/>
      </c>
      <c r="HS307" s="479" t="str">
        <f ca="1">IF($FJ307+HS$244&gt;73,"",PRODUCT(INDEX($T$19:$T$93,HS$244):INDEX($T$19:$T$93,HS$244+$FJ307-1)))</f>
        <v/>
      </c>
      <c r="HT307" s="479" t="str">
        <f ca="1">IF($FJ307+HT$244&gt;73,"",PRODUCT(INDEX($T$19:$T$93,HT$244):INDEX($T$19:$T$93,HT$244+$FJ307-1)))</f>
        <v/>
      </c>
      <c r="HU307" s="479">
        <f ca="1">IF($FJ307+HU$244&gt;73,"",PRODUCT(INDEX($T$19:$T$93,HU$244):INDEX($T$19:$T$93,HU$244+$FJ307-1)))</f>
        <v>0.79598632241303446</v>
      </c>
      <c r="HV307" s="479">
        <f ca="1">IF($FJ307+HV$244&gt;73,"",PRODUCT(INDEX($T$19:$T$93,HV$244):INDEX($T$19:$T$93,HV$244+$FJ307-1)))</f>
        <v>0.76477418671329223</v>
      </c>
      <c r="HW307" s="479">
        <f ca="1">IF($FJ307+HW$244&gt;73,"",PRODUCT(INDEX($T$19:$T$93,HW$244):INDEX($T$19:$T$93,HW$244+$FJ307-1)))</f>
        <v>0.7294700066903983</v>
      </c>
      <c r="HX307" s="479">
        <f ca="1">IF($FJ307+HX$244&gt;73,"",PRODUCT(INDEX($T$19:$T$93,HX$244):INDEX($T$19:$T$93,HX$244+$FJ307-1)))</f>
        <v>0.68978831367939275</v>
      </c>
      <c r="HY307" s="479">
        <f ca="1">IF($FJ307+HY$244&gt;73,"",PRODUCT(INDEX($T$19:$T$93,HY$244):INDEX($T$19:$T$93,HY$244+$FJ307-1)))</f>
        <v>0.64552310248661637</v>
      </c>
      <c r="HZ307" s="479">
        <f ca="1">IF($FJ307+HZ$244&gt;73,"",PRODUCT(INDEX($T$19:$T$93,HZ$244):INDEX($T$19:$T$93,HZ$244+$FJ307-1)))</f>
        <v>0.59659431139352015</v>
      </c>
      <c r="IA307" s="479">
        <f ca="1">IF($FJ307+IA$244&gt;73,"",PRODUCT(INDEX($T$19:$T$93,IA$244):INDEX($T$19:$T$93,IA$244+$FJ307-1)))</f>
        <v>0.54310610305392726</v>
      </c>
      <c r="IB307" s="479">
        <f ca="1">IF($FJ307+IB$244&gt;73,"",PRODUCT(INDEX($T$19:$T$93,IB$244):INDEX($T$19:$T$93,IB$244+$FJ307-1)))</f>
        <v>0.48541603874433575</v>
      </c>
      <c r="IC307" s="479">
        <f ca="1">IF($FJ307+IC$244&gt;73,"",PRODUCT(INDEX($T$19:$T$93,IC$244):INDEX($T$19:$T$93,IC$244+$FJ307-1)))</f>
        <v>0.4242111557635691</v>
      </c>
      <c r="ID307" s="678">
        <f ca="1">IF($FJ307+ID$244&gt;73,"",PRODUCT(INDEX($T$19:$T$93,ID$244):INDEX($T$19:$T$93,ID$244+$FJ307-1)))</f>
        <v>0.36058193372138175</v>
      </c>
      <c r="IE307" s="250"/>
    </row>
    <row r="308" spans="9:239">
      <c r="I308" s="137"/>
      <c r="J308" s="375"/>
      <c r="K308" s="138"/>
      <c r="L308" s="1"/>
      <c r="M308" s="376"/>
      <c r="P308" s="375"/>
      <c r="S308" s="55"/>
      <c r="T308" s="375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374"/>
      <c r="AP308" s="1"/>
      <c r="AQ308" s="374"/>
      <c r="AR308" s="1"/>
      <c r="AS308" s="106"/>
      <c r="AT308" s="106"/>
      <c r="AU308" s="106"/>
      <c r="AV308" s="31"/>
      <c r="AW308" s="31"/>
      <c r="AX308" s="31"/>
      <c r="AY308" s="31"/>
      <c r="AZ308" s="154"/>
      <c r="BA308" s="154"/>
      <c r="BB308" s="106"/>
      <c r="BC308" s="106"/>
      <c r="BD308" s="106"/>
      <c r="BE308" s="106"/>
      <c r="BF308" s="107"/>
      <c r="BG308" s="107"/>
      <c r="BH308" s="107"/>
      <c r="BI308" s="107"/>
      <c r="BJ308" s="107"/>
      <c r="BK308" s="106"/>
      <c r="BL308" s="108"/>
      <c r="BM308" s="159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7"/>
      <c r="CD308" s="107"/>
      <c r="CE308" s="107"/>
      <c r="CF308" s="107"/>
      <c r="CG308" s="107"/>
      <c r="CH308" s="107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475"/>
      <c r="DI308" s="110"/>
      <c r="DJ308" s="1"/>
      <c r="DK308" s="475"/>
      <c r="DL308" s="54"/>
      <c r="DM308" s="54"/>
      <c r="DN308" s="54"/>
      <c r="DO308" s="54"/>
      <c r="DP308" s="54"/>
      <c r="DQ308" s="54"/>
      <c r="DR308" s="54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L308" s="55"/>
      <c r="EM308" s="1"/>
      <c r="EN308" s="105"/>
      <c r="EO308" s="106"/>
      <c r="EP308" s="1"/>
      <c r="EQ308" s="106"/>
      <c r="ER308" s="1"/>
      <c r="ES308" s="1"/>
      <c r="ET308" s="1"/>
      <c r="EU308" s="105"/>
      <c r="FJ308" s="673">
        <v>64</v>
      </c>
      <c r="FK308" s="479" t="str">
        <f ca="1">IF($FJ308+FK$244&gt;73,"",PRODUCT(INDEX($T$19:$T$93,FK$244):INDEX($T$19:$T$93,FK$244+$FJ308-1)))</f>
        <v/>
      </c>
      <c r="FL308" s="479" t="str">
        <f ca="1">IF($FJ308+FL$244&gt;73,"",PRODUCT(INDEX($T$19:$T$93,FL$244):INDEX($T$19:$T$93,FL$244+$FJ308-1)))</f>
        <v/>
      </c>
      <c r="FM308" s="479" t="str">
        <f ca="1">IF($FJ308+FM$244&gt;73,"",PRODUCT(INDEX($T$19:$T$93,FM$244):INDEX($T$19:$T$93,FM$244+$FJ308-1)))</f>
        <v/>
      </c>
      <c r="FN308" s="479" t="str">
        <f ca="1">IF($FJ308+FN$244&gt;73,"",PRODUCT(INDEX($T$19:$T$93,FN$244):INDEX($T$19:$T$93,FN$244+$FJ308-1)))</f>
        <v/>
      </c>
      <c r="FO308" s="479" t="str">
        <f ca="1">IF($FJ308+FO$244&gt;73,"",PRODUCT(INDEX($T$19:$T$93,FO$244):INDEX($T$19:$T$93,FO$244+$FJ308-1)))</f>
        <v/>
      </c>
      <c r="FP308" s="479" t="str">
        <f ca="1">IF($FJ308+FP$244&gt;73,"",PRODUCT(INDEX($T$19:$T$93,FP$244):INDEX($T$19:$T$93,FP$244+$FJ308-1)))</f>
        <v/>
      </c>
      <c r="FQ308" s="479" t="str">
        <f ca="1">IF($FJ308+FQ$244&gt;73,"",PRODUCT(INDEX($T$19:$T$93,FQ$244):INDEX($T$19:$T$93,FQ$244+$FJ308-1)))</f>
        <v/>
      </c>
      <c r="FR308" s="479" t="str">
        <f ca="1">IF($FJ308+FR$244&gt;73,"",PRODUCT(INDEX($T$19:$T$93,FR$244):INDEX($T$19:$T$93,FR$244+$FJ308-1)))</f>
        <v/>
      </c>
      <c r="FS308" s="479" t="str">
        <f ca="1">IF($FJ308+FS$244&gt;73,"",PRODUCT(INDEX($T$19:$T$93,FS$244):INDEX($T$19:$T$93,FS$244+$FJ308-1)))</f>
        <v/>
      </c>
      <c r="FT308" s="479" t="str">
        <f ca="1">IF($FJ308+FT$244&gt;73,"",PRODUCT(INDEX($T$19:$T$93,FT$244):INDEX($T$19:$T$93,FT$244+$FJ308-1)))</f>
        <v/>
      </c>
      <c r="FU308" s="479" t="str">
        <f ca="1">IF($FJ308+FU$244&gt;73,"",PRODUCT(INDEX($T$19:$T$93,FU$244):INDEX($T$19:$T$93,FU$244+$FJ308-1)))</f>
        <v/>
      </c>
      <c r="FV308" s="479" t="str">
        <f ca="1">IF($FJ308+FV$244&gt;73,"",PRODUCT(INDEX($T$19:$T$93,FV$244):INDEX($T$19:$T$93,FV$244+$FJ308-1)))</f>
        <v/>
      </c>
      <c r="FW308" s="479" t="str">
        <f ca="1">IF($FJ308+FW$244&gt;73,"",PRODUCT(INDEX($T$19:$T$93,FW$244):INDEX($T$19:$T$93,FW$244+$FJ308-1)))</f>
        <v/>
      </c>
      <c r="FX308" s="479" t="str">
        <f ca="1">IF($FJ308+FX$244&gt;73,"",PRODUCT(INDEX($T$19:$T$93,FX$244):INDEX($T$19:$T$93,FX$244+$FJ308-1)))</f>
        <v/>
      </c>
      <c r="FY308" s="479" t="str">
        <f ca="1">IF($FJ308+FY$244&gt;73,"",PRODUCT(INDEX($T$19:$T$93,FY$244):INDEX($T$19:$T$93,FY$244+$FJ308-1)))</f>
        <v/>
      </c>
      <c r="FZ308" s="479" t="str">
        <f ca="1">IF($FJ308+FZ$244&gt;73,"",PRODUCT(INDEX($T$19:$T$93,FZ$244):INDEX($T$19:$T$93,FZ$244+$FJ308-1)))</f>
        <v/>
      </c>
      <c r="GA308" s="479" t="str">
        <f ca="1">IF($FJ308+GA$244&gt;73,"",PRODUCT(INDEX($T$19:$T$93,GA$244):INDEX($T$19:$T$93,GA$244+$FJ308-1)))</f>
        <v/>
      </c>
      <c r="GB308" s="479" t="str">
        <f ca="1">IF($FJ308+GB$244&gt;73,"",PRODUCT(INDEX($T$19:$T$93,GB$244):INDEX($T$19:$T$93,GB$244+$FJ308-1)))</f>
        <v/>
      </c>
      <c r="GC308" s="479" t="str">
        <f ca="1">IF($FJ308+GC$244&gt;73,"",PRODUCT(INDEX($T$19:$T$93,GC$244):INDEX($T$19:$T$93,GC$244+$FJ308-1)))</f>
        <v/>
      </c>
      <c r="GD308" s="479" t="str">
        <f ca="1">IF($FJ308+GD$244&gt;73,"",PRODUCT(INDEX($T$19:$T$93,GD$244):INDEX($T$19:$T$93,GD$244+$FJ308-1)))</f>
        <v/>
      </c>
      <c r="GE308" s="479" t="str">
        <f ca="1">IF($FJ308+GE$244&gt;73,"",PRODUCT(INDEX($T$19:$T$93,GE$244):INDEX($T$19:$T$93,GE$244+$FJ308-1)))</f>
        <v/>
      </c>
      <c r="GF308" s="479" t="str">
        <f ca="1">IF($FJ308+GF$244&gt;73,"",PRODUCT(INDEX($T$19:$T$93,GF$244):INDEX($T$19:$T$93,GF$244+$FJ308-1)))</f>
        <v/>
      </c>
      <c r="GG308" s="479" t="str">
        <f ca="1">IF($FJ308+GG$244&gt;73,"",PRODUCT(INDEX($T$19:$T$93,GG$244):INDEX($T$19:$T$93,GG$244+$FJ308-1)))</f>
        <v/>
      </c>
      <c r="GH308" s="479" t="str">
        <f ca="1">IF($FJ308+GH$244&gt;73,"",PRODUCT(INDEX($T$19:$T$93,GH$244):INDEX($T$19:$T$93,GH$244+$FJ308-1)))</f>
        <v/>
      </c>
      <c r="GI308" s="479" t="str">
        <f ca="1">IF($FJ308+GI$244&gt;73,"",PRODUCT(INDEX($T$19:$T$93,GI$244):INDEX($T$19:$T$93,GI$244+$FJ308-1)))</f>
        <v/>
      </c>
      <c r="GJ308" s="479" t="str">
        <f ca="1">IF($FJ308+GJ$244&gt;73,"",PRODUCT(INDEX($T$19:$T$93,GJ$244):INDEX($T$19:$T$93,GJ$244+$FJ308-1)))</f>
        <v/>
      </c>
      <c r="GK308" s="479" t="str">
        <f ca="1">IF($FJ308+GK$244&gt;73,"",PRODUCT(INDEX($T$19:$T$93,GK$244):INDEX($T$19:$T$93,GK$244+$FJ308-1)))</f>
        <v/>
      </c>
      <c r="GL308" s="479" t="str">
        <f ca="1">IF($FJ308+GL$244&gt;73,"",PRODUCT(INDEX($T$19:$T$93,GL$244):INDEX($T$19:$T$93,GL$244+$FJ308-1)))</f>
        <v/>
      </c>
      <c r="GM308" s="479" t="str">
        <f ca="1">IF($FJ308+GM$244&gt;73,"",PRODUCT(INDEX($T$19:$T$93,GM$244):INDEX($T$19:$T$93,GM$244+$FJ308-1)))</f>
        <v/>
      </c>
      <c r="GN308" s="479" t="str">
        <f ca="1">IF($FJ308+GN$244&gt;73,"",PRODUCT(INDEX($T$19:$T$93,GN$244):INDEX($T$19:$T$93,GN$244+$FJ308-1)))</f>
        <v/>
      </c>
      <c r="GO308" s="479" t="str">
        <f ca="1">IF($FJ308+GO$244&gt;73,"",PRODUCT(INDEX($T$19:$T$93,GO$244):INDEX($T$19:$T$93,GO$244+$FJ308-1)))</f>
        <v/>
      </c>
      <c r="GP308" s="479" t="str">
        <f ca="1">IF($FJ308+GP$244&gt;73,"",PRODUCT(INDEX($T$19:$T$93,GP$244):INDEX($T$19:$T$93,GP$244+$FJ308-1)))</f>
        <v/>
      </c>
      <c r="GQ308" s="479" t="str">
        <f ca="1">IF($FJ308+GQ$244&gt;73,"",PRODUCT(INDEX($T$19:$T$93,GQ$244):INDEX($T$19:$T$93,GQ$244+$FJ308-1)))</f>
        <v/>
      </c>
      <c r="GR308" s="479" t="str">
        <f ca="1">IF($FJ308+GR$244&gt;73,"",PRODUCT(INDEX($T$19:$T$93,GR$244):INDEX($T$19:$T$93,GR$244+$FJ308-1)))</f>
        <v/>
      </c>
      <c r="GS308" s="479" t="str">
        <f ca="1">IF($FJ308+GS$244&gt;73,"",PRODUCT(INDEX($T$19:$T$93,GS$244):INDEX($T$19:$T$93,GS$244+$FJ308-1)))</f>
        <v/>
      </c>
      <c r="GT308" s="479" t="str">
        <f ca="1">IF($FJ308+GT$244&gt;73,"",PRODUCT(INDEX($T$19:$T$93,GT$244):INDEX($T$19:$T$93,GT$244+$FJ308-1)))</f>
        <v/>
      </c>
      <c r="GU308" s="479" t="str">
        <f ca="1">IF($FJ308+GU$244&gt;73,"",PRODUCT(INDEX($T$19:$T$93,GU$244):INDEX($T$19:$T$93,GU$244+$FJ308-1)))</f>
        <v/>
      </c>
      <c r="GV308" s="479" t="str">
        <f ca="1">IF($FJ308+GV$244&gt;73,"",PRODUCT(INDEX($T$19:$T$93,GV$244):INDEX($T$19:$T$93,GV$244+$FJ308-1)))</f>
        <v/>
      </c>
      <c r="GW308" s="479" t="str">
        <f ca="1">IF($FJ308+GW$244&gt;73,"",PRODUCT(INDEX($T$19:$T$93,GW$244):INDEX($T$19:$T$93,GW$244+$FJ308-1)))</f>
        <v/>
      </c>
      <c r="GX308" s="479" t="str">
        <f ca="1">IF($FJ308+GX$244&gt;73,"",PRODUCT(INDEX($T$19:$T$93,GX$244):INDEX($T$19:$T$93,GX$244+$FJ308-1)))</f>
        <v/>
      </c>
      <c r="GY308" s="479" t="str">
        <f ca="1">IF($FJ308+GY$244&gt;73,"",PRODUCT(INDEX($T$19:$T$93,GY$244):INDEX($T$19:$T$93,GY$244+$FJ308-1)))</f>
        <v/>
      </c>
      <c r="GZ308" s="479" t="str">
        <f ca="1">IF($FJ308+GZ$244&gt;73,"",PRODUCT(INDEX($T$19:$T$93,GZ$244):INDEX($T$19:$T$93,GZ$244+$FJ308-1)))</f>
        <v/>
      </c>
      <c r="HA308" s="479" t="str">
        <f ca="1">IF($FJ308+HA$244&gt;73,"",PRODUCT(INDEX($T$19:$T$93,HA$244):INDEX($T$19:$T$93,HA$244+$FJ308-1)))</f>
        <v/>
      </c>
      <c r="HB308" s="479" t="str">
        <f ca="1">IF($FJ308+HB$244&gt;73,"",PRODUCT(INDEX($T$19:$T$93,HB$244):INDEX($T$19:$T$93,HB$244+$FJ308-1)))</f>
        <v/>
      </c>
      <c r="HC308" s="479" t="str">
        <f ca="1">IF($FJ308+HC$244&gt;73,"",PRODUCT(INDEX($T$19:$T$93,HC$244):INDEX($T$19:$T$93,HC$244+$FJ308-1)))</f>
        <v/>
      </c>
      <c r="HD308" s="479" t="str">
        <f ca="1">IF($FJ308+HD$244&gt;73,"",PRODUCT(INDEX($T$19:$T$93,HD$244):INDEX($T$19:$T$93,HD$244+$FJ308-1)))</f>
        <v/>
      </c>
      <c r="HE308" s="479" t="str">
        <f ca="1">IF($FJ308+HE$244&gt;73,"",PRODUCT(INDEX($T$19:$T$93,HE$244):INDEX($T$19:$T$93,HE$244+$FJ308-1)))</f>
        <v/>
      </c>
      <c r="HF308" s="479" t="str">
        <f ca="1">IF($FJ308+HF$244&gt;73,"",PRODUCT(INDEX($T$19:$T$93,HF$244):INDEX($T$19:$T$93,HF$244+$FJ308-1)))</f>
        <v/>
      </c>
      <c r="HG308" s="479" t="str">
        <f ca="1">IF($FJ308+HG$244&gt;73,"",PRODUCT(INDEX($T$19:$T$93,HG$244):INDEX($T$19:$T$93,HG$244+$FJ308-1)))</f>
        <v/>
      </c>
      <c r="HH308" s="479" t="str">
        <f ca="1">IF($FJ308+HH$244&gt;73,"",PRODUCT(INDEX($T$19:$T$93,HH$244):INDEX($T$19:$T$93,HH$244+$FJ308-1)))</f>
        <v/>
      </c>
      <c r="HI308" s="479" t="str">
        <f ca="1">IF($FJ308+HI$244&gt;73,"",PRODUCT(INDEX($T$19:$T$93,HI$244):INDEX($T$19:$T$93,HI$244+$FJ308-1)))</f>
        <v/>
      </c>
      <c r="HJ308" s="479" t="str">
        <f ca="1">IF($FJ308+HJ$244&gt;73,"",PRODUCT(INDEX($T$19:$T$93,HJ$244):INDEX($T$19:$T$93,HJ$244+$FJ308-1)))</f>
        <v/>
      </c>
      <c r="HK308" s="479" t="str">
        <f ca="1">IF($FJ308+HK$244&gt;73,"",PRODUCT(INDEX($T$19:$T$93,HK$244):INDEX($T$19:$T$93,HK$244+$FJ308-1)))</f>
        <v/>
      </c>
      <c r="HL308" s="479" t="str">
        <f ca="1">IF($FJ308+HL$244&gt;73,"",PRODUCT(INDEX($T$19:$T$93,HL$244):INDEX($T$19:$T$93,HL$244+$FJ308-1)))</f>
        <v/>
      </c>
      <c r="HM308" s="479" t="str">
        <f ca="1">IF($FJ308+HM$244&gt;73,"",PRODUCT(INDEX($T$19:$T$93,HM$244):INDEX($T$19:$T$93,HM$244+$FJ308-1)))</f>
        <v/>
      </c>
      <c r="HN308" s="479" t="str">
        <f ca="1">IF($FJ308+HN$244&gt;73,"",PRODUCT(INDEX($T$19:$T$93,HN$244):INDEX($T$19:$T$93,HN$244+$FJ308-1)))</f>
        <v/>
      </c>
      <c r="HO308" s="479" t="str">
        <f ca="1">IF($FJ308+HO$244&gt;73,"",PRODUCT(INDEX($T$19:$T$93,HO$244):INDEX($T$19:$T$93,HO$244+$FJ308-1)))</f>
        <v/>
      </c>
      <c r="HP308" s="479" t="str">
        <f ca="1">IF($FJ308+HP$244&gt;73,"",PRODUCT(INDEX($T$19:$T$93,HP$244):INDEX($T$19:$T$93,HP$244+$FJ308-1)))</f>
        <v/>
      </c>
      <c r="HQ308" s="479" t="str">
        <f ca="1">IF($FJ308+HQ$244&gt;73,"",PRODUCT(INDEX($T$19:$T$93,HQ$244):INDEX($T$19:$T$93,HQ$244+$FJ308-1)))</f>
        <v/>
      </c>
      <c r="HR308" s="479" t="str">
        <f ca="1">IF($FJ308+HR$244&gt;73,"",PRODUCT(INDEX($T$19:$T$93,HR$244):INDEX($T$19:$T$93,HR$244+$FJ308-1)))</f>
        <v/>
      </c>
      <c r="HS308" s="479" t="str">
        <f ca="1">IF($FJ308+HS$244&gt;73,"",PRODUCT(INDEX($T$19:$T$93,HS$244):INDEX($T$19:$T$93,HS$244+$FJ308-1)))</f>
        <v/>
      </c>
      <c r="HT308" s="479" t="str">
        <f ca="1">IF($FJ308+HT$244&gt;73,"",PRODUCT(INDEX($T$19:$T$93,HT$244):INDEX($T$19:$T$93,HT$244+$FJ308-1)))</f>
        <v/>
      </c>
      <c r="HU308" s="479" t="str">
        <f ca="1">IF($FJ308+HU$244&gt;73,"",PRODUCT(INDEX($T$19:$T$93,HU$244):INDEX($T$19:$T$93,HU$244+$FJ308-1)))</f>
        <v/>
      </c>
      <c r="HV308" s="479">
        <f ca="1">IF($FJ308+HV$244&gt;73,"",PRODUCT(INDEX($T$19:$T$93,HV$244):INDEX($T$19:$T$93,HV$244+$FJ308-1)))</f>
        <v>0.7647727019679782</v>
      </c>
      <c r="HW308" s="479">
        <f ca="1">IF($FJ308+HW$244&gt;73,"",PRODUCT(INDEX($T$19:$T$93,HW$244):INDEX($T$19:$T$93,HW$244+$FJ308-1)))</f>
        <v>0.72946835030817492</v>
      </c>
      <c r="HX308" s="479">
        <f ca="1">IF($FJ308+HX$244&gt;73,"",PRODUCT(INDEX($T$19:$T$93,HX$244):INDEX($T$19:$T$93,HX$244+$FJ308-1)))</f>
        <v>0.68978648177247315</v>
      </c>
      <c r="HY308" s="479">
        <f ca="1">IF($FJ308+HY$244&gt;73,"",PRODUCT(INDEX($T$19:$T$93,HY$244):INDEX($T$19:$T$93,HY$244+$FJ308-1)))</f>
        <v>0.64552109739652042</v>
      </c>
      <c r="HZ308" s="479">
        <f ca="1">IF($FJ308+HZ$244&gt;73,"",PRODUCT(INDEX($T$19:$T$93,HZ$244):INDEX($T$19:$T$93,HZ$244+$FJ308-1)))</f>
        <v>0.59659214400966154</v>
      </c>
      <c r="IA308" s="479">
        <f ca="1">IF($FJ308+IA$244&gt;73,"",PRODUCT(INDEX($T$19:$T$93,IA$244):INDEX($T$19:$T$93,IA$244+$FJ308-1)))</f>
        <v>0.54310379537097742</v>
      </c>
      <c r="IB308" s="479">
        <f ca="1">IF($FJ308+IB$244&gt;73,"",PRODUCT(INDEX($T$19:$T$93,IB$244):INDEX($T$19:$T$93,IB$244+$FJ308-1)))</f>
        <v>0.48541362639369373</v>
      </c>
      <c r="IC308" s="479">
        <f ca="1">IF($FJ308+IC$244&gt;73,"",PRODUCT(INDEX($T$19:$T$93,IC$244):INDEX($T$19:$T$93,IC$244+$FJ308-1)))</f>
        <v>0.42420869004564865</v>
      </c>
      <c r="ID308" s="678">
        <f ca="1">IF($FJ308+ID$244&gt;73,"",PRODUCT(INDEX($T$19:$T$93,ID$244):INDEX($T$19:$T$93,ID$244+$FJ308-1)))</f>
        <v>0.36057948239903381</v>
      </c>
      <c r="IE308" s="250"/>
    </row>
    <row r="309" spans="9:239">
      <c r="I309" s="137"/>
      <c r="J309" s="375"/>
      <c r="K309" s="138"/>
      <c r="L309" s="1"/>
      <c r="M309" s="376"/>
      <c r="P309" s="375"/>
      <c r="S309" s="55"/>
      <c r="T309" s="375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374"/>
      <c r="AP309" s="1"/>
      <c r="AQ309" s="374"/>
      <c r="AR309" s="1"/>
      <c r="AS309" s="106"/>
      <c r="AT309" s="106"/>
      <c r="AU309" s="106"/>
      <c r="AV309" s="31"/>
      <c r="AW309" s="31"/>
      <c r="AX309" s="31"/>
      <c r="AY309" s="31"/>
      <c r="AZ309" s="154"/>
      <c r="BA309" s="154"/>
      <c r="BB309" s="106"/>
      <c r="BC309" s="106"/>
      <c r="BD309" s="106"/>
      <c r="BE309" s="106"/>
      <c r="BF309" s="107"/>
      <c r="BG309" s="107"/>
      <c r="BH309" s="107"/>
      <c r="BI309" s="107"/>
      <c r="BJ309" s="107"/>
      <c r="BK309" s="106"/>
      <c r="BL309" s="108"/>
      <c r="BM309" s="159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7"/>
      <c r="CD309" s="107"/>
      <c r="CE309" s="107"/>
      <c r="CF309" s="107"/>
      <c r="CG309" s="107"/>
      <c r="CH309" s="107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475"/>
      <c r="DI309" s="110"/>
      <c r="DJ309" s="1"/>
      <c r="DK309" s="475"/>
      <c r="DL309" s="54"/>
      <c r="DM309" s="54"/>
      <c r="DN309" s="54"/>
      <c r="DO309" s="54"/>
      <c r="DP309" s="54"/>
      <c r="DQ309" s="54"/>
      <c r="DR309" s="54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L309" s="55"/>
      <c r="EM309" s="1"/>
      <c r="EN309" s="105"/>
      <c r="EO309" s="106"/>
      <c r="EP309" s="1"/>
      <c r="EQ309" s="106"/>
      <c r="ER309" s="1"/>
      <c r="ES309" s="1"/>
      <c r="ET309" s="1"/>
      <c r="EU309" s="105"/>
      <c r="FJ309" s="673">
        <v>65</v>
      </c>
      <c r="FK309" s="479" t="str">
        <f ca="1">IF($FJ309+FK$244&gt;73,"",PRODUCT(INDEX($T$19:$T$93,FK$244):INDEX($T$19:$T$93,FK$244+$FJ309-1)))</f>
        <v/>
      </c>
      <c r="FL309" s="479" t="str">
        <f ca="1">IF($FJ309+FL$244&gt;73,"",PRODUCT(INDEX($T$19:$T$93,FL$244):INDEX($T$19:$T$93,FL$244+$FJ309-1)))</f>
        <v/>
      </c>
      <c r="FM309" s="479" t="str">
        <f ca="1">IF($FJ309+FM$244&gt;73,"",PRODUCT(INDEX($T$19:$T$93,FM$244):INDEX($T$19:$T$93,FM$244+$FJ309-1)))</f>
        <v/>
      </c>
      <c r="FN309" s="479" t="str">
        <f ca="1">IF($FJ309+FN$244&gt;73,"",PRODUCT(INDEX($T$19:$T$93,FN$244):INDEX($T$19:$T$93,FN$244+$FJ309-1)))</f>
        <v/>
      </c>
      <c r="FO309" s="479" t="str">
        <f ca="1">IF($FJ309+FO$244&gt;73,"",PRODUCT(INDEX($T$19:$T$93,FO$244):INDEX($T$19:$T$93,FO$244+$FJ309-1)))</f>
        <v/>
      </c>
      <c r="FP309" s="479" t="str">
        <f ca="1">IF($FJ309+FP$244&gt;73,"",PRODUCT(INDEX($T$19:$T$93,FP$244):INDEX($T$19:$T$93,FP$244+$FJ309-1)))</f>
        <v/>
      </c>
      <c r="FQ309" s="479" t="str">
        <f ca="1">IF($FJ309+FQ$244&gt;73,"",PRODUCT(INDEX($T$19:$T$93,FQ$244):INDEX($T$19:$T$93,FQ$244+$FJ309-1)))</f>
        <v/>
      </c>
      <c r="FR309" s="479" t="str">
        <f ca="1">IF($FJ309+FR$244&gt;73,"",PRODUCT(INDEX($T$19:$T$93,FR$244):INDEX($T$19:$T$93,FR$244+$FJ309-1)))</f>
        <v/>
      </c>
      <c r="FS309" s="479" t="str">
        <f ca="1">IF($FJ309+FS$244&gt;73,"",PRODUCT(INDEX($T$19:$T$93,FS$244):INDEX($T$19:$T$93,FS$244+$FJ309-1)))</f>
        <v/>
      </c>
      <c r="FT309" s="479" t="str">
        <f ca="1">IF($FJ309+FT$244&gt;73,"",PRODUCT(INDEX($T$19:$T$93,FT$244):INDEX($T$19:$T$93,FT$244+$FJ309-1)))</f>
        <v/>
      </c>
      <c r="FU309" s="479" t="str">
        <f ca="1">IF($FJ309+FU$244&gt;73,"",PRODUCT(INDEX($T$19:$T$93,FU$244):INDEX($T$19:$T$93,FU$244+$FJ309-1)))</f>
        <v/>
      </c>
      <c r="FV309" s="479" t="str">
        <f ca="1">IF($FJ309+FV$244&gt;73,"",PRODUCT(INDEX($T$19:$T$93,FV$244):INDEX($T$19:$T$93,FV$244+$FJ309-1)))</f>
        <v/>
      </c>
      <c r="FW309" s="479" t="str">
        <f ca="1">IF($FJ309+FW$244&gt;73,"",PRODUCT(INDEX($T$19:$T$93,FW$244):INDEX($T$19:$T$93,FW$244+$FJ309-1)))</f>
        <v/>
      </c>
      <c r="FX309" s="479" t="str">
        <f ca="1">IF($FJ309+FX$244&gt;73,"",PRODUCT(INDEX($T$19:$T$93,FX$244):INDEX($T$19:$T$93,FX$244+$FJ309-1)))</f>
        <v/>
      </c>
      <c r="FY309" s="479" t="str">
        <f ca="1">IF($FJ309+FY$244&gt;73,"",PRODUCT(INDEX($T$19:$T$93,FY$244):INDEX($T$19:$T$93,FY$244+$FJ309-1)))</f>
        <v/>
      </c>
      <c r="FZ309" s="479" t="str">
        <f ca="1">IF($FJ309+FZ$244&gt;73,"",PRODUCT(INDEX($T$19:$T$93,FZ$244):INDEX($T$19:$T$93,FZ$244+$FJ309-1)))</f>
        <v/>
      </c>
      <c r="GA309" s="479" t="str">
        <f ca="1">IF($FJ309+GA$244&gt;73,"",PRODUCT(INDEX($T$19:$T$93,GA$244):INDEX($T$19:$T$93,GA$244+$FJ309-1)))</f>
        <v/>
      </c>
      <c r="GB309" s="479" t="str">
        <f ca="1">IF($FJ309+GB$244&gt;73,"",PRODUCT(INDEX($T$19:$T$93,GB$244):INDEX($T$19:$T$93,GB$244+$FJ309-1)))</f>
        <v/>
      </c>
      <c r="GC309" s="479" t="str">
        <f ca="1">IF($FJ309+GC$244&gt;73,"",PRODUCT(INDEX($T$19:$T$93,GC$244):INDEX($T$19:$T$93,GC$244+$FJ309-1)))</f>
        <v/>
      </c>
      <c r="GD309" s="479" t="str">
        <f ca="1">IF($FJ309+GD$244&gt;73,"",PRODUCT(INDEX($T$19:$T$93,GD$244):INDEX($T$19:$T$93,GD$244+$FJ309-1)))</f>
        <v/>
      </c>
      <c r="GE309" s="479" t="str">
        <f ca="1">IF($FJ309+GE$244&gt;73,"",PRODUCT(INDEX($T$19:$T$93,GE$244):INDEX($T$19:$T$93,GE$244+$FJ309-1)))</f>
        <v/>
      </c>
      <c r="GF309" s="479" t="str">
        <f ca="1">IF($FJ309+GF$244&gt;73,"",PRODUCT(INDEX($T$19:$T$93,GF$244):INDEX($T$19:$T$93,GF$244+$FJ309-1)))</f>
        <v/>
      </c>
      <c r="GG309" s="479" t="str">
        <f ca="1">IF($FJ309+GG$244&gt;73,"",PRODUCT(INDEX($T$19:$T$93,GG$244):INDEX($T$19:$T$93,GG$244+$FJ309-1)))</f>
        <v/>
      </c>
      <c r="GH309" s="479" t="str">
        <f ca="1">IF($FJ309+GH$244&gt;73,"",PRODUCT(INDEX($T$19:$T$93,GH$244):INDEX($T$19:$T$93,GH$244+$FJ309-1)))</f>
        <v/>
      </c>
      <c r="GI309" s="479" t="str">
        <f ca="1">IF($FJ309+GI$244&gt;73,"",PRODUCT(INDEX($T$19:$T$93,GI$244):INDEX($T$19:$T$93,GI$244+$FJ309-1)))</f>
        <v/>
      </c>
      <c r="GJ309" s="479" t="str">
        <f ca="1">IF($FJ309+GJ$244&gt;73,"",PRODUCT(INDEX($T$19:$T$93,GJ$244):INDEX($T$19:$T$93,GJ$244+$FJ309-1)))</f>
        <v/>
      </c>
      <c r="GK309" s="479" t="str">
        <f ca="1">IF($FJ309+GK$244&gt;73,"",PRODUCT(INDEX($T$19:$T$93,GK$244):INDEX($T$19:$T$93,GK$244+$FJ309-1)))</f>
        <v/>
      </c>
      <c r="GL309" s="479" t="str">
        <f ca="1">IF($FJ309+GL$244&gt;73,"",PRODUCT(INDEX($T$19:$T$93,GL$244):INDEX($T$19:$T$93,GL$244+$FJ309-1)))</f>
        <v/>
      </c>
      <c r="GM309" s="479" t="str">
        <f ca="1">IF($FJ309+GM$244&gt;73,"",PRODUCT(INDEX($T$19:$T$93,GM$244):INDEX($T$19:$T$93,GM$244+$FJ309-1)))</f>
        <v/>
      </c>
      <c r="GN309" s="479" t="str">
        <f ca="1">IF($FJ309+GN$244&gt;73,"",PRODUCT(INDEX($T$19:$T$93,GN$244):INDEX($T$19:$T$93,GN$244+$FJ309-1)))</f>
        <v/>
      </c>
      <c r="GO309" s="479" t="str">
        <f ca="1">IF($FJ309+GO$244&gt;73,"",PRODUCT(INDEX($T$19:$T$93,GO$244):INDEX($T$19:$T$93,GO$244+$FJ309-1)))</f>
        <v/>
      </c>
      <c r="GP309" s="479" t="str">
        <f ca="1">IF($FJ309+GP$244&gt;73,"",PRODUCT(INDEX($T$19:$T$93,GP$244):INDEX($T$19:$T$93,GP$244+$FJ309-1)))</f>
        <v/>
      </c>
      <c r="GQ309" s="479" t="str">
        <f ca="1">IF($FJ309+GQ$244&gt;73,"",PRODUCT(INDEX($T$19:$T$93,GQ$244):INDEX($T$19:$T$93,GQ$244+$FJ309-1)))</f>
        <v/>
      </c>
      <c r="GR309" s="479" t="str">
        <f ca="1">IF($FJ309+GR$244&gt;73,"",PRODUCT(INDEX($T$19:$T$93,GR$244):INDEX($T$19:$T$93,GR$244+$FJ309-1)))</f>
        <v/>
      </c>
      <c r="GS309" s="479" t="str">
        <f ca="1">IF($FJ309+GS$244&gt;73,"",PRODUCT(INDEX($T$19:$T$93,GS$244):INDEX($T$19:$T$93,GS$244+$FJ309-1)))</f>
        <v/>
      </c>
      <c r="GT309" s="479" t="str">
        <f ca="1">IF($FJ309+GT$244&gt;73,"",PRODUCT(INDEX($T$19:$T$93,GT$244):INDEX($T$19:$T$93,GT$244+$FJ309-1)))</f>
        <v/>
      </c>
      <c r="GU309" s="479" t="str">
        <f ca="1">IF($FJ309+GU$244&gt;73,"",PRODUCT(INDEX($T$19:$T$93,GU$244):INDEX($T$19:$T$93,GU$244+$FJ309-1)))</f>
        <v/>
      </c>
      <c r="GV309" s="479" t="str">
        <f ca="1">IF($FJ309+GV$244&gt;73,"",PRODUCT(INDEX($T$19:$T$93,GV$244):INDEX($T$19:$T$93,GV$244+$FJ309-1)))</f>
        <v/>
      </c>
      <c r="GW309" s="479" t="str">
        <f ca="1">IF($FJ309+GW$244&gt;73,"",PRODUCT(INDEX($T$19:$T$93,GW$244):INDEX($T$19:$T$93,GW$244+$FJ309-1)))</f>
        <v/>
      </c>
      <c r="GX309" s="479" t="str">
        <f ca="1">IF($FJ309+GX$244&gt;73,"",PRODUCT(INDEX($T$19:$T$93,GX$244):INDEX($T$19:$T$93,GX$244+$FJ309-1)))</f>
        <v/>
      </c>
      <c r="GY309" s="479" t="str">
        <f ca="1">IF($FJ309+GY$244&gt;73,"",PRODUCT(INDEX($T$19:$T$93,GY$244):INDEX($T$19:$T$93,GY$244+$FJ309-1)))</f>
        <v/>
      </c>
      <c r="GZ309" s="479" t="str">
        <f ca="1">IF($FJ309+GZ$244&gt;73,"",PRODUCT(INDEX($T$19:$T$93,GZ$244):INDEX($T$19:$T$93,GZ$244+$FJ309-1)))</f>
        <v/>
      </c>
      <c r="HA309" s="479" t="str">
        <f ca="1">IF($FJ309+HA$244&gt;73,"",PRODUCT(INDEX($T$19:$T$93,HA$244):INDEX($T$19:$T$93,HA$244+$FJ309-1)))</f>
        <v/>
      </c>
      <c r="HB309" s="479" t="str">
        <f ca="1">IF($FJ309+HB$244&gt;73,"",PRODUCT(INDEX($T$19:$T$93,HB$244):INDEX($T$19:$T$93,HB$244+$FJ309-1)))</f>
        <v/>
      </c>
      <c r="HC309" s="479" t="str">
        <f ca="1">IF($FJ309+HC$244&gt;73,"",PRODUCT(INDEX($T$19:$T$93,HC$244):INDEX($T$19:$T$93,HC$244+$FJ309-1)))</f>
        <v/>
      </c>
      <c r="HD309" s="479" t="str">
        <f ca="1">IF($FJ309+HD$244&gt;73,"",PRODUCT(INDEX($T$19:$T$93,HD$244):INDEX($T$19:$T$93,HD$244+$FJ309-1)))</f>
        <v/>
      </c>
      <c r="HE309" s="479" t="str">
        <f ca="1">IF($FJ309+HE$244&gt;73,"",PRODUCT(INDEX($T$19:$T$93,HE$244):INDEX($T$19:$T$93,HE$244+$FJ309-1)))</f>
        <v/>
      </c>
      <c r="HF309" s="479" t="str">
        <f ca="1">IF($FJ309+HF$244&gt;73,"",PRODUCT(INDEX($T$19:$T$93,HF$244):INDEX($T$19:$T$93,HF$244+$FJ309-1)))</f>
        <v/>
      </c>
      <c r="HG309" s="479" t="str">
        <f ca="1">IF($FJ309+HG$244&gt;73,"",PRODUCT(INDEX($T$19:$T$93,HG$244):INDEX($T$19:$T$93,HG$244+$FJ309-1)))</f>
        <v/>
      </c>
      <c r="HH309" s="479" t="str">
        <f ca="1">IF($FJ309+HH$244&gt;73,"",PRODUCT(INDEX($T$19:$T$93,HH$244):INDEX($T$19:$T$93,HH$244+$FJ309-1)))</f>
        <v/>
      </c>
      <c r="HI309" s="479" t="str">
        <f ca="1">IF($FJ309+HI$244&gt;73,"",PRODUCT(INDEX($T$19:$T$93,HI$244):INDEX($T$19:$T$93,HI$244+$FJ309-1)))</f>
        <v/>
      </c>
      <c r="HJ309" s="479" t="str">
        <f ca="1">IF($FJ309+HJ$244&gt;73,"",PRODUCT(INDEX($T$19:$T$93,HJ$244):INDEX($T$19:$T$93,HJ$244+$FJ309-1)))</f>
        <v/>
      </c>
      <c r="HK309" s="479" t="str">
        <f ca="1">IF($FJ309+HK$244&gt;73,"",PRODUCT(INDEX($T$19:$T$93,HK$244):INDEX($T$19:$T$93,HK$244+$FJ309-1)))</f>
        <v/>
      </c>
      <c r="HL309" s="479" t="str">
        <f ca="1">IF($FJ309+HL$244&gt;73,"",PRODUCT(INDEX($T$19:$T$93,HL$244):INDEX($T$19:$T$93,HL$244+$FJ309-1)))</f>
        <v/>
      </c>
      <c r="HM309" s="479" t="str">
        <f ca="1">IF($FJ309+HM$244&gt;73,"",PRODUCT(INDEX($T$19:$T$93,HM$244):INDEX($T$19:$T$93,HM$244+$FJ309-1)))</f>
        <v/>
      </c>
      <c r="HN309" s="479" t="str">
        <f ca="1">IF($FJ309+HN$244&gt;73,"",PRODUCT(INDEX($T$19:$T$93,HN$244):INDEX($T$19:$T$93,HN$244+$FJ309-1)))</f>
        <v/>
      </c>
      <c r="HO309" s="479" t="str">
        <f ca="1">IF($FJ309+HO$244&gt;73,"",PRODUCT(INDEX($T$19:$T$93,HO$244):INDEX($T$19:$T$93,HO$244+$FJ309-1)))</f>
        <v/>
      </c>
      <c r="HP309" s="479" t="str">
        <f ca="1">IF($FJ309+HP$244&gt;73,"",PRODUCT(INDEX($T$19:$T$93,HP$244):INDEX($T$19:$T$93,HP$244+$FJ309-1)))</f>
        <v/>
      </c>
      <c r="HQ309" s="479" t="str">
        <f ca="1">IF($FJ309+HQ$244&gt;73,"",PRODUCT(INDEX($T$19:$T$93,HQ$244):INDEX($T$19:$T$93,HQ$244+$FJ309-1)))</f>
        <v/>
      </c>
      <c r="HR309" s="479" t="str">
        <f ca="1">IF($FJ309+HR$244&gt;73,"",PRODUCT(INDEX($T$19:$T$93,HR$244):INDEX($T$19:$T$93,HR$244+$FJ309-1)))</f>
        <v/>
      </c>
      <c r="HS309" s="479" t="str">
        <f ca="1">IF($FJ309+HS$244&gt;73,"",PRODUCT(INDEX($T$19:$T$93,HS$244):INDEX($T$19:$T$93,HS$244+$FJ309-1)))</f>
        <v/>
      </c>
      <c r="HT309" s="479" t="str">
        <f ca="1">IF($FJ309+HT$244&gt;73,"",PRODUCT(INDEX($T$19:$T$93,HT$244):INDEX($T$19:$T$93,HT$244+$FJ309-1)))</f>
        <v/>
      </c>
      <c r="HU309" s="479" t="str">
        <f ca="1">IF($FJ309+HU$244&gt;73,"",PRODUCT(INDEX($T$19:$T$93,HU$244):INDEX($T$19:$T$93,HU$244+$FJ309-1)))</f>
        <v/>
      </c>
      <c r="HV309" s="479" t="str">
        <f ca="1">IF($FJ309+HV$244&gt;73,"",PRODUCT(INDEX($T$19:$T$93,HV$244):INDEX($T$19:$T$93,HV$244+$FJ309-1)))</f>
        <v/>
      </c>
      <c r="HW309" s="479">
        <f ca="1">IF($FJ309+HW$244&gt;73,"",PRODUCT(INDEX($T$19:$T$93,HW$244):INDEX($T$19:$T$93,HW$244+$FJ309-1)))</f>
        <v>0.72946693410619834</v>
      </c>
      <c r="HX309" s="479">
        <f ca="1">IF($FJ309+HX$244&gt;73,"",PRODUCT(INDEX($T$19:$T$93,HX$244):INDEX($T$19:$T$93,HX$244+$FJ309-1)))</f>
        <v>0.68978491549825238</v>
      </c>
      <c r="HY309" s="479">
        <f ca="1">IF($FJ309+HY$244&gt;73,"",PRODUCT(INDEX($T$19:$T$93,HY$244):INDEX($T$19:$T$93,HY$244+$FJ309-1)))</f>
        <v>0.64551938305236345</v>
      </c>
      <c r="HZ309" s="479">
        <f ca="1">IF($FJ309+HZ$244&gt;73,"",PRODUCT(INDEX($T$19:$T$93,HZ$244):INDEX($T$19:$T$93,HZ$244+$FJ309-1)))</f>
        <v>0.59659029090634941</v>
      </c>
      <c r="IA309" s="479">
        <f ca="1">IF($FJ309+IA$244&gt;73,"",PRODUCT(INDEX($T$19:$T$93,IA$244):INDEX($T$19:$T$93,IA$244+$FJ309-1)))</f>
        <v>0.5431018223142835</v>
      </c>
      <c r="IB309" s="479">
        <f ca="1">IF($FJ309+IB$244&gt;73,"",PRODUCT(INDEX($T$19:$T$93,IB$244):INDEX($T$19:$T$93,IB$244+$FJ309-1)))</f>
        <v>0.4854115638487454</v>
      </c>
      <c r="IC309" s="479">
        <f ca="1">IF($FJ309+IC$244&gt;73,"",PRODUCT(INDEX($T$19:$T$93,IC$244):INDEX($T$19:$T$93,IC$244+$FJ309-1)))</f>
        <v>0.42420658187446331</v>
      </c>
      <c r="ID309" s="678">
        <f ca="1">IF($FJ309+ID$244&gt;73,"",PRODUCT(INDEX($T$19:$T$93,ID$244):INDEX($T$19:$T$93,ID$244+$FJ309-1)))</f>
        <v>0.36057738653880139</v>
      </c>
      <c r="IE309" s="250"/>
    </row>
    <row r="310" spans="9:239">
      <c r="I310" s="137"/>
      <c r="J310" s="375"/>
      <c r="K310" s="138"/>
      <c r="L310" s="1"/>
      <c r="M310" s="376"/>
      <c r="P310" s="375"/>
      <c r="S310" s="55"/>
      <c r="T310" s="375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374"/>
      <c r="AP310" s="1"/>
      <c r="AQ310" s="374"/>
      <c r="AR310" s="1"/>
      <c r="AS310" s="106"/>
      <c r="AT310" s="106"/>
      <c r="AU310" s="106"/>
      <c r="AV310" s="31"/>
      <c r="AW310" s="31"/>
      <c r="AX310" s="31"/>
      <c r="AY310" s="31"/>
      <c r="AZ310" s="154"/>
      <c r="BA310" s="154"/>
      <c r="BB310" s="106"/>
      <c r="BC310" s="106"/>
      <c r="BD310" s="106"/>
      <c r="BE310" s="106"/>
      <c r="BF310" s="107"/>
      <c r="BG310" s="107"/>
      <c r="BH310" s="107"/>
      <c r="BI310" s="107"/>
      <c r="BJ310" s="107"/>
      <c r="BK310" s="106"/>
      <c r="BL310" s="108"/>
      <c r="BM310" s="159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7"/>
      <c r="CD310" s="107"/>
      <c r="CE310" s="107"/>
      <c r="CF310" s="107"/>
      <c r="CG310" s="107"/>
      <c r="CH310" s="107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475"/>
      <c r="DI310" s="110"/>
      <c r="DJ310" s="1"/>
      <c r="DK310" s="475"/>
      <c r="DL310" s="54"/>
      <c r="DM310" s="54"/>
      <c r="DN310" s="54"/>
      <c r="DO310" s="54"/>
      <c r="DP310" s="54"/>
      <c r="DQ310" s="54"/>
      <c r="DR310" s="54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L310" s="55"/>
      <c r="EM310" s="1"/>
      <c r="EN310" s="105"/>
      <c r="EO310" s="106"/>
      <c r="EP310" s="1"/>
      <c r="EQ310" s="106"/>
      <c r="ER310" s="1"/>
      <c r="ES310" s="1"/>
      <c r="ET310" s="1"/>
      <c r="EU310" s="105"/>
      <c r="FJ310" s="673">
        <v>66</v>
      </c>
      <c r="FK310" s="479" t="str">
        <f ca="1">IF($FJ310+FK$244&gt;73,"",PRODUCT(INDEX($T$19:$T$93,FK$244):INDEX($T$19:$T$93,FK$244+$FJ310-1)))</f>
        <v/>
      </c>
      <c r="FL310" s="479" t="str">
        <f ca="1">IF($FJ310+FL$244&gt;73,"",PRODUCT(INDEX($T$19:$T$93,FL$244):INDEX($T$19:$T$93,FL$244+$FJ310-1)))</f>
        <v/>
      </c>
      <c r="FM310" s="479" t="str">
        <f ca="1">IF($FJ310+FM$244&gt;73,"",PRODUCT(INDEX($T$19:$T$93,FM$244):INDEX($T$19:$T$93,FM$244+$FJ310-1)))</f>
        <v/>
      </c>
      <c r="FN310" s="479" t="str">
        <f ca="1">IF($FJ310+FN$244&gt;73,"",PRODUCT(INDEX($T$19:$T$93,FN$244):INDEX($T$19:$T$93,FN$244+$FJ310-1)))</f>
        <v/>
      </c>
      <c r="FO310" s="479" t="str">
        <f ca="1">IF($FJ310+FO$244&gt;73,"",PRODUCT(INDEX($T$19:$T$93,FO$244):INDEX($T$19:$T$93,FO$244+$FJ310-1)))</f>
        <v/>
      </c>
      <c r="FP310" s="479" t="str">
        <f ca="1">IF($FJ310+FP$244&gt;73,"",PRODUCT(INDEX($T$19:$T$93,FP$244):INDEX($T$19:$T$93,FP$244+$FJ310-1)))</f>
        <v/>
      </c>
      <c r="FQ310" s="479" t="str">
        <f ca="1">IF($FJ310+FQ$244&gt;73,"",PRODUCT(INDEX($T$19:$T$93,FQ$244):INDEX($T$19:$T$93,FQ$244+$FJ310-1)))</f>
        <v/>
      </c>
      <c r="FR310" s="479" t="str">
        <f ca="1">IF($FJ310+FR$244&gt;73,"",PRODUCT(INDEX($T$19:$T$93,FR$244):INDEX($T$19:$T$93,FR$244+$FJ310-1)))</f>
        <v/>
      </c>
      <c r="FS310" s="479" t="str">
        <f ca="1">IF($FJ310+FS$244&gt;73,"",PRODUCT(INDEX($T$19:$T$93,FS$244):INDEX($T$19:$T$93,FS$244+$FJ310-1)))</f>
        <v/>
      </c>
      <c r="FT310" s="479" t="str">
        <f ca="1">IF($FJ310+FT$244&gt;73,"",PRODUCT(INDEX($T$19:$T$93,FT$244):INDEX($T$19:$T$93,FT$244+$FJ310-1)))</f>
        <v/>
      </c>
      <c r="FU310" s="479" t="str">
        <f ca="1">IF($FJ310+FU$244&gt;73,"",PRODUCT(INDEX($T$19:$T$93,FU$244):INDEX($T$19:$T$93,FU$244+$FJ310-1)))</f>
        <v/>
      </c>
      <c r="FV310" s="479" t="str">
        <f ca="1">IF($FJ310+FV$244&gt;73,"",PRODUCT(INDEX($T$19:$T$93,FV$244):INDEX($T$19:$T$93,FV$244+$FJ310-1)))</f>
        <v/>
      </c>
      <c r="FW310" s="479" t="str">
        <f ca="1">IF($FJ310+FW$244&gt;73,"",PRODUCT(INDEX($T$19:$T$93,FW$244):INDEX($T$19:$T$93,FW$244+$FJ310-1)))</f>
        <v/>
      </c>
      <c r="FX310" s="479" t="str">
        <f ca="1">IF($FJ310+FX$244&gt;73,"",PRODUCT(INDEX($T$19:$T$93,FX$244):INDEX($T$19:$T$93,FX$244+$FJ310-1)))</f>
        <v/>
      </c>
      <c r="FY310" s="479" t="str">
        <f ca="1">IF($FJ310+FY$244&gt;73,"",PRODUCT(INDEX($T$19:$T$93,FY$244):INDEX($T$19:$T$93,FY$244+$FJ310-1)))</f>
        <v/>
      </c>
      <c r="FZ310" s="479" t="str">
        <f ca="1">IF($FJ310+FZ$244&gt;73,"",PRODUCT(INDEX($T$19:$T$93,FZ$244):INDEX($T$19:$T$93,FZ$244+$FJ310-1)))</f>
        <v/>
      </c>
      <c r="GA310" s="479" t="str">
        <f ca="1">IF($FJ310+GA$244&gt;73,"",PRODUCT(INDEX($T$19:$T$93,GA$244):INDEX($T$19:$T$93,GA$244+$FJ310-1)))</f>
        <v/>
      </c>
      <c r="GB310" s="479" t="str">
        <f ca="1">IF($FJ310+GB$244&gt;73,"",PRODUCT(INDEX($T$19:$T$93,GB$244):INDEX($T$19:$T$93,GB$244+$FJ310-1)))</f>
        <v/>
      </c>
      <c r="GC310" s="479" t="str">
        <f ca="1">IF($FJ310+GC$244&gt;73,"",PRODUCT(INDEX($T$19:$T$93,GC$244):INDEX($T$19:$T$93,GC$244+$FJ310-1)))</f>
        <v/>
      </c>
      <c r="GD310" s="479" t="str">
        <f ca="1">IF($FJ310+GD$244&gt;73,"",PRODUCT(INDEX($T$19:$T$93,GD$244):INDEX($T$19:$T$93,GD$244+$FJ310-1)))</f>
        <v/>
      </c>
      <c r="GE310" s="479" t="str">
        <f ca="1">IF($FJ310+GE$244&gt;73,"",PRODUCT(INDEX($T$19:$T$93,GE$244):INDEX($T$19:$T$93,GE$244+$FJ310-1)))</f>
        <v/>
      </c>
      <c r="GF310" s="479" t="str">
        <f ca="1">IF($FJ310+GF$244&gt;73,"",PRODUCT(INDEX($T$19:$T$93,GF$244):INDEX($T$19:$T$93,GF$244+$FJ310-1)))</f>
        <v/>
      </c>
      <c r="GG310" s="479" t="str">
        <f ca="1">IF($FJ310+GG$244&gt;73,"",PRODUCT(INDEX($T$19:$T$93,GG$244):INDEX($T$19:$T$93,GG$244+$FJ310-1)))</f>
        <v/>
      </c>
      <c r="GH310" s="479" t="str">
        <f ca="1">IF($FJ310+GH$244&gt;73,"",PRODUCT(INDEX($T$19:$T$93,GH$244):INDEX($T$19:$T$93,GH$244+$FJ310-1)))</f>
        <v/>
      </c>
      <c r="GI310" s="479" t="str">
        <f ca="1">IF($FJ310+GI$244&gt;73,"",PRODUCT(INDEX($T$19:$T$93,GI$244):INDEX($T$19:$T$93,GI$244+$FJ310-1)))</f>
        <v/>
      </c>
      <c r="GJ310" s="479" t="str">
        <f ca="1">IF($FJ310+GJ$244&gt;73,"",PRODUCT(INDEX($T$19:$T$93,GJ$244):INDEX($T$19:$T$93,GJ$244+$FJ310-1)))</f>
        <v/>
      </c>
      <c r="GK310" s="479" t="str">
        <f ca="1">IF($FJ310+GK$244&gt;73,"",PRODUCT(INDEX($T$19:$T$93,GK$244):INDEX($T$19:$T$93,GK$244+$FJ310-1)))</f>
        <v/>
      </c>
      <c r="GL310" s="479" t="str">
        <f ca="1">IF($FJ310+GL$244&gt;73,"",PRODUCT(INDEX($T$19:$T$93,GL$244):INDEX($T$19:$T$93,GL$244+$FJ310-1)))</f>
        <v/>
      </c>
      <c r="GM310" s="479" t="str">
        <f ca="1">IF($FJ310+GM$244&gt;73,"",PRODUCT(INDEX($T$19:$T$93,GM$244):INDEX($T$19:$T$93,GM$244+$FJ310-1)))</f>
        <v/>
      </c>
      <c r="GN310" s="479" t="str">
        <f ca="1">IF($FJ310+GN$244&gt;73,"",PRODUCT(INDEX($T$19:$T$93,GN$244):INDEX($T$19:$T$93,GN$244+$FJ310-1)))</f>
        <v/>
      </c>
      <c r="GO310" s="479" t="str">
        <f ca="1">IF($FJ310+GO$244&gt;73,"",PRODUCT(INDEX($T$19:$T$93,GO$244):INDEX($T$19:$T$93,GO$244+$FJ310-1)))</f>
        <v/>
      </c>
      <c r="GP310" s="479" t="str">
        <f ca="1">IF($FJ310+GP$244&gt;73,"",PRODUCT(INDEX($T$19:$T$93,GP$244):INDEX($T$19:$T$93,GP$244+$FJ310-1)))</f>
        <v/>
      </c>
      <c r="GQ310" s="479" t="str">
        <f ca="1">IF($FJ310+GQ$244&gt;73,"",PRODUCT(INDEX($T$19:$T$93,GQ$244):INDEX($T$19:$T$93,GQ$244+$FJ310-1)))</f>
        <v/>
      </c>
      <c r="GR310" s="479" t="str">
        <f ca="1">IF($FJ310+GR$244&gt;73,"",PRODUCT(INDEX($T$19:$T$93,GR$244):INDEX($T$19:$T$93,GR$244+$FJ310-1)))</f>
        <v/>
      </c>
      <c r="GS310" s="479" t="str">
        <f ca="1">IF($FJ310+GS$244&gt;73,"",PRODUCT(INDEX($T$19:$T$93,GS$244):INDEX($T$19:$T$93,GS$244+$FJ310-1)))</f>
        <v/>
      </c>
      <c r="GT310" s="479" t="str">
        <f ca="1">IF($FJ310+GT$244&gt;73,"",PRODUCT(INDEX($T$19:$T$93,GT$244):INDEX($T$19:$T$93,GT$244+$FJ310-1)))</f>
        <v/>
      </c>
      <c r="GU310" s="479" t="str">
        <f ca="1">IF($FJ310+GU$244&gt;73,"",PRODUCT(INDEX($T$19:$T$93,GU$244):INDEX($T$19:$T$93,GU$244+$FJ310-1)))</f>
        <v/>
      </c>
      <c r="GV310" s="479" t="str">
        <f ca="1">IF($FJ310+GV$244&gt;73,"",PRODUCT(INDEX($T$19:$T$93,GV$244):INDEX($T$19:$T$93,GV$244+$FJ310-1)))</f>
        <v/>
      </c>
      <c r="GW310" s="479" t="str">
        <f ca="1">IF($FJ310+GW$244&gt;73,"",PRODUCT(INDEX($T$19:$T$93,GW$244):INDEX($T$19:$T$93,GW$244+$FJ310-1)))</f>
        <v/>
      </c>
      <c r="GX310" s="479" t="str">
        <f ca="1">IF($FJ310+GX$244&gt;73,"",PRODUCT(INDEX($T$19:$T$93,GX$244):INDEX($T$19:$T$93,GX$244+$FJ310-1)))</f>
        <v/>
      </c>
      <c r="GY310" s="479" t="str">
        <f ca="1">IF($FJ310+GY$244&gt;73,"",PRODUCT(INDEX($T$19:$T$93,GY$244):INDEX($T$19:$T$93,GY$244+$FJ310-1)))</f>
        <v/>
      </c>
      <c r="GZ310" s="479" t="str">
        <f ca="1">IF($FJ310+GZ$244&gt;73,"",PRODUCT(INDEX($T$19:$T$93,GZ$244):INDEX($T$19:$T$93,GZ$244+$FJ310-1)))</f>
        <v/>
      </c>
      <c r="HA310" s="479" t="str">
        <f ca="1">IF($FJ310+HA$244&gt;73,"",PRODUCT(INDEX($T$19:$T$93,HA$244):INDEX($T$19:$T$93,HA$244+$FJ310-1)))</f>
        <v/>
      </c>
      <c r="HB310" s="479" t="str">
        <f ca="1">IF($FJ310+HB$244&gt;73,"",PRODUCT(INDEX($T$19:$T$93,HB$244):INDEX($T$19:$T$93,HB$244+$FJ310-1)))</f>
        <v/>
      </c>
      <c r="HC310" s="479" t="str">
        <f ca="1">IF($FJ310+HC$244&gt;73,"",PRODUCT(INDEX($T$19:$T$93,HC$244):INDEX($T$19:$T$93,HC$244+$FJ310-1)))</f>
        <v/>
      </c>
      <c r="HD310" s="479" t="str">
        <f ca="1">IF($FJ310+HD$244&gt;73,"",PRODUCT(INDEX($T$19:$T$93,HD$244):INDEX($T$19:$T$93,HD$244+$FJ310-1)))</f>
        <v/>
      </c>
      <c r="HE310" s="479" t="str">
        <f ca="1">IF($FJ310+HE$244&gt;73,"",PRODUCT(INDEX($T$19:$T$93,HE$244):INDEX($T$19:$T$93,HE$244+$FJ310-1)))</f>
        <v/>
      </c>
      <c r="HF310" s="479" t="str">
        <f ca="1">IF($FJ310+HF$244&gt;73,"",PRODUCT(INDEX($T$19:$T$93,HF$244):INDEX($T$19:$T$93,HF$244+$FJ310-1)))</f>
        <v/>
      </c>
      <c r="HG310" s="479" t="str">
        <f ca="1">IF($FJ310+HG$244&gt;73,"",PRODUCT(INDEX($T$19:$T$93,HG$244):INDEX($T$19:$T$93,HG$244+$FJ310-1)))</f>
        <v/>
      </c>
      <c r="HH310" s="479" t="str">
        <f ca="1">IF($FJ310+HH$244&gt;73,"",PRODUCT(INDEX($T$19:$T$93,HH$244):INDEX($T$19:$T$93,HH$244+$FJ310-1)))</f>
        <v/>
      </c>
      <c r="HI310" s="479" t="str">
        <f ca="1">IF($FJ310+HI$244&gt;73,"",PRODUCT(INDEX($T$19:$T$93,HI$244):INDEX($T$19:$T$93,HI$244+$FJ310-1)))</f>
        <v/>
      </c>
      <c r="HJ310" s="479" t="str">
        <f ca="1">IF($FJ310+HJ$244&gt;73,"",PRODUCT(INDEX($T$19:$T$93,HJ$244):INDEX($T$19:$T$93,HJ$244+$FJ310-1)))</f>
        <v/>
      </c>
      <c r="HK310" s="479" t="str">
        <f ca="1">IF($FJ310+HK$244&gt;73,"",PRODUCT(INDEX($T$19:$T$93,HK$244):INDEX($T$19:$T$93,HK$244+$FJ310-1)))</f>
        <v/>
      </c>
      <c r="HL310" s="479" t="str">
        <f ca="1">IF($FJ310+HL$244&gt;73,"",PRODUCT(INDEX($T$19:$T$93,HL$244):INDEX($T$19:$T$93,HL$244+$FJ310-1)))</f>
        <v/>
      </c>
      <c r="HM310" s="479" t="str">
        <f ca="1">IF($FJ310+HM$244&gt;73,"",PRODUCT(INDEX($T$19:$T$93,HM$244):INDEX($T$19:$T$93,HM$244+$FJ310-1)))</f>
        <v/>
      </c>
      <c r="HN310" s="479" t="str">
        <f ca="1">IF($FJ310+HN$244&gt;73,"",PRODUCT(INDEX($T$19:$T$93,HN$244):INDEX($T$19:$T$93,HN$244+$FJ310-1)))</f>
        <v/>
      </c>
      <c r="HO310" s="479" t="str">
        <f ca="1">IF($FJ310+HO$244&gt;73,"",PRODUCT(INDEX($T$19:$T$93,HO$244):INDEX($T$19:$T$93,HO$244+$FJ310-1)))</f>
        <v/>
      </c>
      <c r="HP310" s="479" t="str">
        <f ca="1">IF($FJ310+HP$244&gt;73,"",PRODUCT(INDEX($T$19:$T$93,HP$244):INDEX($T$19:$T$93,HP$244+$FJ310-1)))</f>
        <v/>
      </c>
      <c r="HQ310" s="479" t="str">
        <f ca="1">IF($FJ310+HQ$244&gt;73,"",PRODUCT(INDEX($T$19:$T$93,HQ$244):INDEX($T$19:$T$93,HQ$244+$FJ310-1)))</f>
        <v/>
      </c>
      <c r="HR310" s="479" t="str">
        <f ca="1">IF($FJ310+HR$244&gt;73,"",PRODUCT(INDEX($T$19:$T$93,HR$244):INDEX($T$19:$T$93,HR$244+$FJ310-1)))</f>
        <v/>
      </c>
      <c r="HS310" s="479" t="str">
        <f ca="1">IF($FJ310+HS$244&gt;73,"",PRODUCT(INDEX($T$19:$T$93,HS$244):INDEX($T$19:$T$93,HS$244+$FJ310-1)))</f>
        <v/>
      </c>
      <c r="HT310" s="479" t="str">
        <f ca="1">IF($FJ310+HT$244&gt;73,"",PRODUCT(INDEX($T$19:$T$93,HT$244):INDEX($T$19:$T$93,HT$244+$FJ310-1)))</f>
        <v/>
      </c>
      <c r="HU310" s="479" t="str">
        <f ca="1">IF($FJ310+HU$244&gt;73,"",PRODUCT(INDEX($T$19:$T$93,HU$244):INDEX($T$19:$T$93,HU$244+$FJ310-1)))</f>
        <v/>
      </c>
      <c r="HV310" s="479" t="str">
        <f ca="1">IF($FJ310+HV$244&gt;73,"",PRODUCT(INDEX($T$19:$T$93,HV$244):INDEX($T$19:$T$93,HV$244+$FJ310-1)))</f>
        <v/>
      </c>
      <c r="HW310" s="479" t="str">
        <f ca="1">IF($FJ310+HW$244&gt;73,"",PRODUCT(INDEX($T$19:$T$93,HW$244):INDEX($T$19:$T$93,HW$244+$FJ310-1)))</f>
        <v/>
      </c>
      <c r="HX310" s="479">
        <f ca="1">IF($FJ310+HX$244&gt;73,"",PRODUCT(INDEX($T$19:$T$93,HX$244):INDEX($T$19:$T$93,HX$244+$FJ310-1)))</f>
        <v>0.68978357633835552</v>
      </c>
      <c r="HY310" s="479">
        <f ca="1">IF($FJ310+HY$244&gt;73,"",PRODUCT(INDEX($T$19:$T$93,HY$244):INDEX($T$19:$T$93,HY$244+$FJ310-1)))</f>
        <v>0.64551791729390717</v>
      </c>
      <c r="HZ310" s="479">
        <f ca="1">IF($FJ310+HZ$244&gt;73,"",PRODUCT(INDEX($T$19:$T$93,HZ$244):INDEX($T$19:$T$93,HZ$244+$FJ310-1)))</f>
        <v>0.59658870651029572</v>
      </c>
      <c r="IA310" s="479">
        <f ca="1">IF($FJ310+IA$244&gt;73,"",PRODUCT(INDEX($T$19:$T$93,IA$244):INDEX($T$19:$T$93,IA$244+$FJ310-1)))</f>
        <v>0.54310013535981072</v>
      </c>
      <c r="IB310" s="479">
        <f ca="1">IF($FJ310+IB$244&gt;73,"",PRODUCT(INDEX($T$19:$T$93,IB$244):INDEX($T$19:$T$93,IB$244+$FJ310-1)))</f>
        <v>0.48540980038374387</v>
      </c>
      <c r="IC310" s="479">
        <f ca="1">IF($FJ310+IC$244&gt;73,"",PRODUCT(INDEX($T$19:$T$93,IC$244):INDEX($T$19:$T$93,IC$244+$FJ310-1)))</f>
        <v>0.42420477940107792</v>
      </c>
      <c r="ID310" s="678">
        <f ca="1">IF($FJ310+ID$244&gt;73,"",PRODUCT(INDEX($T$19:$T$93,ID$244):INDEX($T$19:$T$93,ID$244+$FJ310-1)))</f>
        <v>0.36057559459329386</v>
      </c>
      <c r="IE310" s="250"/>
    </row>
    <row r="311" spans="9:239">
      <c r="I311" s="137"/>
      <c r="J311" s="375"/>
      <c r="K311" s="138"/>
      <c r="L311" s="1"/>
      <c r="M311" s="376"/>
      <c r="P311" s="375"/>
      <c r="S311" s="55"/>
      <c r="T311" s="375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374"/>
      <c r="AP311" s="1"/>
      <c r="AQ311" s="374"/>
      <c r="AR311" s="1"/>
      <c r="AS311" s="106"/>
      <c r="AT311" s="106"/>
      <c r="AU311" s="106"/>
      <c r="AV311" s="31"/>
      <c r="AW311" s="31"/>
      <c r="AX311" s="31"/>
      <c r="AY311" s="31"/>
      <c r="AZ311" s="154"/>
      <c r="BA311" s="154"/>
      <c r="BB311" s="106"/>
      <c r="BC311" s="106"/>
      <c r="BD311" s="106"/>
      <c r="BE311" s="106"/>
      <c r="BF311" s="107"/>
      <c r="BG311" s="107"/>
      <c r="BH311" s="107"/>
      <c r="BI311" s="107"/>
      <c r="BJ311" s="107"/>
      <c r="BK311" s="106"/>
      <c r="BL311" s="108"/>
      <c r="BM311" s="159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7"/>
      <c r="CD311" s="107"/>
      <c r="CE311" s="107"/>
      <c r="CF311" s="107"/>
      <c r="CG311" s="107"/>
      <c r="CH311" s="107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475"/>
      <c r="DI311" s="110"/>
      <c r="DJ311" s="1"/>
      <c r="DK311" s="475"/>
      <c r="DL311" s="54"/>
      <c r="DM311" s="54"/>
      <c r="DN311" s="54"/>
      <c r="DO311" s="54"/>
      <c r="DP311" s="54"/>
      <c r="DQ311" s="54"/>
      <c r="DR311" s="54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L311" s="55"/>
      <c r="EM311" s="1"/>
      <c r="EN311" s="105"/>
      <c r="EO311" s="106"/>
      <c r="EP311" s="1"/>
      <c r="EQ311" s="106"/>
      <c r="ER311" s="1"/>
      <c r="ES311" s="1"/>
      <c r="ET311" s="1"/>
      <c r="EU311" s="105"/>
      <c r="FJ311" s="673">
        <v>67</v>
      </c>
      <c r="FK311" s="479" t="str">
        <f ca="1">IF($FJ311+FK$244&gt;73,"",PRODUCT(INDEX($T$19:$T$93,FK$244):INDEX($T$19:$T$93,FK$244+$FJ311-1)))</f>
        <v/>
      </c>
      <c r="FL311" s="479" t="str">
        <f ca="1">IF($FJ311+FL$244&gt;73,"",PRODUCT(INDEX($T$19:$T$93,FL$244):INDEX($T$19:$T$93,FL$244+$FJ311-1)))</f>
        <v/>
      </c>
      <c r="FM311" s="479" t="str">
        <f ca="1">IF($FJ311+FM$244&gt;73,"",PRODUCT(INDEX($T$19:$T$93,FM$244):INDEX($T$19:$T$93,FM$244+$FJ311-1)))</f>
        <v/>
      </c>
      <c r="FN311" s="479" t="str">
        <f ca="1">IF($FJ311+FN$244&gt;73,"",PRODUCT(INDEX($T$19:$T$93,FN$244):INDEX($T$19:$T$93,FN$244+$FJ311-1)))</f>
        <v/>
      </c>
      <c r="FO311" s="479" t="str">
        <f ca="1">IF($FJ311+FO$244&gt;73,"",PRODUCT(INDEX($T$19:$T$93,FO$244):INDEX($T$19:$T$93,FO$244+$FJ311-1)))</f>
        <v/>
      </c>
      <c r="FP311" s="479" t="str">
        <f ca="1">IF($FJ311+FP$244&gt;73,"",PRODUCT(INDEX($T$19:$T$93,FP$244):INDEX($T$19:$T$93,FP$244+$FJ311-1)))</f>
        <v/>
      </c>
      <c r="FQ311" s="479" t="str">
        <f ca="1">IF($FJ311+FQ$244&gt;73,"",PRODUCT(INDEX($T$19:$T$93,FQ$244):INDEX($T$19:$T$93,FQ$244+$FJ311-1)))</f>
        <v/>
      </c>
      <c r="FR311" s="479" t="str">
        <f ca="1">IF($FJ311+FR$244&gt;73,"",PRODUCT(INDEX($T$19:$T$93,FR$244):INDEX($T$19:$T$93,FR$244+$FJ311-1)))</f>
        <v/>
      </c>
      <c r="FS311" s="479" t="str">
        <f ca="1">IF($FJ311+FS$244&gt;73,"",PRODUCT(INDEX($T$19:$T$93,FS$244):INDEX($T$19:$T$93,FS$244+$FJ311-1)))</f>
        <v/>
      </c>
      <c r="FT311" s="479" t="str">
        <f ca="1">IF($FJ311+FT$244&gt;73,"",PRODUCT(INDEX($T$19:$T$93,FT$244):INDEX($T$19:$T$93,FT$244+$FJ311-1)))</f>
        <v/>
      </c>
      <c r="FU311" s="479" t="str">
        <f ca="1">IF($FJ311+FU$244&gt;73,"",PRODUCT(INDEX($T$19:$T$93,FU$244):INDEX($T$19:$T$93,FU$244+$FJ311-1)))</f>
        <v/>
      </c>
      <c r="FV311" s="479" t="str">
        <f ca="1">IF($FJ311+FV$244&gt;73,"",PRODUCT(INDEX($T$19:$T$93,FV$244):INDEX($T$19:$T$93,FV$244+$FJ311-1)))</f>
        <v/>
      </c>
      <c r="FW311" s="479" t="str">
        <f ca="1">IF($FJ311+FW$244&gt;73,"",PRODUCT(INDEX($T$19:$T$93,FW$244):INDEX($T$19:$T$93,FW$244+$FJ311-1)))</f>
        <v/>
      </c>
      <c r="FX311" s="479" t="str">
        <f ca="1">IF($FJ311+FX$244&gt;73,"",PRODUCT(INDEX($T$19:$T$93,FX$244):INDEX($T$19:$T$93,FX$244+$FJ311-1)))</f>
        <v/>
      </c>
      <c r="FY311" s="479" t="str">
        <f ca="1">IF($FJ311+FY$244&gt;73,"",PRODUCT(INDEX($T$19:$T$93,FY$244):INDEX($T$19:$T$93,FY$244+$FJ311-1)))</f>
        <v/>
      </c>
      <c r="FZ311" s="479" t="str">
        <f ca="1">IF($FJ311+FZ$244&gt;73,"",PRODUCT(INDEX($T$19:$T$93,FZ$244):INDEX($T$19:$T$93,FZ$244+$FJ311-1)))</f>
        <v/>
      </c>
      <c r="GA311" s="479" t="str">
        <f ca="1">IF($FJ311+GA$244&gt;73,"",PRODUCT(INDEX($T$19:$T$93,GA$244):INDEX($T$19:$T$93,GA$244+$FJ311-1)))</f>
        <v/>
      </c>
      <c r="GB311" s="479" t="str">
        <f ca="1">IF($FJ311+GB$244&gt;73,"",PRODUCT(INDEX($T$19:$T$93,GB$244):INDEX($T$19:$T$93,GB$244+$FJ311-1)))</f>
        <v/>
      </c>
      <c r="GC311" s="479" t="str">
        <f ca="1">IF($FJ311+GC$244&gt;73,"",PRODUCT(INDEX($T$19:$T$93,GC$244):INDEX($T$19:$T$93,GC$244+$FJ311-1)))</f>
        <v/>
      </c>
      <c r="GD311" s="479" t="str">
        <f ca="1">IF($FJ311+GD$244&gt;73,"",PRODUCT(INDEX($T$19:$T$93,GD$244):INDEX($T$19:$T$93,GD$244+$FJ311-1)))</f>
        <v/>
      </c>
      <c r="GE311" s="479" t="str">
        <f ca="1">IF($FJ311+GE$244&gt;73,"",PRODUCT(INDEX($T$19:$T$93,GE$244):INDEX($T$19:$T$93,GE$244+$FJ311-1)))</f>
        <v/>
      </c>
      <c r="GF311" s="479" t="str">
        <f ca="1">IF($FJ311+GF$244&gt;73,"",PRODUCT(INDEX($T$19:$T$93,GF$244):INDEX($T$19:$T$93,GF$244+$FJ311-1)))</f>
        <v/>
      </c>
      <c r="GG311" s="479" t="str">
        <f ca="1">IF($FJ311+GG$244&gt;73,"",PRODUCT(INDEX($T$19:$T$93,GG$244):INDEX($T$19:$T$93,GG$244+$FJ311-1)))</f>
        <v/>
      </c>
      <c r="GH311" s="479" t="str">
        <f ca="1">IF($FJ311+GH$244&gt;73,"",PRODUCT(INDEX($T$19:$T$93,GH$244):INDEX($T$19:$T$93,GH$244+$FJ311-1)))</f>
        <v/>
      </c>
      <c r="GI311" s="479" t="str">
        <f ca="1">IF($FJ311+GI$244&gt;73,"",PRODUCT(INDEX($T$19:$T$93,GI$244):INDEX($T$19:$T$93,GI$244+$FJ311-1)))</f>
        <v/>
      </c>
      <c r="GJ311" s="479" t="str">
        <f ca="1">IF($FJ311+GJ$244&gt;73,"",PRODUCT(INDEX($T$19:$T$93,GJ$244):INDEX($T$19:$T$93,GJ$244+$FJ311-1)))</f>
        <v/>
      </c>
      <c r="GK311" s="479" t="str">
        <f ca="1">IF($FJ311+GK$244&gt;73,"",PRODUCT(INDEX($T$19:$T$93,GK$244):INDEX($T$19:$T$93,GK$244+$FJ311-1)))</f>
        <v/>
      </c>
      <c r="GL311" s="479" t="str">
        <f ca="1">IF($FJ311+GL$244&gt;73,"",PRODUCT(INDEX($T$19:$T$93,GL$244):INDEX($T$19:$T$93,GL$244+$FJ311-1)))</f>
        <v/>
      </c>
      <c r="GM311" s="479" t="str">
        <f ca="1">IF($FJ311+GM$244&gt;73,"",PRODUCT(INDEX($T$19:$T$93,GM$244):INDEX($T$19:$T$93,GM$244+$FJ311-1)))</f>
        <v/>
      </c>
      <c r="GN311" s="479" t="str">
        <f ca="1">IF($FJ311+GN$244&gt;73,"",PRODUCT(INDEX($T$19:$T$93,GN$244):INDEX($T$19:$T$93,GN$244+$FJ311-1)))</f>
        <v/>
      </c>
      <c r="GO311" s="479" t="str">
        <f ca="1">IF($FJ311+GO$244&gt;73,"",PRODUCT(INDEX($T$19:$T$93,GO$244):INDEX($T$19:$T$93,GO$244+$FJ311-1)))</f>
        <v/>
      </c>
      <c r="GP311" s="479" t="str">
        <f ca="1">IF($FJ311+GP$244&gt;73,"",PRODUCT(INDEX($T$19:$T$93,GP$244):INDEX($T$19:$T$93,GP$244+$FJ311-1)))</f>
        <v/>
      </c>
      <c r="GQ311" s="479" t="str">
        <f ca="1">IF($FJ311+GQ$244&gt;73,"",PRODUCT(INDEX($T$19:$T$93,GQ$244):INDEX($T$19:$T$93,GQ$244+$FJ311-1)))</f>
        <v/>
      </c>
      <c r="GR311" s="479" t="str">
        <f ca="1">IF($FJ311+GR$244&gt;73,"",PRODUCT(INDEX($T$19:$T$93,GR$244):INDEX($T$19:$T$93,GR$244+$FJ311-1)))</f>
        <v/>
      </c>
      <c r="GS311" s="479" t="str">
        <f ca="1">IF($FJ311+GS$244&gt;73,"",PRODUCT(INDEX($T$19:$T$93,GS$244):INDEX($T$19:$T$93,GS$244+$FJ311-1)))</f>
        <v/>
      </c>
      <c r="GT311" s="479" t="str">
        <f ca="1">IF($FJ311+GT$244&gt;73,"",PRODUCT(INDEX($T$19:$T$93,GT$244):INDEX($T$19:$T$93,GT$244+$FJ311-1)))</f>
        <v/>
      </c>
      <c r="GU311" s="479" t="str">
        <f ca="1">IF($FJ311+GU$244&gt;73,"",PRODUCT(INDEX($T$19:$T$93,GU$244):INDEX($T$19:$T$93,GU$244+$FJ311-1)))</f>
        <v/>
      </c>
      <c r="GV311" s="479" t="str">
        <f ca="1">IF($FJ311+GV$244&gt;73,"",PRODUCT(INDEX($T$19:$T$93,GV$244):INDEX($T$19:$T$93,GV$244+$FJ311-1)))</f>
        <v/>
      </c>
      <c r="GW311" s="479" t="str">
        <f ca="1">IF($FJ311+GW$244&gt;73,"",PRODUCT(INDEX($T$19:$T$93,GW$244):INDEX($T$19:$T$93,GW$244+$FJ311-1)))</f>
        <v/>
      </c>
      <c r="GX311" s="479" t="str">
        <f ca="1">IF($FJ311+GX$244&gt;73,"",PRODUCT(INDEX($T$19:$T$93,GX$244):INDEX($T$19:$T$93,GX$244+$FJ311-1)))</f>
        <v/>
      </c>
      <c r="GY311" s="479" t="str">
        <f ca="1">IF($FJ311+GY$244&gt;73,"",PRODUCT(INDEX($T$19:$T$93,GY$244):INDEX($T$19:$T$93,GY$244+$FJ311-1)))</f>
        <v/>
      </c>
      <c r="GZ311" s="479" t="str">
        <f ca="1">IF($FJ311+GZ$244&gt;73,"",PRODUCT(INDEX($T$19:$T$93,GZ$244):INDEX($T$19:$T$93,GZ$244+$FJ311-1)))</f>
        <v/>
      </c>
      <c r="HA311" s="479" t="str">
        <f ca="1">IF($FJ311+HA$244&gt;73,"",PRODUCT(INDEX($T$19:$T$93,HA$244):INDEX($T$19:$T$93,HA$244+$FJ311-1)))</f>
        <v/>
      </c>
      <c r="HB311" s="479" t="str">
        <f ca="1">IF($FJ311+HB$244&gt;73,"",PRODUCT(INDEX($T$19:$T$93,HB$244):INDEX($T$19:$T$93,HB$244+$FJ311-1)))</f>
        <v/>
      </c>
      <c r="HC311" s="479" t="str">
        <f ca="1">IF($FJ311+HC$244&gt;73,"",PRODUCT(INDEX($T$19:$T$93,HC$244):INDEX($T$19:$T$93,HC$244+$FJ311-1)))</f>
        <v/>
      </c>
      <c r="HD311" s="479" t="str">
        <f ca="1">IF($FJ311+HD$244&gt;73,"",PRODUCT(INDEX($T$19:$T$93,HD$244):INDEX($T$19:$T$93,HD$244+$FJ311-1)))</f>
        <v/>
      </c>
      <c r="HE311" s="479" t="str">
        <f ca="1">IF($FJ311+HE$244&gt;73,"",PRODUCT(INDEX($T$19:$T$93,HE$244):INDEX($T$19:$T$93,HE$244+$FJ311-1)))</f>
        <v/>
      </c>
      <c r="HF311" s="479" t="str">
        <f ca="1">IF($FJ311+HF$244&gt;73,"",PRODUCT(INDEX($T$19:$T$93,HF$244):INDEX($T$19:$T$93,HF$244+$FJ311-1)))</f>
        <v/>
      </c>
      <c r="HG311" s="479" t="str">
        <f ca="1">IF($FJ311+HG$244&gt;73,"",PRODUCT(INDEX($T$19:$T$93,HG$244):INDEX($T$19:$T$93,HG$244+$FJ311-1)))</f>
        <v/>
      </c>
      <c r="HH311" s="479" t="str">
        <f ca="1">IF($FJ311+HH$244&gt;73,"",PRODUCT(INDEX($T$19:$T$93,HH$244):INDEX($T$19:$T$93,HH$244+$FJ311-1)))</f>
        <v/>
      </c>
      <c r="HI311" s="479" t="str">
        <f ca="1">IF($FJ311+HI$244&gt;73,"",PRODUCT(INDEX($T$19:$T$93,HI$244):INDEX($T$19:$T$93,HI$244+$FJ311-1)))</f>
        <v/>
      </c>
      <c r="HJ311" s="479" t="str">
        <f ca="1">IF($FJ311+HJ$244&gt;73,"",PRODUCT(INDEX($T$19:$T$93,HJ$244):INDEX($T$19:$T$93,HJ$244+$FJ311-1)))</f>
        <v/>
      </c>
      <c r="HK311" s="479" t="str">
        <f ca="1">IF($FJ311+HK$244&gt;73,"",PRODUCT(INDEX($T$19:$T$93,HK$244):INDEX($T$19:$T$93,HK$244+$FJ311-1)))</f>
        <v/>
      </c>
      <c r="HL311" s="479" t="str">
        <f ca="1">IF($FJ311+HL$244&gt;73,"",PRODUCT(INDEX($T$19:$T$93,HL$244):INDEX($T$19:$T$93,HL$244+$FJ311-1)))</f>
        <v/>
      </c>
      <c r="HM311" s="479" t="str">
        <f ca="1">IF($FJ311+HM$244&gt;73,"",PRODUCT(INDEX($T$19:$T$93,HM$244):INDEX($T$19:$T$93,HM$244+$FJ311-1)))</f>
        <v/>
      </c>
      <c r="HN311" s="479" t="str">
        <f ca="1">IF($FJ311+HN$244&gt;73,"",PRODUCT(INDEX($T$19:$T$93,HN$244):INDEX($T$19:$T$93,HN$244+$FJ311-1)))</f>
        <v/>
      </c>
      <c r="HO311" s="479" t="str">
        <f ca="1">IF($FJ311+HO$244&gt;73,"",PRODUCT(INDEX($T$19:$T$93,HO$244):INDEX($T$19:$T$93,HO$244+$FJ311-1)))</f>
        <v/>
      </c>
      <c r="HP311" s="479" t="str">
        <f ca="1">IF($FJ311+HP$244&gt;73,"",PRODUCT(INDEX($T$19:$T$93,HP$244):INDEX($T$19:$T$93,HP$244+$FJ311-1)))</f>
        <v/>
      </c>
      <c r="HQ311" s="479" t="str">
        <f ca="1">IF($FJ311+HQ$244&gt;73,"",PRODUCT(INDEX($T$19:$T$93,HQ$244):INDEX($T$19:$T$93,HQ$244+$FJ311-1)))</f>
        <v/>
      </c>
      <c r="HR311" s="479" t="str">
        <f ca="1">IF($FJ311+HR$244&gt;73,"",PRODUCT(INDEX($T$19:$T$93,HR$244):INDEX($T$19:$T$93,HR$244+$FJ311-1)))</f>
        <v/>
      </c>
      <c r="HS311" s="479" t="str">
        <f ca="1">IF($FJ311+HS$244&gt;73,"",PRODUCT(INDEX($T$19:$T$93,HS$244):INDEX($T$19:$T$93,HS$244+$FJ311-1)))</f>
        <v/>
      </c>
      <c r="HT311" s="479" t="str">
        <f ca="1">IF($FJ311+HT$244&gt;73,"",PRODUCT(INDEX($T$19:$T$93,HT$244):INDEX($T$19:$T$93,HT$244+$FJ311-1)))</f>
        <v/>
      </c>
      <c r="HU311" s="479" t="str">
        <f ca="1">IF($FJ311+HU$244&gt;73,"",PRODUCT(INDEX($T$19:$T$93,HU$244):INDEX($T$19:$T$93,HU$244+$FJ311-1)))</f>
        <v/>
      </c>
      <c r="HV311" s="479" t="str">
        <f ca="1">IF($FJ311+HV$244&gt;73,"",PRODUCT(INDEX($T$19:$T$93,HV$244):INDEX($T$19:$T$93,HV$244+$FJ311-1)))</f>
        <v/>
      </c>
      <c r="HW311" s="479" t="str">
        <f ca="1">IF($FJ311+HW$244&gt;73,"",PRODUCT(INDEX($T$19:$T$93,HW$244):INDEX($T$19:$T$93,HW$244+$FJ311-1)))</f>
        <v/>
      </c>
      <c r="HX311" s="479" t="str">
        <f ca="1">IF($FJ311+HX$244&gt;73,"",PRODUCT(INDEX($T$19:$T$93,HX$244):INDEX($T$19:$T$93,HX$244+$FJ311-1)))</f>
        <v/>
      </c>
      <c r="HY311" s="479">
        <f ca="1">IF($FJ311+HY$244&gt;73,"",PRODUCT(INDEX($T$19:$T$93,HY$244):INDEX($T$19:$T$93,HY$244+$FJ311-1)))</f>
        <v>0.64551666407469621</v>
      </c>
      <c r="HZ311" s="479">
        <f ca="1">IF($FJ311+HZ$244&gt;73,"",PRODUCT(INDEX($T$19:$T$93,HZ$244):INDEX($T$19:$T$93,HZ$244+$FJ311-1)))</f>
        <v>0.59658735185702827</v>
      </c>
      <c r="IA311" s="479">
        <f ca="1">IF($FJ311+IA$244&gt;73,"",PRODUCT(INDEX($T$19:$T$93,IA$244):INDEX($T$19:$T$93,IA$244+$FJ311-1)))</f>
        <v>0.54309869302036207</v>
      </c>
      <c r="IB311" s="479">
        <f ca="1">IF($FJ311+IB$244&gt;73,"",PRODUCT(INDEX($T$19:$T$93,IB$244):INDEX($T$19:$T$93,IB$244+$FJ311-1)))</f>
        <v>0.48540829262921198</v>
      </c>
      <c r="IC311" s="479">
        <f ca="1">IF($FJ311+IC$244&gt;73,"",PRODUCT(INDEX($T$19:$T$93,IC$244):INDEX($T$19:$T$93,IC$244+$FJ311-1)))</f>
        <v>0.42420323829588458</v>
      </c>
      <c r="ID311" s="678">
        <f ca="1">IF($FJ311+ID$244&gt;73,"",PRODUCT(INDEX($T$19:$T$93,ID$244):INDEX($T$19:$T$93,ID$244+$FJ311-1)))</f>
        <v>0.36057406249091628</v>
      </c>
      <c r="IE311" s="250"/>
    </row>
    <row r="312" spans="9:239">
      <c r="I312" s="137"/>
      <c r="J312" s="375"/>
      <c r="K312" s="138"/>
      <c r="L312" s="1"/>
      <c r="M312" s="376"/>
      <c r="P312" s="375"/>
      <c r="S312" s="55"/>
      <c r="T312" s="375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374"/>
      <c r="AP312" s="1"/>
      <c r="AQ312" s="374"/>
      <c r="AR312" s="1"/>
      <c r="AS312" s="106"/>
      <c r="AT312" s="106"/>
      <c r="AU312" s="106"/>
      <c r="AV312" s="31"/>
      <c r="AW312" s="31"/>
      <c r="AX312" s="31"/>
      <c r="AY312" s="31"/>
      <c r="AZ312" s="154"/>
      <c r="BA312" s="154"/>
      <c r="BB312" s="106"/>
      <c r="BC312" s="106"/>
      <c r="BD312" s="106"/>
      <c r="BE312" s="106"/>
      <c r="BF312" s="107"/>
      <c r="BG312" s="107"/>
      <c r="BH312" s="107"/>
      <c r="BI312" s="107"/>
      <c r="BJ312" s="107"/>
      <c r="BK312" s="106"/>
      <c r="BL312" s="108"/>
      <c r="BM312" s="159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7"/>
      <c r="CD312" s="107"/>
      <c r="CE312" s="107"/>
      <c r="CF312" s="107"/>
      <c r="CG312" s="107"/>
      <c r="CH312" s="107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475"/>
      <c r="DI312" s="110"/>
      <c r="DJ312" s="1"/>
      <c r="DK312" s="475"/>
      <c r="DL312" s="54"/>
      <c r="DM312" s="54"/>
      <c r="DN312" s="54"/>
      <c r="DO312" s="54"/>
      <c r="DP312" s="54"/>
      <c r="DQ312" s="54"/>
      <c r="DR312" s="54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L312" s="55"/>
      <c r="EM312" s="1"/>
      <c r="EN312" s="105"/>
      <c r="EO312" s="106"/>
      <c r="EP312" s="1"/>
      <c r="EQ312" s="106"/>
      <c r="ER312" s="1"/>
      <c r="ES312" s="1"/>
      <c r="ET312" s="1"/>
      <c r="EU312" s="105"/>
      <c r="FJ312" s="673">
        <v>68</v>
      </c>
      <c r="FK312" s="479" t="str">
        <f ca="1">IF($FJ312+FK$244&gt;73,"",PRODUCT(INDEX($T$19:$T$93,FK$244):INDEX($T$19:$T$93,FK$244+$FJ312-1)))</f>
        <v/>
      </c>
      <c r="FL312" s="479" t="str">
        <f ca="1">IF($FJ312+FL$244&gt;73,"",PRODUCT(INDEX($T$19:$T$93,FL$244):INDEX($T$19:$T$93,FL$244+$FJ312-1)))</f>
        <v/>
      </c>
      <c r="FM312" s="479" t="str">
        <f ca="1">IF($FJ312+FM$244&gt;73,"",PRODUCT(INDEX($T$19:$T$93,FM$244):INDEX($T$19:$T$93,FM$244+$FJ312-1)))</f>
        <v/>
      </c>
      <c r="FN312" s="479" t="str">
        <f ca="1">IF($FJ312+FN$244&gt;73,"",PRODUCT(INDEX($T$19:$T$93,FN$244):INDEX($T$19:$T$93,FN$244+$FJ312-1)))</f>
        <v/>
      </c>
      <c r="FO312" s="479" t="str">
        <f ca="1">IF($FJ312+FO$244&gt;73,"",PRODUCT(INDEX($T$19:$T$93,FO$244):INDEX($T$19:$T$93,FO$244+$FJ312-1)))</f>
        <v/>
      </c>
      <c r="FP312" s="479" t="str">
        <f ca="1">IF($FJ312+FP$244&gt;73,"",PRODUCT(INDEX($T$19:$T$93,FP$244):INDEX($T$19:$T$93,FP$244+$FJ312-1)))</f>
        <v/>
      </c>
      <c r="FQ312" s="479" t="str">
        <f ca="1">IF($FJ312+FQ$244&gt;73,"",PRODUCT(INDEX($T$19:$T$93,FQ$244):INDEX($T$19:$T$93,FQ$244+$FJ312-1)))</f>
        <v/>
      </c>
      <c r="FR312" s="479" t="str">
        <f ca="1">IF($FJ312+FR$244&gt;73,"",PRODUCT(INDEX($T$19:$T$93,FR$244):INDEX($T$19:$T$93,FR$244+$FJ312-1)))</f>
        <v/>
      </c>
      <c r="FS312" s="479" t="str">
        <f ca="1">IF($FJ312+FS$244&gt;73,"",PRODUCT(INDEX($T$19:$T$93,FS$244):INDEX($T$19:$T$93,FS$244+$FJ312-1)))</f>
        <v/>
      </c>
      <c r="FT312" s="479" t="str">
        <f ca="1">IF($FJ312+FT$244&gt;73,"",PRODUCT(INDEX($T$19:$T$93,FT$244):INDEX($T$19:$T$93,FT$244+$FJ312-1)))</f>
        <v/>
      </c>
      <c r="FU312" s="479" t="str">
        <f ca="1">IF($FJ312+FU$244&gt;73,"",PRODUCT(INDEX($T$19:$T$93,FU$244):INDEX($T$19:$T$93,FU$244+$FJ312-1)))</f>
        <v/>
      </c>
      <c r="FV312" s="479" t="str">
        <f ca="1">IF($FJ312+FV$244&gt;73,"",PRODUCT(INDEX($T$19:$T$93,FV$244):INDEX($T$19:$T$93,FV$244+$FJ312-1)))</f>
        <v/>
      </c>
      <c r="FW312" s="479" t="str">
        <f ca="1">IF($FJ312+FW$244&gt;73,"",PRODUCT(INDEX($T$19:$T$93,FW$244):INDEX($T$19:$T$93,FW$244+$FJ312-1)))</f>
        <v/>
      </c>
      <c r="FX312" s="479" t="str">
        <f ca="1">IF($FJ312+FX$244&gt;73,"",PRODUCT(INDEX($T$19:$T$93,FX$244):INDEX($T$19:$T$93,FX$244+$FJ312-1)))</f>
        <v/>
      </c>
      <c r="FY312" s="479" t="str">
        <f ca="1">IF($FJ312+FY$244&gt;73,"",PRODUCT(INDEX($T$19:$T$93,FY$244):INDEX($T$19:$T$93,FY$244+$FJ312-1)))</f>
        <v/>
      </c>
      <c r="FZ312" s="479" t="str">
        <f ca="1">IF($FJ312+FZ$244&gt;73,"",PRODUCT(INDEX($T$19:$T$93,FZ$244):INDEX($T$19:$T$93,FZ$244+$FJ312-1)))</f>
        <v/>
      </c>
      <c r="GA312" s="479" t="str">
        <f ca="1">IF($FJ312+GA$244&gt;73,"",PRODUCT(INDEX($T$19:$T$93,GA$244):INDEX($T$19:$T$93,GA$244+$FJ312-1)))</f>
        <v/>
      </c>
      <c r="GB312" s="479" t="str">
        <f ca="1">IF($FJ312+GB$244&gt;73,"",PRODUCT(INDEX($T$19:$T$93,GB$244):INDEX($T$19:$T$93,GB$244+$FJ312-1)))</f>
        <v/>
      </c>
      <c r="GC312" s="479" t="str">
        <f ca="1">IF($FJ312+GC$244&gt;73,"",PRODUCT(INDEX($T$19:$T$93,GC$244):INDEX($T$19:$T$93,GC$244+$FJ312-1)))</f>
        <v/>
      </c>
      <c r="GD312" s="479" t="str">
        <f ca="1">IF($FJ312+GD$244&gt;73,"",PRODUCT(INDEX($T$19:$T$93,GD$244):INDEX($T$19:$T$93,GD$244+$FJ312-1)))</f>
        <v/>
      </c>
      <c r="GE312" s="479" t="str">
        <f ca="1">IF($FJ312+GE$244&gt;73,"",PRODUCT(INDEX($T$19:$T$93,GE$244):INDEX($T$19:$T$93,GE$244+$FJ312-1)))</f>
        <v/>
      </c>
      <c r="GF312" s="479" t="str">
        <f ca="1">IF($FJ312+GF$244&gt;73,"",PRODUCT(INDEX($T$19:$T$93,GF$244):INDEX($T$19:$T$93,GF$244+$FJ312-1)))</f>
        <v/>
      </c>
      <c r="GG312" s="479" t="str">
        <f ca="1">IF($FJ312+GG$244&gt;73,"",PRODUCT(INDEX($T$19:$T$93,GG$244):INDEX($T$19:$T$93,GG$244+$FJ312-1)))</f>
        <v/>
      </c>
      <c r="GH312" s="479" t="str">
        <f ca="1">IF($FJ312+GH$244&gt;73,"",PRODUCT(INDEX($T$19:$T$93,GH$244):INDEX($T$19:$T$93,GH$244+$FJ312-1)))</f>
        <v/>
      </c>
      <c r="GI312" s="479" t="str">
        <f ca="1">IF($FJ312+GI$244&gt;73,"",PRODUCT(INDEX($T$19:$T$93,GI$244):INDEX($T$19:$T$93,GI$244+$FJ312-1)))</f>
        <v/>
      </c>
      <c r="GJ312" s="479" t="str">
        <f ca="1">IF($FJ312+GJ$244&gt;73,"",PRODUCT(INDEX($T$19:$T$93,GJ$244):INDEX($T$19:$T$93,GJ$244+$FJ312-1)))</f>
        <v/>
      </c>
      <c r="GK312" s="479" t="str">
        <f ca="1">IF($FJ312+GK$244&gt;73,"",PRODUCT(INDEX($T$19:$T$93,GK$244):INDEX($T$19:$T$93,GK$244+$FJ312-1)))</f>
        <v/>
      </c>
      <c r="GL312" s="479" t="str">
        <f ca="1">IF($FJ312+GL$244&gt;73,"",PRODUCT(INDEX($T$19:$T$93,GL$244):INDEX($T$19:$T$93,GL$244+$FJ312-1)))</f>
        <v/>
      </c>
      <c r="GM312" s="479" t="str">
        <f ca="1">IF($FJ312+GM$244&gt;73,"",PRODUCT(INDEX($T$19:$T$93,GM$244):INDEX($T$19:$T$93,GM$244+$FJ312-1)))</f>
        <v/>
      </c>
      <c r="GN312" s="479" t="str">
        <f ca="1">IF($FJ312+GN$244&gt;73,"",PRODUCT(INDEX($T$19:$T$93,GN$244):INDEX($T$19:$T$93,GN$244+$FJ312-1)))</f>
        <v/>
      </c>
      <c r="GO312" s="479" t="str">
        <f ca="1">IF($FJ312+GO$244&gt;73,"",PRODUCT(INDEX($T$19:$T$93,GO$244):INDEX($T$19:$T$93,GO$244+$FJ312-1)))</f>
        <v/>
      </c>
      <c r="GP312" s="479" t="str">
        <f ca="1">IF($FJ312+GP$244&gt;73,"",PRODUCT(INDEX($T$19:$T$93,GP$244):INDEX($T$19:$T$93,GP$244+$FJ312-1)))</f>
        <v/>
      </c>
      <c r="GQ312" s="479" t="str">
        <f ca="1">IF($FJ312+GQ$244&gt;73,"",PRODUCT(INDEX($T$19:$T$93,GQ$244):INDEX($T$19:$T$93,GQ$244+$FJ312-1)))</f>
        <v/>
      </c>
      <c r="GR312" s="479" t="str">
        <f ca="1">IF($FJ312+GR$244&gt;73,"",PRODUCT(INDEX($T$19:$T$93,GR$244):INDEX($T$19:$T$93,GR$244+$FJ312-1)))</f>
        <v/>
      </c>
      <c r="GS312" s="479" t="str">
        <f ca="1">IF($FJ312+GS$244&gt;73,"",PRODUCT(INDEX($T$19:$T$93,GS$244):INDEX($T$19:$T$93,GS$244+$FJ312-1)))</f>
        <v/>
      </c>
      <c r="GT312" s="479" t="str">
        <f ca="1">IF($FJ312+GT$244&gt;73,"",PRODUCT(INDEX($T$19:$T$93,GT$244):INDEX($T$19:$T$93,GT$244+$FJ312-1)))</f>
        <v/>
      </c>
      <c r="GU312" s="479" t="str">
        <f ca="1">IF($FJ312+GU$244&gt;73,"",PRODUCT(INDEX($T$19:$T$93,GU$244):INDEX($T$19:$T$93,GU$244+$FJ312-1)))</f>
        <v/>
      </c>
      <c r="GV312" s="479" t="str">
        <f ca="1">IF($FJ312+GV$244&gt;73,"",PRODUCT(INDEX($T$19:$T$93,GV$244):INDEX($T$19:$T$93,GV$244+$FJ312-1)))</f>
        <v/>
      </c>
      <c r="GW312" s="479" t="str">
        <f ca="1">IF($FJ312+GW$244&gt;73,"",PRODUCT(INDEX($T$19:$T$93,GW$244):INDEX($T$19:$T$93,GW$244+$FJ312-1)))</f>
        <v/>
      </c>
      <c r="GX312" s="479" t="str">
        <f ca="1">IF($FJ312+GX$244&gt;73,"",PRODUCT(INDEX($T$19:$T$93,GX$244):INDEX($T$19:$T$93,GX$244+$FJ312-1)))</f>
        <v/>
      </c>
      <c r="GY312" s="479" t="str">
        <f ca="1">IF($FJ312+GY$244&gt;73,"",PRODUCT(INDEX($T$19:$T$93,GY$244):INDEX($T$19:$T$93,GY$244+$FJ312-1)))</f>
        <v/>
      </c>
      <c r="GZ312" s="479" t="str">
        <f ca="1">IF($FJ312+GZ$244&gt;73,"",PRODUCT(INDEX($T$19:$T$93,GZ$244):INDEX($T$19:$T$93,GZ$244+$FJ312-1)))</f>
        <v/>
      </c>
      <c r="HA312" s="479" t="str">
        <f ca="1">IF($FJ312+HA$244&gt;73,"",PRODUCT(INDEX($T$19:$T$93,HA$244):INDEX($T$19:$T$93,HA$244+$FJ312-1)))</f>
        <v/>
      </c>
      <c r="HB312" s="479" t="str">
        <f ca="1">IF($FJ312+HB$244&gt;73,"",PRODUCT(INDEX($T$19:$T$93,HB$244):INDEX($T$19:$T$93,HB$244+$FJ312-1)))</f>
        <v/>
      </c>
      <c r="HC312" s="479" t="str">
        <f ca="1">IF($FJ312+HC$244&gt;73,"",PRODUCT(INDEX($T$19:$T$93,HC$244):INDEX($T$19:$T$93,HC$244+$FJ312-1)))</f>
        <v/>
      </c>
      <c r="HD312" s="479" t="str">
        <f ca="1">IF($FJ312+HD$244&gt;73,"",PRODUCT(INDEX($T$19:$T$93,HD$244):INDEX($T$19:$T$93,HD$244+$FJ312-1)))</f>
        <v/>
      </c>
      <c r="HE312" s="479" t="str">
        <f ca="1">IF($FJ312+HE$244&gt;73,"",PRODUCT(INDEX($T$19:$T$93,HE$244):INDEX($T$19:$T$93,HE$244+$FJ312-1)))</f>
        <v/>
      </c>
      <c r="HF312" s="479" t="str">
        <f ca="1">IF($FJ312+HF$244&gt;73,"",PRODUCT(INDEX($T$19:$T$93,HF$244):INDEX($T$19:$T$93,HF$244+$FJ312-1)))</f>
        <v/>
      </c>
      <c r="HG312" s="479" t="str">
        <f ca="1">IF($FJ312+HG$244&gt;73,"",PRODUCT(INDEX($T$19:$T$93,HG$244):INDEX($T$19:$T$93,HG$244+$FJ312-1)))</f>
        <v/>
      </c>
      <c r="HH312" s="479" t="str">
        <f ca="1">IF($FJ312+HH$244&gt;73,"",PRODUCT(INDEX($T$19:$T$93,HH$244):INDEX($T$19:$T$93,HH$244+$FJ312-1)))</f>
        <v/>
      </c>
      <c r="HI312" s="479" t="str">
        <f ca="1">IF($FJ312+HI$244&gt;73,"",PRODUCT(INDEX($T$19:$T$93,HI$244):INDEX($T$19:$T$93,HI$244+$FJ312-1)))</f>
        <v/>
      </c>
      <c r="HJ312" s="479" t="str">
        <f ca="1">IF($FJ312+HJ$244&gt;73,"",PRODUCT(INDEX($T$19:$T$93,HJ$244):INDEX($T$19:$T$93,HJ$244+$FJ312-1)))</f>
        <v/>
      </c>
      <c r="HK312" s="479" t="str">
        <f ca="1">IF($FJ312+HK$244&gt;73,"",PRODUCT(INDEX($T$19:$T$93,HK$244):INDEX($T$19:$T$93,HK$244+$FJ312-1)))</f>
        <v/>
      </c>
      <c r="HL312" s="479" t="str">
        <f ca="1">IF($FJ312+HL$244&gt;73,"",PRODUCT(INDEX($T$19:$T$93,HL$244):INDEX($T$19:$T$93,HL$244+$FJ312-1)))</f>
        <v/>
      </c>
      <c r="HM312" s="479" t="str">
        <f ca="1">IF($FJ312+HM$244&gt;73,"",PRODUCT(INDEX($T$19:$T$93,HM$244):INDEX($T$19:$T$93,HM$244+$FJ312-1)))</f>
        <v/>
      </c>
      <c r="HN312" s="479" t="str">
        <f ca="1">IF($FJ312+HN$244&gt;73,"",PRODUCT(INDEX($T$19:$T$93,HN$244):INDEX($T$19:$T$93,HN$244+$FJ312-1)))</f>
        <v/>
      </c>
      <c r="HO312" s="479" t="str">
        <f ca="1">IF($FJ312+HO$244&gt;73,"",PRODUCT(INDEX($T$19:$T$93,HO$244):INDEX($T$19:$T$93,HO$244+$FJ312-1)))</f>
        <v/>
      </c>
      <c r="HP312" s="479" t="str">
        <f ca="1">IF($FJ312+HP$244&gt;73,"",PRODUCT(INDEX($T$19:$T$93,HP$244):INDEX($T$19:$T$93,HP$244+$FJ312-1)))</f>
        <v/>
      </c>
      <c r="HQ312" s="479" t="str">
        <f ca="1">IF($FJ312+HQ$244&gt;73,"",PRODUCT(INDEX($T$19:$T$93,HQ$244):INDEX($T$19:$T$93,HQ$244+$FJ312-1)))</f>
        <v/>
      </c>
      <c r="HR312" s="479" t="str">
        <f ca="1">IF($FJ312+HR$244&gt;73,"",PRODUCT(INDEX($T$19:$T$93,HR$244):INDEX($T$19:$T$93,HR$244+$FJ312-1)))</f>
        <v/>
      </c>
      <c r="HS312" s="479" t="str">
        <f ca="1">IF($FJ312+HS$244&gt;73,"",PRODUCT(INDEX($T$19:$T$93,HS$244):INDEX($T$19:$T$93,HS$244+$FJ312-1)))</f>
        <v/>
      </c>
      <c r="HT312" s="479" t="str">
        <f ca="1">IF($FJ312+HT$244&gt;73,"",PRODUCT(INDEX($T$19:$T$93,HT$244):INDEX($T$19:$T$93,HT$244+$FJ312-1)))</f>
        <v/>
      </c>
      <c r="HU312" s="479" t="str">
        <f ca="1">IF($FJ312+HU$244&gt;73,"",PRODUCT(INDEX($T$19:$T$93,HU$244):INDEX($T$19:$T$93,HU$244+$FJ312-1)))</f>
        <v/>
      </c>
      <c r="HV312" s="479" t="str">
        <f ca="1">IF($FJ312+HV$244&gt;73,"",PRODUCT(INDEX($T$19:$T$93,HV$244):INDEX($T$19:$T$93,HV$244+$FJ312-1)))</f>
        <v/>
      </c>
      <c r="HW312" s="479" t="str">
        <f ca="1">IF($FJ312+HW$244&gt;73,"",PRODUCT(INDEX($T$19:$T$93,HW$244):INDEX($T$19:$T$93,HW$244+$FJ312-1)))</f>
        <v/>
      </c>
      <c r="HX312" s="479" t="str">
        <f ca="1">IF($FJ312+HX$244&gt;73,"",PRODUCT(INDEX($T$19:$T$93,HX$244):INDEX($T$19:$T$93,HX$244+$FJ312-1)))</f>
        <v/>
      </c>
      <c r="HY312" s="479" t="str">
        <f ca="1">IF($FJ312+HY$244&gt;73,"",PRODUCT(INDEX($T$19:$T$93,HY$244):INDEX($T$19:$T$93,HY$244+$FJ312-1)))</f>
        <v/>
      </c>
      <c r="HZ312" s="479">
        <f ca="1">IF($FJ312+HZ$244&gt;73,"",PRODUCT(INDEX($T$19:$T$93,HZ$244):INDEX($T$19:$T$93,HZ$244+$FJ312-1)))</f>
        <v>0.59658619363243015</v>
      </c>
      <c r="IA312" s="479">
        <f ca="1">IF($FJ312+IA$244&gt;73,"",PRODUCT(INDEX($T$19:$T$93,IA$244):INDEX($T$19:$T$93,IA$244+$FJ312-1)))</f>
        <v>0.54309745982501145</v>
      </c>
      <c r="IB312" s="479">
        <f ca="1">IF($FJ312+IB$244&gt;73,"",PRODUCT(INDEX($T$19:$T$93,IB$244):INDEX($T$19:$T$93,IB$244+$FJ312-1)))</f>
        <v>0.48540700350500898</v>
      </c>
      <c r="IC312" s="479">
        <f ca="1">IF($FJ312+IC$244&gt;73,"",PRODUCT(INDEX($T$19:$T$93,IC$244):INDEX($T$19:$T$93,IC$244+$FJ312-1)))</f>
        <v>0.4242019206579743</v>
      </c>
      <c r="ID312" s="678">
        <f ca="1">IF($FJ312+ID$244&gt;73,"",PRODUCT(INDEX($T$19:$T$93,ID$244):INDEX($T$19:$T$93,ID$244+$FJ312-1)))</f>
        <v>0.36057275255150195</v>
      </c>
      <c r="IE312" s="250"/>
    </row>
    <row r="313" spans="9:239">
      <c r="I313" s="137"/>
      <c r="J313" s="375"/>
      <c r="K313" s="138"/>
      <c r="L313" s="1"/>
      <c r="M313" s="376"/>
      <c r="P313" s="375"/>
      <c r="S313" s="55"/>
      <c r="T313" s="375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374"/>
      <c r="AP313" s="1"/>
      <c r="AQ313" s="374"/>
      <c r="AR313" s="1"/>
      <c r="AS313" s="106"/>
      <c r="AT313" s="106"/>
      <c r="AU313" s="106"/>
      <c r="AV313" s="31"/>
      <c r="AW313" s="31"/>
      <c r="AX313" s="31"/>
      <c r="AY313" s="31"/>
      <c r="AZ313" s="154"/>
      <c r="BA313" s="154"/>
      <c r="BB313" s="106"/>
      <c r="BC313" s="106"/>
      <c r="BD313" s="106"/>
      <c r="BE313" s="106"/>
      <c r="BF313" s="107"/>
      <c r="BG313" s="107"/>
      <c r="BH313" s="107"/>
      <c r="BI313" s="107"/>
      <c r="BJ313" s="107"/>
      <c r="BK313" s="106"/>
      <c r="BL313" s="108"/>
      <c r="BM313" s="159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7"/>
      <c r="CD313" s="107"/>
      <c r="CE313" s="107"/>
      <c r="CF313" s="107"/>
      <c r="CG313" s="107"/>
      <c r="CH313" s="107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475"/>
      <c r="DI313" s="110"/>
      <c r="DJ313" s="1"/>
      <c r="DK313" s="475"/>
      <c r="DL313" s="54"/>
      <c r="DM313" s="54"/>
      <c r="DN313" s="54"/>
      <c r="DO313" s="54"/>
      <c r="DP313" s="54"/>
      <c r="DQ313" s="54"/>
      <c r="DR313" s="54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L313" s="55"/>
      <c r="EM313" s="1"/>
      <c r="EN313" s="105"/>
      <c r="EO313" s="106"/>
      <c r="EP313" s="1"/>
      <c r="EQ313" s="106"/>
      <c r="ER313" s="1"/>
      <c r="ES313" s="1"/>
      <c r="ET313" s="1"/>
      <c r="EU313" s="105"/>
      <c r="FJ313" s="673">
        <v>69</v>
      </c>
      <c r="FK313" s="479" t="str">
        <f ca="1">IF($FJ313+FK$244&gt;73,"",PRODUCT(INDEX($T$19:$T$93,FK$244):INDEX($T$19:$T$93,FK$244+$FJ313-1)))</f>
        <v/>
      </c>
      <c r="FL313" s="479" t="str">
        <f ca="1">IF($FJ313+FL$244&gt;73,"",PRODUCT(INDEX($T$19:$T$93,FL$244):INDEX($T$19:$T$93,FL$244+$FJ313-1)))</f>
        <v/>
      </c>
      <c r="FM313" s="479" t="str">
        <f ca="1">IF($FJ313+FM$244&gt;73,"",PRODUCT(INDEX($T$19:$T$93,FM$244):INDEX($T$19:$T$93,FM$244+$FJ313-1)))</f>
        <v/>
      </c>
      <c r="FN313" s="479" t="str">
        <f ca="1">IF($FJ313+FN$244&gt;73,"",PRODUCT(INDEX($T$19:$T$93,FN$244):INDEX($T$19:$T$93,FN$244+$FJ313-1)))</f>
        <v/>
      </c>
      <c r="FO313" s="479" t="str">
        <f ca="1">IF($FJ313+FO$244&gt;73,"",PRODUCT(INDEX($T$19:$T$93,FO$244):INDEX($T$19:$T$93,FO$244+$FJ313-1)))</f>
        <v/>
      </c>
      <c r="FP313" s="479" t="str">
        <f ca="1">IF($FJ313+FP$244&gt;73,"",PRODUCT(INDEX($T$19:$T$93,FP$244):INDEX($T$19:$T$93,FP$244+$FJ313-1)))</f>
        <v/>
      </c>
      <c r="FQ313" s="479" t="str">
        <f ca="1">IF($FJ313+FQ$244&gt;73,"",PRODUCT(INDEX($T$19:$T$93,FQ$244):INDEX($T$19:$T$93,FQ$244+$FJ313-1)))</f>
        <v/>
      </c>
      <c r="FR313" s="479" t="str">
        <f ca="1">IF($FJ313+FR$244&gt;73,"",PRODUCT(INDEX($T$19:$T$93,FR$244):INDEX($T$19:$T$93,FR$244+$FJ313-1)))</f>
        <v/>
      </c>
      <c r="FS313" s="479" t="str">
        <f ca="1">IF($FJ313+FS$244&gt;73,"",PRODUCT(INDEX($T$19:$T$93,FS$244):INDEX($T$19:$T$93,FS$244+$FJ313-1)))</f>
        <v/>
      </c>
      <c r="FT313" s="479" t="str">
        <f ca="1">IF($FJ313+FT$244&gt;73,"",PRODUCT(INDEX($T$19:$T$93,FT$244):INDEX($T$19:$T$93,FT$244+$FJ313-1)))</f>
        <v/>
      </c>
      <c r="FU313" s="479" t="str">
        <f ca="1">IF($FJ313+FU$244&gt;73,"",PRODUCT(INDEX($T$19:$T$93,FU$244):INDEX($T$19:$T$93,FU$244+$FJ313-1)))</f>
        <v/>
      </c>
      <c r="FV313" s="479" t="str">
        <f ca="1">IF($FJ313+FV$244&gt;73,"",PRODUCT(INDEX($T$19:$T$93,FV$244):INDEX($T$19:$T$93,FV$244+$FJ313-1)))</f>
        <v/>
      </c>
      <c r="FW313" s="479" t="str">
        <f ca="1">IF($FJ313+FW$244&gt;73,"",PRODUCT(INDEX($T$19:$T$93,FW$244):INDEX($T$19:$T$93,FW$244+$FJ313-1)))</f>
        <v/>
      </c>
      <c r="FX313" s="479" t="str">
        <f ca="1">IF($FJ313+FX$244&gt;73,"",PRODUCT(INDEX($T$19:$T$93,FX$244):INDEX($T$19:$T$93,FX$244+$FJ313-1)))</f>
        <v/>
      </c>
      <c r="FY313" s="479" t="str">
        <f ca="1">IF($FJ313+FY$244&gt;73,"",PRODUCT(INDEX($T$19:$T$93,FY$244):INDEX($T$19:$T$93,FY$244+$FJ313-1)))</f>
        <v/>
      </c>
      <c r="FZ313" s="479" t="str">
        <f ca="1">IF($FJ313+FZ$244&gt;73,"",PRODUCT(INDEX($T$19:$T$93,FZ$244):INDEX($T$19:$T$93,FZ$244+$FJ313-1)))</f>
        <v/>
      </c>
      <c r="GA313" s="479" t="str">
        <f ca="1">IF($FJ313+GA$244&gt;73,"",PRODUCT(INDEX($T$19:$T$93,GA$244):INDEX($T$19:$T$93,GA$244+$FJ313-1)))</f>
        <v/>
      </c>
      <c r="GB313" s="479" t="str">
        <f ca="1">IF($FJ313+GB$244&gt;73,"",PRODUCT(INDEX($T$19:$T$93,GB$244):INDEX($T$19:$T$93,GB$244+$FJ313-1)))</f>
        <v/>
      </c>
      <c r="GC313" s="479" t="str">
        <f ca="1">IF($FJ313+GC$244&gt;73,"",PRODUCT(INDEX($T$19:$T$93,GC$244):INDEX($T$19:$T$93,GC$244+$FJ313-1)))</f>
        <v/>
      </c>
      <c r="GD313" s="479" t="str">
        <f ca="1">IF($FJ313+GD$244&gt;73,"",PRODUCT(INDEX($T$19:$T$93,GD$244):INDEX($T$19:$T$93,GD$244+$FJ313-1)))</f>
        <v/>
      </c>
      <c r="GE313" s="479" t="str">
        <f ca="1">IF($FJ313+GE$244&gt;73,"",PRODUCT(INDEX($T$19:$T$93,GE$244):INDEX($T$19:$T$93,GE$244+$FJ313-1)))</f>
        <v/>
      </c>
      <c r="GF313" s="479" t="str">
        <f ca="1">IF($FJ313+GF$244&gt;73,"",PRODUCT(INDEX($T$19:$T$93,GF$244):INDEX($T$19:$T$93,GF$244+$FJ313-1)))</f>
        <v/>
      </c>
      <c r="GG313" s="479" t="str">
        <f ca="1">IF($FJ313+GG$244&gt;73,"",PRODUCT(INDEX($T$19:$T$93,GG$244):INDEX($T$19:$T$93,GG$244+$FJ313-1)))</f>
        <v/>
      </c>
      <c r="GH313" s="479" t="str">
        <f ca="1">IF($FJ313+GH$244&gt;73,"",PRODUCT(INDEX($T$19:$T$93,GH$244):INDEX($T$19:$T$93,GH$244+$FJ313-1)))</f>
        <v/>
      </c>
      <c r="GI313" s="479" t="str">
        <f ca="1">IF($FJ313+GI$244&gt;73,"",PRODUCT(INDEX($T$19:$T$93,GI$244):INDEX($T$19:$T$93,GI$244+$FJ313-1)))</f>
        <v/>
      </c>
      <c r="GJ313" s="479" t="str">
        <f ca="1">IF($FJ313+GJ$244&gt;73,"",PRODUCT(INDEX($T$19:$T$93,GJ$244):INDEX($T$19:$T$93,GJ$244+$FJ313-1)))</f>
        <v/>
      </c>
      <c r="GK313" s="479" t="str">
        <f ca="1">IF($FJ313+GK$244&gt;73,"",PRODUCT(INDEX($T$19:$T$93,GK$244):INDEX($T$19:$T$93,GK$244+$FJ313-1)))</f>
        <v/>
      </c>
      <c r="GL313" s="479" t="str">
        <f ca="1">IF($FJ313+GL$244&gt;73,"",PRODUCT(INDEX($T$19:$T$93,GL$244):INDEX($T$19:$T$93,GL$244+$FJ313-1)))</f>
        <v/>
      </c>
      <c r="GM313" s="479" t="str">
        <f ca="1">IF($FJ313+GM$244&gt;73,"",PRODUCT(INDEX($T$19:$T$93,GM$244):INDEX($T$19:$T$93,GM$244+$FJ313-1)))</f>
        <v/>
      </c>
      <c r="GN313" s="479" t="str">
        <f ca="1">IF($FJ313+GN$244&gt;73,"",PRODUCT(INDEX($T$19:$T$93,GN$244):INDEX($T$19:$T$93,GN$244+$FJ313-1)))</f>
        <v/>
      </c>
      <c r="GO313" s="479" t="str">
        <f ca="1">IF($FJ313+GO$244&gt;73,"",PRODUCT(INDEX($T$19:$T$93,GO$244):INDEX($T$19:$T$93,GO$244+$FJ313-1)))</f>
        <v/>
      </c>
      <c r="GP313" s="479" t="str">
        <f ca="1">IF($FJ313+GP$244&gt;73,"",PRODUCT(INDEX($T$19:$T$93,GP$244):INDEX($T$19:$T$93,GP$244+$FJ313-1)))</f>
        <v/>
      </c>
      <c r="GQ313" s="479" t="str">
        <f ca="1">IF($FJ313+GQ$244&gt;73,"",PRODUCT(INDEX($T$19:$T$93,GQ$244):INDEX($T$19:$T$93,GQ$244+$FJ313-1)))</f>
        <v/>
      </c>
      <c r="GR313" s="479" t="str">
        <f ca="1">IF($FJ313+GR$244&gt;73,"",PRODUCT(INDEX($T$19:$T$93,GR$244):INDEX($T$19:$T$93,GR$244+$FJ313-1)))</f>
        <v/>
      </c>
      <c r="GS313" s="479" t="str">
        <f ca="1">IF($FJ313+GS$244&gt;73,"",PRODUCT(INDEX($T$19:$T$93,GS$244):INDEX($T$19:$T$93,GS$244+$FJ313-1)))</f>
        <v/>
      </c>
      <c r="GT313" s="479" t="str">
        <f ca="1">IF($FJ313+GT$244&gt;73,"",PRODUCT(INDEX($T$19:$T$93,GT$244):INDEX($T$19:$T$93,GT$244+$FJ313-1)))</f>
        <v/>
      </c>
      <c r="GU313" s="479" t="str">
        <f ca="1">IF($FJ313+GU$244&gt;73,"",PRODUCT(INDEX($T$19:$T$93,GU$244):INDEX($T$19:$T$93,GU$244+$FJ313-1)))</f>
        <v/>
      </c>
      <c r="GV313" s="479" t="str">
        <f ca="1">IF($FJ313+GV$244&gt;73,"",PRODUCT(INDEX($T$19:$T$93,GV$244):INDEX($T$19:$T$93,GV$244+$FJ313-1)))</f>
        <v/>
      </c>
      <c r="GW313" s="479" t="str">
        <f ca="1">IF($FJ313+GW$244&gt;73,"",PRODUCT(INDEX($T$19:$T$93,GW$244):INDEX($T$19:$T$93,GW$244+$FJ313-1)))</f>
        <v/>
      </c>
      <c r="GX313" s="479" t="str">
        <f ca="1">IF($FJ313+GX$244&gt;73,"",PRODUCT(INDEX($T$19:$T$93,GX$244):INDEX($T$19:$T$93,GX$244+$FJ313-1)))</f>
        <v/>
      </c>
      <c r="GY313" s="479" t="str">
        <f ca="1">IF($FJ313+GY$244&gt;73,"",PRODUCT(INDEX($T$19:$T$93,GY$244):INDEX($T$19:$T$93,GY$244+$FJ313-1)))</f>
        <v/>
      </c>
      <c r="GZ313" s="479" t="str">
        <f ca="1">IF($FJ313+GZ$244&gt;73,"",PRODUCT(INDEX($T$19:$T$93,GZ$244):INDEX($T$19:$T$93,GZ$244+$FJ313-1)))</f>
        <v/>
      </c>
      <c r="HA313" s="479" t="str">
        <f ca="1">IF($FJ313+HA$244&gt;73,"",PRODUCT(INDEX($T$19:$T$93,HA$244):INDEX($T$19:$T$93,HA$244+$FJ313-1)))</f>
        <v/>
      </c>
      <c r="HB313" s="479" t="str">
        <f ca="1">IF($FJ313+HB$244&gt;73,"",PRODUCT(INDEX($T$19:$T$93,HB$244):INDEX($T$19:$T$93,HB$244+$FJ313-1)))</f>
        <v/>
      </c>
      <c r="HC313" s="479" t="str">
        <f ca="1">IF($FJ313+HC$244&gt;73,"",PRODUCT(INDEX($T$19:$T$93,HC$244):INDEX($T$19:$T$93,HC$244+$FJ313-1)))</f>
        <v/>
      </c>
      <c r="HD313" s="479" t="str">
        <f ca="1">IF($FJ313+HD$244&gt;73,"",PRODUCT(INDEX($T$19:$T$93,HD$244):INDEX($T$19:$T$93,HD$244+$FJ313-1)))</f>
        <v/>
      </c>
      <c r="HE313" s="479" t="str">
        <f ca="1">IF($FJ313+HE$244&gt;73,"",PRODUCT(INDEX($T$19:$T$93,HE$244):INDEX($T$19:$T$93,HE$244+$FJ313-1)))</f>
        <v/>
      </c>
      <c r="HF313" s="479" t="str">
        <f ca="1">IF($FJ313+HF$244&gt;73,"",PRODUCT(INDEX($T$19:$T$93,HF$244):INDEX($T$19:$T$93,HF$244+$FJ313-1)))</f>
        <v/>
      </c>
      <c r="HG313" s="479" t="str">
        <f ca="1">IF($FJ313+HG$244&gt;73,"",PRODUCT(INDEX($T$19:$T$93,HG$244):INDEX($T$19:$T$93,HG$244+$FJ313-1)))</f>
        <v/>
      </c>
      <c r="HH313" s="479" t="str">
        <f ca="1">IF($FJ313+HH$244&gt;73,"",PRODUCT(INDEX($T$19:$T$93,HH$244):INDEX($T$19:$T$93,HH$244+$FJ313-1)))</f>
        <v/>
      </c>
      <c r="HI313" s="479" t="str">
        <f ca="1">IF($FJ313+HI$244&gt;73,"",PRODUCT(INDEX($T$19:$T$93,HI$244):INDEX($T$19:$T$93,HI$244+$FJ313-1)))</f>
        <v/>
      </c>
      <c r="HJ313" s="479" t="str">
        <f ca="1">IF($FJ313+HJ$244&gt;73,"",PRODUCT(INDEX($T$19:$T$93,HJ$244):INDEX($T$19:$T$93,HJ$244+$FJ313-1)))</f>
        <v/>
      </c>
      <c r="HK313" s="479" t="str">
        <f ca="1">IF($FJ313+HK$244&gt;73,"",PRODUCT(INDEX($T$19:$T$93,HK$244):INDEX($T$19:$T$93,HK$244+$FJ313-1)))</f>
        <v/>
      </c>
      <c r="HL313" s="479" t="str">
        <f ca="1">IF($FJ313+HL$244&gt;73,"",PRODUCT(INDEX($T$19:$T$93,HL$244):INDEX($T$19:$T$93,HL$244+$FJ313-1)))</f>
        <v/>
      </c>
      <c r="HM313" s="479" t="str">
        <f ca="1">IF($FJ313+HM$244&gt;73,"",PRODUCT(INDEX($T$19:$T$93,HM$244):INDEX($T$19:$T$93,HM$244+$FJ313-1)))</f>
        <v/>
      </c>
      <c r="HN313" s="479" t="str">
        <f ca="1">IF($FJ313+HN$244&gt;73,"",PRODUCT(INDEX($T$19:$T$93,HN$244):INDEX($T$19:$T$93,HN$244+$FJ313-1)))</f>
        <v/>
      </c>
      <c r="HO313" s="479" t="str">
        <f ca="1">IF($FJ313+HO$244&gt;73,"",PRODUCT(INDEX($T$19:$T$93,HO$244):INDEX($T$19:$T$93,HO$244+$FJ313-1)))</f>
        <v/>
      </c>
      <c r="HP313" s="479" t="str">
        <f ca="1">IF($FJ313+HP$244&gt;73,"",PRODUCT(INDEX($T$19:$T$93,HP$244):INDEX($T$19:$T$93,HP$244+$FJ313-1)))</f>
        <v/>
      </c>
      <c r="HQ313" s="479" t="str">
        <f ca="1">IF($FJ313+HQ$244&gt;73,"",PRODUCT(INDEX($T$19:$T$93,HQ$244):INDEX($T$19:$T$93,HQ$244+$FJ313-1)))</f>
        <v/>
      </c>
      <c r="HR313" s="479" t="str">
        <f ca="1">IF($FJ313+HR$244&gt;73,"",PRODUCT(INDEX($T$19:$T$93,HR$244):INDEX($T$19:$T$93,HR$244+$FJ313-1)))</f>
        <v/>
      </c>
      <c r="HS313" s="479" t="str">
        <f ca="1">IF($FJ313+HS$244&gt;73,"",PRODUCT(INDEX($T$19:$T$93,HS$244):INDEX($T$19:$T$93,HS$244+$FJ313-1)))</f>
        <v/>
      </c>
      <c r="HT313" s="479" t="str">
        <f ca="1">IF($FJ313+HT$244&gt;73,"",PRODUCT(INDEX($T$19:$T$93,HT$244):INDEX($T$19:$T$93,HT$244+$FJ313-1)))</f>
        <v/>
      </c>
      <c r="HU313" s="479" t="str">
        <f ca="1">IF($FJ313+HU$244&gt;73,"",PRODUCT(INDEX($T$19:$T$93,HU$244):INDEX($T$19:$T$93,HU$244+$FJ313-1)))</f>
        <v/>
      </c>
      <c r="HV313" s="479" t="str">
        <f ca="1">IF($FJ313+HV$244&gt;73,"",PRODUCT(INDEX($T$19:$T$93,HV$244):INDEX($T$19:$T$93,HV$244+$FJ313-1)))</f>
        <v/>
      </c>
      <c r="HW313" s="479" t="str">
        <f ca="1">IF($FJ313+HW$244&gt;73,"",PRODUCT(INDEX($T$19:$T$93,HW$244):INDEX($T$19:$T$93,HW$244+$FJ313-1)))</f>
        <v/>
      </c>
      <c r="HX313" s="479" t="str">
        <f ca="1">IF($FJ313+HX$244&gt;73,"",PRODUCT(INDEX($T$19:$T$93,HX$244):INDEX($T$19:$T$93,HX$244+$FJ313-1)))</f>
        <v/>
      </c>
      <c r="HY313" s="479" t="str">
        <f ca="1">IF($FJ313+HY$244&gt;73,"",PRODUCT(INDEX($T$19:$T$93,HY$244):INDEX($T$19:$T$93,HY$244+$FJ313-1)))</f>
        <v/>
      </c>
      <c r="HZ313" s="479" t="str">
        <f ca="1">IF($FJ313+HZ$244&gt;73,"",PRODUCT(INDEX($T$19:$T$93,HZ$244):INDEX($T$19:$T$93,HZ$244+$FJ313-1)))</f>
        <v/>
      </c>
      <c r="IA313" s="479">
        <f ca="1">IF($FJ313+IA$244&gt;73,"",PRODUCT(INDEX($T$19:$T$93,IA$244):INDEX($T$19:$T$93,IA$244+$FJ313-1)))</f>
        <v>0.54309640544657856</v>
      </c>
      <c r="IB313" s="479">
        <f ca="1">IF($FJ313+IB$244&gt;73,"",PRODUCT(INDEX($T$19:$T$93,IB$244):INDEX($T$19:$T$93,IB$244+$FJ313-1)))</f>
        <v>0.48540590130817524</v>
      </c>
      <c r="IC313" s="479">
        <f ca="1">IF($FJ313+IC$244&gt;73,"",PRODUCT(INDEX($T$19:$T$93,IC$244):INDEX($T$19:$T$93,IC$244+$FJ313-1)))</f>
        <v>0.42420079408273614</v>
      </c>
      <c r="ID313" s="678">
        <f ca="1">IF($FJ313+ID$244&gt;73,"",PRODUCT(INDEX($T$19:$T$93,ID$244):INDEX($T$19:$T$93,ID$244+$FJ313-1)))</f>
        <v>0.36057163255927821</v>
      </c>
      <c r="IE313" s="250"/>
    </row>
    <row r="314" spans="9:239">
      <c r="I314" s="137"/>
      <c r="J314" s="375"/>
      <c r="K314" s="138"/>
      <c r="L314" s="1"/>
      <c r="M314" s="376"/>
      <c r="P314" s="375"/>
      <c r="S314" s="55"/>
      <c r="T314" s="375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374"/>
      <c r="AP314" s="1"/>
      <c r="AQ314" s="374"/>
      <c r="AR314" s="1"/>
      <c r="AS314" s="106"/>
      <c r="AT314" s="106"/>
      <c r="AU314" s="106"/>
      <c r="AV314" s="31"/>
      <c r="AW314" s="31"/>
      <c r="AX314" s="31"/>
      <c r="AY314" s="31"/>
      <c r="AZ314" s="154"/>
      <c r="BA314" s="154"/>
      <c r="BB314" s="106"/>
      <c r="BC314" s="106"/>
      <c r="BD314" s="106"/>
      <c r="BE314" s="106"/>
      <c r="BF314" s="107"/>
      <c r="BG314" s="107"/>
      <c r="BH314" s="107"/>
      <c r="BI314" s="107"/>
      <c r="BJ314" s="107"/>
      <c r="BK314" s="106"/>
      <c r="BL314" s="108"/>
      <c r="BM314" s="159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7"/>
      <c r="CD314" s="107"/>
      <c r="CE314" s="107"/>
      <c r="CF314" s="107"/>
      <c r="CG314" s="107"/>
      <c r="CH314" s="107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475"/>
      <c r="DI314" s="110"/>
      <c r="DJ314" s="1"/>
      <c r="DK314" s="475"/>
      <c r="DL314" s="54"/>
      <c r="DM314" s="54"/>
      <c r="DN314" s="54"/>
      <c r="DO314" s="54"/>
      <c r="DP314" s="54"/>
      <c r="DQ314" s="54"/>
      <c r="DR314" s="54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L314" s="55"/>
      <c r="EM314" s="1"/>
      <c r="EN314" s="105"/>
      <c r="EO314" s="106"/>
      <c r="EP314" s="1"/>
      <c r="EQ314" s="106"/>
      <c r="ER314" s="1"/>
      <c r="ES314" s="1"/>
      <c r="ET314" s="1"/>
      <c r="EU314" s="105"/>
      <c r="FJ314" s="673">
        <v>70</v>
      </c>
      <c r="FK314" s="479" t="str">
        <f ca="1">IF($FJ314+FK$244&gt;73,"",PRODUCT(INDEX($T$19:$T$93,FK$244):INDEX($T$19:$T$93,FK$244+$FJ314-1)))</f>
        <v/>
      </c>
      <c r="FL314" s="479" t="str">
        <f ca="1">IF($FJ314+FL$244&gt;73,"",PRODUCT(INDEX($T$19:$T$93,FL$244):INDEX($T$19:$T$93,FL$244+$FJ314-1)))</f>
        <v/>
      </c>
      <c r="FM314" s="479" t="str">
        <f ca="1">IF($FJ314+FM$244&gt;73,"",PRODUCT(INDEX($T$19:$T$93,FM$244):INDEX($T$19:$T$93,FM$244+$FJ314-1)))</f>
        <v/>
      </c>
      <c r="FN314" s="479" t="str">
        <f ca="1">IF($FJ314+FN$244&gt;73,"",PRODUCT(INDEX($T$19:$T$93,FN$244):INDEX($T$19:$T$93,FN$244+$FJ314-1)))</f>
        <v/>
      </c>
      <c r="FO314" s="479" t="str">
        <f ca="1">IF($FJ314+FO$244&gt;73,"",PRODUCT(INDEX($T$19:$T$93,FO$244):INDEX($T$19:$T$93,FO$244+$FJ314-1)))</f>
        <v/>
      </c>
      <c r="FP314" s="479" t="str">
        <f ca="1">IF($FJ314+FP$244&gt;73,"",PRODUCT(INDEX($T$19:$T$93,FP$244):INDEX($T$19:$T$93,FP$244+$FJ314-1)))</f>
        <v/>
      </c>
      <c r="FQ314" s="479" t="str">
        <f ca="1">IF($FJ314+FQ$244&gt;73,"",PRODUCT(INDEX($T$19:$T$93,FQ$244):INDEX($T$19:$T$93,FQ$244+$FJ314-1)))</f>
        <v/>
      </c>
      <c r="FR314" s="479" t="str">
        <f ca="1">IF($FJ314+FR$244&gt;73,"",PRODUCT(INDEX($T$19:$T$93,FR$244):INDEX($T$19:$T$93,FR$244+$FJ314-1)))</f>
        <v/>
      </c>
      <c r="FS314" s="479" t="str">
        <f ca="1">IF($FJ314+FS$244&gt;73,"",PRODUCT(INDEX($T$19:$T$93,FS$244):INDEX($T$19:$T$93,FS$244+$FJ314-1)))</f>
        <v/>
      </c>
      <c r="FT314" s="479" t="str">
        <f ca="1">IF($FJ314+FT$244&gt;73,"",PRODUCT(INDEX($T$19:$T$93,FT$244):INDEX($T$19:$T$93,FT$244+$FJ314-1)))</f>
        <v/>
      </c>
      <c r="FU314" s="479" t="str">
        <f ca="1">IF($FJ314+FU$244&gt;73,"",PRODUCT(INDEX($T$19:$T$93,FU$244):INDEX($T$19:$T$93,FU$244+$FJ314-1)))</f>
        <v/>
      </c>
      <c r="FV314" s="479" t="str">
        <f ca="1">IF($FJ314+FV$244&gt;73,"",PRODUCT(INDEX($T$19:$T$93,FV$244):INDEX($T$19:$T$93,FV$244+$FJ314-1)))</f>
        <v/>
      </c>
      <c r="FW314" s="479" t="str">
        <f ca="1">IF($FJ314+FW$244&gt;73,"",PRODUCT(INDEX($T$19:$T$93,FW$244):INDEX($T$19:$T$93,FW$244+$FJ314-1)))</f>
        <v/>
      </c>
      <c r="FX314" s="479" t="str">
        <f ca="1">IF($FJ314+FX$244&gt;73,"",PRODUCT(INDEX($T$19:$T$93,FX$244):INDEX($T$19:$T$93,FX$244+$FJ314-1)))</f>
        <v/>
      </c>
      <c r="FY314" s="479" t="str">
        <f ca="1">IF($FJ314+FY$244&gt;73,"",PRODUCT(INDEX($T$19:$T$93,FY$244):INDEX($T$19:$T$93,FY$244+$FJ314-1)))</f>
        <v/>
      </c>
      <c r="FZ314" s="479" t="str">
        <f ca="1">IF($FJ314+FZ$244&gt;73,"",PRODUCT(INDEX($T$19:$T$93,FZ$244):INDEX($T$19:$T$93,FZ$244+$FJ314-1)))</f>
        <v/>
      </c>
      <c r="GA314" s="479" t="str">
        <f ca="1">IF($FJ314+GA$244&gt;73,"",PRODUCT(INDEX($T$19:$T$93,GA$244):INDEX($T$19:$T$93,GA$244+$FJ314-1)))</f>
        <v/>
      </c>
      <c r="GB314" s="479" t="str">
        <f ca="1">IF($FJ314+GB$244&gt;73,"",PRODUCT(INDEX($T$19:$T$93,GB$244):INDEX($T$19:$T$93,GB$244+$FJ314-1)))</f>
        <v/>
      </c>
      <c r="GC314" s="479" t="str">
        <f ca="1">IF($FJ314+GC$244&gt;73,"",PRODUCT(INDEX($T$19:$T$93,GC$244):INDEX($T$19:$T$93,GC$244+$FJ314-1)))</f>
        <v/>
      </c>
      <c r="GD314" s="479" t="str">
        <f ca="1">IF($FJ314+GD$244&gt;73,"",PRODUCT(INDEX($T$19:$T$93,GD$244):INDEX($T$19:$T$93,GD$244+$FJ314-1)))</f>
        <v/>
      </c>
      <c r="GE314" s="479" t="str">
        <f ca="1">IF($FJ314+GE$244&gt;73,"",PRODUCT(INDEX($T$19:$T$93,GE$244):INDEX($T$19:$T$93,GE$244+$FJ314-1)))</f>
        <v/>
      </c>
      <c r="GF314" s="479" t="str">
        <f ca="1">IF($FJ314+GF$244&gt;73,"",PRODUCT(INDEX($T$19:$T$93,GF$244):INDEX($T$19:$T$93,GF$244+$FJ314-1)))</f>
        <v/>
      </c>
      <c r="GG314" s="479" t="str">
        <f ca="1">IF($FJ314+GG$244&gt;73,"",PRODUCT(INDEX($T$19:$T$93,GG$244):INDEX($T$19:$T$93,GG$244+$FJ314-1)))</f>
        <v/>
      </c>
      <c r="GH314" s="479" t="str">
        <f ca="1">IF($FJ314+GH$244&gt;73,"",PRODUCT(INDEX($T$19:$T$93,GH$244):INDEX($T$19:$T$93,GH$244+$FJ314-1)))</f>
        <v/>
      </c>
      <c r="GI314" s="479" t="str">
        <f ca="1">IF($FJ314+GI$244&gt;73,"",PRODUCT(INDEX($T$19:$T$93,GI$244):INDEX($T$19:$T$93,GI$244+$FJ314-1)))</f>
        <v/>
      </c>
      <c r="GJ314" s="479" t="str">
        <f ca="1">IF($FJ314+GJ$244&gt;73,"",PRODUCT(INDEX($T$19:$T$93,GJ$244):INDEX($T$19:$T$93,GJ$244+$FJ314-1)))</f>
        <v/>
      </c>
      <c r="GK314" s="479" t="str">
        <f ca="1">IF($FJ314+GK$244&gt;73,"",PRODUCT(INDEX($T$19:$T$93,GK$244):INDEX($T$19:$T$93,GK$244+$FJ314-1)))</f>
        <v/>
      </c>
      <c r="GL314" s="479" t="str">
        <f ca="1">IF($FJ314+GL$244&gt;73,"",PRODUCT(INDEX($T$19:$T$93,GL$244):INDEX($T$19:$T$93,GL$244+$FJ314-1)))</f>
        <v/>
      </c>
      <c r="GM314" s="479" t="str">
        <f ca="1">IF($FJ314+GM$244&gt;73,"",PRODUCT(INDEX($T$19:$T$93,GM$244):INDEX($T$19:$T$93,GM$244+$FJ314-1)))</f>
        <v/>
      </c>
      <c r="GN314" s="479" t="str">
        <f ca="1">IF($FJ314+GN$244&gt;73,"",PRODUCT(INDEX($T$19:$T$93,GN$244):INDEX($T$19:$T$93,GN$244+$FJ314-1)))</f>
        <v/>
      </c>
      <c r="GO314" s="479" t="str">
        <f ca="1">IF($FJ314+GO$244&gt;73,"",PRODUCT(INDEX($T$19:$T$93,GO$244):INDEX($T$19:$T$93,GO$244+$FJ314-1)))</f>
        <v/>
      </c>
      <c r="GP314" s="479" t="str">
        <f ca="1">IF($FJ314+GP$244&gt;73,"",PRODUCT(INDEX($T$19:$T$93,GP$244):INDEX($T$19:$T$93,GP$244+$FJ314-1)))</f>
        <v/>
      </c>
      <c r="GQ314" s="479" t="str">
        <f ca="1">IF($FJ314+GQ$244&gt;73,"",PRODUCT(INDEX($T$19:$T$93,GQ$244):INDEX($T$19:$T$93,GQ$244+$FJ314-1)))</f>
        <v/>
      </c>
      <c r="GR314" s="479" t="str">
        <f ca="1">IF($FJ314+GR$244&gt;73,"",PRODUCT(INDEX($T$19:$T$93,GR$244):INDEX($T$19:$T$93,GR$244+$FJ314-1)))</f>
        <v/>
      </c>
      <c r="GS314" s="479" t="str">
        <f ca="1">IF($FJ314+GS$244&gt;73,"",PRODUCT(INDEX($T$19:$T$93,GS$244):INDEX($T$19:$T$93,GS$244+$FJ314-1)))</f>
        <v/>
      </c>
      <c r="GT314" s="479" t="str">
        <f ca="1">IF($FJ314+GT$244&gt;73,"",PRODUCT(INDEX($T$19:$T$93,GT$244):INDEX($T$19:$T$93,GT$244+$FJ314-1)))</f>
        <v/>
      </c>
      <c r="GU314" s="479" t="str">
        <f ca="1">IF($FJ314+GU$244&gt;73,"",PRODUCT(INDEX($T$19:$T$93,GU$244):INDEX($T$19:$T$93,GU$244+$FJ314-1)))</f>
        <v/>
      </c>
      <c r="GV314" s="479" t="str">
        <f ca="1">IF($FJ314+GV$244&gt;73,"",PRODUCT(INDEX($T$19:$T$93,GV$244):INDEX($T$19:$T$93,GV$244+$FJ314-1)))</f>
        <v/>
      </c>
      <c r="GW314" s="479" t="str">
        <f ca="1">IF($FJ314+GW$244&gt;73,"",PRODUCT(INDEX($T$19:$T$93,GW$244):INDEX($T$19:$T$93,GW$244+$FJ314-1)))</f>
        <v/>
      </c>
      <c r="GX314" s="479" t="str">
        <f ca="1">IF($FJ314+GX$244&gt;73,"",PRODUCT(INDEX($T$19:$T$93,GX$244):INDEX($T$19:$T$93,GX$244+$FJ314-1)))</f>
        <v/>
      </c>
      <c r="GY314" s="479" t="str">
        <f ca="1">IF($FJ314+GY$244&gt;73,"",PRODUCT(INDEX($T$19:$T$93,GY$244):INDEX($T$19:$T$93,GY$244+$FJ314-1)))</f>
        <v/>
      </c>
      <c r="GZ314" s="479" t="str">
        <f ca="1">IF($FJ314+GZ$244&gt;73,"",PRODUCT(INDEX($T$19:$T$93,GZ$244):INDEX($T$19:$T$93,GZ$244+$FJ314-1)))</f>
        <v/>
      </c>
      <c r="HA314" s="479" t="str">
        <f ca="1">IF($FJ314+HA$244&gt;73,"",PRODUCT(INDEX($T$19:$T$93,HA$244):INDEX($T$19:$T$93,HA$244+$FJ314-1)))</f>
        <v/>
      </c>
      <c r="HB314" s="479" t="str">
        <f ca="1">IF($FJ314+HB$244&gt;73,"",PRODUCT(INDEX($T$19:$T$93,HB$244):INDEX($T$19:$T$93,HB$244+$FJ314-1)))</f>
        <v/>
      </c>
      <c r="HC314" s="479" t="str">
        <f ca="1">IF($FJ314+HC$244&gt;73,"",PRODUCT(INDEX($T$19:$T$93,HC$244):INDEX($T$19:$T$93,HC$244+$FJ314-1)))</f>
        <v/>
      </c>
      <c r="HD314" s="479" t="str">
        <f ca="1">IF($FJ314+HD$244&gt;73,"",PRODUCT(INDEX($T$19:$T$93,HD$244):INDEX($T$19:$T$93,HD$244+$FJ314-1)))</f>
        <v/>
      </c>
      <c r="HE314" s="479" t="str">
        <f ca="1">IF($FJ314+HE$244&gt;73,"",PRODUCT(INDEX($T$19:$T$93,HE$244):INDEX($T$19:$T$93,HE$244+$FJ314-1)))</f>
        <v/>
      </c>
      <c r="HF314" s="479" t="str">
        <f ca="1">IF($FJ314+HF$244&gt;73,"",PRODUCT(INDEX($T$19:$T$93,HF$244):INDEX($T$19:$T$93,HF$244+$FJ314-1)))</f>
        <v/>
      </c>
      <c r="HG314" s="479" t="str">
        <f ca="1">IF($FJ314+HG$244&gt;73,"",PRODUCT(INDEX($T$19:$T$93,HG$244):INDEX($T$19:$T$93,HG$244+$FJ314-1)))</f>
        <v/>
      </c>
      <c r="HH314" s="479" t="str">
        <f ca="1">IF($FJ314+HH$244&gt;73,"",PRODUCT(INDEX($T$19:$T$93,HH$244):INDEX($T$19:$T$93,HH$244+$FJ314-1)))</f>
        <v/>
      </c>
      <c r="HI314" s="479" t="str">
        <f ca="1">IF($FJ314+HI$244&gt;73,"",PRODUCT(INDEX($T$19:$T$93,HI$244):INDEX($T$19:$T$93,HI$244+$FJ314-1)))</f>
        <v/>
      </c>
      <c r="HJ314" s="479" t="str">
        <f ca="1">IF($FJ314+HJ$244&gt;73,"",PRODUCT(INDEX($T$19:$T$93,HJ$244):INDEX($T$19:$T$93,HJ$244+$FJ314-1)))</f>
        <v/>
      </c>
      <c r="HK314" s="479" t="str">
        <f ca="1">IF($FJ314+HK$244&gt;73,"",PRODUCT(INDEX($T$19:$T$93,HK$244):INDEX($T$19:$T$93,HK$244+$FJ314-1)))</f>
        <v/>
      </c>
      <c r="HL314" s="479" t="str">
        <f ca="1">IF($FJ314+HL$244&gt;73,"",PRODUCT(INDEX($T$19:$T$93,HL$244):INDEX($T$19:$T$93,HL$244+$FJ314-1)))</f>
        <v/>
      </c>
      <c r="HM314" s="479" t="str">
        <f ca="1">IF($FJ314+HM$244&gt;73,"",PRODUCT(INDEX($T$19:$T$93,HM$244):INDEX($T$19:$T$93,HM$244+$FJ314-1)))</f>
        <v/>
      </c>
      <c r="HN314" s="479" t="str">
        <f ca="1">IF($FJ314+HN$244&gt;73,"",PRODUCT(INDEX($T$19:$T$93,HN$244):INDEX($T$19:$T$93,HN$244+$FJ314-1)))</f>
        <v/>
      </c>
      <c r="HO314" s="479" t="str">
        <f ca="1">IF($FJ314+HO$244&gt;73,"",PRODUCT(INDEX($T$19:$T$93,HO$244):INDEX($T$19:$T$93,HO$244+$FJ314-1)))</f>
        <v/>
      </c>
      <c r="HP314" s="479" t="str">
        <f ca="1">IF($FJ314+HP$244&gt;73,"",PRODUCT(INDEX($T$19:$T$93,HP$244):INDEX($T$19:$T$93,HP$244+$FJ314-1)))</f>
        <v/>
      </c>
      <c r="HQ314" s="479" t="str">
        <f ca="1">IF($FJ314+HQ$244&gt;73,"",PRODUCT(INDEX($T$19:$T$93,HQ$244):INDEX($T$19:$T$93,HQ$244+$FJ314-1)))</f>
        <v/>
      </c>
      <c r="HR314" s="479" t="str">
        <f ca="1">IF($FJ314+HR$244&gt;73,"",PRODUCT(INDEX($T$19:$T$93,HR$244):INDEX($T$19:$T$93,HR$244+$FJ314-1)))</f>
        <v/>
      </c>
      <c r="HS314" s="479" t="str">
        <f ca="1">IF($FJ314+HS$244&gt;73,"",PRODUCT(INDEX($T$19:$T$93,HS$244):INDEX($T$19:$T$93,HS$244+$FJ314-1)))</f>
        <v/>
      </c>
      <c r="HT314" s="479" t="str">
        <f ca="1">IF($FJ314+HT$244&gt;73,"",PRODUCT(INDEX($T$19:$T$93,HT$244):INDEX($T$19:$T$93,HT$244+$FJ314-1)))</f>
        <v/>
      </c>
      <c r="HU314" s="479" t="str">
        <f ca="1">IF($FJ314+HU$244&gt;73,"",PRODUCT(INDEX($T$19:$T$93,HU$244):INDEX($T$19:$T$93,HU$244+$FJ314-1)))</f>
        <v/>
      </c>
      <c r="HV314" s="479" t="str">
        <f ca="1">IF($FJ314+HV$244&gt;73,"",PRODUCT(INDEX($T$19:$T$93,HV$244):INDEX($T$19:$T$93,HV$244+$FJ314-1)))</f>
        <v/>
      </c>
      <c r="HW314" s="479" t="str">
        <f ca="1">IF($FJ314+HW$244&gt;73,"",PRODUCT(INDEX($T$19:$T$93,HW$244):INDEX($T$19:$T$93,HW$244+$FJ314-1)))</f>
        <v/>
      </c>
      <c r="HX314" s="479" t="str">
        <f ca="1">IF($FJ314+HX$244&gt;73,"",PRODUCT(INDEX($T$19:$T$93,HX$244):INDEX($T$19:$T$93,HX$244+$FJ314-1)))</f>
        <v/>
      </c>
      <c r="HY314" s="479" t="str">
        <f ca="1">IF($FJ314+HY$244&gt;73,"",PRODUCT(INDEX($T$19:$T$93,HY$244):INDEX($T$19:$T$93,HY$244+$FJ314-1)))</f>
        <v/>
      </c>
      <c r="HZ314" s="479" t="str">
        <f ca="1">IF($FJ314+HZ$244&gt;73,"",PRODUCT(INDEX($T$19:$T$93,HZ$244):INDEX($T$19:$T$93,HZ$244+$FJ314-1)))</f>
        <v/>
      </c>
      <c r="IA314" s="479" t="str">
        <f ca="1">IF($FJ314+IA$244&gt;73,"",PRODUCT(INDEX($T$19:$T$93,IA$244):INDEX($T$19:$T$93,IA$244+$FJ314-1)))</f>
        <v/>
      </c>
      <c r="IB314" s="479">
        <f ca="1">IF($FJ314+IB$244&gt;73,"",PRODUCT(INDEX($T$19:$T$93,IB$244):INDEX($T$19:$T$93,IB$244+$FJ314-1)))</f>
        <v>0.48540495893309266</v>
      </c>
      <c r="IC314" s="479">
        <f ca="1">IF($FJ314+IC$244&gt;73,"",PRODUCT(INDEX($T$19:$T$93,IC$244):INDEX($T$19:$T$93,IC$244+$FJ314-1)))</f>
        <v>0.42419983086471758</v>
      </c>
      <c r="ID314" s="678">
        <f ca="1">IF($FJ314+ID$244&gt;73,"",PRODUCT(INDEX($T$19:$T$93,ID$244):INDEX($T$19:$T$93,ID$244+$FJ314-1)))</f>
        <v>0.36057067497032574</v>
      </c>
      <c r="IE314" s="250"/>
    </row>
    <row r="315" spans="9:239">
      <c r="I315" s="137"/>
      <c r="J315" s="375"/>
      <c r="K315" s="138"/>
      <c r="L315" s="1"/>
      <c r="M315" s="376"/>
      <c r="P315" s="375"/>
      <c r="S315" s="55"/>
      <c r="T315" s="375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374"/>
      <c r="AP315" s="1"/>
      <c r="AQ315" s="374"/>
      <c r="AR315" s="1"/>
      <c r="AS315" s="106"/>
      <c r="AT315" s="106"/>
      <c r="AU315" s="106"/>
      <c r="AV315" s="31"/>
      <c r="AW315" s="31"/>
      <c r="AX315" s="31"/>
      <c r="AY315" s="31"/>
      <c r="AZ315" s="154"/>
      <c r="BA315" s="154"/>
      <c r="BB315" s="106"/>
      <c r="BC315" s="106"/>
      <c r="BD315" s="106"/>
      <c r="BE315" s="106"/>
      <c r="BF315" s="107"/>
      <c r="BG315" s="107"/>
      <c r="BH315" s="107"/>
      <c r="BI315" s="107"/>
      <c r="BJ315" s="107"/>
      <c r="BK315" s="106"/>
      <c r="BL315" s="108"/>
      <c r="BM315" s="159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7"/>
      <c r="CD315" s="107"/>
      <c r="CE315" s="107"/>
      <c r="CF315" s="107"/>
      <c r="CG315" s="107"/>
      <c r="CH315" s="107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475"/>
      <c r="DI315" s="110"/>
      <c r="DJ315" s="1"/>
      <c r="DK315" s="475"/>
      <c r="DL315" s="54"/>
      <c r="DM315" s="54"/>
      <c r="DN315" s="54"/>
      <c r="DO315" s="54"/>
      <c r="DP315" s="54"/>
      <c r="DQ315" s="54"/>
      <c r="DR315" s="54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L315" s="55"/>
      <c r="EM315" s="1"/>
      <c r="EN315" s="105"/>
      <c r="EO315" s="106"/>
      <c r="EP315" s="1"/>
      <c r="EQ315" s="106"/>
      <c r="ER315" s="1"/>
      <c r="ES315" s="1"/>
      <c r="ET315" s="1"/>
      <c r="EU315" s="105"/>
      <c r="FJ315" s="673">
        <v>71</v>
      </c>
      <c r="FK315" s="479" t="str">
        <f ca="1">IF($FJ315+FK$244&gt;73,"",PRODUCT(INDEX($T$19:$T$93,FK$244):INDEX($T$19:$T$93,FK$244+$FJ315-1)))</f>
        <v/>
      </c>
      <c r="FL315" s="479" t="str">
        <f ca="1">IF($FJ315+FL$244&gt;73,"",PRODUCT(INDEX($T$19:$T$93,FL$244):INDEX($T$19:$T$93,FL$244+$FJ315-1)))</f>
        <v/>
      </c>
      <c r="FM315" s="479" t="str">
        <f ca="1">IF($FJ315+FM$244&gt;73,"",PRODUCT(INDEX($T$19:$T$93,FM$244):INDEX($T$19:$T$93,FM$244+$FJ315-1)))</f>
        <v/>
      </c>
      <c r="FN315" s="479" t="str">
        <f ca="1">IF($FJ315+FN$244&gt;73,"",PRODUCT(INDEX($T$19:$T$93,FN$244):INDEX($T$19:$T$93,FN$244+$FJ315-1)))</f>
        <v/>
      </c>
      <c r="FO315" s="479" t="str">
        <f ca="1">IF($FJ315+FO$244&gt;73,"",PRODUCT(INDEX($T$19:$T$93,FO$244):INDEX($T$19:$T$93,FO$244+$FJ315-1)))</f>
        <v/>
      </c>
      <c r="FP315" s="479" t="str">
        <f ca="1">IF($FJ315+FP$244&gt;73,"",PRODUCT(INDEX($T$19:$T$93,FP$244):INDEX($T$19:$T$93,FP$244+$FJ315-1)))</f>
        <v/>
      </c>
      <c r="FQ315" s="479" t="str">
        <f ca="1">IF($FJ315+FQ$244&gt;73,"",PRODUCT(INDEX($T$19:$T$93,FQ$244):INDEX($T$19:$T$93,FQ$244+$FJ315-1)))</f>
        <v/>
      </c>
      <c r="FR315" s="479" t="str">
        <f ca="1">IF($FJ315+FR$244&gt;73,"",PRODUCT(INDEX($T$19:$T$93,FR$244):INDEX($T$19:$T$93,FR$244+$FJ315-1)))</f>
        <v/>
      </c>
      <c r="FS315" s="479" t="str">
        <f ca="1">IF($FJ315+FS$244&gt;73,"",PRODUCT(INDEX($T$19:$T$93,FS$244):INDEX($T$19:$T$93,FS$244+$FJ315-1)))</f>
        <v/>
      </c>
      <c r="FT315" s="479" t="str">
        <f ca="1">IF($FJ315+FT$244&gt;73,"",PRODUCT(INDEX($T$19:$T$93,FT$244):INDEX($T$19:$T$93,FT$244+$FJ315-1)))</f>
        <v/>
      </c>
      <c r="FU315" s="479" t="str">
        <f ca="1">IF($FJ315+FU$244&gt;73,"",PRODUCT(INDEX($T$19:$T$93,FU$244):INDEX($T$19:$T$93,FU$244+$FJ315-1)))</f>
        <v/>
      </c>
      <c r="FV315" s="479" t="str">
        <f ca="1">IF($FJ315+FV$244&gt;73,"",PRODUCT(INDEX($T$19:$T$93,FV$244):INDEX($T$19:$T$93,FV$244+$FJ315-1)))</f>
        <v/>
      </c>
      <c r="FW315" s="479" t="str">
        <f ca="1">IF($FJ315+FW$244&gt;73,"",PRODUCT(INDEX($T$19:$T$93,FW$244):INDEX($T$19:$T$93,FW$244+$FJ315-1)))</f>
        <v/>
      </c>
      <c r="FX315" s="479" t="str">
        <f ca="1">IF($FJ315+FX$244&gt;73,"",PRODUCT(INDEX($T$19:$T$93,FX$244):INDEX($T$19:$T$93,FX$244+$FJ315-1)))</f>
        <v/>
      </c>
      <c r="FY315" s="479" t="str">
        <f ca="1">IF($FJ315+FY$244&gt;73,"",PRODUCT(INDEX($T$19:$T$93,FY$244):INDEX($T$19:$T$93,FY$244+$FJ315-1)))</f>
        <v/>
      </c>
      <c r="FZ315" s="479" t="str">
        <f ca="1">IF($FJ315+FZ$244&gt;73,"",PRODUCT(INDEX($T$19:$T$93,FZ$244):INDEX($T$19:$T$93,FZ$244+$FJ315-1)))</f>
        <v/>
      </c>
      <c r="GA315" s="479" t="str">
        <f ca="1">IF($FJ315+GA$244&gt;73,"",PRODUCT(INDEX($T$19:$T$93,GA$244):INDEX($T$19:$T$93,GA$244+$FJ315-1)))</f>
        <v/>
      </c>
      <c r="GB315" s="479" t="str">
        <f ca="1">IF($FJ315+GB$244&gt;73,"",PRODUCT(INDEX($T$19:$T$93,GB$244):INDEX($T$19:$T$93,GB$244+$FJ315-1)))</f>
        <v/>
      </c>
      <c r="GC315" s="479" t="str">
        <f ca="1">IF($FJ315+GC$244&gt;73,"",PRODUCT(INDEX($T$19:$T$93,GC$244):INDEX($T$19:$T$93,GC$244+$FJ315-1)))</f>
        <v/>
      </c>
      <c r="GD315" s="479" t="str">
        <f ca="1">IF($FJ315+GD$244&gt;73,"",PRODUCT(INDEX($T$19:$T$93,GD$244):INDEX($T$19:$T$93,GD$244+$FJ315-1)))</f>
        <v/>
      </c>
      <c r="GE315" s="479" t="str">
        <f ca="1">IF($FJ315+GE$244&gt;73,"",PRODUCT(INDEX($T$19:$T$93,GE$244):INDEX($T$19:$T$93,GE$244+$FJ315-1)))</f>
        <v/>
      </c>
      <c r="GF315" s="479" t="str">
        <f ca="1">IF($FJ315+GF$244&gt;73,"",PRODUCT(INDEX($T$19:$T$93,GF$244):INDEX($T$19:$T$93,GF$244+$FJ315-1)))</f>
        <v/>
      </c>
      <c r="GG315" s="479" t="str">
        <f ca="1">IF($FJ315+GG$244&gt;73,"",PRODUCT(INDEX($T$19:$T$93,GG$244):INDEX($T$19:$T$93,GG$244+$FJ315-1)))</f>
        <v/>
      </c>
      <c r="GH315" s="479" t="str">
        <f ca="1">IF($FJ315+GH$244&gt;73,"",PRODUCT(INDEX($T$19:$T$93,GH$244):INDEX($T$19:$T$93,GH$244+$FJ315-1)))</f>
        <v/>
      </c>
      <c r="GI315" s="479" t="str">
        <f ca="1">IF($FJ315+GI$244&gt;73,"",PRODUCT(INDEX($T$19:$T$93,GI$244):INDEX($T$19:$T$93,GI$244+$FJ315-1)))</f>
        <v/>
      </c>
      <c r="GJ315" s="479" t="str">
        <f ca="1">IF($FJ315+GJ$244&gt;73,"",PRODUCT(INDEX($T$19:$T$93,GJ$244):INDEX($T$19:$T$93,GJ$244+$FJ315-1)))</f>
        <v/>
      </c>
      <c r="GK315" s="479" t="str">
        <f ca="1">IF($FJ315+GK$244&gt;73,"",PRODUCT(INDEX($T$19:$T$93,GK$244):INDEX($T$19:$T$93,GK$244+$FJ315-1)))</f>
        <v/>
      </c>
      <c r="GL315" s="479" t="str">
        <f ca="1">IF($FJ315+GL$244&gt;73,"",PRODUCT(INDEX($T$19:$T$93,GL$244):INDEX($T$19:$T$93,GL$244+$FJ315-1)))</f>
        <v/>
      </c>
      <c r="GM315" s="479" t="str">
        <f ca="1">IF($FJ315+GM$244&gt;73,"",PRODUCT(INDEX($T$19:$T$93,GM$244):INDEX($T$19:$T$93,GM$244+$FJ315-1)))</f>
        <v/>
      </c>
      <c r="GN315" s="479" t="str">
        <f ca="1">IF($FJ315+GN$244&gt;73,"",PRODUCT(INDEX($T$19:$T$93,GN$244):INDEX($T$19:$T$93,GN$244+$FJ315-1)))</f>
        <v/>
      </c>
      <c r="GO315" s="479" t="str">
        <f ca="1">IF($FJ315+GO$244&gt;73,"",PRODUCT(INDEX($T$19:$T$93,GO$244):INDEX($T$19:$T$93,GO$244+$FJ315-1)))</f>
        <v/>
      </c>
      <c r="GP315" s="479" t="str">
        <f ca="1">IF($FJ315+GP$244&gt;73,"",PRODUCT(INDEX($T$19:$T$93,GP$244):INDEX($T$19:$T$93,GP$244+$FJ315-1)))</f>
        <v/>
      </c>
      <c r="GQ315" s="479" t="str">
        <f ca="1">IF($FJ315+GQ$244&gt;73,"",PRODUCT(INDEX($T$19:$T$93,GQ$244):INDEX($T$19:$T$93,GQ$244+$FJ315-1)))</f>
        <v/>
      </c>
      <c r="GR315" s="479" t="str">
        <f ca="1">IF($FJ315+GR$244&gt;73,"",PRODUCT(INDEX($T$19:$T$93,GR$244):INDEX($T$19:$T$93,GR$244+$FJ315-1)))</f>
        <v/>
      </c>
      <c r="GS315" s="479" t="str">
        <f ca="1">IF($FJ315+GS$244&gt;73,"",PRODUCT(INDEX($T$19:$T$93,GS$244):INDEX($T$19:$T$93,GS$244+$FJ315-1)))</f>
        <v/>
      </c>
      <c r="GT315" s="479" t="str">
        <f ca="1">IF($FJ315+GT$244&gt;73,"",PRODUCT(INDEX($T$19:$T$93,GT$244):INDEX($T$19:$T$93,GT$244+$FJ315-1)))</f>
        <v/>
      </c>
      <c r="GU315" s="479" t="str">
        <f ca="1">IF($FJ315+GU$244&gt;73,"",PRODUCT(INDEX($T$19:$T$93,GU$244):INDEX($T$19:$T$93,GU$244+$FJ315-1)))</f>
        <v/>
      </c>
      <c r="GV315" s="479" t="str">
        <f ca="1">IF($FJ315+GV$244&gt;73,"",PRODUCT(INDEX($T$19:$T$93,GV$244):INDEX($T$19:$T$93,GV$244+$FJ315-1)))</f>
        <v/>
      </c>
      <c r="GW315" s="479" t="str">
        <f ca="1">IF($FJ315+GW$244&gt;73,"",PRODUCT(INDEX($T$19:$T$93,GW$244):INDEX($T$19:$T$93,GW$244+$FJ315-1)))</f>
        <v/>
      </c>
      <c r="GX315" s="479" t="str">
        <f ca="1">IF($FJ315+GX$244&gt;73,"",PRODUCT(INDEX($T$19:$T$93,GX$244):INDEX($T$19:$T$93,GX$244+$FJ315-1)))</f>
        <v/>
      </c>
      <c r="GY315" s="479" t="str">
        <f ca="1">IF($FJ315+GY$244&gt;73,"",PRODUCT(INDEX($T$19:$T$93,GY$244):INDEX($T$19:$T$93,GY$244+$FJ315-1)))</f>
        <v/>
      </c>
      <c r="GZ315" s="479" t="str">
        <f ca="1">IF($FJ315+GZ$244&gt;73,"",PRODUCT(INDEX($T$19:$T$93,GZ$244):INDEX($T$19:$T$93,GZ$244+$FJ315-1)))</f>
        <v/>
      </c>
      <c r="HA315" s="479" t="str">
        <f ca="1">IF($FJ315+HA$244&gt;73,"",PRODUCT(INDEX($T$19:$T$93,HA$244):INDEX($T$19:$T$93,HA$244+$FJ315-1)))</f>
        <v/>
      </c>
      <c r="HB315" s="479" t="str">
        <f ca="1">IF($FJ315+HB$244&gt;73,"",PRODUCT(INDEX($T$19:$T$93,HB$244):INDEX($T$19:$T$93,HB$244+$FJ315-1)))</f>
        <v/>
      </c>
      <c r="HC315" s="479" t="str">
        <f ca="1">IF($FJ315+HC$244&gt;73,"",PRODUCT(INDEX($T$19:$T$93,HC$244):INDEX($T$19:$T$93,HC$244+$FJ315-1)))</f>
        <v/>
      </c>
      <c r="HD315" s="479" t="str">
        <f ca="1">IF($FJ315+HD$244&gt;73,"",PRODUCT(INDEX($T$19:$T$93,HD$244):INDEX($T$19:$T$93,HD$244+$FJ315-1)))</f>
        <v/>
      </c>
      <c r="HE315" s="479" t="str">
        <f ca="1">IF($FJ315+HE$244&gt;73,"",PRODUCT(INDEX($T$19:$T$93,HE$244):INDEX($T$19:$T$93,HE$244+$FJ315-1)))</f>
        <v/>
      </c>
      <c r="HF315" s="479" t="str">
        <f ca="1">IF($FJ315+HF$244&gt;73,"",PRODUCT(INDEX($T$19:$T$93,HF$244):INDEX($T$19:$T$93,HF$244+$FJ315-1)))</f>
        <v/>
      </c>
      <c r="HG315" s="479" t="str">
        <f ca="1">IF($FJ315+HG$244&gt;73,"",PRODUCT(INDEX($T$19:$T$93,HG$244):INDEX($T$19:$T$93,HG$244+$FJ315-1)))</f>
        <v/>
      </c>
      <c r="HH315" s="479" t="str">
        <f ca="1">IF($FJ315+HH$244&gt;73,"",PRODUCT(INDEX($T$19:$T$93,HH$244):INDEX($T$19:$T$93,HH$244+$FJ315-1)))</f>
        <v/>
      </c>
      <c r="HI315" s="479" t="str">
        <f ca="1">IF($FJ315+HI$244&gt;73,"",PRODUCT(INDEX($T$19:$T$93,HI$244):INDEX($T$19:$T$93,HI$244+$FJ315-1)))</f>
        <v/>
      </c>
      <c r="HJ315" s="479" t="str">
        <f ca="1">IF($FJ315+HJ$244&gt;73,"",PRODUCT(INDEX($T$19:$T$93,HJ$244):INDEX($T$19:$T$93,HJ$244+$FJ315-1)))</f>
        <v/>
      </c>
      <c r="HK315" s="479" t="str">
        <f ca="1">IF($FJ315+HK$244&gt;73,"",PRODUCT(INDEX($T$19:$T$93,HK$244):INDEX($T$19:$T$93,HK$244+$FJ315-1)))</f>
        <v/>
      </c>
      <c r="HL315" s="479" t="str">
        <f ca="1">IF($FJ315+HL$244&gt;73,"",PRODUCT(INDEX($T$19:$T$93,HL$244):INDEX($T$19:$T$93,HL$244+$FJ315-1)))</f>
        <v/>
      </c>
      <c r="HM315" s="479" t="str">
        <f ca="1">IF($FJ315+HM$244&gt;73,"",PRODUCT(INDEX($T$19:$T$93,HM$244):INDEX($T$19:$T$93,HM$244+$FJ315-1)))</f>
        <v/>
      </c>
      <c r="HN315" s="479" t="str">
        <f ca="1">IF($FJ315+HN$244&gt;73,"",PRODUCT(INDEX($T$19:$T$93,HN$244):INDEX($T$19:$T$93,HN$244+$FJ315-1)))</f>
        <v/>
      </c>
      <c r="HO315" s="479" t="str">
        <f ca="1">IF($FJ315+HO$244&gt;73,"",PRODUCT(INDEX($T$19:$T$93,HO$244):INDEX($T$19:$T$93,HO$244+$FJ315-1)))</f>
        <v/>
      </c>
      <c r="HP315" s="479" t="str">
        <f ca="1">IF($FJ315+HP$244&gt;73,"",PRODUCT(INDEX($T$19:$T$93,HP$244):INDEX($T$19:$T$93,HP$244+$FJ315-1)))</f>
        <v/>
      </c>
      <c r="HQ315" s="479" t="str">
        <f ca="1">IF($FJ315+HQ$244&gt;73,"",PRODUCT(INDEX($T$19:$T$93,HQ$244):INDEX($T$19:$T$93,HQ$244+$FJ315-1)))</f>
        <v/>
      </c>
      <c r="HR315" s="479" t="str">
        <f ca="1">IF($FJ315+HR$244&gt;73,"",PRODUCT(INDEX($T$19:$T$93,HR$244):INDEX($T$19:$T$93,HR$244+$FJ315-1)))</f>
        <v/>
      </c>
      <c r="HS315" s="479" t="str">
        <f ca="1">IF($FJ315+HS$244&gt;73,"",PRODUCT(INDEX($T$19:$T$93,HS$244):INDEX($T$19:$T$93,HS$244+$FJ315-1)))</f>
        <v/>
      </c>
      <c r="HT315" s="479" t="str">
        <f ca="1">IF($FJ315+HT$244&gt;73,"",PRODUCT(INDEX($T$19:$T$93,HT$244):INDEX($T$19:$T$93,HT$244+$FJ315-1)))</f>
        <v/>
      </c>
      <c r="HU315" s="479" t="str">
        <f ca="1">IF($FJ315+HU$244&gt;73,"",PRODUCT(INDEX($T$19:$T$93,HU$244):INDEX($T$19:$T$93,HU$244+$FJ315-1)))</f>
        <v/>
      </c>
      <c r="HV315" s="479" t="str">
        <f ca="1">IF($FJ315+HV$244&gt;73,"",PRODUCT(INDEX($T$19:$T$93,HV$244):INDEX($T$19:$T$93,HV$244+$FJ315-1)))</f>
        <v/>
      </c>
      <c r="HW315" s="479" t="str">
        <f ca="1">IF($FJ315+HW$244&gt;73,"",PRODUCT(INDEX($T$19:$T$93,HW$244):INDEX($T$19:$T$93,HW$244+$FJ315-1)))</f>
        <v/>
      </c>
      <c r="HX315" s="479" t="str">
        <f ca="1">IF($FJ315+HX$244&gt;73,"",PRODUCT(INDEX($T$19:$T$93,HX$244):INDEX($T$19:$T$93,HX$244+$FJ315-1)))</f>
        <v/>
      </c>
      <c r="HY315" s="479" t="str">
        <f ca="1">IF($FJ315+HY$244&gt;73,"",PRODUCT(INDEX($T$19:$T$93,HY$244):INDEX($T$19:$T$93,HY$244+$FJ315-1)))</f>
        <v/>
      </c>
      <c r="HZ315" s="479" t="str">
        <f ca="1">IF($FJ315+HZ$244&gt;73,"",PRODUCT(INDEX($T$19:$T$93,HZ$244):INDEX($T$19:$T$93,HZ$244+$FJ315-1)))</f>
        <v/>
      </c>
      <c r="IA315" s="479" t="str">
        <f ca="1">IF($FJ315+IA$244&gt;73,"",PRODUCT(INDEX($T$19:$T$93,IA$244):INDEX($T$19:$T$93,IA$244+$FJ315-1)))</f>
        <v/>
      </c>
      <c r="IB315" s="479" t="str">
        <f ca="1">IF($FJ315+IB$244&gt;73,"",PRODUCT(INDEX($T$19:$T$93,IB$244):INDEX($T$19:$T$93,IB$244+$FJ315-1)))</f>
        <v/>
      </c>
      <c r="IC315" s="479">
        <f ca="1">IF($FJ315+IC$244&gt;73,"",PRODUCT(INDEX($T$19:$T$93,IC$244):INDEX($T$19:$T$93,IC$244+$FJ315-1)))</f>
        <v>0.4241990073161172</v>
      </c>
      <c r="ID315" s="678">
        <f ca="1">IF($FJ315+ID$244&gt;73,"",PRODUCT(INDEX($T$19:$T$93,ID$244):INDEX($T$19:$T$93,ID$244+$FJ315-1)))</f>
        <v>0.36056985623500998</v>
      </c>
      <c r="IE315" s="250"/>
    </row>
    <row r="316" spans="9:239">
      <c r="I316" s="137"/>
      <c r="J316" s="375"/>
      <c r="K316" s="138"/>
      <c r="L316" s="1"/>
      <c r="M316" s="376"/>
      <c r="P316" s="375"/>
      <c r="S316" s="55"/>
      <c r="T316" s="375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374"/>
      <c r="AP316" s="1"/>
      <c r="AQ316" s="374"/>
      <c r="AR316" s="1"/>
      <c r="AS316" s="106"/>
      <c r="AT316" s="106"/>
      <c r="AU316" s="106"/>
      <c r="AV316" s="31"/>
      <c r="AW316" s="31"/>
      <c r="AX316" s="31"/>
      <c r="AY316" s="31"/>
      <c r="AZ316" s="154"/>
      <c r="BA316" s="154"/>
      <c r="BB316" s="106"/>
      <c r="BC316" s="106"/>
      <c r="BD316" s="106"/>
      <c r="BE316" s="106"/>
      <c r="BF316" s="107"/>
      <c r="BG316" s="107"/>
      <c r="BH316" s="107"/>
      <c r="BI316" s="107"/>
      <c r="BJ316" s="107"/>
      <c r="BK316" s="106"/>
      <c r="BL316" s="108"/>
      <c r="BM316" s="159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7"/>
      <c r="CD316" s="107"/>
      <c r="CE316" s="107"/>
      <c r="CF316" s="107"/>
      <c r="CG316" s="107"/>
      <c r="CH316" s="107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475"/>
      <c r="DI316" s="110"/>
      <c r="DJ316" s="1"/>
      <c r="DK316" s="475"/>
      <c r="DL316" s="54"/>
      <c r="DM316" s="54"/>
      <c r="DN316" s="54"/>
      <c r="DO316" s="54"/>
      <c r="DP316" s="54"/>
      <c r="DQ316" s="54"/>
      <c r="DR316" s="54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L316" s="55"/>
      <c r="EM316" s="1"/>
      <c r="EN316" s="105"/>
      <c r="EO316" s="106"/>
      <c r="EP316" s="1"/>
      <c r="EQ316" s="106"/>
      <c r="ER316" s="1"/>
      <c r="ES316" s="1"/>
      <c r="ET316" s="1"/>
      <c r="EU316" s="105"/>
      <c r="FJ316" s="675">
        <v>72</v>
      </c>
      <c r="FK316" s="679" t="str">
        <f ca="1">IF($FJ316+FK$244&gt;73,"",PRODUCT(INDEX($T$19:$T$93,FK$244):INDEX($T$19:$T$93,FK$244+$FJ316-1)))</f>
        <v/>
      </c>
      <c r="FL316" s="679" t="str">
        <f ca="1">IF($FJ316+FL$244&gt;73,"",PRODUCT(INDEX($T$19:$T$93,FL$244):INDEX($T$19:$T$93,FL$244+$FJ316-1)))</f>
        <v/>
      </c>
      <c r="FM316" s="679" t="str">
        <f ca="1">IF($FJ316+FM$244&gt;73,"",PRODUCT(INDEX($T$19:$T$93,FM$244):INDEX($T$19:$T$93,FM$244+$FJ316-1)))</f>
        <v/>
      </c>
      <c r="FN316" s="679" t="str">
        <f ca="1">IF($FJ316+FN$244&gt;73,"",PRODUCT(INDEX($T$19:$T$93,FN$244):INDEX($T$19:$T$93,FN$244+$FJ316-1)))</f>
        <v/>
      </c>
      <c r="FO316" s="679" t="str">
        <f ca="1">IF($FJ316+FO$244&gt;73,"",PRODUCT(INDEX($T$19:$T$93,FO$244):INDEX($T$19:$T$93,FO$244+$FJ316-1)))</f>
        <v/>
      </c>
      <c r="FP316" s="679" t="str">
        <f ca="1">IF($FJ316+FP$244&gt;73,"",PRODUCT(INDEX($T$19:$T$93,FP$244):INDEX($T$19:$T$93,FP$244+$FJ316-1)))</f>
        <v/>
      </c>
      <c r="FQ316" s="679" t="str">
        <f ca="1">IF($FJ316+FQ$244&gt;73,"",PRODUCT(INDEX($T$19:$T$93,FQ$244):INDEX($T$19:$T$93,FQ$244+$FJ316-1)))</f>
        <v/>
      </c>
      <c r="FR316" s="679" t="str">
        <f ca="1">IF($FJ316+FR$244&gt;73,"",PRODUCT(INDEX($T$19:$T$93,FR$244):INDEX($T$19:$T$93,FR$244+$FJ316-1)))</f>
        <v/>
      </c>
      <c r="FS316" s="679" t="str">
        <f ca="1">IF($FJ316+FS$244&gt;73,"",PRODUCT(INDEX($T$19:$T$93,FS$244):INDEX($T$19:$T$93,FS$244+$FJ316-1)))</f>
        <v/>
      </c>
      <c r="FT316" s="679" t="str">
        <f ca="1">IF($FJ316+FT$244&gt;73,"",PRODUCT(INDEX($T$19:$T$93,FT$244):INDEX($T$19:$T$93,FT$244+$FJ316-1)))</f>
        <v/>
      </c>
      <c r="FU316" s="679" t="str">
        <f ca="1">IF($FJ316+FU$244&gt;73,"",PRODUCT(INDEX($T$19:$T$93,FU$244):INDEX($T$19:$T$93,FU$244+$FJ316-1)))</f>
        <v/>
      </c>
      <c r="FV316" s="679" t="str">
        <f ca="1">IF($FJ316+FV$244&gt;73,"",PRODUCT(INDEX($T$19:$T$93,FV$244):INDEX($T$19:$T$93,FV$244+$FJ316-1)))</f>
        <v/>
      </c>
      <c r="FW316" s="679" t="str">
        <f ca="1">IF($FJ316+FW$244&gt;73,"",PRODUCT(INDEX($T$19:$T$93,FW$244):INDEX($T$19:$T$93,FW$244+$FJ316-1)))</f>
        <v/>
      </c>
      <c r="FX316" s="679" t="str">
        <f ca="1">IF($FJ316+FX$244&gt;73,"",PRODUCT(INDEX($T$19:$T$93,FX$244):INDEX($T$19:$T$93,FX$244+$FJ316-1)))</f>
        <v/>
      </c>
      <c r="FY316" s="679" t="str">
        <f ca="1">IF($FJ316+FY$244&gt;73,"",PRODUCT(INDEX($T$19:$T$93,FY$244):INDEX($T$19:$T$93,FY$244+$FJ316-1)))</f>
        <v/>
      </c>
      <c r="FZ316" s="679" t="str">
        <f ca="1">IF($FJ316+FZ$244&gt;73,"",PRODUCT(INDEX($T$19:$T$93,FZ$244):INDEX($T$19:$T$93,FZ$244+$FJ316-1)))</f>
        <v/>
      </c>
      <c r="GA316" s="679" t="str">
        <f ca="1">IF($FJ316+GA$244&gt;73,"",PRODUCT(INDEX($T$19:$T$93,GA$244):INDEX($T$19:$T$93,GA$244+$FJ316-1)))</f>
        <v/>
      </c>
      <c r="GB316" s="679" t="str">
        <f ca="1">IF($FJ316+GB$244&gt;73,"",PRODUCT(INDEX($T$19:$T$93,GB$244):INDEX($T$19:$T$93,GB$244+$FJ316-1)))</f>
        <v/>
      </c>
      <c r="GC316" s="679" t="str">
        <f ca="1">IF($FJ316+GC$244&gt;73,"",PRODUCT(INDEX($T$19:$T$93,GC$244):INDEX($T$19:$T$93,GC$244+$FJ316-1)))</f>
        <v/>
      </c>
      <c r="GD316" s="679" t="str">
        <f ca="1">IF($FJ316+GD$244&gt;73,"",PRODUCT(INDEX($T$19:$T$93,GD$244):INDEX($T$19:$T$93,GD$244+$FJ316-1)))</f>
        <v/>
      </c>
      <c r="GE316" s="679" t="str">
        <f ca="1">IF($FJ316+GE$244&gt;73,"",PRODUCT(INDEX($T$19:$T$93,GE$244):INDEX($T$19:$T$93,GE$244+$FJ316-1)))</f>
        <v/>
      </c>
      <c r="GF316" s="679" t="str">
        <f ca="1">IF($FJ316+GF$244&gt;73,"",PRODUCT(INDEX($T$19:$T$93,GF$244):INDEX($T$19:$T$93,GF$244+$FJ316-1)))</f>
        <v/>
      </c>
      <c r="GG316" s="679" t="str">
        <f ca="1">IF($FJ316+GG$244&gt;73,"",PRODUCT(INDEX($T$19:$T$93,GG$244):INDEX($T$19:$T$93,GG$244+$FJ316-1)))</f>
        <v/>
      </c>
      <c r="GH316" s="679" t="str">
        <f ca="1">IF($FJ316+GH$244&gt;73,"",PRODUCT(INDEX($T$19:$T$93,GH$244):INDEX($T$19:$T$93,GH$244+$FJ316-1)))</f>
        <v/>
      </c>
      <c r="GI316" s="679" t="str">
        <f ca="1">IF($FJ316+GI$244&gt;73,"",PRODUCT(INDEX($T$19:$T$93,GI$244):INDEX($T$19:$T$93,GI$244+$FJ316-1)))</f>
        <v/>
      </c>
      <c r="GJ316" s="679" t="str">
        <f ca="1">IF($FJ316+GJ$244&gt;73,"",PRODUCT(INDEX($T$19:$T$93,GJ$244):INDEX($T$19:$T$93,GJ$244+$FJ316-1)))</f>
        <v/>
      </c>
      <c r="GK316" s="679" t="str">
        <f ca="1">IF($FJ316+GK$244&gt;73,"",PRODUCT(INDEX($T$19:$T$93,GK$244):INDEX($T$19:$T$93,GK$244+$FJ316-1)))</f>
        <v/>
      </c>
      <c r="GL316" s="679" t="str">
        <f ca="1">IF($FJ316+GL$244&gt;73,"",PRODUCT(INDEX($T$19:$T$93,GL$244):INDEX($T$19:$T$93,GL$244+$FJ316-1)))</f>
        <v/>
      </c>
      <c r="GM316" s="679" t="str">
        <f ca="1">IF($FJ316+GM$244&gt;73,"",PRODUCT(INDEX($T$19:$T$93,GM$244):INDEX($T$19:$T$93,GM$244+$FJ316-1)))</f>
        <v/>
      </c>
      <c r="GN316" s="679" t="str">
        <f ca="1">IF($FJ316+GN$244&gt;73,"",PRODUCT(INDEX($T$19:$T$93,GN$244):INDEX($T$19:$T$93,GN$244+$FJ316-1)))</f>
        <v/>
      </c>
      <c r="GO316" s="679" t="str">
        <f ca="1">IF($FJ316+GO$244&gt;73,"",PRODUCT(INDEX($T$19:$T$93,GO$244):INDEX($T$19:$T$93,GO$244+$FJ316-1)))</f>
        <v/>
      </c>
      <c r="GP316" s="679" t="str">
        <f ca="1">IF($FJ316+GP$244&gt;73,"",PRODUCT(INDEX($T$19:$T$93,GP$244):INDEX($T$19:$T$93,GP$244+$FJ316-1)))</f>
        <v/>
      </c>
      <c r="GQ316" s="679" t="str">
        <f ca="1">IF($FJ316+GQ$244&gt;73,"",PRODUCT(INDEX($T$19:$T$93,GQ$244):INDEX($T$19:$T$93,GQ$244+$FJ316-1)))</f>
        <v/>
      </c>
      <c r="GR316" s="679" t="str">
        <f ca="1">IF($FJ316+GR$244&gt;73,"",PRODUCT(INDEX($T$19:$T$93,GR$244):INDEX($T$19:$T$93,GR$244+$FJ316-1)))</f>
        <v/>
      </c>
      <c r="GS316" s="679" t="str">
        <f ca="1">IF($FJ316+GS$244&gt;73,"",PRODUCT(INDEX($T$19:$T$93,GS$244):INDEX($T$19:$T$93,GS$244+$FJ316-1)))</f>
        <v/>
      </c>
      <c r="GT316" s="679" t="str">
        <f ca="1">IF($FJ316+GT$244&gt;73,"",PRODUCT(INDEX($T$19:$T$93,GT$244):INDEX($T$19:$T$93,GT$244+$FJ316-1)))</f>
        <v/>
      </c>
      <c r="GU316" s="679" t="str">
        <f ca="1">IF($FJ316+GU$244&gt;73,"",PRODUCT(INDEX($T$19:$T$93,GU$244):INDEX($T$19:$T$93,GU$244+$FJ316-1)))</f>
        <v/>
      </c>
      <c r="GV316" s="679" t="str">
        <f ca="1">IF($FJ316+GV$244&gt;73,"",PRODUCT(INDEX($T$19:$T$93,GV$244):INDEX($T$19:$T$93,GV$244+$FJ316-1)))</f>
        <v/>
      </c>
      <c r="GW316" s="679" t="str">
        <f ca="1">IF($FJ316+GW$244&gt;73,"",PRODUCT(INDEX($T$19:$T$93,GW$244):INDEX($T$19:$T$93,GW$244+$FJ316-1)))</f>
        <v/>
      </c>
      <c r="GX316" s="679" t="str">
        <f ca="1">IF($FJ316+GX$244&gt;73,"",PRODUCT(INDEX($T$19:$T$93,GX$244):INDEX($T$19:$T$93,GX$244+$FJ316-1)))</f>
        <v/>
      </c>
      <c r="GY316" s="679" t="str">
        <f ca="1">IF($FJ316+GY$244&gt;73,"",PRODUCT(INDEX($T$19:$T$93,GY$244):INDEX($T$19:$T$93,GY$244+$FJ316-1)))</f>
        <v/>
      </c>
      <c r="GZ316" s="679" t="str">
        <f ca="1">IF($FJ316+GZ$244&gt;73,"",PRODUCT(INDEX($T$19:$T$93,GZ$244):INDEX($T$19:$T$93,GZ$244+$FJ316-1)))</f>
        <v/>
      </c>
      <c r="HA316" s="679" t="str">
        <f ca="1">IF($FJ316+HA$244&gt;73,"",PRODUCT(INDEX($T$19:$T$93,HA$244):INDEX($T$19:$T$93,HA$244+$FJ316-1)))</f>
        <v/>
      </c>
      <c r="HB316" s="679" t="str">
        <f ca="1">IF($FJ316+HB$244&gt;73,"",PRODUCT(INDEX($T$19:$T$93,HB$244):INDEX($T$19:$T$93,HB$244+$FJ316-1)))</f>
        <v/>
      </c>
      <c r="HC316" s="679" t="str">
        <f ca="1">IF($FJ316+HC$244&gt;73,"",PRODUCT(INDEX($T$19:$T$93,HC$244):INDEX($T$19:$T$93,HC$244+$FJ316-1)))</f>
        <v/>
      </c>
      <c r="HD316" s="679" t="str">
        <f ca="1">IF($FJ316+HD$244&gt;73,"",PRODUCT(INDEX($T$19:$T$93,HD$244):INDEX($T$19:$T$93,HD$244+$FJ316-1)))</f>
        <v/>
      </c>
      <c r="HE316" s="679" t="str">
        <f ca="1">IF($FJ316+HE$244&gt;73,"",PRODUCT(INDEX($T$19:$T$93,HE$244):INDEX($T$19:$T$93,HE$244+$FJ316-1)))</f>
        <v/>
      </c>
      <c r="HF316" s="679" t="str">
        <f ca="1">IF($FJ316+HF$244&gt;73,"",PRODUCT(INDEX($T$19:$T$93,HF$244):INDEX($T$19:$T$93,HF$244+$FJ316-1)))</f>
        <v/>
      </c>
      <c r="HG316" s="679" t="str">
        <f ca="1">IF($FJ316+HG$244&gt;73,"",PRODUCT(INDEX($T$19:$T$93,HG$244):INDEX($T$19:$T$93,HG$244+$FJ316-1)))</f>
        <v/>
      </c>
      <c r="HH316" s="679" t="str">
        <f ca="1">IF($FJ316+HH$244&gt;73,"",PRODUCT(INDEX($T$19:$T$93,HH$244):INDEX($T$19:$T$93,HH$244+$FJ316-1)))</f>
        <v/>
      </c>
      <c r="HI316" s="679" t="str">
        <f ca="1">IF($FJ316+HI$244&gt;73,"",PRODUCT(INDEX($T$19:$T$93,HI$244):INDEX($T$19:$T$93,HI$244+$FJ316-1)))</f>
        <v/>
      </c>
      <c r="HJ316" s="679" t="str">
        <f ca="1">IF($FJ316+HJ$244&gt;73,"",PRODUCT(INDEX($T$19:$T$93,HJ$244):INDEX($T$19:$T$93,HJ$244+$FJ316-1)))</f>
        <v/>
      </c>
      <c r="HK316" s="679" t="str">
        <f ca="1">IF($FJ316+HK$244&gt;73,"",PRODUCT(INDEX($T$19:$T$93,HK$244):INDEX($T$19:$T$93,HK$244+$FJ316-1)))</f>
        <v/>
      </c>
      <c r="HL316" s="679" t="str">
        <f ca="1">IF($FJ316+HL$244&gt;73,"",PRODUCT(INDEX($T$19:$T$93,HL$244):INDEX($T$19:$T$93,HL$244+$FJ316-1)))</f>
        <v/>
      </c>
      <c r="HM316" s="679" t="str">
        <f ca="1">IF($FJ316+HM$244&gt;73,"",PRODUCT(INDEX($T$19:$T$93,HM$244):INDEX($T$19:$T$93,HM$244+$FJ316-1)))</f>
        <v/>
      </c>
      <c r="HN316" s="679" t="str">
        <f ca="1">IF($FJ316+HN$244&gt;73,"",PRODUCT(INDEX($T$19:$T$93,HN$244):INDEX($T$19:$T$93,HN$244+$FJ316-1)))</f>
        <v/>
      </c>
      <c r="HO316" s="679" t="str">
        <f ca="1">IF($FJ316+HO$244&gt;73,"",PRODUCT(INDEX($T$19:$T$93,HO$244):INDEX($T$19:$T$93,HO$244+$FJ316-1)))</f>
        <v/>
      </c>
      <c r="HP316" s="679" t="str">
        <f ca="1">IF($FJ316+HP$244&gt;73,"",PRODUCT(INDEX($T$19:$T$93,HP$244):INDEX($T$19:$T$93,HP$244+$FJ316-1)))</f>
        <v/>
      </c>
      <c r="HQ316" s="679" t="str">
        <f ca="1">IF($FJ316+HQ$244&gt;73,"",PRODUCT(INDEX($T$19:$T$93,HQ$244):INDEX($T$19:$T$93,HQ$244+$FJ316-1)))</f>
        <v/>
      </c>
      <c r="HR316" s="679" t="str">
        <f ca="1">IF($FJ316+HR$244&gt;73,"",PRODUCT(INDEX($T$19:$T$93,HR$244):INDEX($T$19:$T$93,HR$244+$FJ316-1)))</f>
        <v/>
      </c>
      <c r="HS316" s="679" t="str">
        <f ca="1">IF($FJ316+HS$244&gt;73,"",PRODUCT(INDEX($T$19:$T$93,HS$244):INDEX($T$19:$T$93,HS$244+$FJ316-1)))</f>
        <v/>
      </c>
      <c r="HT316" s="679" t="str">
        <f ca="1">IF($FJ316+HT$244&gt;73,"",PRODUCT(INDEX($T$19:$T$93,HT$244):INDEX($T$19:$T$93,HT$244+$FJ316-1)))</f>
        <v/>
      </c>
      <c r="HU316" s="679" t="str">
        <f ca="1">IF($FJ316+HU$244&gt;73,"",PRODUCT(INDEX($T$19:$T$93,HU$244):INDEX($T$19:$T$93,HU$244+$FJ316-1)))</f>
        <v/>
      </c>
      <c r="HV316" s="679" t="str">
        <f ca="1">IF($FJ316+HV$244&gt;73,"",PRODUCT(INDEX($T$19:$T$93,HV$244):INDEX($T$19:$T$93,HV$244+$FJ316-1)))</f>
        <v/>
      </c>
      <c r="HW316" s="679" t="str">
        <f ca="1">IF($FJ316+HW$244&gt;73,"",PRODUCT(INDEX($T$19:$T$93,HW$244):INDEX($T$19:$T$93,HW$244+$FJ316-1)))</f>
        <v/>
      </c>
      <c r="HX316" s="679" t="str">
        <f ca="1">IF($FJ316+HX$244&gt;73,"",PRODUCT(INDEX($T$19:$T$93,HX$244):INDEX($T$19:$T$93,HX$244+$FJ316-1)))</f>
        <v/>
      </c>
      <c r="HY316" s="679" t="str">
        <f ca="1">IF($FJ316+HY$244&gt;73,"",PRODUCT(INDEX($T$19:$T$93,HY$244):INDEX($T$19:$T$93,HY$244+$FJ316-1)))</f>
        <v/>
      </c>
      <c r="HZ316" s="679" t="str">
        <f ca="1">IF($FJ316+HZ$244&gt;73,"",PRODUCT(INDEX($T$19:$T$93,HZ$244):INDEX($T$19:$T$93,HZ$244+$FJ316-1)))</f>
        <v/>
      </c>
      <c r="IA316" s="679" t="str">
        <f ca="1">IF($FJ316+IA$244&gt;73,"",PRODUCT(INDEX($T$19:$T$93,IA$244):INDEX($T$19:$T$93,IA$244+$FJ316-1)))</f>
        <v/>
      </c>
      <c r="IB316" s="679" t="str">
        <f ca="1">IF($FJ316+IB$244&gt;73,"",PRODUCT(INDEX($T$19:$T$93,IB$244):INDEX($T$19:$T$93,IB$244+$FJ316-1)))</f>
        <v/>
      </c>
      <c r="IC316" s="679" t="str">
        <f ca="1">IF($FJ316+IC$244&gt;73,"",PRODUCT(INDEX($T$19:$T$93,IC$244):INDEX($T$19:$T$93,IC$244+$FJ316-1)))</f>
        <v/>
      </c>
      <c r="ID316" s="680">
        <f ca="1">IF($FJ316+ID$244&gt;73,"",PRODUCT(INDEX($T$19:$T$93,ID$244):INDEX($T$19:$T$93,ID$244+$FJ316-1)))</f>
        <v>0.36056915621869967</v>
      </c>
      <c r="IE316" s="250"/>
    </row>
    <row r="317" spans="9:239">
      <c r="I317" s="137"/>
      <c r="J317" s="375"/>
      <c r="K317" s="138"/>
      <c r="L317" s="1"/>
      <c r="M317" s="376"/>
      <c r="P317" s="375"/>
      <c r="S317" s="55"/>
      <c r="T317" s="375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374"/>
      <c r="AP317" s="1"/>
      <c r="AQ317" s="374"/>
      <c r="AR317" s="1"/>
      <c r="AS317" s="106"/>
      <c r="AT317" s="106"/>
      <c r="AU317" s="106"/>
      <c r="AV317" s="31"/>
      <c r="AW317" s="31"/>
      <c r="AX317" s="31"/>
      <c r="AY317" s="31"/>
      <c r="AZ317" s="154"/>
      <c r="BA317" s="154"/>
      <c r="BB317" s="106"/>
      <c r="BC317" s="106"/>
      <c r="BD317" s="106"/>
      <c r="BE317" s="106"/>
      <c r="BF317" s="107"/>
      <c r="BG317" s="107"/>
      <c r="BH317" s="107"/>
      <c r="BI317" s="107"/>
      <c r="BJ317" s="107"/>
      <c r="BK317" s="106"/>
      <c r="BL317" s="108"/>
      <c r="BM317" s="159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7"/>
      <c r="CD317" s="107"/>
      <c r="CE317" s="107"/>
      <c r="CF317" s="107"/>
      <c r="CG317" s="107"/>
      <c r="CH317" s="107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475"/>
      <c r="DI317" s="110"/>
      <c r="DJ317" s="1"/>
      <c r="DK317" s="475"/>
      <c r="DL317" s="54"/>
      <c r="DM317" s="54"/>
      <c r="DN317" s="54"/>
      <c r="DO317" s="54"/>
      <c r="DP317" s="54"/>
      <c r="DQ317" s="54"/>
      <c r="DR317" s="54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L317" s="55"/>
      <c r="EM317" s="1"/>
      <c r="EN317" s="105"/>
      <c r="EO317" s="106"/>
      <c r="EP317" s="1"/>
      <c r="EQ317" s="106"/>
      <c r="ER317" s="1"/>
      <c r="ES317" s="1"/>
      <c r="ET317" s="1"/>
      <c r="EU317" s="105"/>
      <c r="FJ317" s="250"/>
      <c r="FK317" s="250"/>
      <c r="FL317" s="250"/>
      <c r="FM317" s="250"/>
      <c r="FN317" s="250"/>
      <c r="FO317" s="250"/>
      <c r="FP317" s="250"/>
      <c r="FQ317" s="250"/>
      <c r="FR317" s="250"/>
      <c r="FS317" s="250"/>
      <c r="FT317" s="250"/>
      <c r="FU317" s="250"/>
      <c r="FV317" s="250"/>
      <c r="FW317" s="250"/>
      <c r="FX317" s="250"/>
      <c r="FY317" s="250"/>
      <c r="FZ317" s="250"/>
      <c r="GA317" s="250"/>
      <c r="GB317" s="250"/>
      <c r="GC317" s="250"/>
      <c r="GD317" s="250"/>
      <c r="GE317" s="250"/>
      <c r="GF317" s="250"/>
      <c r="GG317" s="250"/>
      <c r="GH317" s="250"/>
      <c r="GI317" s="250"/>
      <c r="GJ317" s="250"/>
      <c r="GK317" s="250"/>
      <c r="GL317" s="250"/>
      <c r="GM317" s="250"/>
      <c r="GN317" s="250"/>
      <c r="GO317" s="250"/>
      <c r="GP317" s="250"/>
      <c r="GQ317" s="250"/>
      <c r="GR317" s="250"/>
      <c r="GS317" s="250"/>
      <c r="GT317" s="250"/>
      <c r="GU317" s="250"/>
      <c r="GV317" s="250"/>
      <c r="GW317" s="250"/>
      <c r="GX317" s="250"/>
      <c r="GY317" s="250"/>
      <c r="GZ317" s="250"/>
      <c r="HA317" s="250"/>
      <c r="HB317" s="250"/>
      <c r="HC317" s="250"/>
      <c r="HD317" s="250"/>
      <c r="HE317" s="250"/>
      <c r="HF317" s="250"/>
      <c r="HG317" s="250"/>
      <c r="HH317" s="250"/>
      <c r="HI317" s="250"/>
      <c r="HJ317" s="250"/>
      <c r="HK317" s="250"/>
      <c r="HL317" s="250"/>
      <c r="HM317" s="250"/>
      <c r="HN317" s="250"/>
      <c r="HO317" s="250"/>
      <c r="HP317" s="250"/>
      <c r="HQ317" s="250"/>
      <c r="HR317" s="250"/>
      <c r="HS317" s="250"/>
      <c r="HT317" s="250"/>
      <c r="HU317" s="250"/>
      <c r="HV317" s="250"/>
      <c r="HW317" s="250"/>
      <c r="HX317" s="250"/>
      <c r="HY317" s="250"/>
      <c r="HZ317" s="250"/>
      <c r="IA317" s="250"/>
      <c r="IB317" s="250"/>
      <c r="IC317" s="250"/>
      <c r="ID317" s="250"/>
      <c r="IE317" s="250"/>
    </row>
    <row r="318" spans="9:239" ht="15.6">
      <c r="I318" s="137"/>
      <c r="J318" s="375"/>
      <c r="K318" s="138"/>
      <c r="L318" s="1"/>
      <c r="M318" s="376"/>
      <c r="P318" s="375"/>
      <c r="S318" s="55"/>
      <c r="T318" s="375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374"/>
      <c r="AP318" s="1"/>
      <c r="AQ318" s="374"/>
      <c r="AR318" s="1"/>
      <c r="AS318" s="106"/>
      <c r="AT318" s="106"/>
      <c r="AU318" s="106"/>
      <c r="AV318" s="31"/>
      <c r="AW318" s="31"/>
      <c r="AX318" s="31"/>
      <c r="AY318" s="31"/>
      <c r="AZ318" s="154"/>
      <c r="BA318" s="154"/>
      <c r="BB318" s="106"/>
      <c r="BC318" s="106"/>
      <c r="BD318" s="106"/>
      <c r="BE318" s="106"/>
      <c r="BF318" s="107"/>
      <c r="BG318" s="107"/>
      <c r="BH318" s="107"/>
      <c r="BI318" s="107"/>
      <c r="BJ318" s="107"/>
      <c r="BK318" s="106"/>
      <c r="BL318" s="108"/>
      <c r="BM318" s="159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7"/>
      <c r="CD318" s="107"/>
      <c r="CE318" s="107"/>
      <c r="CF318" s="107"/>
      <c r="CG318" s="107"/>
      <c r="CH318" s="107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475"/>
      <c r="DI318" s="110"/>
      <c r="DJ318" s="1"/>
      <c r="DK318" s="475"/>
      <c r="DL318" s="54"/>
      <c r="DM318" s="54"/>
      <c r="DN318" s="54"/>
      <c r="DO318" s="54"/>
      <c r="DP318" s="54"/>
      <c r="DQ318" s="54"/>
      <c r="DR318" s="54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L318" s="55"/>
      <c r="EM318" s="1"/>
      <c r="EN318" s="105"/>
      <c r="EO318" s="106"/>
      <c r="EP318" s="1"/>
      <c r="EQ318" s="106"/>
      <c r="ER318" s="1"/>
      <c r="ES318" s="1"/>
      <c r="ET318" s="1"/>
      <c r="EU318" s="105"/>
      <c r="FJ318" s="458" t="s">
        <v>491</v>
      </c>
      <c r="FK318" s="250"/>
      <c r="FL318" s="250"/>
      <c r="FM318" s="250"/>
      <c r="FN318" s="250"/>
      <c r="FO318" s="250"/>
      <c r="FP318" s="250"/>
      <c r="FQ318" s="250"/>
      <c r="FR318" s="250"/>
      <c r="FS318" s="250"/>
      <c r="FT318" s="250"/>
      <c r="FU318" s="250"/>
      <c r="FV318" s="250"/>
      <c r="FW318" s="250"/>
      <c r="FX318" s="250"/>
      <c r="FY318" s="250"/>
      <c r="FZ318" s="250"/>
      <c r="GA318" s="250"/>
      <c r="GB318" s="250"/>
      <c r="GC318" s="250"/>
      <c r="GD318" s="250"/>
      <c r="GE318" s="250"/>
      <c r="GF318" s="250"/>
      <c r="GG318" s="250"/>
      <c r="GH318" s="250"/>
      <c r="GI318" s="250"/>
      <c r="GJ318" s="250"/>
      <c r="GK318" s="250"/>
      <c r="GL318" s="250"/>
      <c r="GM318" s="250"/>
      <c r="GN318" s="250"/>
      <c r="GO318" s="250"/>
      <c r="GP318" s="250"/>
      <c r="GQ318" s="250"/>
      <c r="GR318" s="250"/>
      <c r="GS318" s="250"/>
      <c r="GT318" s="250"/>
      <c r="GU318" s="250"/>
      <c r="GV318" s="250"/>
      <c r="GW318" s="250"/>
      <c r="GX318" s="250"/>
      <c r="GY318" s="250"/>
      <c r="GZ318" s="250"/>
      <c r="HA318" s="250"/>
      <c r="HB318" s="250"/>
      <c r="HC318" s="250"/>
      <c r="HD318" s="250"/>
      <c r="HE318" s="250"/>
      <c r="HF318" s="250"/>
      <c r="HG318" s="250"/>
      <c r="HH318" s="250"/>
      <c r="HI318" s="250"/>
      <c r="HJ318" s="250"/>
      <c r="HK318" s="250"/>
      <c r="HL318" s="250"/>
      <c r="HM318" s="250"/>
      <c r="HN318" s="250"/>
      <c r="HO318" s="250"/>
      <c r="HP318" s="250"/>
      <c r="HQ318" s="250"/>
      <c r="HR318" s="250"/>
      <c r="HS318" s="250"/>
      <c r="HT318" s="250"/>
      <c r="HU318" s="250"/>
      <c r="HV318" s="250"/>
      <c r="HW318" s="250"/>
      <c r="HX318" s="250"/>
      <c r="HY318" s="250"/>
      <c r="HZ318" s="250"/>
      <c r="IA318" s="250"/>
      <c r="IB318" s="250"/>
      <c r="IC318" s="250"/>
      <c r="ID318" s="250"/>
      <c r="IE318" s="250"/>
    </row>
    <row r="319" spans="9:239">
      <c r="I319" s="137"/>
      <c r="J319" s="375"/>
      <c r="K319" s="138"/>
      <c r="L319" s="1"/>
      <c r="M319" s="376"/>
      <c r="P319" s="375"/>
      <c r="S319" s="55"/>
      <c r="T319" s="375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74"/>
      <c r="AO319" s="374"/>
      <c r="AP319" s="106"/>
      <c r="AQ319" s="374"/>
      <c r="AR319" s="106"/>
      <c r="AS319" s="106"/>
      <c r="AT319" s="106"/>
      <c r="AU319" s="31"/>
      <c r="AV319" s="31"/>
      <c r="AW319" s="31"/>
      <c r="AX319" s="31"/>
      <c r="AY319" s="154"/>
      <c r="AZ319" s="154"/>
      <c r="BA319" s="106"/>
      <c r="BB319" s="106"/>
      <c r="BC319" s="106"/>
      <c r="BD319" s="106"/>
      <c r="BE319" s="107"/>
      <c r="BF319" s="107"/>
      <c r="BG319" s="107"/>
      <c r="BH319" s="105"/>
      <c r="BI319" s="107"/>
      <c r="BJ319" s="106"/>
      <c r="BK319" s="108"/>
      <c r="BL319" s="159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7"/>
      <c r="CC319" s="107"/>
      <c r="CD319" s="107"/>
      <c r="CE319" s="107"/>
      <c r="CF319" s="107"/>
      <c r="CG319" s="107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10"/>
      <c r="DH319" s="475"/>
      <c r="DI319" s="1"/>
      <c r="DJ319" s="53"/>
      <c r="DK319" s="475"/>
      <c r="DL319" s="54"/>
      <c r="DM319" s="54"/>
      <c r="DN319" s="54"/>
      <c r="DO319" s="54"/>
      <c r="DP319" s="54"/>
      <c r="DQ319" s="54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L319" s="55"/>
      <c r="EM319" s="1"/>
      <c r="EN319" s="106"/>
      <c r="EO319" s="106"/>
      <c r="EP319" s="1"/>
      <c r="EQ319" s="106"/>
      <c r="ER319" s="1"/>
      <c r="ES319" s="1"/>
      <c r="ET319" s="1"/>
      <c r="EU319" s="107"/>
      <c r="FJ319" s="466" t="s">
        <v>228</v>
      </c>
      <c r="FK319" s="250"/>
      <c r="FL319" s="250"/>
      <c r="FM319" s="250"/>
      <c r="FN319" s="250"/>
      <c r="FO319" s="250"/>
      <c r="FP319" s="250"/>
      <c r="FQ319" s="250"/>
      <c r="FR319" s="250"/>
      <c r="FS319" s="250"/>
      <c r="FT319" s="250"/>
      <c r="FU319" s="250"/>
      <c r="FV319" s="250"/>
      <c r="FW319" s="250"/>
      <c r="FX319" s="250"/>
      <c r="FY319" s="250"/>
      <c r="FZ319" s="250"/>
      <c r="GA319" s="250"/>
      <c r="GB319" s="250"/>
      <c r="GC319" s="250"/>
      <c r="GD319" s="250"/>
      <c r="GE319" s="250"/>
      <c r="GF319" s="250"/>
      <c r="GG319" s="250"/>
      <c r="GH319" s="250"/>
      <c r="GI319" s="250"/>
      <c r="GJ319" s="250"/>
      <c r="GK319" s="250"/>
      <c r="GL319" s="250"/>
      <c r="GM319" s="250"/>
      <c r="GN319" s="250"/>
      <c r="GO319" s="250"/>
      <c r="GP319" s="250"/>
      <c r="GQ319" s="250"/>
      <c r="GR319" s="250"/>
      <c r="GS319" s="250"/>
      <c r="GT319" s="250"/>
      <c r="GU319" s="250"/>
      <c r="GV319" s="250"/>
      <c r="GW319" s="250"/>
      <c r="GX319" s="250"/>
      <c r="GY319" s="250"/>
      <c r="GZ319" s="250"/>
      <c r="HA319" s="250"/>
      <c r="HB319" s="250"/>
      <c r="HC319" s="250"/>
      <c r="HD319" s="250"/>
      <c r="HE319" s="250"/>
      <c r="HF319" s="250"/>
      <c r="HG319" s="250"/>
      <c r="HH319" s="250"/>
      <c r="HI319" s="250"/>
      <c r="HJ319" s="250"/>
      <c r="HK319" s="250"/>
      <c r="HL319" s="250"/>
      <c r="HM319" s="250"/>
      <c r="HN319" s="250"/>
      <c r="HO319" s="250"/>
      <c r="HP319" s="250"/>
      <c r="HQ319" s="250"/>
      <c r="HR319" s="250"/>
      <c r="HS319" s="250"/>
      <c r="HT319" s="250"/>
      <c r="HU319" s="250"/>
      <c r="HV319" s="250"/>
      <c r="HW319" s="250"/>
      <c r="HX319" s="250"/>
      <c r="HY319" s="250"/>
      <c r="HZ319" s="250"/>
      <c r="IA319" s="250"/>
      <c r="IB319" s="250"/>
      <c r="IC319" s="250"/>
      <c r="ID319" s="250"/>
      <c r="IE319" s="250"/>
    </row>
    <row r="320" spans="9:239">
      <c r="I320" s="137"/>
      <c r="J320" s="375"/>
      <c r="K320" s="138"/>
      <c r="L320" s="1"/>
      <c r="M320" s="376"/>
      <c r="P320" s="375"/>
      <c r="S320" s="55"/>
      <c r="T320" s="375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74"/>
      <c r="AO320" s="374"/>
      <c r="AP320" s="106"/>
      <c r="AQ320" s="374"/>
      <c r="AR320" s="106"/>
      <c r="AS320" s="106"/>
      <c r="AT320" s="106"/>
      <c r="AU320" s="31"/>
      <c r="AV320" s="31"/>
      <c r="AW320" s="31"/>
      <c r="AX320" s="31"/>
      <c r="AY320" s="154"/>
      <c r="AZ320" s="154"/>
      <c r="BA320" s="106"/>
      <c r="BB320" s="106"/>
      <c r="BC320" s="106"/>
      <c r="BD320" s="106"/>
      <c r="BE320" s="107"/>
      <c r="BF320" s="107"/>
      <c r="BG320" s="107"/>
      <c r="BH320" s="105"/>
      <c r="BI320" s="107"/>
      <c r="BJ320" s="106"/>
      <c r="BK320" s="108"/>
      <c r="BL320" s="159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7"/>
      <c r="CC320" s="107"/>
      <c r="CD320" s="107"/>
      <c r="CE320" s="107"/>
      <c r="CF320" s="107"/>
      <c r="CG320" s="107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10"/>
      <c r="DH320" s="475"/>
      <c r="DI320" s="1"/>
      <c r="DJ320" s="53"/>
      <c r="DK320" s="475"/>
      <c r="DL320" s="54"/>
      <c r="DM320" s="54"/>
      <c r="DN320" s="54"/>
      <c r="DO320" s="54"/>
      <c r="DP320" s="54"/>
      <c r="DQ320" s="54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L320" s="55"/>
      <c r="EM320" s="1"/>
      <c r="EN320" s="106"/>
      <c r="EO320" s="106"/>
      <c r="EP320" s="1"/>
      <c r="EQ320" s="106"/>
      <c r="ER320" s="1"/>
      <c r="ES320" s="1"/>
      <c r="ET320" s="1"/>
      <c r="EU320" s="107"/>
      <c r="FJ320" s="250"/>
      <c r="FK320" s="468">
        <f ca="1">FK15</f>
        <v>2.7378507871321012E-2</v>
      </c>
      <c r="FL320" s="457">
        <f ca="1">IF(SwaptionYearsToExp&lt;=SUM($FK$15:FK15),"",MIN(FL$15,SwaptionYearsToExp-SUM($FK$15:FK15)))</f>
        <v>7.939767282683094E-2</v>
      </c>
      <c r="FM320" s="457">
        <f ca="1">IF(SwaptionYearsToExp&lt;=SUM($FK$15:FL15),"",MIN(FM$15,SwaptionYearsToExp-SUM($FK$15:FL15)))</f>
        <v>8.7611225188227254E-2</v>
      </c>
      <c r="FN320" s="457">
        <f ca="1">IF(SwaptionYearsToExp&lt;=SUM($FK$15:FM15),"",MIN(FN$15,SwaptionYearsToExp-SUM($FK$15:FM15)))</f>
        <v>7.6659822039698844E-2</v>
      </c>
      <c r="FO320" s="457">
        <f ca="1">IF(SwaptionYearsToExp&lt;=SUM($FK$15:FN15),"",MIN(FO$15,SwaptionYearsToExp-SUM($FK$15:FN15)))</f>
        <v>8.2135523613963035E-2</v>
      </c>
      <c r="FP320" s="457">
        <f ca="1">IF(SwaptionYearsToExp&lt;=SUM($FK$15:FO15),"",MIN(FP$15,SwaptionYearsToExp-SUM($FK$15:FO15)))</f>
        <v>4.6543463381245709E-2</v>
      </c>
      <c r="FQ320" s="457" t="str">
        <f ca="1">IF(SwaptionYearsToExp&lt;=SUM($FK$15:FP15),"",MIN(FQ$15,SwaptionYearsToExp-SUM($FK$15:FP15)))</f>
        <v/>
      </c>
      <c r="FR320" s="457" t="str">
        <f ca="1">IF(SwaptionYearsToExp&lt;=SUM($FK$15:FQ15),"",MIN(FR$15,SwaptionYearsToExp-SUM($FK$15:FQ15)))</f>
        <v/>
      </c>
      <c r="FS320" s="457" t="str">
        <f ca="1">IF(SwaptionYearsToExp&lt;=SUM($FK$15:FR15),"",MIN(FS$15,SwaptionYearsToExp-SUM($FK$15:FR15)))</f>
        <v/>
      </c>
      <c r="FT320" s="457" t="str">
        <f ca="1">IF(SwaptionYearsToExp&lt;=SUM($FK$15:FS15),"",MIN(FT$15,SwaptionYearsToExp-SUM($FK$15:FS15)))</f>
        <v/>
      </c>
      <c r="FU320" s="457" t="str">
        <f ca="1">IF(SwaptionYearsToExp&lt;=SUM($FK$15:FT15),"",MIN(FU$15,SwaptionYearsToExp-SUM($FK$15:FT15)))</f>
        <v/>
      </c>
      <c r="FV320" s="457" t="str">
        <f ca="1">IF(SwaptionYearsToExp&lt;=SUM($FK$15:FU15),"",MIN(FV$15,SwaptionYearsToExp-SUM($FK$15:FU15)))</f>
        <v/>
      </c>
      <c r="FW320" s="457" t="str">
        <f ca="1">IF(SwaptionYearsToExp&lt;=SUM($FK$15:FV15),"",MIN(FW$15,SwaptionYearsToExp-SUM($FK$15:FV15)))</f>
        <v/>
      </c>
      <c r="FX320" s="457" t="str">
        <f ca="1">IF(SwaptionYearsToExp&lt;=SUM($FK$15:FW15),"",MIN(FX$15,SwaptionYearsToExp-SUM($FK$15:FW15)))</f>
        <v/>
      </c>
      <c r="FY320" s="457" t="str">
        <f ca="1">IF(SwaptionYearsToExp&lt;=SUM($FK$15:FX15),"",MIN(FY$15,SwaptionYearsToExp-SUM($FK$15:FX15)))</f>
        <v/>
      </c>
      <c r="FZ320" s="457" t="str">
        <f ca="1">IF(SwaptionYearsToExp&lt;=SUM($FK$15:FY15),"",MIN(FZ$15,SwaptionYearsToExp-SUM($FK$15:FY15)))</f>
        <v/>
      </c>
      <c r="GA320" s="457" t="str">
        <f ca="1">IF(SwaptionYearsToExp&lt;=SUM($FK$15:FZ15),"",MIN(GA$15,SwaptionYearsToExp-SUM($FK$15:FZ15)))</f>
        <v/>
      </c>
      <c r="GB320" s="457" t="str">
        <f ca="1">IF(SwaptionYearsToExp&lt;=SUM($FK$15:GA15),"",MIN(GB$15,SwaptionYearsToExp-SUM($FK$15:GA15)))</f>
        <v/>
      </c>
      <c r="GC320" s="457" t="str">
        <f ca="1">IF(SwaptionYearsToExp&lt;=SUM($FK$15:GB15),"",MIN(GC$15,SwaptionYearsToExp-SUM($FK$15:GB15)))</f>
        <v/>
      </c>
      <c r="GD320" s="457" t="str">
        <f ca="1">IF(SwaptionYearsToExp&lt;=SUM($FK$15:GC15),"",MIN(GD$15,SwaptionYearsToExp-SUM($FK$15:GC15)))</f>
        <v/>
      </c>
      <c r="GE320" s="457" t="str">
        <f ca="1">IF(SwaptionYearsToExp&lt;=SUM($FK$15:GD15),"",MIN(GE$15,SwaptionYearsToExp-SUM($FK$15:GD15)))</f>
        <v/>
      </c>
      <c r="GF320" s="457" t="str">
        <f ca="1">IF(SwaptionYearsToExp&lt;=SUM($FK$15:GE15),"",MIN(GF$15,SwaptionYearsToExp-SUM($FK$15:GE15)))</f>
        <v/>
      </c>
      <c r="GG320" s="457" t="str">
        <f ca="1">IF(SwaptionYearsToExp&lt;=SUM($FK$15:GF15),"",MIN(GG$15,SwaptionYearsToExp-SUM($FK$15:GF15)))</f>
        <v/>
      </c>
      <c r="GH320" s="457" t="str">
        <f ca="1">IF(SwaptionYearsToExp&lt;=SUM($FK$15:GG15),"",MIN(GH$15,SwaptionYearsToExp-SUM($FK$15:GG15)))</f>
        <v/>
      </c>
      <c r="GI320" s="457" t="str">
        <f ca="1">IF(SwaptionYearsToExp&lt;=SUM($FK$15:GH15),"",MIN(GI$15,SwaptionYearsToExp-SUM($FK$15:GH15)))</f>
        <v/>
      </c>
      <c r="GJ320" s="457" t="str">
        <f ca="1">IF(SwaptionYearsToExp&lt;=SUM($FK$15:GI15),"",MIN(GJ$15,SwaptionYearsToExp-SUM($FK$15:GI15)))</f>
        <v/>
      </c>
      <c r="GK320" s="457" t="str">
        <f ca="1">IF(SwaptionYearsToExp&lt;=SUM($FK$15:GJ15),"",MIN(GK$15,SwaptionYearsToExp-SUM($FK$15:GJ15)))</f>
        <v/>
      </c>
      <c r="GL320" s="457" t="str">
        <f ca="1">IF(SwaptionYearsToExp&lt;=SUM($FK$15:GK15),"",MIN(GL$15,SwaptionYearsToExp-SUM($FK$15:GK15)))</f>
        <v/>
      </c>
      <c r="GM320" s="457" t="str">
        <f ca="1">IF(SwaptionYearsToExp&lt;=SUM($FK$15:GL15),"",MIN(GM$15,SwaptionYearsToExp-SUM($FK$15:GL15)))</f>
        <v/>
      </c>
      <c r="GN320" s="457" t="str">
        <f ca="1">IF(SwaptionYearsToExp&lt;=SUM($FK$15:GM15),"",MIN(GN$15,SwaptionYearsToExp-SUM($FK$15:GM15)))</f>
        <v/>
      </c>
      <c r="GO320" s="457" t="str">
        <f ca="1">IF(SwaptionYearsToExp&lt;=SUM($FK$15:GN15),"",MIN(GO$15,SwaptionYearsToExp-SUM($FK$15:GN15)))</f>
        <v/>
      </c>
      <c r="GP320" s="457" t="str">
        <f ca="1">IF(SwaptionYearsToExp&lt;=SUM($FK$15:GO15),"",MIN(GP$15,SwaptionYearsToExp-SUM($FK$15:GO15)))</f>
        <v/>
      </c>
      <c r="GQ320" s="457" t="str">
        <f ca="1">IF(SwaptionYearsToExp&lt;=SUM($FK$15:GP15),"",MIN(GQ$15,SwaptionYearsToExp-SUM($FK$15:GP15)))</f>
        <v/>
      </c>
      <c r="GR320" s="457" t="str">
        <f ca="1">IF(SwaptionYearsToExp&lt;=SUM($FK$15:GQ15),"",MIN(GR$15,SwaptionYearsToExp-SUM($FK$15:GQ15)))</f>
        <v/>
      </c>
      <c r="GS320" s="457" t="str">
        <f ca="1">IF(SwaptionYearsToExp&lt;=SUM($FK$15:GR15),"",MIN(GS$15,SwaptionYearsToExp-SUM($FK$15:GR15)))</f>
        <v/>
      </c>
      <c r="GT320" s="457" t="str">
        <f ca="1">IF(SwaptionYearsToExp&lt;=SUM($FK$15:GS15),"",MIN(GT$15,SwaptionYearsToExp-SUM($FK$15:GS15)))</f>
        <v/>
      </c>
      <c r="GU320" s="457" t="str">
        <f ca="1">IF(SwaptionYearsToExp&lt;=SUM($FK$15:GT15),"",MIN(GU$15,SwaptionYearsToExp-SUM($FK$15:GT15)))</f>
        <v/>
      </c>
      <c r="GV320" s="457" t="str">
        <f ca="1">IF(SwaptionYearsToExp&lt;=SUM($FK$15:GU15),"",MIN(GV$15,SwaptionYearsToExp-SUM($FK$15:GU15)))</f>
        <v/>
      </c>
      <c r="GW320" s="457" t="str">
        <f ca="1">IF(SwaptionYearsToExp&lt;=SUM($FK$15:GV15),"",MIN(GW$15,SwaptionYearsToExp-SUM($FK$15:GV15)))</f>
        <v/>
      </c>
      <c r="GX320" s="457" t="str">
        <f ca="1">IF(SwaptionYearsToExp&lt;=SUM($FK$15:GW15),"",MIN(GX$15,SwaptionYearsToExp-SUM($FK$15:GW15)))</f>
        <v/>
      </c>
      <c r="GY320" s="457" t="str">
        <f ca="1">IF(SwaptionYearsToExp&lt;=SUM($FK$15:GX15),"",MIN(GY$15,SwaptionYearsToExp-SUM($FK$15:GX15)))</f>
        <v/>
      </c>
      <c r="GZ320" s="457" t="str">
        <f ca="1">IF(SwaptionYearsToExp&lt;=SUM($FK$15:GY15),"",MIN(GZ$15,SwaptionYearsToExp-SUM($FK$15:GY15)))</f>
        <v/>
      </c>
      <c r="HA320" s="457" t="str">
        <f ca="1">IF(SwaptionYearsToExp&lt;=SUM($FK$15:GZ15),"",MIN(HA$15,SwaptionYearsToExp-SUM($FK$15:GZ15)))</f>
        <v/>
      </c>
      <c r="HB320" s="457" t="str">
        <f ca="1">IF(SwaptionYearsToExp&lt;=SUM($FK$15:HA15),"",MIN(HB$15,SwaptionYearsToExp-SUM($FK$15:HA15)))</f>
        <v/>
      </c>
      <c r="HC320" s="457" t="str">
        <f ca="1">IF(SwaptionYearsToExp&lt;=SUM($FK$15:HB15),"",MIN(HC$15,SwaptionYearsToExp-SUM($FK$15:HB15)))</f>
        <v/>
      </c>
      <c r="HD320" s="457" t="str">
        <f ca="1">IF(SwaptionYearsToExp&lt;=SUM($FK$15:HC15),"",MIN(HD$15,SwaptionYearsToExp-SUM($FK$15:HC15)))</f>
        <v/>
      </c>
      <c r="HE320" s="457" t="str">
        <f ca="1">IF(SwaptionYearsToExp&lt;=SUM($FK$15:HD15),"",MIN(HE$15,SwaptionYearsToExp-SUM($FK$15:HD15)))</f>
        <v/>
      </c>
      <c r="HF320" s="457" t="str">
        <f ca="1">IF(SwaptionYearsToExp&lt;=SUM($FK$15:HE15),"",MIN(HF$15,SwaptionYearsToExp-SUM($FK$15:HE15)))</f>
        <v/>
      </c>
      <c r="HG320" s="457" t="str">
        <f ca="1">IF(SwaptionYearsToExp&lt;=SUM($FK$15:HF15),"",MIN(HG$15,SwaptionYearsToExp-SUM($FK$15:HF15)))</f>
        <v/>
      </c>
      <c r="HH320" s="457" t="str">
        <f ca="1">IF(SwaptionYearsToExp&lt;=SUM($FK$15:HG15),"",MIN(HH$15,SwaptionYearsToExp-SUM($FK$15:HG15)))</f>
        <v/>
      </c>
      <c r="HI320" s="457" t="str">
        <f ca="1">IF(SwaptionYearsToExp&lt;=SUM($FK$15:HH15),"",MIN(HI$15,SwaptionYearsToExp-SUM($FK$15:HH15)))</f>
        <v/>
      </c>
      <c r="HJ320" s="457" t="str">
        <f ca="1">IF(SwaptionYearsToExp&lt;=SUM($FK$15:HI15),"",MIN(HJ$15,SwaptionYearsToExp-SUM($FK$15:HI15)))</f>
        <v/>
      </c>
      <c r="HK320" s="457" t="str">
        <f ca="1">IF(SwaptionYearsToExp&lt;=SUM($FK$15:HJ15),"",MIN(HK$15,SwaptionYearsToExp-SUM($FK$15:HJ15)))</f>
        <v/>
      </c>
      <c r="HL320" s="457" t="str">
        <f ca="1">IF(SwaptionYearsToExp&lt;=SUM($FK$15:HK15),"",MIN(HL$15,SwaptionYearsToExp-SUM($FK$15:HK15)))</f>
        <v/>
      </c>
      <c r="HM320" s="457" t="str">
        <f ca="1">IF(SwaptionYearsToExp&lt;=SUM($FK$15:HL15),"",MIN(HM$15,SwaptionYearsToExp-SUM($FK$15:HL15)))</f>
        <v/>
      </c>
      <c r="HN320" s="457" t="str">
        <f ca="1">IF(SwaptionYearsToExp&lt;=SUM($FK$15:HM15),"",MIN(HN$15,SwaptionYearsToExp-SUM($FK$15:HM15)))</f>
        <v/>
      </c>
      <c r="HO320" s="457" t="str">
        <f ca="1">IF(SwaptionYearsToExp&lt;=SUM($FK$15:HN15),"",MIN(HO$15,SwaptionYearsToExp-SUM($FK$15:HN15)))</f>
        <v/>
      </c>
      <c r="HP320" s="457" t="str">
        <f ca="1">IF(SwaptionYearsToExp&lt;=SUM($FK$15:HO15),"",MIN(HP$15,SwaptionYearsToExp-SUM($FK$15:HO15)))</f>
        <v/>
      </c>
      <c r="HQ320" s="457" t="str">
        <f ca="1">IF(SwaptionYearsToExp&lt;=SUM($FK$15:HP15),"",MIN(HQ$15,SwaptionYearsToExp-SUM($FK$15:HP15)))</f>
        <v/>
      </c>
      <c r="HR320" s="457" t="str">
        <f ca="1">IF(SwaptionYearsToExp&lt;=SUM($FK$15:HQ15),"",MIN(HR$15,SwaptionYearsToExp-SUM($FK$15:HQ15)))</f>
        <v/>
      </c>
      <c r="HS320" s="457" t="str">
        <f ca="1">IF(SwaptionYearsToExp&lt;=SUM($FK$15:HR15),"",MIN(HS$15,SwaptionYearsToExp-SUM($FK$15:HR15)))</f>
        <v/>
      </c>
      <c r="HT320" s="457" t="str">
        <f ca="1">IF(SwaptionYearsToExp&lt;=SUM($FK$15:HS15),"",MIN(HT$15,SwaptionYearsToExp-SUM($FK$15:HS15)))</f>
        <v/>
      </c>
      <c r="HU320" s="457" t="str">
        <f ca="1">IF(SwaptionYearsToExp&lt;=SUM($FK$15:HT15),"",MIN(HU$15,SwaptionYearsToExp-SUM($FK$15:HT15)))</f>
        <v/>
      </c>
      <c r="HV320" s="457" t="str">
        <f ca="1">IF(SwaptionYearsToExp&lt;=SUM($FK$15:HU15),"",MIN(HV$15,SwaptionYearsToExp-SUM($FK$15:HU15)))</f>
        <v/>
      </c>
      <c r="HW320" s="457" t="str">
        <f ca="1">IF(SwaptionYearsToExp&lt;=SUM($FK$15:HV15),"",MIN(HW$15,SwaptionYearsToExp-SUM($FK$15:HV15)))</f>
        <v/>
      </c>
      <c r="HX320" s="457" t="str">
        <f ca="1">IF(SwaptionYearsToExp&lt;=SUM($FK$15:HW15),"",MIN(HX$15,SwaptionYearsToExp-SUM($FK$15:HW15)))</f>
        <v/>
      </c>
      <c r="HY320" s="457" t="str">
        <f ca="1">IF(SwaptionYearsToExp&lt;=SUM($FK$15:HX15),"",MIN(HY$15,SwaptionYearsToExp-SUM($FK$15:HX15)))</f>
        <v/>
      </c>
      <c r="HZ320" s="457" t="str">
        <f ca="1">IF(SwaptionYearsToExp&lt;=SUM($FK$15:HY15),"",MIN(HZ$15,SwaptionYearsToExp-SUM($FK$15:HY15)))</f>
        <v/>
      </c>
      <c r="IA320" s="457" t="str">
        <f ca="1">IF(SwaptionYearsToExp&lt;=SUM($FK$15:HZ15),"",MIN(IA$15,SwaptionYearsToExp-SUM($FK$15:HZ15)))</f>
        <v/>
      </c>
      <c r="IB320" s="457" t="str">
        <f ca="1">IF(SwaptionYearsToExp&lt;=SUM($FK$15:IA15),"",MIN(IB$15,SwaptionYearsToExp-SUM($FK$15:IA15)))</f>
        <v/>
      </c>
      <c r="IC320" s="457" t="str">
        <f ca="1">IF(SwaptionYearsToExp&lt;=SUM($FK$15:IB15),"",MIN(IC$15,SwaptionYearsToExp-SUM($FK$15:IB15)))</f>
        <v/>
      </c>
      <c r="ID320" s="457" t="str">
        <f ca="1">IF(SwaptionYearsToExp&lt;=SUM($FK$15:IC15),"",MIN(ID$15,SwaptionYearsToExp-SUM($FK$15:IC15)))</f>
        <v/>
      </c>
      <c r="IE320" s="250"/>
    </row>
    <row r="321" spans="9:239">
      <c r="I321" s="137"/>
      <c r="J321" s="375"/>
      <c r="K321" s="1"/>
      <c r="L321" s="1"/>
      <c r="M321" s="376"/>
      <c r="P321" s="375"/>
      <c r="S321" s="55"/>
      <c r="T321" s="375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74"/>
      <c r="AO321" s="374"/>
      <c r="AP321" s="106"/>
      <c r="AQ321" s="374"/>
      <c r="AR321" s="106"/>
      <c r="AS321" s="106"/>
      <c r="AT321" s="106"/>
      <c r="AU321" s="31"/>
      <c r="AV321" s="31"/>
      <c r="AW321" s="31"/>
      <c r="AX321" s="31"/>
      <c r="AY321" s="154"/>
      <c r="AZ321" s="154"/>
      <c r="BA321" s="106"/>
      <c r="BB321" s="106"/>
      <c r="BC321" s="106"/>
      <c r="BD321" s="106"/>
      <c r="BE321" s="107"/>
      <c r="BF321" s="107"/>
      <c r="BG321" s="107"/>
      <c r="BH321" s="105"/>
      <c r="BI321" s="107"/>
      <c r="BJ321" s="106"/>
      <c r="BK321" s="108"/>
      <c r="BL321" s="159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7"/>
      <c r="CC321" s="107"/>
      <c r="CD321" s="107"/>
      <c r="CE321" s="107"/>
      <c r="CF321" s="107"/>
      <c r="CG321" s="107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10"/>
      <c r="DH321" s="475"/>
      <c r="DI321" s="1"/>
      <c r="DJ321" s="53"/>
      <c r="DK321" s="475"/>
      <c r="DL321" s="54"/>
      <c r="DM321" s="54"/>
      <c r="DN321" s="54"/>
      <c r="DO321" s="54"/>
      <c r="DP321" s="54"/>
      <c r="DQ321" s="54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L321" s="55"/>
      <c r="EM321" s="1"/>
      <c r="EN321" s="106"/>
      <c r="EO321" s="106"/>
      <c r="EP321" s="1"/>
      <c r="EQ321" s="106"/>
      <c r="ER321" s="1"/>
      <c r="ES321" s="1"/>
      <c r="ET321" s="1"/>
      <c r="EU321" s="107"/>
      <c r="FJ321" s="469"/>
      <c r="FK321" s="469"/>
      <c r="FL321" s="7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250"/>
      <c r="HF321" s="36"/>
      <c r="HG321" s="36"/>
      <c r="HH321" s="36"/>
      <c r="HI321" s="463"/>
      <c r="HJ321" s="463"/>
      <c r="HK321" s="463"/>
      <c r="HL321" s="463"/>
      <c r="HM321" s="463"/>
      <c r="HN321" s="463"/>
      <c r="HO321" s="463"/>
      <c r="HP321" s="464"/>
      <c r="HQ321" s="464"/>
      <c r="HR321" s="464"/>
      <c r="HS321" s="464"/>
      <c r="HT321" s="250"/>
      <c r="HU321" s="250"/>
      <c r="HV321" s="250"/>
      <c r="HW321" s="250"/>
      <c r="HX321" s="457"/>
      <c r="HY321" s="250"/>
      <c r="HZ321" s="250"/>
      <c r="IA321" s="250"/>
      <c r="IB321" s="250"/>
      <c r="IC321" s="250"/>
      <c r="ID321" s="250"/>
      <c r="IE321" s="250"/>
    </row>
    <row r="322" spans="9:239">
      <c r="I322" s="137"/>
      <c r="J322" s="375"/>
      <c r="K322" s="1"/>
      <c r="L322" s="1"/>
      <c r="M322" s="376"/>
      <c r="P322" s="375"/>
      <c r="S322" s="55"/>
      <c r="T322" s="375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74"/>
      <c r="AO322" s="374"/>
      <c r="AP322" s="106"/>
      <c r="AQ322" s="374"/>
      <c r="AR322" s="106"/>
      <c r="AS322" s="106"/>
      <c r="AT322" s="106"/>
      <c r="AU322" s="31"/>
      <c r="AV322" s="31"/>
      <c r="AW322" s="31"/>
      <c r="AX322" s="31"/>
      <c r="AY322" s="154"/>
      <c r="AZ322" s="154"/>
      <c r="BA322" s="106"/>
      <c r="BB322" s="106"/>
      <c r="BC322" s="106"/>
      <c r="BD322" s="106"/>
      <c r="BE322" s="107"/>
      <c r="BF322" s="107"/>
      <c r="BG322" s="107"/>
      <c r="BH322" s="105"/>
      <c r="BI322" s="107"/>
      <c r="BJ322" s="106"/>
      <c r="BK322" s="108"/>
      <c r="BL322" s="159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7"/>
      <c r="CC322" s="107"/>
      <c r="CD322" s="107"/>
      <c r="CE322" s="107"/>
      <c r="CF322" s="107"/>
      <c r="CG322" s="107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10"/>
      <c r="DH322" s="475"/>
      <c r="DI322" s="1"/>
      <c r="DJ322" s="53"/>
      <c r="DK322" s="475"/>
      <c r="DL322" s="54"/>
      <c r="DM322" s="54"/>
      <c r="DN322" s="54"/>
      <c r="DO322" s="54"/>
      <c r="DP322" s="54"/>
      <c r="DQ322" s="54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L322" s="55"/>
      <c r="EM322" s="1"/>
      <c r="EN322" s="106"/>
      <c r="EO322" s="106"/>
      <c r="EP322" s="1"/>
      <c r="EQ322" s="106"/>
      <c r="ER322" s="1"/>
      <c r="ES322" s="1"/>
      <c r="ET322" s="1"/>
      <c r="EU322" s="107"/>
      <c r="FJ322" s="250"/>
      <c r="FK322" s="250"/>
      <c r="FL322" s="250"/>
      <c r="FM322" s="250"/>
      <c r="FN322" s="250"/>
      <c r="FO322" s="250"/>
      <c r="FP322" s="250"/>
      <c r="FQ322" s="250"/>
      <c r="FR322" s="250"/>
      <c r="FS322" s="250"/>
      <c r="FT322" s="250"/>
      <c r="FU322" s="250"/>
      <c r="FV322" s="250"/>
      <c r="FW322" s="250"/>
      <c r="FX322" s="250"/>
      <c r="FY322" s="250"/>
      <c r="FZ322" s="250"/>
      <c r="GA322" s="250"/>
      <c r="GB322" s="250"/>
      <c r="GC322" s="250"/>
      <c r="GD322" s="250"/>
      <c r="GE322" s="250"/>
      <c r="GF322" s="250"/>
      <c r="GG322" s="250"/>
      <c r="GH322" s="250"/>
      <c r="GI322" s="250"/>
      <c r="GJ322" s="250"/>
      <c r="GK322" s="250"/>
      <c r="GL322" s="250"/>
      <c r="GM322" s="250"/>
      <c r="GN322" s="250"/>
      <c r="GO322" s="250"/>
      <c r="GP322" s="250"/>
      <c r="GQ322" s="250"/>
      <c r="GR322" s="250"/>
      <c r="GS322" s="250"/>
      <c r="GT322" s="250"/>
      <c r="GU322" s="250"/>
      <c r="GV322" s="250"/>
      <c r="GW322" s="250"/>
      <c r="GX322" s="250"/>
      <c r="GY322" s="250"/>
      <c r="GZ322" s="250"/>
      <c r="HA322" s="250"/>
      <c r="HB322" s="250"/>
      <c r="HC322" s="250"/>
      <c r="HD322" s="250"/>
      <c r="HE322" s="250"/>
      <c r="HF322" s="250"/>
      <c r="HG322" s="250"/>
      <c r="HH322" s="250"/>
      <c r="HI322" s="250"/>
      <c r="HJ322" s="250"/>
      <c r="HK322" s="250"/>
      <c r="HL322" s="250"/>
      <c r="HM322" s="250"/>
      <c r="HN322" s="250"/>
      <c r="HO322" s="250"/>
      <c r="HP322" s="250"/>
      <c r="HQ322" s="250"/>
      <c r="HR322" s="250"/>
      <c r="HS322" s="250"/>
      <c r="HT322" s="250"/>
      <c r="HU322" s="250"/>
      <c r="HV322" s="250"/>
      <c r="HW322" s="250"/>
      <c r="HX322" s="250"/>
      <c r="HY322" s="250"/>
      <c r="HZ322" s="250"/>
      <c r="IA322" s="250"/>
      <c r="IB322" s="250"/>
      <c r="IC322" s="250"/>
      <c r="ID322" s="250"/>
      <c r="IE322" s="250"/>
    </row>
    <row r="323" spans="9:239">
      <c r="I323" s="137"/>
      <c r="J323" s="375"/>
      <c r="K323" s="1"/>
      <c r="L323" s="1"/>
      <c r="M323" s="376"/>
      <c r="P323" s="375"/>
      <c r="S323" s="55"/>
      <c r="T323" s="375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74"/>
      <c r="AO323" s="374"/>
      <c r="AP323" s="106"/>
      <c r="AQ323" s="374"/>
      <c r="AR323" s="106"/>
      <c r="AS323" s="106"/>
      <c r="AT323" s="106"/>
      <c r="AU323" s="31"/>
      <c r="AV323" s="31"/>
      <c r="AW323" s="31"/>
      <c r="AX323" s="31"/>
      <c r="AY323" s="154"/>
      <c r="AZ323" s="154"/>
      <c r="BA323" s="106"/>
      <c r="BB323" s="106"/>
      <c r="BC323" s="106"/>
      <c r="BD323" s="106"/>
      <c r="BE323" s="107"/>
      <c r="BF323" s="107"/>
      <c r="BG323" s="107"/>
      <c r="BH323" s="105"/>
      <c r="BI323" s="107"/>
      <c r="BJ323" s="106"/>
      <c r="BK323" s="108"/>
      <c r="BL323" s="159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7"/>
      <c r="CC323" s="107"/>
      <c r="CD323" s="107"/>
      <c r="CE323" s="107"/>
      <c r="CF323" s="107"/>
      <c r="CG323" s="107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10"/>
      <c r="DH323" s="475"/>
      <c r="DI323" s="1"/>
      <c r="DJ323" s="53"/>
      <c r="DK323" s="475"/>
      <c r="DL323" s="54"/>
      <c r="DM323" s="54"/>
      <c r="DN323" s="54"/>
      <c r="DO323" s="54"/>
      <c r="DP323" s="54"/>
      <c r="DQ323" s="54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L323" s="55"/>
      <c r="EM323" s="1"/>
      <c r="EN323" s="106"/>
      <c r="EO323" s="106"/>
      <c r="EP323" s="1"/>
      <c r="EQ323" s="106"/>
      <c r="ER323" s="1"/>
      <c r="ES323" s="1"/>
      <c r="ET323" s="1"/>
      <c r="EU323" s="107"/>
      <c r="FJ323" s="467" t="s">
        <v>235</v>
      </c>
      <c r="FK323" s="250"/>
      <c r="FL323" s="250"/>
      <c r="FM323" s="250"/>
      <c r="FN323" s="250"/>
      <c r="FO323" s="250"/>
      <c r="FP323" s="250"/>
      <c r="FQ323" s="250"/>
      <c r="FR323" s="250"/>
      <c r="FS323" s="250"/>
      <c r="FT323" s="250"/>
      <c r="FU323" s="250"/>
      <c r="FV323" s="250"/>
      <c r="FW323" s="250"/>
      <c r="FX323" s="250"/>
      <c r="FY323" s="250"/>
      <c r="FZ323" s="250"/>
      <c r="GA323" s="250"/>
      <c r="GB323" s="250"/>
      <c r="GC323" s="250"/>
      <c r="GD323" s="250"/>
      <c r="GE323" s="250"/>
      <c r="GF323" s="250"/>
      <c r="GG323" s="250"/>
      <c r="GH323" s="250"/>
      <c r="GI323" s="250"/>
      <c r="GJ323" s="250"/>
      <c r="GK323" s="250"/>
      <c r="GL323" s="250"/>
      <c r="GM323" s="250"/>
      <c r="GN323" s="250"/>
      <c r="GO323" s="250"/>
      <c r="GP323" s="250"/>
      <c r="GQ323" s="250"/>
      <c r="GR323" s="250"/>
      <c r="GS323" s="250"/>
      <c r="GT323" s="250"/>
      <c r="GU323" s="250"/>
      <c r="GV323" s="250"/>
      <c r="GW323" s="250"/>
      <c r="GX323" s="250"/>
      <c r="GY323" s="250"/>
      <c r="GZ323" s="250"/>
      <c r="HA323" s="250"/>
      <c r="HB323" s="250"/>
      <c r="HC323" s="250"/>
      <c r="HD323" s="250"/>
      <c r="HE323" s="250"/>
      <c r="HF323" s="250"/>
      <c r="HG323" s="250"/>
      <c r="HH323" s="250"/>
      <c r="HI323" s="250"/>
      <c r="HJ323" s="250"/>
      <c r="HK323" s="250"/>
      <c r="HL323" s="250"/>
      <c r="HM323" s="250"/>
      <c r="HN323" s="250"/>
      <c r="HO323" s="250"/>
      <c r="HP323" s="250"/>
      <c r="HQ323" s="250"/>
      <c r="HR323" s="250"/>
      <c r="HS323" s="250"/>
      <c r="HT323" s="250"/>
      <c r="HU323" s="250"/>
      <c r="HV323" s="250"/>
      <c r="HW323" s="250"/>
      <c r="HX323" s="250"/>
      <c r="HY323" s="250"/>
      <c r="HZ323" s="250"/>
      <c r="IA323" s="250"/>
      <c r="IB323" s="250"/>
      <c r="IC323" s="250"/>
      <c r="ID323" s="250"/>
      <c r="IE323" s="250"/>
    </row>
    <row r="324" spans="9:239">
      <c r="I324" s="137"/>
      <c r="J324" s="375"/>
      <c r="K324" s="1"/>
      <c r="L324" s="1"/>
      <c r="M324" s="376"/>
      <c r="P324" s="375"/>
      <c r="S324" s="55"/>
      <c r="T324" s="375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74"/>
      <c r="AO324" s="374"/>
      <c r="AP324" s="106"/>
      <c r="AQ324" s="374"/>
      <c r="AR324" s="106"/>
      <c r="AS324" s="106"/>
      <c r="AT324" s="106"/>
      <c r="AU324" s="31"/>
      <c r="AV324" s="31"/>
      <c r="AW324" s="31"/>
      <c r="AX324" s="31"/>
      <c r="AY324" s="154"/>
      <c r="AZ324" s="154"/>
      <c r="BA324" s="106"/>
      <c r="BB324" s="106"/>
      <c r="BC324" s="106"/>
      <c r="BD324" s="106"/>
      <c r="BE324" s="107"/>
      <c r="BF324" s="107"/>
      <c r="BG324" s="107"/>
      <c r="BH324" s="105"/>
      <c r="BI324" s="107"/>
      <c r="BJ324" s="106"/>
      <c r="BK324" s="108"/>
      <c r="BL324" s="159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7"/>
      <c r="CC324" s="107"/>
      <c r="CD324" s="107"/>
      <c r="CE324" s="107"/>
      <c r="CF324" s="107"/>
      <c r="CG324" s="107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10"/>
      <c r="DH324" s="475"/>
      <c r="DI324" s="1"/>
      <c r="DJ324" s="53"/>
      <c r="DK324" s="475"/>
      <c r="DL324" s="54"/>
      <c r="DM324" s="54"/>
      <c r="DN324" s="54"/>
      <c r="DO324" s="54"/>
      <c r="DP324" s="54"/>
      <c r="DQ324" s="54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L324" s="55"/>
      <c r="EM324" s="1"/>
      <c r="EN324" s="106"/>
      <c r="EO324" s="106"/>
      <c r="EP324" s="1"/>
      <c r="EQ324" s="106"/>
      <c r="ER324" s="1"/>
      <c r="ES324" s="1"/>
      <c r="ET324" s="1"/>
      <c r="EU324" s="107"/>
      <c r="FJ324" s="670"/>
      <c r="FK324" s="671">
        <v>1</v>
      </c>
      <c r="FL324" s="671">
        <v>2</v>
      </c>
      <c r="FM324" s="671">
        <v>3</v>
      </c>
      <c r="FN324" s="671">
        <v>4</v>
      </c>
      <c r="FO324" s="671">
        <v>5</v>
      </c>
      <c r="FP324" s="671">
        <v>6</v>
      </c>
      <c r="FQ324" s="671">
        <v>7</v>
      </c>
      <c r="FR324" s="671">
        <v>8</v>
      </c>
      <c r="FS324" s="671">
        <v>9</v>
      </c>
      <c r="FT324" s="671">
        <v>10</v>
      </c>
      <c r="FU324" s="671">
        <v>11</v>
      </c>
      <c r="FV324" s="671">
        <v>12</v>
      </c>
      <c r="FW324" s="671">
        <v>13</v>
      </c>
      <c r="FX324" s="671">
        <v>14</v>
      </c>
      <c r="FY324" s="671">
        <v>15</v>
      </c>
      <c r="FZ324" s="671">
        <v>16</v>
      </c>
      <c r="GA324" s="671">
        <v>17</v>
      </c>
      <c r="GB324" s="671">
        <v>18</v>
      </c>
      <c r="GC324" s="671">
        <v>19</v>
      </c>
      <c r="GD324" s="671">
        <v>20</v>
      </c>
      <c r="GE324" s="671">
        <v>21</v>
      </c>
      <c r="GF324" s="671">
        <v>22</v>
      </c>
      <c r="GG324" s="671">
        <v>23</v>
      </c>
      <c r="GH324" s="671">
        <v>24</v>
      </c>
      <c r="GI324" s="671">
        <v>25</v>
      </c>
      <c r="GJ324" s="671">
        <v>26</v>
      </c>
      <c r="GK324" s="671">
        <v>27</v>
      </c>
      <c r="GL324" s="671">
        <v>28</v>
      </c>
      <c r="GM324" s="671">
        <v>29</v>
      </c>
      <c r="GN324" s="671">
        <v>30</v>
      </c>
      <c r="GO324" s="671">
        <v>31</v>
      </c>
      <c r="GP324" s="671">
        <v>32</v>
      </c>
      <c r="GQ324" s="671">
        <v>33</v>
      </c>
      <c r="GR324" s="671">
        <v>34</v>
      </c>
      <c r="GS324" s="671">
        <v>35</v>
      </c>
      <c r="GT324" s="671">
        <v>36</v>
      </c>
      <c r="GU324" s="671">
        <v>37</v>
      </c>
      <c r="GV324" s="671">
        <v>38</v>
      </c>
      <c r="GW324" s="671">
        <v>39</v>
      </c>
      <c r="GX324" s="671">
        <v>40</v>
      </c>
      <c r="GY324" s="671">
        <v>41</v>
      </c>
      <c r="GZ324" s="671">
        <v>42</v>
      </c>
      <c r="HA324" s="671">
        <v>43</v>
      </c>
      <c r="HB324" s="671">
        <v>44</v>
      </c>
      <c r="HC324" s="671">
        <v>45</v>
      </c>
      <c r="HD324" s="671">
        <v>46</v>
      </c>
      <c r="HE324" s="671">
        <v>47</v>
      </c>
      <c r="HF324" s="671">
        <v>48</v>
      </c>
      <c r="HG324" s="671">
        <v>49</v>
      </c>
      <c r="HH324" s="671">
        <v>50</v>
      </c>
      <c r="HI324" s="671">
        <v>51</v>
      </c>
      <c r="HJ324" s="671">
        <v>52</v>
      </c>
      <c r="HK324" s="671">
        <v>53</v>
      </c>
      <c r="HL324" s="671">
        <v>54</v>
      </c>
      <c r="HM324" s="671">
        <v>55</v>
      </c>
      <c r="HN324" s="671">
        <v>56</v>
      </c>
      <c r="HO324" s="671">
        <v>57</v>
      </c>
      <c r="HP324" s="671">
        <v>58</v>
      </c>
      <c r="HQ324" s="671">
        <v>59</v>
      </c>
      <c r="HR324" s="671">
        <v>60</v>
      </c>
      <c r="HS324" s="671">
        <v>61</v>
      </c>
      <c r="HT324" s="671">
        <v>62</v>
      </c>
      <c r="HU324" s="671">
        <v>63</v>
      </c>
      <c r="HV324" s="671">
        <v>64</v>
      </c>
      <c r="HW324" s="671">
        <v>65</v>
      </c>
      <c r="HX324" s="671">
        <v>66</v>
      </c>
      <c r="HY324" s="671">
        <v>67</v>
      </c>
      <c r="HZ324" s="671">
        <v>68</v>
      </c>
      <c r="IA324" s="671">
        <v>69</v>
      </c>
      <c r="IB324" s="671">
        <v>70</v>
      </c>
      <c r="IC324" s="671">
        <v>71</v>
      </c>
      <c r="ID324" s="672">
        <v>72</v>
      </c>
      <c r="IE324" s="250"/>
    </row>
    <row r="325" spans="9:239">
      <c r="I325" s="137"/>
      <c r="J325" s="375"/>
      <c r="K325" s="1"/>
      <c r="L325" s="1"/>
      <c r="M325" s="376"/>
      <c r="P325" s="375"/>
      <c r="S325" s="55"/>
      <c r="T325" s="375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74"/>
      <c r="AO325" s="374"/>
      <c r="AP325" s="106"/>
      <c r="AQ325" s="374"/>
      <c r="AR325" s="106"/>
      <c r="AS325" s="106"/>
      <c r="AT325" s="106"/>
      <c r="AU325" s="31"/>
      <c r="AV325" s="31"/>
      <c r="AW325" s="31"/>
      <c r="AX325" s="31"/>
      <c r="AY325" s="154"/>
      <c r="AZ325" s="154"/>
      <c r="BA325" s="106"/>
      <c r="BB325" s="106"/>
      <c r="BC325" s="106"/>
      <c r="BD325" s="106"/>
      <c r="BE325" s="107"/>
      <c r="BF325" s="107"/>
      <c r="BG325" s="107"/>
      <c r="BH325" s="105"/>
      <c r="BI325" s="107"/>
      <c r="BJ325" s="106"/>
      <c r="BK325" s="108"/>
      <c r="BL325" s="159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7"/>
      <c r="CC325" s="107"/>
      <c r="CD325" s="107"/>
      <c r="CE325" s="107"/>
      <c r="CF325" s="107"/>
      <c r="CG325" s="107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10"/>
      <c r="DH325" s="475"/>
      <c r="DI325" s="1"/>
      <c r="DJ325" s="53"/>
      <c r="DK325" s="475"/>
      <c r="DL325" s="54"/>
      <c r="DM325" s="54"/>
      <c r="DN325" s="54"/>
      <c r="DO325" s="54"/>
      <c r="DP325" s="54"/>
      <c r="DQ325" s="54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L325" s="55"/>
      <c r="EM325" s="1"/>
      <c r="EN325" s="106"/>
      <c r="EO325" s="106"/>
      <c r="EP325" s="1"/>
      <c r="EQ325" s="106"/>
      <c r="ER325" s="1"/>
      <c r="ES325" s="1"/>
      <c r="ET325" s="1"/>
      <c r="EU325" s="107"/>
      <c r="FJ325" s="673">
        <v>1</v>
      </c>
      <c r="FK325" s="460">
        <f ca="1">IF(AND(ISNUMBER(FK20),ISNUMBER(FK$320),FK$320&lt;&gt;0),FK20*FK$320/FK$15,"")</f>
        <v>0</v>
      </c>
      <c r="FL325" s="460" t="str">
        <f t="shared" ref="FL325:HW325" ca="1" si="673">IF(AND(ISNUMBER(FL20),ISNUMBER(FL$320),FL$320&lt;&gt;0),FL20*FL$320/FL$15,"")</f>
        <v/>
      </c>
      <c r="FM325" s="460" t="str">
        <f t="shared" ca="1" si="673"/>
        <v/>
      </c>
      <c r="FN325" s="460" t="str">
        <f t="shared" ca="1" si="673"/>
        <v/>
      </c>
      <c r="FO325" s="460" t="str">
        <f t="shared" ca="1" si="673"/>
        <v/>
      </c>
      <c r="FP325" s="460" t="str">
        <f t="shared" ca="1" si="673"/>
        <v/>
      </c>
      <c r="FQ325" s="460" t="str">
        <f t="shared" ca="1" si="673"/>
        <v/>
      </c>
      <c r="FR325" s="460" t="str">
        <f t="shared" ca="1" si="673"/>
        <v/>
      </c>
      <c r="FS325" s="460" t="str">
        <f t="shared" ca="1" si="673"/>
        <v/>
      </c>
      <c r="FT325" s="460" t="str">
        <f t="shared" ca="1" si="673"/>
        <v/>
      </c>
      <c r="FU325" s="460" t="str">
        <f t="shared" ca="1" si="673"/>
        <v/>
      </c>
      <c r="FV325" s="460" t="str">
        <f t="shared" ca="1" si="673"/>
        <v/>
      </c>
      <c r="FW325" s="460" t="str">
        <f t="shared" ca="1" si="673"/>
        <v/>
      </c>
      <c r="FX325" s="460" t="str">
        <f t="shared" ca="1" si="673"/>
        <v/>
      </c>
      <c r="FY325" s="460" t="str">
        <f t="shared" ca="1" si="673"/>
        <v/>
      </c>
      <c r="FZ325" s="460" t="str">
        <f t="shared" ca="1" si="673"/>
        <v/>
      </c>
      <c r="GA325" s="460" t="str">
        <f t="shared" ca="1" si="673"/>
        <v/>
      </c>
      <c r="GB325" s="460" t="str">
        <f t="shared" ca="1" si="673"/>
        <v/>
      </c>
      <c r="GC325" s="460" t="str">
        <f t="shared" ca="1" si="673"/>
        <v/>
      </c>
      <c r="GD325" s="460" t="str">
        <f t="shared" ca="1" si="673"/>
        <v/>
      </c>
      <c r="GE325" s="460" t="str">
        <f t="shared" ca="1" si="673"/>
        <v/>
      </c>
      <c r="GF325" s="460" t="str">
        <f t="shared" ca="1" si="673"/>
        <v/>
      </c>
      <c r="GG325" s="460" t="str">
        <f t="shared" ca="1" si="673"/>
        <v/>
      </c>
      <c r="GH325" s="460" t="str">
        <f t="shared" ca="1" si="673"/>
        <v/>
      </c>
      <c r="GI325" s="460" t="str">
        <f t="shared" ca="1" si="673"/>
        <v/>
      </c>
      <c r="GJ325" s="460" t="str">
        <f t="shared" ca="1" si="673"/>
        <v/>
      </c>
      <c r="GK325" s="460" t="str">
        <f t="shared" ca="1" si="673"/>
        <v/>
      </c>
      <c r="GL325" s="460" t="str">
        <f t="shared" ca="1" si="673"/>
        <v/>
      </c>
      <c r="GM325" s="460" t="str">
        <f t="shared" ca="1" si="673"/>
        <v/>
      </c>
      <c r="GN325" s="460" t="str">
        <f t="shared" ca="1" si="673"/>
        <v/>
      </c>
      <c r="GO325" s="460" t="str">
        <f t="shared" ca="1" si="673"/>
        <v/>
      </c>
      <c r="GP325" s="460" t="str">
        <f t="shared" ca="1" si="673"/>
        <v/>
      </c>
      <c r="GQ325" s="460" t="str">
        <f t="shared" ca="1" si="673"/>
        <v/>
      </c>
      <c r="GR325" s="460" t="str">
        <f t="shared" ca="1" si="673"/>
        <v/>
      </c>
      <c r="GS325" s="460" t="str">
        <f t="shared" ca="1" si="673"/>
        <v/>
      </c>
      <c r="GT325" s="460" t="str">
        <f t="shared" ca="1" si="673"/>
        <v/>
      </c>
      <c r="GU325" s="460" t="str">
        <f t="shared" ca="1" si="673"/>
        <v/>
      </c>
      <c r="GV325" s="460" t="str">
        <f t="shared" ca="1" si="673"/>
        <v/>
      </c>
      <c r="GW325" s="460" t="str">
        <f t="shared" ca="1" si="673"/>
        <v/>
      </c>
      <c r="GX325" s="460" t="str">
        <f t="shared" ca="1" si="673"/>
        <v/>
      </c>
      <c r="GY325" s="460" t="str">
        <f t="shared" ca="1" si="673"/>
        <v/>
      </c>
      <c r="GZ325" s="460" t="str">
        <f t="shared" ca="1" si="673"/>
        <v/>
      </c>
      <c r="HA325" s="460" t="str">
        <f t="shared" ca="1" si="673"/>
        <v/>
      </c>
      <c r="HB325" s="460" t="str">
        <f t="shared" ca="1" si="673"/>
        <v/>
      </c>
      <c r="HC325" s="460" t="str">
        <f t="shared" ca="1" si="673"/>
        <v/>
      </c>
      <c r="HD325" s="460" t="str">
        <f t="shared" ca="1" si="673"/>
        <v/>
      </c>
      <c r="HE325" s="460" t="str">
        <f t="shared" ca="1" si="673"/>
        <v/>
      </c>
      <c r="HF325" s="460" t="str">
        <f t="shared" ca="1" si="673"/>
        <v/>
      </c>
      <c r="HG325" s="460" t="str">
        <f t="shared" ca="1" si="673"/>
        <v/>
      </c>
      <c r="HH325" s="460" t="str">
        <f t="shared" ca="1" si="673"/>
        <v/>
      </c>
      <c r="HI325" s="460" t="str">
        <f t="shared" ca="1" si="673"/>
        <v/>
      </c>
      <c r="HJ325" s="460" t="str">
        <f t="shared" ca="1" si="673"/>
        <v/>
      </c>
      <c r="HK325" s="460" t="str">
        <f t="shared" ca="1" si="673"/>
        <v/>
      </c>
      <c r="HL325" s="460" t="str">
        <f t="shared" ca="1" si="673"/>
        <v/>
      </c>
      <c r="HM325" s="460" t="str">
        <f t="shared" ca="1" si="673"/>
        <v/>
      </c>
      <c r="HN325" s="460" t="str">
        <f t="shared" ca="1" si="673"/>
        <v/>
      </c>
      <c r="HO325" s="460" t="str">
        <f t="shared" ca="1" si="673"/>
        <v/>
      </c>
      <c r="HP325" s="460" t="str">
        <f t="shared" ca="1" si="673"/>
        <v/>
      </c>
      <c r="HQ325" s="460" t="str">
        <f t="shared" ca="1" si="673"/>
        <v/>
      </c>
      <c r="HR325" s="460" t="str">
        <f t="shared" ca="1" si="673"/>
        <v/>
      </c>
      <c r="HS325" s="460" t="str">
        <f t="shared" ca="1" si="673"/>
        <v/>
      </c>
      <c r="HT325" s="460" t="str">
        <f t="shared" ca="1" si="673"/>
        <v/>
      </c>
      <c r="HU325" s="460" t="str">
        <f t="shared" ca="1" si="673"/>
        <v/>
      </c>
      <c r="HV325" s="460" t="str">
        <f t="shared" ca="1" si="673"/>
        <v/>
      </c>
      <c r="HW325" s="460" t="str">
        <f t="shared" ca="1" si="673"/>
        <v/>
      </c>
      <c r="HX325" s="460" t="str">
        <f t="shared" ref="HX325:ID334" ca="1" si="674">IF(AND(ISNUMBER(HX20),ISNUMBER(HX$320),HX$320&lt;&gt;0),HX20*HX$320/HX$15,"")</f>
        <v/>
      </c>
      <c r="HY325" s="460" t="str">
        <f t="shared" ca="1" si="674"/>
        <v/>
      </c>
      <c r="HZ325" s="460" t="str">
        <f t="shared" ca="1" si="674"/>
        <v/>
      </c>
      <c r="IA325" s="460" t="str">
        <f t="shared" ca="1" si="674"/>
        <v/>
      </c>
      <c r="IB325" s="460" t="str">
        <f t="shared" ca="1" si="674"/>
        <v/>
      </c>
      <c r="IC325" s="460" t="str">
        <f t="shared" ca="1" si="674"/>
        <v/>
      </c>
      <c r="ID325" s="674" t="str">
        <f t="shared" ca="1" si="674"/>
        <v/>
      </c>
      <c r="IE325" s="250"/>
    </row>
    <row r="326" spans="9:239">
      <c r="I326" s="137"/>
      <c r="J326" s="375"/>
      <c r="K326" s="1"/>
      <c r="L326" s="1"/>
      <c r="M326" s="376"/>
      <c r="P326" s="375"/>
      <c r="S326" s="55"/>
      <c r="T326" s="375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74"/>
      <c r="AO326" s="374"/>
      <c r="AP326" s="106"/>
      <c r="AQ326" s="374"/>
      <c r="AR326" s="106"/>
      <c r="AS326" s="106"/>
      <c r="AT326" s="106"/>
      <c r="AU326" s="31"/>
      <c r="AV326" s="31"/>
      <c r="AW326" s="31"/>
      <c r="AX326" s="31"/>
      <c r="AY326" s="154"/>
      <c r="AZ326" s="154"/>
      <c r="BA326" s="106"/>
      <c r="BB326" s="106"/>
      <c r="BC326" s="106"/>
      <c r="BD326" s="106"/>
      <c r="BE326" s="107"/>
      <c r="BF326" s="107"/>
      <c r="BG326" s="107"/>
      <c r="BH326" s="105"/>
      <c r="BI326" s="107"/>
      <c r="BJ326" s="106"/>
      <c r="BK326" s="108"/>
      <c r="BL326" s="159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7"/>
      <c r="CC326" s="107"/>
      <c r="CD326" s="107"/>
      <c r="CE326" s="107"/>
      <c r="CF326" s="107"/>
      <c r="CG326" s="107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10"/>
      <c r="DH326" s="475"/>
      <c r="DI326" s="1"/>
      <c r="DJ326" s="53"/>
      <c r="DK326" s="475"/>
      <c r="DL326" s="54"/>
      <c r="DM326" s="54"/>
      <c r="DN326" s="54"/>
      <c r="DO326" s="54"/>
      <c r="DP326" s="54"/>
      <c r="DQ326" s="54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L326" s="55"/>
      <c r="EM326" s="1"/>
      <c r="EN326" s="106"/>
      <c r="EO326" s="106"/>
      <c r="EP326" s="1"/>
      <c r="EQ326" s="106"/>
      <c r="ER326" s="1"/>
      <c r="ES326" s="1"/>
      <c r="ET326" s="1"/>
      <c r="EU326" s="107"/>
      <c r="FJ326" s="673">
        <v>2</v>
      </c>
      <c r="FK326" s="460">
        <f t="shared" ref="FK326:HV326" ca="1" si="675">IF(AND(ISNUMBER(FK21),ISNUMBER(FK$320),FK$320&lt;&gt;0),FK21*FK$320/FK$15,"")</f>
        <v>0</v>
      </c>
      <c r="FL326" s="460">
        <f t="shared" ca="1" si="675"/>
        <v>1.1465023956194387E-2</v>
      </c>
      <c r="FM326" s="460" t="str">
        <f t="shared" ca="1" si="675"/>
        <v/>
      </c>
      <c r="FN326" s="460" t="str">
        <f t="shared" ca="1" si="675"/>
        <v/>
      </c>
      <c r="FO326" s="460" t="str">
        <f t="shared" ca="1" si="675"/>
        <v/>
      </c>
      <c r="FP326" s="460" t="str">
        <f t="shared" ca="1" si="675"/>
        <v/>
      </c>
      <c r="FQ326" s="460" t="str">
        <f t="shared" ca="1" si="675"/>
        <v/>
      </c>
      <c r="FR326" s="460" t="str">
        <f t="shared" ca="1" si="675"/>
        <v/>
      </c>
      <c r="FS326" s="460" t="str">
        <f t="shared" ca="1" si="675"/>
        <v/>
      </c>
      <c r="FT326" s="460" t="str">
        <f t="shared" ca="1" si="675"/>
        <v/>
      </c>
      <c r="FU326" s="460" t="str">
        <f t="shared" ca="1" si="675"/>
        <v/>
      </c>
      <c r="FV326" s="460" t="str">
        <f t="shared" ca="1" si="675"/>
        <v/>
      </c>
      <c r="FW326" s="460" t="str">
        <f t="shared" ca="1" si="675"/>
        <v/>
      </c>
      <c r="FX326" s="460" t="str">
        <f t="shared" ca="1" si="675"/>
        <v/>
      </c>
      <c r="FY326" s="460" t="str">
        <f t="shared" ca="1" si="675"/>
        <v/>
      </c>
      <c r="FZ326" s="460" t="str">
        <f t="shared" ca="1" si="675"/>
        <v/>
      </c>
      <c r="GA326" s="460" t="str">
        <f t="shared" ca="1" si="675"/>
        <v/>
      </c>
      <c r="GB326" s="460" t="str">
        <f t="shared" ca="1" si="675"/>
        <v/>
      </c>
      <c r="GC326" s="460" t="str">
        <f t="shared" ca="1" si="675"/>
        <v/>
      </c>
      <c r="GD326" s="460" t="str">
        <f t="shared" ca="1" si="675"/>
        <v/>
      </c>
      <c r="GE326" s="460" t="str">
        <f t="shared" ca="1" si="675"/>
        <v/>
      </c>
      <c r="GF326" s="460" t="str">
        <f t="shared" ca="1" si="675"/>
        <v/>
      </c>
      <c r="GG326" s="460" t="str">
        <f t="shared" ca="1" si="675"/>
        <v/>
      </c>
      <c r="GH326" s="460" t="str">
        <f t="shared" ca="1" si="675"/>
        <v/>
      </c>
      <c r="GI326" s="460" t="str">
        <f t="shared" ca="1" si="675"/>
        <v/>
      </c>
      <c r="GJ326" s="460" t="str">
        <f t="shared" ca="1" si="675"/>
        <v/>
      </c>
      <c r="GK326" s="460" t="str">
        <f t="shared" ca="1" si="675"/>
        <v/>
      </c>
      <c r="GL326" s="460" t="str">
        <f t="shared" ca="1" si="675"/>
        <v/>
      </c>
      <c r="GM326" s="460" t="str">
        <f t="shared" ca="1" si="675"/>
        <v/>
      </c>
      <c r="GN326" s="460" t="str">
        <f t="shared" ca="1" si="675"/>
        <v/>
      </c>
      <c r="GO326" s="460" t="str">
        <f t="shared" ca="1" si="675"/>
        <v/>
      </c>
      <c r="GP326" s="460" t="str">
        <f t="shared" ca="1" si="675"/>
        <v/>
      </c>
      <c r="GQ326" s="460" t="str">
        <f t="shared" ca="1" si="675"/>
        <v/>
      </c>
      <c r="GR326" s="460" t="str">
        <f t="shared" ca="1" si="675"/>
        <v/>
      </c>
      <c r="GS326" s="460" t="str">
        <f t="shared" ca="1" si="675"/>
        <v/>
      </c>
      <c r="GT326" s="460" t="str">
        <f t="shared" ca="1" si="675"/>
        <v/>
      </c>
      <c r="GU326" s="460" t="str">
        <f t="shared" ca="1" si="675"/>
        <v/>
      </c>
      <c r="GV326" s="460" t="str">
        <f t="shared" ca="1" si="675"/>
        <v/>
      </c>
      <c r="GW326" s="460" t="str">
        <f t="shared" ca="1" si="675"/>
        <v/>
      </c>
      <c r="GX326" s="460" t="str">
        <f t="shared" ca="1" si="675"/>
        <v/>
      </c>
      <c r="GY326" s="460" t="str">
        <f t="shared" ca="1" si="675"/>
        <v/>
      </c>
      <c r="GZ326" s="460" t="str">
        <f t="shared" ca="1" si="675"/>
        <v/>
      </c>
      <c r="HA326" s="460" t="str">
        <f t="shared" ca="1" si="675"/>
        <v/>
      </c>
      <c r="HB326" s="460" t="str">
        <f t="shared" ca="1" si="675"/>
        <v/>
      </c>
      <c r="HC326" s="460" t="str">
        <f t="shared" ca="1" si="675"/>
        <v/>
      </c>
      <c r="HD326" s="460" t="str">
        <f t="shared" ca="1" si="675"/>
        <v/>
      </c>
      <c r="HE326" s="460" t="str">
        <f t="shared" ca="1" si="675"/>
        <v/>
      </c>
      <c r="HF326" s="460" t="str">
        <f t="shared" ca="1" si="675"/>
        <v/>
      </c>
      <c r="HG326" s="460" t="str">
        <f t="shared" ca="1" si="675"/>
        <v/>
      </c>
      <c r="HH326" s="460" t="str">
        <f t="shared" ca="1" si="675"/>
        <v/>
      </c>
      <c r="HI326" s="460" t="str">
        <f t="shared" ca="1" si="675"/>
        <v/>
      </c>
      <c r="HJ326" s="460" t="str">
        <f t="shared" ca="1" si="675"/>
        <v/>
      </c>
      <c r="HK326" s="460" t="str">
        <f t="shared" ca="1" si="675"/>
        <v/>
      </c>
      <c r="HL326" s="460" t="str">
        <f t="shared" ca="1" si="675"/>
        <v/>
      </c>
      <c r="HM326" s="460" t="str">
        <f t="shared" ca="1" si="675"/>
        <v/>
      </c>
      <c r="HN326" s="460" t="str">
        <f t="shared" ca="1" si="675"/>
        <v/>
      </c>
      <c r="HO326" s="460" t="str">
        <f t="shared" ca="1" si="675"/>
        <v/>
      </c>
      <c r="HP326" s="460" t="str">
        <f t="shared" ca="1" si="675"/>
        <v/>
      </c>
      <c r="HQ326" s="460" t="str">
        <f t="shared" ca="1" si="675"/>
        <v/>
      </c>
      <c r="HR326" s="460" t="str">
        <f t="shared" ca="1" si="675"/>
        <v/>
      </c>
      <c r="HS326" s="460" t="str">
        <f t="shared" ca="1" si="675"/>
        <v/>
      </c>
      <c r="HT326" s="460" t="str">
        <f t="shared" ca="1" si="675"/>
        <v/>
      </c>
      <c r="HU326" s="460" t="str">
        <f t="shared" ca="1" si="675"/>
        <v/>
      </c>
      <c r="HV326" s="460" t="str">
        <f t="shared" ca="1" si="675"/>
        <v/>
      </c>
      <c r="HW326" s="460" t="str">
        <f t="shared" ref="HW326:HW357" ca="1" si="676">IF(AND(ISNUMBER(HW21),ISNUMBER(HW$320),HW$320&lt;&gt;0),HW21*HW$320/HW$15,"")</f>
        <v/>
      </c>
      <c r="HX326" s="460" t="str">
        <f t="shared" ca="1" si="674"/>
        <v/>
      </c>
      <c r="HY326" s="460" t="str">
        <f t="shared" ca="1" si="674"/>
        <v/>
      </c>
      <c r="HZ326" s="460" t="str">
        <f t="shared" ca="1" si="674"/>
        <v/>
      </c>
      <c r="IA326" s="460" t="str">
        <f t="shared" ca="1" si="674"/>
        <v/>
      </c>
      <c r="IB326" s="460" t="str">
        <f t="shared" ca="1" si="674"/>
        <v/>
      </c>
      <c r="IC326" s="460" t="str">
        <f t="shared" ca="1" si="674"/>
        <v/>
      </c>
      <c r="ID326" s="674" t="str">
        <f t="shared" ca="1" si="674"/>
        <v/>
      </c>
      <c r="IE326" s="250"/>
    </row>
    <row r="327" spans="9:239">
      <c r="I327" s="137"/>
      <c r="J327" s="375"/>
      <c r="K327" s="1"/>
      <c r="L327" s="1"/>
      <c r="M327" s="376"/>
      <c r="P327" s="375"/>
      <c r="S327" s="55"/>
      <c r="T327" s="375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74"/>
      <c r="AO327" s="374"/>
      <c r="AP327" s="106"/>
      <c r="AQ327" s="374"/>
      <c r="AR327" s="106"/>
      <c r="AS327" s="106"/>
      <c r="AT327" s="106"/>
      <c r="AU327" s="31"/>
      <c r="AV327" s="31"/>
      <c r="AW327" s="31"/>
      <c r="AX327" s="31"/>
      <c r="AY327" s="154"/>
      <c r="AZ327" s="154"/>
      <c r="BA327" s="106"/>
      <c r="BB327" s="106"/>
      <c r="BC327" s="106"/>
      <c r="BD327" s="106"/>
      <c r="BE327" s="107"/>
      <c r="BF327" s="107"/>
      <c r="BG327" s="107"/>
      <c r="BH327" s="105"/>
      <c r="BI327" s="107"/>
      <c r="BJ327" s="106"/>
      <c r="BK327" s="108"/>
      <c r="BL327" s="159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7"/>
      <c r="CC327" s="107"/>
      <c r="CD327" s="107"/>
      <c r="CE327" s="107"/>
      <c r="CF327" s="107"/>
      <c r="CG327" s="107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10"/>
      <c r="DH327" s="475"/>
      <c r="DI327" s="1"/>
      <c r="DJ327" s="53"/>
      <c r="DK327" s="475"/>
      <c r="DL327" s="54"/>
      <c r="DM327" s="54"/>
      <c r="DN327" s="54"/>
      <c r="DO327" s="54"/>
      <c r="DP327" s="54"/>
      <c r="DQ327" s="54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L327" s="55"/>
      <c r="EM327" s="1"/>
      <c r="EN327" s="106"/>
      <c r="EO327" s="106"/>
      <c r="EP327" s="1"/>
      <c r="EQ327" s="106"/>
      <c r="ER327" s="1"/>
      <c r="ES327" s="1"/>
      <c r="ET327" s="1"/>
      <c r="EU327" s="107"/>
      <c r="FJ327" s="673">
        <v>3</v>
      </c>
      <c r="FK327" s="460">
        <f t="shared" ref="FK327:HV327" ca="1" si="677">IF(AND(ISNUMBER(FK22),ISNUMBER(FK$320),FK$320&lt;&gt;0),FK22*FK$320/FK$15,"")</f>
        <v>0</v>
      </c>
      <c r="FL327" s="460">
        <f t="shared" ca="1" si="677"/>
        <v>8.8893419799131127E-3</v>
      </c>
      <c r="FM327" s="460">
        <f t="shared" ca="1" si="677"/>
        <v>1.3325667351129365E-2</v>
      </c>
      <c r="FN327" s="460" t="str">
        <f t="shared" ca="1" si="677"/>
        <v/>
      </c>
      <c r="FO327" s="460" t="str">
        <f t="shared" ca="1" si="677"/>
        <v/>
      </c>
      <c r="FP327" s="460" t="str">
        <f t="shared" ca="1" si="677"/>
        <v/>
      </c>
      <c r="FQ327" s="460" t="str">
        <f t="shared" ca="1" si="677"/>
        <v/>
      </c>
      <c r="FR327" s="460" t="str">
        <f t="shared" ca="1" si="677"/>
        <v/>
      </c>
      <c r="FS327" s="460" t="str">
        <f t="shared" ca="1" si="677"/>
        <v/>
      </c>
      <c r="FT327" s="460" t="str">
        <f t="shared" ca="1" si="677"/>
        <v/>
      </c>
      <c r="FU327" s="460" t="str">
        <f t="shared" ca="1" si="677"/>
        <v/>
      </c>
      <c r="FV327" s="460" t="str">
        <f t="shared" ca="1" si="677"/>
        <v/>
      </c>
      <c r="FW327" s="460" t="str">
        <f t="shared" ca="1" si="677"/>
        <v/>
      </c>
      <c r="FX327" s="460" t="str">
        <f t="shared" ca="1" si="677"/>
        <v/>
      </c>
      <c r="FY327" s="460" t="str">
        <f t="shared" ca="1" si="677"/>
        <v/>
      </c>
      <c r="FZ327" s="460" t="str">
        <f t="shared" ca="1" si="677"/>
        <v/>
      </c>
      <c r="GA327" s="460" t="str">
        <f t="shared" ca="1" si="677"/>
        <v/>
      </c>
      <c r="GB327" s="460" t="str">
        <f t="shared" ca="1" si="677"/>
        <v/>
      </c>
      <c r="GC327" s="460" t="str">
        <f t="shared" ca="1" si="677"/>
        <v/>
      </c>
      <c r="GD327" s="460" t="str">
        <f t="shared" ca="1" si="677"/>
        <v/>
      </c>
      <c r="GE327" s="460" t="str">
        <f t="shared" ca="1" si="677"/>
        <v/>
      </c>
      <c r="GF327" s="460" t="str">
        <f t="shared" ca="1" si="677"/>
        <v/>
      </c>
      <c r="GG327" s="460" t="str">
        <f t="shared" ca="1" si="677"/>
        <v/>
      </c>
      <c r="GH327" s="460" t="str">
        <f t="shared" ca="1" si="677"/>
        <v/>
      </c>
      <c r="GI327" s="460" t="str">
        <f t="shared" ca="1" si="677"/>
        <v/>
      </c>
      <c r="GJ327" s="460" t="str">
        <f t="shared" ca="1" si="677"/>
        <v/>
      </c>
      <c r="GK327" s="460" t="str">
        <f t="shared" ca="1" si="677"/>
        <v/>
      </c>
      <c r="GL327" s="460" t="str">
        <f t="shared" ca="1" si="677"/>
        <v/>
      </c>
      <c r="GM327" s="460" t="str">
        <f t="shared" ca="1" si="677"/>
        <v/>
      </c>
      <c r="GN327" s="460" t="str">
        <f t="shared" ca="1" si="677"/>
        <v/>
      </c>
      <c r="GO327" s="460" t="str">
        <f t="shared" ca="1" si="677"/>
        <v/>
      </c>
      <c r="GP327" s="460" t="str">
        <f t="shared" ca="1" si="677"/>
        <v/>
      </c>
      <c r="GQ327" s="460" t="str">
        <f t="shared" ca="1" si="677"/>
        <v/>
      </c>
      <c r="GR327" s="460" t="str">
        <f t="shared" ca="1" si="677"/>
        <v/>
      </c>
      <c r="GS327" s="460" t="str">
        <f t="shared" ca="1" si="677"/>
        <v/>
      </c>
      <c r="GT327" s="460" t="str">
        <f t="shared" ca="1" si="677"/>
        <v/>
      </c>
      <c r="GU327" s="460" t="str">
        <f t="shared" ca="1" si="677"/>
        <v/>
      </c>
      <c r="GV327" s="460" t="str">
        <f t="shared" ca="1" si="677"/>
        <v/>
      </c>
      <c r="GW327" s="460" t="str">
        <f t="shared" ca="1" si="677"/>
        <v/>
      </c>
      <c r="GX327" s="460" t="str">
        <f t="shared" ca="1" si="677"/>
        <v/>
      </c>
      <c r="GY327" s="460" t="str">
        <f t="shared" ca="1" si="677"/>
        <v/>
      </c>
      <c r="GZ327" s="460" t="str">
        <f t="shared" ca="1" si="677"/>
        <v/>
      </c>
      <c r="HA327" s="460" t="str">
        <f t="shared" ca="1" si="677"/>
        <v/>
      </c>
      <c r="HB327" s="460" t="str">
        <f t="shared" ca="1" si="677"/>
        <v/>
      </c>
      <c r="HC327" s="460" t="str">
        <f t="shared" ca="1" si="677"/>
        <v/>
      </c>
      <c r="HD327" s="460" t="str">
        <f t="shared" ca="1" si="677"/>
        <v/>
      </c>
      <c r="HE327" s="460" t="str">
        <f t="shared" ca="1" si="677"/>
        <v/>
      </c>
      <c r="HF327" s="460" t="str">
        <f t="shared" ca="1" si="677"/>
        <v/>
      </c>
      <c r="HG327" s="460" t="str">
        <f t="shared" ca="1" si="677"/>
        <v/>
      </c>
      <c r="HH327" s="460" t="str">
        <f t="shared" ca="1" si="677"/>
        <v/>
      </c>
      <c r="HI327" s="460" t="str">
        <f t="shared" ca="1" si="677"/>
        <v/>
      </c>
      <c r="HJ327" s="460" t="str">
        <f t="shared" ca="1" si="677"/>
        <v/>
      </c>
      <c r="HK327" s="460" t="str">
        <f t="shared" ca="1" si="677"/>
        <v/>
      </c>
      <c r="HL327" s="460" t="str">
        <f t="shared" ca="1" si="677"/>
        <v/>
      </c>
      <c r="HM327" s="460" t="str">
        <f t="shared" ca="1" si="677"/>
        <v/>
      </c>
      <c r="HN327" s="460" t="str">
        <f t="shared" ca="1" si="677"/>
        <v/>
      </c>
      <c r="HO327" s="460" t="str">
        <f t="shared" ca="1" si="677"/>
        <v/>
      </c>
      <c r="HP327" s="460" t="str">
        <f t="shared" ca="1" si="677"/>
        <v/>
      </c>
      <c r="HQ327" s="460" t="str">
        <f t="shared" ca="1" si="677"/>
        <v/>
      </c>
      <c r="HR327" s="460" t="str">
        <f t="shared" ca="1" si="677"/>
        <v/>
      </c>
      <c r="HS327" s="460" t="str">
        <f t="shared" ca="1" si="677"/>
        <v/>
      </c>
      <c r="HT327" s="460" t="str">
        <f t="shared" ca="1" si="677"/>
        <v/>
      </c>
      <c r="HU327" s="460" t="str">
        <f t="shared" ca="1" si="677"/>
        <v/>
      </c>
      <c r="HV327" s="460" t="str">
        <f t="shared" ca="1" si="677"/>
        <v/>
      </c>
      <c r="HW327" s="460" t="str">
        <f t="shared" ca="1" si="676"/>
        <v/>
      </c>
      <c r="HX327" s="460" t="str">
        <f t="shared" ca="1" si="674"/>
        <v/>
      </c>
      <c r="HY327" s="460" t="str">
        <f t="shared" ca="1" si="674"/>
        <v/>
      </c>
      <c r="HZ327" s="460" t="str">
        <f t="shared" ca="1" si="674"/>
        <v/>
      </c>
      <c r="IA327" s="460" t="str">
        <f t="shared" ca="1" si="674"/>
        <v/>
      </c>
      <c r="IB327" s="460" t="str">
        <f t="shared" ca="1" si="674"/>
        <v/>
      </c>
      <c r="IC327" s="460" t="str">
        <f t="shared" ca="1" si="674"/>
        <v/>
      </c>
      <c r="ID327" s="674" t="str">
        <f t="shared" ca="1" si="674"/>
        <v/>
      </c>
      <c r="IE327" s="250"/>
    </row>
    <row r="328" spans="9:239">
      <c r="I328" s="137"/>
      <c r="J328" s="375"/>
      <c r="K328" s="1"/>
      <c r="L328" s="1"/>
      <c r="M328" s="376"/>
      <c r="P328" s="375"/>
      <c r="S328" s="55"/>
      <c r="T328" s="375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74"/>
      <c r="AO328" s="374"/>
      <c r="AP328" s="106"/>
      <c r="AQ328" s="374"/>
      <c r="AR328" s="106"/>
      <c r="AS328" s="106"/>
      <c r="AT328" s="106"/>
      <c r="AU328" s="31"/>
      <c r="AV328" s="31"/>
      <c r="AW328" s="31"/>
      <c r="AX328" s="31"/>
      <c r="AY328" s="154"/>
      <c r="AZ328" s="154"/>
      <c r="BA328" s="106"/>
      <c r="BB328" s="106"/>
      <c r="BC328" s="106"/>
      <c r="BD328" s="106"/>
      <c r="BE328" s="107"/>
      <c r="BF328" s="107"/>
      <c r="BG328" s="107"/>
      <c r="BH328" s="105"/>
      <c r="BI328" s="107"/>
      <c r="BJ328" s="106"/>
      <c r="BK328" s="108"/>
      <c r="BL328" s="159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7"/>
      <c r="CC328" s="107"/>
      <c r="CD328" s="107"/>
      <c r="CE328" s="107"/>
      <c r="CF328" s="107"/>
      <c r="CG328" s="107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10"/>
      <c r="DH328" s="475"/>
      <c r="DI328" s="1"/>
      <c r="DJ328" s="53"/>
      <c r="DK328" s="475"/>
      <c r="DL328" s="54"/>
      <c r="DM328" s="54"/>
      <c r="DN328" s="54"/>
      <c r="DO328" s="54"/>
      <c r="DP328" s="54"/>
      <c r="DQ328" s="54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L328" s="55"/>
      <c r="EM328" s="1"/>
      <c r="EN328" s="106"/>
      <c r="EO328" s="106"/>
      <c r="EP328" s="1"/>
      <c r="EQ328" s="106"/>
      <c r="ER328" s="1"/>
      <c r="ES328" s="1"/>
      <c r="ET328" s="1"/>
      <c r="EU328" s="107"/>
      <c r="FJ328" s="673">
        <v>4</v>
      </c>
      <c r="FK328" s="460">
        <f t="shared" ref="FK328:HV328" ca="1" si="678">IF(AND(ISNUMBER(FK23),ISNUMBER(FK$320),FK$320&lt;&gt;0),FK23*FK$320/FK$15,"")</f>
        <v>0</v>
      </c>
      <c r="FL328" s="460">
        <f t="shared" ca="1" si="678"/>
        <v>7.1818722968794461E-3</v>
      </c>
      <c r="FM328" s="460">
        <f t="shared" ca="1" si="678"/>
        <v>1.0331981393789548E-2</v>
      </c>
      <c r="FN328" s="460">
        <f t="shared" ca="1" si="678"/>
        <v>1.1215811088295689E-2</v>
      </c>
      <c r="FO328" s="460" t="str">
        <f t="shared" ca="1" si="678"/>
        <v/>
      </c>
      <c r="FP328" s="460" t="str">
        <f t="shared" ca="1" si="678"/>
        <v/>
      </c>
      <c r="FQ328" s="460" t="str">
        <f t="shared" ca="1" si="678"/>
        <v/>
      </c>
      <c r="FR328" s="460" t="str">
        <f t="shared" ca="1" si="678"/>
        <v/>
      </c>
      <c r="FS328" s="460" t="str">
        <f t="shared" ca="1" si="678"/>
        <v/>
      </c>
      <c r="FT328" s="460" t="str">
        <f t="shared" ca="1" si="678"/>
        <v/>
      </c>
      <c r="FU328" s="460" t="str">
        <f t="shared" ca="1" si="678"/>
        <v/>
      </c>
      <c r="FV328" s="460" t="str">
        <f t="shared" ca="1" si="678"/>
        <v/>
      </c>
      <c r="FW328" s="460" t="str">
        <f t="shared" ca="1" si="678"/>
        <v/>
      </c>
      <c r="FX328" s="460" t="str">
        <f t="shared" ca="1" si="678"/>
        <v/>
      </c>
      <c r="FY328" s="460" t="str">
        <f t="shared" ca="1" si="678"/>
        <v/>
      </c>
      <c r="FZ328" s="460" t="str">
        <f t="shared" ca="1" si="678"/>
        <v/>
      </c>
      <c r="GA328" s="460" t="str">
        <f t="shared" ca="1" si="678"/>
        <v/>
      </c>
      <c r="GB328" s="460" t="str">
        <f t="shared" ca="1" si="678"/>
        <v/>
      </c>
      <c r="GC328" s="460" t="str">
        <f t="shared" ca="1" si="678"/>
        <v/>
      </c>
      <c r="GD328" s="460" t="str">
        <f t="shared" ca="1" si="678"/>
        <v/>
      </c>
      <c r="GE328" s="460" t="str">
        <f t="shared" ca="1" si="678"/>
        <v/>
      </c>
      <c r="GF328" s="460" t="str">
        <f t="shared" ca="1" si="678"/>
        <v/>
      </c>
      <c r="GG328" s="460" t="str">
        <f t="shared" ca="1" si="678"/>
        <v/>
      </c>
      <c r="GH328" s="460" t="str">
        <f t="shared" ca="1" si="678"/>
        <v/>
      </c>
      <c r="GI328" s="460" t="str">
        <f t="shared" ca="1" si="678"/>
        <v/>
      </c>
      <c r="GJ328" s="460" t="str">
        <f t="shared" ca="1" si="678"/>
        <v/>
      </c>
      <c r="GK328" s="460" t="str">
        <f t="shared" ca="1" si="678"/>
        <v/>
      </c>
      <c r="GL328" s="460" t="str">
        <f t="shared" ca="1" si="678"/>
        <v/>
      </c>
      <c r="GM328" s="460" t="str">
        <f t="shared" ca="1" si="678"/>
        <v/>
      </c>
      <c r="GN328" s="460" t="str">
        <f t="shared" ca="1" si="678"/>
        <v/>
      </c>
      <c r="GO328" s="460" t="str">
        <f t="shared" ca="1" si="678"/>
        <v/>
      </c>
      <c r="GP328" s="460" t="str">
        <f t="shared" ca="1" si="678"/>
        <v/>
      </c>
      <c r="GQ328" s="460" t="str">
        <f t="shared" ca="1" si="678"/>
        <v/>
      </c>
      <c r="GR328" s="460" t="str">
        <f t="shared" ca="1" si="678"/>
        <v/>
      </c>
      <c r="GS328" s="460" t="str">
        <f t="shared" ca="1" si="678"/>
        <v/>
      </c>
      <c r="GT328" s="460" t="str">
        <f t="shared" ca="1" si="678"/>
        <v/>
      </c>
      <c r="GU328" s="460" t="str">
        <f t="shared" ca="1" si="678"/>
        <v/>
      </c>
      <c r="GV328" s="460" t="str">
        <f t="shared" ca="1" si="678"/>
        <v/>
      </c>
      <c r="GW328" s="460" t="str">
        <f t="shared" ca="1" si="678"/>
        <v/>
      </c>
      <c r="GX328" s="460" t="str">
        <f t="shared" ca="1" si="678"/>
        <v/>
      </c>
      <c r="GY328" s="460" t="str">
        <f t="shared" ca="1" si="678"/>
        <v/>
      </c>
      <c r="GZ328" s="460" t="str">
        <f t="shared" ca="1" si="678"/>
        <v/>
      </c>
      <c r="HA328" s="460" t="str">
        <f t="shared" ca="1" si="678"/>
        <v/>
      </c>
      <c r="HB328" s="460" t="str">
        <f t="shared" ca="1" si="678"/>
        <v/>
      </c>
      <c r="HC328" s="460" t="str">
        <f t="shared" ca="1" si="678"/>
        <v/>
      </c>
      <c r="HD328" s="460" t="str">
        <f t="shared" ca="1" si="678"/>
        <v/>
      </c>
      <c r="HE328" s="460" t="str">
        <f t="shared" ca="1" si="678"/>
        <v/>
      </c>
      <c r="HF328" s="460" t="str">
        <f t="shared" ca="1" si="678"/>
        <v/>
      </c>
      <c r="HG328" s="460" t="str">
        <f t="shared" ca="1" si="678"/>
        <v/>
      </c>
      <c r="HH328" s="460" t="str">
        <f t="shared" ca="1" si="678"/>
        <v/>
      </c>
      <c r="HI328" s="460" t="str">
        <f t="shared" ca="1" si="678"/>
        <v/>
      </c>
      <c r="HJ328" s="460" t="str">
        <f t="shared" ca="1" si="678"/>
        <v/>
      </c>
      <c r="HK328" s="460" t="str">
        <f t="shared" ca="1" si="678"/>
        <v/>
      </c>
      <c r="HL328" s="460" t="str">
        <f t="shared" ca="1" si="678"/>
        <v/>
      </c>
      <c r="HM328" s="460" t="str">
        <f t="shared" ca="1" si="678"/>
        <v/>
      </c>
      <c r="HN328" s="460" t="str">
        <f t="shared" ca="1" si="678"/>
        <v/>
      </c>
      <c r="HO328" s="460" t="str">
        <f t="shared" ca="1" si="678"/>
        <v/>
      </c>
      <c r="HP328" s="460" t="str">
        <f t="shared" ca="1" si="678"/>
        <v/>
      </c>
      <c r="HQ328" s="460" t="str">
        <f t="shared" ca="1" si="678"/>
        <v/>
      </c>
      <c r="HR328" s="460" t="str">
        <f t="shared" ca="1" si="678"/>
        <v/>
      </c>
      <c r="HS328" s="460" t="str">
        <f t="shared" ca="1" si="678"/>
        <v/>
      </c>
      <c r="HT328" s="460" t="str">
        <f t="shared" ca="1" si="678"/>
        <v/>
      </c>
      <c r="HU328" s="460" t="str">
        <f t="shared" ca="1" si="678"/>
        <v/>
      </c>
      <c r="HV328" s="460" t="str">
        <f t="shared" ca="1" si="678"/>
        <v/>
      </c>
      <c r="HW328" s="460" t="str">
        <f t="shared" ca="1" si="676"/>
        <v/>
      </c>
      <c r="HX328" s="460" t="str">
        <f t="shared" ca="1" si="674"/>
        <v/>
      </c>
      <c r="HY328" s="460" t="str">
        <f t="shared" ca="1" si="674"/>
        <v/>
      </c>
      <c r="HZ328" s="460" t="str">
        <f t="shared" ca="1" si="674"/>
        <v/>
      </c>
      <c r="IA328" s="460" t="str">
        <f t="shared" ca="1" si="674"/>
        <v/>
      </c>
      <c r="IB328" s="460" t="str">
        <f t="shared" ca="1" si="674"/>
        <v/>
      </c>
      <c r="IC328" s="460" t="str">
        <f t="shared" ca="1" si="674"/>
        <v/>
      </c>
      <c r="ID328" s="674" t="str">
        <f t="shared" ca="1" si="674"/>
        <v/>
      </c>
      <c r="IE328" s="250"/>
    </row>
    <row r="329" spans="9:239">
      <c r="I329" s="137"/>
      <c r="J329" s="375"/>
      <c r="K329" s="1"/>
      <c r="L329" s="1"/>
      <c r="M329" s="376"/>
      <c r="P329" s="375"/>
      <c r="S329" s="55"/>
      <c r="T329" s="375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74"/>
      <c r="AO329" s="374"/>
      <c r="AP329" s="106"/>
      <c r="AQ329" s="374"/>
      <c r="AR329" s="106"/>
      <c r="AS329" s="106"/>
      <c r="AT329" s="106"/>
      <c r="AU329" s="31"/>
      <c r="AV329" s="31"/>
      <c r="AW329" s="31"/>
      <c r="AX329" s="31"/>
      <c r="AY329" s="154"/>
      <c r="AZ329" s="154"/>
      <c r="BA329" s="106"/>
      <c r="BB329" s="106"/>
      <c r="BC329" s="106"/>
      <c r="BD329" s="106"/>
      <c r="BE329" s="107"/>
      <c r="BF329" s="107"/>
      <c r="BG329" s="107"/>
      <c r="BH329" s="105"/>
      <c r="BI329" s="107"/>
      <c r="BJ329" s="106"/>
      <c r="BK329" s="108"/>
      <c r="BL329" s="159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7"/>
      <c r="CC329" s="107"/>
      <c r="CD329" s="107"/>
      <c r="CE329" s="107"/>
      <c r="CF329" s="107"/>
      <c r="CG329" s="107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10"/>
      <c r="DH329" s="475"/>
      <c r="DI329" s="1"/>
      <c r="DJ329" s="53"/>
      <c r="DK329" s="475"/>
      <c r="DL329" s="54"/>
      <c r="DM329" s="54"/>
      <c r="DN329" s="54"/>
      <c r="DO329" s="54"/>
      <c r="DP329" s="54"/>
      <c r="DQ329" s="54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L329" s="55"/>
      <c r="EM329" s="1"/>
      <c r="EN329" s="106"/>
      <c r="EO329" s="106"/>
      <c r="EP329" s="1"/>
      <c r="EQ329" s="106"/>
      <c r="ER329" s="1"/>
      <c r="ES329" s="1"/>
      <c r="ET329" s="1"/>
      <c r="EU329" s="107"/>
      <c r="FJ329" s="673">
        <v>5</v>
      </c>
      <c r="FK329" s="460">
        <f t="shared" ref="FK329:HV329" ca="1" si="679">IF(AND(ISNUMBER(FK24),ISNUMBER(FK$320),FK$320&lt;&gt;0),FK24*FK$320/FK$15,"")</f>
        <v>0</v>
      </c>
      <c r="FL329" s="460">
        <f t="shared" ca="1" si="679"/>
        <v>6.0024015326818865E-3</v>
      </c>
      <c r="FM329" s="460">
        <f t="shared" ca="1" si="679"/>
        <v>8.3474087408949398E-3</v>
      </c>
      <c r="FN329" s="460">
        <f t="shared" ca="1" si="679"/>
        <v>8.6961161814315038E-3</v>
      </c>
      <c r="FO329" s="460">
        <f t="shared" ca="1" si="679"/>
        <v>1.1666099845995892E-2</v>
      </c>
      <c r="FP329" s="460" t="str">
        <f t="shared" ca="1" si="679"/>
        <v/>
      </c>
      <c r="FQ329" s="460" t="str">
        <f t="shared" ca="1" si="679"/>
        <v/>
      </c>
      <c r="FR329" s="460" t="str">
        <f t="shared" ca="1" si="679"/>
        <v/>
      </c>
      <c r="FS329" s="460" t="str">
        <f t="shared" ca="1" si="679"/>
        <v/>
      </c>
      <c r="FT329" s="460" t="str">
        <f t="shared" ca="1" si="679"/>
        <v/>
      </c>
      <c r="FU329" s="460" t="str">
        <f t="shared" ca="1" si="679"/>
        <v/>
      </c>
      <c r="FV329" s="460" t="str">
        <f t="shared" ca="1" si="679"/>
        <v/>
      </c>
      <c r="FW329" s="460" t="str">
        <f t="shared" ca="1" si="679"/>
        <v/>
      </c>
      <c r="FX329" s="460" t="str">
        <f t="shared" ca="1" si="679"/>
        <v/>
      </c>
      <c r="FY329" s="460" t="str">
        <f t="shared" ca="1" si="679"/>
        <v/>
      </c>
      <c r="FZ329" s="460" t="str">
        <f t="shared" ca="1" si="679"/>
        <v/>
      </c>
      <c r="GA329" s="460" t="str">
        <f t="shared" ca="1" si="679"/>
        <v/>
      </c>
      <c r="GB329" s="460" t="str">
        <f t="shared" ca="1" si="679"/>
        <v/>
      </c>
      <c r="GC329" s="460" t="str">
        <f t="shared" ca="1" si="679"/>
        <v/>
      </c>
      <c r="GD329" s="460" t="str">
        <f t="shared" ca="1" si="679"/>
        <v/>
      </c>
      <c r="GE329" s="460" t="str">
        <f t="shared" ca="1" si="679"/>
        <v/>
      </c>
      <c r="GF329" s="460" t="str">
        <f t="shared" ca="1" si="679"/>
        <v/>
      </c>
      <c r="GG329" s="460" t="str">
        <f t="shared" ca="1" si="679"/>
        <v/>
      </c>
      <c r="GH329" s="460" t="str">
        <f t="shared" ca="1" si="679"/>
        <v/>
      </c>
      <c r="GI329" s="460" t="str">
        <f t="shared" ca="1" si="679"/>
        <v/>
      </c>
      <c r="GJ329" s="460" t="str">
        <f t="shared" ca="1" si="679"/>
        <v/>
      </c>
      <c r="GK329" s="460" t="str">
        <f t="shared" ca="1" si="679"/>
        <v/>
      </c>
      <c r="GL329" s="460" t="str">
        <f t="shared" ca="1" si="679"/>
        <v/>
      </c>
      <c r="GM329" s="460" t="str">
        <f t="shared" ca="1" si="679"/>
        <v/>
      </c>
      <c r="GN329" s="460" t="str">
        <f t="shared" ca="1" si="679"/>
        <v/>
      </c>
      <c r="GO329" s="460" t="str">
        <f t="shared" ca="1" si="679"/>
        <v/>
      </c>
      <c r="GP329" s="460" t="str">
        <f t="shared" ca="1" si="679"/>
        <v/>
      </c>
      <c r="GQ329" s="460" t="str">
        <f t="shared" ca="1" si="679"/>
        <v/>
      </c>
      <c r="GR329" s="460" t="str">
        <f t="shared" ca="1" si="679"/>
        <v/>
      </c>
      <c r="GS329" s="460" t="str">
        <f t="shared" ca="1" si="679"/>
        <v/>
      </c>
      <c r="GT329" s="460" t="str">
        <f t="shared" ca="1" si="679"/>
        <v/>
      </c>
      <c r="GU329" s="460" t="str">
        <f t="shared" ca="1" si="679"/>
        <v/>
      </c>
      <c r="GV329" s="460" t="str">
        <f t="shared" ca="1" si="679"/>
        <v/>
      </c>
      <c r="GW329" s="460" t="str">
        <f t="shared" ca="1" si="679"/>
        <v/>
      </c>
      <c r="GX329" s="460" t="str">
        <f t="shared" ca="1" si="679"/>
        <v/>
      </c>
      <c r="GY329" s="460" t="str">
        <f t="shared" ca="1" si="679"/>
        <v/>
      </c>
      <c r="GZ329" s="460" t="str">
        <f t="shared" ca="1" si="679"/>
        <v/>
      </c>
      <c r="HA329" s="460" t="str">
        <f t="shared" ca="1" si="679"/>
        <v/>
      </c>
      <c r="HB329" s="460" t="str">
        <f t="shared" ca="1" si="679"/>
        <v/>
      </c>
      <c r="HC329" s="460" t="str">
        <f t="shared" ca="1" si="679"/>
        <v/>
      </c>
      <c r="HD329" s="460" t="str">
        <f t="shared" ca="1" si="679"/>
        <v/>
      </c>
      <c r="HE329" s="460" t="str">
        <f t="shared" ca="1" si="679"/>
        <v/>
      </c>
      <c r="HF329" s="460" t="str">
        <f t="shared" ca="1" si="679"/>
        <v/>
      </c>
      <c r="HG329" s="460" t="str">
        <f t="shared" ca="1" si="679"/>
        <v/>
      </c>
      <c r="HH329" s="460" t="str">
        <f t="shared" ca="1" si="679"/>
        <v/>
      </c>
      <c r="HI329" s="460" t="str">
        <f t="shared" ca="1" si="679"/>
        <v/>
      </c>
      <c r="HJ329" s="460" t="str">
        <f t="shared" ca="1" si="679"/>
        <v/>
      </c>
      <c r="HK329" s="460" t="str">
        <f t="shared" ca="1" si="679"/>
        <v/>
      </c>
      <c r="HL329" s="460" t="str">
        <f t="shared" ca="1" si="679"/>
        <v/>
      </c>
      <c r="HM329" s="460" t="str">
        <f t="shared" ca="1" si="679"/>
        <v/>
      </c>
      <c r="HN329" s="460" t="str">
        <f t="shared" ca="1" si="679"/>
        <v/>
      </c>
      <c r="HO329" s="460" t="str">
        <f t="shared" ca="1" si="679"/>
        <v/>
      </c>
      <c r="HP329" s="460" t="str">
        <f t="shared" ca="1" si="679"/>
        <v/>
      </c>
      <c r="HQ329" s="460" t="str">
        <f t="shared" ca="1" si="679"/>
        <v/>
      </c>
      <c r="HR329" s="460" t="str">
        <f t="shared" ca="1" si="679"/>
        <v/>
      </c>
      <c r="HS329" s="460" t="str">
        <f t="shared" ca="1" si="679"/>
        <v/>
      </c>
      <c r="HT329" s="460" t="str">
        <f t="shared" ca="1" si="679"/>
        <v/>
      </c>
      <c r="HU329" s="460" t="str">
        <f t="shared" ca="1" si="679"/>
        <v/>
      </c>
      <c r="HV329" s="460" t="str">
        <f t="shared" ca="1" si="679"/>
        <v/>
      </c>
      <c r="HW329" s="460" t="str">
        <f t="shared" ca="1" si="676"/>
        <v/>
      </c>
      <c r="HX329" s="460" t="str">
        <f t="shared" ca="1" si="674"/>
        <v/>
      </c>
      <c r="HY329" s="460" t="str">
        <f t="shared" ca="1" si="674"/>
        <v/>
      </c>
      <c r="HZ329" s="460" t="str">
        <f t="shared" ca="1" si="674"/>
        <v/>
      </c>
      <c r="IA329" s="460" t="str">
        <f t="shared" ca="1" si="674"/>
        <v/>
      </c>
      <c r="IB329" s="460" t="str">
        <f t="shared" ca="1" si="674"/>
        <v/>
      </c>
      <c r="IC329" s="460" t="str">
        <f t="shared" ca="1" si="674"/>
        <v/>
      </c>
      <c r="ID329" s="674" t="str">
        <f t="shared" ca="1" si="674"/>
        <v/>
      </c>
      <c r="IE329" s="250"/>
    </row>
    <row r="330" spans="9:239">
      <c r="I330" s="137"/>
      <c r="J330" s="375"/>
      <c r="K330" s="1"/>
      <c r="L330" s="1"/>
      <c r="M330" s="376"/>
      <c r="P330" s="375"/>
      <c r="S330" s="55"/>
      <c r="T330" s="375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74"/>
      <c r="AO330" s="374"/>
      <c r="AP330" s="106"/>
      <c r="AQ330" s="374"/>
      <c r="AR330" s="106"/>
      <c r="AS330" s="106"/>
      <c r="AT330" s="106"/>
      <c r="AU330" s="31"/>
      <c r="AV330" s="31"/>
      <c r="AW330" s="31"/>
      <c r="AX330" s="31"/>
      <c r="AY330" s="154"/>
      <c r="AZ330" s="154"/>
      <c r="BA330" s="106"/>
      <c r="BB330" s="106"/>
      <c r="BC330" s="106"/>
      <c r="BD330" s="106"/>
      <c r="BE330" s="107"/>
      <c r="BF330" s="107"/>
      <c r="BG330" s="107"/>
      <c r="BH330" s="105"/>
      <c r="BI330" s="107"/>
      <c r="BJ330" s="106"/>
      <c r="BK330" s="108"/>
      <c r="BL330" s="159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7"/>
      <c r="CC330" s="107"/>
      <c r="CD330" s="107"/>
      <c r="CE330" s="107"/>
      <c r="CF330" s="107"/>
      <c r="CG330" s="107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10"/>
      <c r="DH330" s="475"/>
      <c r="DI330" s="1"/>
      <c r="DJ330" s="53"/>
      <c r="DK330" s="475"/>
      <c r="DL330" s="54"/>
      <c r="DM330" s="54"/>
      <c r="DN330" s="54"/>
      <c r="DO330" s="54"/>
      <c r="DP330" s="54"/>
      <c r="DQ330" s="54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L330" s="55"/>
      <c r="EM330" s="1"/>
      <c r="EN330" s="106"/>
      <c r="EO330" s="106"/>
      <c r="EP330" s="1"/>
      <c r="EQ330" s="106"/>
      <c r="ER330" s="1"/>
      <c r="ES330" s="1"/>
      <c r="ET330" s="1"/>
      <c r="EU330" s="107"/>
      <c r="FJ330" s="673">
        <v>6</v>
      </c>
      <c r="FK330" s="460">
        <f t="shared" ref="FK330:HV330" ca="1" si="680">IF(AND(ISNUMBER(FK25),ISNUMBER(FK$320),FK$320&lt;&gt;0),FK25*FK$320/FK$15,"")</f>
        <v>0</v>
      </c>
      <c r="FL330" s="460">
        <f t="shared" ca="1" si="680"/>
        <v>5.1595702221612387E-3</v>
      </c>
      <c r="FM330" s="460">
        <f t="shared" ca="1" si="680"/>
        <v>6.9765232447868194E-3</v>
      </c>
      <c r="FN330" s="460">
        <f t="shared" ca="1" si="680"/>
        <v>7.0257614157486197E-3</v>
      </c>
      <c r="FO330" s="460">
        <f t="shared" ca="1" si="680"/>
        <v>9.0452450425835725E-3</v>
      </c>
      <c r="FP330" s="460">
        <f t="shared" ca="1" si="680"/>
        <v>6.463615527143223E-3</v>
      </c>
      <c r="FQ330" s="460" t="str">
        <f t="shared" ca="1" si="680"/>
        <v/>
      </c>
      <c r="FR330" s="460" t="str">
        <f t="shared" ca="1" si="680"/>
        <v/>
      </c>
      <c r="FS330" s="460" t="str">
        <f t="shared" ca="1" si="680"/>
        <v/>
      </c>
      <c r="FT330" s="460" t="str">
        <f t="shared" ca="1" si="680"/>
        <v/>
      </c>
      <c r="FU330" s="460" t="str">
        <f t="shared" ca="1" si="680"/>
        <v/>
      </c>
      <c r="FV330" s="460" t="str">
        <f t="shared" ca="1" si="680"/>
        <v/>
      </c>
      <c r="FW330" s="460" t="str">
        <f t="shared" ca="1" si="680"/>
        <v/>
      </c>
      <c r="FX330" s="460" t="str">
        <f t="shared" ca="1" si="680"/>
        <v/>
      </c>
      <c r="FY330" s="460" t="str">
        <f t="shared" ca="1" si="680"/>
        <v/>
      </c>
      <c r="FZ330" s="460" t="str">
        <f t="shared" ca="1" si="680"/>
        <v/>
      </c>
      <c r="GA330" s="460" t="str">
        <f t="shared" ca="1" si="680"/>
        <v/>
      </c>
      <c r="GB330" s="460" t="str">
        <f t="shared" ca="1" si="680"/>
        <v/>
      </c>
      <c r="GC330" s="460" t="str">
        <f t="shared" ca="1" si="680"/>
        <v/>
      </c>
      <c r="GD330" s="460" t="str">
        <f t="shared" ca="1" si="680"/>
        <v/>
      </c>
      <c r="GE330" s="460" t="str">
        <f t="shared" ca="1" si="680"/>
        <v/>
      </c>
      <c r="GF330" s="460" t="str">
        <f t="shared" ca="1" si="680"/>
        <v/>
      </c>
      <c r="GG330" s="460" t="str">
        <f t="shared" ca="1" si="680"/>
        <v/>
      </c>
      <c r="GH330" s="460" t="str">
        <f t="shared" ca="1" si="680"/>
        <v/>
      </c>
      <c r="GI330" s="460" t="str">
        <f t="shared" ca="1" si="680"/>
        <v/>
      </c>
      <c r="GJ330" s="460" t="str">
        <f t="shared" ca="1" si="680"/>
        <v/>
      </c>
      <c r="GK330" s="460" t="str">
        <f t="shared" ca="1" si="680"/>
        <v/>
      </c>
      <c r="GL330" s="460" t="str">
        <f t="shared" ca="1" si="680"/>
        <v/>
      </c>
      <c r="GM330" s="460" t="str">
        <f t="shared" ca="1" si="680"/>
        <v/>
      </c>
      <c r="GN330" s="460" t="str">
        <f t="shared" ca="1" si="680"/>
        <v/>
      </c>
      <c r="GO330" s="460" t="str">
        <f t="shared" ca="1" si="680"/>
        <v/>
      </c>
      <c r="GP330" s="460" t="str">
        <f t="shared" ca="1" si="680"/>
        <v/>
      </c>
      <c r="GQ330" s="460" t="str">
        <f t="shared" ca="1" si="680"/>
        <v/>
      </c>
      <c r="GR330" s="460" t="str">
        <f t="shared" ca="1" si="680"/>
        <v/>
      </c>
      <c r="GS330" s="460" t="str">
        <f t="shared" ca="1" si="680"/>
        <v/>
      </c>
      <c r="GT330" s="460" t="str">
        <f t="shared" ca="1" si="680"/>
        <v/>
      </c>
      <c r="GU330" s="460" t="str">
        <f t="shared" ca="1" si="680"/>
        <v/>
      </c>
      <c r="GV330" s="460" t="str">
        <f t="shared" ca="1" si="680"/>
        <v/>
      </c>
      <c r="GW330" s="460" t="str">
        <f t="shared" ca="1" si="680"/>
        <v/>
      </c>
      <c r="GX330" s="460" t="str">
        <f t="shared" ca="1" si="680"/>
        <v/>
      </c>
      <c r="GY330" s="460" t="str">
        <f t="shared" ca="1" si="680"/>
        <v/>
      </c>
      <c r="GZ330" s="460" t="str">
        <f t="shared" ca="1" si="680"/>
        <v/>
      </c>
      <c r="HA330" s="460" t="str">
        <f t="shared" ca="1" si="680"/>
        <v/>
      </c>
      <c r="HB330" s="460" t="str">
        <f t="shared" ca="1" si="680"/>
        <v/>
      </c>
      <c r="HC330" s="460" t="str">
        <f t="shared" ca="1" si="680"/>
        <v/>
      </c>
      <c r="HD330" s="460" t="str">
        <f t="shared" ca="1" si="680"/>
        <v/>
      </c>
      <c r="HE330" s="460" t="str">
        <f t="shared" ca="1" si="680"/>
        <v/>
      </c>
      <c r="HF330" s="460" t="str">
        <f t="shared" ca="1" si="680"/>
        <v/>
      </c>
      <c r="HG330" s="460" t="str">
        <f t="shared" ca="1" si="680"/>
        <v/>
      </c>
      <c r="HH330" s="460" t="str">
        <f t="shared" ca="1" si="680"/>
        <v/>
      </c>
      <c r="HI330" s="460" t="str">
        <f t="shared" ca="1" si="680"/>
        <v/>
      </c>
      <c r="HJ330" s="460" t="str">
        <f t="shared" ca="1" si="680"/>
        <v/>
      </c>
      <c r="HK330" s="460" t="str">
        <f t="shared" ca="1" si="680"/>
        <v/>
      </c>
      <c r="HL330" s="460" t="str">
        <f t="shared" ca="1" si="680"/>
        <v/>
      </c>
      <c r="HM330" s="460" t="str">
        <f t="shared" ca="1" si="680"/>
        <v/>
      </c>
      <c r="HN330" s="460" t="str">
        <f t="shared" ca="1" si="680"/>
        <v/>
      </c>
      <c r="HO330" s="460" t="str">
        <f t="shared" ca="1" si="680"/>
        <v/>
      </c>
      <c r="HP330" s="460" t="str">
        <f t="shared" ca="1" si="680"/>
        <v/>
      </c>
      <c r="HQ330" s="460" t="str">
        <f t="shared" ca="1" si="680"/>
        <v/>
      </c>
      <c r="HR330" s="460" t="str">
        <f t="shared" ca="1" si="680"/>
        <v/>
      </c>
      <c r="HS330" s="460" t="str">
        <f t="shared" ca="1" si="680"/>
        <v/>
      </c>
      <c r="HT330" s="460" t="str">
        <f t="shared" ca="1" si="680"/>
        <v/>
      </c>
      <c r="HU330" s="460" t="str">
        <f t="shared" ca="1" si="680"/>
        <v/>
      </c>
      <c r="HV330" s="460" t="str">
        <f t="shared" ca="1" si="680"/>
        <v/>
      </c>
      <c r="HW330" s="460" t="str">
        <f t="shared" ca="1" si="676"/>
        <v/>
      </c>
      <c r="HX330" s="460" t="str">
        <f t="shared" ca="1" si="674"/>
        <v/>
      </c>
      <c r="HY330" s="460" t="str">
        <f t="shared" ca="1" si="674"/>
        <v/>
      </c>
      <c r="HZ330" s="460" t="str">
        <f t="shared" ca="1" si="674"/>
        <v/>
      </c>
      <c r="IA330" s="460" t="str">
        <f t="shared" ca="1" si="674"/>
        <v/>
      </c>
      <c r="IB330" s="460" t="str">
        <f t="shared" ca="1" si="674"/>
        <v/>
      </c>
      <c r="IC330" s="460" t="str">
        <f t="shared" ca="1" si="674"/>
        <v/>
      </c>
      <c r="ID330" s="674" t="str">
        <f t="shared" ca="1" si="674"/>
        <v/>
      </c>
      <c r="IE330" s="250"/>
    </row>
    <row r="331" spans="9:239">
      <c r="I331" s="137"/>
      <c r="J331" s="375"/>
      <c r="K331" s="1"/>
      <c r="L331" s="1"/>
      <c r="M331" s="376"/>
      <c r="P331" s="375"/>
      <c r="S331" s="55"/>
      <c r="T331" s="375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74"/>
      <c r="AO331" s="374"/>
      <c r="AP331" s="106"/>
      <c r="AQ331" s="374"/>
      <c r="AR331" s="106"/>
      <c r="AS331" s="106"/>
      <c r="AT331" s="106"/>
      <c r="AU331" s="31"/>
      <c r="AV331" s="31"/>
      <c r="AW331" s="31"/>
      <c r="AX331" s="31"/>
      <c r="AY331" s="154"/>
      <c r="AZ331" s="154"/>
      <c r="BA331" s="106"/>
      <c r="BB331" s="106"/>
      <c r="BC331" s="106"/>
      <c r="BD331" s="106"/>
      <c r="BE331" s="107"/>
      <c r="BF331" s="107"/>
      <c r="BG331" s="107"/>
      <c r="BH331" s="105"/>
      <c r="BI331" s="107"/>
      <c r="BJ331" s="106"/>
      <c r="BK331" s="108"/>
      <c r="BL331" s="159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7"/>
      <c r="CC331" s="107"/>
      <c r="CD331" s="107"/>
      <c r="CE331" s="107"/>
      <c r="CF331" s="107"/>
      <c r="CG331" s="107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10"/>
      <c r="DH331" s="475"/>
      <c r="DI331" s="1"/>
      <c r="DJ331" s="53"/>
      <c r="DK331" s="475"/>
      <c r="DL331" s="54"/>
      <c r="DM331" s="54"/>
      <c r="DN331" s="54"/>
      <c r="DO331" s="54"/>
      <c r="DP331" s="54"/>
      <c r="DQ331" s="54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L331" s="55"/>
      <c r="EM331" s="1"/>
      <c r="EN331" s="106"/>
      <c r="EO331" s="106"/>
      <c r="EP331" s="1"/>
      <c r="EQ331" s="106"/>
      <c r="ER331" s="1"/>
      <c r="ES331" s="1"/>
      <c r="ET331" s="1"/>
      <c r="EU331" s="107"/>
      <c r="FJ331" s="673">
        <v>7</v>
      </c>
      <c r="FK331" s="460">
        <f t="shared" ref="FK331:HV331" ca="1" si="681">IF(AND(ISNUMBER(FK26),ISNUMBER(FK$320),FK$320&lt;&gt;0),FK26*FK$320/FK$15,"")</f>
        <v>0</v>
      </c>
      <c r="FL331" s="460">
        <f t="shared" ca="1" si="681"/>
        <v>4.5401359092993943E-3</v>
      </c>
      <c r="FM331" s="460">
        <f t="shared" ca="1" si="681"/>
        <v>5.996909968789565E-3</v>
      </c>
      <c r="FN331" s="460">
        <f t="shared" ca="1" si="681"/>
        <v>5.8719285649886099E-3</v>
      </c>
      <c r="FO331" s="460">
        <f t="shared" ca="1" si="681"/>
        <v>7.3078294137641072E-3</v>
      </c>
      <c r="FP331" s="460">
        <f t="shared" ca="1" si="681"/>
        <v>5.0115280235772316E-3</v>
      </c>
      <c r="FQ331" s="460" t="str">
        <f t="shared" ca="1" si="681"/>
        <v/>
      </c>
      <c r="FR331" s="460" t="str">
        <f t="shared" ca="1" si="681"/>
        <v/>
      </c>
      <c r="FS331" s="460" t="str">
        <f t="shared" ca="1" si="681"/>
        <v/>
      </c>
      <c r="FT331" s="460" t="str">
        <f t="shared" ca="1" si="681"/>
        <v/>
      </c>
      <c r="FU331" s="460" t="str">
        <f t="shared" ca="1" si="681"/>
        <v/>
      </c>
      <c r="FV331" s="460" t="str">
        <f t="shared" ca="1" si="681"/>
        <v/>
      </c>
      <c r="FW331" s="460" t="str">
        <f t="shared" ca="1" si="681"/>
        <v/>
      </c>
      <c r="FX331" s="460" t="str">
        <f t="shared" ca="1" si="681"/>
        <v/>
      </c>
      <c r="FY331" s="460" t="str">
        <f t="shared" ca="1" si="681"/>
        <v/>
      </c>
      <c r="FZ331" s="460" t="str">
        <f t="shared" ca="1" si="681"/>
        <v/>
      </c>
      <c r="GA331" s="460" t="str">
        <f t="shared" ca="1" si="681"/>
        <v/>
      </c>
      <c r="GB331" s="460" t="str">
        <f t="shared" ca="1" si="681"/>
        <v/>
      </c>
      <c r="GC331" s="460" t="str">
        <f t="shared" ca="1" si="681"/>
        <v/>
      </c>
      <c r="GD331" s="460" t="str">
        <f t="shared" ca="1" si="681"/>
        <v/>
      </c>
      <c r="GE331" s="460" t="str">
        <f t="shared" ca="1" si="681"/>
        <v/>
      </c>
      <c r="GF331" s="460" t="str">
        <f t="shared" ca="1" si="681"/>
        <v/>
      </c>
      <c r="GG331" s="460" t="str">
        <f t="shared" ca="1" si="681"/>
        <v/>
      </c>
      <c r="GH331" s="460" t="str">
        <f t="shared" ca="1" si="681"/>
        <v/>
      </c>
      <c r="GI331" s="460" t="str">
        <f t="shared" ca="1" si="681"/>
        <v/>
      </c>
      <c r="GJ331" s="460" t="str">
        <f t="shared" ca="1" si="681"/>
        <v/>
      </c>
      <c r="GK331" s="460" t="str">
        <f t="shared" ca="1" si="681"/>
        <v/>
      </c>
      <c r="GL331" s="460" t="str">
        <f t="shared" ca="1" si="681"/>
        <v/>
      </c>
      <c r="GM331" s="460" t="str">
        <f t="shared" ca="1" si="681"/>
        <v/>
      </c>
      <c r="GN331" s="460" t="str">
        <f t="shared" ca="1" si="681"/>
        <v/>
      </c>
      <c r="GO331" s="460" t="str">
        <f t="shared" ca="1" si="681"/>
        <v/>
      </c>
      <c r="GP331" s="460" t="str">
        <f t="shared" ca="1" si="681"/>
        <v/>
      </c>
      <c r="GQ331" s="460" t="str">
        <f t="shared" ca="1" si="681"/>
        <v/>
      </c>
      <c r="GR331" s="460" t="str">
        <f t="shared" ca="1" si="681"/>
        <v/>
      </c>
      <c r="GS331" s="460" t="str">
        <f t="shared" ca="1" si="681"/>
        <v/>
      </c>
      <c r="GT331" s="460" t="str">
        <f t="shared" ca="1" si="681"/>
        <v/>
      </c>
      <c r="GU331" s="460" t="str">
        <f t="shared" ca="1" si="681"/>
        <v/>
      </c>
      <c r="GV331" s="460" t="str">
        <f t="shared" ca="1" si="681"/>
        <v/>
      </c>
      <c r="GW331" s="460" t="str">
        <f t="shared" ca="1" si="681"/>
        <v/>
      </c>
      <c r="GX331" s="460" t="str">
        <f t="shared" ca="1" si="681"/>
        <v/>
      </c>
      <c r="GY331" s="460" t="str">
        <f t="shared" ca="1" si="681"/>
        <v/>
      </c>
      <c r="GZ331" s="460" t="str">
        <f t="shared" ca="1" si="681"/>
        <v/>
      </c>
      <c r="HA331" s="460" t="str">
        <f t="shared" ca="1" si="681"/>
        <v/>
      </c>
      <c r="HB331" s="460" t="str">
        <f t="shared" ca="1" si="681"/>
        <v/>
      </c>
      <c r="HC331" s="460" t="str">
        <f t="shared" ca="1" si="681"/>
        <v/>
      </c>
      <c r="HD331" s="460" t="str">
        <f t="shared" ca="1" si="681"/>
        <v/>
      </c>
      <c r="HE331" s="460" t="str">
        <f t="shared" ca="1" si="681"/>
        <v/>
      </c>
      <c r="HF331" s="460" t="str">
        <f t="shared" ca="1" si="681"/>
        <v/>
      </c>
      <c r="HG331" s="460" t="str">
        <f t="shared" ca="1" si="681"/>
        <v/>
      </c>
      <c r="HH331" s="460" t="str">
        <f t="shared" ca="1" si="681"/>
        <v/>
      </c>
      <c r="HI331" s="460" t="str">
        <f t="shared" ca="1" si="681"/>
        <v/>
      </c>
      <c r="HJ331" s="460" t="str">
        <f t="shared" ca="1" si="681"/>
        <v/>
      </c>
      <c r="HK331" s="460" t="str">
        <f t="shared" ca="1" si="681"/>
        <v/>
      </c>
      <c r="HL331" s="460" t="str">
        <f t="shared" ca="1" si="681"/>
        <v/>
      </c>
      <c r="HM331" s="460" t="str">
        <f t="shared" ca="1" si="681"/>
        <v/>
      </c>
      <c r="HN331" s="460" t="str">
        <f t="shared" ca="1" si="681"/>
        <v/>
      </c>
      <c r="HO331" s="460" t="str">
        <f t="shared" ca="1" si="681"/>
        <v/>
      </c>
      <c r="HP331" s="460" t="str">
        <f t="shared" ca="1" si="681"/>
        <v/>
      </c>
      <c r="HQ331" s="460" t="str">
        <f t="shared" ca="1" si="681"/>
        <v/>
      </c>
      <c r="HR331" s="460" t="str">
        <f t="shared" ca="1" si="681"/>
        <v/>
      </c>
      <c r="HS331" s="460" t="str">
        <f t="shared" ca="1" si="681"/>
        <v/>
      </c>
      <c r="HT331" s="460" t="str">
        <f t="shared" ca="1" si="681"/>
        <v/>
      </c>
      <c r="HU331" s="460" t="str">
        <f t="shared" ca="1" si="681"/>
        <v/>
      </c>
      <c r="HV331" s="460" t="str">
        <f t="shared" ca="1" si="681"/>
        <v/>
      </c>
      <c r="HW331" s="460" t="str">
        <f t="shared" ca="1" si="676"/>
        <v/>
      </c>
      <c r="HX331" s="460" t="str">
        <f t="shared" ca="1" si="674"/>
        <v/>
      </c>
      <c r="HY331" s="460" t="str">
        <f t="shared" ca="1" si="674"/>
        <v/>
      </c>
      <c r="HZ331" s="460" t="str">
        <f t="shared" ca="1" si="674"/>
        <v/>
      </c>
      <c r="IA331" s="460" t="str">
        <f t="shared" ca="1" si="674"/>
        <v/>
      </c>
      <c r="IB331" s="460" t="str">
        <f t="shared" ca="1" si="674"/>
        <v/>
      </c>
      <c r="IC331" s="460" t="str">
        <f t="shared" ca="1" si="674"/>
        <v/>
      </c>
      <c r="ID331" s="674" t="str">
        <f t="shared" ca="1" si="674"/>
        <v/>
      </c>
      <c r="IE331" s="250"/>
    </row>
    <row r="332" spans="9:239">
      <c r="I332" s="137"/>
      <c r="J332" s="375"/>
      <c r="K332" s="1"/>
      <c r="L332" s="1"/>
      <c r="M332" s="376"/>
      <c r="P332" s="375"/>
      <c r="S332" s="55"/>
      <c r="T332" s="375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74"/>
      <c r="AO332" s="374"/>
      <c r="AP332" s="106"/>
      <c r="AQ332" s="374"/>
      <c r="AR332" s="106"/>
      <c r="AS332" s="106"/>
      <c r="AT332" s="106"/>
      <c r="AU332" s="31"/>
      <c r="AV332" s="31"/>
      <c r="AW332" s="31"/>
      <c r="AX332" s="31"/>
      <c r="AY332" s="154"/>
      <c r="AZ332" s="154"/>
      <c r="BA332" s="106"/>
      <c r="BB332" s="106"/>
      <c r="BC332" s="106"/>
      <c r="BD332" s="106"/>
      <c r="BE332" s="107"/>
      <c r="BF332" s="107"/>
      <c r="BG332" s="107"/>
      <c r="BH332" s="105"/>
      <c r="BI332" s="107"/>
      <c r="BJ332" s="106"/>
      <c r="BK332" s="108"/>
      <c r="BL332" s="159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7"/>
      <c r="CC332" s="107"/>
      <c r="CD332" s="107"/>
      <c r="CE332" s="107"/>
      <c r="CF332" s="107"/>
      <c r="CG332" s="107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10"/>
      <c r="DH332" s="475"/>
      <c r="DI332" s="1"/>
      <c r="DJ332" s="53"/>
      <c r="DK332" s="475"/>
      <c r="DL332" s="54"/>
      <c r="DM332" s="54"/>
      <c r="DN332" s="54"/>
      <c r="DO332" s="54"/>
      <c r="DP332" s="54"/>
      <c r="DQ332" s="54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L332" s="55"/>
      <c r="EM332" s="1"/>
      <c r="EN332" s="106"/>
      <c r="EO332" s="106"/>
      <c r="EP332" s="1"/>
      <c r="EQ332" s="106"/>
      <c r="ER332" s="1"/>
      <c r="ES332" s="1"/>
      <c r="ET332" s="1"/>
      <c r="EU332" s="107"/>
      <c r="FJ332" s="673">
        <v>8</v>
      </c>
      <c r="FK332" s="460">
        <f t="shared" ref="FK332:HV332" ca="1" si="682">IF(AND(ISNUMBER(FK27),ISNUMBER(FK$320),FK$320&lt;&gt;0),FK27*FK$320/FK$15,"")</f>
        <v>0</v>
      </c>
      <c r="FL332" s="460">
        <f t="shared" ca="1" si="682"/>
        <v>4.074102877770271E-3</v>
      </c>
      <c r="FM332" s="460">
        <f t="shared" ca="1" si="682"/>
        <v>5.2769484902431022E-3</v>
      </c>
      <c r="FN332" s="460">
        <f t="shared" ca="1" si="682"/>
        <v>5.0474177053324524E-3</v>
      </c>
      <c r="FO332" s="460">
        <f t="shared" ca="1" si="682"/>
        <v>6.107672854725469E-3</v>
      </c>
      <c r="FP332" s="460">
        <f t="shared" ca="1" si="682"/>
        <v>4.0489109721388089E-3</v>
      </c>
      <c r="FQ332" s="460" t="str">
        <f t="shared" ca="1" si="682"/>
        <v/>
      </c>
      <c r="FR332" s="460" t="str">
        <f t="shared" ca="1" si="682"/>
        <v/>
      </c>
      <c r="FS332" s="460" t="str">
        <f t="shared" ca="1" si="682"/>
        <v/>
      </c>
      <c r="FT332" s="460" t="str">
        <f t="shared" ca="1" si="682"/>
        <v/>
      </c>
      <c r="FU332" s="460" t="str">
        <f t="shared" ca="1" si="682"/>
        <v/>
      </c>
      <c r="FV332" s="460" t="str">
        <f t="shared" ca="1" si="682"/>
        <v/>
      </c>
      <c r="FW332" s="460" t="str">
        <f t="shared" ca="1" si="682"/>
        <v/>
      </c>
      <c r="FX332" s="460" t="str">
        <f t="shared" ca="1" si="682"/>
        <v/>
      </c>
      <c r="FY332" s="460" t="str">
        <f t="shared" ca="1" si="682"/>
        <v/>
      </c>
      <c r="FZ332" s="460" t="str">
        <f t="shared" ca="1" si="682"/>
        <v/>
      </c>
      <c r="GA332" s="460" t="str">
        <f t="shared" ca="1" si="682"/>
        <v/>
      </c>
      <c r="GB332" s="460" t="str">
        <f t="shared" ca="1" si="682"/>
        <v/>
      </c>
      <c r="GC332" s="460" t="str">
        <f t="shared" ca="1" si="682"/>
        <v/>
      </c>
      <c r="GD332" s="460" t="str">
        <f t="shared" ca="1" si="682"/>
        <v/>
      </c>
      <c r="GE332" s="460" t="str">
        <f t="shared" ca="1" si="682"/>
        <v/>
      </c>
      <c r="GF332" s="460" t="str">
        <f t="shared" ca="1" si="682"/>
        <v/>
      </c>
      <c r="GG332" s="460" t="str">
        <f t="shared" ca="1" si="682"/>
        <v/>
      </c>
      <c r="GH332" s="460" t="str">
        <f t="shared" ca="1" si="682"/>
        <v/>
      </c>
      <c r="GI332" s="460" t="str">
        <f t="shared" ca="1" si="682"/>
        <v/>
      </c>
      <c r="GJ332" s="460" t="str">
        <f t="shared" ca="1" si="682"/>
        <v/>
      </c>
      <c r="GK332" s="460" t="str">
        <f t="shared" ca="1" si="682"/>
        <v/>
      </c>
      <c r="GL332" s="460" t="str">
        <f t="shared" ca="1" si="682"/>
        <v/>
      </c>
      <c r="GM332" s="460" t="str">
        <f t="shared" ca="1" si="682"/>
        <v/>
      </c>
      <c r="GN332" s="460" t="str">
        <f t="shared" ca="1" si="682"/>
        <v/>
      </c>
      <c r="GO332" s="460" t="str">
        <f t="shared" ca="1" si="682"/>
        <v/>
      </c>
      <c r="GP332" s="460" t="str">
        <f t="shared" ca="1" si="682"/>
        <v/>
      </c>
      <c r="GQ332" s="460" t="str">
        <f t="shared" ca="1" si="682"/>
        <v/>
      </c>
      <c r="GR332" s="460" t="str">
        <f t="shared" ca="1" si="682"/>
        <v/>
      </c>
      <c r="GS332" s="460" t="str">
        <f t="shared" ca="1" si="682"/>
        <v/>
      </c>
      <c r="GT332" s="460" t="str">
        <f t="shared" ca="1" si="682"/>
        <v/>
      </c>
      <c r="GU332" s="460" t="str">
        <f t="shared" ca="1" si="682"/>
        <v/>
      </c>
      <c r="GV332" s="460" t="str">
        <f t="shared" ca="1" si="682"/>
        <v/>
      </c>
      <c r="GW332" s="460" t="str">
        <f t="shared" ca="1" si="682"/>
        <v/>
      </c>
      <c r="GX332" s="460" t="str">
        <f t="shared" ca="1" si="682"/>
        <v/>
      </c>
      <c r="GY332" s="460" t="str">
        <f t="shared" ca="1" si="682"/>
        <v/>
      </c>
      <c r="GZ332" s="460" t="str">
        <f t="shared" ca="1" si="682"/>
        <v/>
      </c>
      <c r="HA332" s="460" t="str">
        <f t="shared" ca="1" si="682"/>
        <v/>
      </c>
      <c r="HB332" s="460" t="str">
        <f t="shared" ca="1" si="682"/>
        <v/>
      </c>
      <c r="HC332" s="460" t="str">
        <f t="shared" ca="1" si="682"/>
        <v/>
      </c>
      <c r="HD332" s="460" t="str">
        <f t="shared" ca="1" si="682"/>
        <v/>
      </c>
      <c r="HE332" s="460" t="str">
        <f t="shared" ca="1" si="682"/>
        <v/>
      </c>
      <c r="HF332" s="460" t="str">
        <f t="shared" ca="1" si="682"/>
        <v/>
      </c>
      <c r="HG332" s="460" t="str">
        <f t="shared" ca="1" si="682"/>
        <v/>
      </c>
      <c r="HH332" s="460" t="str">
        <f t="shared" ca="1" si="682"/>
        <v/>
      </c>
      <c r="HI332" s="460" t="str">
        <f t="shared" ca="1" si="682"/>
        <v/>
      </c>
      <c r="HJ332" s="460" t="str">
        <f t="shared" ca="1" si="682"/>
        <v/>
      </c>
      <c r="HK332" s="460" t="str">
        <f t="shared" ca="1" si="682"/>
        <v/>
      </c>
      <c r="HL332" s="460" t="str">
        <f t="shared" ca="1" si="682"/>
        <v/>
      </c>
      <c r="HM332" s="460" t="str">
        <f t="shared" ca="1" si="682"/>
        <v/>
      </c>
      <c r="HN332" s="460" t="str">
        <f t="shared" ca="1" si="682"/>
        <v/>
      </c>
      <c r="HO332" s="460" t="str">
        <f t="shared" ca="1" si="682"/>
        <v/>
      </c>
      <c r="HP332" s="460" t="str">
        <f t="shared" ca="1" si="682"/>
        <v/>
      </c>
      <c r="HQ332" s="460" t="str">
        <f t="shared" ca="1" si="682"/>
        <v/>
      </c>
      <c r="HR332" s="460" t="str">
        <f t="shared" ca="1" si="682"/>
        <v/>
      </c>
      <c r="HS332" s="460" t="str">
        <f t="shared" ca="1" si="682"/>
        <v/>
      </c>
      <c r="HT332" s="460" t="str">
        <f t="shared" ca="1" si="682"/>
        <v/>
      </c>
      <c r="HU332" s="460" t="str">
        <f t="shared" ca="1" si="682"/>
        <v/>
      </c>
      <c r="HV332" s="460" t="str">
        <f t="shared" ca="1" si="682"/>
        <v/>
      </c>
      <c r="HW332" s="460" t="str">
        <f t="shared" ca="1" si="676"/>
        <v/>
      </c>
      <c r="HX332" s="460" t="str">
        <f t="shared" ca="1" si="674"/>
        <v/>
      </c>
      <c r="HY332" s="460" t="str">
        <f t="shared" ca="1" si="674"/>
        <v/>
      </c>
      <c r="HZ332" s="460" t="str">
        <f t="shared" ca="1" si="674"/>
        <v/>
      </c>
      <c r="IA332" s="460" t="str">
        <f t="shared" ca="1" si="674"/>
        <v/>
      </c>
      <c r="IB332" s="460" t="str">
        <f t="shared" ca="1" si="674"/>
        <v/>
      </c>
      <c r="IC332" s="460" t="str">
        <f t="shared" ca="1" si="674"/>
        <v/>
      </c>
      <c r="ID332" s="674" t="str">
        <f t="shared" ca="1" si="674"/>
        <v/>
      </c>
      <c r="IE332" s="250"/>
    </row>
    <row r="333" spans="9:239">
      <c r="I333" s="137"/>
      <c r="J333" s="375"/>
      <c r="K333" s="1"/>
      <c r="L333" s="1"/>
      <c r="M333" s="376"/>
      <c r="P333" s="375"/>
      <c r="S333" s="55"/>
      <c r="T333" s="375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74"/>
      <c r="AO333" s="374"/>
      <c r="AP333" s="106"/>
      <c r="AQ333" s="374"/>
      <c r="AR333" s="106"/>
      <c r="AS333" s="106"/>
      <c r="AT333" s="106"/>
      <c r="AU333" s="31"/>
      <c r="AV333" s="31"/>
      <c r="AW333" s="31"/>
      <c r="AX333" s="31"/>
      <c r="AY333" s="154"/>
      <c r="AZ333" s="154"/>
      <c r="BA333" s="106"/>
      <c r="BB333" s="106"/>
      <c r="BC333" s="106"/>
      <c r="BD333" s="106"/>
      <c r="BE333" s="107"/>
      <c r="BF333" s="107"/>
      <c r="BG333" s="107"/>
      <c r="BH333" s="105"/>
      <c r="BI333" s="107"/>
      <c r="BJ333" s="106"/>
      <c r="BK333" s="108"/>
      <c r="BL333" s="159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7"/>
      <c r="CC333" s="107"/>
      <c r="CD333" s="107"/>
      <c r="CE333" s="107"/>
      <c r="CF333" s="107"/>
      <c r="CG333" s="107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10"/>
      <c r="DH333" s="475"/>
      <c r="DI333" s="1"/>
      <c r="DJ333" s="53"/>
      <c r="DK333" s="475"/>
      <c r="DL333" s="54"/>
      <c r="DM333" s="54"/>
      <c r="DN333" s="54"/>
      <c r="DO333" s="54"/>
      <c r="DP333" s="54"/>
      <c r="DQ333" s="54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L333" s="55"/>
      <c r="EM333" s="1"/>
      <c r="EN333" s="106"/>
      <c r="EO333" s="106"/>
      <c r="EP333" s="1"/>
      <c r="EQ333" s="106"/>
      <c r="ER333" s="1"/>
      <c r="ES333" s="1"/>
      <c r="ET333" s="1"/>
      <c r="EU333" s="107"/>
      <c r="FJ333" s="673">
        <v>9</v>
      </c>
      <c r="FK333" s="460">
        <f t="shared" ref="FK333:HV333" ca="1" si="683">IF(AND(ISNUMBER(FK28),ISNUMBER(FK$320),FK$320&lt;&gt;0),FK28*FK$320/FK$15,"")</f>
        <v>0</v>
      </c>
      <c r="FL333" s="460">
        <f t="shared" ca="1" si="683"/>
        <v>3.7165453282473906E-3</v>
      </c>
      <c r="FM333" s="460">
        <f t="shared" ca="1" si="683"/>
        <v>4.7352835816896225E-3</v>
      </c>
      <c r="FN333" s="460">
        <f t="shared" ca="1" si="683"/>
        <v>4.4414479087396515E-3</v>
      </c>
      <c r="FO333" s="460">
        <f t="shared" ca="1" si="683"/>
        <v>5.2500597996255668E-3</v>
      </c>
      <c r="FP333" s="460">
        <f t="shared" ca="1" si="683"/>
        <v>3.3839629027403247E-3</v>
      </c>
      <c r="FQ333" s="460" t="str">
        <f t="shared" ca="1" si="683"/>
        <v/>
      </c>
      <c r="FR333" s="460" t="str">
        <f t="shared" ca="1" si="683"/>
        <v/>
      </c>
      <c r="FS333" s="460" t="str">
        <f t="shared" ca="1" si="683"/>
        <v/>
      </c>
      <c r="FT333" s="460" t="str">
        <f t="shared" ca="1" si="683"/>
        <v/>
      </c>
      <c r="FU333" s="460" t="str">
        <f t="shared" ca="1" si="683"/>
        <v/>
      </c>
      <c r="FV333" s="460" t="str">
        <f t="shared" ca="1" si="683"/>
        <v/>
      </c>
      <c r="FW333" s="460" t="str">
        <f t="shared" ca="1" si="683"/>
        <v/>
      </c>
      <c r="FX333" s="460" t="str">
        <f t="shared" ca="1" si="683"/>
        <v/>
      </c>
      <c r="FY333" s="460" t="str">
        <f t="shared" ca="1" si="683"/>
        <v/>
      </c>
      <c r="FZ333" s="460" t="str">
        <f t="shared" ca="1" si="683"/>
        <v/>
      </c>
      <c r="GA333" s="460" t="str">
        <f t="shared" ca="1" si="683"/>
        <v/>
      </c>
      <c r="GB333" s="460" t="str">
        <f t="shared" ca="1" si="683"/>
        <v/>
      </c>
      <c r="GC333" s="460" t="str">
        <f t="shared" ca="1" si="683"/>
        <v/>
      </c>
      <c r="GD333" s="460" t="str">
        <f t="shared" ca="1" si="683"/>
        <v/>
      </c>
      <c r="GE333" s="460" t="str">
        <f t="shared" ca="1" si="683"/>
        <v/>
      </c>
      <c r="GF333" s="460" t="str">
        <f t="shared" ca="1" si="683"/>
        <v/>
      </c>
      <c r="GG333" s="460" t="str">
        <f t="shared" ca="1" si="683"/>
        <v/>
      </c>
      <c r="GH333" s="460" t="str">
        <f t="shared" ca="1" si="683"/>
        <v/>
      </c>
      <c r="GI333" s="460" t="str">
        <f t="shared" ca="1" si="683"/>
        <v/>
      </c>
      <c r="GJ333" s="460" t="str">
        <f t="shared" ca="1" si="683"/>
        <v/>
      </c>
      <c r="GK333" s="460" t="str">
        <f t="shared" ca="1" si="683"/>
        <v/>
      </c>
      <c r="GL333" s="460" t="str">
        <f t="shared" ca="1" si="683"/>
        <v/>
      </c>
      <c r="GM333" s="460" t="str">
        <f t="shared" ca="1" si="683"/>
        <v/>
      </c>
      <c r="GN333" s="460" t="str">
        <f t="shared" ca="1" si="683"/>
        <v/>
      </c>
      <c r="GO333" s="460" t="str">
        <f t="shared" ca="1" si="683"/>
        <v/>
      </c>
      <c r="GP333" s="460" t="str">
        <f t="shared" ca="1" si="683"/>
        <v/>
      </c>
      <c r="GQ333" s="460" t="str">
        <f t="shared" ca="1" si="683"/>
        <v/>
      </c>
      <c r="GR333" s="460" t="str">
        <f t="shared" ca="1" si="683"/>
        <v/>
      </c>
      <c r="GS333" s="460" t="str">
        <f t="shared" ca="1" si="683"/>
        <v/>
      </c>
      <c r="GT333" s="460" t="str">
        <f t="shared" ca="1" si="683"/>
        <v/>
      </c>
      <c r="GU333" s="460" t="str">
        <f t="shared" ca="1" si="683"/>
        <v/>
      </c>
      <c r="GV333" s="460" t="str">
        <f t="shared" ca="1" si="683"/>
        <v/>
      </c>
      <c r="GW333" s="460" t="str">
        <f t="shared" ca="1" si="683"/>
        <v/>
      </c>
      <c r="GX333" s="460" t="str">
        <f t="shared" ca="1" si="683"/>
        <v/>
      </c>
      <c r="GY333" s="460" t="str">
        <f t="shared" ca="1" si="683"/>
        <v/>
      </c>
      <c r="GZ333" s="460" t="str">
        <f t="shared" ca="1" si="683"/>
        <v/>
      </c>
      <c r="HA333" s="460" t="str">
        <f t="shared" ca="1" si="683"/>
        <v/>
      </c>
      <c r="HB333" s="460" t="str">
        <f t="shared" ca="1" si="683"/>
        <v/>
      </c>
      <c r="HC333" s="460" t="str">
        <f t="shared" ca="1" si="683"/>
        <v/>
      </c>
      <c r="HD333" s="460" t="str">
        <f t="shared" ca="1" si="683"/>
        <v/>
      </c>
      <c r="HE333" s="460" t="str">
        <f t="shared" ca="1" si="683"/>
        <v/>
      </c>
      <c r="HF333" s="460" t="str">
        <f t="shared" ca="1" si="683"/>
        <v/>
      </c>
      <c r="HG333" s="460" t="str">
        <f t="shared" ca="1" si="683"/>
        <v/>
      </c>
      <c r="HH333" s="460" t="str">
        <f t="shared" ca="1" si="683"/>
        <v/>
      </c>
      <c r="HI333" s="460" t="str">
        <f t="shared" ca="1" si="683"/>
        <v/>
      </c>
      <c r="HJ333" s="460" t="str">
        <f t="shared" ca="1" si="683"/>
        <v/>
      </c>
      <c r="HK333" s="460" t="str">
        <f t="shared" ca="1" si="683"/>
        <v/>
      </c>
      <c r="HL333" s="460" t="str">
        <f t="shared" ca="1" si="683"/>
        <v/>
      </c>
      <c r="HM333" s="460" t="str">
        <f t="shared" ca="1" si="683"/>
        <v/>
      </c>
      <c r="HN333" s="460" t="str">
        <f t="shared" ca="1" si="683"/>
        <v/>
      </c>
      <c r="HO333" s="460" t="str">
        <f t="shared" ca="1" si="683"/>
        <v/>
      </c>
      <c r="HP333" s="460" t="str">
        <f t="shared" ca="1" si="683"/>
        <v/>
      </c>
      <c r="HQ333" s="460" t="str">
        <f t="shared" ca="1" si="683"/>
        <v/>
      </c>
      <c r="HR333" s="460" t="str">
        <f t="shared" ca="1" si="683"/>
        <v/>
      </c>
      <c r="HS333" s="460" t="str">
        <f t="shared" ca="1" si="683"/>
        <v/>
      </c>
      <c r="HT333" s="460" t="str">
        <f t="shared" ca="1" si="683"/>
        <v/>
      </c>
      <c r="HU333" s="460" t="str">
        <f t="shared" ca="1" si="683"/>
        <v/>
      </c>
      <c r="HV333" s="460" t="str">
        <f t="shared" ca="1" si="683"/>
        <v/>
      </c>
      <c r="HW333" s="460" t="str">
        <f t="shared" ca="1" si="676"/>
        <v/>
      </c>
      <c r="HX333" s="460" t="str">
        <f t="shared" ca="1" si="674"/>
        <v/>
      </c>
      <c r="HY333" s="460" t="str">
        <f t="shared" ca="1" si="674"/>
        <v/>
      </c>
      <c r="HZ333" s="460" t="str">
        <f t="shared" ca="1" si="674"/>
        <v/>
      </c>
      <c r="IA333" s="460" t="str">
        <f t="shared" ca="1" si="674"/>
        <v/>
      </c>
      <c r="IB333" s="460" t="str">
        <f t="shared" ca="1" si="674"/>
        <v/>
      </c>
      <c r="IC333" s="460" t="str">
        <f t="shared" ca="1" si="674"/>
        <v/>
      </c>
      <c r="ID333" s="674" t="str">
        <f t="shared" ca="1" si="674"/>
        <v/>
      </c>
      <c r="IE333" s="250"/>
    </row>
    <row r="334" spans="9:239">
      <c r="I334" s="137"/>
      <c r="J334" s="375"/>
      <c r="K334" s="1"/>
      <c r="L334" s="1"/>
      <c r="M334" s="376"/>
      <c r="P334" s="375"/>
      <c r="S334" s="55"/>
      <c r="T334" s="375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74"/>
      <c r="AO334" s="374"/>
      <c r="AP334" s="106"/>
      <c r="AQ334" s="374"/>
      <c r="AR334" s="106"/>
      <c r="AS334" s="106"/>
      <c r="AT334" s="106"/>
      <c r="AU334" s="31"/>
      <c r="AV334" s="31"/>
      <c r="AW334" s="31"/>
      <c r="AX334" s="31"/>
      <c r="AY334" s="154"/>
      <c r="AZ334" s="154"/>
      <c r="BA334" s="106"/>
      <c r="BB334" s="106"/>
      <c r="BC334" s="106"/>
      <c r="BD334" s="106"/>
      <c r="BE334" s="107"/>
      <c r="BF334" s="107"/>
      <c r="BG334" s="107"/>
      <c r="BH334" s="105"/>
      <c r="BI334" s="107"/>
      <c r="BJ334" s="106"/>
      <c r="BK334" s="108"/>
      <c r="BL334" s="159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7"/>
      <c r="CC334" s="107"/>
      <c r="CD334" s="107"/>
      <c r="CE334" s="107"/>
      <c r="CF334" s="107"/>
      <c r="CG334" s="107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10"/>
      <c r="DH334" s="475"/>
      <c r="DI334" s="1"/>
      <c r="DJ334" s="53"/>
      <c r="DK334" s="475"/>
      <c r="DL334" s="54"/>
      <c r="DM334" s="54"/>
      <c r="DN334" s="54"/>
      <c r="DO334" s="54"/>
      <c r="DP334" s="54"/>
      <c r="DQ334" s="54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L334" s="55"/>
      <c r="EM334" s="1"/>
      <c r="EN334" s="106"/>
      <c r="EO334" s="106"/>
      <c r="EP334" s="1"/>
      <c r="EQ334" s="106"/>
      <c r="ER334" s="1"/>
      <c r="ES334" s="1"/>
      <c r="ET334" s="1"/>
      <c r="EU334" s="107"/>
      <c r="FJ334" s="673">
        <v>10</v>
      </c>
      <c r="FK334" s="460">
        <f t="shared" ref="FK334:HV334" ca="1" si="684">IF(AND(ISNUMBER(FK29),ISNUMBER(FK$320),FK$320&lt;&gt;0),FK29*FK$320/FK$15,"")</f>
        <v>0</v>
      </c>
      <c r="FL334" s="460">
        <f t="shared" ca="1" si="684"/>
        <v>3.4376639542347777E-3</v>
      </c>
      <c r="FM334" s="460">
        <f t="shared" ca="1" si="684"/>
        <v>4.3196984959513081E-3</v>
      </c>
      <c r="FN334" s="460">
        <f t="shared" ca="1" si="684"/>
        <v>3.9855449413749517E-3</v>
      </c>
      <c r="FO334" s="460">
        <f t="shared" ca="1" si="684"/>
        <v>4.6197617235384401E-3</v>
      </c>
      <c r="FP334" s="460">
        <f t="shared" ca="1" si="684"/>
        <v>2.9088014406920574E-3</v>
      </c>
      <c r="FQ334" s="460" t="str">
        <f t="shared" ca="1" si="684"/>
        <v/>
      </c>
      <c r="FR334" s="460" t="str">
        <f t="shared" ca="1" si="684"/>
        <v/>
      </c>
      <c r="FS334" s="460" t="str">
        <f t="shared" ca="1" si="684"/>
        <v/>
      </c>
      <c r="FT334" s="460" t="str">
        <f t="shared" ca="1" si="684"/>
        <v/>
      </c>
      <c r="FU334" s="460" t="str">
        <f t="shared" ca="1" si="684"/>
        <v/>
      </c>
      <c r="FV334" s="460" t="str">
        <f t="shared" ca="1" si="684"/>
        <v/>
      </c>
      <c r="FW334" s="460" t="str">
        <f t="shared" ca="1" si="684"/>
        <v/>
      </c>
      <c r="FX334" s="460" t="str">
        <f t="shared" ca="1" si="684"/>
        <v/>
      </c>
      <c r="FY334" s="460" t="str">
        <f t="shared" ca="1" si="684"/>
        <v/>
      </c>
      <c r="FZ334" s="460" t="str">
        <f t="shared" ca="1" si="684"/>
        <v/>
      </c>
      <c r="GA334" s="460" t="str">
        <f t="shared" ca="1" si="684"/>
        <v/>
      </c>
      <c r="GB334" s="460" t="str">
        <f t="shared" ca="1" si="684"/>
        <v/>
      </c>
      <c r="GC334" s="460" t="str">
        <f t="shared" ca="1" si="684"/>
        <v/>
      </c>
      <c r="GD334" s="460" t="str">
        <f t="shared" ca="1" si="684"/>
        <v/>
      </c>
      <c r="GE334" s="460" t="str">
        <f t="shared" ca="1" si="684"/>
        <v/>
      </c>
      <c r="GF334" s="460" t="str">
        <f t="shared" ca="1" si="684"/>
        <v/>
      </c>
      <c r="GG334" s="460" t="str">
        <f t="shared" ca="1" si="684"/>
        <v/>
      </c>
      <c r="GH334" s="460" t="str">
        <f t="shared" ca="1" si="684"/>
        <v/>
      </c>
      <c r="GI334" s="460" t="str">
        <f t="shared" ca="1" si="684"/>
        <v/>
      </c>
      <c r="GJ334" s="460" t="str">
        <f t="shared" ca="1" si="684"/>
        <v/>
      </c>
      <c r="GK334" s="460" t="str">
        <f t="shared" ca="1" si="684"/>
        <v/>
      </c>
      <c r="GL334" s="460" t="str">
        <f t="shared" ca="1" si="684"/>
        <v/>
      </c>
      <c r="GM334" s="460" t="str">
        <f t="shared" ca="1" si="684"/>
        <v/>
      </c>
      <c r="GN334" s="460" t="str">
        <f t="shared" ca="1" si="684"/>
        <v/>
      </c>
      <c r="GO334" s="460" t="str">
        <f t="shared" ca="1" si="684"/>
        <v/>
      </c>
      <c r="GP334" s="460" t="str">
        <f t="shared" ca="1" si="684"/>
        <v/>
      </c>
      <c r="GQ334" s="460" t="str">
        <f t="shared" ca="1" si="684"/>
        <v/>
      </c>
      <c r="GR334" s="460" t="str">
        <f t="shared" ca="1" si="684"/>
        <v/>
      </c>
      <c r="GS334" s="460" t="str">
        <f t="shared" ca="1" si="684"/>
        <v/>
      </c>
      <c r="GT334" s="460" t="str">
        <f t="shared" ca="1" si="684"/>
        <v/>
      </c>
      <c r="GU334" s="460" t="str">
        <f t="shared" ca="1" si="684"/>
        <v/>
      </c>
      <c r="GV334" s="460" t="str">
        <f t="shared" ca="1" si="684"/>
        <v/>
      </c>
      <c r="GW334" s="460" t="str">
        <f t="shared" ca="1" si="684"/>
        <v/>
      </c>
      <c r="GX334" s="460" t="str">
        <f t="shared" ca="1" si="684"/>
        <v/>
      </c>
      <c r="GY334" s="460" t="str">
        <f t="shared" ca="1" si="684"/>
        <v/>
      </c>
      <c r="GZ334" s="460" t="str">
        <f t="shared" ca="1" si="684"/>
        <v/>
      </c>
      <c r="HA334" s="460" t="str">
        <f t="shared" ca="1" si="684"/>
        <v/>
      </c>
      <c r="HB334" s="460" t="str">
        <f t="shared" ca="1" si="684"/>
        <v/>
      </c>
      <c r="HC334" s="460" t="str">
        <f t="shared" ca="1" si="684"/>
        <v/>
      </c>
      <c r="HD334" s="460" t="str">
        <f t="shared" ca="1" si="684"/>
        <v/>
      </c>
      <c r="HE334" s="460" t="str">
        <f t="shared" ca="1" si="684"/>
        <v/>
      </c>
      <c r="HF334" s="460" t="str">
        <f t="shared" ca="1" si="684"/>
        <v/>
      </c>
      <c r="HG334" s="460" t="str">
        <f t="shared" ca="1" si="684"/>
        <v/>
      </c>
      <c r="HH334" s="460" t="str">
        <f t="shared" ca="1" si="684"/>
        <v/>
      </c>
      <c r="HI334" s="460" t="str">
        <f t="shared" ca="1" si="684"/>
        <v/>
      </c>
      <c r="HJ334" s="460" t="str">
        <f t="shared" ca="1" si="684"/>
        <v/>
      </c>
      <c r="HK334" s="460" t="str">
        <f t="shared" ca="1" si="684"/>
        <v/>
      </c>
      <c r="HL334" s="460" t="str">
        <f t="shared" ca="1" si="684"/>
        <v/>
      </c>
      <c r="HM334" s="460" t="str">
        <f t="shared" ca="1" si="684"/>
        <v/>
      </c>
      <c r="HN334" s="460" t="str">
        <f t="shared" ca="1" si="684"/>
        <v/>
      </c>
      <c r="HO334" s="460" t="str">
        <f t="shared" ca="1" si="684"/>
        <v/>
      </c>
      <c r="HP334" s="460" t="str">
        <f t="shared" ca="1" si="684"/>
        <v/>
      </c>
      <c r="HQ334" s="460" t="str">
        <f t="shared" ca="1" si="684"/>
        <v/>
      </c>
      <c r="HR334" s="460" t="str">
        <f t="shared" ca="1" si="684"/>
        <v/>
      </c>
      <c r="HS334" s="460" t="str">
        <f t="shared" ca="1" si="684"/>
        <v/>
      </c>
      <c r="HT334" s="460" t="str">
        <f t="shared" ca="1" si="684"/>
        <v/>
      </c>
      <c r="HU334" s="460" t="str">
        <f t="shared" ca="1" si="684"/>
        <v/>
      </c>
      <c r="HV334" s="460" t="str">
        <f t="shared" ca="1" si="684"/>
        <v/>
      </c>
      <c r="HW334" s="460" t="str">
        <f t="shared" ca="1" si="676"/>
        <v/>
      </c>
      <c r="HX334" s="460" t="str">
        <f t="shared" ca="1" si="674"/>
        <v/>
      </c>
      <c r="HY334" s="460" t="str">
        <f t="shared" ca="1" si="674"/>
        <v/>
      </c>
      <c r="HZ334" s="460" t="str">
        <f t="shared" ca="1" si="674"/>
        <v/>
      </c>
      <c r="IA334" s="460" t="str">
        <f t="shared" ca="1" si="674"/>
        <v/>
      </c>
      <c r="IB334" s="460" t="str">
        <f t="shared" ca="1" si="674"/>
        <v/>
      </c>
      <c r="IC334" s="460" t="str">
        <f t="shared" ca="1" si="674"/>
        <v/>
      </c>
      <c r="ID334" s="674" t="str">
        <f t="shared" ca="1" si="674"/>
        <v/>
      </c>
      <c r="IE334" s="250"/>
    </row>
    <row r="335" spans="9:239">
      <c r="I335" s="137"/>
      <c r="J335" s="375"/>
      <c r="K335" s="1"/>
      <c r="L335" s="1"/>
      <c r="M335" s="376"/>
      <c r="P335" s="375"/>
      <c r="S335" s="55"/>
      <c r="T335" s="375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74"/>
      <c r="AO335" s="374"/>
      <c r="AP335" s="106"/>
      <c r="AQ335" s="374"/>
      <c r="AR335" s="106"/>
      <c r="AS335" s="106"/>
      <c r="AT335" s="106"/>
      <c r="AU335" s="31"/>
      <c r="AV335" s="31"/>
      <c r="AW335" s="31"/>
      <c r="AX335" s="31"/>
      <c r="AY335" s="154"/>
      <c r="AZ335" s="154"/>
      <c r="BA335" s="106"/>
      <c r="BB335" s="106"/>
      <c r="BC335" s="106"/>
      <c r="BD335" s="106"/>
      <c r="BE335" s="107"/>
      <c r="BF335" s="107"/>
      <c r="BG335" s="107"/>
      <c r="BH335" s="105"/>
      <c r="BI335" s="107"/>
      <c r="BJ335" s="106"/>
      <c r="BK335" s="108"/>
      <c r="BL335" s="159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7"/>
      <c r="CC335" s="107"/>
      <c r="CD335" s="107"/>
      <c r="CE335" s="107"/>
      <c r="CF335" s="107"/>
      <c r="CG335" s="107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10"/>
      <c r="DH335" s="475"/>
      <c r="DI335" s="1"/>
      <c r="DJ335" s="53"/>
      <c r="DK335" s="475"/>
      <c r="DL335" s="54"/>
      <c r="DM335" s="54"/>
      <c r="DN335" s="54"/>
      <c r="DO335" s="54"/>
      <c r="DP335" s="54"/>
      <c r="DQ335" s="54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L335" s="55"/>
      <c r="EM335" s="1"/>
      <c r="EN335" s="106"/>
      <c r="EO335" s="106"/>
      <c r="EP335" s="1"/>
      <c r="EQ335" s="106"/>
      <c r="ER335" s="1"/>
      <c r="ES335" s="1"/>
      <c r="ET335" s="1"/>
      <c r="EU335" s="107"/>
      <c r="FJ335" s="673">
        <v>11</v>
      </c>
      <c r="FK335" s="460">
        <f t="shared" ref="FK335:HV335" ca="1" si="685">IF(AND(ISNUMBER(FK30),ISNUMBER(FK$320),FK$320&lt;&gt;0),FK30*FK$320/FK$15,"")</f>
        <v>0</v>
      </c>
      <c r="FL335" s="460">
        <f t="shared" ca="1" si="685"/>
        <v>3.2171126600227069E-3</v>
      </c>
      <c r="FM335" s="460">
        <f t="shared" ca="1" si="685"/>
        <v>3.9955578369594777E-3</v>
      </c>
      <c r="FN335" s="460">
        <f t="shared" ca="1" si="685"/>
        <v>3.6357595467726269E-3</v>
      </c>
      <c r="FO335" s="460">
        <f t="shared" ca="1" si="685"/>
        <v>4.1455553112253211E-3</v>
      </c>
      <c r="FP335" s="460">
        <f t="shared" ca="1" si="685"/>
        <v>2.5595840942689895E-3</v>
      </c>
      <c r="FQ335" s="460" t="str">
        <f t="shared" ca="1" si="685"/>
        <v/>
      </c>
      <c r="FR335" s="460" t="str">
        <f t="shared" ca="1" si="685"/>
        <v/>
      </c>
      <c r="FS335" s="460" t="str">
        <f t="shared" ca="1" si="685"/>
        <v/>
      </c>
      <c r="FT335" s="460" t="str">
        <f t="shared" ca="1" si="685"/>
        <v/>
      </c>
      <c r="FU335" s="460" t="str">
        <f t="shared" ca="1" si="685"/>
        <v/>
      </c>
      <c r="FV335" s="460" t="str">
        <f t="shared" ca="1" si="685"/>
        <v/>
      </c>
      <c r="FW335" s="460" t="str">
        <f t="shared" ca="1" si="685"/>
        <v/>
      </c>
      <c r="FX335" s="460" t="str">
        <f t="shared" ca="1" si="685"/>
        <v/>
      </c>
      <c r="FY335" s="460" t="str">
        <f t="shared" ca="1" si="685"/>
        <v/>
      </c>
      <c r="FZ335" s="460" t="str">
        <f t="shared" ca="1" si="685"/>
        <v/>
      </c>
      <c r="GA335" s="460" t="str">
        <f t="shared" ca="1" si="685"/>
        <v/>
      </c>
      <c r="GB335" s="460" t="str">
        <f t="shared" ca="1" si="685"/>
        <v/>
      </c>
      <c r="GC335" s="460" t="str">
        <f t="shared" ca="1" si="685"/>
        <v/>
      </c>
      <c r="GD335" s="460" t="str">
        <f t="shared" ca="1" si="685"/>
        <v/>
      </c>
      <c r="GE335" s="460" t="str">
        <f t="shared" ca="1" si="685"/>
        <v/>
      </c>
      <c r="GF335" s="460" t="str">
        <f t="shared" ca="1" si="685"/>
        <v/>
      </c>
      <c r="GG335" s="460" t="str">
        <f t="shared" ca="1" si="685"/>
        <v/>
      </c>
      <c r="GH335" s="460" t="str">
        <f t="shared" ca="1" si="685"/>
        <v/>
      </c>
      <c r="GI335" s="460" t="str">
        <f t="shared" ca="1" si="685"/>
        <v/>
      </c>
      <c r="GJ335" s="460" t="str">
        <f t="shared" ca="1" si="685"/>
        <v/>
      </c>
      <c r="GK335" s="460" t="str">
        <f t="shared" ca="1" si="685"/>
        <v/>
      </c>
      <c r="GL335" s="460" t="str">
        <f t="shared" ca="1" si="685"/>
        <v/>
      </c>
      <c r="GM335" s="460" t="str">
        <f t="shared" ca="1" si="685"/>
        <v/>
      </c>
      <c r="GN335" s="460" t="str">
        <f t="shared" ca="1" si="685"/>
        <v/>
      </c>
      <c r="GO335" s="460" t="str">
        <f t="shared" ca="1" si="685"/>
        <v/>
      </c>
      <c r="GP335" s="460" t="str">
        <f t="shared" ca="1" si="685"/>
        <v/>
      </c>
      <c r="GQ335" s="460" t="str">
        <f t="shared" ca="1" si="685"/>
        <v/>
      </c>
      <c r="GR335" s="460" t="str">
        <f t="shared" ca="1" si="685"/>
        <v/>
      </c>
      <c r="GS335" s="460" t="str">
        <f t="shared" ca="1" si="685"/>
        <v/>
      </c>
      <c r="GT335" s="460" t="str">
        <f t="shared" ca="1" si="685"/>
        <v/>
      </c>
      <c r="GU335" s="460" t="str">
        <f t="shared" ca="1" si="685"/>
        <v/>
      </c>
      <c r="GV335" s="460" t="str">
        <f t="shared" ca="1" si="685"/>
        <v/>
      </c>
      <c r="GW335" s="460" t="str">
        <f t="shared" ca="1" si="685"/>
        <v/>
      </c>
      <c r="GX335" s="460" t="str">
        <f t="shared" ca="1" si="685"/>
        <v/>
      </c>
      <c r="GY335" s="460" t="str">
        <f t="shared" ca="1" si="685"/>
        <v/>
      </c>
      <c r="GZ335" s="460" t="str">
        <f t="shared" ca="1" si="685"/>
        <v/>
      </c>
      <c r="HA335" s="460" t="str">
        <f t="shared" ca="1" si="685"/>
        <v/>
      </c>
      <c r="HB335" s="460" t="str">
        <f t="shared" ca="1" si="685"/>
        <v/>
      </c>
      <c r="HC335" s="460" t="str">
        <f t="shared" ca="1" si="685"/>
        <v/>
      </c>
      <c r="HD335" s="460" t="str">
        <f t="shared" ca="1" si="685"/>
        <v/>
      </c>
      <c r="HE335" s="460" t="str">
        <f t="shared" ca="1" si="685"/>
        <v/>
      </c>
      <c r="HF335" s="460" t="str">
        <f t="shared" ca="1" si="685"/>
        <v/>
      </c>
      <c r="HG335" s="460" t="str">
        <f t="shared" ca="1" si="685"/>
        <v/>
      </c>
      <c r="HH335" s="460" t="str">
        <f t="shared" ca="1" si="685"/>
        <v/>
      </c>
      <c r="HI335" s="460" t="str">
        <f t="shared" ca="1" si="685"/>
        <v/>
      </c>
      <c r="HJ335" s="460" t="str">
        <f t="shared" ca="1" si="685"/>
        <v/>
      </c>
      <c r="HK335" s="460" t="str">
        <f t="shared" ca="1" si="685"/>
        <v/>
      </c>
      <c r="HL335" s="460" t="str">
        <f t="shared" ca="1" si="685"/>
        <v/>
      </c>
      <c r="HM335" s="460" t="str">
        <f t="shared" ca="1" si="685"/>
        <v/>
      </c>
      <c r="HN335" s="460" t="str">
        <f t="shared" ca="1" si="685"/>
        <v/>
      </c>
      <c r="HO335" s="460" t="str">
        <f t="shared" ca="1" si="685"/>
        <v/>
      </c>
      <c r="HP335" s="460" t="str">
        <f t="shared" ca="1" si="685"/>
        <v/>
      </c>
      <c r="HQ335" s="460" t="str">
        <f t="shared" ca="1" si="685"/>
        <v/>
      </c>
      <c r="HR335" s="460" t="str">
        <f t="shared" ca="1" si="685"/>
        <v/>
      </c>
      <c r="HS335" s="460" t="str">
        <f t="shared" ca="1" si="685"/>
        <v/>
      </c>
      <c r="HT335" s="460" t="str">
        <f t="shared" ca="1" si="685"/>
        <v/>
      </c>
      <c r="HU335" s="460" t="str">
        <f t="shared" ca="1" si="685"/>
        <v/>
      </c>
      <c r="HV335" s="460" t="str">
        <f t="shared" ca="1" si="685"/>
        <v/>
      </c>
      <c r="HW335" s="460" t="str">
        <f t="shared" ca="1" si="676"/>
        <v/>
      </c>
      <c r="HX335" s="460" t="str">
        <f t="shared" ref="HX335:ID344" ca="1" si="686">IF(AND(ISNUMBER(HX30),ISNUMBER(HX$320),HX$320&lt;&gt;0),HX30*HX$320/HX$15,"")</f>
        <v/>
      </c>
      <c r="HY335" s="460" t="str">
        <f t="shared" ca="1" si="686"/>
        <v/>
      </c>
      <c r="HZ335" s="460" t="str">
        <f t="shared" ca="1" si="686"/>
        <v/>
      </c>
      <c r="IA335" s="460" t="str">
        <f t="shared" ca="1" si="686"/>
        <v/>
      </c>
      <c r="IB335" s="460" t="str">
        <f t="shared" ca="1" si="686"/>
        <v/>
      </c>
      <c r="IC335" s="460" t="str">
        <f t="shared" ca="1" si="686"/>
        <v/>
      </c>
      <c r="ID335" s="674" t="str">
        <f t="shared" ca="1" si="686"/>
        <v/>
      </c>
      <c r="IE335" s="250"/>
    </row>
    <row r="336" spans="9:239">
      <c r="I336" s="137"/>
      <c r="J336" s="375"/>
      <c r="K336" s="1"/>
      <c r="L336" s="1"/>
      <c r="M336" s="376"/>
      <c r="P336" s="375"/>
      <c r="S336" s="55"/>
      <c r="T336" s="375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74"/>
      <c r="AO336" s="374"/>
      <c r="AP336" s="106"/>
      <c r="AQ336" s="374"/>
      <c r="AR336" s="106"/>
      <c r="AS336" s="106"/>
      <c r="AT336" s="106"/>
      <c r="AU336" s="31"/>
      <c r="AV336" s="31"/>
      <c r="AW336" s="31"/>
      <c r="AX336" s="31"/>
      <c r="AY336" s="154"/>
      <c r="AZ336" s="154"/>
      <c r="BA336" s="106"/>
      <c r="BB336" s="106"/>
      <c r="BC336" s="106"/>
      <c r="BD336" s="106"/>
      <c r="BE336" s="107"/>
      <c r="BF336" s="107"/>
      <c r="BG336" s="107"/>
      <c r="BH336" s="105"/>
      <c r="BI336" s="107"/>
      <c r="BJ336" s="106"/>
      <c r="BK336" s="108"/>
      <c r="BL336" s="159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7"/>
      <c r="CC336" s="107"/>
      <c r="CD336" s="107"/>
      <c r="CE336" s="107"/>
      <c r="CF336" s="107"/>
      <c r="CG336" s="107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10"/>
      <c r="DH336" s="475"/>
      <c r="DI336" s="1"/>
      <c r="DJ336" s="53"/>
      <c r="DK336" s="475"/>
      <c r="DL336" s="54"/>
      <c r="DM336" s="54"/>
      <c r="DN336" s="54"/>
      <c r="DO336" s="54"/>
      <c r="DP336" s="54"/>
      <c r="DQ336" s="54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L336" s="55"/>
      <c r="EM336" s="1"/>
      <c r="EN336" s="106"/>
      <c r="EO336" s="106"/>
      <c r="EP336" s="1"/>
      <c r="EQ336" s="106"/>
      <c r="ER336" s="1"/>
      <c r="ES336" s="1"/>
      <c r="ET336" s="1"/>
      <c r="EU336" s="107"/>
      <c r="FJ336" s="673">
        <v>12</v>
      </c>
      <c r="FK336" s="460">
        <f t="shared" ref="FK336:HV336" ca="1" si="687">IF(AND(ISNUMBER(FK31),ISNUMBER(FK$320),FK$320&lt;&gt;0),FK31*FK$320/FK$15,"")</f>
        <v>0</v>
      </c>
      <c r="FL336" s="460">
        <f t="shared" ca="1" si="687"/>
        <v>3.0406395356698782E-3</v>
      </c>
      <c r="FM336" s="460">
        <f t="shared" ca="1" si="687"/>
        <v>3.7392135683595668E-3</v>
      </c>
      <c r="FN336" s="460">
        <f t="shared" ca="1" si="687"/>
        <v>3.3629401598336359E-3</v>
      </c>
      <c r="FO336" s="460">
        <f t="shared" ca="1" si="687"/>
        <v>3.7817268456799128E-3</v>
      </c>
      <c r="FP336" s="460">
        <f t="shared" ca="1" si="687"/>
        <v>2.2968495068610155E-3</v>
      </c>
      <c r="FQ336" s="460" t="str">
        <f t="shared" ca="1" si="687"/>
        <v/>
      </c>
      <c r="FR336" s="460" t="str">
        <f t="shared" ca="1" si="687"/>
        <v/>
      </c>
      <c r="FS336" s="460" t="str">
        <f t="shared" ca="1" si="687"/>
        <v/>
      </c>
      <c r="FT336" s="460" t="str">
        <f t="shared" ca="1" si="687"/>
        <v/>
      </c>
      <c r="FU336" s="460" t="str">
        <f t="shared" ca="1" si="687"/>
        <v/>
      </c>
      <c r="FV336" s="460" t="str">
        <f t="shared" ca="1" si="687"/>
        <v/>
      </c>
      <c r="FW336" s="460" t="str">
        <f t="shared" ca="1" si="687"/>
        <v/>
      </c>
      <c r="FX336" s="460" t="str">
        <f t="shared" ca="1" si="687"/>
        <v/>
      </c>
      <c r="FY336" s="460" t="str">
        <f t="shared" ca="1" si="687"/>
        <v/>
      </c>
      <c r="FZ336" s="460" t="str">
        <f t="shared" ca="1" si="687"/>
        <v/>
      </c>
      <c r="GA336" s="460" t="str">
        <f t="shared" ca="1" si="687"/>
        <v/>
      </c>
      <c r="GB336" s="460" t="str">
        <f t="shared" ca="1" si="687"/>
        <v/>
      </c>
      <c r="GC336" s="460" t="str">
        <f t="shared" ca="1" si="687"/>
        <v/>
      </c>
      <c r="GD336" s="460" t="str">
        <f t="shared" ca="1" si="687"/>
        <v/>
      </c>
      <c r="GE336" s="460" t="str">
        <f t="shared" ca="1" si="687"/>
        <v/>
      </c>
      <c r="GF336" s="460" t="str">
        <f t="shared" ca="1" si="687"/>
        <v/>
      </c>
      <c r="GG336" s="460" t="str">
        <f t="shared" ca="1" si="687"/>
        <v/>
      </c>
      <c r="GH336" s="460" t="str">
        <f t="shared" ca="1" si="687"/>
        <v/>
      </c>
      <c r="GI336" s="460" t="str">
        <f t="shared" ca="1" si="687"/>
        <v/>
      </c>
      <c r="GJ336" s="460" t="str">
        <f t="shared" ca="1" si="687"/>
        <v/>
      </c>
      <c r="GK336" s="460" t="str">
        <f t="shared" ca="1" si="687"/>
        <v/>
      </c>
      <c r="GL336" s="460" t="str">
        <f t="shared" ca="1" si="687"/>
        <v/>
      </c>
      <c r="GM336" s="460" t="str">
        <f t="shared" ca="1" si="687"/>
        <v/>
      </c>
      <c r="GN336" s="460" t="str">
        <f t="shared" ca="1" si="687"/>
        <v/>
      </c>
      <c r="GO336" s="460" t="str">
        <f t="shared" ca="1" si="687"/>
        <v/>
      </c>
      <c r="GP336" s="460" t="str">
        <f t="shared" ca="1" si="687"/>
        <v/>
      </c>
      <c r="GQ336" s="460" t="str">
        <f t="shared" ca="1" si="687"/>
        <v/>
      </c>
      <c r="GR336" s="460" t="str">
        <f t="shared" ca="1" si="687"/>
        <v/>
      </c>
      <c r="GS336" s="460" t="str">
        <f t="shared" ca="1" si="687"/>
        <v/>
      </c>
      <c r="GT336" s="460" t="str">
        <f t="shared" ca="1" si="687"/>
        <v/>
      </c>
      <c r="GU336" s="460" t="str">
        <f t="shared" ca="1" si="687"/>
        <v/>
      </c>
      <c r="GV336" s="460" t="str">
        <f t="shared" ca="1" si="687"/>
        <v/>
      </c>
      <c r="GW336" s="460" t="str">
        <f t="shared" ca="1" si="687"/>
        <v/>
      </c>
      <c r="GX336" s="460" t="str">
        <f t="shared" ca="1" si="687"/>
        <v/>
      </c>
      <c r="GY336" s="460" t="str">
        <f t="shared" ca="1" si="687"/>
        <v/>
      </c>
      <c r="GZ336" s="460" t="str">
        <f t="shared" ca="1" si="687"/>
        <v/>
      </c>
      <c r="HA336" s="460" t="str">
        <f t="shared" ca="1" si="687"/>
        <v/>
      </c>
      <c r="HB336" s="460" t="str">
        <f t="shared" ca="1" si="687"/>
        <v/>
      </c>
      <c r="HC336" s="460" t="str">
        <f t="shared" ca="1" si="687"/>
        <v/>
      </c>
      <c r="HD336" s="460" t="str">
        <f t="shared" ca="1" si="687"/>
        <v/>
      </c>
      <c r="HE336" s="460" t="str">
        <f t="shared" ca="1" si="687"/>
        <v/>
      </c>
      <c r="HF336" s="460" t="str">
        <f t="shared" ca="1" si="687"/>
        <v/>
      </c>
      <c r="HG336" s="460" t="str">
        <f t="shared" ca="1" si="687"/>
        <v/>
      </c>
      <c r="HH336" s="460" t="str">
        <f t="shared" ca="1" si="687"/>
        <v/>
      </c>
      <c r="HI336" s="460" t="str">
        <f t="shared" ca="1" si="687"/>
        <v/>
      </c>
      <c r="HJ336" s="460" t="str">
        <f t="shared" ca="1" si="687"/>
        <v/>
      </c>
      <c r="HK336" s="460" t="str">
        <f t="shared" ca="1" si="687"/>
        <v/>
      </c>
      <c r="HL336" s="460" t="str">
        <f t="shared" ca="1" si="687"/>
        <v/>
      </c>
      <c r="HM336" s="460" t="str">
        <f t="shared" ca="1" si="687"/>
        <v/>
      </c>
      <c r="HN336" s="460" t="str">
        <f t="shared" ca="1" si="687"/>
        <v/>
      </c>
      <c r="HO336" s="460" t="str">
        <f t="shared" ca="1" si="687"/>
        <v/>
      </c>
      <c r="HP336" s="460" t="str">
        <f t="shared" ca="1" si="687"/>
        <v/>
      </c>
      <c r="HQ336" s="460" t="str">
        <f t="shared" ca="1" si="687"/>
        <v/>
      </c>
      <c r="HR336" s="460" t="str">
        <f t="shared" ca="1" si="687"/>
        <v/>
      </c>
      <c r="HS336" s="460" t="str">
        <f t="shared" ca="1" si="687"/>
        <v/>
      </c>
      <c r="HT336" s="460" t="str">
        <f t="shared" ca="1" si="687"/>
        <v/>
      </c>
      <c r="HU336" s="460" t="str">
        <f t="shared" ca="1" si="687"/>
        <v/>
      </c>
      <c r="HV336" s="460" t="str">
        <f t="shared" ca="1" si="687"/>
        <v/>
      </c>
      <c r="HW336" s="460" t="str">
        <f t="shared" ca="1" si="676"/>
        <v/>
      </c>
      <c r="HX336" s="460" t="str">
        <f t="shared" ca="1" si="686"/>
        <v/>
      </c>
      <c r="HY336" s="460" t="str">
        <f t="shared" ca="1" si="686"/>
        <v/>
      </c>
      <c r="HZ336" s="460" t="str">
        <f t="shared" ca="1" si="686"/>
        <v/>
      </c>
      <c r="IA336" s="460" t="str">
        <f t="shared" ca="1" si="686"/>
        <v/>
      </c>
      <c r="IB336" s="460" t="str">
        <f t="shared" ca="1" si="686"/>
        <v/>
      </c>
      <c r="IC336" s="460" t="str">
        <f t="shared" ca="1" si="686"/>
        <v/>
      </c>
      <c r="ID336" s="674" t="str">
        <f t="shared" ca="1" si="686"/>
        <v/>
      </c>
      <c r="IE336" s="250"/>
    </row>
    <row r="337" spans="9:239">
      <c r="I337" s="137"/>
      <c r="J337" s="375"/>
      <c r="K337" s="1"/>
      <c r="L337" s="1"/>
      <c r="M337" s="376"/>
      <c r="P337" s="375"/>
      <c r="S337" s="55"/>
      <c r="T337" s="375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74"/>
      <c r="AO337" s="374"/>
      <c r="AP337" s="106"/>
      <c r="AQ337" s="374"/>
      <c r="AR337" s="106"/>
      <c r="AS337" s="106"/>
      <c r="AT337" s="106"/>
      <c r="AU337" s="31"/>
      <c r="AV337" s="31"/>
      <c r="AW337" s="31"/>
      <c r="AX337" s="31"/>
      <c r="AY337" s="154"/>
      <c r="AZ337" s="154"/>
      <c r="BA337" s="106"/>
      <c r="BB337" s="106"/>
      <c r="BC337" s="106"/>
      <c r="BD337" s="106"/>
      <c r="BE337" s="107"/>
      <c r="BF337" s="107"/>
      <c r="BG337" s="107"/>
      <c r="BH337" s="105"/>
      <c r="BI337" s="107"/>
      <c r="BJ337" s="106"/>
      <c r="BK337" s="108"/>
      <c r="BL337" s="159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7"/>
      <c r="CC337" s="107"/>
      <c r="CD337" s="107"/>
      <c r="CE337" s="107"/>
      <c r="CF337" s="107"/>
      <c r="CG337" s="107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10"/>
      <c r="DH337" s="475"/>
      <c r="DI337" s="1"/>
      <c r="DJ337" s="53"/>
      <c r="DK337" s="475"/>
      <c r="DL337" s="54"/>
      <c r="DM337" s="54"/>
      <c r="DN337" s="54"/>
      <c r="DO337" s="54"/>
      <c r="DP337" s="54"/>
      <c r="DQ337" s="54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L337" s="55"/>
      <c r="EM337" s="1"/>
      <c r="EN337" s="106"/>
      <c r="EO337" s="106"/>
      <c r="EP337" s="1"/>
      <c r="EQ337" s="106"/>
      <c r="ER337" s="1"/>
      <c r="ES337" s="1"/>
      <c r="ET337" s="1"/>
      <c r="EU337" s="107"/>
      <c r="FJ337" s="673">
        <v>13</v>
      </c>
      <c r="FK337" s="460">
        <f t="shared" ref="FK337:HV337" ca="1" si="688">IF(AND(ISNUMBER(FK32),ISNUMBER(FK$320),FK$320&lt;&gt;0),FK32*FK$320/FK$15,"")</f>
        <v>0</v>
      </c>
      <c r="FL337" s="460">
        <f t="shared" ca="1" si="688"/>
        <v>2.8980317101646156E-3</v>
      </c>
      <c r="FM337" s="460">
        <f t="shared" ca="1" si="688"/>
        <v>3.5341008568183286E-3</v>
      </c>
      <c r="FN337" s="460">
        <f t="shared" ca="1" si="688"/>
        <v>3.1471829437464231E-3</v>
      </c>
      <c r="FO337" s="460">
        <f t="shared" ca="1" si="688"/>
        <v>3.4979543941917614E-3</v>
      </c>
      <c r="FP337" s="460">
        <f t="shared" ca="1" si="688"/>
        <v>2.0952699429827638E-3</v>
      </c>
      <c r="FQ337" s="460" t="str">
        <f t="shared" ca="1" si="688"/>
        <v/>
      </c>
      <c r="FR337" s="460" t="str">
        <f t="shared" ca="1" si="688"/>
        <v/>
      </c>
      <c r="FS337" s="460" t="str">
        <f t="shared" ca="1" si="688"/>
        <v/>
      </c>
      <c r="FT337" s="460" t="str">
        <f t="shared" ca="1" si="688"/>
        <v/>
      </c>
      <c r="FU337" s="460" t="str">
        <f t="shared" ca="1" si="688"/>
        <v/>
      </c>
      <c r="FV337" s="460" t="str">
        <f t="shared" ca="1" si="688"/>
        <v/>
      </c>
      <c r="FW337" s="460" t="str">
        <f t="shared" ca="1" si="688"/>
        <v/>
      </c>
      <c r="FX337" s="460" t="str">
        <f t="shared" ca="1" si="688"/>
        <v/>
      </c>
      <c r="FY337" s="460" t="str">
        <f t="shared" ca="1" si="688"/>
        <v/>
      </c>
      <c r="FZ337" s="460" t="str">
        <f t="shared" ca="1" si="688"/>
        <v/>
      </c>
      <c r="GA337" s="460" t="str">
        <f t="shared" ca="1" si="688"/>
        <v/>
      </c>
      <c r="GB337" s="460" t="str">
        <f t="shared" ca="1" si="688"/>
        <v/>
      </c>
      <c r="GC337" s="460" t="str">
        <f t="shared" ca="1" si="688"/>
        <v/>
      </c>
      <c r="GD337" s="460" t="str">
        <f t="shared" ca="1" si="688"/>
        <v/>
      </c>
      <c r="GE337" s="460" t="str">
        <f t="shared" ca="1" si="688"/>
        <v/>
      </c>
      <c r="GF337" s="460" t="str">
        <f t="shared" ca="1" si="688"/>
        <v/>
      </c>
      <c r="GG337" s="460" t="str">
        <f t="shared" ca="1" si="688"/>
        <v/>
      </c>
      <c r="GH337" s="460" t="str">
        <f t="shared" ca="1" si="688"/>
        <v/>
      </c>
      <c r="GI337" s="460" t="str">
        <f t="shared" ca="1" si="688"/>
        <v/>
      </c>
      <c r="GJ337" s="460" t="str">
        <f t="shared" ca="1" si="688"/>
        <v/>
      </c>
      <c r="GK337" s="460" t="str">
        <f t="shared" ca="1" si="688"/>
        <v/>
      </c>
      <c r="GL337" s="460" t="str">
        <f t="shared" ca="1" si="688"/>
        <v/>
      </c>
      <c r="GM337" s="460" t="str">
        <f t="shared" ca="1" si="688"/>
        <v/>
      </c>
      <c r="GN337" s="460" t="str">
        <f t="shared" ca="1" si="688"/>
        <v/>
      </c>
      <c r="GO337" s="460" t="str">
        <f t="shared" ca="1" si="688"/>
        <v/>
      </c>
      <c r="GP337" s="460" t="str">
        <f t="shared" ca="1" si="688"/>
        <v/>
      </c>
      <c r="GQ337" s="460" t="str">
        <f t="shared" ca="1" si="688"/>
        <v/>
      </c>
      <c r="GR337" s="460" t="str">
        <f t="shared" ca="1" si="688"/>
        <v/>
      </c>
      <c r="GS337" s="460" t="str">
        <f t="shared" ca="1" si="688"/>
        <v/>
      </c>
      <c r="GT337" s="460" t="str">
        <f t="shared" ca="1" si="688"/>
        <v/>
      </c>
      <c r="GU337" s="460" t="str">
        <f t="shared" ca="1" si="688"/>
        <v/>
      </c>
      <c r="GV337" s="460" t="str">
        <f t="shared" ca="1" si="688"/>
        <v/>
      </c>
      <c r="GW337" s="460" t="str">
        <f t="shared" ca="1" si="688"/>
        <v/>
      </c>
      <c r="GX337" s="460" t="str">
        <f t="shared" ca="1" si="688"/>
        <v/>
      </c>
      <c r="GY337" s="460" t="str">
        <f t="shared" ca="1" si="688"/>
        <v/>
      </c>
      <c r="GZ337" s="460" t="str">
        <f t="shared" ca="1" si="688"/>
        <v/>
      </c>
      <c r="HA337" s="460" t="str">
        <f t="shared" ca="1" si="688"/>
        <v/>
      </c>
      <c r="HB337" s="460" t="str">
        <f t="shared" ca="1" si="688"/>
        <v/>
      </c>
      <c r="HC337" s="460" t="str">
        <f t="shared" ca="1" si="688"/>
        <v/>
      </c>
      <c r="HD337" s="460" t="str">
        <f t="shared" ca="1" si="688"/>
        <v/>
      </c>
      <c r="HE337" s="460" t="str">
        <f t="shared" ca="1" si="688"/>
        <v/>
      </c>
      <c r="HF337" s="460" t="str">
        <f t="shared" ca="1" si="688"/>
        <v/>
      </c>
      <c r="HG337" s="460" t="str">
        <f t="shared" ca="1" si="688"/>
        <v/>
      </c>
      <c r="HH337" s="460" t="str">
        <f t="shared" ca="1" si="688"/>
        <v/>
      </c>
      <c r="HI337" s="460" t="str">
        <f t="shared" ca="1" si="688"/>
        <v/>
      </c>
      <c r="HJ337" s="460" t="str">
        <f t="shared" ca="1" si="688"/>
        <v/>
      </c>
      <c r="HK337" s="460" t="str">
        <f t="shared" ca="1" si="688"/>
        <v/>
      </c>
      <c r="HL337" s="460" t="str">
        <f t="shared" ca="1" si="688"/>
        <v/>
      </c>
      <c r="HM337" s="460" t="str">
        <f t="shared" ca="1" si="688"/>
        <v/>
      </c>
      <c r="HN337" s="460" t="str">
        <f t="shared" ca="1" si="688"/>
        <v/>
      </c>
      <c r="HO337" s="460" t="str">
        <f t="shared" ca="1" si="688"/>
        <v/>
      </c>
      <c r="HP337" s="460" t="str">
        <f t="shared" ca="1" si="688"/>
        <v/>
      </c>
      <c r="HQ337" s="460" t="str">
        <f t="shared" ca="1" si="688"/>
        <v/>
      </c>
      <c r="HR337" s="460" t="str">
        <f t="shared" ca="1" si="688"/>
        <v/>
      </c>
      <c r="HS337" s="460" t="str">
        <f t="shared" ca="1" si="688"/>
        <v/>
      </c>
      <c r="HT337" s="460" t="str">
        <f t="shared" ca="1" si="688"/>
        <v/>
      </c>
      <c r="HU337" s="460" t="str">
        <f t="shared" ca="1" si="688"/>
        <v/>
      </c>
      <c r="HV337" s="460" t="str">
        <f t="shared" ca="1" si="688"/>
        <v/>
      </c>
      <c r="HW337" s="460" t="str">
        <f t="shared" ca="1" si="676"/>
        <v/>
      </c>
      <c r="HX337" s="460" t="str">
        <f t="shared" ca="1" si="686"/>
        <v/>
      </c>
      <c r="HY337" s="460" t="str">
        <f t="shared" ca="1" si="686"/>
        <v/>
      </c>
      <c r="HZ337" s="460" t="str">
        <f t="shared" ca="1" si="686"/>
        <v/>
      </c>
      <c r="IA337" s="460" t="str">
        <f t="shared" ca="1" si="686"/>
        <v/>
      </c>
      <c r="IB337" s="460" t="str">
        <f t="shared" ca="1" si="686"/>
        <v/>
      </c>
      <c r="IC337" s="460" t="str">
        <f t="shared" ca="1" si="686"/>
        <v/>
      </c>
      <c r="ID337" s="674" t="str">
        <f t="shared" ca="1" si="686"/>
        <v/>
      </c>
      <c r="IE337" s="250"/>
    </row>
    <row r="338" spans="9:239">
      <c r="I338" s="137"/>
      <c r="J338" s="375"/>
      <c r="K338" s="1"/>
      <c r="L338" s="1"/>
      <c r="M338" s="376"/>
      <c r="P338" s="375"/>
      <c r="S338" s="55"/>
      <c r="T338" s="375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74"/>
      <c r="AO338" s="374"/>
      <c r="AP338" s="106"/>
      <c r="AQ338" s="374"/>
      <c r="AR338" s="106"/>
      <c r="AS338" s="106"/>
      <c r="AT338" s="106"/>
      <c r="AU338" s="31"/>
      <c r="AV338" s="31"/>
      <c r="AW338" s="31"/>
      <c r="AX338" s="31"/>
      <c r="AY338" s="154"/>
      <c r="AZ338" s="154"/>
      <c r="BA338" s="106"/>
      <c r="BB338" s="106"/>
      <c r="BC338" s="106"/>
      <c r="BD338" s="106"/>
      <c r="BE338" s="107"/>
      <c r="BF338" s="107"/>
      <c r="BG338" s="107"/>
      <c r="BH338" s="105"/>
      <c r="BI338" s="107"/>
      <c r="BJ338" s="106"/>
      <c r="BK338" s="108"/>
      <c r="BL338" s="159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7"/>
      <c r="CC338" s="107"/>
      <c r="CD338" s="107"/>
      <c r="CE338" s="107"/>
      <c r="CF338" s="107"/>
      <c r="CG338" s="107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10"/>
      <c r="DH338" s="475"/>
      <c r="DI338" s="1"/>
      <c r="DJ338" s="53"/>
      <c r="DK338" s="475"/>
      <c r="DL338" s="54"/>
      <c r="DM338" s="54"/>
      <c r="DN338" s="54"/>
      <c r="DO338" s="54"/>
      <c r="DP338" s="54"/>
      <c r="DQ338" s="54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L338" s="55"/>
      <c r="EM338" s="1"/>
      <c r="EN338" s="106"/>
      <c r="EO338" s="106"/>
      <c r="EP338" s="1"/>
      <c r="EQ338" s="106"/>
      <c r="ER338" s="1"/>
      <c r="ES338" s="1"/>
      <c r="ET338" s="1"/>
      <c r="EU338" s="107"/>
      <c r="FJ338" s="673">
        <v>14</v>
      </c>
      <c r="FK338" s="460">
        <f t="shared" ref="FK338:HV338" ca="1" si="689">IF(AND(ISNUMBER(FK33),ISNUMBER(FK$320),FK$320&lt;&gt;0),FK33*FK$320/FK$15,"")</f>
        <v>0</v>
      </c>
      <c r="FL338" s="460">
        <f t="shared" ca="1" si="689"/>
        <v>2.7818205952909137E-3</v>
      </c>
      <c r="FM338" s="460">
        <f t="shared" ca="1" si="689"/>
        <v>3.3683493981548429E-3</v>
      </c>
      <c r="FN338" s="460">
        <f t="shared" ca="1" si="689"/>
        <v>2.9745457794051085E-3</v>
      </c>
      <c r="FO338" s="460">
        <f t="shared" ca="1" si="689"/>
        <v>3.2735350271435584E-3</v>
      </c>
      <c r="FP338" s="460">
        <f t="shared" ca="1" si="689"/>
        <v>1.9380455022675702E-3</v>
      </c>
      <c r="FQ338" s="460" t="str">
        <f t="shared" ca="1" si="689"/>
        <v/>
      </c>
      <c r="FR338" s="460" t="str">
        <f t="shared" ca="1" si="689"/>
        <v/>
      </c>
      <c r="FS338" s="460" t="str">
        <f t="shared" ca="1" si="689"/>
        <v/>
      </c>
      <c r="FT338" s="460" t="str">
        <f t="shared" ca="1" si="689"/>
        <v/>
      </c>
      <c r="FU338" s="460" t="str">
        <f t="shared" ca="1" si="689"/>
        <v/>
      </c>
      <c r="FV338" s="460" t="str">
        <f t="shared" ca="1" si="689"/>
        <v/>
      </c>
      <c r="FW338" s="460" t="str">
        <f t="shared" ca="1" si="689"/>
        <v/>
      </c>
      <c r="FX338" s="460" t="str">
        <f t="shared" ca="1" si="689"/>
        <v/>
      </c>
      <c r="FY338" s="460" t="str">
        <f t="shared" ca="1" si="689"/>
        <v/>
      </c>
      <c r="FZ338" s="460" t="str">
        <f t="shared" ca="1" si="689"/>
        <v/>
      </c>
      <c r="GA338" s="460" t="str">
        <f t="shared" ca="1" si="689"/>
        <v/>
      </c>
      <c r="GB338" s="460" t="str">
        <f t="shared" ca="1" si="689"/>
        <v/>
      </c>
      <c r="GC338" s="460" t="str">
        <f t="shared" ca="1" si="689"/>
        <v/>
      </c>
      <c r="GD338" s="460" t="str">
        <f t="shared" ca="1" si="689"/>
        <v/>
      </c>
      <c r="GE338" s="460" t="str">
        <f t="shared" ca="1" si="689"/>
        <v/>
      </c>
      <c r="GF338" s="460" t="str">
        <f t="shared" ca="1" si="689"/>
        <v/>
      </c>
      <c r="GG338" s="460" t="str">
        <f t="shared" ca="1" si="689"/>
        <v/>
      </c>
      <c r="GH338" s="460" t="str">
        <f t="shared" ca="1" si="689"/>
        <v/>
      </c>
      <c r="GI338" s="460" t="str">
        <f t="shared" ca="1" si="689"/>
        <v/>
      </c>
      <c r="GJ338" s="460" t="str">
        <f t="shared" ca="1" si="689"/>
        <v/>
      </c>
      <c r="GK338" s="460" t="str">
        <f t="shared" ca="1" si="689"/>
        <v/>
      </c>
      <c r="GL338" s="460" t="str">
        <f t="shared" ca="1" si="689"/>
        <v/>
      </c>
      <c r="GM338" s="460" t="str">
        <f t="shared" ca="1" si="689"/>
        <v/>
      </c>
      <c r="GN338" s="460" t="str">
        <f t="shared" ca="1" si="689"/>
        <v/>
      </c>
      <c r="GO338" s="460" t="str">
        <f t="shared" ca="1" si="689"/>
        <v/>
      </c>
      <c r="GP338" s="460" t="str">
        <f t="shared" ca="1" si="689"/>
        <v/>
      </c>
      <c r="GQ338" s="460" t="str">
        <f t="shared" ca="1" si="689"/>
        <v/>
      </c>
      <c r="GR338" s="460" t="str">
        <f t="shared" ca="1" si="689"/>
        <v/>
      </c>
      <c r="GS338" s="460" t="str">
        <f t="shared" ca="1" si="689"/>
        <v/>
      </c>
      <c r="GT338" s="460" t="str">
        <f t="shared" ca="1" si="689"/>
        <v/>
      </c>
      <c r="GU338" s="460" t="str">
        <f t="shared" ca="1" si="689"/>
        <v/>
      </c>
      <c r="GV338" s="460" t="str">
        <f t="shared" ca="1" si="689"/>
        <v/>
      </c>
      <c r="GW338" s="460" t="str">
        <f t="shared" ca="1" si="689"/>
        <v/>
      </c>
      <c r="GX338" s="460" t="str">
        <f t="shared" ca="1" si="689"/>
        <v/>
      </c>
      <c r="GY338" s="460" t="str">
        <f t="shared" ca="1" si="689"/>
        <v/>
      </c>
      <c r="GZ338" s="460" t="str">
        <f t="shared" ca="1" si="689"/>
        <v/>
      </c>
      <c r="HA338" s="460" t="str">
        <f t="shared" ca="1" si="689"/>
        <v/>
      </c>
      <c r="HB338" s="460" t="str">
        <f t="shared" ca="1" si="689"/>
        <v/>
      </c>
      <c r="HC338" s="460" t="str">
        <f t="shared" ca="1" si="689"/>
        <v/>
      </c>
      <c r="HD338" s="460" t="str">
        <f t="shared" ca="1" si="689"/>
        <v/>
      </c>
      <c r="HE338" s="460" t="str">
        <f t="shared" ca="1" si="689"/>
        <v/>
      </c>
      <c r="HF338" s="460" t="str">
        <f t="shared" ca="1" si="689"/>
        <v/>
      </c>
      <c r="HG338" s="460" t="str">
        <f t="shared" ca="1" si="689"/>
        <v/>
      </c>
      <c r="HH338" s="460" t="str">
        <f t="shared" ca="1" si="689"/>
        <v/>
      </c>
      <c r="HI338" s="460" t="str">
        <f t="shared" ca="1" si="689"/>
        <v/>
      </c>
      <c r="HJ338" s="460" t="str">
        <f t="shared" ca="1" si="689"/>
        <v/>
      </c>
      <c r="HK338" s="460" t="str">
        <f t="shared" ca="1" si="689"/>
        <v/>
      </c>
      <c r="HL338" s="460" t="str">
        <f t="shared" ca="1" si="689"/>
        <v/>
      </c>
      <c r="HM338" s="460" t="str">
        <f t="shared" ca="1" si="689"/>
        <v/>
      </c>
      <c r="HN338" s="460" t="str">
        <f t="shared" ca="1" si="689"/>
        <v/>
      </c>
      <c r="HO338" s="460" t="str">
        <f t="shared" ca="1" si="689"/>
        <v/>
      </c>
      <c r="HP338" s="460" t="str">
        <f t="shared" ca="1" si="689"/>
        <v/>
      </c>
      <c r="HQ338" s="460" t="str">
        <f t="shared" ca="1" si="689"/>
        <v/>
      </c>
      <c r="HR338" s="460" t="str">
        <f t="shared" ca="1" si="689"/>
        <v/>
      </c>
      <c r="HS338" s="460" t="str">
        <f t="shared" ca="1" si="689"/>
        <v/>
      </c>
      <c r="HT338" s="460" t="str">
        <f t="shared" ca="1" si="689"/>
        <v/>
      </c>
      <c r="HU338" s="460" t="str">
        <f t="shared" ca="1" si="689"/>
        <v/>
      </c>
      <c r="HV338" s="460" t="str">
        <f t="shared" ca="1" si="689"/>
        <v/>
      </c>
      <c r="HW338" s="460" t="str">
        <f t="shared" ca="1" si="676"/>
        <v/>
      </c>
      <c r="HX338" s="460" t="str">
        <f t="shared" ca="1" si="686"/>
        <v/>
      </c>
      <c r="HY338" s="460" t="str">
        <f t="shared" ca="1" si="686"/>
        <v/>
      </c>
      <c r="HZ338" s="460" t="str">
        <f t="shared" ca="1" si="686"/>
        <v/>
      </c>
      <c r="IA338" s="460" t="str">
        <f t="shared" ca="1" si="686"/>
        <v/>
      </c>
      <c r="IB338" s="460" t="str">
        <f t="shared" ca="1" si="686"/>
        <v/>
      </c>
      <c r="IC338" s="460" t="str">
        <f t="shared" ca="1" si="686"/>
        <v/>
      </c>
      <c r="ID338" s="674" t="str">
        <f t="shared" ca="1" si="686"/>
        <v/>
      </c>
      <c r="IE338" s="250"/>
    </row>
    <row r="339" spans="9:239">
      <c r="I339" s="137"/>
      <c r="J339" s="375"/>
      <c r="K339" s="1"/>
      <c r="L339" s="1"/>
      <c r="M339" s="376"/>
      <c r="P339" s="375"/>
      <c r="S339" s="55"/>
      <c r="T339" s="375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74"/>
      <c r="AO339" s="374"/>
      <c r="AP339" s="106"/>
      <c r="AQ339" s="374"/>
      <c r="AR339" s="106"/>
      <c r="AS339" s="106"/>
      <c r="AT339" s="106"/>
      <c r="AU339" s="31"/>
      <c r="AV339" s="31"/>
      <c r="AW339" s="31"/>
      <c r="AX339" s="31"/>
      <c r="AY339" s="154"/>
      <c r="AZ339" s="154"/>
      <c r="BA339" s="106"/>
      <c r="BB339" s="106"/>
      <c r="BC339" s="106"/>
      <c r="BD339" s="106"/>
      <c r="BE339" s="107"/>
      <c r="BF339" s="107"/>
      <c r="BG339" s="107"/>
      <c r="BH339" s="105"/>
      <c r="BI339" s="107"/>
      <c r="BJ339" s="106"/>
      <c r="BK339" s="108"/>
      <c r="BL339" s="159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7"/>
      <c r="CC339" s="107"/>
      <c r="CD339" s="107"/>
      <c r="CE339" s="107"/>
      <c r="CF339" s="107"/>
      <c r="CG339" s="107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10"/>
      <c r="DH339" s="475"/>
      <c r="DI339" s="1"/>
      <c r="DJ339" s="53"/>
      <c r="DK339" s="475"/>
      <c r="DL339" s="54"/>
      <c r="DM339" s="54"/>
      <c r="DN339" s="54"/>
      <c r="DO339" s="54"/>
      <c r="DP339" s="54"/>
      <c r="DQ339" s="54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L339" s="55"/>
      <c r="EM339" s="1"/>
      <c r="EN339" s="106"/>
      <c r="EO339" s="106"/>
      <c r="EP339" s="1"/>
      <c r="EQ339" s="106"/>
      <c r="ER339" s="1"/>
      <c r="ES339" s="1"/>
      <c r="ET339" s="1"/>
      <c r="EU339" s="107"/>
      <c r="FJ339" s="673">
        <v>15</v>
      </c>
      <c r="FK339" s="460">
        <f t="shared" ref="FK339:HV339" ca="1" si="690">IF(AND(ISNUMBER(FK34),ISNUMBER(FK$320),FK$320&lt;&gt;0),FK34*FK$320/FK$15,"")</f>
        <v>0</v>
      </c>
      <c r="FL339" s="460">
        <f t="shared" ca="1" si="690"/>
        <v>2.6864444497373299E-3</v>
      </c>
      <c r="FM339" s="460">
        <f t="shared" ca="1" si="690"/>
        <v>3.2332785369662666E-3</v>
      </c>
      <c r="FN339" s="460">
        <f t="shared" ca="1" si="690"/>
        <v>2.8350377908748716E-3</v>
      </c>
      <c r="FO339" s="460">
        <f t="shared" ca="1" si="690"/>
        <v>3.093966881738801E-3</v>
      </c>
      <c r="FP339" s="460">
        <f t="shared" ca="1" si="690"/>
        <v>1.8137057036550727E-3</v>
      </c>
      <c r="FQ339" s="460" t="str">
        <f t="shared" ca="1" si="690"/>
        <v/>
      </c>
      <c r="FR339" s="460" t="str">
        <f t="shared" ca="1" si="690"/>
        <v/>
      </c>
      <c r="FS339" s="460" t="str">
        <f t="shared" ca="1" si="690"/>
        <v/>
      </c>
      <c r="FT339" s="460" t="str">
        <f t="shared" ca="1" si="690"/>
        <v/>
      </c>
      <c r="FU339" s="460" t="str">
        <f t="shared" ca="1" si="690"/>
        <v/>
      </c>
      <c r="FV339" s="460" t="str">
        <f t="shared" ca="1" si="690"/>
        <v/>
      </c>
      <c r="FW339" s="460" t="str">
        <f t="shared" ca="1" si="690"/>
        <v/>
      </c>
      <c r="FX339" s="460" t="str">
        <f t="shared" ca="1" si="690"/>
        <v/>
      </c>
      <c r="FY339" s="460" t="str">
        <f t="shared" ca="1" si="690"/>
        <v/>
      </c>
      <c r="FZ339" s="460" t="str">
        <f t="shared" ca="1" si="690"/>
        <v/>
      </c>
      <c r="GA339" s="460" t="str">
        <f t="shared" ca="1" si="690"/>
        <v/>
      </c>
      <c r="GB339" s="460" t="str">
        <f t="shared" ca="1" si="690"/>
        <v/>
      </c>
      <c r="GC339" s="460" t="str">
        <f t="shared" ca="1" si="690"/>
        <v/>
      </c>
      <c r="GD339" s="460" t="str">
        <f t="shared" ca="1" si="690"/>
        <v/>
      </c>
      <c r="GE339" s="460" t="str">
        <f t="shared" ca="1" si="690"/>
        <v/>
      </c>
      <c r="GF339" s="460" t="str">
        <f t="shared" ca="1" si="690"/>
        <v/>
      </c>
      <c r="GG339" s="460" t="str">
        <f t="shared" ca="1" si="690"/>
        <v/>
      </c>
      <c r="GH339" s="460" t="str">
        <f t="shared" ca="1" si="690"/>
        <v/>
      </c>
      <c r="GI339" s="460" t="str">
        <f t="shared" ca="1" si="690"/>
        <v/>
      </c>
      <c r="GJ339" s="460" t="str">
        <f t="shared" ca="1" si="690"/>
        <v/>
      </c>
      <c r="GK339" s="460" t="str">
        <f t="shared" ca="1" si="690"/>
        <v/>
      </c>
      <c r="GL339" s="460" t="str">
        <f t="shared" ca="1" si="690"/>
        <v/>
      </c>
      <c r="GM339" s="460" t="str">
        <f t="shared" ca="1" si="690"/>
        <v/>
      </c>
      <c r="GN339" s="460" t="str">
        <f t="shared" ca="1" si="690"/>
        <v/>
      </c>
      <c r="GO339" s="460" t="str">
        <f t="shared" ca="1" si="690"/>
        <v/>
      </c>
      <c r="GP339" s="460" t="str">
        <f t="shared" ca="1" si="690"/>
        <v/>
      </c>
      <c r="GQ339" s="460" t="str">
        <f t="shared" ca="1" si="690"/>
        <v/>
      </c>
      <c r="GR339" s="460" t="str">
        <f t="shared" ca="1" si="690"/>
        <v/>
      </c>
      <c r="GS339" s="460" t="str">
        <f t="shared" ca="1" si="690"/>
        <v/>
      </c>
      <c r="GT339" s="460" t="str">
        <f t="shared" ca="1" si="690"/>
        <v/>
      </c>
      <c r="GU339" s="460" t="str">
        <f t="shared" ca="1" si="690"/>
        <v/>
      </c>
      <c r="GV339" s="460" t="str">
        <f t="shared" ca="1" si="690"/>
        <v/>
      </c>
      <c r="GW339" s="460" t="str">
        <f t="shared" ca="1" si="690"/>
        <v/>
      </c>
      <c r="GX339" s="460" t="str">
        <f t="shared" ca="1" si="690"/>
        <v/>
      </c>
      <c r="GY339" s="460" t="str">
        <f t="shared" ca="1" si="690"/>
        <v/>
      </c>
      <c r="GZ339" s="460" t="str">
        <f t="shared" ca="1" si="690"/>
        <v/>
      </c>
      <c r="HA339" s="460" t="str">
        <f t="shared" ca="1" si="690"/>
        <v/>
      </c>
      <c r="HB339" s="460" t="str">
        <f t="shared" ca="1" si="690"/>
        <v/>
      </c>
      <c r="HC339" s="460" t="str">
        <f t="shared" ca="1" si="690"/>
        <v/>
      </c>
      <c r="HD339" s="460" t="str">
        <f t="shared" ca="1" si="690"/>
        <v/>
      </c>
      <c r="HE339" s="460" t="str">
        <f t="shared" ca="1" si="690"/>
        <v/>
      </c>
      <c r="HF339" s="460" t="str">
        <f t="shared" ca="1" si="690"/>
        <v/>
      </c>
      <c r="HG339" s="460" t="str">
        <f t="shared" ca="1" si="690"/>
        <v/>
      </c>
      <c r="HH339" s="460" t="str">
        <f t="shared" ca="1" si="690"/>
        <v/>
      </c>
      <c r="HI339" s="460" t="str">
        <f t="shared" ca="1" si="690"/>
        <v/>
      </c>
      <c r="HJ339" s="460" t="str">
        <f t="shared" ca="1" si="690"/>
        <v/>
      </c>
      <c r="HK339" s="460" t="str">
        <f t="shared" ca="1" si="690"/>
        <v/>
      </c>
      <c r="HL339" s="460" t="str">
        <f t="shared" ca="1" si="690"/>
        <v/>
      </c>
      <c r="HM339" s="460" t="str">
        <f t="shared" ca="1" si="690"/>
        <v/>
      </c>
      <c r="HN339" s="460" t="str">
        <f t="shared" ca="1" si="690"/>
        <v/>
      </c>
      <c r="HO339" s="460" t="str">
        <f t="shared" ca="1" si="690"/>
        <v/>
      </c>
      <c r="HP339" s="460" t="str">
        <f t="shared" ca="1" si="690"/>
        <v/>
      </c>
      <c r="HQ339" s="460" t="str">
        <f t="shared" ca="1" si="690"/>
        <v/>
      </c>
      <c r="HR339" s="460" t="str">
        <f t="shared" ca="1" si="690"/>
        <v/>
      </c>
      <c r="HS339" s="460" t="str">
        <f t="shared" ca="1" si="690"/>
        <v/>
      </c>
      <c r="HT339" s="460" t="str">
        <f t="shared" ca="1" si="690"/>
        <v/>
      </c>
      <c r="HU339" s="460" t="str">
        <f t="shared" ca="1" si="690"/>
        <v/>
      </c>
      <c r="HV339" s="460" t="str">
        <f t="shared" ca="1" si="690"/>
        <v/>
      </c>
      <c r="HW339" s="460" t="str">
        <f t="shared" ca="1" si="676"/>
        <v/>
      </c>
      <c r="HX339" s="460" t="str">
        <f t="shared" ca="1" si="686"/>
        <v/>
      </c>
      <c r="HY339" s="460" t="str">
        <f t="shared" ca="1" si="686"/>
        <v/>
      </c>
      <c r="HZ339" s="460" t="str">
        <f t="shared" ca="1" si="686"/>
        <v/>
      </c>
      <c r="IA339" s="460" t="str">
        <f t="shared" ca="1" si="686"/>
        <v/>
      </c>
      <c r="IB339" s="460" t="str">
        <f t="shared" ca="1" si="686"/>
        <v/>
      </c>
      <c r="IC339" s="460" t="str">
        <f t="shared" ca="1" si="686"/>
        <v/>
      </c>
      <c r="ID339" s="674" t="str">
        <f t="shared" ca="1" si="686"/>
        <v/>
      </c>
      <c r="IE339" s="250"/>
    </row>
    <row r="340" spans="9:239">
      <c r="I340" s="137"/>
      <c r="J340" s="375"/>
      <c r="K340" s="1"/>
      <c r="L340" s="1"/>
      <c r="M340" s="376"/>
      <c r="P340" s="375"/>
      <c r="S340" s="55"/>
      <c r="T340" s="375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74"/>
      <c r="AO340" s="374"/>
      <c r="AP340" s="106"/>
      <c r="AQ340" s="374"/>
      <c r="AR340" s="106"/>
      <c r="AS340" s="106"/>
      <c r="AT340" s="106"/>
      <c r="AU340" s="31"/>
      <c r="AV340" s="31"/>
      <c r="AW340" s="31"/>
      <c r="AX340" s="31"/>
      <c r="AY340" s="154"/>
      <c r="AZ340" s="154"/>
      <c r="BA340" s="106"/>
      <c r="BB340" s="106"/>
      <c r="BC340" s="106"/>
      <c r="BD340" s="106"/>
      <c r="BE340" s="107"/>
      <c r="BF340" s="107"/>
      <c r="BG340" s="107"/>
      <c r="BH340" s="105"/>
      <c r="BI340" s="107"/>
      <c r="BJ340" s="106"/>
      <c r="BK340" s="108"/>
      <c r="BL340" s="159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7"/>
      <c r="CC340" s="107"/>
      <c r="CD340" s="107"/>
      <c r="CE340" s="107"/>
      <c r="CF340" s="107"/>
      <c r="CG340" s="107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10"/>
      <c r="DH340" s="475"/>
      <c r="DI340" s="1"/>
      <c r="DJ340" s="53"/>
      <c r="DK340" s="475"/>
      <c r="DL340" s="54"/>
      <c r="DM340" s="54"/>
      <c r="DN340" s="54"/>
      <c r="DO340" s="54"/>
      <c r="DP340" s="54"/>
      <c r="DQ340" s="54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L340" s="55"/>
      <c r="EM340" s="1"/>
      <c r="EN340" s="106"/>
      <c r="EO340" s="106"/>
      <c r="EP340" s="1"/>
      <c r="EQ340" s="106"/>
      <c r="ER340" s="1"/>
      <c r="ES340" s="1"/>
      <c r="ET340" s="1"/>
      <c r="EU340" s="107"/>
      <c r="FJ340" s="673">
        <v>16</v>
      </c>
      <c r="FK340" s="460">
        <f t="shared" ref="FK340:HV340" ca="1" si="691">IF(AND(ISNUMBER(FK35),ISNUMBER(FK$320),FK$320&lt;&gt;0),FK35*FK$320/FK$15,"")</f>
        <v>0</v>
      </c>
      <c r="FL340" s="460">
        <f t="shared" ca="1" si="691"/>
        <v>2.6076937124374683E-3</v>
      </c>
      <c r="FM340" s="460">
        <f t="shared" ca="1" si="691"/>
        <v>3.1224239243866502E-3</v>
      </c>
      <c r="FN340" s="460">
        <f t="shared" ca="1" si="691"/>
        <v>2.7213527331058072E-3</v>
      </c>
      <c r="FO340" s="460">
        <f t="shared" ca="1" si="691"/>
        <v>2.9488579715855091E-3</v>
      </c>
      <c r="FP340" s="460">
        <f t="shared" ca="1" si="691"/>
        <v>1.7142157740178876E-3</v>
      </c>
      <c r="FQ340" s="460" t="str">
        <f t="shared" ca="1" si="691"/>
        <v/>
      </c>
      <c r="FR340" s="460" t="str">
        <f t="shared" ca="1" si="691"/>
        <v/>
      </c>
      <c r="FS340" s="460" t="str">
        <f t="shared" ca="1" si="691"/>
        <v/>
      </c>
      <c r="FT340" s="460" t="str">
        <f t="shared" ca="1" si="691"/>
        <v/>
      </c>
      <c r="FU340" s="460" t="str">
        <f t="shared" ca="1" si="691"/>
        <v/>
      </c>
      <c r="FV340" s="460" t="str">
        <f t="shared" ca="1" si="691"/>
        <v/>
      </c>
      <c r="FW340" s="460" t="str">
        <f t="shared" ca="1" si="691"/>
        <v/>
      </c>
      <c r="FX340" s="460" t="str">
        <f t="shared" ca="1" si="691"/>
        <v/>
      </c>
      <c r="FY340" s="460" t="str">
        <f t="shared" ca="1" si="691"/>
        <v/>
      </c>
      <c r="FZ340" s="460" t="str">
        <f t="shared" ca="1" si="691"/>
        <v/>
      </c>
      <c r="GA340" s="460" t="str">
        <f t="shared" ca="1" si="691"/>
        <v/>
      </c>
      <c r="GB340" s="460" t="str">
        <f t="shared" ca="1" si="691"/>
        <v/>
      </c>
      <c r="GC340" s="460" t="str">
        <f t="shared" ca="1" si="691"/>
        <v/>
      </c>
      <c r="GD340" s="460" t="str">
        <f t="shared" ca="1" si="691"/>
        <v/>
      </c>
      <c r="GE340" s="460" t="str">
        <f t="shared" ca="1" si="691"/>
        <v/>
      </c>
      <c r="GF340" s="460" t="str">
        <f t="shared" ca="1" si="691"/>
        <v/>
      </c>
      <c r="GG340" s="460" t="str">
        <f t="shared" ca="1" si="691"/>
        <v/>
      </c>
      <c r="GH340" s="460" t="str">
        <f t="shared" ca="1" si="691"/>
        <v/>
      </c>
      <c r="GI340" s="460" t="str">
        <f t="shared" ca="1" si="691"/>
        <v/>
      </c>
      <c r="GJ340" s="460" t="str">
        <f t="shared" ca="1" si="691"/>
        <v/>
      </c>
      <c r="GK340" s="460" t="str">
        <f t="shared" ca="1" si="691"/>
        <v/>
      </c>
      <c r="GL340" s="460" t="str">
        <f t="shared" ca="1" si="691"/>
        <v/>
      </c>
      <c r="GM340" s="460" t="str">
        <f t="shared" ca="1" si="691"/>
        <v/>
      </c>
      <c r="GN340" s="460" t="str">
        <f t="shared" ca="1" si="691"/>
        <v/>
      </c>
      <c r="GO340" s="460" t="str">
        <f t="shared" ca="1" si="691"/>
        <v/>
      </c>
      <c r="GP340" s="460" t="str">
        <f t="shared" ca="1" si="691"/>
        <v/>
      </c>
      <c r="GQ340" s="460" t="str">
        <f t="shared" ca="1" si="691"/>
        <v/>
      </c>
      <c r="GR340" s="460" t="str">
        <f t="shared" ca="1" si="691"/>
        <v/>
      </c>
      <c r="GS340" s="460" t="str">
        <f t="shared" ca="1" si="691"/>
        <v/>
      </c>
      <c r="GT340" s="460" t="str">
        <f t="shared" ca="1" si="691"/>
        <v/>
      </c>
      <c r="GU340" s="460" t="str">
        <f t="shared" ca="1" si="691"/>
        <v/>
      </c>
      <c r="GV340" s="460" t="str">
        <f t="shared" ca="1" si="691"/>
        <v/>
      </c>
      <c r="GW340" s="460" t="str">
        <f t="shared" ca="1" si="691"/>
        <v/>
      </c>
      <c r="GX340" s="460" t="str">
        <f t="shared" ca="1" si="691"/>
        <v/>
      </c>
      <c r="GY340" s="460" t="str">
        <f t="shared" ca="1" si="691"/>
        <v/>
      </c>
      <c r="GZ340" s="460" t="str">
        <f t="shared" ca="1" si="691"/>
        <v/>
      </c>
      <c r="HA340" s="460" t="str">
        <f t="shared" ca="1" si="691"/>
        <v/>
      </c>
      <c r="HB340" s="460" t="str">
        <f t="shared" ca="1" si="691"/>
        <v/>
      </c>
      <c r="HC340" s="460" t="str">
        <f t="shared" ca="1" si="691"/>
        <v/>
      </c>
      <c r="HD340" s="460" t="str">
        <f t="shared" ca="1" si="691"/>
        <v/>
      </c>
      <c r="HE340" s="460" t="str">
        <f t="shared" ca="1" si="691"/>
        <v/>
      </c>
      <c r="HF340" s="460" t="str">
        <f t="shared" ca="1" si="691"/>
        <v/>
      </c>
      <c r="HG340" s="460" t="str">
        <f t="shared" ca="1" si="691"/>
        <v/>
      </c>
      <c r="HH340" s="460" t="str">
        <f t="shared" ca="1" si="691"/>
        <v/>
      </c>
      <c r="HI340" s="460" t="str">
        <f t="shared" ca="1" si="691"/>
        <v/>
      </c>
      <c r="HJ340" s="460" t="str">
        <f t="shared" ca="1" si="691"/>
        <v/>
      </c>
      <c r="HK340" s="460" t="str">
        <f t="shared" ca="1" si="691"/>
        <v/>
      </c>
      <c r="HL340" s="460" t="str">
        <f t="shared" ca="1" si="691"/>
        <v/>
      </c>
      <c r="HM340" s="460" t="str">
        <f t="shared" ca="1" si="691"/>
        <v/>
      </c>
      <c r="HN340" s="460" t="str">
        <f t="shared" ca="1" si="691"/>
        <v/>
      </c>
      <c r="HO340" s="460" t="str">
        <f t="shared" ca="1" si="691"/>
        <v/>
      </c>
      <c r="HP340" s="460" t="str">
        <f t="shared" ca="1" si="691"/>
        <v/>
      </c>
      <c r="HQ340" s="460" t="str">
        <f t="shared" ca="1" si="691"/>
        <v/>
      </c>
      <c r="HR340" s="460" t="str">
        <f t="shared" ca="1" si="691"/>
        <v/>
      </c>
      <c r="HS340" s="460" t="str">
        <f t="shared" ca="1" si="691"/>
        <v/>
      </c>
      <c r="HT340" s="460" t="str">
        <f t="shared" ca="1" si="691"/>
        <v/>
      </c>
      <c r="HU340" s="460" t="str">
        <f t="shared" ca="1" si="691"/>
        <v/>
      </c>
      <c r="HV340" s="460" t="str">
        <f t="shared" ca="1" si="691"/>
        <v/>
      </c>
      <c r="HW340" s="460" t="str">
        <f t="shared" ca="1" si="676"/>
        <v/>
      </c>
      <c r="HX340" s="460" t="str">
        <f t="shared" ca="1" si="686"/>
        <v/>
      </c>
      <c r="HY340" s="460" t="str">
        <f t="shared" ca="1" si="686"/>
        <v/>
      </c>
      <c r="HZ340" s="460" t="str">
        <f t="shared" ca="1" si="686"/>
        <v/>
      </c>
      <c r="IA340" s="460" t="str">
        <f t="shared" ca="1" si="686"/>
        <v/>
      </c>
      <c r="IB340" s="460" t="str">
        <f t="shared" ca="1" si="686"/>
        <v/>
      </c>
      <c r="IC340" s="460" t="str">
        <f t="shared" ca="1" si="686"/>
        <v/>
      </c>
      <c r="ID340" s="674" t="str">
        <f t="shared" ca="1" si="686"/>
        <v/>
      </c>
      <c r="IE340" s="250"/>
    </row>
    <row r="341" spans="9:239">
      <c r="I341" s="137"/>
      <c r="J341" s="375"/>
      <c r="K341" s="1"/>
      <c r="L341" s="1"/>
      <c r="M341" s="376"/>
      <c r="P341" s="375"/>
      <c r="S341" s="55"/>
      <c r="T341" s="375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74"/>
      <c r="AO341" s="374"/>
      <c r="AP341" s="106"/>
      <c r="AQ341" s="374"/>
      <c r="AR341" s="106"/>
      <c r="AS341" s="106"/>
      <c r="AT341" s="106"/>
      <c r="AU341" s="31"/>
      <c r="AV341" s="31"/>
      <c r="AW341" s="31"/>
      <c r="AX341" s="31"/>
      <c r="AY341" s="154"/>
      <c r="AZ341" s="154"/>
      <c r="BA341" s="106"/>
      <c r="BB341" s="106"/>
      <c r="BC341" s="106"/>
      <c r="BD341" s="106"/>
      <c r="BE341" s="107"/>
      <c r="BF341" s="107"/>
      <c r="BG341" s="107"/>
      <c r="BH341" s="105"/>
      <c r="BI341" s="107"/>
      <c r="BJ341" s="106"/>
      <c r="BK341" s="108"/>
      <c r="BL341" s="159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7"/>
      <c r="CC341" s="107"/>
      <c r="CD341" s="107"/>
      <c r="CE341" s="107"/>
      <c r="CF341" s="107"/>
      <c r="CG341" s="107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10"/>
      <c r="DH341" s="475"/>
      <c r="DI341" s="1"/>
      <c r="DJ341" s="53"/>
      <c r="DK341" s="475"/>
      <c r="DL341" s="54"/>
      <c r="DM341" s="54"/>
      <c r="DN341" s="54"/>
      <c r="DO341" s="54"/>
      <c r="DP341" s="54"/>
      <c r="DQ341" s="54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L341" s="55"/>
      <c r="EM341" s="1"/>
      <c r="EN341" s="106"/>
      <c r="EO341" s="106"/>
      <c r="EP341" s="1"/>
      <c r="EQ341" s="106"/>
      <c r="ER341" s="1"/>
      <c r="ES341" s="1"/>
      <c r="ET341" s="1"/>
      <c r="EU341" s="107"/>
      <c r="FJ341" s="673">
        <v>17</v>
      </c>
      <c r="FK341" s="460">
        <f t="shared" ref="FK341:HV341" ca="1" si="692">IF(AND(ISNUMBER(FK36),ISNUMBER(FK$320),FK$320&lt;&gt;0),FK36*FK$320/FK$15,"")</f>
        <v>0</v>
      </c>
      <c r="FL341" s="460">
        <f t="shared" ca="1" si="692"/>
        <v>2.5423356064247552E-3</v>
      </c>
      <c r="FM341" s="460">
        <f t="shared" ca="1" si="692"/>
        <v>3.0308928353175208E-3</v>
      </c>
      <c r="FN341" s="460">
        <f t="shared" ca="1" si="692"/>
        <v>2.6280497592135604E-3</v>
      </c>
      <c r="FO341" s="460">
        <f t="shared" ca="1" si="692"/>
        <v>2.8306087228694939E-3</v>
      </c>
      <c r="FP341" s="460">
        <f t="shared" ca="1" si="692"/>
        <v>1.6338180217977598E-3</v>
      </c>
      <c r="FQ341" s="460" t="str">
        <f t="shared" ca="1" si="692"/>
        <v/>
      </c>
      <c r="FR341" s="460" t="str">
        <f t="shared" ca="1" si="692"/>
        <v/>
      </c>
      <c r="FS341" s="460" t="str">
        <f t="shared" ca="1" si="692"/>
        <v/>
      </c>
      <c r="FT341" s="460" t="str">
        <f t="shared" ca="1" si="692"/>
        <v/>
      </c>
      <c r="FU341" s="460" t="str">
        <f t="shared" ca="1" si="692"/>
        <v/>
      </c>
      <c r="FV341" s="460" t="str">
        <f t="shared" ca="1" si="692"/>
        <v/>
      </c>
      <c r="FW341" s="460" t="str">
        <f t="shared" ca="1" si="692"/>
        <v/>
      </c>
      <c r="FX341" s="460" t="str">
        <f t="shared" ca="1" si="692"/>
        <v/>
      </c>
      <c r="FY341" s="460" t="str">
        <f t="shared" ca="1" si="692"/>
        <v/>
      </c>
      <c r="FZ341" s="460" t="str">
        <f t="shared" ca="1" si="692"/>
        <v/>
      </c>
      <c r="GA341" s="460" t="str">
        <f t="shared" ca="1" si="692"/>
        <v/>
      </c>
      <c r="GB341" s="460" t="str">
        <f t="shared" ca="1" si="692"/>
        <v/>
      </c>
      <c r="GC341" s="460" t="str">
        <f t="shared" ca="1" si="692"/>
        <v/>
      </c>
      <c r="GD341" s="460" t="str">
        <f t="shared" ca="1" si="692"/>
        <v/>
      </c>
      <c r="GE341" s="460" t="str">
        <f t="shared" ca="1" si="692"/>
        <v/>
      </c>
      <c r="GF341" s="460" t="str">
        <f t="shared" ca="1" si="692"/>
        <v/>
      </c>
      <c r="GG341" s="460" t="str">
        <f t="shared" ca="1" si="692"/>
        <v/>
      </c>
      <c r="GH341" s="460" t="str">
        <f t="shared" ca="1" si="692"/>
        <v/>
      </c>
      <c r="GI341" s="460" t="str">
        <f t="shared" ca="1" si="692"/>
        <v/>
      </c>
      <c r="GJ341" s="460" t="str">
        <f t="shared" ca="1" si="692"/>
        <v/>
      </c>
      <c r="GK341" s="460" t="str">
        <f t="shared" ca="1" si="692"/>
        <v/>
      </c>
      <c r="GL341" s="460" t="str">
        <f t="shared" ca="1" si="692"/>
        <v/>
      </c>
      <c r="GM341" s="460" t="str">
        <f t="shared" ca="1" si="692"/>
        <v/>
      </c>
      <c r="GN341" s="460" t="str">
        <f t="shared" ca="1" si="692"/>
        <v/>
      </c>
      <c r="GO341" s="460" t="str">
        <f t="shared" ca="1" si="692"/>
        <v/>
      </c>
      <c r="GP341" s="460" t="str">
        <f t="shared" ca="1" si="692"/>
        <v/>
      </c>
      <c r="GQ341" s="460" t="str">
        <f t="shared" ca="1" si="692"/>
        <v/>
      </c>
      <c r="GR341" s="460" t="str">
        <f t="shared" ca="1" si="692"/>
        <v/>
      </c>
      <c r="GS341" s="460" t="str">
        <f t="shared" ca="1" si="692"/>
        <v/>
      </c>
      <c r="GT341" s="460" t="str">
        <f t="shared" ca="1" si="692"/>
        <v/>
      </c>
      <c r="GU341" s="460" t="str">
        <f t="shared" ca="1" si="692"/>
        <v/>
      </c>
      <c r="GV341" s="460" t="str">
        <f t="shared" ca="1" si="692"/>
        <v/>
      </c>
      <c r="GW341" s="460" t="str">
        <f t="shared" ca="1" si="692"/>
        <v/>
      </c>
      <c r="GX341" s="460" t="str">
        <f t="shared" ca="1" si="692"/>
        <v/>
      </c>
      <c r="GY341" s="460" t="str">
        <f t="shared" ca="1" si="692"/>
        <v/>
      </c>
      <c r="GZ341" s="460" t="str">
        <f t="shared" ca="1" si="692"/>
        <v/>
      </c>
      <c r="HA341" s="460" t="str">
        <f t="shared" ca="1" si="692"/>
        <v/>
      </c>
      <c r="HB341" s="460" t="str">
        <f t="shared" ca="1" si="692"/>
        <v/>
      </c>
      <c r="HC341" s="460" t="str">
        <f t="shared" ca="1" si="692"/>
        <v/>
      </c>
      <c r="HD341" s="460" t="str">
        <f t="shared" ca="1" si="692"/>
        <v/>
      </c>
      <c r="HE341" s="460" t="str">
        <f t="shared" ca="1" si="692"/>
        <v/>
      </c>
      <c r="HF341" s="460" t="str">
        <f t="shared" ca="1" si="692"/>
        <v/>
      </c>
      <c r="HG341" s="460" t="str">
        <f t="shared" ca="1" si="692"/>
        <v/>
      </c>
      <c r="HH341" s="460" t="str">
        <f t="shared" ca="1" si="692"/>
        <v/>
      </c>
      <c r="HI341" s="460" t="str">
        <f t="shared" ca="1" si="692"/>
        <v/>
      </c>
      <c r="HJ341" s="460" t="str">
        <f t="shared" ca="1" si="692"/>
        <v/>
      </c>
      <c r="HK341" s="460" t="str">
        <f t="shared" ca="1" si="692"/>
        <v/>
      </c>
      <c r="HL341" s="460" t="str">
        <f t="shared" ca="1" si="692"/>
        <v/>
      </c>
      <c r="HM341" s="460" t="str">
        <f t="shared" ca="1" si="692"/>
        <v/>
      </c>
      <c r="HN341" s="460" t="str">
        <f t="shared" ca="1" si="692"/>
        <v/>
      </c>
      <c r="HO341" s="460" t="str">
        <f t="shared" ca="1" si="692"/>
        <v/>
      </c>
      <c r="HP341" s="460" t="str">
        <f t="shared" ca="1" si="692"/>
        <v/>
      </c>
      <c r="HQ341" s="460" t="str">
        <f t="shared" ca="1" si="692"/>
        <v/>
      </c>
      <c r="HR341" s="460" t="str">
        <f t="shared" ca="1" si="692"/>
        <v/>
      </c>
      <c r="HS341" s="460" t="str">
        <f t="shared" ca="1" si="692"/>
        <v/>
      </c>
      <c r="HT341" s="460" t="str">
        <f t="shared" ca="1" si="692"/>
        <v/>
      </c>
      <c r="HU341" s="460" t="str">
        <f t="shared" ca="1" si="692"/>
        <v/>
      </c>
      <c r="HV341" s="460" t="str">
        <f t="shared" ca="1" si="692"/>
        <v/>
      </c>
      <c r="HW341" s="460" t="str">
        <f t="shared" ca="1" si="676"/>
        <v/>
      </c>
      <c r="HX341" s="460" t="str">
        <f t="shared" ca="1" si="686"/>
        <v/>
      </c>
      <c r="HY341" s="460" t="str">
        <f t="shared" ca="1" si="686"/>
        <v/>
      </c>
      <c r="HZ341" s="460" t="str">
        <f t="shared" ca="1" si="686"/>
        <v/>
      </c>
      <c r="IA341" s="460" t="str">
        <f t="shared" ca="1" si="686"/>
        <v/>
      </c>
      <c r="IB341" s="460" t="str">
        <f t="shared" ca="1" si="686"/>
        <v/>
      </c>
      <c r="IC341" s="460" t="str">
        <f t="shared" ca="1" si="686"/>
        <v/>
      </c>
      <c r="ID341" s="674" t="str">
        <f t="shared" ca="1" si="686"/>
        <v/>
      </c>
      <c r="IE341" s="250"/>
    </row>
    <row r="342" spans="9:239">
      <c r="I342" s="137"/>
      <c r="J342" s="375"/>
      <c r="K342" s="1"/>
      <c r="L342" s="1"/>
      <c r="M342" s="376"/>
      <c r="P342" s="375"/>
      <c r="S342" s="55"/>
      <c r="T342" s="375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74"/>
      <c r="AO342" s="374"/>
      <c r="AP342" s="106"/>
      <c r="AQ342" s="374"/>
      <c r="AR342" s="106"/>
      <c r="AS342" s="106"/>
      <c r="AT342" s="106"/>
      <c r="AU342" s="31"/>
      <c r="AV342" s="31"/>
      <c r="AW342" s="31"/>
      <c r="AX342" s="31"/>
      <c r="AY342" s="154"/>
      <c r="AZ342" s="154"/>
      <c r="BA342" s="106"/>
      <c r="BB342" s="106"/>
      <c r="BC342" s="106"/>
      <c r="BD342" s="106"/>
      <c r="BE342" s="107"/>
      <c r="BF342" s="107"/>
      <c r="BG342" s="107"/>
      <c r="BH342" s="105"/>
      <c r="BI342" s="107"/>
      <c r="BJ342" s="106"/>
      <c r="BK342" s="108"/>
      <c r="BL342" s="159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7"/>
      <c r="CC342" s="107"/>
      <c r="CD342" s="107"/>
      <c r="CE342" s="107"/>
      <c r="CF342" s="107"/>
      <c r="CG342" s="107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10"/>
      <c r="DH342" s="475"/>
      <c r="DI342" s="1"/>
      <c r="DJ342" s="53"/>
      <c r="DK342" s="475"/>
      <c r="DL342" s="54"/>
      <c r="DM342" s="54"/>
      <c r="DN342" s="54"/>
      <c r="DO342" s="54"/>
      <c r="DP342" s="54"/>
      <c r="DQ342" s="54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L342" s="55"/>
      <c r="EM342" s="1"/>
      <c r="EN342" s="106"/>
      <c r="EO342" s="106"/>
      <c r="EP342" s="1"/>
      <c r="EQ342" s="106"/>
      <c r="ER342" s="1"/>
      <c r="ES342" s="1"/>
      <c r="ET342" s="1"/>
      <c r="EU342" s="107"/>
      <c r="FJ342" s="673">
        <v>18</v>
      </c>
      <c r="FK342" s="460">
        <f t="shared" ref="FK342:HV342" ca="1" si="693">IF(AND(ISNUMBER(FK37),ISNUMBER(FK$320),FK$320&lt;&gt;0),FK37*FK$320/FK$15,"")</f>
        <v>0</v>
      </c>
      <c r="FL342" s="460">
        <f t="shared" ca="1" si="693"/>
        <v>2.4878550074975366E-3</v>
      </c>
      <c r="FM342" s="460">
        <f t="shared" ca="1" si="693"/>
        <v>2.9549278497446206E-3</v>
      </c>
      <c r="FN342" s="460">
        <f t="shared" ca="1" si="693"/>
        <v>2.5510108104949197E-3</v>
      </c>
      <c r="FO342" s="460">
        <f t="shared" ca="1" si="693"/>
        <v>2.7335598513446172E-3</v>
      </c>
      <c r="FP342" s="460">
        <f t="shared" ca="1" si="693"/>
        <v>1.5683018947147066E-3</v>
      </c>
      <c r="FQ342" s="460" t="str">
        <f t="shared" ca="1" si="693"/>
        <v/>
      </c>
      <c r="FR342" s="460" t="str">
        <f t="shared" ca="1" si="693"/>
        <v/>
      </c>
      <c r="FS342" s="460" t="str">
        <f t="shared" ca="1" si="693"/>
        <v/>
      </c>
      <c r="FT342" s="460" t="str">
        <f t="shared" ca="1" si="693"/>
        <v/>
      </c>
      <c r="FU342" s="460" t="str">
        <f t="shared" ca="1" si="693"/>
        <v/>
      </c>
      <c r="FV342" s="460" t="str">
        <f t="shared" ca="1" si="693"/>
        <v/>
      </c>
      <c r="FW342" s="460" t="str">
        <f t="shared" ca="1" si="693"/>
        <v/>
      </c>
      <c r="FX342" s="460" t="str">
        <f t="shared" ca="1" si="693"/>
        <v/>
      </c>
      <c r="FY342" s="460" t="str">
        <f t="shared" ca="1" si="693"/>
        <v/>
      </c>
      <c r="FZ342" s="460" t="str">
        <f t="shared" ca="1" si="693"/>
        <v/>
      </c>
      <c r="GA342" s="460" t="str">
        <f t="shared" ca="1" si="693"/>
        <v/>
      </c>
      <c r="GB342" s="460" t="str">
        <f t="shared" ca="1" si="693"/>
        <v/>
      </c>
      <c r="GC342" s="460" t="str">
        <f t="shared" ca="1" si="693"/>
        <v/>
      </c>
      <c r="GD342" s="460" t="str">
        <f t="shared" ca="1" si="693"/>
        <v/>
      </c>
      <c r="GE342" s="460" t="str">
        <f t="shared" ca="1" si="693"/>
        <v/>
      </c>
      <c r="GF342" s="460" t="str">
        <f t="shared" ca="1" si="693"/>
        <v/>
      </c>
      <c r="GG342" s="460" t="str">
        <f t="shared" ca="1" si="693"/>
        <v/>
      </c>
      <c r="GH342" s="460" t="str">
        <f t="shared" ca="1" si="693"/>
        <v/>
      </c>
      <c r="GI342" s="460" t="str">
        <f t="shared" ca="1" si="693"/>
        <v/>
      </c>
      <c r="GJ342" s="460" t="str">
        <f t="shared" ca="1" si="693"/>
        <v/>
      </c>
      <c r="GK342" s="460" t="str">
        <f t="shared" ca="1" si="693"/>
        <v/>
      </c>
      <c r="GL342" s="460" t="str">
        <f t="shared" ca="1" si="693"/>
        <v/>
      </c>
      <c r="GM342" s="460" t="str">
        <f t="shared" ca="1" si="693"/>
        <v/>
      </c>
      <c r="GN342" s="460" t="str">
        <f t="shared" ca="1" si="693"/>
        <v/>
      </c>
      <c r="GO342" s="460" t="str">
        <f t="shared" ca="1" si="693"/>
        <v/>
      </c>
      <c r="GP342" s="460" t="str">
        <f t="shared" ca="1" si="693"/>
        <v/>
      </c>
      <c r="GQ342" s="460" t="str">
        <f t="shared" ca="1" si="693"/>
        <v/>
      </c>
      <c r="GR342" s="460" t="str">
        <f t="shared" ca="1" si="693"/>
        <v/>
      </c>
      <c r="GS342" s="460" t="str">
        <f t="shared" ca="1" si="693"/>
        <v/>
      </c>
      <c r="GT342" s="460" t="str">
        <f t="shared" ca="1" si="693"/>
        <v/>
      </c>
      <c r="GU342" s="460" t="str">
        <f t="shared" ca="1" si="693"/>
        <v/>
      </c>
      <c r="GV342" s="460" t="str">
        <f t="shared" ca="1" si="693"/>
        <v/>
      </c>
      <c r="GW342" s="460" t="str">
        <f t="shared" ca="1" si="693"/>
        <v/>
      </c>
      <c r="GX342" s="460" t="str">
        <f t="shared" ca="1" si="693"/>
        <v/>
      </c>
      <c r="GY342" s="460" t="str">
        <f t="shared" ca="1" si="693"/>
        <v/>
      </c>
      <c r="GZ342" s="460" t="str">
        <f t="shared" ca="1" si="693"/>
        <v/>
      </c>
      <c r="HA342" s="460" t="str">
        <f t="shared" ca="1" si="693"/>
        <v/>
      </c>
      <c r="HB342" s="460" t="str">
        <f t="shared" ca="1" si="693"/>
        <v/>
      </c>
      <c r="HC342" s="460" t="str">
        <f t="shared" ca="1" si="693"/>
        <v/>
      </c>
      <c r="HD342" s="460" t="str">
        <f t="shared" ca="1" si="693"/>
        <v/>
      </c>
      <c r="HE342" s="460" t="str">
        <f t="shared" ca="1" si="693"/>
        <v/>
      </c>
      <c r="HF342" s="460" t="str">
        <f t="shared" ca="1" si="693"/>
        <v/>
      </c>
      <c r="HG342" s="460" t="str">
        <f t="shared" ca="1" si="693"/>
        <v/>
      </c>
      <c r="HH342" s="460" t="str">
        <f t="shared" ca="1" si="693"/>
        <v/>
      </c>
      <c r="HI342" s="460" t="str">
        <f t="shared" ca="1" si="693"/>
        <v/>
      </c>
      <c r="HJ342" s="460" t="str">
        <f t="shared" ca="1" si="693"/>
        <v/>
      </c>
      <c r="HK342" s="460" t="str">
        <f t="shared" ca="1" si="693"/>
        <v/>
      </c>
      <c r="HL342" s="460" t="str">
        <f t="shared" ca="1" si="693"/>
        <v/>
      </c>
      <c r="HM342" s="460" t="str">
        <f t="shared" ca="1" si="693"/>
        <v/>
      </c>
      <c r="HN342" s="460" t="str">
        <f t="shared" ca="1" si="693"/>
        <v/>
      </c>
      <c r="HO342" s="460" t="str">
        <f t="shared" ca="1" si="693"/>
        <v/>
      </c>
      <c r="HP342" s="460" t="str">
        <f t="shared" ca="1" si="693"/>
        <v/>
      </c>
      <c r="HQ342" s="460" t="str">
        <f t="shared" ca="1" si="693"/>
        <v/>
      </c>
      <c r="HR342" s="460" t="str">
        <f t="shared" ca="1" si="693"/>
        <v/>
      </c>
      <c r="HS342" s="460" t="str">
        <f t="shared" ca="1" si="693"/>
        <v/>
      </c>
      <c r="HT342" s="460" t="str">
        <f t="shared" ca="1" si="693"/>
        <v/>
      </c>
      <c r="HU342" s="460" t="str">
        <f t="shared" ca="1" si="693"/>
        <v/>
      </c>
      <c r="HV342" s="460" t="str">
        <f t="shared" ca="1" si="693"/>
        <v/>
      </c>
      <c r="HW342" s="460" t="str">
        <f t="shared" ca="1" si="676"/>
        <v/>
      </c>
      <c r="HX342" s="460" t="str">
        <f t="shared" ca="1" si="686"/>
        <v/>
      </c>
      <c r="HY342" s="460" t="str">
        <f t="shared" ca="1" si="686"/>
        <v/>
      </c>
      <c r="HZ342" s="460" t="str">
        <f t="shared" ca="1" si="686"/>
        <v/>
      </c>
      <c r="IA342" s="460" t="str">
        <f t="shared" ca="1" si="686"/>
        <v/>
      </c>
      <c r="IB342" s="460" t="str">
        <f t="shared" ca="1" si="686"/>
        <v/>
      </c>
      <c r="IC342" s="460" t="str">
        <f t="shared" ca="1" si="686"/>
        <v/>
      </c>
      <c r="ID342" s="674" t="str">
        <f t="shared" ca="1" si="686"/>
        <v/>
      </c>
      <c r="IE342" s="250"/>
    </row>
    <row r="343" spans="9:239">
      <c r="I343" s="137"/>
      <c r="J343" s="375"/>
      <c r="K343" s="1"/>
      <c r="L343" s="1"/>
      <c r="M343" s="376"/>
      <c r="P343" s="375"/>
      <c r="S343" s="55"/>
      <c r="T343" s="375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74"/>
      <c r="AO343" s="374"/>
      <c r="AP343" s="106"/>
      <c r="AQ343" s="374"/>
      <c r="AR343" s="106"/>
      <c r="AS343" s="106"/>
      <c r="AT343" s="106"/>
      <c r="AU343" s="31"/>
      <c r="AV343" s="31"/>
      <c r="AW343" s="31"/>
      <c r="AX343" s="31"/>
      <c r="AY343" s="154"/>
      <c r="AZ343" s="154"/>
      <c r="BA343" s="106"/>
      <c r="BB343" s="106"/>
      <c r="BC343" s="106"/>
      <c r="BD343" s="106"/>
      <c r="BE343" s="107"/>
      <c r="BF343" s="107"/>
      <c r="BG343" s="107"/>
      <c r="BH343" s="105"/>
      <c r="BI343" s="107"/>
      <c r="BJ343" s="106"/>
      <c r="BK343" s="108"/>
      <c r="BL343" s="159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7"/>
      <c r="CC343" s="107"/>
      <c r="CD343" s="107"/>
      <c r="CE343" s="107"/>
      <c r="CF343" s="107"/>
      <c r="CG343" s="107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10"/>
      <c r="DH343" s="475"/>
      <c r="DI343" s="1"/>
      <c r="DJ343" s="53"/>
      <c r="DK343" s="475"/>
      <c r="DL343" s="54"/>
      <c r="DM343" s="54"/>
      <c r="DN343" s="54"/>
      <c r="DO343" s="54"/>
      <c r="DP343" s="54"/>
      <c r="DQ343" s="54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L343" s="55"/>
      <c r="EM343" s="1"/>
      <c r="EN343" s="106"/>
      <c r="EO343" s="106"/>
      <c r="EP343" s="1"/>
      <c r="EQ343" s="106"/>
      <c r="ER343" s="1"/>
      <c r="ES343" s="1"/>
      <c r="ET343" s="1"/>
      <c r="EU343" s="107"/>
      <c r="FJ343" s="673">
        <v>19</v>
      </c>
      <c r="FK343" s="460">
        <f t="shared" ref="FK343:HV343" ca="1" si="694">IF(AND(ISNUMBER(FK38),ISNUMBER(FK$320),FK$320&lt;&gt;0),FK38*FK$320/FK$15,"")</f>
        <v>0</v>
      </c>
      <c r="FL343" s="460">
        <f t="shared" ca="1" si="694"/>
        <v>2.4422722940721066E-3</v>
      </c>
      <c r="FM343" s="460">
        <f t="shared" ca="1" si="694"/>
        <v>2.8916056673254408E-3</v>
      </c>
      <c r="FN343" s="460">
        <f t="shared" ca="1" si="694"/>
        <v>2.4870733801913973E-3</v>
      </c>
      <c r="FO343" s="460">
        <f t="shared" ca="1" si="694"/>
        <v>2.6534279678181454E-3</v>
      </c>
      <c r="FP343" s="460">
        <f t="shared" ca="1" si="694"/>
        <v>1.5145318600706757E-3</v>
      </c>
      <c r="FQ343" s="460" t="str">
        <f t="shared" ca="1" si="694"/>
        <v/>
      </c>
      <c r="FR343" s="460" t="str">
        <f t="shared" ca="1" si="694"/>
        <v/>
      </c>
      <c r="FS343" s="460" t="str">
        <f t="shared" ca="1" si="694"/>
        <v/>
      </c>
      <c r="FT343" s="460" t="str">
        <f t="shared" ca="1" si="694"/>
        <v/>
      </c>
      <c r="FU343" s="460" t="str">
        <f t="shared" ca="1" si="694"/>
        <v/>
      </c>
      <c r="FV343" s="460" t="str">
        <f t="shared" ca="1" si="694"/>
        <v/>
      </c>
      <c r="FW343" s="460" t="str">
        <f t="shared" ca="1" si="694"/>
        <v/>
      </c>
      <c r="FX343" s="460" t="str">
        <f t="shared" ca="1" si="694"/>
        <v/>
      </c>
      <c r="FY343" s="460" t="str">
        <f t="shared" ca="1" si="694"/>
        <v/>
      </c>
      <c r="FZ343" s="460" t="str">
        <f t="shared" ca="1" si="694"/>
        <v/>
      </c>
      <c r="GA343" s="460" t="str">
        <f t="shared" ca="1" si="694"/>
        <v/>
      </c>
      <c r="GB343" s="460" t="str">
        <f t="shared" ca="1" si="694"/>
        <v/>
      </c>
      <c r="GC343" s="460" t="str">
        <f t="shared" ca="1" si="694"/>
        <v/>
      </c>
      <c r="GD343" s="460" t="str">
        <f t="shared" ca="1" si="694"/>
        <v/>
      </c>
      <c r="GE343" s="460" t="str">
        <f t="shared" ca="1" si="694"/>
        <v/>
      </c>
      <c r="GF343" s="460" t="str">
        <f t="shared" ca="1" si="694"/>
        <v/>
      </c>
      <c r="GG343" s="460" t="str">
        <f t="shared" ca="1" si="694"/>
        <v/>
      </c>
      <c r="GH343" s="460" t="str">
        <f t="shared" ca="1" si="694"/>
        <v/>
      </c>
      <c r="GI343" s="460" t="str">
        <f t="shared" ca="1" si="694"/>
        <v/>
      </c>
      <c r="GJ343" s="460" t="str">
        <f t="shared" ca="1" si="694"/>
        <v/>
      </c>
      <c r="GK343" s="460" t="str">
        <f t="shared" ca="1" si="694"/>
        <v/>
      </c>
      <c r="GL343" s="460" t="str">
        <f t="shared" ca="1" si="694"/>
        <v/>
      </c>
      <c r="GM343" s="460" t="str">
        <f t="shared" ca="1" si="694"/>
        <v/>
      </c>
      <c r="GN343" s="460" t="str">
        <f t="shared" ca="1" si="694"/>
        <v/>
      </c>
      <c r="GO343" s="460" t="str">
        <f t="shared" ca="1" si="694"/>
        <v/>
      </c>
      <c r="GP343" s="460" t="str">
        <f t="shared" ca="1" si="694"/>
        <v/>
      </c>
      <c r="GQ343" s="460" t="str">
        <f t="shared" ca="1" si="694"/>
        <v/>
      </c>
      <c r="GR343" s="460" t="str">
        <f t="shared" ca="1" si="694"/>
        <v/>
      </c>
      <c r="GS343" s="460" t="str">
        <f t="shared" ca="1" si="694"/>
        <v/>
      </c>
      <c r="GT343" s="460" t="str">
        <f t="shared" ca="1" si="694"/>
        <v/>
      </c>
      <c r="GU343" s="460" t="str">
        <f t="shared" ca="1" si="694"/>
        <v/>
      </c>
      <c r="GV343" s="460" t="str">
        <f t="shared" ca="1" si="694"/>
        <v/>
      </c>
      <c r="GW343" s="460" t="str">
        <f t="shared" ca="1" si="694"/>
        <v/>
      </c>
      <c r="GX343" s="460" t="str">
        <f t="shared" ca="1" si="694"/>
        <v/>
      </c>
      <c r="GY343" s="460" t="str">
        <f t="shared" ca="1" si="694"/>
        <v/>
      </c>
      <c r="GZ343" s="460" t="str">
        <f t="shared" ca="1" si="694"/>
        <v/>
      </c>
      <c r="HA343" s="460" t="str">
        <f t="shared" ca="1" si="694"/>
        <v/>
      </c>
      <c r="HB343" s="460" t="str">
        <f t="shared" ca="1" si="694"/>
        <v/>
      </c>
      <c r="HC343" s="460" t="str">
        <f t="shared" ca="1" si="694"/>
        <v/>
      </c>
      <c r="HD343" s="460" t="str">
        <f t="shared" ca="1" si="694"/>
        <v/>
      </c>
      <c r="HE343" s="460" t="str">
        <f t="shared" ca="1" si="694"/>
        <v/>
      </c>
      <c r="HF343" s="460" t="str">
        <f t="shared" ca="1" si="694"/>
        <v/>
      </c>
      <c r="HG343" s="460" t="str">
        <f t="shared" ca="1" si="694"/>
        <v/>
      </c>
      <c r="HH343" s="460" t="str">
        <f t="shared" ca="1" si="694"/>
        <v/>
      </c>
      <c r="HI343" s="460" t="str">
        <f t="shared" ca="1" si="694"/>
        <v/>
      </c>
      <c r="HJ343" s="460" t="str">
        <f t="shared" ca="1" si="694"/>
        <v/>
      </c>
      <c r="HK343" s="460" t="str">
        <f t="shared" ca="1" si="694"/>
        <v/>
      </c>
      <c r="HL343" s="460" t="str">
        <f t="shared" ca="1" si="694"/>
        <v/>
      </c>
      <c r="HM343" s="460" t="str">
        <f t="shared" ca="1" si="694"/>
        <v/>
      </c>
      <c r="HN343" s="460" t="str">
        <f t="shared" ca="1" si="694"/>
        <v/>
      </c>
      <c r="HO343" s="460" t="str">
        <f t="shared" ca="1" si="694"/>
        <v/>
      </c>
      <c r="HP343" s="460" t="str">
        <f t="shared" ca="1" si="694"/>
        <v/>
      </c>
      <c r="HQ343" s="460" t="str">
        <f t="shared" ca="1" si="694"/>
        <v/>
      </c>
      <c r="HR343" s="460" t="str">
        <f t="shared" ca="1" si="694"/>
        <v/>
      </c>
      <c r="HS343" s="460" t="str">
        <f t="shared" ca="1" si="694"/>
        <v/>
      </c>
      <c r="HT343" s="460" t="str">
        <f t="shared" ca="1" si="694"/>
        <v/>
      </c>
      <c r="HU343" s="460" t="str">
        <f t="shared" ca="1" si="694"/>
        <v/>
      </c>
      <c r="HV343" s="460" t="str">
        <f t="shared" ca="1" si="694"/>
        <v/>
      </c>
      <c r="HW343" s="460" t="str">
        <f t="shared" ca="1" si="676"/>
        <v/>
      </c>
      <c r="HX343" s="460" t="str">
        <f t="shared" ca="1" si="686"/>
        <v/>
      </c>
      <c r="HY343" s="460" t="str">
        <f t="shared" ca="1" si="686"/>
        <v/>
      </c>
      <c r="HZ343" s="460" t="str">
        <f t="shared" ca="1" si="686"/>
        <v/>
      </c>
      <c r="IA343" s="460" t="str">
        <f t="shared" ca="1" si="686"/>
        <v/>
      </c>
      <c r="IB343" s="460" t="str">
        <f t="shared" ca="1" si="686"/>
        <v/>
      </c>
      <c r="IC343" s="460" t="str">
        <f t="shared" ca="1" si="686"/>
        <v/>
      </c>
      <c r="ID343" s="674" t="str">
        <f t="shared" ca="1" si="686"/>
        <v/>
      </c>
      <c r="IE343" s="250"/>
    </row>
    <row r="344" spans="9:239">
      <c r="I344" s="137"/>
      <c r="J344" s="375"/>
      <c r="K344" s="1"/>
      <c r="L344" s="1"/>
      <c r="M344" s="376"/>
      <c r="P344" s="375"/>
      <c r="S344" s="55"/>
      <c r="T344" s="375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74"/>
      <c r="AO344" s="374"/>
      <c r="AP344" s="106"/>
      <c r="AQ344" s="374"/>
      <c r="AR344" s="106"/>
      <c r="AS344" s="106"/>
      <c r="AT344" s="106"/>
      <c r="AU344" s="31"/>
      <c r="AV344" s="31"/>
      <c r="AW344" s="31"/>
      <c r="AX344" s="31"/>
      <c r="AY344" s="154"/>
      <c r="AZ344" s="154"/>
      <c r="BA344" s="106"/>
      <c r="BB344" s="106"/>
      <c r="BC344" s="106"/>
      <c r="BD344" s="106"/>
      <c r="BE344" s="107"/>
      <c r="BF344" s="107"/>
      <c r="BG344" s="107"/>
      <c r="BH344" s="105"/>
      <c r="BI344" s="107"/>
      <c r="BJ344" s="106"/>
      <c r="BK344" s="108"/>
      <c r="BL344" s="159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7"/>
      <c r="CC344" s="107"/>
      <c r="CD344" s="107"/>
      <c r="CE344" s="107"/>
      <c r="CF344" s="107"/>
      <c r="CG344" s="107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10"/>
      <c r="DH344" s="475"/>
      <c r="DI344" s="1"/>
      <c r="DJ344" s="53"/>
      <c r="DK344" s="475"/>
      <c r="DL344" s="54"/>
      <c r="DM344" s="54"/>
      <c r="DN344" s="54"/>
      <c r="DO344" s="54"/>
      <c r="DP344" s="54"/>
      <c r="DQ344" s="54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L344" s="55"/>
      <c r="EM344" s="1"/>
      <c r="EN344" s="106"/>
      <c r="EO344" s="106"/>
      <c r="EP344" s="1"/>
      <c r="EQ344" s="106"/>
      <c r="ER344" s="1"/>
      <c r="ES344" s="1"/>
      <c r="ET344" s="1"/>
      <c r="EU344" s="107"/>
      <c r="FJ344" s="673">
        <v>20</v>
      </c>
      <c r="FK344" s="460">
        <f t="shared" ref="FK344:HV344" ca="1" si="695">IF(AND(ISNUMBER(FK39),ISNUMBER(FK$320),FK$320&lt;&gt;0),FK39*FK$320/FK$15,"")</f>
        <v>0</v>
      </c>
      <c r="FL344" s="460">
        <f t="shared" ca="1" si="695"/>
        <v>2.404013145095172E-3</v>
      </c>
      <c r="FM344" s="460">
        <f t="shared" ca="1" si="695"/>
        <v>2.8386253963386576E-3</v>
      </c>
      <c r="FN344" s="460">
        <f t="shared" ca="1" si="695"/>
        <v>2.4337770148388635E-3</v>
      </c>
      <c r="FO344" s="460">
        <f t="shared" ca="1" si="695"/>
        <v>2.5869235982326341E-3</v>
      </c>
      <c r="FP344" s="460">
        <f t="shared" ca="1" si="695"/>
        <v>1.4701347013442564E-3</v>
      </c>
      <c r="FQ344" s="460" t="str">
        <f t="shared" ca="1" si="695"/>
        <v/>
      </c>
      <c r="FR344" s="460" t="str">
        <f t="shared" ca="1" si="695"/>
        <v/>
      </c>
      <c r="FS344" s="460" t="str">
        <f t="shared" ca="1" si="695"/>
        <v/>
      </c>
      <c r="FT344" s="460" t="str">
        <f t="shared" ca="1" si="695"/>
        <v/>
      </c>
      <c r="FU344" s="460" t="str">
        <f t="shared" ca="1" si="695"/>
        <v/>
      </c>
      <c r="FV344" s="460" t="str">
        <f t="shared" ca="1" si="695"/>
        <v/>
      </c>
      <c r="FW344" s="460" t="str">
        <f t="shared" ca="1" si="695"/>
        <v/>
      </c>
      <c r="FX344" s="460" t="str">
        <f t="shared" ca="1" si="695"/>
        <v/>
      </c>
      <c r="FY344" s="460" t="str">
        <f t="shared" ca="1" si="695"/>
        <v/>
      </c>
      <c r="FZ344" s="460" t="str">
        <f t="shared" ca="1" si="695"/>
        <v/>
      </c>
      <c r="GA344" s="460" t="str">
        <f t="shared" ca="1" si="695"/>
        <v/>
      </c>
      <c r="GB344" s="460" t="str">
        <f t="shared" ca="1" si="695"/>
        <v/>
      </c>
      <c r="GC344" s="460" t="str">
        <f t="shared" ca="1" si="695"/>
        <v/>
      </c>
      <c r="GD344" s="460" t="str">
        <f t="shared" ca="1" si="695"/>
        <v/>
      </c>
      <c r="GE344" s="460" t="str">
        <f t="shared" ca="1" si="695"/>
        <v/>
      </c>
      <c r="GF344" s="460" t="str">
        <f t="shared" ca="1" si="695"/>
        <v/>
      </c>
      <c r="GG344" s="460" t="str">
        <f t="shared" ca="1" si="695"/>
        <v/>
      </c>
      <c r="GH344" s="460" t="str">
        <f t="shared" ca="1" si="695"/>
        <v/>
      </c>
      <c r="GI344" s="460" t="str">
        <f t="shared" ca="1" si="695"/>
        <v/>
      </c>
      <c r="GJ344" s="460" t="str">
        <f t="shared" ca="1" si="695"/>
        <v/>
      </c>
      <c r="GK344" s="460" t="str">
        <f t="shared" ca="1" si="695"/>
        <v/>
      </c>
      <c r="GL344" s="460" t="str">
        <f t="shared" ca="1" si="695"/>
        <v/>
      </c>
      <c r="GM344" s="460" t="str">
        <f t="shared" ca="1" si="695"/>
        <v/>
      </c>
      <c r="GN344" s="460" t="str">
        <f t="shared" ca="1" si="695"/>
        <v/>
      </c>
      <c r="GO344" s="460" t="str">
        <f t="shared" ca="1" si="695"/>
        <v/>
      </c>
      <c r="GP344" s="460" t="str">
        <f t="shared" ca="1" si="695"/>
        <v/>
      </c>
      <c r="GQ344" s="460" t="str">
        <f t="shared" ca="1" si="695"/>
        <v/>
      </c>
      <c r="GR344" s="460" t="str">
        <f t="shared" ca="1" si="695"/>
        <v/>
      </c>
      <c r="GS344" s="460" t="str">
        <f t="shared" ca="1" si="695"/>
        <v/>
      </c>
      <c r="GT344" s="460" t="str">
        <f t="shared" ca="1" si="695"/>
        <v/>
      </c>
      <c r="GU344" s="460" t="str">
        <f t="shared" ca="1" si="695"/>
        <v/>
      </c>
      <c r="GV344" s="460" t="str">
        <f t="shared" ca="1" si="695"/>
        <v/>
      </c>
      <c r="GW344" s="460" t="str">
        <f t="shared" ca="1" si="695"/>
        <v/>
      </c>
      <c r="GX344" s="460" t="str">
        <f t="shared" ca="1" si="695"/>
        <v/>
      </c>
      <c r="GY344" s="460" t="str">
        <f t="shared" ca="1" si="695"/>
        <v/>
      </c>
      <c r="GZ344" s="460" t="str">
        <f t="shared" ca="1" si="695"/>
        <v/>
      </c>
      <c r="HA344" s="460" t="str">
        <f t="shared" ca="1" si="695"/>
        <v/>
      </c>
      <c r="HB344" s="460" t="str">
        <f t="shared" ca="1" si="695"/>
        <v/>
      </c>
      <c r="HC344" s="460" t="str">
        <f t="shared" ca="1" si="695"/>
        <v/>
      </c>
      <c r="HD344" s="460" t="str">
        <f t="shared" ca="1" si="695"/>
        <v/>
      </c>
      <c r="HE344" s="460" t="str">
        <f t="shared" ca="1" si="695"/>
        <v/>
      </c>
      <c r="HF344" s="460" t="str">
        <f t="shared" ca="1" si="695"/>
        <v/>
      </c>
      <c r="HG344" s="460" t="str">
        <f t="shared" ca="1" si="695"/>
        <v/>
      </c>
      <c r="HH344" s="460" t="str">
        <f t="shared" ca="1" si="695"/>
        <v/>
      </c>
      <c r="HI344" s="460" t="str">
        <f t="shared" ca="1" si="695"/>
        <v/>
      </c>
      <c r="HJ344" s="460" t="str">
        <f t="shared" ca="1" si="695"/>
        <v/>
      </c>
      <c r="HK344" s="460" t="str">
        <f t="shared" ca="1" si="695"/>
        <v/>
      </c>
      <c r="HL344" s="460" t="str">
        <f t="shared" ca="1" si="695"/>
        <v/>
      </c>
      <c r="HM344" s="460" t="str">
        <f t="shared" ca="1" si="695"/>
        <v/>
      </c>
      <c r="HN344" s="460" t="str">
        <f t="shared" ca="1" si="695"/>
        <v/>
      </c>
      <c r="HO344" s="460" t="str">
        <f t="shared" ca="1" si="695"/>
        <v/>
      </c>
      <c r="HP344" s="460" t="str">
        <f t="shared" ca="1" si="695"/>
        <v/>
      </c>
      <c r="HQ344" s="460" t="str">
        <f t="shared" ca="1" si="695"/>
        <v/>
      </c>
      <c r="HR344" s="460" t="str">
        <f t="shared" ca="1" si="695"/>
        <v/>
      </c>
      <c r="HS344" s="460" t="str">
        <f t="shared" ca="1" si="695"/>
        <v/>
      </c>
      <c r="HT344" s="460" t="str">
        <f t="shared" ca="1" si="695"/>
        <v/>
      </c>
      <c r="HU344" s="460" t="str">
        <f t="shared" ca="1" si="695"/>
        <v/>
      </c>
      <c r="HV344" s="460" t="str">
        <f t="shared" ca="1" si="695"/>
        <v/>
      </c>
      <c r="HW344" s="460" t="str">
        <f t="shared" ca="1" si="676"/>
        <v/>
      </c>
      <c r="HX344" s="460" t="str">
        <f t="shared" ca="1" si="686"/>
        <v/>
      </c>
      <c r="HY344" s="460" t="str">
        <f t="shared" ca="1" si="686"/>
        <v/>
      </c>
      <c r="HZ344" s="460" t="str">
        <f t="shared" ca="1" si="686"/>
        <v/>
      </c>
      <c r="IA344" s="460" t="str">
        <f t="shared" ca="1" si="686"/>
        <v/>
      </c>
      <c r="IB344" s="460" t="str">
        <f t="shared" ca="1" si="686"/>
        <v/>
      </c>
      <c r="IC344" s="460" t="str">
        <f t="shared" ca="1" si="686"/>
        <v/>
      </c>
      <c r="ID344" s="674" t="str">
        <f t="shared" ca="1" si="686"/>
        <v/>
      </c>
      <c r="IE344" s="250"/>
    </row>
    <row r="345" spans="9:239">
      <c r="I345" s="137"/>
      <c r="J345" s="375"/>
      <c r="K345" s="1"/>
      <c r="L345" s="1"/>
      <c r="M345" s="376"/>
      <c r="P345" s="375"/>
      <c r="S345" s="55"/>
      <c r="T345" s="375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74"/>
      <c r="AO345" s="374"/>
      <c r="AP345" s="106"/>
      <c r="AQ345" s="374"/>
      <c r="AR345" s="106"/>
      <c r="AS345" s="106"/>
      <c r="AT345" s="106"/>
      <c r="AU345" s="31"/>
      <c r="AV345" s="31"/>
      <c r="AW345" s="31"/>
      <c r="AX345" s="31"/>
      <c r="AY345" s="154"/>
      <c r="AZ345" s="154"/>
      <c r="BA345" s="106"/>
      <c r="BB345" s="106"/>
      <c r="BC345" s="106"/>
      <c r="BD345" s="106"/>
      <c r="BE345" s="107"/>
      <c r="BF345" s="107"/>
      <c r="BG345" s="107"/>
      <c r="BH345" s="105"/>
      <c r="BI345" s="107"/>
      <c r="BJ345" s="106"/>
      <c r="BK345" s="108"/>
      <c r="BL345" s="159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7"/>
      <c r="CC345" s="107"/>
      <c r="CD345" s="107"/>
      <c r="CE345" s="107"/>
      <c r="CF345" s="107"/>
      <c r="CG345" s="107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10"/>
      <c r="DH345" s="475"/>
      <c r="DI345" s="1"/>
      <c r="DJ345" s="53"/>
      <c r="DK345" s="475"/>
      <c r="DL345" s="54"/>
      <c r="DM345" s="54"/>
      <c r="DN345" s="54"/>
      <c r="DO345" s="54"/>
      <c r="DP345" s="54"/>
      <c r="DQ345" s="54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L345" s="55"/>
      <c r="EM345" s="1"/>
      <c r="EN345" s="106"/>
      <c r="EO345" s="106"/>
      <c r="EP345" s="1"/>
      <c r="EQ345" s="106"/>
      <c r="ER345" s="1"/>
      <c r="ES345" s="1"/>
      <c r="ET345" s="1"/>
      <c r="EU345" s="107"/>
      <c r="FJ345" s="673">
        <v>21</v>
      </c>
      <c r="FK345" s="460">
        <f t="shared" ref="FK345:HV345" ca="1" si="696">IF(AND(ISNUMBER(FK40),ISNUMBER(FK$320),FK$320&lt;&gt;0),FK40*FK$320/FK$15,"")</f>
        <v>0</v>
      </c>
      <c r="FL345" s="460">
        <f t="shared" ca="1" si="696"/>
        <v>2.3718140122721137E-3</v>
      </c>
      <c r="FM345" s="460">
        <f t="shared" ca="1" si="696"/>
        <v>2.7941572212740536E-3</v>
      </c>
      <c r="FN345" s="460">
        <f t="shared" ca="1" si="696"/>
        <v>2.3891851234808591E-3</v>
      </c>
      <c r="FO345" s="460">
        <f t="shared" ca="1" si="696"/>
        <v>2.5314875076336957E-3</v>
      </c>
      <c r="FP345" s="460">
        <f t="shared" ca="1" si="696"/>
        <v>1.4332878817944201E-3</v>
      </c>
      <c r="FQ345" s="460" t="str">
        <f t="shared" ca="1" si="696"/>
        <v/>
      </c>
      <c r="FR345" s="460" t="str">
        <f t="shared" ca="1" si="696"/>
        <v/>
      </c>
      <c r="FS345" s="460" t="str">
        <f t="shared" ca="1" si="696"/>
        <v/>
      </c>
      <c r="FT345" s="460" t="str">
        <f t="shared" ca="1" si="696"/>
        <v/>
      </c>
      <c r="FU345" s="460" t="str">
        <f t="shared" ca="1" si="696"/>
        <v/>
      </c>
      <c r="FV345" s="460" t="str">
        <f t="shared" ca="1" si="696"/>
        <v/>
      </c>
      <c r="FW345" s="460" t="str">
        <f t="shared" ca="1" si="696"/>
        <v/>
      </c>
      <c r="FX345" s="460" t="str">
        <f t="shared" ca="1" si="696"/>
        <v/>
      </c>
      <c r="FY345" s="460" t="str">
        <f t="shared" ca="1" si="696"/>
        <v/>
      </c>
      <c r="FZ345" s="460" t="str">
        <f t="shared" ca="1" si="696"/>
        <v/>
      </c>
      <c r="GA345" s="460" t="str">
        <f t="shared" ca="1" si="696"/>
        <v/>
      </c>
      <c r="GB345" s="460" t="str">
        <f t="shared" ca="1" si="696"/>
        <v/>
      </c>
      <c r="GC345" s="460" t="str">
        <f t="shared" ca="1" si="696"/>
        <v/>
      </c>
      <c r="GD345" s="460" t="str">
        <f t="shared" ca="1" si="696"/>
        <v/>
      </c>
      <c r="GE345" s="460" t="str">
        <f t="shared" ca="1" si="696"/>
        <v/>
      </c>
      <c r="GF345" s="460" t="str">
        <f t="shared" ca="1" si="696"/>
        <v/>
      </c>
      <c r="GG345" s="460" t="str">
        <f t="shared" ca="1" si="696"/>
        <v/>
      </c>
      <c r="GH345" s="460" t="str">
        <f t="shared" ca="1" si="696"/>
        <v/>
      </c>
      <c r="GI345" s="460" t="str">
        <f t="shared" ca="1" si="696"/>
        <v/>
      </c>
      <c r="GJ345" s="460" t="str">
        <f t="shared" ca="1" si="696"/>
        <v/>
      </c>
      <c r="GK345" s="460" t="str">
        <f t="shared" ca="1" si="696"/>
        <v/>
      </c>
      <c r="GL345" s="460" t="str">
        <f t="shared" ca="1" si="696"/>
        <v/>
      </c>
      <c r="GM345" s="460" t="str">
        <f t="shared" ca="1" si="696"/>
        <v/>
      </c>
      <c r="GN345" s="460" t="str">
        <f t="shared" ca="1" si="696"/>
        <v/>
      </c>
      <c r="GO345" s="460" t="str">
        <f t="shared" ca="1" si="696"/>
        <v/>
      </c>
      <c r="GP345" s="460" t="str">
        <f t="shared" ca="1" si="696"/>
        <v/>
      </c>
      <c r="GQ345" s="460" t="str">
        <f t="shared" ca="1" si="696"/>
        <v/>
      </c>
      <c r="GR345" s="460" t="str">
        <f t="shared" ca="1" si="696"/>
        <v/>
      </c>
      <c r="GS345" s="460" t="str">
        <f t="shared" ca="1" si="696"/>
        <v/>
      </c>
      <c r="GT345" s="460" t="str">
        <f t="shared" ca="1" si="696"/>
        <v/>
      </c>
      <c r="GU345" s="460" t="str">
        <f t="shared" ca="1" si="696"/>
        <v/>
      </c>
      <c r="GV345" s="460" t="str">
        <f t="shared" ca="1" si="696"/>
        <v/>
      </c>
      <c r="GW345" s="460" t="str">
        <f t="shared" ca="1" si="696"/>
        <v/>
      </c>
      <c r="GX345" s="460" t="str">
        <f t="shared" ca="1" si="696"/>
        <v/>
      </c>
      <c r="GY345" s="460" t="str">
        <f t="shared" ca="1" si="696"/>
        <v/>
      </c>
      <c r="GZ345" s="460" t="str">
        <f t="shared" ca="1" si="696"/>
        <v/>
      </c>
      <c r="HA345" s="460" t="str">
        <f t="shared" ca="1" si="696"/>
        <v/>
      </c>
      <c r="HB345" s="460" t="str">
        <f t="shared" ca="1" si="696"/>
        <v/>
      </c>
      <c r="HC345" s="460" t="str">
        <f t="shared" ca="1" si="696"/>
        <v/>
      </c>
      <c r="HD345" s="460" t="str">
        <f t="shared" ca="1" si="696"/>
        <v/>
      </c>
      <c r="HE345" s="460" t="str">
        <f t="shared" ca="1" si="696"/>
        <v/>
      </c>
      <c r="HF345" s="460" t="str">
        <f t="shared" ca="1" si="696"/>
        <v/>
      </c>
      <c r="HG345" s="460" t="str">
        <f t="shared" ca="1" si="696"/>
        <v/>
      </c>
      <c r="HH345" s="460" t="str">
        <f t="shared" ca="1" si="696"/>
        <v/>
      </c>
      <c r="HI345" s="460" t="str">
        <f t="shared" ca="1" si="696"/>
        <v/>
      </c>
      <c r="HJ345" s="460" t="str">
        <f t="shared" ca="1" si="696"/>
        <v/>
      </c>
      <c r="HK345" s="460" t="str">
        <f t="shared" ca="1" si="696"/>
        <v/>
      </c>
      <c r="HL345" s="460" t="str">
        <f t="shared" ca="1" si="696"/>
        <v/>
      </c>
      <c r="HM345" s="460" t="str">
        <f t="shared" ca="1" si="696"/>
        <v/>
      </c>
      <c r="HN345" s="460" t="str">
        <f t="shared" ca="1" si="696"/>
        <v/>
      </c>
      <c r="HO345" s="460" t="str">
        <f t="shared" ca="1" si="696"/>
        <v/>
      </c>
      <c r="HP345" s="460" t="str">
        <f t="shared" ca="1" si="696"/>
        <v/>
      </c>
      <c r="HQ345" s="460" t="str">
        <f t="shared" ca="1" si="696"/>
        <v/>
      </c>
      <c r="HR345" s="460" t="str">
        <f t="shared" ca="1" si="696"/>
        <v/>
      </c>
      <c r="HS345" s="460" t="str">
        <f t="shared" ca="1" si="696"/>
        <v/>
      </c>
      <c r="HT345" s="460" t="str">
        <f t="shared" ca="1" si="696"/>
        <v/>
      </c>
      <c r="HU345" s="460" t="str">
        <f t="shared" ca="1" si="696"/>
        <v/>
      </c>
      <c r="HV345" s="460" t="str">
        <f t="shared" ca="1" si="696"/>
        <v/>
      </c>
      <c r="HW345" s="460" t="str">
        <f t="shared" ca="1" si="676"/>
        <v/>
      </c>
      <c r="HX345" s="460" t="str">
        <f t="shared" ref="HX345:ID354" ca="1" si="697">IF(AND(ISNUMBER(HX40),ISNUMBER(HX$320),HX$320&lt;&gt;0),HX40*HX$320/HX$15,"")</f>
        <v/>
      </c>
      <c r="HY345" s="460" t="str">
        <f t="shared" ca="1" si="697"/>
        <v/>
      </c>
      <c r="HZ345" s="460" t="str">
        <f t="shared" ca="1" si="697"/>
        <v/>
      </c>
      <c r="IA345" s="460" t="str">
        <f t="shared" ca="1" si="697"/>
        <v/>
      </c>
      <c r="IB345" s="460" t="str">
        <f t="shared" ca="1" si="697"/>
        <v/>
      </c>
      <c r="IC345" s="460" t="str">
        <f t="shared" ca="1" si="697"/>
        <v/>
      </c>
      <c r="ID345" s="674" t="str">
        <f t="shared" ca="1" si="697"/>
        <v/>
      </c>
      <c r="IE345" s="250"/>
    </row>
    <row r="346" spans="9:239">
      <c r="I346" s="137"/>
      <c r="J346" s="375"/>
      <c r="K346" s="1"/>
      <c r="L346" s="1"/>
      <c r="M346" s="376"/>
      <c r="P346" s="375"/>
      <c r="S346" s="55"/>
      <c r="T346" s="375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74"/>
      <c r="AO346" s="374"/>
      <c r="AP346" s="106"/>
      <c r="AQ346" s="374"/>
      <c r="AR346" s="106"/>
      <c r="AS346" s="106"/>
      <c r="AT346" s="106"/>
      <c r="AU346" s="31"/>
      <c r="AV346" s="31"/>
      <c r="AW346" s="31"/>
      <c r="AX346" s="31"/>
      <c r="AY346" s="154"/>
      <c r="AZ346" s="154"/>
      <c r="BA346" s="106"/>
      <c r="BB346" s="106"/>
      <c r="BC346" s="106"/>
      <c r="BD346" s="106"/>
      <c r="BE346" s="107"/>
      <c r="BF346" s="107"/>
      <c r="BG346" s="107"/>
      <c r="BH346" s="105"/>
      <c r="BI346" s="107"/>
      <c r="BJ346" s="106"/>
      <c r="BK346" s="108"/>
      <c r="BL346" s="159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7"/>
      <c r="CC346" s="107"/>
      <c r="CD346" s="107"/>
      <c r="CE346" s="107"/>
      <c r="CF346" s="107"/>
      <c r="CG346" s="107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10"/>
      <c r="DH346" s="475"/>
      <c r="DI346" s="1"/>
      <c r="DJ346" s="53"/>
      <c r="DK346" s="475"/>
      <c r="DL346" s="54"/>
      <c r="DM346" s="54"/>
      <c r="DN346" s="54"/>
      <c r="DO346" s="54"/>
      <c r="DP346" s="54"/>
      <c r="DQ346" s="54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L346" s="55"/>
      <c r="EM346" s="1"/>
      <c r="EN346" s="106"/>
      <c r="EO346" s="106"/>
      <c r="EP346" s="1"/>
      <c r="EQ346" s="106"/>
      <c r="ER346" s="1"/>
      <c r="ES346" s="1"/>
      <c r="ET346" s="1"/>
      <c r="EU346" s="107"/>
      <c r="FJ346" s="673">
        <v>22</v>
      </c>
      <c r="FK346" s="460">
        <f t="shared" ref="FK346:HV346" ca="1" si="698">IF(AND(ISNUMBER(FK41),ISNUMBER(FK$320),FK$320&lt;&gt;0),FK41*FK$320/FK$15,"")</f>
        <v>0</v>
      </c>
      <c r="FL346" s="460">
        <f t="shared" ca="1" si="698"/>
        <v>2.3446524914808838E-3</v>
      </c>
      <c r="FM346" s="460">
        <f t="shared" ca="1" si="698"/>
        <v>2.7567325342752022E-3</v>
      </c>
      <c r="FN346" s="460">
        <f t="shared" ca="1" si="698"/>
        <v>2.3517576057570586E-3</v>
      </c>
      <c r="FO346" s="460">
        <f t="shared" ca="1" si="698"/>
        <v>2.485105355437217E-3</v>
      </c>
      <c r="FP346" s="460">
        <f t="shared" ca="1" si="698"/>
        <v>1.4025734544631299E-3</v>
      </c>
      <c r="FQ346" s="460" t="str">
        <f t="shared" ca="1" si="698"/>
        <v/>
      </c>
      <c r="FR346" s="460" t="str">
        <f t="shared" ca="1" si="698"/>
        <v/>
      </c>
      <c r="FS346" s="460" t="str">
        <f t="shared" ca="1" si="698"/>
        <v/>
      </c>
      <c r="FT346" s="460" t="str">
        <f t="shared" ca="1" si="698"/>
        <v/>
      </c>
      <c r="FU346" s="460" t="str">
        <f t="shared" ca="1" si="698"/>
        <v/>
      </c>
      <c r="FV346" s="460" t="str">
        <f t="shared" ca="1" si="698"/>
        <v/>
      </c>
      <c r="FW346" s="460" t="str">
        <f t="shared" ca="1" si="698"/>
        <v/>
      </c>
      <c r="FX346" s="460" t="str">
        <f t="shared" ca="1" si="698"/>
        <v/>
      </c>
      <c r="FY346" s="460" t="str">
        <f t="shared" ca="1" si="698"/>
        <v/>
      </c>
      <c r="FZ346" s="460" t="str">
        <f t="shared" ca="1" si="698"/>
        <v/>
      </c>
      <c r="GA346" s="460" t="str">
        <f t="shared" ca="1" si="698"/>
        <v/>
      </c>
      <c r="GB346" s="460" t="str">
        <f t="shared" ca="1" si="698"/>
        <v/>
      </c>
      <c r="GC346" s="460" t="str">
        <f t="shared" ca="1" si="698"/>
        <v/>
      </c>
      <c r="GD346" s="460" t="str">
        <f t="shared" ca="1" si="698"/>
        <v/>
      </c>
      <c r="GE346" s="460" t="str">
        <f t="shared" ca="1" si="698"/>
        <v/>
      </c>
      <c r="GF346" s="460" t="str">
        <f t="shared" ca="1" si="698"/>
        <v/>
      </c>
      <c r="GG346" s="460" t="str">
        <f t="shared" ca="1" si="698"/>
        <v/>
      </c>
      <c r="GH346" s="460" t="str">
        <f t="shared" ca="1" si="698"/>
        <v/>
      </c>
      <c r="GI346" s="460" t="str">
        <f t="shared" ca="1" si="698"/>
        <v/>
      </c>
      <c r="GJ346" s="460" t="str">
        <f t="shared" ca="1" si="698"/>
        <v/>
      </c>
      <c r="GK346" s="460" t="str">
        <f t="shared" ca="1" si="698"/>
        <v/>
      </c>
      <c r="GL346" s="460" t="str">
        <f t="shared" ca="1" si="698"/>
        <v/>
      </c>
      <c r="GM346" s="460" t="str">
        <f t="shared" ca="1" si="698"/>
        <v/>
      </c>
      <c r="GN346" s="460" t="str">
        <f t="shared" ca="1" si="698"/>
        <v/>
      </c>
      <c r="GO346" s="460" t="str">
        <f t="shared" ca="1" si="698"/>
        <v/>
      </c>
      <c r="GP346" s="460" t="str">
        <f t="shared" ca="1" si="698"/>
        <v/>
      </c>
      <c r="GQ346" s="460" t="str">
        <f t="shared" ca="1" si="698"/>
        <v/>
      </c>
      <c r="GR346" s="460" t="str">
        <f t="shared" ca="1" si="698"/>
        <v/>
      </c>
      <c r="GS346" s="460" t="str">
        <f t="shared" ca="1" si="698"/>
        <v/>
      </c>
      <c r="GT346" s="460" t="str">
        <f t="shared" ca="1" si="698"/>
        <v/>
      </c>
      <c r="GU346" s="460" t="str">
        <f t="shared" ca="1" si="698"/>
        <v/>
      </c>
      <c r="GV346" s="460" t="str">
        <f t="shared" ca="1" si="698"/>
        <v/>
      </c>
      <c r="GW346" s="460" t="str">
        <f t="shared" ca="1" si="698"/>
        <v/>
      </c>
      <c r="GX346" s="460" t="str">
        <f t="shared" ca="1" si="698"/>
        <v/>
      </c>
      <c r="GY346" s="460" t="str">
        <f t="shared" ca="1" si="698"/>
        <v/>
      </c>
      <c r="GZ346" s="460" t="str">
        <f t="shared" ca="1" si="698"/>
        <v/>
      </c>
      <c r="HA346" s="460" t="str">
        <f t="shared" ca="1" si="698"/>
        <v/>
      </c>
      <c r="HB346" s="460" t="str">
        <f t="shared" ca="1" si="698"/>
        <v/>
      </c>
      <c r="HC346" s="460" t="str">
        <f t="shared" ca="1" si="698"/>
        <v/>
      </c>
      <c r="HD346" s="460" t="str">
        <f t="shared" ca="1" si="698"/>
        <v/>
      </c>
      <c r="HE346" s="460" t="str">
        <f t="shared" ca="1" si="698"/>
        <v/>
      </c>
      <c r="HF346" s="460" t="str">
        <f t="shared" ca="1" si="698"/>
        <v/>
      </c>
      <c r="HG346" s="460" t="str">
        <f t="shared" ca="1" si="698"/>
        <v/>
      </c>
      <c r="HH346" s="460" t="str">
        <f t="shared" ca="1" si="698"/>
        <v/>
      </c>
      <c r="HI346" s="460" t="str">
        <f t="shared" ca="1" si="698"/>
        <v/>
      </c>
      <c r="HJ346" s="460" t="str">
        <f t="shared" ca="1" si="698"/>
        <v/>
      </c>
      <c r="HK346" s="460" t="str">
        <f t="shared" ca="1" si="698"/>
        <v/>
      </c>
      <c r="HL346" s="460" t="str">
        <f t="shared" ca="1" si="698"/>
        <v/>
      </c>
      <c r="HM346" s="460" t="str">
        <f t="shared" ca="1" si="698"/>
        <v/>
      </c>
      <c r="HN346" s="460" t="str">
        <f t="shared" ca="1" si="698"/>
        <v/>
      </c>
      <c r="HO346" s="460" t="str">
        <f t="shared" ca="1" si="698"/>
        <v/>
      </c>
      <c r="HP346" s="460" t="str">
        <f t="shared" ca="1" si="698"/>
        <v/>
      </c>
      <c r="HQ346" s="460" t="str">
        <f t="shared" ca="1" si="698"/>
        <v/>
      </c>
      <c r="HR346" s="460" t="str">
        <f t="shared" ca="1" si="698"/>
        <v/>
      </c>
      <c r="HS346" s="460" t="str">
        <f t="shared" ca="1" si="698"/>
        <v/>
      </c>
      <c r="HT346" s="460" t="str">
        <f t="shared" ca="1" si="698"/>
        <v/>
      </c>
      <c r="HU346" s="460" t="str">
        <f t="shared" ca="1" si="698"/>
        <v/>
      </c>
      <c r="HV346" s="460" t="str">
        <f t="shared" ca="1" si="698"/>
        <v/>
      </c>
      <c r="HW346" s="460" t="str">
        <f t="shared" ca="1" si="676"/>
        <v/>
      </c>
      <c r="HX346" s="460" t="str">
        <f t="shared" ca="1" si="697"/>
        <v/>
      </c>
      <c r="HY346" s="460" t="str">
        <f t="shared" ca="1" si="697"/>
        <v/>
      </c>
      <c r="HZ346" s="460" t="str">
        <f t="shared" ca="1" si="697"/>
        <v/>
      </c>
      <c r="IA346" s="460" t="str">
        <f t="shared" ca="1" si="697"/>
        <v/>
      </c>
      <c r="IB346" s="460" t="str">
        <f t="shared" ca="1" si="697"/>
        <v/>
      </c>
      <c r="IC346" s="460" t="str">
        <f t="shared" ca="1" si="697"/>
        <v/>
      </c>
      <c r="ID346" s="674" t="str">
        <f t="shared" ca="1" si="697"/>
        <v/>
      </c>
      <c r="IE346" s="250"/>
    </row>
    <row r="347" spans="9:239">
      <c r="I347" s="137"/>
      <c r="J347" s="375"/>
      <c r="K347" s="1"/>
      <c r="L347" s="1"/>
      <c r="M347" s="376"/>
      <c r="P347" s="375"/>
      <c r="S347" s="55"/>
      <c r="T347" s="375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74"/>
      <c r="AO347" s="374"/>
      <c r="AP347" s="106"/>
      <c r="AQ347" s="374"/>
      <c r="AR347" s="106"/>
      <c r="AS347" s="106"/>
      <c r="AT347" s="106"/>
      <c r="AU347" s="31"/>
      <c r="AV347" s="31"/>
      <c r="AW347" s="31"/>
      <c r="AX347" s="31"/>
      <c r="AY347" s="154"/>
      <c r="AZ347" s="154"/>
      <c r="BA347" s="106"/>
      <c r="BB347" s="106"/>
      <c r="BC347" s="106"/>
      <c r="BD347" s="106"/>
      <c r="BE347" s="107"/>
      <c r="BF347" s="107"/>
      <c r="BG347" s="107"/>
      <c r="BH347" s="105"/>
      <c r="BI347" s="107"/>
      <c r="BJ347" s="106"/>
      <c r="BK347" s="108"/>
      <c r="BL347" s="159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7"/>
      <c r="CC347" s="107"/>
      <c r="CD347" s="107"/>
      <c r="CE347" s="107"/>
      <c r="CF347" s="107"/>
      <c r="CG347" s="107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10"/>
      <c r="DH347" s="475"/>
      <c r="DI347" s="1"/>
      <c r="DJ347" s="53"/>
      <c r="DK347" s="475"/>
      <c r="DL347" s="54"/>
      <c r="DM347" s="54"/>
      <c r="DN347" s="54"/>
      <c r="DO347" s="54"/>
      <c r="DP347" s="54"/>
      <c r="DQ347" s="54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L347" s="55"/>
      <c r="EM347" s="1"/>
      <c r="EN347" s="106"/>
      <c r="EO347" s="106"/>
      <c r="EP347" s="1"/>
      <c r="EQ347" s="106"/>
      <c r="ER347" s="1"/>
      <c r="ES347" s="1"/>
      <c r="ET347" s="1"/>
      <c r="EU347" s="107"/>
      <c r="FJ347" s="673">
        <v>23</v>
      </c>
      <c r="FK347" s="460">
        <f t="shared" ref="FK347:HV347" ca="1" si="699">IF(AND(ISNUMBER(FK42),ISNUMBER(FK$320),FK$320&lt;&gt;0),FK42*FK$320/FK$15,"")</f>
        <v>0</v>
      </c>
      <c r="FL347" s="460">
        <f t="shared" ca="1" si="699"/>
        <v>2.321695337318931E-3</v>
      </c>
      <c r="FM347" s="460">
        <f t="shared" ca="1" si="699"/>
        <v>2.7251630066233074E-3</v>
      </c>
      <c r="FN347" s="460">
        <f t="shared" ca="1" si="699"/>
        <v>2.3202583788622688E-3</v>
      </c>
      <c r="FO347" s="460">
        <f t="shared" ca="1" si="699"/>
        <v>2.4461752098314938E-3</v>
      </c>
      <c r="FP347" s="460">
        <f t="shared" ca="1" si="699"/>
        <v>1.3768753717210748E-3</v>
      </c>
      <c r="FQ347" s="460" t="str">
        <f t="shared" ca="1" si="699"/>
        <v/>
      </c>
      <c r="FR347" s="460" t="str">
        <f t="shared" ca="1" si="699"/>
        <v/>
      </c>
      <c r="FS347" s="460" t="str">
        <f t="shared" ca="1" si="699"/>
        <v/>
      </c>
      <c r="FT347" s="460" t="str">
        <f t="shared" ca="1" si="699"/>
        <v/>
      </c>
      <c r="FU347" s="460" t="str">
        <f t="shared" ca="1" si="699"/>
        <v/>
      </c>
      <c r="FV347" s="460" t="str">
        <f t="shared" ca="1" si="699"/>
        <v/>
      </c>
      <c r="FW347" s="460" t="str">
        <f t="shared" ca="1" si="699"/>
        <v/>
      </c>
      <c r="FX347" s="460" t="str">
        <f t="shared" ca="1" si="699"/>
        <v/>
      </c>
      <c r="FY347" s="460" t="str">
        <f t="shared" ca="1" si="699"/>
        <v/>
      </c>
      <c r="FZ347" s="460" t="str">
        <f t="shared" ca="1" si="699"/>
        <v/>
      </c>
      <c r="GA347" s="460" t="str">
        <f t="shared" ca="1" si="699"/>
        <v/>
      </c>
      <c r="GB347" s="460" t="str">
        <f t="shared" ca="1" si="699"/>
        <v/>
      </c>
      <c r="GC347" s="460" t="str">
        <f t="shared" ca="1" si="699"/>
        <v/>
      </c>
      <c r="GD347" s="460" t="str">
        <f t="shared" ca="1" si="699"/>
        <v/>
      </c>
      <c r="GE347" s="460" t="str">
        <f t="shared" ca="1" si="699"/>
        <v/>
      </c>
      <c r="GF347" s="460" t="str">
        <f t="shared" ca="1" si="699"/>
        <v/>
      </c>
      <c r="GG347" s="460" t="str">
        <f t="shared" ca="1" si="699"/>
        <v/>
      </c>
      <c r="GH347" s="460" t="str">
        <f t="shared" ca="1" si="699"/>
        <v/>
      </c>
      <c r="GI347" s="460" t="str">
        <f t="shared" ca="1" si="699"/>
        <v/>
      </c>
      <c r="GJ347" s="460" t="str">
        <f t="shared" ca="1" si="699"/>
        <v/>
      </c>
      <c r="GK347" s="460" t="str">
        <f t="shared" ca="1" si="699"/>
        <v/>
      </c>
      <c r="GL347" s="460" t="str">
        <f t="shared" ca="1" si="699"/>
        <v/>
      </c>
      <c r="GM347" s="460" t="str">
        <f t="shared" ca="1" si="699"/>
        <v/>
      </c>
      <c r="GN347" s="460" t="str">
        <f t="shared" ca="1" si="699"/>
        <v/>
      </c>
      <c r="GO347" s="460" t="str">
        <f t="shared" ca="1" si="699"/>
        <v/>
      </c>
      <c r="GP347" s="460" t="str">
        <f t="shared" ca="1" si="699"/>
        <v/>
      </c>
      <c r="GQ347" s="460" t="str">
        <f t="shared" ca="1" si="699"/>
        <v/>
      </c>
      <c r="GR347" s="460" t="str">
        <f t="shared" ca="1" si="699"/>
        <v/>
      </c>
      <c r="GS347" s="460" t="str">
        <f t="shared" ca="1" si="699"/>
        <v/>
      </c>
      <c r="GT347" s="460" t="str">
        <f t="shared" ca="1" si="699"/>
        <v/>
      </c>
      <c r="GU347" s="460" t="str">
        <f t="shared" ca="1" si="699"/>
        <v/>
      </c>
      <c r="GV347" s="460" t="str">
        <f t="shared" ca="1" si="699"/>
        <v/>
      </c>
      <c r="GW347" s="460" t="str">
        <f t="shared" ca="1" si="699"/>
        <v/>
      </c>
      <c r="GX347" s="460" t="str">
        <f t="shared" ca="1" si="699"/>
        <v/>
      </c>
      <c r="GY347" s="460" t="str">
        <f t="shared" ca="1" si="699"/>
        <v/>
      </c>
      <c r="GZ347" s="460" t="str">
        <f t="shared" ca="1" si="699"/>
        <v/>
      </c>
      <c r="HA347" s="460" t="str">
        <f t="shared" ca="1" si="699"/>
        <v/>
      </c>
      <c r="HB347" s="460" t="str">
        <f t="shared" ca="1" si="699"/>
        <v/>
      </c>
      <c r="HC347" s="460" t="str">
        <f t="shared" ca="1" si="699"/>
        <v/>
      </c>
      <c r="HD347" s="460" t="str">
        <f t="shared" ca="1" si="699"/>
        <v/>
      </c>
      <c r="HE347" s="460" t="str">
        <f t="shared" ca="1" si="699"/>
        <v/>
      </c>
      <c r="HF347" s="460" t="str">
        <f t="shared" ca="1" si="699"/>
        <v/>
      </c>
      <c r="HG347" s="460" t="str">
        <f t="shared" ca="1" si="699"/>
        <v/>
      </c>
      <c r="HH347" s="460" t="str">
        <f t="shared" ca="1" si="699"/>
        <v/>
      </c>
      <c r="HI347" s="460" t="str">
        <f t="shared" ca="1" si="699"/>
        <v/>
      </c>
      <c r="HJ347" s="460" t="str">
        <f t="shared" ca="1" si="699"/>
        <v/>
      </c>
      <c r="HK347" s="460" t="str">
        <f t="shared" ca="1" si="699"/>
        <v/>
      </c>
      <c r="HL347" s="460" t="str">
        <f t="shared" ca="1" si="699"/>
        <v/>
      </c>
      <c r="HM347" s="460" t="str">
        <f t="shared" ca="1" si="699"/>
        <v/>
      </c>
      <c r="HN347" s="460" t="str">
        <f t="shared" ca="1" si="699"/>
        <v/>
      </c>
      <c r="HO347" s="460" t="str">
        <f t="shared" ca="1" si="699"/>
        <v/>
      </c>
      <c r="HP347" s="460" t="str">
        <f t="shared" ca="1" si="699"/>
        <v/>
      </c>
      <c r="HQ347" s="460" t="str">
        <f t="shared" ca="1" si="699"/>
        <v/>
      </c>
      <c r="HR347" s="460" t="str">
        <f t="shared" ca="1" si="699"/>
        <v/>
      </c>
      <c r="HS347" s="460" t="str">
        <f t="shared" ca="1" si="699"/>
        <v/>
      </c>
      <c r="HT347" s="460" t="str">
        <f t="shared" ca="1" si="699"/>
        <v/>
      </c>
      <c r="HU347" s="460" t="str">
        <f t="shared" ca="1" si="699"/>
        <v/>
      </c>
      <c r="HV347" s="460" t="str">
        <f t="shared" ca="1" si="699"/>
        <v/>
      </c>
      <c r="HW347" s="460" t="str">
        <f t="shared" ca="1" si="676"/>
        <v/>
      </c>
      <c r="HX347" s="460" t="str">
        <f t="shared" ca="1" si="697"/>
        <v/>
      </c>
      <c r="HY347" s="460" t="str">
        <f t="shared" ca="1" si="697"/>
        <v/>
      </c>
      <c r="HZ347" s="460" t="str">
        <f t="shared" ca="1" si="697"/>
        <v/>
      </c>
      <c r="IA347" s="460" t="str">
        <f t="shared" ca="1" si="697"/>
        <v/>
      </c>
      <c r="IB347" s="460" t="str">
        <f t="shared" ca="1" si="697"/>
        <v/>
      </c>
      <c r="IC347" s="460" t="str">
        <f t="shared" ca="1" si="697"/>
        <v/>
      </c>
      <c r="ID347" s="674" t="str">
        <f t="shared" ca="1" si="697"/>
        <v/>
      </c>
      <c r="IE347" s="250"/>
    </row>
    <row r="348" spans="9:239">
      <c r="I348" s="137"/>
      <c r="J348" s="375"/>
      <c r="K348" s="1"/>
      <c r="L348" s="1"/>
      <c r="M348" s="376"/>
      <c r="P348" s="375"/>
      <c r="S348" s="55"/>
      <c r="T348" s="375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74"/>
      <c r="AO348" s="374"/>
      <c r="AP348" s="106"/>
      <c r="AQ348" s="374"/>
      <c r="AR348" s="106"/>
      <c r="AS348" s="106"/>
      <c r="AT348" s="106"/>
      <c r="AU348" s="31"/>
      <c r="AV348" s="31"/>
      <c r="AW348" s="31"/>
      <c r="AX348" s="31"/>
      <c r="AY348" s="154"/>
      <c r="AZ348" s="154"/>
      <c r="BA348" s="106"/>
      <c r="BB348" s="106"/>
      <c r="BC348" s="106"/>
      <c r="BD348" s="106"/>
      <c r="BE348" s="107"/>
      <c r="BF348" s="107"/>
      <c r="BG348" s="107"/>
      <c r="BH348" s="105"/>
      <c r="BI348" s="107"/>
      <c r="BJ348" s="106"/>
      <c r="BK348" s="108"/>
      <c r="BL348" s="159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7"/>
      <c r="CC348" s="107"/>
      <c r="CD348" s="107"/>
      <c r="CE348" s="107"/>
      <c r="CF348" s="107"/>
      <c r="CG348" s="107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10"/>
      <c r="DH348" s="475"/>
      <c r="DI348" s="1"/>
      <c r="DJ348" s="53"/>
      <c r="DK348" s="475"/>
      <c r="DL348" s="54"/>
      <c r="DM348" s="54"/>
      <c r="DN348" s="54"/>
      <c r="DO348" s="54"/>
      <c r="DP348" s="54"/>
      <c r="DQ348" s="54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L348" s="55"/>
      <c r="EM348" s="1"/>
      <c r="EN348" s="106"/>
      <c r="EO348" s="106"/>
      <c r="EP348" s="1"/>
      <c r="EQ348" s="106"/>
      <c r="ER348" s="1"/>
      <c r="ES348" s="1"/>
      <c r="ET348" s="1"/>
      <c r="EU348" s="107"/>
      <c r="FJ348" s="673">
        <v>24</v>
      </c>
      <c r="FK348" s="460">
        <f t="shared" ref="FK348:HV348" ca="1" si="700">IF(AND(ISNUMBER(FK43),ISNUMBER(FK$320),FK$320&lt;&gt;0),FK43*FK$320/FK$15,"")</f>
        <v>0</v>
      </c>
      <c r="FL348" s="460">
        <f t="shared" ca="1" si="700"/>
        <v>2.3022591573886482E-3</v>
      </c>
      <c r="FM348" s="460">
        <f t="shared" ca="1" si="700"/>
        <v>2.6984801666345179E-3</v>
      </c>
      <c r="FN348" s="460">
        <f t="shared" ca="1" si="700"/>
        <v>2.2936872624625807E-3</v>
      </c>
      <c r="FO348" s="460">
        <f t="shared" ca="1" si="700"/>
        <v>2.4134113621584736E-3</v>
      </c>
      <c r="FP348" s="460">
        <f t="shared" ca="1" si="700"/>
        <v>1.3553060814755894E-3</v>
      </c>
      <c r="FQ348" s="460" t="str">
        <f t="shared" ca="1" si="700"/>
        <v/>
      </c>
      <c r="FR348" s="460" t="str">
        <f t="shared" ca="1" si="700"/>
        <v/>
      </c>
      <c r="FS348" s="460" t="str">
        <f t="shared" ca="1" si="700"/>
        <v/>
      </c>
      <c r="FT348" s="460" t="str">
        <f t="shared" ca="1" si="700"/>
        <v/>
      </c>
      <c r="FU348" s="460" t="str">
        <f t="shared" ca="1" si="700"/>
        <v/>
      </c>
      <c r="FV348" s="460" t="str">
        <f t="shared" ca="1" si="700"/>
        <v/>
      </c>
      <c r="FW348" s="460" t="str">
        <f t="shared" ca="1" si="700"/>
        <v/>
      </c>
      <c r="FX348" s="460" t="str">
        <f t="shared" ca="1" si="700"/>
        <v/>
      </c>
      <c r="FY348" s="460" t="str">
        <f t="shared" ca="1" si="700"/>
        <v/>
      </c>
      <c r="FZ348" s="460" t="str">
        <f t="shared" ca="1" si="700"/>
        <v/>
      </c>
      <c r="GA348" s="460" t="str">
        <f t="shared" ca="1" si="700"/>
        <v/>
      </c>
      <c r="GB348" s="460" t="str">
        <f t="shared" ca="1" si="700"/>
        <v/>
      </c>
      <c r="GC348" s="460" t="str">
        <f t="shared" ca="1" si="700"/>
        <v/>
      </c>
      <c r="GD348" s="460" t="str">
        <f t="shared" ca="1" si="700"/>
        <v/>
      </c>
      <c r="GE348" s="460" t="str">
        <f t="shared" ca="1" si="700"/>
        <v/>
      </c>
      <c r="GF348" s="460" t="str">
        <f t="shared" ca="1" si="700"/>
        <v/>
      </c>
      <c r="GG348" s="460" t="str">
        <f t="shared" ca="1" si="700"/>
        <v/>
      </c>
      <c r="GH348" s="460" t="str">
        <f t="shared" ca="1" si="700"/>
        <v/>
      </c>
      <c r="GI348" s="460" t="str">
        <f t="shared" ca="1" si="700"/>
        <v/>
      </c>
      <c r="GJ348" s="460" t="str">
        <f t="shared" ca="1" si="700"/>
        <v/>
      </c>
      <c r="GK348" s="460" t="str">
        <f t="shared" ca="1" si="700"/>
        <v/>
      </c>
      <c r="GL348" s="460" t="str">
        <f t="shared" ca="1" si="700"/>
        <v/>
      </c>
      <c r="GM348" s="460" t="str">
        <f t="shared" ca="1" si="700"/>
        <v/>
      </c>
      <c r="GN348" s="460" t="str">
        <f t="shared" ca="1" si="700"/>
        <v/>
      </c>
      <c r="GO348" s="460" t="str">
        <f t="shared" ca="1" si="700"/>
        <v/>
      </c>
      <c r="GP348" s="460" t="str">
        <f t="shared" ca="1" si="700"/>
        <v/>
      </c>
      <c r="GQ348" s="460" t="str">
        <f t="shared" ca="1" si="700"/>
        <v/>
      </c>
      <c r="GR348" s="460" t="str">
        <f t="shared" ca="1" si="700"/>
        <v/>
      </c>
      <c r="GS348" s="460" t="str">
        <f t="shared" ca="1" si="700"/>
        <v/>
      </c>
      <c r="GT348" s="460" t="str">
        <f t="shared" ca="1" si="700"/>
        <v/>
      </c>
      <c r="GU348" s="460" t="str">
        <f t="shared" ca="1" si="700"/>
        <v/>
      </c>
      <c r="GV348" s="460" t="str">
        <f t="shared" ca="1" si="700"/>
        <v/>
      </c>
      <c r="GW348" s="460" t="str">
        <f t="shared" ca="1" si="700"/>
        <v/>
      </c>
      <c r="GX348" s="460" t="str">
        <f t="shared" ca="1" si="700"/>
        <v/>
      </c>
      <c r="GY348" s="460" t="str">
        <f t="shared" ca="1" si="700"/>
        <v/>
      </c>
      <c r="GZ348" s="460" t="str">
        <f t="shared" ca="1" si="700"/>
        <v/>
      </c>
      <c r="HA348" s="460" t="str">
        <f t="shared" ca="1" si="700"/>
        <v/>
      </c>
      <c r="HB348" s="460" t="str">
        <f t="shared" ca="1" si="700"/>
        <v/>
      </c>
      <c r="HC348" s="460" t="str">
        <f t="shared" ca="1" si="700"/>
        <v/>
      </c>
      <c r="HD348" s="460" t="str">
        <f t="shared" ca="1" si="700"/>
        <v/>
      </c>
      <c r="HE348" s="460" t="str">
        <f t="shared" ca="1" si="700"/>
        <v/>
      </c>
      <c r="HF348" s="460" t="str">
        <f t="shared" ca="1" si="700"/>
        <v/>
      </c>
      <c r="HG348" s="460" t="str">
        <f t="shared" ca="1" si="700"/>
        <v/>
      </c>
      <c r="HH348" s="460" t="str">
        <f t="shared" ca="1" si="700"/>
        <v/>
      </c>
      <c r="HI348" s="460" t="str">
        <f t="shared" ca="1" si="700"/>
        <v/>
      </c>
      <c r="HJ348" s="460" t="str">
        <f t="shared" ca="1" si="700"/>
        <v/>
      </c>
      <c r="HK348" s="460" t="str">
        <f t="shared" ca="1" si="700"/>
        <v/>
      </c>
      <c r="HL348" s="460" t="str">
        <f t="shared" ca="1" si="700"/>
        <v/>
      </c>
      <c r="HM348" s="460" t="str">
        <f t="shared" ca="1" si="700"/>
        <v/>
      </c>
      <c r="HN348" s="460" t="str">
        <f t="shared" ca="1" si="700"/>
        <v/>
      </c>
      <c r="HO348" s="460" t="str">
        <f t="shared" ca="1" si="700"/>
        <v/>
      </c>
      <c r="HP348" s="460" t="str">
        <f t="shared" ca="1" si="700"/>
        <v/>
      </c>
      <c r="HQ348" s="460" t="str">
        <f t="shared" ca="1" si="700"/>
        <v/>
      </c>
      <c r="HR348" s="460" t="str">
        <f t="shared" ca="1" si="700"/>
        <v/>
      </c>
      <c r="HS348" s="460" t="str">
        <f t="shared" ca="1" si="700"/>
        <v/>
      </c>
      <c r="HT348" s="460" t="str">
        <f t="shared" ca="1" si="700"/>
        <v/>
      </c>
      <c r="HU348" s="460" t="str">
        <f t="shared" ca="1" si="700"/>
        <v/>
      </c>
      <c r="HV348" s="460" t="str">
        <f t="shared" ca="1" si="700"/>
        <v/>
      </c>
      <c r="HW348" s="460" t="str">
        <f t="shared" ca="1" si="676"/>
        <v/>
      </c>
      <c r="HX348" s="460" t="str">
        <f t="shared" ca="1" si="697"/>
        <v/>
      </c>
      <c r="HY348" s="460" t="str">
        <f t="shared" ca="1" si="697"/>
        <v/>
      </c>
      <c r="HZ348" s="460" t="str">
        <f t="shared" ca="1" si="697"/>
        <v/>
      </c>
      <c r="IA348" s="460" t="str">
        <f t="shared" ca="1" si="697"/>
        <v/>
      </c>
      <c r="IB348" s="460" t="str">
        <f t="shared" ca="1" si="697"/>
        <v/>
      </c>
      <c r="IC348" s="460" t="str">
        <f t="shared" ca="1" si="697"/>
        <v/>
      </c>
      <c r="ID348" s="674" t="str">
        <f t="shared" ca="1" si="697"/>
        <v/>
      </c>
      <c r="IE348" s="250"/>
    </row>
    <row r="349" spans="9:239">
      <c r="I349" s="137"/>
      <c r="J349" s="375"/>
      <c r="K349" s="1"/>
      <c r="L349" s="1"/>
      <c r="M349" s="376"/>
      <c r="P349" s="375"/>
      <c r="S349" s="55"/>
      <c r="T349" s="375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74"/>
      <c r="AO349" s="374"/>
      <c r="AP349" s="106"/>
      <c r="AQ349" s="374"/>
      <c r="AR349" s="106"/>
      <c r="AS349" s="106"/>
      <c r="AT349" s="106"/>
      <c r="AU349" s="31"/>
      <c r="AV349" s="31"/>
      <c r="AW349" s="31"/>
      <c r="AX349" s="31"/>
      <c r="AY349" s="154"/>
      <c r="AZ349" s="154"/>
      <c r="BA349" s="106"/>
      <c r="BB349" s="106"/>
      <c r="BC349" s="106"/>
      <c r="BD349" s="106"/>
      <c r="BE349" s="107"/>
      <c r="BF349" s="107"/>
      <c r="BG349" s="107"/>
      <c r="BH349" s="105"/>
      <c r="BI349" s="107"/>
      <c r="BJ349" s="106"/>
      <c r="BK349" s="108"/>
      <c r="BL349" s="159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7"/>
      <c r="CC349" s="107"/>
      <c r="CD349" s="107"/>
      <c r="CE349" s="107"/>
      <c r="CF349" s="107"/>
      <c r="CG349" s="107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10"/>
      <c r="DH349" s="475"/>
      <c r="DI349" s="1"/>
      <c r="DJ349" s="53"/>
      <c r="DK349" s="475"/>
      <c r="DL349" s="54"/>
      <c r="DM349" s="54"/>
      <c r="DN349" s="54"/>
      <c r="DO349" s="54"/>
      <c r="DP349" s="54"/>
      <c r="DQ349" s="54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L349" s="55"/>
      <c r="EM349" s="1"/>
      <c r="EN349" s="106"/>
      <c r="EO349" s="106"/>
      <c r="EP349" s="1"/>
      <c r="EQ349" s="106"/>
      <c r="ER349" s="1"/>
      <c r="ES349" s="1"/>
      <c r="ET349" s="1"/>
      <c r="EU349" s="107"/>
      <c r="FJ349" s="673">
        <v>25</v>
      </c>
      <c r="FK349" s="460">
        <f t="shared" ref="FK349:HV349" ca="1" si="701">IF(AND(ISNUMBER(FK44),ISNUMBER(FK$320),FK$320&lt;&gt;0),FK44*FK$320/FK$15,"")</f>
        <v>0</v>
      </c>
      <c r="FL349" s="460">
        <f t="shared" ca="1" si="701"/>
        <v>2.2857803413502344E-3</v>
      </c>
      <c r="FM349" s="460">
        <f t="shared" ca="1" si="701"/>
        <v>2.6758897150735584E-3</v>
      </c>
      <c r="FN349" s="460">
        <f t="shared" ca="1" si="701"/>
        <v>2.2712291232393979E-3</v>
      </c>
      <c r="FO349" s="460">
        <f t="shared" ca="1" si="701"/>
        <v>2.385773477167541E-3</v>
      </c>
      <c r="FP349" s="460">
        <f t="shared" ca="1" si="701"/>
        <v>1.3371532354221607E-3</v>
      </c>
      <c r="FQ349" s="460" t="str">
        <f t="shared" ca="1" si="701"/>
        <v/>
      </c>
      <c r="FR349" s="460" t="str">
        <f t="shared" ca="1" si="701"/>
        <v/>
      </c>
      <c r="FS349" s="460" t="str">
        <f t="shared" ca="1" si="701"/>
        <v/>
      </c>
      <c r="FT349" s="460" t="str">
        <f t="shared" ca="1" si="701"/>
        <v/>
      </c>
      <c r="FU349" s="460" t="str">
        <f t="shared" ca="1" si="701"/>
        <v/>
      </c>
      <c r="FV349" s="460" t="str">
        <f t="shared" ca="1" si="701"/>
        <v/>
      </c>
      <c r="FW349" s="460" t="str">
        <f t="shared" ca="1" si="701"/>
        <v/>
      </c>
      <c r="FX349" s="460" t="str">
        <f t="shared" ca="1" si="701"/>
        <v/>
      </c>
      <c r="FY349" s="460" t="str">
        <f t="shared" ca="1" si="701"/>
        <v/>
      </c>
      <c r="FZ349" s="460" t="str">
        <f t="shared" ca="1" si="701"/>
        <v/>
      </c>
      <c r="GA349" s="460" t="str">
        <f t="shared" ca="1" si="701"/>
        <v/>
      </c>
      <c r="GB349" s="460" t="str">
        <f t="shared" ca="1" si="701"/>
        <v/>
      </c>
      <c r="GC349" s="460" t="str">
        <f t="shared" ca="1" si="701"/>
        <v/>
      </c>
      <c r="GD349" s="460" t="str">
        <f t="shared" ca="1" si="701"/>
        <v/>
      </c>
      <c r="GE349" s="460" t="str">
        <f t="shared" ca="1" si="701"/>
        <v/>
      </c>
      <c r="GF349" s="460" t="str">
        <f t="shared" ca="1" si="701"/>
        <v/>
      </c>
      <c r="GG349" s="460" t="str">
        <f t="shared" ca="1" si="701"/>
        <v/>
      </c>
      <c r="GH349" s="460" t="str">
        <f t="shared" ca="1" si="701"/>
        <v/>
      </c>
      <c r="GI349" s="460" t="str">
        <f t="shared" ca="1" si="701"/>
        <v/>
      </c>
      <c r="GJ349" s="460" t="str">
        <f t="shared" ca="1" si="701"/>
        <v/>
      </c>
      <c r="GK349" s="460" t="str">
        <f t="shared" ca="1" si="701"/>
        <v/>
      </c>
      <c r="GL349" s="460" t="str">
        <f t="shared" ca="1" si="701"/>
        <v/>
      </c>
      <c r="GM349" s="460" t="str">
        <f t="shared" ca="1" si="701"/>
        <v/>
      </c>
      <c r="GN349" s="460" t="str">
        <f t="shared" ca="1" si="701"/>
        <v/>
      </c>
      <c r="GO349" s="460" t="str">
        <f t="shared" ca="1" si="701"/>
        <v/>
      </c>
      <c r="GP349" s="460" t="str">
        <f t="shared" ca="1" si="701"/>
        <v/>
      </c>
      <c r="GQ349" s="460" t="str">
        <f t="shared" ca="1" si="701"/>
        <v/>
      </c>
      <c r="GR349" s="460" t="str">
        <f t="shared" ca="1" si="701"/>
        <v/>
      </c>
      <c r="GS349" s="460" t="str">
        <f t="shared" ca="1" si="701"/>
        <v/>
      </c>
      <c r="GT349" s="460" t="str">
        <f t="shared" ca="1" si="701"/>
        <v/>
      </c>
      <c r="GU349" s="460" t="str">
        <f t="shared" ca="1" si="701"/>
        <v/>
      </c>
      <c r="GV349" s="460" t="str">
        <f t="shared" ca="1" si="701"/>
        <v/>
      </c>
      <c r="GW349" s="460" t="str">
        <f t="shared" ca="1" si="701"/>
        <v/>
      </c>
      <c r="GX349" s="460" t="str">
        <f t="shared" ca="1" si="701"/>
        <v/>
      </c>
      <c r="GY349" s="460" t="str">
        <f t="shared" ca="1" si="701"/>
        <v/>
      </c>
      <c r="GZ349" s="460" t="str">
        <f t="shared" ca="1" si="701"/>
        <v/>
      </c>
      <c r="HA349" s="460" t="str">
        <f t="shared" ca="1" si="701"/>
        <v/>
      </c>
      <c r="HB349" s="460" t="str">
        <f t="shared" ca="1" si="701"/>
        <v/>
      </c>
      <c r="HC349" s="460" t="str">
        <f t="shared" ca="1" si="701"/>
        <v/>
      </c>
      <c r="HD349" s="460" t="str">
        <f t="shared" ca="1" si="701"/>
        <v/>
      </c>
      <c r="HE349" s="460" t="str">
        <f t="shared" ca="1" si="701"/>
        <v/>
      </c>
      <c r="HF349" s="460" t="str">
        <f t="shared" ca="1" si="701"/>
        <v/>
      </c>
      <c r="HG349" s="460" t="str">
        <f t="shared" ca="1" si="701"/>
        <v/>
      </c>
      <c r="HH349" s="460" t="str">
        <f t="shared" ca="1" si="701"/>
        <v/>
      </c>
      <c r="HI349" s="460" t="str">
        <f t="shared" ca="1" si="701"/>
        <v/>
      </c>
      <c r="HJ349" s="460" t="str">
        <f t="shared" ca="1" si="701"/>
        <v/>
      </c>
      <c r="HK349" s="460" t="str">
        <f t="shared" ca="1" si="701"/>
        <v/>
      </c>
      <c r="HL349" s="460" t="str">
        <f t="shared" ca="1" si="701"/>
        <v/>
      </c>
      <c r="HM349" s="460" t="str">
        <f t="shared" ca="1" si="701"/>
        <v/>
      </c>
      <c r="HN349" s="460" t="str">
        <f t="shared" ca="1" si="701"/>
        <v/>
      </c>
      <c r="HO349" s="460" t="str">
        <f t="shared" ca="1" si="701"/>
        <v/>
      </c>
      <c r="HP349" s="460" t="str">
        <f t="shared" ca="1" si="701"/>
        <v/>
      </c>
      <c r="HQ349" s="460" t="str">
        <f t="shared" ca="1" si="701"/>
        <v/>
      </c>
      <c r="HR349" s="460" t="str">
        <f t="shared" ca="1" si="701"/>
        <v/>
      </c>
      <c r="HS349" s="460" t="str">
        <f t="shared" ca="1" si="701"/>
        <v/>
      </c>
      <c r="HT349" s="460" t="str">
        <f t="shared" ca="1" si="701"/>
        <v/>
      </c>
      <c r="HU349" s="460" t="str">
        <f t="shared" ca="1" si="701"/>
        <v/>
      </c>
      <c r="HV349" s="460" t="str">
        <f t="shared" ca="1" si="701"/>
        <v/>
      </c>
      <c r="HW349" s="460" t="str">
        <f t="shared" ca="1" si="676"/>
        <v/>
      </c>
      <c r="HX349" s="460" t="str">
        <f t="shared" ca="1" si="697"/>
        <v/>
      </c>
      <c r="HY349" s="460" t="str">
        <f t="shared" ca="1" si="697"/>
        <v/>
      </c>
      <c r="HZ349" s="460" t="str">
        <f t="shared" ca="1" si="697"/>
        <v/>
      </c>
      <c r="IA349" s="460" t="str">
        <f t="shared" ca="1" si="697"/>
        <v/>
      </c>
      <c r="IB349" s="460" t="str">
        <f t="shared" ca="1" si="697"/>
        <v/>
      </c>
      <c r="IC349" s="460" t="str">
        <f t="shared" ca="1" si="697"/>
        <v/>
      </c>
      <c r="ID349" s="674" t="str">
        <f t="shared" ca="1" si="697"/>
        <v/>
      </c>
      <c r="IE349" s="250"/>
    </row>
    <row r="350" spans="9:239">
      <c r="I350" s="137"/>
      <c r="J350" s="375"/>
      <c r="K350" s="1"/>
      <c r="L350" s="1"/>
      <c r="M350" s="376"/>
      <c r="P350" s="375"/>
      <c r="S350" s="55"/>
      <c r="T350" s="375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74"/>
      <c r="AO350" s="374"/>
      <c r="AP350" s="106"/>
      <c r="AQ350" s="374"/>
      <c r="AR350" s="106"/>
      <c r="AS350" s="106"/>
      <c r="AT350" s="106"/>
      <c r="AU350" s="31"/>
      <c r="AV350" s="31"/>
      <c r="AW350" s="31"/>
      <c r="AX350" s="31"/>
      <c r="AY350" s="154"/>
      <c r="AZ350" s="154"/>
      <c r="BA350" s="106"/>
      <c r="BB350" s="106"/>
      <c r="BC350" s="106"/>
      <c r="BD350" s="106"/>
      <c r="BE350" s="107"/>
      <c r="BF350" s="107"/>
      <c r="BG350" s="107"/>
      <c r="BH350" s="105"/>
      <c r="BI350" s="107"/>
      <c r="BJ350" s="106"/>
      <c r="BK350" s="108"/>
      <c r="BL350" s="159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7"/>
      <c r="CC350" s="107"/>
      <c r="CD350" s="107"/>
      <c r="CE350" s="107"/>
      <c r="CF350" s="107"/>
      <c r="CG350" s="107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10"/>
      <c r="DH350" s="475"/>
      <c r="DI350" s="1"/>
      <c r="DJ350" s="53"/>
      <c r="DK350" s="475"/>
      <c r="DL350" s="54"/>
      <c r="DM350" s="54"/>
      <c r="DN350" s="54"/>
      <c r="DO350" s="54"/>
      <c r="DP350" s="54"/>
      <c r="DQ350" s="54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L350" s="55"/>
      <c r="EM350" s="1"/>
      <c r="EN350" s="106"/>
      <c r="EO350" s="106"/>
      <c r="EP350" s="1"/>
      <c r="EQ350" s="106"/>
      <c r="ER350" s="1"/>
      <c r="ES350" s="1"/>
      <c r="ET350" s="1"/>
      <c r="EU350" s="107"/>
      <c r="FJ350" s="673">
        <v>26</v>
      </c>
      <c r="FK350" s="460">
        <f t="shared" ref="FK350:HV350" ca="1" si="702">IF(AND(ISNUMBER(FK45),ISNUMBER(FK$320),FK$320&lt;&gt;0),FK45*FK$320/FK$15,"")</f>
        <v>0</v>
      </c>
      <c r="FL350" s="460">
        <f t="shared" ca="1" si="702"/>
        <v>2.2717918008541204E-3</v>
      </c>
      <c r="FM350" s="460">
        <f t="shared" ca="1" si="702"/>
        <v>2.6567365740328267E-3</v>
      </c>
      <c r="FN350" s="460">
        <f t="shared" ca="1" si="702"/>
        <v>2.252215423555116E-3</v>
      </c>
      <c r="FO350" s="460">
        <f t="shared" ca="1" si="702"/>
        <v>2.3624136958311434E-3</v>
      </c>
      <c r="FP350" s="460">
        <f t="shared" ca="1" si="702"/>
        <v>1.3218404346641505E-3</v>
      </c>
      <c r="FQ350" s="460" t="str">
        <f t="shared" ca="1" si="702"/>
        <v/>
      </c>
      <c r="FR350" s="460" t="str">
        <f t="shared" ca="1" si="702"/>
        <v/>
      </c>
      <c r="FS350" s="460" t="str">
        <f t="shared" ca="1" si="702"/>
        <v/>
      </c>
      <c r="FT350" s="460" t="str">
        <f t="shared" ca="1" si="702"/>
        <v/>
      </c>
      <c r="FU350" s="460" t="str">
        <f t="shared" ca="1" si="702"/>
        <v/>
      </c>
      <c r="FV350" s="460" t="str">
        <f t="shared" ca="1" si="702"/>
        <v/>
      </c>
      <c r="FW350" s="460" t="str">
        <f t="shared" ca="1" si="702"/>
        <v/>
      </c>
      <c r="FX350" s="460" t="str">
        <f t="shared" ca="1" si="702"/>
        <v/>
      </c>
      <c r="FY350" s="460" t="str">
        <f t="shared" ca="1" si="702"/>
        <v/>
      </c>
      <c r="FZ350" s="460" t="str">
        <f t="shared" ca="1" si="702"/>
        <v/>
      </c>
      <c r="GA350" s="460" t="str">
        <f t="shared" ca="1" si="702"/>
        <v/>
      </c>
      <c r="GB350" s="460" t="str">
        <f t="shared" ca="1" si="702"/>
        <v/>
      </c>
      <c r="GC350" s="460" t="str">
        <f t="shared" ca="1" si="702"/>
        <v/>
      </c>
      <c r="GD350" s="460" t="str">
        <f t="shared" ca="1" si="702"/>
        <v/>
      </c>
      <c r="GE350" s="460" t="str">
        <f t="shared" ca="1" si="702"/>
        <v/>
      </c>
      <c r="GF350" s="460" t="str">
        <f t="shared" ca="1" si="702"/>
        <v/>
      </c>
      <c r="GG350" s="460" t="str">
        <f t="shared" ca="1" si="702"/>
        <v/>
      </c>
      <c r="GH350" s="460" t="str">
        <f t="shared" ca="1" si="702"/>
        <v/>
      </c>
      <c r="GI350" s="460" t="str">
        <f t="shared" ca="1" si="702"/>
        <v/>
      </c>
      <c r="GJ350" s="460" t="str">
        <f t="shared" ca="1" si="702"/>
        <v/>
      </c>
      <c r="GK350" s="460" t="str">
        <f t="shared" ca="1" si="702"/>
        <v/>
      </c>
      <c r="GL350" s="460" t="str">
        <f t="shared" ca="1" si="702"/>
        <v/>
      </c>
      <c r="GM350" s="460" t="str">
        <f t="shared" ca="1" si="702"/>
        <v/>
      </c>
      <c r="GN350" s="460" t="str">
        <f t="shared" ca="1" si="702"/>
        <v/>
      </c>
      <c r="GO350" s="460" t="str">
        <f t="shared" ca="1" si="702"/>
        <v/>
      </c>
      <c r="GP350" s="460" t="str">
        <f t="shared" ca="1" si="702"/>
        <v/>
      </c>
      <c r="GQ350" s="460" t="str">
        <f t="shared" ca="1" si="702"/>
        <v/>
      </c>
      <c r="GR350" s="460" t="str">
        <f t="shared" ca="1" si="702"/>
        <v/>
      </c>
      <c r="GS350" s="460" t="str">
        <f t="shared" ca="1" si="702"/>
        <v/>
      </c>
      <c r="GT350" s="460" t="str">
        <f t="shared" ca="1" si="702"/>
        <v/>
      </c>
      <c r="GU350" s="460" t="str">
        <f t="shared" ca="1" si="702"/>
        <v/>
      </c>
      <c r="GV350" s="460" t="str">
        <f t="shared" ca="1" si="702"/>
        <v/>
      </c>
      <c r="GW350" s="460" t="str">
        <f t="shared" ca="1" si="702"/>
        <v/>
      </c>
      <c r="GX350" s="460" t="str">
        <f t="shared" ca="1" si="702"/>
        <v/>
      </c>
      <c r="GY350" s="460" t="str">
        <f t="shared" ca="1" si="702"/>
        <v/>
      </c>
      <c r="GZ350" s="460" t="str">
        <f t="shared" ca="1" si="702"/>
        <v/>
      </c>
      <c r="HA350" s="460" t="str">
        <f t="shared" ca="1" si="702"/>
        <v/>
      </c>
      <c r="HB350" s="460" t="str">
        <f t="shared" ca="1" si="702"/>
        <v/>
      </c>
      <c r="HC350" s="460" t="str">
        <f t="shared" ca="1" si="702"/>
        <v/>
      </c>
      <c r="HD350" s="460" t="str">
        <f t="shared" ca="1" si="702"/>
        <v/>
      </c>
      <c r="HE350" s="460" t="str">
        <f t="shared" ca="1" si="702"/>
        <v/>
      </c>
      <c r="HF350" s="460" t="str">
        <f t="shared" ca="1" si="702"/>
        <v/>
      </c>
      <c r="HG350" s="460" t="str">
        <f t="shared" ca="1" si="702"/>
        <v/>
      </c>
      <c r="HH350" s="460" t="str">
        <f t="shared" ca="1" si="702"/>
        <v/>
      </c>
      <c r="HI350" s="460" t="str">
        <f t="shared" ca="1" si="702"/>
        <v/>
      </c>
      <c r="HJ350" s="460" t="str">
        <f t="shared" ca="1" si="702"/>
        <v/>
      </c>
      <c r="HK350" s="460" t="str">
        <f t="shared" ca="1" si="702"/>
        <v/>
      </c>
      <c r="HL350" s="460" t="str">
        <f t="shared" ca="1" si="702"/>
        <v/>
      </c>
      <c r="HM350" s="460" t="str">
        <f t="shared" ca="1" si="702"/>
        <v/>
      </c>
      <c r="HN350" s="460" t="str">
        <f t="shared" ca="1" si="702"/>
        <v/>
      </c>
      <c r="HO350" s="460" t="str">
        <f t="shared" ca="1" si="702"/>
        <v/>
      </c>
      <c r="HP350" s="460" t="str">
        <f t="shared" ca="1" si="702"/>
        <v/>
      </c>
      <c r="HQ350" s="460" t="str">
        <f t="shared" ca="1" si="702"/>
        <v/>
      </c>
      <c r="HR350" s="460" t="str">
        <f t="shared" ca="1" si="702"/>
        <v/>
      </c>
      <c r="HS350" s="460" t="str">
        <f t="shared" ca="1" si="702"/>
        <v/>
      </c>
      <c r="HT350" s="460" t="str">
        <f t="shared" ca="1" si="702"/>
        <v/>
      </c>
      <c r="HU350" s="460" t="str">
        <f t="shared" ca="1" si="702"/>
        <v/>
      </c>
      <c r="HV350" s="460" t="str">
        <f t="shared" ca="1" si="702"/>
        <v/>
      </c>
      <c r="HW350" s="460" t="str">
        <f t="shared" ca="1" si="676"/>
        <v/>
      </c>
      <c r="HX350" s="460" t="str">
        <f t="shared" ca="1" si="697"/>
        <v/>
      </c>
      <c r="HY350" s="460" t="str">
        <f t="shared" ca="1" si="697"/>
        <v/>
      </c>
      <c r="HZ350" s="460" t="str">
        <f t="shared" ca="1" si="697"/>
        <v/>
      </c>
      <c r="IA350" s="460" t="str">
        <f t="shared" ca="1" si="697"/>
        <v/>
      </c>
      <c r="IB350" s="460" t="str">
        <f t="shared" ca="1" si="697"/>
        <v/>
      </c>
      <c r="IC350" s="460" t="str">
        <f t="shared" ca="1" si="697"/>
        <v/>
      </c>
      <c r="ID350" s="674" t="str">
        <f t="shared" ca="1" si="697"/>
        <v/>
      </c>
      <c r="IE350" s="250"/>
    </row>
    <row r="351" spans="9:239">
      <c r="I351" s="137"/>
      <c r="J351" s="375"/>
      <c r="K351" s="1"/>
      <c r="L351" s="1"/>
      <c r="M351" s="376"/>
      <c r="P351" s="375"/>
      <c r="S351" s="55"/>
      <c r="T351" s="375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74"/>
      <c r="AO351" s="374"/>
      <c r="AP351" s="106"/>
      <c r="AQ351" s="374"/>
      <c r="AR351" s="106"/>
      <c r="AS351" s="106"/>
      <c r="AT351" s="106"/>
      <c r="AU351" s="31"/>
      <c r="AV351" s="31"/>
      <c r="AW351" s="31"/>
      <c r="AX351" s="31"/>
      <c r="AY351" s="154"/>
      <c r="AZ351" s="154"/>
      <c r="BA351" s="106"/>
      <c r="BB351" s="106"/>
      <c r="BC351" s="106"/>
      <c r="BD351" s="106"/>
      <c r="BE351" s="107"/>
      <c r="BF351" s="107"/>
      <c r="BG351" s="107"/>
      <c r="BH351" s="105"/>
      <c r="BI351" s="107"/>
      <c r="BJ351" s="106"/>
      <c r="BK351" s="108"/>
      <c r="BL351" s="159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7"/>
      <c r="CC351" s="107"/>
      <c r="CD351" s="107"/>
      <c r="CE351" s="107"/>
      <c r="CF351" s="107"/>
      <c r="CG351" s="107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10"/>
      <c r="DH351" s="475"/>
      <c r="DI351" s="1"/>
      <c r="DJ351" s="53"/>
      <c r="DK351" s="475"/>
      <c r="DL351" s="54"/>
      <c r="DM351" s="54"/>
      <c r="DN351" s="54"/>
      <c r="DO351" s="54"/>
      <c r="DP351" s="54"/>
      <c r="DQ351" s="54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L351" s="55"/>
      <c r="EM351" s="1"/>
      <c r="EN351" s="106"/>
      <c r="EO351" s="106"/>
      <c r="EP351" s="1"/>
      <c r="EQ351" s="106"/>
      <c r="ER351" s="1"/>
      <c r="ES351" s="1"/>
      <c r="ET351" s="1"/>
      <c r="EU351" s="107"/>
      <c r="FJ351" s="673">
        <v>27</v>
      </c>
      <c r="FK351" s="460">
        <f t="shared" ref="FK351:HV351" ca="1" si="703">IF(AND(ISNUMBER(FK46),ISNUMBER(FK$320),FK$320&lt;&gt;0),FK46*FK$320/FK$15,"")</f>
        <v>0</v>
      </c>
      <c r="FL351" s="460">
        <f t="shared" ca="1" si="703"/>
        <v>2.2599047928898233E-3</v>
      </c>
      <c r="FM351" s="460">
        <f t="shared" ca="1" si="703"/>
        <v>2.6404778520195769E-3</v>
      </c>
      <c r="FN351" s="460">
        <f t="shared" ca="1" si="703"/>
        <v>2.2360948041519817E-3</v>
      </c>
      <c r="FO351" s="460">
        <f t="shared" ca="1" si="703"/>
        <v>2.3426366402787284E-3</v>
      </c>
      <c r="FP351" s="460">
        <f t="shared" ca="1" si="703"/>
        <v>1.3088979219692644E-3</v>
      </c>
      <c r="FQ351" s="460" t="str">
        <f t="shared" ca="1" si="703"/>
        <v/>
      </c>
      <c r="FR351" s="460" t="str">
        <f t="shared" ca="1" si="703"/>
        <v/>
      </c>
      <c r="FS351" s="460" t="str">
        <f t="shared" ca="1" si="703"/>
        <v/>
      </c>
      <c r="FT351" s="460" t="str">
        <f t="shared" ca="1" si="703"/>
        <v/>
      </c>
      <c r="FU351" s="460" t="str">
        <f t="shared" ca="1" si="703"/>
        <v/>
      </c>
      <c r="FV351" s="460" t="str">
        <f t="shared" ca="1" si="703"/>
        <v/>
      </c>
      <c r="FW351" s="460" t="str">
        <f t="shared" ca="1" si="703"/>
        <v/>
      </c>
      <c r="FX351" s="460" t="str">
        <f t="shared" ca="1" si="703"/>
        <v/>
      </c>
      <c r="FY351" s="460" t="str">
        <f t="shared" ca="1" si="703"/>
        <v/>
      </c>
      <c r="FZ351" s="460" t="str">
        <f t="shared" ca="1" si="703"/>
        <v/>
      </c>
      <c r="GA351" s="460" t="str">
        <f t="shared" ca="1" si="703"/>
        <v/>
      </c>
      <c r="GB351" s="460" t="str">
        <f t="shared" ca="1" si="703"/>
        <v/>
      </c>
      <c r="GC351" s="460" t="str">
        <f t="shared" ca="1" si="703"/>
        <v/>
      </c>
      <c r="GD351" s="460" t="str">
        <f t="shared" ca="1" si="703"/>
        <v/>
      </c>
      <c r="GE351" s="460" t="str">
        <f t="shared" ca="1" si="703"/>
        <v/>
      </c>
      <c r="GF351" s="460" t="str">
        <f t="shared" ca="1" si="703"/>
        <v/>
      </c>
      <c r="GG351" s="460" t="str">
        <f t="shared" ca="1" si="703"/>
        <v/>
      </c>
      <c r="GH351" s="460" t="str">
        <f t="shared" ca="1" si="703"/>
        <v/>
      </c>
      <c r="GI351" s="460" t="str">
        <f t="shared" ca="1" si="703"/>
        <v/>
      </c>
      <c r="GJ351" s="460" t="str">
        <f t="shared" ca="1" si="703"/>
        <v/>
      </c>
      <c r="GK351" s="460" t="str">
        <f t="shared" ca="1" si="703"/>
        <v/>
      </c>
      <c r="GL351" s="460" t="str">
        <f t="shared" ca="1" si="703"/>
        <v/>
      </c>
      <c r="GM351" s="460" t="str">
        <f t="shared" ca="1" si="703"/>
        <v/>
      </c>
      <c r="GN351" s="460" t="str">
        <f t="shared" ca="1" si="703"/>
        <v/>
      </c>
      <c r="GO351" s="460" t="str">
        <f t="shared" ca="1" si="703"/>
        <v/>
      </c>
      <c r="GP351" s="460" t="str">
        <f t="shared" ca="1" si="703"/>
        <v/>
      </c>
      <c r="GQ351" s="460" t="str">
        <f t="shared" ca="1" si="703"/>
        <v/>
      </c>
      <c r="GR351" s="460" t="str">
        <f t="shared" ca="1" si="703"/>
        <v/>
      </c>
      <c r="GS351" s="460" t="str">
        <f t="shared" ca="1" si="703"/>
        <v/>
      </c>
      <c r="GT351" s="460" t="str">
        <f t="shared" ca="1" si="703"/>
        <v/>
      </c>
      <c r="GU351" s="460" t="str">
        <f t="shared" ca="1" si="703"/>
        <v/>
      </c>
      <c r="GV351" s="460" t="str">
        <f t="shared" ca="1" si="703"/>
        <v/>
      </c>
      <c r="GW351" s="460" t="str">
        <f t="shared" ca="1" si="703"/>
        <v/>
      </c>
      <c r="GX351" s="460" t="str">
        <f t="shared" ca="1" si="703"/>
        <v/>
      </c>
      <c r="GY351" s="460" t="str">
        <f t="shared" ca="1" si="703"/>
        <v/>
      </c>
      <c r="GZ351" s="460" t="str">
        <f t="shared" ca="1" si="703"/>
        <v/>
      </c>
      <c r="HA351" s="460" t="str">
        <f t="shared" ca="1" si="703"/>
        <v/>
      </c>
      <c r="HB351" s="460" t="str">
        <f t="shared" ca="1" si="703"/>
        <v/>
      </c>
      <c r="HC351" s="460" t="str">
        <f t="shared" ca="1" si="703"/>
        <v/>
      </c>
      <c r="HD351" s="460" t="str">
        <f t="shared" ca="1" si="703"/>
        <v/>
      </c>
      <c r="HE351" s="460" t="str">
        <f t="shared" ca="1" si="703"/>
        <v/>
      </c>
      <c r="HF351" s="460" t="str">
        <f t="shared" ca="1" si="703"/>
        <v/>
      </c>
      <c r="HG351" s="460" t="str">
        <f t="shared" ca="1" si="703"/>
        <v/>
      </c>
      <c r="HH351" s="460" t="str">
        <f t="shared" ca="1" si="703"/>
        <v/>
      </c>
      <c r="HI351" s="460" t="str">
        <f t="shared" ca="1" si="703"/>
        <v/>
      </c>
      <c r="HJ351" s="460" t="str">
        <f t="shared" ca="1" si="703"/>
        <v/>
      </c>
      <c r="HK351" s="460" t="str">
        <f t="shared" ca="1" si="703"/>
        <v/>
      </c>
      <c r="HL351" s="460" t="str">
        <f t="shared" ca="1" si="703"/>
        <v/>
      </c>
      <c r="HM351" s="460" t="str">
        <f t="shared" ca="1" si="703"/>
        <v/>
      </c>
      <c r="HN351" s="460" t="str">
        <f t="shared" ca="1" si="703"/>
        <v/>
      </c>
      <c r="HO351" s="460" t="str">
        <f t="shared" ca="1" si="703"/>
        <v/>
      </c>
      <c r="HP351" s="460" t="str">
        <f t="shared" ca="1" si="703"/>
        <v/>
      </c>
      <c r="HQ351" s="460" t="str">
        <f t="shared" ca="1" si="703"/>
        <v/>
      </c>
      <c r="HR351" s="460" t="str">
        <f t="shared" ca="1" si="703"/>
        <v/>
      </c>
      <c r="HS351" s="460" t="str">
        <f t="shared" ca="1" si="703"/>
        <v/>
      </c>
      <c r="HT351" s="460" t="str">
        <f t="shared" ca="1" si="703"/>
        <v/>
      </c>
      <c r="HU351" s="460" t="str">
        <f t="shared" ca="1" si="703"/>
        <v/>
      </c>
      <c r="HV351" s="460" t="str">
        <f t="shared" ca="1" si="703"/>
        <v/>
      </c>
      <c r="HW351" s="460" t="str">
        <f t="shared" ca="1" si="676"/>
        <v/>
      </c>
      <c r="HX351" s="460" t="str">
        <f t="shared" ca="1" si="697"/>
        <v/>
      </c>
      <c r="HY351" s="460" t="str">
        <f t="shared" ca="1" si="697"/>
        <v/>
      </c>
      <c r="HZ351" s="460" t="str">
        <f t="shared" ca="1" si="697"/>
        <v/>
      </c>
      <c r="IA351" s="460" t="str">
        <f t="shared" ca="1" si="697"/>
        <v/>
      </c>
      <c r="IB351" s="460" t="str">
        <f t="shared" ca="1" si="697"/>
        <v/>
      </c>
      <c r="IC351" s="460" t="str">
        <f t="shared" ca="1" si="697"/>
        <v/>
      </c>
      <c r="ID351" s="674" t="str">
        <f t="shared" ca="1" si="697"/>
        <v/>
      </c>
      <c r="IE351" s="250"/>
    </row>
    <row r="352" spans="9:239">
      <c r="I352" s="137"/>
      <c r="J352" s="375"/>
      <c r="K352" s="1"/>
      <c r="L352" s="1"/>
      <c r="M352" s="376"/>
      <c r="P352" s="375"/>
      <c r="S352" s="55"/>
      <c r="T352" s="375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74"/>
      <c r="AO352" s="374"/>
      <c r="AP352" s="106"/>
      <c r="AQ352" s="374"/>
      <c r="AR352" s="106"/>
      <c r="AS352" s="106"/>
      <c r="AT352" s="106"/>
      <c r="AU352" s="31"/>
      <c r="AV352" s="31"/>
      <c r="AW352" s="31"/>
      <c r="AX352" s="31"/>
      <c r="AY352" s="154"/>
      <c r="AZ352" s="154"/>
      <c r="BA352" s="106"/>
      <c r="BB352" s="106"/>
      <c r="BC352" s="106"/>
      <c r="BD352" s="106"/>
      <c r="BE352" s="107"/>
      <c r="BF352" s="107"/>
      <c r="BG352" s="107"/>
      <c r="BH352" s="105"/>
      <c r="BI352" s="107"/>
      <c r="BJ352" s="106"/>
      <c r="BK352" s="108"/>
      <c r="BL352" s="159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7"/>
      <c r="CC352" s="107"/>
      <c r="CD352" s="107"/>
      <c r="CE352" s="107"/>
      <c r="CF352" s="107"/>
      <c r="CG352" s="107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10"/>
      <c r="DH352" s="475"/>
      <c r="DI352" s="1"/>
      <c r="DJ352" s="53"/>
      <c r="DK352" s="475"/>
      <c r="DL352" s="54"/>
      <c r="DM352" s="54"/>
      <c r="DN352" s="54"/>
      <c r="DO352" s="54"/>
      <c r="DP352" s="54"/>
      <c r="DQ352" s="54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L352" s="55"/>
      <c r="EM352" s="1"/>
      <c r="EN352" s="106"/>
      <c r="EO352" s="106"/>
      <c r="EP352" s="1"/>
      <c r="EQ352" s="106"/>
      <c r="ER352" s="1"/>
      <c r="ES352" s="1"/>
      <c r="ET352" s="1"/>
      <c r="EU352" s="107"/>
      <c r="FJ352" s="673">
        <v>28</v>
      </c>
      <c r="FK352" s="460">
        <f t="shared" ref="FK352:HV352" ca="1" si="704">IF(AND(ISNUMBER(FK47),ISNUMBER(FK$320),FK$320&lt;&gt;0),FK47*FK$320/FK$15,"")</f>
        <v>0</v>
      </c>
      <c r="FL352" s="460">
        <f t="shared" ca="1" si="704"/>
        <v>2.2497945803898875E-3</v>
      </c>
      <c r="FM352" s="460">
        <f t="shared" ca="1" si="704"/>
        <v>2.6266617174403842E-3</v>
      </c>
      <c r="FN352" s="460">
        <f t="shared" ca="1" si="704"/>
        <v>2.2224103296838212E-3</v>
      </c>
      <c r="FO352" s="460">
        <f t="shared" ca="1" si="704"/>
        <v>2.3258688154593069E-3</v>
      </c>
      <c r="FP352" s="460">
        <f t="shared" ca="1" si="704"/>
        <v>1.2979404224589513E-3</v>
      </c>
      <c r="FQ352" s="460" t="str">
        <f t="shared" ca="1" si="704"/>
        <v/>
      </c>
      <c r="FR352" s="460" t="str">
        <f t="shared" ca="1" si="704"/>
        <v/>
      </c>
      <c r="FS352" s="460" t="str">
        <f t="shared" ca="1" si="704"/>
        <v/>
      </c>
      <c r="FT352" s="460" t="str">
        <f t="shared" ca="1" si="704"/>
        <v/>
      </c>
      <c r="FU352" s="460" t="str">
        <f t="shared" ca="1" si="704"/>
        <v/>
      </c>
      <c r="FV352" s="460" t="str">
        <f t="shared" ca="1" si="704"/>
        <v/>
      </c>
      <c r="FW352" s="460" t="str">
        <f t="shared" ca="1" si="704"/>
        <v/>
      </c>
      <c r="FX352" s="460" t="str">
        <f t="shared" ca="1" si="704"/>
        <v/>
      </c>
      <c r="FY352" s="460" t="str">
        <f t="shared" ca="1" si="704"/>
        <v/>
      </c>
      <c r="FZ352" s="460" t="str">
        <f t="shared" ca="1" si="704"/>
        <v/>
      </c>
      <c r="GA352" s="460" t="str">
        <f t="shared" ca="1" si="704"/>
        <v/>
      </c>
      <c r="GB352" s="460" t="str">
        <f t="shared" ca="1" si="704"/>
        <v/>
      </c>
      <c r="GC352" s="460" t="str">
        <f t="shared" ca="1" si="704"/>
        <v/>
      </c>
      <c r="GD352" s="460" t="str">
        <f t="shared" ca="1" si="704"/>
        <v/>
      </c>
      <c r="GE352" s="460" t="str">
        <f t="shared" ca="1" si="704"/>
        <v/>
      </c>
      <c r="GF352" s="460" t="str">
        <f t="shared" ca="1" si="704"/>
        <v/>
      </c>
      <c r="GG352" s="460" t="str">
        <f t="shared" ca="1" si="704"/>
        <v/>
      </c>
      <c r="GH352" s="460" t="str">
        <f t="shared" ca="1" si="704"/>
        <v/>
      </c>
      <c r="GI352" s="460" t="str">
        <f t="shared" ca="1" si="704"/>
        <v/>
      </c>
      <c r="GJ352" s="460" t="str">
        <f t="shared" ca="1" si="704"/>
        <v/>
      </c>
      <c r="GK352" s="460" t="str">
        <f t="shared" ca="1" si="704"/>
        <v/>
      </c>
      <c r="GL352" s="460" t="str">
        <f t="shared" ca="1" si="704"/>
        <v/>
      </c>
      <c r="GM352" s="460" t="str">
        <f t="shared" ca="1" si="704"/>
        <v/>
      </c>
      <c r="GN352" s="460" t="str">
        <f t="shared" ca="1" si="704"/>
        <v/>
      </c>
      <c r="GO352" s="460" t="str">
        <f t="shared" ca="1" si="704"/>
        <v/>
      </c>
      <c r="GP352" s="460" t="str">
        <f t="shared" ca="1" si="704"/>
        <v/>
      </c>
      <c r="GQ352" s="460" t="str">
        <f t="shared" ca="1" si="704"/>
        <v/>
      </c>
      <c r="GR352" s="460" t="str">
        <f t="shared" ca="1" si="704"/>
        <v/>
      </c>
      <c r="GS352" s="460" t="str">
        <f t="shared" ca="1" si="704"/>
        <v/>
      </c>
      <c r="GT352" s="460" t="str">
        <f t="shared" ca="1" si="704"/>
        <v/>
      </c>
      <c r="GU352" s="460" t="str">
        <f t="shared" ca="1" si="704"/>
        <v/>
      </c>
      <c r="GV352" s="460" t="str">
        <f t="shared" ca="1" si="704"/>
        <v/>
      </c>
      <c r="GW352" s="460" t="str">
        <f t="shared" ca="1" si="704"/>
        <v/>
      </c>
      <c r="GX352" s="460" t="str">
        <f t="shared" ca="1" si="704"/>
        <v/>
      </c>
      <c r="GY352" s="460" t="str">
        <f t="shared" ca="1" si="704"/>
        <v/>
      </c>
      <c r="GZ352" s="460" t="str">
        <f t="shared" ca="1" si="704"/>
        <v/>
      </c>
      <c r="HA352" s="460" t="str">
        <f t="shared" ca="1" si="704"/>
        <v/>
      </c>
      <c r="HB352" s="460" t="str">
        <f t="shared" ca="1" si="704"/>
        <v/>
      </c>
      <c r="HC352" s="460" t="str">
        <f t="shared" ca="1" si="704"/>
        <v/>
      </c>
      <c r="HD352" s="460" t="str">
        <f t="shared" ca="1" si="704"/>
        <v/>
      </c>
      <c r="HE352" s="460" t="str">
        <f t="shared" ca="1" si="704"/>
        <v/>
      </c>
      <c r="HF352" s="460" t="str">
        <f t="shared" ca="1" si="704"/>
        <v/>
      </c>
      <c r="HG352" s="460" t="str">
        <f t="shared" ca="1" si="704"/>
        <v/>
      </c>
      <c r="HH352" s="460" t="str">
        <f t="shared" ca="1" si="704"/>
        <v/>
      </c>
      <c r="HI352" s="460" t="str">
        <f t="shared" ca="1" si="704"/>
        <v/>
      </c>
      <c r="HJ352" s="460" t="str">
        <f t="shared" ca="1" si="704"/>
        <v/>
      </c>
      <c r="HK352" s="460" t="str">
        <f t="shared" ca="1" si="704"/>
        <v/>
      </c>
      <c r="HL352" s="460" t="str">
        <f t="shared" ca="1" si="704"/>
        <v/>
      </c>
      <c r="HM352" s="460" t="str">
        <f t="shared" ca="1" si="704"/>
        <v/>
      </c>
      <c r="HN352" s="460" t="str">
        <f t="shared" ca="1" si="704"/>
        <v/>
      </c>
      <c r="HO352" s="460" t="str">
        <f t="shared" ca="1" si="704"/>
        <v/>
      </c>
      <c r="HP352" s="460" t="str">
        <f t="shared" ca="1" si="704"/>
        <v/>
      </c>
      <c r="HQ352" s="460" t="str">
        <f t="shared" ca="1" si="704"/>
        <v/>
      </c>
      <c r="HR352" s="460" t="str">
        <f t="shared" ca="1" si="704"/>
        <v/>
      </c>
      <c r="HS352" s="460" t="str">
        <f t="shared" ca="1" si="704"/>
        <v/>
      </c>
      <c r="HT352" s="460" t="str">
        <f t="shared" ca="1" si="704"/>
        <v/>
      </c>
      <c r="HU352" s="460" t="str">
        <f t="shared" ca="1" si="704"/>
        <v/>
      </c>
      <c r="HV352" s="460" t="str">
        <f t="shared" ca="1" si="704"/>
        <v/>
      </c>
      <c r="HW352" s="460" t="str">
        <f t="shared" ca="1" si="676"/>
        <v/>
      </c>
      <c r="HX352" s="460" t="str">
        <f t="shared" ca="1" si="697"/>
        <v/>
      </c>
      <c r="HY352" s="460" t="str">
        <f t="shared" ca="1" si="697"/>
        <v/>
      </c>
      <c r="HZ352" s="460" t="str">
        <f t="shared" ca="1" si="697"/>
        <v/>
      </c>
      <c r="IA352" s="460" t="str">
        <f t="shared" ca="1" si="697"/>
        <v/>
      </c>
      <c r="IB352" s="460" t="str">
        <f t="shared" ca="1" si="697"/>
        <v/>
      </c>
      <c r="IC352" s="460" t="str">
        <f t="shared" ca="1" si="697"/>
        <v/>
      </c>
      <c r="ID352" s="674" t="str">
        <f t="shared" ca="1" si="697"/>
        <v/>
      </c>
      <c r="IE352" s="250"/>
    </row>
    <row r="353" spans="9:238">
      <c r="I353" s="137"/>
      <c r="J353" s="375"/>
      <c r="K353" s="1"/>
      <c r="L353" s="1"/>
      <c r="M353" s="376"/>
      <c r="P353" s="375"/>
      <c r="S353" s="55"/>
      <c r="T353" s="375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74"/>
      <c r="AO353" s="374"/>
      <c r="AP353" s="106"/>
      <c r="AQ353" s="374"/>
      <c r="AR353" s="106"/>
      <c r="AS353" s="106"/>
      <c r="AT353" s="106"/>
      <c r="AU353" s="31"/>
      <c r="AV353" s="31"/>
      <c r="AW353" s="31"/>
      <c r="AX353" s="31"/>
      <c r="AY353" s="154"/>
      <c r="AZ353" s="154"/>
      <c r="BA353" s="106"/>
      <c r="BB353" s="106"/>
      <c r="BC353" s="106"/>
      <c r="BD353" s="106"/>
      <c r="BE353" s="107"/>
      <c r="BF353" s="107"/>
      <c r="BG353" s="107"/>
      <c r="BH353" s="105"/>
      <c r="BI353" s="107"/>
      <c r="BJ353" s="106"/>
      <c r="BK353" s="108"/>
      <c r="BL353" s="159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7"/>
      <c r="CC353" s="107"/>
      <c r="CD353" s="107"/>
      <c r="CE353" s="107"/>
      <c r="CF353" s="107"/>
      <c r="CG353" s="107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10"/>
      <c r="DH353" s="475"/>
      <c r="DI353" s="1"/>
      <c r="DJ353" s="53"/>
      <c r="DK353" s="475"/>
      <c r="DL353" s="54"/>
      <c r="DM353" s="54"/>
      <c r="DN353" s="54"/>
      <c r="DO353" s="54"/>
      <c r="DP353" s="54"/>
      <c r="DQ353" s="54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L353" s="55"/>
      <c r="EM353" s="1"/>
      <c r="EN353" s="106"/>
      <c r="EO353" s="106"/>
      <c r="EP353" s="1"/>
      <c r="EQ353" s="106"/>
      <c r="ER353" s="1"/>
      <c r="ES353" s="1"/>
      <c r="ET353" s="1"/>
      <c r="EU353" s="107"/>
      <c r="FJ353" s="673">
        <v>29</v>
      </c>
      <c r="FK353" s="460">
        <f t="shared" ref="FK353:HV353" ca="1" si="705">IF(AND(ISNUMBER(FK48),ISNUMBER(FK$320),FK$320&lt;&gt;0),FK48*FK$320/FK$15,"")</f>
        <v>0</v>
      </c>
      <c r="FL353" s="460">
        <f t="shared" ca="1" si="705"/>
        <v>2.2411890206940834E-3</v>
      </c>
      <c r="FM353" s="460">
        <f t="shared" ca="1" si="705"/>
        <v>2.6149107320836912E-3</v>
      </c>
      <c r="FN353" s="460">
        <f t="shared" ca="1" si="705"/>
        <v>2.2107817071670239E-3</v>
      </c>
      <c r="FO353" s="460">
        <f t="shared" ca="1" si="705"/>
        <v>2.3116349411341467E-3</v>
      </c>
      <c r="FP353" s="460">
        <f t="shared" ca="1" si="705"/>
        <v>1.2886501905656912E-3</v>
      </c>
      <c r="FQ353" s="460" t="str">
        <f t="shared" ca="1" si="705"/>
        <v/>
      </c>
      <c r="FR353" s="460" t="str">
        <f t="shared" ca="1" si="705"/>
        <v/>
      </c>
      <c r="FS353" s="460" t="str">
        <f t="shared" ca="1" si="705"/>
        <v/>
      </c>
      <c r="FT353" s="460" t="str">
        <f t="shared" ca="1" si="705"/>
        <v/>
      </c>
      <c r="FU353" s="460" t="str">
        <f t="shared" ca="1" si="705"/>
        <v/>
      </c>
      <c r="FV353" s="460" t="str">
        <f t="shared" ca="1" si="705"/>
        <v/>
      </c>
      <c r="FW353" s="460" t="str">
        <f t="shared" ca="1" si="705"/>
        <v/>
      </c>
      <c r="FX353" s="460" t="str">
        <f t="shared" ca="1" si="705"/>
        <v/>
      </c>
      <c r="FY353" s="460" t="str">
        <f t="shared" ca="1" si="705"/>
        <v/>
      </c>
      <c r="FZ353" s="460" t="str">
        <f t="shared" ca="1" si="705"/>
        <v/>
      </c>
      <c r="GA353" s="460" t="str">
        <f t="shared" ca="1" si="705"/>
        <v/>
      </c>
      <c r="GB353" s="460" t="str">
        <f t="shared" ca="1" si="705"/>
        <v/>
      </c>
      <c r="GC353" s="460" t="str">
        <f t="shared" ca="1" si="705"/>
        <v/>
      </c>
      <c r="GD353" s="460" t="str">
        <f t="shared" ca="1" si="705"/>
        <v/>
      </c>
      <c r="GE353" s="460" t="str">
        <f t="shared" ca="1" si="705"/>
        <v/>
      </c>
      <c r="GF353" s="460" t="str">
        <f t="shared" ca="1" si="705"/>
        <v/>
      </c>
      <c r="GG353" s="460" t="str">
        <f t="shared" ca="1" si="705"/>
        <v/>
      </c>
      <c r="GH353" s="460" t="str">
        <f t="shared" ca="1" si="705"/>
        <v/>
      </c>
      <c r="GI353" s="460" t="str">
        <f t="shared" ca="1" si="705"/>
        <v/>
      </c>
      <c r="GJ353" s="460" t="str">
        <f t="shared" ca="1" si="705"/>
        <v/>
      </c>
      <c r="GK353" s="460" t="str">
        <f t="shared" ca="1" si="705"/>
        <v/>
      </c>
      <c r="GL353" s="460" t="str">
        <f t="shared" ca="1" si="705"/>
        <v/>
      </c>
      <c r="GM353" s="460" t="str">
        <f t="shared" ca="1" si="705"/>
        <v/>
      </c>
      <c r="GN353" s="460" t="str">
        <f t="shared" ca="1" si="705"/>
        <v/>
      </c>
      <c r="GO353" s="460" t="str">
        <f t="shared" ca="1" si="705"/>
        <v/>
      </c>
      <c r="GP353" s="460" t="str">
        <f t="shared" ca="1" si="705"/>
        <v/>
      </c>
      <c r="GQ353" s="460" t="str">
        <f t="shared" ca="1" si="705"/>
        <v/>
      </c>
      <c r="GR353" s="460" t="str">
        <f t="shared" ca="1" si="705"/>
        <v/>
      </c>
      <c r="GS353" s="460" t="str">
        <f t="shared" ca="1" si="705"/>
        <v/>
      </c>
      <c r="GT353" s="460" t="str">
        <f t="shared" ca="1" si="705"/>
        <v/>
      </c>
      <c r="GU353" s="460" t="str">
        <f t="shared" ca="1" si="705"/>
        <v/>
      </c>
      <c r="GV353" s="460" t="str">
        <f t="shared" ca="1" si="705"/>
        <v/>
      </c>
      <c r="GW353" s="460" t="str">
        <f t="shared" ca="1" si="705"/>
        <v/>
      </c>
      <c r="GX353" s="460" t="str">
        <f t="shared" ca="1" si="705"/>
        <v/>
      </c>
      <c r="GY353" s="460" t="str">
        <f t="shared" ca="1" si="705"/>
        <v/>
      </c>
      <c r="GZ353" s="460" t="str">
        <f t="shared" ca="1" si="705"/>
        <v/>
      </c>
      <c r="HA353" s="460" t="str">
        <f t="shared" ca="1" si="705"/>
        <v/>
      </c>
      <c r="HB353" s="460" t="str">
        <f t="shared" ca="1" si="705"/>
        <v/>
      </c>
      <c r="HC353" s="460" t="str">
        <f t="shared" ca="1" si="705"/>
        <v/>
      </c>
      <c r="HD353" s="460" t="str">
        <f t="shared" ca="1" si="705"/>
        <v/>
      </c>
      <c r="HE353" s="460" t="str">
        <f t="shared" ca="1" si="705"/>
        <v/>
      </c>
      <c r="HF353" s="460" t="str">
        <f t="shared" ca="1" si="705"/>
        <v/>
      </c>
      <c r="HG353" s="460" t="str">
        <f t="shared" ca="1" si="705"/>
        <v/>
      </c>
      <c r="HH353" s="460" t="str">
        <f t="shared" ca="1" si="705"/>
        <v/>
      </c>
      <c r="HI353" s="460" t="str">
        <f t="shared" ca="1" si="705"/>
        <v/>
      </c>
      <c r="HJ353" s="460" t="str">
        <f t="shared" ca="1" si="705"/>
        <v/>
      </c>
      <c r="HK353" s="460" t="str">
        <f t="shared" ca="1" si="705"/>
        <v/>
      </c>
      <c r="HL353" s="460" t="str">
        <f t="shared" ca="1" si="705"/>
        <v/>
      </c>
      <c r="HM353" s="460" t="str">
        <f t="shared" ca="1" si="705"/>
        <v/>
      </c>
      <c r="HN353" s="460" t="str">
        <f t="shared" ca="1" si="705"/>
        <v/>
      </c>
      <c r="HO353" s="460" t="str">
        <f t="shared" ca="1" si="705"/>
        <v/>
      </c>
      <c r="HP353" s="460" t="str">
        <f t="shared" ca="1" si="705"/>
        <v/>
      </c>
      <c r="HQ353" s="460" t="str">
        <f t="shared" ca="1" si="705"/>
        <v/>
      </c>
      <c r="HR353" s="460" t="str">
        <f t="shared" ca="1" si="705"/>
        <v/>
      </c>
      <c r="HS353" s="460" t="str">
        <f t="shared" ca="1" si="705"/>
        <v/>
      </c>
      <c r="HT353" s="460" t="str">
        <f t="shared" ca="1" si="705"/>
        <v/>
      </c>
      <c r="HU353" s="460" t="str">
        <f t="shared" ca="1" si="705"/>
        <v/>
      </c>
      <c r="HV353" s="460" t="str">
        <f t="shared" ca="1" si="705"/>
        <v/>
      </c>
      <c r="HW353" s="460" t="str">
        <f t="shared" ca="1" si="676"/>
        <v/>
      </c>
      <c r="HX353" s="460" t="str">
        <f t="shared" ca="1" si="697"/>
        <v/>
      </c>
      <c r="HY353" s="460" t="str">
        <f t="shared" ca="1" si="697"/>
        <v/>
      </c>
      <c r="HZ353" s="460" t="str">
        <f t="shared" ca="1" si="697"/>
        <v/>
      </c>
      <c r="IA353" s="460" t="str">
        <f t="shared" ca="1" si="697"/>
        <v/>
      </c>
      <c r="IB353" s="460" t="str">
        <f t="shared" ca="1" si="697"/>
        <v/>
      </c>
      <c r="IC353" s="460" t="str">
        <f t="shared" ca="1" si="697"/>
        <v/>
      </c>
      <c r="ID353" s="674" t="str">
        <f t="shared" ca="1" si="697"/>
        <v/>
      </c>
    </row>
    <row r="354" spans="9:238">
      <c r="I354" s="137"/>
      <c r="J354" s="375"/>
      <c r="K354" s="1"/>
      <c r="L354" s="1"/>
      <c r="M354" s="376"/>
      <c r="P354" s="375"/>
      <c r="S354" s="55"/>
      <c r="T354" s="375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74"/>
      <c r="AO354" s="374"/>
      <c r="AP354" s="106"/>
      <c r="AQ354" s="374"/>
      <c r="AR354" s="106"/>
      <c r="AS354" s="106"/>
      <c r="AT354" s="106"/>
      <c r="AU354" s="31"/>
      <c r="AV354" s="31"/>
      <c r="AW354" s="31"/>
      <c r="AX354" s="31"/>
      <c r="AY354" s="154"/>
      <c r="AZ354" s="154"/>
      <c r="BA354" s="106"/>
      <c r="BB354" s="106"/>
      <c r="BC354" s="106"/>
      <c r="BD354" s="106"/>
      <c r="BE354" s="107"/>
      <c r="BF354" s="107"/>
      <c r="BG354" s="107"/>
      <c r="BH354" s="105"/>
      <c r="BI354" s="107"/>
      <c r="BJ354" s="106"/>
      <c r="BK354" s="108"/>
      <c r="BL354" s="159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7"/>
      <c r="CC354" s="107"/>
      <c r="CD354" s="107"/>
      <c r="CE354" s="107"/>
      <c r="CF354" s="107"/>
      <c r="CG354" s="107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10"/>
      <c r="DH354" s="475"/>
      <c r="DI354" s="1"/>
      <c r="DJ354" s="53"/>
      <c r="DK354" s="475"/>
      <c r="DL354" s="54"/>
      <c r="DM354" s="54"/>
      <c r="DN354" s="54"/>
      <c r="DO354" s="54"/>
      <c r="DP354" s="54"/>
      <c r="DQ354" s="54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L354" s="55"/>
      <c r="EM354" s="1"/>
      <c r="EN354" s="106"/>
      <c r="EO354" s="106"/>
      <c r="EP354" s="1"/>
      <c r="EQ354" s="106"/>
      <c r="ER354" s="1"/>
      <c r="ES354" s="1"/>
      <c r="ET354" s="1"/>
      <c r="EU354" s="107"/>
      <c r="FJ354" s="673">
        <v>30</v>
      </c>
      <c r="FK354" s="460">
        <f t="shared" ref="FK354:HV354" ca="1" si="706">IF(AND(ISNUMBER(FK49),ISNUMBER(FK$320),FK$320&lt;&gt;0),FK49*FK$320/FK$15,"")</f>
        <v>0</v>
      </c>
      <c r="FL354" s="460">
        <f t="shared" ca="1" si="706"/>
        <v>2.2338594108735426E-3</v>
      </c>
      <c r="FM354" s="460">
        <f t="shared" ca="1" si="706"/>
        <v>2.6049085876211305E-3</v>
      </c>
      <c r="FN354" s="460">
        <f t="shared" ca="1" si="706"/>
        <v>2.2008912582769857E-3</v>
      </c>
      <c r="FO354" s="460">
        <f t="shared" ca="1" si="706"/>
        <v>2.2995394564398722E-3</v>
      </c>
      <c r="FP354" s="460">
        <f t="shared" ca="1" si="706"/>
        <v>1.2807638967473603E-3</v>
      </c>
      <c r="FQ354" s="460" t="str">
        <f t="shared" ca="1" si="706"/>
        <v/>
      </c>
      <c r="FR354" s="460" t="str">
        <f t="shared" ca="1" si="706"/>
        <v/>
      </c>
      <c r="FS354" s="460" t="str">
        <f t="shared" ca="1" si="706"/>
        <v/>
      </c>
      <c r="FT354" s="460" t="str">
        <f t="shared" ca="1" si="706"/>
        <v/>
      </c>
      <c r="FU354" s="460" t="str">
        <f t="shared" ca="1" si="706"/>
        <v/>
      </c>
      <c r="FV354" s="460" t="str">
        <f t="shared" ca="1" si="706"/>
        <v/>
      </c>
      <c r="FW354" s="460" t="str">
        <f t="shared" ca="1" si="706"/>
        <v/>
      </c>
      <c r="FX354" s="460" t="str">
        <f t="shared" ca="1" si="706"/>
        <v/>
      </c>
      <c r="FY354" s="460" t="str">
        <f t="shared" ca="1" si="706"/>
        <v/>
      </c>
      <c r="FZ354" s="460" t="str">
        <f t="shared" ca="1" si="706"/>
        <v/>
      </c>
      <c r="GA354" s="460" t="str">
        <f t="shared" ca="1" si="706"/>
        <v/>
      </c>
      <c r="GB354" s="460" t="str">
        <f t="shared" ca="1" si="706"/>
        <v/>
      </c>
      <c r="GC354" s="460" t="str">
        <f t="shared" ca="1" si="706"/>
        <v/>
      </c>
      <c r="GD354" s="460" t="str">
        <f t="shared" ca="1" si="706"/>
        <v/>
      </c>
      <c r="GE354" s="460" t="str">
        <f t="shared" ca="1" si="706"/>
        <v/>
      </c>
      <c r="GF354" s="460" t="str">
        <f t="shared" ca="1" si="706"/>
        <v/>
      </c>
      <c r="GG354" s="460" t="str">
        <f t="shared" ca="1" si="706"/>
        <v/>
      </c>
      <c r="GH354" s="460" t="str">
        <f t="shared" ca="1" si="706"/>
        <v/>
      </c>
      <c r="GI354" s="460" t="str">
        <f t="shared" ca="1" si="706"/>
        <v/>
      </c>
      <c r="GJ354" s="460" t="str">
        <f t="shared" ca="1" si="706"/>
        <v/>
      </c>
      <c r="GK354" s="460" t="str">
        <f t="shared" ca="1" si="706"/>
        <v/>
      </c>
      <c r="GL354" s="460" t="str">
        <f t="shared" ca="1" si="706"/>
        <v/>
      </c>
      <c r="GM354" s="460" t="str">
        <f t="shared" ca="1" si="706"/>
        <v/>
      </c>
      <c r="GN354" s="460" t="str">
        <f t="shared" ca="1" si="706"/>
        <v/>
      </c>
      <c r="GO354" s="460" t="str">
        <f t="shared" ca="1" si="706"/>
        <v/>
      </c>
      <c r="GP354" s="460" t="str">
        <f t="shared" ca="1" si="706"/>
        <v/>
      </c>
      <c r="GQ354" s="460" t="str">
        <f t="shared" ca="1" si="706"/>
        <v/>
      </c>
      <c r="GR354" s="460" t="str">
        <f t="shared" ca="1" si="706"/>
        <v/>
      </c>
      <c r="GS354" s="460" t="str">
        <f t="shared" ca="1" si="706"/>
        <v/>
      </c>
      <c r="GT354" s="460" t="str">
        <f t="shared" ca="1" si="706"/>
        <v/>
      </c>
      <c r="GU354" s="460" t="str">
        <f t="shared" ca="1" si="706"/>
        <v/>
      </c>
      <c r="GV354" s="460" t="str">
        <f t="shared" ca="1" si="706"/>
        <v/>
      </c>
      <c r="GW354" s="460" t="str">
        <f t="shared" ca="1" si="706"/>
        <v/>
      </c>
      <c r="GX354" s="460" t="str">
        <f t="shared" ca="1" si="706"/>
        <v/>
      </c>
      <c r="GY354" s="460" t="str">
        <f t="shared" ca="1" si="706"/>
        <v/>
      </c>
      <c r="GZ354" s="460" t="str">
        <f t="shared" ca="1" si="706"/>
        <v/>
      </c>
      <c r="HA354" s="460" t="str">
        <f t="shared" ca="1" si="706"/>
        <v/>
      </c>
      <c r="HB354" s="460" t="str">
        <f t="shared" ca="1" si="706"/>
        <v/>
      </c>
      <c r="HC354" s="460" t="str">
        <f t="shared" ca="1" si="706"/>
        <v/>
      </c>
      <c r="HD354" s="460" t="str">
        <f t="shared" ca="1" si="706"/>
        <v/>
      </c>
      <c r="HE354" s="460" t="str">
        <f t="shared" ca="1" si="706"/>
        <v/>
      </c>
      <c r="HF354" s="460" t="str">
        <f t="shared" ca="1" si="706"/>
        <v/>
      </c>
      <c r="HG354" s="460" t="str">
        <f t="shared" ca="1" si="706"/>
        <v/>
      </c>
      <c r="HH354" s="460" t="str">
        <f t="shared" ca="1" si="706"/>
        <v/>
      </c>
      <c r="HI354" s="460" t="str">
        <f t="shared" ca="1" si="706"/>
        <v/>
      </c>
      <c r="HJ354" s="460" t="str">
        <f t="shared" ca="1" si="706"/>
        <v/>
      </c>
      <c r="HK354" s="460" t="str">
        <f t="shared" ca="1" si="706"/>
        <v/>
      </c>
      <c r="HL354" s="460" t="str">
        <f t="shared" ca="1" si="706"/>
        <v/>
      </c>
      <c r="HM354" s="460" t="str">
        <f t="shared" ca="1" si="706"/>
        <v/>
      </c>
      <c r="HN354" s="460" t="str">
        <f t="shared" ca="1" si="706"/>
        <v/>
      </c>
      <c r="HO354" s="460" t="str">
        <f t="shared" ca="1" si="706"/>
        <v/>
      </c>
      <c r="HP354" s="460" t="str">
        <f t="shared" ca="1" si="706"/>
        <v/>
      </c>
      <c r="HQ354" s="460" t="str">
        <f t="shared" ca="1" si="706"/>
        <v/>
      </c>
      <c r="HR354" s="460" t="str">
        <f t="shared" ca="1" si="706"/>
        <v/>
      </c>
      <c r="HS354" s="460" t="str">
        <f t="shared" ca="1" si="706"/>
        <v/>
      </c>
      <c r="HT354" s="460" t="str">
        <f t="shared" ca="1" si="706"/>
        <v/>
      </c>
      <c r="HU354" s="460" t="str">
        <f t="shared" ca="1" si="706"/>
        <v/>
      </c>
      <c r="HV354" s="460" t="str">
        <f t="shared" ca="1" si="706"/>
        <v/>
      </c>
      <c r="HW354" s="460" t="str">
        <f t="shared" ca="1" si="676"/>
        <v/>
      </c>
      <c r="HX354" s="460" t="str">
        <f t="shared" ca="1" si="697"/>
        <v/>
      </c>
      <c r="HY354" s="460" t="str">
        <f t="shared" ca="1" si="697"/>
        <v/>
      </c>
      <c r="HZ354" s="460" t="str">
        <f t="shared" ca="1" si="697"/>
        <v/>
      </c>
      <c r="IA354" s="460" t="str">
        <f t="shared" ca="1" si="697"/>
        <v/>
      </c>
      <c r="IB354" s="460" t="str">
        <f t="shared" ca="1" si="697"/>
        <v/>
      </c>
      <c r="IC354" s="460" t="str">
        <f t="shared" ca="1" si="697"/>
        <v/>
      </c>
      <c r="ID354" s="674" t="str">
        <f t="shared" ca="1" si="697"/>
        <v/>
      </c>
    </row>
    <row r="355" spans="9:238">
      <c r="I355" s="137"/>
      <c r="J355" s="375"/>
      <c r="K355" s="1"/>
      <c r="L355" s="1"/>
      <c r="M355" s="376"/>
      <c r="P355" s="375"/>
      <c r="S355" s="55"/>
      <c r="T355" s="375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74"/>
      <c r="AO355" s="374"/>
      <c r="AP355" s="106"/>
      <c r="AQ355" s="374"/>
      <c r="AR355" s="106"/>
      <c r="AS355" s="106"/>
      <c r="AT355" s="106"/>
      <c r="AU355" s="31"/>
      <c r="AV355" s="31"/>
      <c r="AW355" s="31"/>
      <c r="AX355" s="31"/>
      <c r="AY355" s="154"/>
      <c r="AZ355" s="154"/>
      <c r="BA355" s="106"/>
      <c r="BB355" s="106"/>
      <c r="BC355" s="106"/>
      <c r="BD355" s="106"/>
      <c r="BE355" s="107"/>
      <c r="BF355" s="107"/>
      <c r="BG355" s="107"/>
      <c r="BH355" s="105"/>
      <c r="BI355" s="107"/>
      <c r="BJ355" s="106"/>
      <c r="BK355" s="108"/>
      <c r="BL355" s="159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7"/>
      <c r="CC355" s="107"/>
      <c r="CD355" s="107"/>
      <c r="CE355" s="107"/>
      <c r="CF355" s="107"/>
      <c r="CG355" s="107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10"/>
      <c r="DH355" s="475"/>
      <c r="DI355" s="1"/>
      <c r="DJ355" s="53"/>
      <c r="DK355" s="475"/>
      <c r="DL355" s="54"/>
      <c r="DM355" s="54"/>
      <c r="DN355" s="54"/>
      <c r="DO355" s="54"/>
      <c r="DP355" s="54"/>
      <c r="DQ355" s="54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L355" s="55"/>
      <c r="EM355" s="1"/>
      <c r="EN355" s="106"/>
      <c r="EO355" s="106"/>
      <c r="EP355" s="1"/>
      <c r="EQ355" s="106"/>
      <c r="ER355" s="1"/>
      <c r="ES355" s="1"/>
      <c r="ET355" s="1"/>
      <c r="EU355" s="107"/>
      <c r="FJ355" s="673">
        <v>31</v>
      </c>
      <c r="FK355" s="460">
        <f t="shared" ref="FK355:HV355" ca="1" si="707">IF(AND(ISNUMBER(FK50),ISNUMBER(FK$320),FK$320&lt;&gt;0),FK50*FK$320/FK$15,"")</f>
        <v>0</v>
      </c>
      <c r="FL355" s="460">
        <f t="shared" ca="1" si="707"/>
        <v>2.2276130895439198E-3</v>
      </c>
      <c r="FM355" s="460">
        <f t="shared" ca="1" si="707"/>
        <v>2.596389465231567E-3</v>
      </c>
      <c r="FN355" s="460">
        <f t="shared" ca="1" si="707"/>
        <v>2.1924727558625145E-3</v>
      </c>
      <c r="FO355" s="460">
        <f t="shared" ca="1" si="707"/>
        <v>2.2892519290052035E-3</v>
      </c>
      <c r="FP355" s="460">
        <f t="shared" ca="1" si="707"/>
        <v>1.2740623800699534E-3</v>
      </c>
      <c r="FQ355" s="460" t="str">
        <f t="shared" ca="1" si="707"/>
        <v/>
      </c>
      <c r="FR355" s="460" t="str">
        <f t="shared" ca="1" si="707"/>
        <v/>
      </c>
      <c r="FS355" s="460" t="str">
        <f t="shared" ca="1" si="707"/>
        <v/>
      </c>
      <c r="FT355" s="460" t="str">
        <f t="shared" ca="1" si="707"/>
        <v/>
      </c>
      <c r="FU355" s="460" t="str">
        <f t="shared" ca="1" si="707"/>
        <v/>
      </c>
      <c r="FV355" s="460" t="str">
        <f t="shared" ca="1" si="707"/>
        <v/>
      </c>
      <c r="FW355" s="460" t="str">
        <f t="shared" ca="1" si="707"/>
        <v/>
      </c>
      <c r="FX355" s="460" t="str">
        <f t="shared" ca="1" si="707"/>
        <v/>
      </c>
      <c r="FY355" s="460" t="str">
        <f t="shared" ca="1" si="707"/>
        <v/>
      </c>
      <c r="FZ355" s="460" t="str">
        <f t="shared" ca="1" si="707"/>
        <v/>
      </c>
      <c r="GA355" s="460" t="str">
        <f t="shared" ca="1" si="707"/>
        <v/>
      </c>
      <c r="GB355" s="460" t="str">
        <f t="shared" ca="1" si="707"/>
        <v/>
      </c>
      <c r="GC355" s="460" t="str">
        <f t="shared" ca="1" si="707"/>
        <v/>
      </c>
      <c r="GD355" s="460" t="str">
        <f t="shared" ca="1" si="707"/>
        <v/>
      </c>
      <c r="GE355" s="460" t="str">
        <f t="shared" ca="1" si="707"/>
        <v/>
      </c>
      <c r="GF355" s="460" t="str">
        <f t="shared" ca="1" si="707"/>
        <v/>
      </c>
      <c r="GG355" s="460" t="str">
        <f t="shared" ca="1" si="707"/>
        <v/>
      </c>
      <c r="GH355" s="460" t="str">
        <f t="shared" ca="1" si="707"/>
        <v/>
      </c>
      <c r="GI355" s="460" t="str">
        <f t="shared" ca="1" si="707"/>
        <v/>
      </c>
      <c r="GJ355" s="460" t="str">
        <f t="shared" ca="1" si="707"/>
        <v/>
      </c>
      <c r="GK355" s="460" t="str">
        <f t="shared" ca="1" si="707"/>
        <v/>
      </c>
      <c r="GL355" s="460" t="str">
        <f t="shared" ca="1" si="707"/>
        <v/>
      </c>
      <c r="GM355" s="460" t="str">
        <f t="shared" ca="1" si="707"/>
        <v/>
      </c>
      <c r="GN355" s="460" t="str">
        <f t="shared" ca="1" si="707"/>
        <v/>
      </c>
      <c r="GO355" s="460" t="str">
        <f t="shared" ca="1" si="707"/>
        <v/>
      </c>
      <c r="GP355" s="460" t="str">
        <f t="shared" ca="1" si="707"/>
        <v/>
      </c>
      <c r="GQ355" s="460" t="str">
        <f t="shared" ca="1" si="707"/>
        <v/>
      </c>
      <c r="GR355" s="460" t="str">
        <f t="shared" ca="1" si="707"/>
        <v/>
      </c>
      <c r="GS355" s="460" t="str">
        <f t="shared" ca="1" si="707"/>
        <v/>
      </c>
      <c r="GT355" s="460" t="str">
        <f t="shared" ca="1" si="707"/>
        <v/>
      </c>
      <c r="GU355" s="460" t="str">
        <f t="shared" ca="1" si="707"/>
        <v/>
      </c>
      <c r="GV355" s="460" t="str">
        <f t="shared" ca="1" si="707"/>
        <v/>
      </c>
      <c r="GW355" s="460" t="str">
        <f t="shared" ca="1" si="707"/>
        <v/>
      </c>
      <c r="GX355" s="460" t="str">
        <f t="shared" ca="1" si="707"/>
        <v/>
      </c>
      <c r="GY355" s="460" t="str">
        <f t="shared" ca="1" si="707"/>
        <v/>
      </c>
      <c r="GZ355" s="460" t="str">
        <f t="shared" ca="1" si="707"/>
        <v/>
      </c>
      <c r="HA355" s="460" t="str">
        <f t="shared" ca="1" si="707"/>
        <v/>
      </c>
      <c r="HB355" s="460" t="str">
        <f t="shared" ca="1" si="707"/>
        <v/>
      </c>
      <c r="HC355" s="460" t="str">
        <f t="shared" ca="1" si="707"/>
        <v/>
      </c>
      <c r="HD355" s="460" t="str">
        <f t="shared" ca="1" si="707"/>
        <v/>
      </c>
      <c r="HE355" s="460" t="str">
        <f t="shared" ca="1" si="707"/>
        <v/>
      </c>
      <c r="HF355" s="460" t="str">
        <f t="shared" ca="1" si="707"/>
        <v/>
      </c>
      <c r="HG355" s="460" t="str">
        <f t="shared" ca="1" si="707"/>
        <v/>
      </c>
      <c r="HH355" s="460" t="str">
        <f t="shared" ca="1" si="707"/>
        <v/>
      </c>
      <c r="HI355" s="460" t="str">
        <f t="shared" ca="1" si="707"/>
        <v/>
      </c>
      <c r="HJ355" s="460" t="str">
        <f t="shared" ca="1" si="707"/>
        <v/>
      </c>
      <c r="HK355" s="460" t="str">
        <f t="shared" ca="1" si="707"/>
        <v/>
      </c>
      <c r="HL355" s="460" t="str">
        <f t="shared" ca="1" si="707"/>
        <v/>
      </c>
      <c r="HM355" s="460" t="str">
        <f t="shared" ca="1" si="707"/>
        <v/>
      </c>
      <c r="HN355" s="460" t="str">
        <f t="shared" ca="1" si="707"/>
        <v/>
      </c>
      <c r="HO355" s="460" t="str">
        <f t="shared" ca="1" si="707"/>
        <v/>
      </c>
      <c r="HP355" s="460" t="str">
        <f t="shared" ca="1" si="707"/>
        <v/>
      </c>
      <c r="HQ355" s="460" t="str">
        <f t="shared" ca="1" si="707"/>
        <v/>
      </c>
      <c r="HR355" s="460" t="str">
        <f t="shared" ca="1" si="707"/>
        <v/>
      </c>
      <c r="HS355" s="460" t="str">
        <f t="shared" ca="1" si="707"/>
        <v/>
      </c>
      <c r="HT355" s="460" t="str">
        <f t="shared" ca="1" si="707"/>
        <v/>
      </c>
      <c r="HU355" s="460" t="str">
        <f t="shared" ca="1" si="707"/>
        <v/>
      </c>
      <c r="HV355" s="460" t="str">
        <f t="shared" ca="1" si="707"/>
        <v/>
      </c>
      <c r="HW355" s="460" t="str">
        <f t="shared" ca="1" si="676"/>
        <v/>
      </c>
      <c r="HX355" s="460" t="str">
        <f t="shared" ref="HX355:ID364" ca="1" si="708">IF(AND(ISNUMBER(HX50),ISNUMBER(HX$320),HX$320&lt;&gt;0),HX50*HX$320/HX$15,"")</f>
        <v/>
      </c>
      <c r="HY355" s="460" t="str">
        <f t="shared" ca="1" si="708"/>
        <v/>
      </c>
      <c r="HZ355" s="460" t="str">
        <f t="shared" ca="1" si="708"/>
        <v/>
      </c>
      <c r="IA355" s="460" t="str">
        <f t="shared" ca="1" si="708"/>
        <v/>
      </c>
      <c r="IB355" s="460" t="str">
        <f t="shared" ca="1" si="708"/>
        <v/>
      </c>
      <c r="IC355" s="460" t="str">
        <f t="shared" ca="1" si="708"/>
        <v/>
      </c>
      <c r="ID355" s="674" t="str">
        <f t="shared" ca="1" si="708"/>
        <v/>
      </c>
    </row>
    <row r="356" spans="9:238">
      <c r="I356" s="137"/>
      <c r="J356" s="375"/>
      <c r="K356" s="1"/>
      <c r="L356" s="1"/>
      <c r="M356" s="376"/>
      <c r="P356" s="375"/>
      <c r="S356" s="55"/>
      <c r="T356" s="375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74"/>
      <c r="AO356" s="374"/>
      <c r="AP356" s="106"/>
      <c r="AQ356" s="374"/>
      <c r="AR356" s="106"/>
      <c r="AS356" s="106"/>
      <c r="AT356" s="106"/>
      <c r="AU356" s="31"/>
      <c r="AV356" s="31"/>
      <c r="AW356" s="31"/>
      <c r="AX356" s="31"/>
      <c r="AY356" s="154"/>
      <c r="AZ356" s="154"/>
      <c r="BA356" s="106"/>
      <c r="BB356" s="106"/>
      <c r="BC356" s="106"/>
      <c r="BD356" s="106"/>
      <c r="BE356" s="107"/>
      <c r="BF356" s="107"/>
      <c r="BG356" s="107"/>
      <c r="BH356" s="105"/>
      <c r="BI356" s="107"/>
      <c r="BJ356" s="106"/>
      <c r="BK356" s="108"/>
      <c r="BL356" s="159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7"/>
      <c r="CC356" s="107"/>
      <c r="CD356" s="107"/>
      <c r="CE356" s="107"/>
      <c r="CF356" s="107"/>
      <c r="CG356" s="107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10"/>
      <c r="DH356" s="475"/>
      <c r="DI356" s="1"/>
      <c r="DJ356" s="53"/>
      <c r="DK356" s="475"/>
      <c r="DL356" s="54"/>
      <c r="DM356" s="54"/>
      <c r="DN356" s="54"/>
      <c r="DO356" s="54"/>
      <c r="DP356" s="54"/>
      <c r="DQ356" s="54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L356" s="55"/>
      <c r="EM356" s="1"/>
      <c r="EN356" s="106"/>
      <c r="EO356" s="106"/>
      <c r="EP356" s="1"/>
      <c r="EQ356" s="106"/>
      <c r="ER356" s="1"/>
      <c r="ES356" s="1"/>
      <c r="ET356" s="1"/>
      <c r="EU356" s="107"/>
      <c r="FJ356" s="673">
        <v>32</v>
      </c>
      <c r="FK356" s="460">
        <f t="shared" ref="FK356:HV356" ca="1" si="709">IF(AND(ISNUMBER(FK51),ISNUMBER(FK$320),FK$320&lt;&gt;0),FK51*FK$320/FK$15,"")</f>
        <v>0</v>
      </c>
      <c r="FL356" s="460">
        <f t="shared" ca="1" si="709"/>
        <v>2.2222874182147717E-3</v>
      </c>
      <c r="FM356" s="460">
        <f t="shared" ca="1" si="709"/>
        <v>2.5891294367724159E-3</v>
      </c>
      <c r="FN356" s="460">
        <f t="shared" ca="1" si="709"/>
        <v>2.1853024682632733E-3</v>
      </c>
      <c r="FO356" s="460">
        <f t="shared" ca="1" si="709"/>
        <v>2.2804954432773484E-3</v>
      </c>
      <c r="FP356" s="460">
        <f t="shared" ca="1" si="709"/>
        <v>1.2683625641125699E-3</v>
      </c>
      <c r="FQ356" s="460" t="str">
        <f t="shared" ca="1" si="709"/>
        <v/>
      </c>
      <c r="FR356" s="460" t="str">
        <f t="shared" ca="1" si="709"/>
        <v/>
      </c>
      <c r="FS356" s="460" t="str">
        <f t="shared" ca="1" si="709"/>
        <v/>
      </c>
      <c r="FT356" s="460" t="str">
        <f t="shared" ca="1" si="709"/>
        <v/>
      </c>
      <c r="FU356" s="460" t="str">
        <f t="shared" ca="1" si="709"/>
        <v/>
      </c>
      <c r="FV356" s="460" t="str">
        <f t="shared" ca="1" si="709"/>
        <v/>
      </c>
      <c r="FW356" s="460" t="str">
        <f t="shared" ca="1" si="709"/>
        <v/>
      </c>
      <c r="FX356" s="460" t="str">
        <f t="shared" ca="1" si="709"/>
        <v/>
      </c>
      <c r="FY356" s="460" t="str">
        <f t="shared" ca="1" si="709"/>
        <v/>
      </c>
      <c r="FZ356" s="460" t="str">
        <f t="shared" ca="1" si="709"/>
        <v/>
      </c>
      <c r="GA356" s="460" t="str">
        <f t="shared" ca="1" si="709"/>
        <v/>
      </c>
      <c r="GB356" s="460" t="str">
        <f t="shared" ca="1" si="709"/>
        <v/>
      </c>
      <c r="GC356" s="460" t="str">
        <f t="shared" ca="1" si="709"/>
        <v/>
      </c>
      <c r="GD356" s="460" t="str">
        <f t="shared" ca="1" si="709"/>
        <v/>
      </c>
      <c r="GE356" s="460" t="str">
        <f t="shared" ca="1" si="709"/>
        <v/>
      </c>
      <c r="GF356" s="460" t="str">
        <f t="shared" ca="1" si="709"/>
        <v/>
      </c>
      <c r="GG356" s="460" t="str">
        <f t="shared" ca="1" si="709"/>
        <v/>
      </c>
      <c r="GH356" s="460" t="str">
        <f t="shared" ca="1" si="709"/>
        <v/>
      </c>
      <c r="GI356" s="460" t="str">
        <f t="shared" ca="1" si="709"/>
        <v/>
      </c>
      <c r="GJ356" s="460" t="str">
        <f t="shared" ca="1" si="709"/>
        <v/>
      </c>
      <c r="GK356" s="460" t="str">
        <f t="shared" ca="1" si="709"/>
        <v/>
      </c>
      <c r="GL356" s="460" t="str">
        <f t="shared" ca="1" si="709"/>
        <v/>
      </c>
      <c r="GM356" s="460" t="str">
        <f t="shared" ca="1" si="709"/>
        <v/>
      </c>
      <c r="GN356" s="460" t="str">
        <f t="shared" ca="1" si="709"/>
        <v/>
      </c>
      <c r="GO356" s="460" t="str">
        <f t="shared" ca="1" si="709"/>
        <v/>
      </c>
      <c r="GP356" s="460" t="str">
        <f t="shared" ca="1" si="709"/>
        <v/>
      </c>
      <c r="GQ356" s="460" t="str">
        <f t="shared" ca="1" si="709"/>
        <v/>
      </c>
      <c r="GR356" s="460" t="str">
        <f t="shared" ca="1" si="709"/>
        <v/>
      </c>
      <c r="GS356" s="460" t="str">
        <f t="shared" ca="1" si="709"/>
        <v/>
      </c>
      <c r="GT356" s="460" t="str">
        <f t="shared" ca="1" si="709"/>
        <v/>
      </c>
      <c r="GU356" s="460" t="str">
        <f t="shared" ca="1" si="709"/>
        <v/>
      </c>
      <c r="GV356" s="460" t="str">
        <f t="shared" ca="1" si="709"/>
        <v/>
      </c>
      <c r="GW356" s="460" t="str">
        <f t="shared" ca="1" si="709"/>
        <v/>
      </c>
      <c r="GX356" s="460" t="str">
        <f t="shared" ca="1" si="709"/>
        <v/>
      </c>
      <c r="GY356" s="460" t="str">
        <f t="shared" ca="1" si="709"/>
        <v/>
      </c>
      <c r="GZ356" s="460" t="str">
        <f t="shared" ca="1" si="709"/>
        <v/>
      </c>
      <c r="HA356" s="460" t="str">
        <f t="shared" ca="1" si="709"/>
        <v/>
      </c>
      <c r="HB356" s="460" t="str">
        <f t="shared" ca="1" si="709"/>
        <v/>
      </c>
      <c r="HC356" s="460" t="str">
        <f t="shared" ca="1" si="709"/>
        <v/>
      </c>
      <c r="HD356" s="460" t="str">
        <f t="shared" ca="1" si="709"/>
        <v/>
      </c>
      <c r="HE356" s="460" t="str">
        <f t="shared" ca="1" si="709"/>
        <v/>
      </c>
      <c r="HF356" s="460" t="str">
        <f t="shared" ca="1" si="709"/>
        <v/>
      </c>
      <c r="HG356" s="460" t="str">
        <f t="shared" ca="1" si="709"/>
        <v/>
      </c>
      <c r="HH356" s="460" t="str">
        <f t="shared" ca="1" si="709"/>
        <v/>
      </c>
      <c r="HI356" s="460" t="str">
        <f t="shared" ca="1" si="709"/>
        <v/>
      </c>
      <c r="HJ356" s="460" t="str">
        <f t="shared" ca="1" si="709"/>
        <v/>
      </c>
      <c r="HK356" s="460" t="str">
        <f t="shared" ca="1" si="709"/>
        <v/>
      </c>
      <c r="HL356" s="460" t="str">
        <f t="shared" ca="1" si="709"/>
        <v/>
      </c>
      <c r="HM356" s="460" t="str">
        <f t="shared" ca="1" si="709"/>
        <v/>
      </c>
      <c r="HN356" s="460" t="str">
        <f t="shared" ca="1" si="709"/>
        <v/>
      </c>
      <c r="HO356" s="460" t="str">
        <f t="shared" ca="1" si="709"/>
        <v/>
      </c>
      <c r="HP356" s="460" t="str">
        <f t="shared" ca="1" si="709"/>
        <v/>
      </c>
      <c r="HQ356" s="460" t="str">
        <f t="shared" ca="1" si="709"/>
        <v/>
      </c>
      <c r="HR356" s="460" t="str">
        <f t="shared" ca="1" si="709"/>
        <v/>
      </c>
      <c r="HS356" s="460" t="str">
        <f t="shared" ca="1" si="709"/>
        <v/>
      </c>
      <c r="HT356" s="460" t="str">
        <f t="shared" ca="1" si="709"/>
        <v/>
      </c>
      <c r="HU356" s="460" t="str">
        <f t="shared" ca="1" si="709"/>
        <v/>
      </c>
      <c r="HV356" s="460" t="str">
        <f t="shared" ca="1" si="709"/>
        <v/>
      </c>
      <c r="HW356" s="460" t="str">
        <f t="shared" ca="1" si="676"/>
        <v/>
      </c>
      <c r="HX356" s="460" t="str">
        <f t="shared" ca="1" si="708"/>
        <v/>
      </c>
      <c r="HY356" s="460" t="str">
        <f t="shared" ca="1" si="708"/>
        <v/>
      </c>
      <c r="HZ356" s="460" t="str">
        <f t="shared" ca="1" si="708"/>
        <v/>
      </c>
      <c r="IA356" s="460" t="str">
        <f t="shared" ca="1" si="708"/>
        <v/>
      </c>
      <c r="IB356" s="460" t="str">
        <f t="shared" ca="1" si="708"/>
        <v/>
      </c>
      <c r="IC356" s="460" t="str">
        <f t="shared" ca="1" si="708"/>
        <v/>
      </c>
      <c r="ID356" s="674" t="str">
        <f t="shared" ca="1" si="708"/>
        <v/>
      </c>
    </row>
    <row r="357" spans="9:238">
      <c r="I357" s="137"/>
      <c r="J357" s="375"/>
      <c r="K357" s="1"/>
      <c r="L357" s="1"/>
      <c r="M357" s="376"/>
      <c r="P357" s="375"/>
      <c r="S357" s="55"/>
      <c r="T357" s="375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74"/>
      <c r="AO357" s="374"/>
      <c r="AP357" s="106"/>
      <c r="AQ357" s="374"/>
      <c r="AR357" s="106"/>
      <c r="AS357" s="106"/>
      <c r="AT357" s="106"/>
      <c r="AU357" s="31"/>
      <c r="AV357" s="31"/>
      <c r="AW357" s="31"/>
      <c r="AX357" s="31"/>
      <c r="AY357" s="154"/>
      <c r="AZ357" s="154"/>
      <c r="BA357" s="106"/>
      <c r="BB357" s="106"/>
      <c r="BC357" s="106"/>
      <c r="BD357" s="106"/>
      <c r="BE357" s="107"/>
      <c r="BF357" s="107"/>
      <c r="BG357" s="107"/>
      <c r="BH357" s="105"/>
      <c r="BI357" s="107"/>
      <c r="BJ357" s="106"/>
      <c r="BK357" s="108"/>
      <c r="BL357" s="159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7"/>
      <c r="CC357" s="107"/>
      <c r="CD357" s="107"/>
      <c r="CE357" s="107"/>
      <c r="CF357" s="107"/>
      <c r="CG357" s="107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10"/>
      <c r="DH357" s="475"/>
      <c r="DI357" s="1"/>
      <c r="DJ357" s="53"/>
      <c r="DK357" s="475"/>
      <c r="DL357" s="54"/>
      <c r="DM357" s="54"/>
      <c r="DN357" s="54"/>
      <c r="DO357" s="54"/>
      <c r="DP357" s="54"/>
      <c r="DQ357" s="54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L357" s="55"/>
      <c r="EM357" s="1"/>
      <c r="EN357" s="106"/>
      <c r="EO357" s="106"/>
      <c r="EP357" s="1"/>
      <c r="EQ357" s="106"/>
      <c r="ER357" s="1"/>
      <c r="ES357" s="1"/>
      <c r="ET357" s="1"/>
      <c r="EU357" s="107"/>
      <c r="FJ357" s="673">
        <v>33</v>
      </c>
      <c r="FK357" s="460">
        <f t="shared" ref="FK357:HV357" ca="1" si="710">IF(AND(ISNUMBER(FK52),ISNUMBER(FK$320),FK$320&lt;&gt;0),FK52*FK$320/FK$15,"")</f>
        <v>0</v>
      </c>
      <c r="FL357" s="460">
        <f t="shared" ca="1" si="710"/>
        <v>2.2177448553974198E-3</v>
      </c>
      <c r="FM357" s="460">
        <f t="shared" ca="1" si="710"/>
        <v>2.582939469370269E-3</v>
      </c>
      <c r="FN357" s="460">
        <f t="shared" ca="1" si="710"/>
        <v>2.1791919219358064E-3</v>
      </c>
      <c r="FO357" s="460">
        <f t="shared" ca="1" si="710"/>
        <v>2.2730372852895996E-3</v>
      </c>
      <c r="FP357" s="460">
        <f t="shared" ca="1" si="710"/>
        <v>1.2635110235068039E-3</v>
      </c>
      <c r="FQ357" s="460" t="str">
        <f t="shared" ca="1" si="710"/>
        <v/>
      </c>
      <c r="FR357" s="460" t="str">
        <f t="shared" ca="1" si="710"/>
        <v/>
      </c>
      <c r="FS357" s="460" t="str">
        <f t="shared" ca="1" si="710"/>
        <v/>
      </c>
      <c r="FT357" s="460" t="str">
        <f t="shared" ca="1" si="710"/>
        <v/>
      </c>
      <c r="FU357" s="460" t="str">
        <f t="shared" ca="1" si="710"/>
        <v/>
      </c>
      <c r="FV357" s="460" t="str">
        <f t="shared" ca="1" si="710"/>
        <v/>
      </c>
      <c r="FW357" s="460" t="str">
        <f t="shared" ca="1" si="710"/>
        <v/>
      </c>
      <c r="FX357" s="460" t="str">
        <f t="shared" ca="1" si="710"/>
        <v/>
      </c>
      <c r="FY357" s="460" t="str">
        <f t="shared" ca="1" si="710"/>
        <v/>
      </c>
      <c r="FZ357" s="460" t="str">
        <f t="shared" ca="1" si="710"/>
        <v/>
      </c>
      <c r="GA357" s="460" t="str">
        <f t="shared" ca="1" si="710"/>
        <v/>
      </c>
      <c r="GB357" s="460" t="str">
        <f t="shared" ca="1" si="710"/>
        <v/>
      </c>
      <c r="GC357" s="460" t="str">
        <f t="shared" ca="1" si="710"/>
        <v/>
      </c>
      <c r="GD357" s="460" t="str">
        <f t="shared" ca="1" si="710"/>
        <v/>
      </c>
      <c r="GE357" s="460" t="str">
        <f t="shared" ca="1" si="710"/>
        <v/>
      </c>
      <c r="GF357" s="460" t="str">
        <f t="shared" ca="1" si="710"/>
        <v/>
      </c>
      <c r="GG357" s="460" t="str">
        <f t="shared" ca="1" si="710"/>
        <v/>
      </c>
      <c r="GH357" s="460" t="str">
        <f t="shared" ca="1" si="710"/>
        <v/>
      </c>
      <c r="GI357" s="460" t="str">
        <f t="shared" ca="1" si="710"/>
        <v/>
      </c>
      <c r="GJ357" s="460" t="str">
        <f t="shared" ca="1" si="710"/>
        <v/>
      </c>
      <c r="GK357" s="460" t="str">
        <f t="shared" ca="1" si="710"/>
        <v/>
      </c>
      <c r="GL357" s="460" t="str">
        <f t="shared" ca="1" si="710"/>
        <v/>
      </c>
      <c r="GM357" s="460" t="str">
        <f t="shared" ca="1" si="710"/>
        <v/>
      </c>
      <c r="GN357" s="460" t="str">
        <f t="shared" ca="1" si="710"/>
        <v/>
      </c>
      <c r="GO357" s="460" t="str">
        <f t="shared" ca="1" si="710"/>
        <v/>
      </c>
      <c r="GP357" s="460" t="str">
        <f t="shared" ca="1" si="710"/>
        <v/>
      </c>
      <c r="GQ357" s="460" t="str">
        <f t="shared" ca="1" si="710"/>
        <v/>
      </c>
      <c r="GR357" s="460" t="str">
        <f t="shared" ca="1" si="710"/>
        <v/>
      </c>
      <c r="GS357" s="460" t="str">
        <f t="shared" ca="1" si="710"/>
        <v/>
      </c>
      <c r="GT357" s="460" t="str">
        <f t="shared" ca="1" si="710"/>
        <v/>
      </c>
      <c r="GU357" s="460" t="str">
        <f t="shared" ca="1" si="710"/>
        <v/>
      </c>
      <c r="GV357" s="460" t="str">
        <f t="shared" ca="1" si="710"/>
        <v/>
      </c>
      <c r="GW357" s="460" t="str">
        <f t="shared" ca="1" si="710"/>
        <v/>
      </c>
      <c r="GX357" s="460" t="str">
        <f t="shared" ca="1" si="710"/>
        <v/>
      </c>
      <c r="GY357" s="460" t="str">
        <f t="shared" ca="1" si="710"/>
        <v/>
      </c>
      <c r="GZ357" s="460" t="str">
        <f t="shared" ca="1" si="710"/>
        <v/>
      </c>
      <c r="HA357" s="460" t="str">
        <f t="shared" ca="1" si="710"/>
        <v/>
      </c>
      <c r="HB357" s="460" t="str">
        <f t="shared" ca="1" si="710"/>
        <v/>
      </c>
      <c r="HC357" s="460" t="str">
        <f t="shared" ca="1" si="710"/>
        <v/>
      </c>
      <c r="HD357" s="460" t="str">
        <f t="shared" ca="1" si="710"/>
        <v/>
      </c>
      <c r="HE357" s="460" t="str">
        <f t="shared" ca="1" si="710"/>
        <v/>
      </c>
      <c r="HF357" s="460" t="str">
        <f t="shared" ca="1" si="710"/>
        <v/>
      </c>
      <c r="HG357" s="460" t="str">
        <f t="shared" ca="1" si="710"/>
        <v/>
      </c>
      <c r="HH357" s="460" t="str">
        <f t="shared" ca="1" si="710"/>
        <v/>
      </c>
      <c r="HI357" s="460" t="str">
        <f t="shared" ca="1" si="710"/>
        <v/>
      </c>
      <c r="HJ357" s="460" t="str">
        <f t="shared" ca="1" si="710"/>
        <v/>
      </c>
      <c r="HK357" s="460" t="str">
        <f t="shared" ca="1" si="710"/>
        <v/>
      </c>
      <c r="HL357" s="460" t="str">
        <f t="shared" ca="1" si="710"/>
        <v/>
      </c>
      <c r="HM357" s="460" t="str">
        <f t="shared" ca="1" si="710"/>
        <v/>
      </c>
      <c r="HN357" s="460" t="str">
        <f t="shared" ca="1" si="710"/>
        <v/>
      </c>
      <c r="HO357" s="460" t="str">
        <f t="shared" ca="1" si="710"/>
        <v/>
      </c>
      <c r="HP357" s="460" t="str">
        <f t="shared" ca="1" si="710"/>
        <v/>
      </c>
      <c r="HQ357" s="460" t="str">
        <f t="shared" ca="1" si="710"/>
        <v/>
      </c>
      <c r="HR357" s="460" t="str">
        <f t="shared" ca="1" si="710"/>
        <v/>
      </c>
      <c r="HS357" s="460" t="str">
        <f t="shared" ca="1" si="710"/>
        <v/>
      </c>
      <c r="HT357" s="460" t="str">
        <f t="shared" ca="1" si="710"/>
        <v/>
      </c>
      <c r="HU357" s="460" t="str">
        <f t="shared" ca="1" si="710"/>
        <v/>
      </c>
      <c r="HV357" s="460" t="str">
        <f t="shared" ca="1" si="710"/>
        <v/>
      </c>
      <c r="HW357" s="460" t="str">
        <f t="shared" ca="1" si="676"/>
        <v/>
      </c>
      <c r="HX357" s="460" t="str">
        <f t="shared" ca="1" si="708"/>
        <v/>
      </c>
      <c r="HY357" s="460" t="str">
        <f t="shared" ca="1" si="708"/>
        <v/>
      </c>
      <c r="HZ357" s="460" t="str">
        <f t="shared" ca="1" si="708"/>
        <v/>
      </c>
      <c r="IA357" s="460" t="str">
        <f t="shared" ca="1" si="708"/>
        <v/>
      </c>
      <c r="IB357" s="460" t="str">
        <f t="shared" ca="1" si="708"/>
        <v/>
      </c>
      <c r="IC357" s="460" t="str">
        <f t="shared" ca="1" si="708"/>
        <v/>
      </c>
      <c r="ID357" s="674" t="str">
        <f t="shared" ca="1" si="708"/>
        <v/>
      </c>
    </row>
    <row r="358" spans="9:238">
      <c r="I358" s="137"/>
      <c r="J358" s="375"/>
      <c r="K358" s="1"/>
      <c r="L358" s="1"/>
      <c r="M358" s="376"/>
      <c r="P358" s="375"/>
      <c r="S358" s="55"/>
      <c r="T358" s="375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74"/>
      <c r="AO358" s="374"/>
      <c r="AP358" s="106"/>
      <c r="AQ358" s="374"/>
      <c r="AR358" s="106"/>
      <c r="AS358" s="106"/>
      <c r="AT358" s="106"/>
      <c r="AU358" s="31"/>
      <c r="AV358" s="31"/>
      <c r="AW358" s="31"/>
      <c r="AX358" s="31"/>
      <c r="AY358" s="154"/>
      <c r="AZ358" s="154"/>
      <c r="BA358" s="106"/>
      <c r="BB358" s="106"/>
      <c r="BC358" s="106"/>
      <c r="BD358" s="106"/>
      <c r="BE358" s="107"/>
      <c r="BF358" s="107"/>
      <c r="BG358" s="107"/>
      <c r="BH358" s="105"/>
      <c r="BI358" s="107"/>
      <c r="BJ358" s="106"/>
      <c r="BK358" s="108"/>
      <c r="BL358" s="159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7"/>
      <c r="CC358" s="107"/>
      <c r="CD358" s="107"/>
      <c r="CE358" s="107"/>
      <c r="CF358" s="107"/>
      <c r="CG358" s="107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10"/>
      <c r="DH358" s="475"/>
      <c r="DI358" s="1"/>
      <c r="DJ358" s="53"/>
      <c r="DK358" s="475"/>
      <c r="DL358" s="54"/>
      <c r="DM358" s="54"/>
      <c r="DN358" s="54"/>
      <c r="DO358" s="54"/>
      <c r="DP358" s="54"/>
      <c r="DQ358" s="54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L358" s="55"/>
      <c r="EM358" s="1"/>
      <c r="EN358" s="106"/>
      <c r="EO358" s="106"/>
      <c r="EP358" s="1"/>
      <c r="EQ358" s="106"/>
      <c r="ER358" s="1"/>
      <c r="ES358" s="1"/>
      <c r="ET358" s="1"/>
      <c r="EU358" s="107"/>
      <c r="FJ358" s="673">
        <v>34</v>
      </c>
      <c r="FK358" s="460">
        <f t="shared" ref="FK358:HV358" ca="1" si="711">IF(AND(ISNUMBER(FK53),ISNUMBER(FK$320),FK$320&lt;&gt;0),FK53*FK$320/FK$15,"")</f>
        <v>0</v>
      </c>
      <c r="FL358" s="460">
        <f t="shared" ca="1" si="711"/>
        <v>2.2138689032245736E-3</v>
      </c>
      <c r="FM358" s="460">
        <f t="shared" ca="1" si="711"/>
        <v>2.5776597001123135E-3</v>
      </c>
      <c r="FN358" s="460">
        <f t="shared" ca="1" si="711"/>
        <v>2.1739820136290906E-3</v>
      </c>
      <c r="FO358" s="460">
        <f t="shared" ca="1" si="711"/>
        <v>2.2666814147236087E-3</v>
      </c>
      <c r="FP358" s="460">
        <f t="shared" ca="1" si="711"/>
        <v>1.2593788228219241E-3</v>
      </c>
      <c r="FQ358" s="460" t="str">
        <f t="shared" ca="1" si="711"/>
        <v/>
      </c>
      <c r="FR358" s="460" t="str">
        <f t="shared" ca="1" si="711"/>
        <v/>
      </c>
      <c r="FS358" s="460" t="str">
        <f t="shared" ca="1" si="711"/>
        <v/>
      </c>
      <c r="FT358" s="460" t="str">
        <f t="shared" ca="1" si="711"/>
        <v/>
      </c>
      <c r="FU358" s="460" t="str">
        <f t="shared" ca="1" si="711"/>
        <v/>
      </c>
      <c r="FV358" s="460" t="str">
        <f t="shared" ca="1" si="711"/>
        <v/>
      </c>
      <c r="FW358" s="460" t="str">
        <f t="shared" ca="1" si="711"/>
        <v/>
      </c>
      <c r="FX358" s="460" t="str">
        <f t="shared" ca="1" si="711"/>
        <v/>
      </c>
      <c r="FY358" s="460" t="str">
        <f t="shared" ca="1" si="711"/>
        <v/>
      </c>
      <c r="FZ358" s="460" t="str">
        <f t="shared" ca="1" si="711"/>
        <v/>
      </c>
      <c r="GA358" s="460" t="str">
        <f t="shared" ca="1" si="711"/>
        <v/>
      </c>
      <c r="GB358" s="460" t="str">
        <f t="shared" ca="1" si="711"/>
        <v/>
      </c>
      <c r="GC358" s="460" t="str">
        <f t="shared" ca="1" si="711"/>
        <v/>
      </c>
      <c r="GD358" s="460" t="str">
        <f t="shared" ca="1" si="711"/>
        <v/>
      </c>
      <c r="GE358" s="460" t="str">
        <f t="shared" ca="1" si="711"/>
        <v/>
      </c>
      <c r="GF358" s="460" t="str">
        <f t="shared" ca="1" si="711"/>
        <v/>
      </c>
      <c r="GG358" s="460" t="str">
        <f t="shared" ca="1" si="711"/>
        <v/>
      </c>
      <c r="GH358" s="460" t="str">
        <f t="shared" ca="1" si="711"/>
        <v/>
      </c>
      <c r="GI358" s="460" t="str">
        <f t="shared" ca="1" si="711"/>
        <v/>
      </c>
      <c r="GJ358" s="460" t="str">
        <f t="shared" ca="1" si="711"/>
        <v/>
      </c>
      <c r="GK358" s="460" t="str">
        <f t="shared" ca="1" si="711"/>
        <v/>
      </c>
      <c r="GL358" s="460" t="str">
        <f t="shared" ca="1" si="711"/>
        <v/>
      </c>
      <c r="GM358" s="460" t="str">
        <f t="shared" ca="1" si="711"/>
        <v/>
      </c>
      <c r="GN358" s="460" t="str">
        <f t="shared" ca="1" si="711"/>
        <v/>
      </c>
      <c r="GO358" s="460" t="str">
        <f t="shared" ca="1" si="711"/>
        <v/>
      </c>
      <c r="GP358" s="460" t="str">
        <f t="shared" ca="1" si="711"/>
        <v/>
      </c>
      <c r="GQ358" s="460" t="str">
        <f t="shared" ca="1" si="711"/>
        <v/>
      </c>
      <c r="GR358" s="460" t="str">
        <f t="shared" ca="1" si="711"/>
        <v/>
      </c>
      <c r="GS358" s="460" t="str">
        <f t="shared" ca="1" si="711"/>
        <v/>
      </c>
      <c r="GT358" s="460" t="str">
        <f t="shared" ca="1" si="711"/>
        <v/>
      </c>
      <c r="GU358" s="460" t="str">
        <f t="shared" ca="1" si="711"/>
        <v/>
      </c>
      <c r="GV358" s="460" t="str">
        <f t="shared" ca="1" si="711"/>
        <v/>
      </c>
      <c r="GW358" s="460" t="str">
        <f t="shared" ca="1" si="711"/>
        <v/>
      </c>
      <c r="GX358" s="460" t="str">
        <f t="shared" ca="1" si="711"/>
        <v/>
      </c>
      <c r="GY358" s="460" t="str">
        <f t="shared" ca="1" si="711"/>
        <v/>
      </c>
      <c r="GZ358" s="460" t="str">
        <f t="shared" ca="1" si="711"/>
        <v/>
      </c>
      <c r="HA358" s="460" t="str">
        <f t="shared" ca="1" si="711"/>
        <v/>
      </c>
      <c r="HB358" s="460" t="str">
        <f t="shared" ca="1" si="711"/>
        <v/>
      </c>
      <c r="HC358" s="460" t="str">
        <f t="shared" ca="1" si="711"/>
        <v/>
      </c>
      <c r="HD358" s="460" t="str">
        <f t="shared" ca="1" si="711"/>
        <v/>
      </c>
      <c r="HE358" s="460" t="str">
        <f t="shared" ca="1" si="711"/>
        <v/>
      </c>
      <c r="HF358" s="460" t="str">
        <f t="shared" ca="1" si="711"/>
        <v/>
      </c>
      <c r="HG358" s="460" t="str">
        <f t="shared" ca="1" si="711"/>
        <v/>
      </c>
      <c r="HH358" s="460" t="str">
        <f t="shared" ca="1" si="711"/>
        <v/>
      </c>
      <c r="HI358" s="460" t="str">
        <f t="shared" ca="1" si="711"/>
        <v/>
      </c>
      <c r="HJ358" s="460" t="str">
        <f t="shared" ca="1" si="711"/>
        <v/>
      </c>
      <c r="HK358" s="460" t="str">
        <f t="shared" ca="1" si="711"/>
        <v/>
      </c>
      <c r="HL358" s="460" t="str">
        <f t="shared" ca="1" si="711"/>
        <v/>
      </c>
      <c r="HM358" s="460" t="str">
        <f t="shared" ca="1" si="711"/>
        <v/>
      </c>
      <c r="HN358" s="460" t="str">
        <f t="shared" ca="1" si="711"/>
        <v/>
      </c>
      <c r="HO358" s="460" t="str">
        <f t="shared" ca="1" si="711"/>
        <v/>
      </c>
      <c r="HP358" s="460" t="str">
        <f t="shared" ca="1" si="711"/>
        <v/>
      </c>
      <c r="HQ358" s="460" t="str">
        <f t="shared" ca="1" si="711"/>
        <v/>
      </c>
      <c r="HR358" s="460" t="str">
        <f t="shared" ca="1" si="711"/>
        <v/>
      </c>
      <c r="HS358" s="460" t="str">
        <f t="shared" ca="1" si="711"/>
        <v/>
      </c>
      <c r="HT358" s="460" t="str">
        <f t="shared" ca="1" si="711"/>
        <v/>
      </c>
      <c r="HU358" s="460" t="str">
        <f t="shared" ca="1" si="711"/>
        <v/>
      </c>
      <c r="HV358" s="460" t="str">
        <f t="shared" ca="1" si="711"/>
        <v/>
      </c>
      <c r="HW358" s="460" t="str">
        <f t="shared" ref="HW358:HW389" ca="1" si="712">IF(AND(ISNUMBER(HW53),ISNUMBER(HW$320),HW$320&lt;&gt;0),HW53*HW$320/HW$15,"")</f>
        <v/>
      </c>
      <c r="HX358" s="460" t="str">
        <f t="shared" ca="1" si="708"/>
        <v/>
      </c>
      <c r="HY358" s="460" t="str">
        <f t="shared" ca="1" si="708"/>
        <v/>
      </c>
      <c r="HZ358" s="460" t="str">
        <f t="shared" ca="1" si="708"/>
        <v/>
      </c>
      <c r="IA358" s="460" t="str">
        <f t="shared" ca="1" si="708"/>
        <v/>
      </c>
      <c r="IB358" s="460" t="str">
        <f t="shared" ca="1" si="708"/>
        <v/>
      </c>
      <c r="IC358" s="460" t="str">
        <f t="shared" ca="1" si="708"/>
        <v/>
      </c>
      <c r="ID358" s="674" t="str">
        <f t="shared" ca="1" si="708"/>
        <v/>
      </c>
    </row>
    <row r="359" spans="9:238">
      <c r="I359" s="137"/>
      <c r="J359" s="375"/>
      <c r="K359" s="1"/>
      <c r="L359" s="1"/>
      <c r="M359" s="376"/>
      <c r="P359" s="375"/>
      <c r="S359" s="55"/>
      <c r="T359" s="375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74"/>
      <c r="AO359" s="374"/>
      <c r="AP359" s="106"/>
      <c r="AQ359" s="374"/>
      <c r="AR359" s="106"/>
      <c r="AS359" s="106"/>
      <c r="AT359" s="106"/>
      <c r="AU359" s="31"/>
      <c r="AV359" s="31"/>
      <c r="AW359" s="31"/>
      <c r="AX359" s="31"/>
      <c r="AY359" s="154"/>
      <c r="AZ359" s="154"/>
      <c r="BA359" s="106"/>
      <c r="BB359" s="106"/>
      <c r="BC359" s="106"/>
      <c r="BD359" s="106"/>
      <c r="BE359" s="107"/>
      <c r="BF359" s="107"/>
      <c r="BG359" s="107"/>
      <c r="BH359" s="105"/>
      <c r="BI359" s="107"/>
      <c r="BJ359" s="106"/>
      <c r="BK359" s="108"/>
      <c r="BL359" s="159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7"/>
      <c r="CC359" s="107"/>
      <c r="CD359" s="107"/>
      <c r="CE359" s="107"/>
      <c r="CF359" s="107"/>
      <c r="CG359" s="107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10"/>
      <c r="DH359" s="475"/>
      <c r="DI359" s="1"/>
      <c r="DJ359" s="53"/>
      <c r="DK359" s="475"/>
      <c r="DL359" s="54"/>
      <c r="DM359" s="54"/>
      <c r="DN359" s="54"/>
      <c r="DO359" s="54"/>
      <c r="DP359" s="54"/>
      <c r="DQ359" s="54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L359" s="55"/>
      <c r="EM359" s="1"/>
      <c r="EN359" s="106"/>
      <c r="EO359" s="106"/>
      <c r="EP359" s="1"/>
      <c r="EQ359" s="106"/>
      <c r="ER359" s="1"/>
      <c r="ES359" s="1"/>
      <c r="ET359" s="1"/>
      <c r="EU359" s="107"/>
      <c r="FJ359" s="673">
        <v>35</v>
      </c>
      <c r="FK359" s="460">
        <f t="shared" ref="FK359:HV359" ca="1" si="713">IF(AND(ISNUMBER(FK54),ISNUMBER(FK$320),FK$320&lt;&gt;0),FK54*FK$320/FK$15,"")</f>
        <v>0</v>
      </c>
      <c r="FL359" s="460">
        <f t="shared" ca="1" si="713"/>
        <v>2.2105607558874051E-3</v>
      </c>
      <c r="FM359" s="460">
        <f t="shared" ca="1" si="713"/>
        <v>2.5731547248482776E-3</v>
      </c>
      <c r="FN359" s="460">
        <f t="shared" ca="1" si="713"/>
        <v>2.1695381915654995E-3</v>
      </c>
      <c r="FO359" s="460">
        <f t="shared" ca="1" si="713"/>
        <v>2.2612623407024654E-3</v>
      </c>
      <c r="FP359" s="460">
        <f t="shared" ca="1" si="713"/>
        <v>1.2558573457026492E-3</v>
      </c>
      <c r="FQ359" s="460" t="str">
        <f t="shared" ca="1" si="713"/>
        <v/>
      </c>
      <c r="FR359" s="460" t="str">
        <f t="shared" ca="1" si="713"/>
        <v/>
      </c>
      <c r="FS359" s="460" t="str">
        <f t="shared" ca="1" si="713"/>
        <v/>
      </c>
      <c r="FT359" s="460" t="str">
        <f t="shared" ca="1" si="713"/>
        <v/>
      </c>
      <c r="FU359" s="460" t="str">
        <f t="shared" ca="1" si="713"/>
        <v/>
      </c>
      <c r="FV359" s="460" t="str">
        <f t="shared" ca="1" si="713"/>
        <v/>
      </c>
      <c r="FW359" s="460" t="str">
        <f t="shared" ca="1" si="713"/>
        <v/>
      </c>
      <c r="FX359" s="460" t="str">
        <f t="shared" ca="1" si="713"/>
        <v/>
      </c>
      <c r="FY359" s="460" t="str">
        <f t="shared" ca="1" si="713"/>
        <v/>
      </c>
      <c r="FZ359" s="460" t="str">
        <f t="shared" ca="1" si="713"/>
        <v/>
      </c>
      <c r="GA359" s="460" t="str">
        <f t="shared" ca="1" si="713"/>
        <v/>
      </c>
      <c r="GB359" s="460" t="str">
        <f t="shared" ca="1" si="713"/>
        <v/>
      </c>
      <c r="GC359" s="460" t="str">
        <f t="shared" ca="1" si="713"/>
        <v/>
      </c>
      <c r="GD359" s="460" t="str">
        <f t="shared" ca="1" si="713"/>
        <v/>
      </c>
      <c r="GE359" s="460" t="str">
        <f t="shared" ca="1" si="713"/>
        <v/>
      </c>
      <c r="GF359" s="460" t="str">
        <f t="shared" ca="1" si="713"/>
        <v/>
      </c>
      <c r="GG359" s="460" t="str">
        <f t="shared" ca="1" si="713"/>
        <v/>
      </c>
      <c r="GH359" s="460" t="str">
        <f t="shared" ca="1" si="713"/>
        <v/>
      </c>
      <c r="GI359" s="460" t="str">
        <f t="shared" ca="1" si="713"/>
        <v/>
      </c>
      <c r="GJ359" s="460" t="str">
        <f t="shared" ca="1" si="713"/>
        <v/>
      </c>
      <c r="GK359" s="460" t="str">
        <f t="shared" ca="1" si="713"/>
        <v/>
      </c>
      <c r="GL359" s="460" t="str">
        <f t="shared" ca="1" si="713"/>
        <v/>
      </c>
      <c r="GM359" s="460" t="str">
        <f t="shared" ca="1" si="713"/>
        <v/>
      </c>
      <c r="GN359" s="460" t="str">
        <f t="shared" ca="1" si="713"/>
        <v/>
      </c>
      <c r="GO359" s="460" t="str">
        <f t="shared" ca="1" si="713"/>
        <v/>
      </c>
      <c r="GP359" s="460" t="str">
        <f t="shared" ca="1" si="713"/>
        <v/>
      </c>
      <c r="GQ359" s="460" t="str">
        <f t="shared" ca="1" si="713"/>
        <v/>
      </c>
      <c r="GR359" s="460" t="str">
        <f t="shared" ca="1" si="713"/>
        <v/>
      </c>
      <c r="GS359" s="460" t="str">
        <f t="shared" ca="1" si="713"/>
        <v/>
      </c>
      <c r="GT359" s="460" t="str">
        <f t="shared" ca="1" si="713"/>
        <v/>
      </c>
      <c r="GU359" s="460" t="str">
        <f t="shared" ca="1" si="713"/>
        <v/>
      </c>
      <c r="GV359" s="460" t="str">
        <f t="shared" ca="1" si="713"/>
        <v/>
      </c>
      <c r="GW359" s="460" t="str">
        <f t="shared" ca="1" si="713"/>
        <v/>
      </c>
      <c r="GX359" s="460" t="str">
        <f t="shared" ca="1" si="713"/>
        <v/>
      </c>
      <c r="GY359" s="460" t="str">
        <f t="shared" ca="1" si="713"/>
        <v/>
      </c>
      <c r="GZ359" s="460" t="str">
        <f t="shared" ca="1" si="713"/>
        <v/>
      </c>
      <c r="HA359" s="460" t="str">
        <f t="shared" ca="1" si="713"/>
        <v/>
      </c>
      <c r="HB359" s="460" t="str">
        <f t="shared" ca="1" si="713"/>
        <v/>
      </c>
      <c r="HC359" s="460" t="str">
        <f t="shared" ca="1" si="713"/>
        <v/>
      </c>
      <c r="HD359" s="460" t="str">
        <f t="shared" ca="1" si="713"/>
        <v/>
      </c>
      <c r="HE359" s="460" t="str">
        <f t="shared" ca="1" si="713"/>
        <v/>
      </c>
      <c r="HF359" s="460" t="str">
        <f t="shared" ca="1" si="713"/>
        <v/>
      </c>
      <c r="HG359" s="460" t="str">
        <f t="shared" ca="1" si="713"/>
        <v/>
      </c>
      <c r="HH359" s="460" t="str">
        <f t="shared" ca="1" si="713"/>
        <v/>
      </c>
      <c r="HI359" s="460" t="str">
        <f t="shared" ca="1" si="713"/>
        <v/>
      </c>
      <c r="HJ359" s="460" t="str">
        <f t="shared" ca="1" si="713"/>
        <v/>
      </c>
      <c r="HK359" s="460" t="str">
        <f t="shared" ca="1" si="713"/>
        <v/>
      </c>
      <c r="HL359" s="460" t="str">
        <f t="shared" ca="1" si="713"/>
        <v/>
      </c>
      <c r="HM359" s="460" t="str">
        <f t="shared" ca="1" si="713"/>
        <v/>
      </c>
      <c r="HN359" s="460" t="str">
        <f t="shared" ca="1" si="713"/>
        <v/>
      </c>
      <c r="HO359" s="460" t="str">
        <f t="shared" ca="1" si="713"/>
        <v/>
      </c>
      <c r="HP359" s="460" t="str">
        <f t="shared" ca="1" si="713"/>
        <v/>
      </c>
      <c r="HQ359" s="460" t="str">
        <f t="shared" ca="1" si="713"/>
        <v/>
      </c>
      <c r="HR359" s="460" t="str">
        <f t="shared" ca="1" si="713"/>
        <v/>
      </c>
      <c r="HS359" s="460" t="str">
        <f t="shared" ca="1" si="713"/>
        <v/>
      </c>
      <c r="HT359" s="460" t="str">
        <f t="shared" ca="1" si="713"/>
        <v/>
      </c>
      <c r="HU359" s="460" t="str">
        <f t="shared" ca="1" si="713"/>
        <v/>
      </c>
      <c r="HV359" s="460" t="str">
        <f t="shared" ca="1" si="713"/>
        <v/>
      </c>
      <c r="HW359" s="460" t="str">
        <f t="shared" ca="1" si="712"/>
        <v/>
      </c>
      <c r="HX359" s="460" t="str">
        <f t="shared" ca="1" si="708"/>
        <v/>
      </c>
      <c r="HY359" s="460" t="str">
        <f t="shared" ca="1" si="708"/>
        <v/>
      </c>
      <c r="HZ359" s="460" t="str">
        <f t="shared" ca="1" si="708"/>
        <v/>
      </c>
      <c r="IA359" s="460" t="str">
        <f t="shared" ca="1" si="708"/>
        <v/>
      </c>
      <c r="IB359" s="460" t="str">
        <f t="shared" ca="1" si="708"/>
        <v/>
      </c>
      <c r="IC359" s="460" t="str">
        <f t="shared" ca="1" si="708"/>
        <v/>
      </c>
      <c r="ID359" s="674" t="str">
        <f t="shared" ca="1" si="708"/>
        <v/>
      </c>
    </row>
    <row r="360" spans="9:238">
      <c r="I360" s="137"/>
      <c r="J360" s="375"/>
      <c r="K360" s="1"/>
      <c r="L360" s="1"/>
      <c r="M360" s="376"/>
      <c r="P360" s="375"/>
      <c r="S360" s="55"/>
      <c r="T360" s="375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74"/>
      <c r="AO360" s="374"/>
      <c r="AP360" s="106"/>
      <c r="AQ360" s="374"/>
      <c r="AR360" s="106"/>
      <c r="AS360" s="106"/>
      <c r="AT360" s="106"/>
      <c r="AU360" s="31"/>
      <c r="AV360" s="31"/>
      <c r="AW360" s="31"/>
      <c r="AX360" s="31"/>
      <c r="AY360" s="154"/>
      <c r="AZ360" s="154"/>
      <c r="BA360" s="106"/>
      <c r="BB360" s="106"/>
      <c r="BC360" s="106"/>
      <c r="BD360" s="106"/>
      <c r="BE360" s="107"/>
      <c r="BF360" s="107"/>
      <c r="BG360" s="107"/>
      <c r="BH360" s="105"/>
      <c r="BI360" s="107"/>
      <c r="BJ360" s="106"/>
      <c r="BK360" s="108"/>
      <c r="BL360" s="159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7"/>
      <c r="CC360" s="107"/>
      <c r="CD360" s="107"/>
      <c r="CE360" s="107"/>
      <c r="CF360" s="107"/>
      <c r="CG360" s="107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10"/>
      <c r="DH360" s="475"/>
      <c r="DI360" s="1"/>
      <c r="DJ360" s="53"/>
      <c r="DK360" s="475"/>
      <c r="DL360" s="54"/>
      <c r="DM360" s="54"/>
      <c r="DN360" s="54"/>
      <c r="DO360" s="54"/>
      <c r="DP360" s="54"/>
      <c r="DQ360" s="54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L360" s="55"/>
      <c r="EM360" s="1"/>
      <c r="EN360" s="106"/>
      <c r="EO360" s="106"/>
      <c r="EP360" s="1"/>
      <c r="EQ360" s="106"/>
      <c r="ER360" s="1"/>
      <c r="ES360" s="1"/>
      <c r="ET360" s="1"/>
      <c r="EU360" s="107"/>
      <c r="FJ360" s="673">
        <v>36</v>
      </c>
      <c r="FK360" s="460">
        <f t="shared" ref="FK360:HV360" ca="1" si="714">IF(AND(ISNUMBER(FK55),ISNUMBER(FK$320),FK$320&lt;&gt;0),FK55*FK$320/FK$15,"")</f>
        <v>0</v>
      </c>
      <c r="FL360" s="460">
        <f t="shared" ca="1" si="714"/>
        <v>2.2077365164436028E-3</v>
      </c>
      <c r="FM360" s="460">
        <f t="shared" ca="1" si="714"/>
        <v>2.5693097027068442E-3</v>
      </c>
      <c r="FN360" s="460">
        <f t="shared" ca="1" si="714"/>
        <v>2.1657464901679263E-3</v>
      </c>
      <c r="FO360" s="460">
        <f t="shared" ca="1" si="714"/>
        <v>2.2566401095072742E-3</v>
      </c>
      <c r="FP360" s="460">
        <f t="shared" ca="1" si="714"/>
        <v>1.2528549017455266E-3</v>
      </c>
      <c r="FQ360" s="460" t="str">
        <f t="shared" ca="1" si="714"/>
        <v/>
      </c>
      <c r="FR360" s="460" t="str">
        <f t="shared" ca="1" si="714"/>
        <v/>
      </c>
      <c r="FS360" s="460" t="str">
        <f t="shared" ca="1" si="714"/>
        <v/>
      </c>
      <c r="FT360" s="460" t="str">
        <f t="shared" ca="1" si="714"/>
        <v/>
      </c>
      <c r="FU360" s="460" t="str">
        <f t="shared" ca="1" si="714"/>
        <v/>
      </c>
      <c r="FV360" s="460" t="str">
        <f t="shared" ca="1" si="714"/>
        <v/>
      </c>
      <c r="FW360" s="460" t="str">
        <f t="shared" ca="1" si="714"/>
        <v/>
      </c>
      <c r="FX360" s="460" t="str">
        <f t="shared" ca="1" si="714"/>
        <v/>
      </c>
      <c r="FY360" s="460" t="str">
        <f t="shared" ca="1" si="714"/>
        <v/>
      </c>
      <c r="FZ360" s="460" t="str">
        <f t="shared" ca="1" si="714"/>
        <v/>
      </c>
      <c r="GA360" s="460" t="str">
        <f t="shared" ca="1" si="714"/>
        <v/>
      </c>
      <c r="GB360" s="460" t="str">
        <f t="shared" ca="1" si="714"/>
        <v/>
      </c>
      <c r="GC360" s="460" t="str">
        <f t="shared" ca="1" si="714"/>
        <v/>
      </c>
      <c r="GD360" s="460" t="str">
        <f t="shared" ca="1" si="714"/>
        <v/>
      </c>
      <c r="GE360" s="460" t="str">
        <f t="shared" ca="1" si="714"/>
        <v/>
      </c>
      <c r="GF360" s="460" t="str">
        <f t="shared" ca="1" si="714"/>
        <v/>
      </c>
      <c r="GG360" s="460" t="str">
        <f t="shared" ca="1" si="714"/>
        <v/>
      </c>
      <c r="GH360" s="460" t="str">
        <f t="shared" ca="1" si="714"/>
        <v/>
      </c>
      <c r="GI360" s="460" t="str">
        <f t="shared" ca="1" si="714"/>
        <v/>
      </c>
      <c r="GJ360" s="460" t="str">
        <f t="shared" ca="1" si="714"/>
        <v/>
      </c>
      <c r="GK360" s="460" t="str">
        <f t="shared" ca="1" si="714"/>
        <v/>
      </c>
      <c r="GL360" s="460" t="str">
        <f t="shared" ca="1" si="714"/>
        <v/>
      </c>
      <c r="GM360" s="460" t="str">
        <f t="shared" ca="1" si="714"/>
        <v/>
      </c>
      <c r="GN360" s="460" t="str">
        <f t="shared" ca="1" si="714"/>
        <v/>
      </c>
      <c r="GO360" s="460" t="str">
        <f t="shared" ca="1" si="714"/>
        <v/>
      </c>
      <c r="GP360" s="460" t="str">
        <f t="shared" ca="1" si="714"/>
        <v/>
      </c>
      <c r="GQ360" s="460" t="str">
        <f t="shared" ca="1" si="714"/>
        <v/>
      </c>
      <c r="GR360" s="460" t="str">
        <f t="shared" ca="1" si="714"/>
        <v/>
      </c>
      <c r="GS360" s="460" t="str">
        <f t="shared" ca="1" si="714"/>
        <v/>
      </c>
      <c r="GT360" s="460" t="str">
        <f t="shared" ca="1" si="714"/>
        <v/>
      </c>
      <c r="GU360" s="460" t="str">
        <f t="shared" ca="1" si="714"/>
        <v/>
      </c>
      <c r="GV360" s="460" t="str">
        <f t="shared" ca="1" si="714"/>
        <v/>
      </c>
      <c r="GW360" s="460" t="str">
        <f t="shared" ca="1" si="714"/>
        <v/>
      </c>
      <c r="GX360" s="460" t="str">
        <f t="shared" ca="1" si="714"/>
        <v/>
      </c>
      <c r="GY360" s="460" t="str">
        <f t="shared" ca="1" si="714"/>
        <v/>
      </c>
      <c r="GZ360" s="460" t="str">
        <f t="shared" ca="1" si="714"/>
        <v/>
      </c>
      <c r="HA360" s="460" t="str">
        <f t="shared" ca="1" si="714"/>
        <v/>
      </c>
      <c r="HB360" s="460" t="str">
        <f t="shared" ca="1" si="714"/>
        <v/>
      </c>
      <c r="HC360" s="460" t="str">
        <f t="shared" ca="1" si="714"/>
        <v/>
      </c>
      <c r="HD360" s="460" t="str">
        <f t="shared" ca="1" si="714"/>
        <v/>
      </c>
      <c r="HE360" s="460" t="str">
        <f t="shared" ca="1" si="714"/>
        <v/>
      </c>
      <c r="HF360" s="460" t="str">
        <f t="shared" ca="1" si="714"/>
        <v/>
      </c>
      <c r="HG360" s="460" t="str">
        <f t="shared" ca="1" si="714"/>
        <v/>
      </c>
      <c r="HH360" s="460" t="str">
        <f t="shared" ca="1" si="714"/>
        <v/>
      </c>
      <c r="HI360" s="460" t="str">
        <f t="shared" ca="1" si="714"/>
        <v/>
      </c>
      <c r="HJ360" s="460" t="str">
        <f t="shared" ca="1" si="714"/>
        <v/>
      </c>
      <c r="HK360" s="460" t="str">
        <f t="shared" ca="1" si="714"/>
        <v/>
      </c>
      <c r="HL360" s="460" t="str">
        <f t="shared" ca="1" si="714"/>
        <v/>
      </c>
      <c r="HM360" s="460" t="str">
        <f t="shared" ca="1" si="714"/>
        <v/>
      </c>
      <c r="HN360" s="460" t="str">
        <f t="shared" ca="1" si="714"/>
        <v/>
      </c>
      <c r="HO360" s="460" t="str">
        <f t="shared" ca="1" si="714"/>
        <v/>
      </c>
      <c r="HP360" s="460" t="str">
        <f t="shared" ca="1" si="714"/>
        <v/>
      </c>
      <c r="HQ360" s="460" t="str">
        <f t="shared" ca="1" si="714"/>
        <v/>
      </c>
      <c r="HR360" s="460" t="str">
        <f t="shared" ca="1" si="714"/>
        <v/>
      </c>
      <c r="HS360" s="460" t="str">
        <f t="shared" ca="1" si="714"/>
        <v/>
      </c>
      <c r="HT360" s="460" t="str">
        <f t="shared" ca="1" si="714"/>
        <v/>
      </c>
      <c r="HU360" s="460" t="str">
        <f t="shared" ca="1" si="714"/>
        <v/>
      </c>
      <c r="HV360" s="460" t="str">
        <f t="shared" ca="1" si="714"/>
        <v/>
      </c>
      <c r="HW360" s="460" t="str">
        <f t="shared" ca="1" si="712"/>
        <v/>
      </c>
      <c r="HX360" s="460" t="str">
        <f t="shared" ca="1" si="708"/>
        <v/>
      </c>
      <c r="HY360" s="460" t="str">
        <f t="shared" ca="1" si="708"/>
        <v/>
      </c>
      <c r="HZ360" s="460" t="str">
        <f t="shared" ca="1" si="708"/>
        <v/>
      </c>
      <c r="IA360" s="460" t="str">
        <f t="shared" ca="1" si="708"/>
        <v/>
      </c>
      <c r="IB360" s="460" t="str">
        <f t="shared" ca="1" si="708"/>
        <v/>
      </c>
      <c r="IC360" s="460" t="str">
        <f t="shared" ca="1" si="708"/>
        <v/>
      </c>
      <c r="ID360" s="674" t="str">
        <f t="shared" ca="1" si="708"/>
        <v/>
      </c>
    </row>
    <row r="361" spans="9:238">
      <c r="I361" s="137"/>
      <c r="J361" s="375"/>
      <c r="K361" s="1"/>
      <c r="L361" s="1"/>
      <c r="M361" s="376"/>
      <c r="P361" s="375"/>
      <c r="S361" s="55"/>
      <c r="T361" s="375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74"/>
      <c r="AO361" s="374"/>
      <c r="AP361" s="106"/>
      <c r="AQ361" s="374"/>
      <c r="AR361" s="106"/>
      <c r="AS361" s="106"/>
      <c r="AT361" s="106"/>
      <c r="AU361" s="31"/>
      <c r="AV361" s="31"/>
      <c r="AW361" s="31"/>
      <c r="AX361" s="31"/>
      <c r="AY361" s="154"/>
      <c r="AZ361" s="154"/>
      <c r="BA361" s="106"/>
      <c r="BB361" s="106"/>
      <c r="BC361" s="106"/>
      <c r="BD361" s="106"/>
      <c r="BE361" s="107"/>
      <c r="BF361" s="107"/>
      <c r="BG361" s="107"/>
      <c r="BH361" s="105"/>
      <c r="BI361" s="107"/>
      <c r="BJ361" s="106"/>
      <c r="BK361" s="108"/>
      <c r="BL361" s="159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7"/>
      <c r="CC361" s="107"/>
      <c r="CD361" s="107"/>
      <c r="CE361" s="107"/>
      <c r="CF361" s="107"/>
      <c r="CG361" s="107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10"/>
      <c r="DH361" s="475"/>
      <c r="DI361" s="1"/>
      <c r="DJ361" s="53"/>
      <c r="DK361" s="475"/>
      <c r="DL361" s="54"/>
      <c r="DM361" s="54"/>
      <c r="DN361" s="54"/>
      <c r="DO361" s="54"/>
      <c r="DP361" s="54"/>
      <c r="DQ361" s="54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L361" s="55"/>
      <c r="EM361" s="1"/>
      <c r="EN361" s="106"/>
      <c r="EO361" s="106"/>
      <c r="EP361" s="1"/>
      <c r="EQ361" s="106"/>
      <c r="ER361" s="1"/>
      <c r="ES361" s="1"/>
      <c r="ET361" s="1"/>
      <c r="EU361" s="107"/>
      <c r="FJ361" s="673">
        <v>37</v>
      </c>
      <c r="FK361" s="460">
        <f t="shared" ref="FK361:HV361" ca="1" si="715">IF(AND(ISNUMBER(FK56),ISNUMBER(FK$320),FK$320&lt;&gt;0),FK56*FK$320/FK$15,"")</f>
        <v>0</v>
      </c>
      <c r="FL361" s="460">
        <f t="shared" ca="1" si="715"/>
        <v>2.205324876800978E-3</v>
      </c>
      <c r="FM361" s="460">
        <f t="shared" ca="1" si="715"/>
        <v>2.5660271212232084E-3</v>
      </c>
      <c r="FN361" s="460">
        <f t="shared" ca="1" si="715"/>
        <v>2.1625102513490894E-3</v>
      </c>
      <c r="FO361" s="460">
        <f t="shared" ca="1" si="715"/>
        <v>2.2526961801077809E-3</v>
      </c>
      <c r="FP361" s="460">
        <f t="shared" ca="1" si="715"/>
        <v>1.2502939494377563E-3</v>
      </c>
      <c r="FQ361" s="460" t="str">
        <f t="shared" ca="1" si="715"/>
        <v/>
      </c>
      <c r="FR361" s="460" t="str">
        <f t="shared" ca="1" si="715"/>
        <v/>
      </c>
      <c r="FS361" s="460" t="str">
        <f t="shared" ca="1" si="715"/>
        <v/>
      </c>
      <c r="FT361" s="460" t="str">
        <f t="shared" ca="1" si="715"/>
        <v/>
      </c>
      <c r="FU361" s="460" t="str">
        <f t="shared" ca="1" si="715"/>
        <v/>
      </c>
      <c r="FV361" s="460" t="str">
        <f t="shared" ca="1" si="715"/>
        <v/>
      </c>
      <c r="FW361" s="460" t="str">
        <f t="shared" ca="1" si="715"/>
        <v/>
      </c>
      <c r="FX361" s="460" t="str">
        <f t="shared" ca="1" si="715"/>
        <v/>
      </c>
      <c r="FY361" s="460" t="str">
        <f t="shared" ca="1" si="715"/>
        <v/>
      </c>
      <c r="FZ361" s="460" t="str">
        <f t="shared" ca="1" si="715"/>
        <v/>
      </c>
      <c r="GA361" s="460" t="str">
        <f t="shared" ca="1" si="715"/>
        <v/>
      </c>
      <c r="GB361" s="460" t="str">
        <f t="shared" ca="1" si="715"/>
        <v/>
      </c>
      <c r="GC361" s="460" t="str">
        <f t="shared" ca="1" si="715"/>
        <v/>
      </c>
      <c r="GD361" s="460" t="str">
        <f t="shared" ca="1" si="715"/>
        <v/>
      </c>
      <c r="GE361" s="460" t="str">
        <f t="shared" ca="1" si="715"/>
        <v/>
      </c>
      <c r="GF361" s="460" t="str">
        <f t="shared" ca="1" si="715"/>
        <v/>
      </c>
      <c r="GG361" s="460" t="str">
        <f t="shared" ca="1" si="715"/>
        <v/>
      </c>
      <c r="GH361" s="460" t="str">
        <f t="shared" ca="1" si="715"/>
        <v/>
      </c>
      <c r="GI361" s="460" t="str">
        <f t="shared" ca="1" si="715"/>
        <v/>
      </c>
      <c r="GJ361" s="460" t="str">
        <f t="shared" ca="1" si="715"/>
        <v/>
      </c>
      <c r="GK361" s="460" t="str">
        <f t="shared" ca="1" si="715"/>
        <v/>
      </c>
      <c r="GL361" s="460" t="str">
        <f t="shared" ca="1" si="715"/>
        <v/>
      </c>
      <c r="GM361" s="460" t="str">
        <f t="shared" ca="1" si="715"/>
        <v/>
      </c>
      <c r="GN361" s="460" t="str">
        <f t="shared" ca="1" si="715"/>
        <v/>
      </c>
      <c r="GO361" s="460" t="str">
        <f t="shared" ca="1" si="715"/>
        <v/>
      </c>
      <c r="GP361" s="460" t="str">
        <f t="shared" ca="1" si="715"/>
        <v/>
      </c>
      <c r="GQ361" s="460" t="str">
        <f t="shared" ca="1" si="715"/>
        <v/>
      </c>
      <c r="GR361" s="460" t="str">
        <f t="shared" ca="1" si="715"/>
        <v/>
      </c>
      <c r="GS361" s="460" t="str">
        <f t="shared" ca="1" si="715"/>
        <v/>
      </c>
      <c r="GT361" s="460" t="str">
        <f t="shared" ca="1" si="715"/>
        <v/>
      </c>
      <c r="GU361" s="460" t="str">
        <f t="shared" ca="1" si="715"/>
        <v/>
      </c>
      <c r="GV361" s="460" t="str">
        <f t="shared" ca="1" si="715"/>
        <v/>
      </c>
      <c r="GW361" s="460" t="str">
        <f t="shared" ca="1" si="715"/>
        <v/>
      </c>
      <c r="GX361" s="460" t="str">
        <f t="shared" ca="1" si="715"/>
        <v/>
      </c>
      <c r="GY361" s="460" t="str">
        <f t="shared" ca="1" si="715"/>
        <v/>
      </c>
      <c r="GZ361" s="460" t="str">
        <f t="shared" ca="1" si="715"/>
        <v/>
      </c>
      <c r="HA361" s="460" t="str">
        <f t="shared" ca="1" si="715"/>
        <v/>
      </c>
      <c r="HB361" s="460" t="str">
        <f t="shared" ca="1" si="715"/>
        <v/>
      </c>
      <c r="HC361" s="460" t="str">
        <f t="shared" ca="1" si="715"/>
        <v/>
      </c>
      <c r="HD361" s="460" t="str">
        <f t="shared" ca="1" si="715"/>
        <v/>
      </c>
      <c r="HE361" s="460" t="str">
        <f t="shared" ca="1" si="715"/>
        <v/>
      </c>
      <c r="HF361" s="460" t="str">
        <f t="shared" ca="1" si="715"/>
        <v/>
      </c>
      <c r="HG361" s="460" t="str">
        <f t="shared" ca="1" si="715"/>
        <v/>
      </c>
      <c r="HH361" s="460" t="str">
        <f t="shared" ca="1" si="715"/>
        <v/>
      </c>
      <c r="HI361" s="460" t="str">
        <f t="shared" ca="1" si="715"/>
        <v/>
      </c>
      <c r="HJ361" s="460" t="str">
        <f t="shared" ca="1" si="715"/>
        <v/>
      </c>
      <c r="HK361" s="460" t="str">
        <f t="shared" ca="1" si="715"/>
        <v/>
      </c>
      <c r="HL361" s="460" t="str">
        <f t="shared" ca="1" si="715"/>
        <v/>
      </c>
      <c r="HM361" s="460" t="str">
        <f t="shared" ca="1" si="715"/>
        <v/>
      </c>
      <c r="HN361" s="460" t="str">
        <f t="shared" ca="1" si="715"/>
        <v/>
      </c>
      <c r="HO361" s="460" t="str">
        <f t="shared" ca="1" si="715"/>
        <v/>
      </c>
      <c r="HP361" s="460" t="str">
        <f t="shared" ca="1" si="715"/>
        <v/>
      </c>
      <c r="HQ361" s="460" t="str">
        <f t="shared" ca="1" si="715"/>
        <v/>
      </c>
      <c r="HR361" s="460" t="str">
        <f t="shared" ca="1" si="715"/>
        <v/>
      </c>
      <c r="HS361" s="460" t="str">
        <f t="shared" ca="1" si="715"/>
        <v/>
      </c>
      <c r="HT361" s="460" t="str">
        <f t="shared" ca="1" si="715"/>
        <v/>
      </c>
      <c r="HU361" s="460" t="str">
        <f t="shared" ca="1" si="715"/>
        <v/>
      </c>
      <c r="HV361" s="460" t="str">
        <f t="shared" ca="1" si="715"/>
        <v/>
      </c>
      <c r="HW361" s="460" t="str">
        <f t="shared" ca="1" si="712"/>
        <v/>
      </c>
      <c r="HX361" s="460" t="str">
        <f t="shared" ca="1" si="708"/>
        <v/>
      </c>
      <c r="HY361" s="460" t="str">
        <f t="shared" ca="1" si="708"/>
        <v/>
      </c>
      <c r="HZ361" s="460" t="str">
        <f t="shared" ca="1" si="708"/>
        <v/>
      </c>
      <c r="IA361" s="460" t="str">
        <f t="shared" ca="1" si="708"/>
        <v/>
      </c>
      <c r="IB361" s="460" t="str">
        <f t="shared" ca="1" si="708"/>
        <v/>
      </c>
      <c r="IC361" s="460" t="str">
        <f t="shared" ca="1" si="708"/>
        <v/>
      </c>
      <c r="ID361" s="674" t="str">
        <f t="shared" ca="1" si="708"/>
        <v/>
      </c>
    </row>
    <row r="362" spans="9:238">
      <c r="I362" s="137"/>
      <c r="J362" s="375"/>
      <c r="K362" s="1"/>
      <c r="L362" s="1"/>
      <c r="M362" s="376"/>
      <c r="P362" s="375"/>
      <c r="S362" s="55"/>
      <c r="T362" s="375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74"/>
      <c r="AO362" s="374"/>
      <c r="AP362" s="106"/>
      <c r="AQ362" s="374"/>
      <c r="AR362" s="106"/>
      <c r="AS362" s="106"/>
      <c r="AT362" s="106"/>
      <c r="AU362" s="31"/>
      <c r="AV362" s="31"/>
      <c r="AW362" s="31"/>
      <c r="AX362" s="31"/>
      <c r="AY362" s="154"/>
      <c r="AZ362" s="154"/>
      <c r="BA362" s="106"/>
      <c r="BB362" s="106"/>
      <c r="BC362" s="106"/>
      <c r="BD362" s="106"/>
      <c r="BE362" s="107"/>
      <c r="BF362" s="107"/>
      <c r="BG362" s="107"/>
      <c r="BH362" s="105"/>
      <c r="BI362" s="107"/>
      <c r="BJ362" s="106"/>
      <c r="BK362" s="108"/>
      <c r="BL362" s="159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7"/>
      <c r="CC362" s="107"/>
      <c r="CD362" s="107"/>
      <c r="CE362" s="107"/>
      <c r="CF362" s="107"/>
      <c r="CG362" s="107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10"/>
      <c r="DH362" s="475"/>
      <c r="DI362" s="1"/>
      <c r="DJ362" s="53"/>
      <c r="DK362" s="475"/>
      <c r="DL362" s="54"/>
      <c r="DM362" s="54"/>
      <c r="DN362" s="54"/>
      <c r="DO362" s="54"/>
      <c r="DP362" s="54"/>
      <c r="DQ362" s="54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L362" s="55"/>
      <c r="EM362" s="1"/>
      <c r="EN362" s="106"/>
      <c r="EO362" s="106"/>
      <c r="EP362" s="1"/>
      <c r="EQ362" s="106"/>
      <c r="ER362" s="1"/>
      <c r="ES362" s="1"/>
      <c r="ET362" s="1"/>
      <c r="EU362" s="107"/>
      <c r="FJ362" s="673">
        <v>38</v>
      </c>
      <c r="FK362" s="460">
        <f t="shared" ref="FK362:HV362" ca="1" si="716">IF(AND(ISNUMBER(FK57),ISNUMBER(FK$320),FK$320&lt;&gt;0),FK57*FK$320/FK$15,"")</f>
        <v>0</v>
      </c>
      <c r="FL362" s="460">
        <f t="shared" ca="1" si="716"/>
        <v>2.2032651772971126E-3</v>
      </c>
      <c r="FM362" s="460">
        <f t="shared" ca="1" si="716"/>
        <v>2.5632240998103265E-3</v>
      </c>
      <c r="FN362" s="460">
        <f t="shared" ca="1" si="716"/>
        <v>2.1597474018172588E-3</v>
      </c>
      <c r="FO362" s="460">
        <f t="shared" ca="1" si="716"/>
        <v>2.2493300138190643E-3</v>
      </c>
      <c r="FP362" s="460">
        <f t="shared" ca="1" si="716"/>
        <v>1.2481088109903709E-3</v>
      </c>
      <c r="FQ362" s="460" t="str">
        <f t="shared" ca="1" si="716"/>
        <v/>
      </c>
      <c r="FR362" s="460" t="str">
        <f t="shared" ca="1" si="716"/>
        <v/>
      </c>
      <c r="FS362" s="460" t="str">
        <f t="shared" ca="1" si="716"/>
        <v/>
      </c>
      <c r="FT362" s="460" t="str">
        <f t="shared" ca="1" si="716"/>
        <v/>
      </c>
      <c r="FU362" s="460" t="str">
        <f t="shared" ca="1" si="716"/>
        <v/>
      </c>
      <c r="FV362" s="460" t="str">
        <f t="shared" ca="1" si="716"/>
        <v/>
      </c>
      <c r="FW362" s="460" t="str">
        <f t="shared" ca="1" si="716"/>
        <v/>
      </c>
      <c r="FX362" s="460" t="str">
        <f t="shared" ca="1" si="716"/>
        <v/>
      </c>
      <c r="FY362" s="460" t="str">
        <f t="shared" ca="1" si="716"/>
        <v/>
      </c>
      <c r="FZ362" s="460" t="str">
        <f t="shared" ca="1" si="716"/>
        <v/>
      </c>
      <c r="GA362" s="460" t="str">
        <f t="shared" ca="1" si="716"/>
        <v/>
      </c>
      <c r="GB362" s="460" t="str">
        <f t="shared" ca="1" si="716"/>
        <v/>
      </c>
      <c r="GC362" s="460" t="str">
        <f t="shared" ca="1" si="716"/>
        <v/>
      </c>
      <c r="GD362" s="460" t="str">
        <f t="shared" ca="1" si="716"/>
        <v/>
      </c>
      <c r="GE362" s="460" t="str">
        <f t="shared" ca="1" si="716"/>
        <v/>
      </c>
      <c r="GF362" s="460" t="str">
        <f t="shared" ca="1" si="716"/>
        <v/>
      </c>
      <c r="GG362" s="460" t="str">
        <f t="shared" ca="1" si="716"/>
        <v/>
      </c>
      <c r="GH362" s="460" t="str">
        <f t="shared" ca="1" si="716"/>
        <v/>
      </c>
      <c r="GI362" s="460" t="str">
        <f t="shared" ca="1" si="716"/>
        <v/>
      </c>
      <c r="GJ362" s="460" t="str">
        <f t="shared" ca="1" si="716"/>
        <v/>
      </c>
      <c r="GK362" s="460" t="str">
        <f t="shared" ca="1" si="716"/>
        <v/>
      </c>
      <c r="GL362" s="460" t="str">
        <f t="shared" ca="1" si="716"/>
        <v/>
      </c>
      <c r="GM362" s="460" t="str">
        <f t="shared" ca="1" si="716"/>
        <v/>
      </c>
      <c r="GN362" s="460" t="str">
        <f t="shared" ca="1" si="716"/>
        <v/>
      </c>
      <c r="GO362" s="460" t="str">
        <f t="shared" ca="1" si="716"/>
        <v/>
      </c>
      <c r="GP362" s="460" t="str">
        <f t="shared" ca="1" si="716"/>
        <v/>
      </c>
      <c r="GQ362" s="460" t="str">
        <f t="shared" ca="1" si="716"/>
        <v/>
      </c>
      <c r="GR362" s="460" t="str">
        <f t="shared" ca="1" si="716"/>
        <v/>
      </c>
      <c r="GS362" s="460" t="str">
        <f t="shared" ca="1" si="716"/>
        <v/>
      </c>
      <c r="GT362" s="460" t="str">
        <f t="shared" ca="1" si="716"/>
        <v/>
      </c>
      <c r="GU362" s="460" t="str">
        <f t="shared" ca="1" si="716"/>
        <v/>
      </c>
      <c r="GV362" s="460" t="str">
        <f t="shared" ca="1" si="716"/>
        <v/>
      </c>
      <c r="GW362" s="460" t="str">
        <f t="shared" ca="1" si="716"/>
        <v/>
      </c>
      <c r="GX362" s="460" t="str">
        <f t="shared" ca="1" si="716"/>
        <v/>
      </c>
      <c r="GY362" s="460" t="str">
        <f t="shared" ca="1" si="716"/>
        <v/>
      </c>
      <c r="GZ362" s="460" t="str">
        <f t="shared" ca="1" si="716"/>
        <v/>
      </c>
      <c r="HA362" s="460" t="str">
        <f t="shared" ca="1" si="716"/>
        <v/>
      </c>
      <c r="HB362" s="460" t="str">
        <f t="shared" ca="1" si="716"/>
        <v/>
      </c>
      <c r="HC362" s="460" t="str">
        <f t="shared" ca="1" si="716"/>
        <v/>
      </c>
      <c r="HD362" s="460" t="str">
        <f t="shared" ca="1" si="716"/>
        <v/>
      </c>
      <c r="HE362" s="460" t="str">
        <f t="shared" ca="1" si="716"/>
        <v/>
      </c>
      <c r="HF362" s="460" t="str">
        <f t="shared" ca="1" si="716"/>
        <v/>
      </c>
      <c r="HG362" s="460" t="str">
        <f t="shared" ca="1" si="716"/>
        <v/>
      </c>
      <c r="HH362" s="460" t="str">
        <f t="shared" ca="1" si="716"/>
        <v/>
      </c>
      <c r="HI362" s="460" t="str">
        <f t="shared" ca="1" si="716"/>
        <v/>
      </c>
      <c r="HJ362" s="460" t="str">
        <f t="shared" ca="1" si="716"/>
        <v/>
      </c>
      <c r="HK362" s="460" t="str">
        <f t="shared" ca="1" si="716"/>
        <v/>
      </c>
      <c r="HL362" s="460" t="str">
        <f t="shared" ca="1" si="716"/>
        <v/>
      </c>
      <c r="HM362" s="460" t="str">
        <f t="shared" ca="1" si="716"/>
        <v/>
      </c>
      <c r="HN362" s="460" t="str">
        <f t="shared" ca="1" si="716"/>
        <v/>
      </c>
      <c r="HO362" s="460" t="str">
        <f t="shared" ca="1" si="716"/>
        <v/>
      </c>
      <c r="HP362" s="460" t="str">
        <f t="shared" ca="1" si="716"/>
        <v/>
      </c>
      <c r="HQ362" s="460" t="str">
        <f t="shared" ca="1" si="716"/>
        <v/>
      </c>
      <c r="HR362" s="460" t="str">
        <f t="shared" ca="1" si="716"/>
        <v/>
      </c>
      <c r="HS362" s="460" t="str">
        <f t="shared" ca="1" si="716"/>
        <v/>
      </c>
      <c r="HT362" s="460" t="str">
        <f t="shared" ca="1" si="716"/>
        <v/>
      </c>
      <c r="HU362" s="460" t="str">
        <f t="shared" ca="1" si="716"/>
        <v/>
      </c>
      <c r="HV362" s="460" t="str">
        <f t="shared" ca="1" si="716"/>
        <v/>
      </c>
      <c r="HW362" s="460" t="str">
        <f t="shared" ca="1" si="712"/>
        <v/>
      </c>
      <c r="HX362" s="460" t="str">
        <f t="shared" ca="1" si="708"/>
        <v/>
      </c>
      <c r="HY362" s="460" t="str">
        <f t="shared" ca="1" si="708"/>
        <v/>
      </c>
      <c r="HZ362" s="460" t="str">
        <f t="shared" ca="1" si="708"/>
        <v/>
      </c>
      <c r="IA362" s="460" t="str">
        <f t="shared" ca="1" si="708"/>
        <v/>
      </c>
      <c r="IB362" s="460" t="str">
        <f t="shared" ca="1" si="708"/>
        <v/>
      </c>
      <c r="IC362" s="460" t="str">
        <f t="shared" ca="1" si="708"/>
        <v/>
      </c>
      <c r="ID362" s="674" t="str">
        <f t="shared" ca="1" si="708"/>
        <v/>
      </c>
    </row>
    <row r="363" spans="9:238">
      <c r="I363" s="137"/>
      <c r="J363" s="375"/>
      <c r="K363" s="1"/>
      <c r="L363" s="1"/>
      <c r="M363" s="376"/>
      <c r="P363" s="375"/>
      <c r="S363" s="55"/>
      <c r="T363" s="375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74"/>
      <c r="AO363" s="374"/>
      <c r="AP363" s="106"/>
      <c r="AQ363" s="374"/>
      <c r="AR363" s="106"/>
      <c r="AS363" s="106"/>
      <c r="AT363" s="106"/>
      <c r="AU363" s="31"/>
      <c r="AV363" s="31"/>
      <c r="AW363" s="31"/>
      <c r="AX363" s="31"/>
      <c r="AY363" s="154"/>
      <c r="AZ363" s="154"/>
      <c r="BA363" s="106"/>
      <c r="BB363" s="106"/>
      <c r="BC363" s="106"/>
      <c r="BD363" s="106"/>
      <c r="BE363" s="107"/>
      <c r="BF363" s="107"/>
      <c r="BG363" s="107"/>
      <c r="BH363" s="105"/>
      <c r="BI363" s="107"/>
      <c r="BJ363" s="106"/>
      <c r="BK363" s="108"/>
      <c r="BL363" s="159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7"/>
      <c r="CC363" s="107"/>
      <c r="CD363" s="107"/>
      <c r="CE363" s="107"/>
      <c r="CF363" s="107"/>
      <c r="CG363" s="107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10"/>
      <c r="DH363" s="475"/>
      <c r="DI363" s="1"/>
      <c r="DJ363" s="53"/>
      <c r="DK363" s="475"/>
      <c r="DL363" s="54"/>
      <c r="DM363" s="54"/>
      <c r="DN363" s="54"/>
      <c r="DO363" s="54"/>
      <c r="DP363" s="54"/>
      <c r="DQ363" s="54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L363" s="55"/>
      <c r="EM363" s="1"/>
      <c r="EN363" s="106"/>
      <c r="EO363" s="106"/>
      <c r="EP363" s="1"/>
      <c r="EQ363" s="106"/>
      <c r="ER363" s="1"/>
      <c r="ES363" s="1"/>
      <c r="ET363" s="1"/>
      <c r="EU363" s="107"/>
      <c r="FJ363" s="673">
        <v>39</v>
      </c>
      <c r="FK363" s="460">
        <f t="shared" ref="FK363:HV363" ca="1" si="717">IF(AND(ISNUMBER(FK58),ISNUMBER(FK$320),FK$320&lt;&gt;0),FK58*FK$320/FK$15,"")</f>
        <v>0</v>
      </c>
      <c r="FL363" s="460">
        <f t="shared" ca="1" si="717"/>
        <v>2.201505778976503E-3</v>
      </c>
      <c r="FM363" s="460">
        <f t="shared" ca="1" si="717"/>
        <v>2.5608301344303441E-3</v>
      </c>
      <c r="FN363" s="460">
        <f t="shared" ca="1" si="717"/>
        <v>2.1573881834895804E-3</v>
      </c>
      <c r="FO363" s="460">
        <f t="shared" ca="1" si="717"/>
        <v>2.24645624229741E-3</v>
      </c>
      <c r="FP363" s="460">
        <f t="shared" ca="1" si="717"/>
        <v>1.2462437828337531E-3</v>
      </c>
      <c r="FQ363" s="460" t="str">
        <f t="shared" ca="1" si="717"/>
        <v/>
      </c>
      <c r="FR363" s="460" t="str">
        <f t="shared" ca="1" si="717"/>
        <v/>
      </c>
      <c r="FS363" s="460" t="str">
        <f t="shared" ca="1" si="717"/>
        <v/>
      </c>
      <c r="FT363" s="460" t="str">
        <f t="shared" ca="1" si="717"/>
        <v/>
      </c>
      <c r="FU363" s="460" t="str">
        <f t="shared" ca="1" si="717"/>
        <v/>
      </c>
      <c r="FV363" s="460" t="str">
        <f t="shared" ca="1" si="717"/>
        <v/>
      </c>
      <c r="FW363" s="460" t="str">
        <f t="shared" ca="1" si="717"/>
        <v/>
      </c>
      <c r="FX363" s="460" t="str">
        <f t="shared" ca="1" si="717"/>
        <v/>
      </c>
      <c r="FY363" s="460" t="str">
        <f t="shared" ca="1" si="717"/>
        <v/>
      </c>
      <c r="FZ363" s="460" t="str">
        <f t="shared" ca="1" si="717"/>
        <v/>
      </c>
      <c r="GA363" s="460" t="str">
        <f t="shared" ca="1" si="717"/>
        <v/>
      </c>
      <c r="GB363" s="460" t="str">
        <f t="shared" ca="1" si="717"/>
        <v/>
      </c>
      <c r="GC363" s="460" t="str">
        <f t="shared" ca="1" si="717"/>
        <v/>
      </c>
      <c r="GD363" s="460" t="str">
        <f t="shared" ca="1" si="717"/>
        <v/>
      </c>
      <c r="GE363" s="460" t="str">
        <f t="shared" ca="1" si="717"/>
        <v/>
      </c>
      <c r="GF363" s="460" t="str">
        <f t="shared" ca="1" si="717"/>
        <v/>
      </c>
      <c r="GG363" s="460" t="str">
        <f t="shared" ca="1" si="717"/>
        <v/>
      </c>
      <c r="GH363" s="460" t="str">
        <f t="shared" ca="1" si="717"/>
        <v/>
      </c>
      <c r="GI363" s="460" t="str">
        <f t="shared" ca="1" si="717"/>
        <v/>
      </c>
      <c r="GJ363" s="460" t="str">
        <f t="shared" ca="1" si="717"/>
        <v/>
      </c>
      <c r="GK363" s="460" t="str">
        <f t="shared" ca="1" si="717"/>
        <v/>
      </c>
      <c r="GL363" s="460" t="str">
        <f t="shared" ca="1" si="717"/>
        <v/>
      </c>
      <c r="GM363" s="460" t="str">
        <f t="shared" ca="1" si="717"/>
        <v/>
      </c>
      <c r="GN363" s="460" t="str">
        <f t="shared" ca="1" si="717"/>
        <v/>
      </c>
      <c r="GO363" s="460" t="str">
        <f t="shared" ca="1" si="717"/>
        <v/>
      </c>
      <c r="GP363" s="460" t="str">
        <f t="shared" ca="1" si="717"/>
        <v/>
      </c>
      <c r="GQ363" s="460" t="str">
        <f t="shared" ca="1" si="717"/>
        <v/>
      </c>
      <c r="GR363" s="460" t="str">
        <f t="shared" ca="1" si="717"/>
        <v/>
      </c>
      <c r="GS363" s="460" t="str">
        <f t="shared" ca="1" si="717"/>
        <v/>
      </c>
      <c r="GT363" s="460" t="str">
        <f t="shared" ca="1" si="717"/>
        <v/>
      </c>
      <c r="GU363" s="460" t="str">
        <f t="shared" ca="1" si="717"/>
        <v/>
      </c>
      <c r="GV363" s="460" t="str">
        <f t="shared" ca="1" si="717"/>
        <v/>
      </c>
      <c r="GW363" s="460" t="str">
        <f t="shared" ca="1" si="717"/>
        <v/>
      </c>
      <c r="GX363" s="460" t="str">
        <f t="shared" ca="1" si="717"/>
        <v/>
      </c>
      <c r="GY363" s="460" t="str">
        <f t="shared" ca="1" si="717"/>
        <v/>
      </c>
      <c r="GZ363" s="460" t="str">
        <f t="shared" ca="1" si="717"/>
        <v/>
      </c>
      <c r="HA363" s="460" t="str">
        <f t="shared" ca="1" si="717"/>
        <v/>
      </c>
      <c r="HB363" s="460" t="str">
        <f t="shared" ca="1" si="717"/>
        <v/>
      </c>
      <c r="HC363" s="460" t="str">
        <f t="shared" ca="1" si="717"/>
        <v/>
      </c>
      <c r="HD363" s="460" t="str">
        <f t="shared" ca="1" si="717"/>
        <v/>
      </c>
      <c r="HE363" s="460" t="str">
        <f t="shared" ca="1" si="717"/>
        <v/>
      </c>
      <c r="HF363" s="460" t="str">
        <f t="shared" ca="1" si="717"/>
        <v/>
      </c>
      <c r="HG363" s="460" t="str">
        <f t="shared" ca="1" si="717"/>
        <v/>
      </c>
      <c r="HH363" s="460" t="str">
        <f t="shared" ca="1" si="717"/>
        <v/>
      </c>
      <c r="HI363" s="460" t="str">
        <f t="shared" ca="1" si="717"/>
        <v/>
      </c>
      <c r="HJ363" s="460" t="str">
        <f t="shared" ca="1" si="717"/>
        <v/>
      </c>
      <c r="HK363" s="460" t="str">
        <f t="shared" ca="1" si="717"/>
        <v/>
      </c>
      <c r="HL363" s="460" t="str">
        <f t="shared" ca="1" si="717"/>
        <v/>
      </c>
      <c r="HM363" s="460" t="str">
        <f t="shared" ca="1" si="717"/>
        <v/>
      </c>
      <c r="HN363" s="460" t="str">
        <f t="shared" ca="1" si="717"/>
        <v/>
      </c>
      <c r="HO363" s="460" t="str">
        <f t="shared" ca="1" si="717"/>
        <v/>
      </c>
      <c r="HP363" s="460" t="str">
        <f t="shared" ca="1" si="717"/>
        <v/>
      </c>
      <c r="HQ363" s="460" t="str">
        <f t="shared" ca="1" si="717"/>
        <v/>
      </c>
      <c r="HR363" s="460" t="str">
        <f t="shared" ca="1" si="717"/>
        <v/>
      </c>
      <c r="HS363" s="460" t="str">
        <f t="shared" ca="1" si="717"/>
        <v/>
      </c>
      <c r="HT363" s="460" t="str">
        <f t="shared" ca="1" si="717"/>
        <v/>
      </c>
      <c r="HU363" s="460" t="str">
        <f t="shared" ca="1" si="717"/>
        <v/>
      </c>
      <c r="HV363" s="460" t="str">
        <f t="shared" ca="1" si="717"/>
        <v/>
      </c>
      <c r="HW363" s="460" t="str">
        <f t="shared" ca="1" si="712"/>
        <v/>
      </c>
      <c r="HX363" s="460" t="str">
        <f t="shared" ca="1" si="708"/>
        <v/>
      </c>
      <c r="HY363" s="460" t="str">
        <f t="shared" ca="1" si="708"/>
        <v/>
      </c>
      <c r="HZ363" s="460" t="str">
        <f t="shared" ca="1" si="708"/>
        <v/>
      </c>
      <c r="IA363" s="460" t="str">
        <f t="shared" ca="1" si="708"/>
        <v/>
      </c>
      <c r="IB363" s="460" t="str">
        <f t="shared" ca="1" si="708"/>
        <v/>
      </c>
      <c r="IC363" s="460" t="str">
        <f t="shared" ca="1" si="708"/>
        <v/>
      </c>
      <c r="ID363" s="674" t="str">
        <f t="shared" ca="1" si="708"/>
        <v/>
      </c>
    </row>
    <row r="364" spans="9:238">
      <c r="I364" s="137"/>
      <c r="J364" s="375"/>
      <c r="K364" s="1"/>
      <c r="L364" s="1"/>
      <c r="M364" s="376"/>
      <c r="P364" s="375"/>
      <c r="S364" s="55"/>
      <c r="T364" s="375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74"/>
      <c r="AO364" s="374"/>
      <c r="AP364" s="106"/>
      <c r="AQ364" s="374"/>
      <c r="AR364" s="106"/>
      <c r="AS364" s="106"/>
      <c r="AT364" s="106"/>
      <c r="AU364" s="31"/>
      <c r="AV364" s="31"/>
      <c r="AW364" s="31"/>
      <c r="AX364" s="31"/>
      <c r="AY364" s="154"/>
      <c r="AZ364" s="154"/>
      <c r="BA364" s="106"/>
      <c r="BB364" s="106"/>
      <c r="BC364" s="106"/>
      <c r="BD364" s="106"/>
      <c r="BE364" s="107"/>
      <c r="BF364" s="107"/>
      <c r="BG364" s="107"/>
      <c r="BH364" s="105"/>
      <c r="BI364" s="107"/>
      <c r="BJ364" s="106"/>
      <c r="BK364" s="108"/>
      <c r="BL364" s="159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7"/>
      <c r="CC364" s="107"/>
      <c r="CD364" s="107"/>
      <c r="CE364" s="107"/>
      <c r="CF364" s="107"/>
      <c r="CG364" s="107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10"/>
      <c r="DH364" s="475"/>
      <c r="DI364" s="1"/>
      <c r="DJ364" s="53"/>
      <c r="DK364" s="475"/>
      <c r="DL364" s="54"/>
      <c r="DM364" s="54"/>
      <c r="DN364" s="54"/>
      <c r="DO364" s="54"/>
      <c r="DP364" s="54"/>
      <c r="DQ364" s="54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L364" s="55"/>
      <c r="EM364" s="1"/>
      <c r="EN364" s="106"/>
      <c r="EO364" s="106"/>
      <c r="EP364" s="1"/>
      <c r="EQ364" s="106"/>
      <c r="ER364" s="1"/>
      <c r="ES364" s="1"/>
      <c r="ET364" s="1"/>
      <c r="EU364" s="107"/>
      <c r="FJ364" s="673">
        <v>40</v>
      </c>
      <c r="FK364" s="460">
        <f t="shared" ref="FK364:HV364" ca="1" si="718">IF(AND(ISNUMBER(FK59),ISNUMBER(FK$320),FK$320&lt;&gt;0),FK59*FK$320/FK$15,"")</f>
        <v>0</v>
      </c>
      <c r="FL364" s="460">
        <f t="shared" ca="1" si="718"/>
        <v>2.2000026946465872E-3</v>
      </c>
      <c r="FM364" s="460">
        <f t="shared" ca="1" si="718"/>
        <v>2.558785205710774E-3</v>
      </c>
      <c r="FN364" s="460">
        <f t="shared" ca="1" si="718"/>
        <v>2.1553732552502436E-3</v>
      </c>
      <c r="FO364" s="460">
        <f t="shared" ca="1" si="718"/>
        <v>2.2440023068350055E-3</v>
      </c>
      <c r="FP364" s="460">
        <f t="shared" ca="1" si="718"/>
        <v>1.2446515665426158E-3</v>
      </c>
      <c r="FQ364" s="460" t="str">
        <f t="shared" ca="1" si="718"/>
        <v/>
      </c>
      <c r="FR364" s="460" t="str">
        <f t="shared" ca="1" si="718"/>
        <v/>
      </c>
      <c r="FS364" s="460" t="str">
        <f t="shared" ca="1" si="718"/>
        <v/>
      </c>
      <c r="FT364" s="460" t="str">
        <f t="shared" ca="1" si="718"/>
        <v/>
      </c>
      <c r="FU364" s="460" t="str">
        <f t="shared" ca="1" si="718"/>
        <v/>
      </c>
      <c r="FV364" s="460" t="str">
        <f t="shared" ca="1" si="718"/>
        <v/>
      </c>
      <c r="FW364" s="460" t="str">
        <f t="shared" ca="1" si="718"/>
        <v/>
      </c>
      <c r="FX364" s="460" t="str">
        <f t="shared" ca="1" si="718"/>
        <v/>
      </c>
      <c r="FY364" s="460" t="str">
        <f t="shared" ca="1" si="718"/>
        <v/>
      </c>
      <c r="FZ364" s="460" t="str">
        <f t="shared" ca="1" si="718"/>
        <v/>
      </c>
      <c r="GA364" s="460" t="str">
        <f t="shared" ca="1" si="718"/>
        <v/>
      </c>
      <c r="GB364" s="460" t="str">
        <f t="shared" ca="1" si="718"/>
        <v/>
      </c>
      <c r="GC364" s="460" t="str">
        <f t="shared" ca="1" si="718"/>
        <v/>
      </c>
      <c r="GD364" s="460" t="str">
        <f t="shared" ca="1" si="718"/>
        <v/>
      </c>
      <c r="GE364" s="460" t="str">
        <f t="shared" ca="1" si="718"/>
        <v/>
      </c>
      <c r="GF364" s="460" t="str">
        <f t="shared" ca="1" si="718"/>
        <v/>
      </c>
      <c r="GG364" s="460" t="str">
        <f t="shared" ca="1" si="718"/>
        <v/>
      </c>
      <c r="GH364" s="460" t="str">
        <f t="shared" ca="1" si="718"/>
        <v/>
      </c>
      <c r="GI364" s="460" t="str">
        <f t="shared" ca="1" si="718"/>
        <v/>
      </c>
      <c r="GJ364" s="460" t="str">
        <f t="shared" ca="1" si="718"/>
        <v/>
      </c>
      <c r="GK364" s="460" t="str">
        <f t="shared" ca="1" si="718"/>
        <v/>
      </c>
      <c r="GL364" s="460" t="str">
        <f t="shared" ca="1" si="718"/>
        <v/>
      </c>
      <c r="GM364" s="460" t="str">
        <f t="shared" ca="1" si="718"/>
        <v/>
      </c>
      <c r="GN364" s="460" t="str">
        <f t="shared" ca="1" si="718"/>
        <v/>
      </c>
      <c r="GO364" s="460" t="str">
        <f t="shared" ca="1" si="718"/>
        <v/>
      </c>
      <c r="GP364" s="460" t="str">
        <f t="shared" ca="1" si="718"/>
        <v/>
      </c>
      <c r="GQ364" s="460" t="str">
        <f t="shared" ca="1" si="718"/>
        <v/>
      </c>
      <c r="GR364" s="460" t="str">
        <f t="shared" ca="1" si="718"/>
        <v/>
      </c>
      <c r="GS364" s="460" t="str">
        <f t="shared" ca="1" si="718"/>
        <v/>
      </c>
      <c r="GT364" s="460" t="str">
        <f t="shared" ca="1" si="718"/>
        <v/>
      </c>
      <c r="GU364" s="460" t="str">
        <f t="shared" ca="1" si="718"/>
        <v/>
      </c>
      <c r="GV364" s="460" t="str">
        <f t="shared" ca="1" si="718"/>
        <v/>
      </c>
      <c r="GW364" s="460" t="str">
        <f t="shared" ca="1" si="718"/>
        <v/>
      </c>
      <c r="GX364" s="460" t="str">
        <f t="shared" ca="1" si="718"/>
        <v/>
      </c>
      <c r="GY364" s="460" t="str">
        <f t="shared" ca="1" si="718"/>
        <v/>
      </c>
      <c r="GZ364" s="460" t="str">
        <f t="shared" ca="1" si="718"/>
        <v/>
      </c>
      <c r="HA364" s="460" t="str">
        <f t="shared" ca="1" si="718"/>
        <v/>
      </c>
      <c r="HB364" s="460" t="str">
        <f t="shared" ca="1" si="718"/>
        <v/>
      </c>
      <c r="HC364" s="460" t="str">
        <f t="shared" ca="1" si="718"/>
        <v/>
      </c>
      <c r="HD364" s="460" t="str">
        <f t="shared" ca="1" si="718"/>
        <v/>
      </c>
      <c r="HE364" s="460" t="str">
        <f t="shared" ca="1" si="718"/>
        <v/>
      </c>
      <c r="HF364" s="460" t="str">
        <f t="shared" ca="1" si="718"/>
        <v/>
      </c>
      <c r="HG364" s="460" t="str">
        <f t="shared" ca="1" si="718"/>
        <v/>
      </c>
      <c r="HH364" s="460" t="str">
        <f t="shared" ca="1" si="718"/>
        <v/>
      </c>
      <c r="HI364" s="460" t="str">
        <f t="shared" ca="1" si="718"/>
        <v/>
      </c>
      <c r="HJ364" s="460" t="str">
        <f t="shared" ca="1" si="718"/>
        <v/>
      </c>
      <c r="HK364" s="460" t="str">
        <f t="shared" ca="1" si="718"/>
        <v/>
      </c>
      <c r="HL364" s="460" t="str">
        <f t="shared" ca="1" si="718"/>
        <v/>
      </c>
      <c r="HM364" s="460" t="str">
        <f t="shared" ca="1" si="718"/>
        <v/>
      </c>
      <c r="HN364" s="460" t="str">
        <f t="shared" ca="1" si="718"/>
        <v/>
      </c>
      <c r="HO364" s="460" t="str">
        <f t="shared" ca="1" si="718"/>
        <v/>
      </c>
      <c r="HP364" s="460" t="str">
        <f t="shared" ca="1" si="718"/>
        <v/>
      </c>
      <c r="HQ364" s="460" t="str">
        <f t="shared" ca="1" si="718"/>
        <v/>
      </c>
      <c r="HR364" s="460" t="str">
        <f t="shared" ca="1" si="718"/>
        <v/>
      </c>
      <c r="HS364" s="460" t="str">
        <f t="shared" ca="1" si="718"/>
        <v/>
      </c>
      <c r="HT364" s="460" t="str">
        <f t="shared" ca="1" si="718"/>
        <v/>
      </c>
      <c r="HU364" s="460" t="str">
        <f t="shared" ca="1" si="718"/>
        <v/>
      </c>
      <c r="HV364" s="460" t="str">
        <f t="shared" ca="1" si="718"/>
        <v/>
      </c>
      <c r="HW364" s="460" t="str">
        <f t="shared" ca="1" si="712"/>
        <v/>
      </c>
      <c r="HX364" s="460" t="str">
        <f t="shared" ca="1" si="708"/>
        <v/>
      </c>
      <c r="HY364" s="460" t="str">
        <f t="shared" ca="1" si="708"/>
        <v/>
      </c>
      <c r="HZ364" s="460" t="str">
        <f t="shared" ca="1" si="708"/>
        <v/>
      </c>
      <c r="IA364" s="460" t="str">
        <f t="shared" ca="1" si="708"/>
        <v/>
      </c>
      <c r="IB364" s="460" t="str">
        <f t="shared" ca="1" si="708"/>
        <v/>
      </c>
      <c r="IC364" s="460" t="str">
        <f t="shared" ca="1" si="708"/>
        <v/>
      </c>
      <c r="ID364" s="674" t="str">
        <f t="shared" ca="1" si="708"/>
        <v/>
      </c>
    </row>
    <row r="365" spans="9:238">
      <c r="I365" s="137"/>
      <c r="J365" s="375"/>
      <c r="K365" s="1"/>
      <c r="L365" s="1"/>
      <c r="M365" s="376"/>
      <c r="P365" s="375"/>
      <c r="S365" s="55"/>
      <c r="T365" s="375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74"/>
      <c r="AO365" s="374"/>
      <c r="AP365" s="106"/>
      <c r="AQ365" s="374"/>
      <c r="AR365" s="106"/>
      <c r="AS365" s="106"/>
      <c r="AT365" s="106"/>
      <c r="AU365" s="31"/>
      <c r="AV365" s="31"/>
      <c r="AW365" s="31"/>
      <c r="AX365" s="31"/>
      <c r="AY365" s="154"/>
      <c r="AZ365" s="154"/>
      <c r="BA365" s="106"/>
      <c r="BB365" s="106"/>
      <c r="BC365" s="106"/>
      <c r="BD365" s="106"/>
      <c r="BE365" s="107"/>
      <c r="BF365" s="107"/>
      <c r="BG365" s="107"/>
      <c r="BH365" s="105"/>
      <c r="BI365" s="107"/>
      <c r="BJ365" s="106"/>
      <c r="BK365" s="108"/>
      <c r="BL365" s="159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7"/>
      <c r="CC365" s="107"/>
      <c r="CD365" s="107"/>
      <c r="CE365" s="107"/>
      <c r="CF365" s="107"/>
      <c r="CG365" s="107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10"/>
      <c r="DH365" s="475"/>
      <c r="DI365" s="1"/>
      <c r="DJ365" s="53"/>
      <c r="DK365" s="475"/>
      <c r="DL365" s="54"/>
      <c r="DM365" s="54"/>
      <c r="DN365" s="54"/>
      <c r="DO365" s="54"/>
      <c r="DP365" s="54"/>
      <c r="DQ365" s="54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L365" s="55"/>
      <c r="EM365" s="1"/>
      <c r="EN365" s="106"/>
      <c r="EO365" s="106"/>
      <c r="EP365" s="1"/>
      <c r="EQ365" s="106"/>
      <c r="ER365" s="1"/>
      <c r="ES365" s="1"/>
      <c r="ET365" s="1"/>
      <c r="EU365" s="107"/>
      <c r="FJ365" s="673">
        <v>41</v>
      </c>
      <c r="FK365" s="460">
        <f t="shared" ref="FK365:HV365" ca="1" si="719">IF(AND(ISNUMBER(FK60),ISNUMBER(FK$320),FK$320&lt;&gt;0),FK60*FK$320/FK$15,"")</f>
        <v>0</v>
      </c>
      <c r="FL365" s="460">
        <f t="shared" ca="1" si="719"/>
        <v>2.1987184349755193E-3</v>
      </c>
      <c r="FM365" s="460">
        <f t="shared" ca="1" si="719"/>
        <v>2.5570381878364384E-3</v>
      </c>
      <c r="FN365" s="460">
        <f t="shared" ca="1" si="719"/>
        <v>2.1536521006091003E-3</v>
      </c>
      <c r="FO365" s="460">
        <f t="shared" ca="1" si="719"/>
        <v>2.241906483908106E-3</v>
      </c>
      <c r="FP365" s="460">
        <f t="shared" ca="1" si="719"/>
        <v>1.2432919608846161E-3</v>
      </c>
      <c r="FQ365" s="460" t="str">
        <f t="shared" ca="1" si="719"/>
        <v/>
      </c>
      <c r="FR365" s="460" t="str">
        <f t="shared" ca="1" si="719"/>
        <v/>
      </c>
      <c r="FS365" s="460" t="str">
        <f t="shared" ca="1" si="719"/>
        <v/>
      </c>
      <c r="FT365" s="460" t="str">
        <f t="shared" ca="1" si="719"/>
        <v/>
      </c>
      <c r="FU365" s="460" t="str">
        <f t="shared" ca="1" si="719"/>
        <v/>
      </c>
      <c r="FV365" s="460" t="str">
        <f t="shared" ca="1" si="719"/>
        <v/>
      </c>
      <c r="FW365" s="460" t="str">
        <f t="shared" ca="1" si="719"/>
        <v/>
      </c>
      <c r="FX365" s="460" t="str">
        <f t="shared" ca="1" si="719"/>
        <v/>
      </c>
      <c r="FY365" s="460" t="str">
        <f t="shared" ca="1" si="719"/>
        <v/>
      </c>
      <c r="FZ365" s="460" t="str">
        <f t="shared" ca="1" si="719"/>
        <v/>
      </c>
      <c r="GA365" s="460" t="str">
        <f t="shared" ca="1" si="719"/>
        <v/>
      </c>
      <c r="GB365" s="460" t="str">
        <f t="shared" ca="1" si="719"/>
        <v/>
      </c>
      <c r="GC365" s="460" t="str">
        <f t="shared" ca="1" si="719"/>
        <v/>
      </c>
      <c r="GD365" s="460" t="str">
        <f t="shared" ca="1" si="719"/>
        <v/>
      </c>
      <c r="GE365" s="460" t="str">
        <f t="shared" ca="1" si="719"/>
        <v/>
      </c>
      <c r="GF365" s="460" t="str">
        <f t="shared" ca="1" si="719"/>
        <v/>
      </c>
      <c r="GG365" s="460" t="str">
        <f t="shared" ca="1" si="719"/>
        <v/>
      </c>
      <c r="GH365" s="460" t="str">
        <f t="shared" ca="1" si="719"/>
        <v/>
      </c>
      <c r="GI365" s="460" t="str">
        <f t="shared" ca="1" si="719"/>
        <v/>
      </c>
      <c r="GJ365" s="460" t="str">
        <f t="shared" ca="1" si="719"/>
        <v/>
      </c>
      <c r="GK365" s="460" t="str">
        <f t="shared" ca="1" si="719"/>
        <v/>
      </c>
      <c r="GL365" s="460" t="str">
        <f t="shared" ca="1" si="719"/>
        <v/>
      </c>
      <c r="GM365" s="460" t="str">
        <f t="shared" ca="1" si="719"/>
        <v/>
      </c>
      <c r="GN365" s="460" t="str">
        <f t="shared" ca="1" si="719"/>
        <v/>
      </c>
      <c r="GO365" s="460" t="str">
        <f t="shared" ca="1" si="719"/>
        <v/>
      </c>
      <c r="GP365" s="460" t="str">
        <f t="shared" ca="1" si="719"/>
        <v/>
      </c>
      <c r="GQ365" s="460" t="str">
        <f t="shared" ca="1" si="719"/>
        <v/>
      </c>
      <c r="GR365" s="460" t="str">
        <f t="shared" ca="1" si="719"/>
        <v/>
      </c>
      <c r="GS365" s="460" t="str">
        <f t="shared" ca="1" si="719"/>
        <v/>
      </c>
      <c r="GT365" s="460" t="str">
        <f t="shared" ca="1" si="719"/>
        <v/>
      </c>
      <c r="GU365" s="460" t="str">
        <f t="shared" ca="1" si="719"/>
        <v/>
      </c>
      <c r="GV365" s="460" t="str">
        <f t="shared" ca="1" si="719"/>
        <v/>
      </c>
      <c r="GW365" s="460" t="str">
        <f t="shared" ca="1" si="719"/>
        <v/>
      </c>
      <c r="GX365" s="460" t="str">
        <f t="shared" ca="1" si="719"/>
        <v/>
      </c>
      <c r="GY365" s="460" t="str">
        <f t="shared" ca="1" si="719"/>
        <v/>
      </c>
      <c r="GZ365" s="460" t="str">
        <f t="shared" ca="1" si="719"/>
        <v/>
      </c>
      <c r="HA365" s="460" t="str">
        <f t="shared" ca="1" si="719"/>
        <v/>
      </c>
      <c r="HB365" s="460" t="str">
        <f t="shared" ca="1" si="719"/>
        <v/>
      </c>
      <c r="HC365" s="460" t="str">
        <f t="shared" ca="1" si="719"/>
        <v/>
      </c>
      <c r="HD365" s="460" t="str">
        <f t="shared" ca="1" si="719"/>
        <v/>
      </c>
      <c r="HE365" s="460" t="str">
        <f t="shared" ca="1" si="719"/>
        <v/>
      </c>
      <c r="HF365" s="460" t="str">
        <f t="shared" ca="1" si="719"/>
        <v/>
      </c>
      <c r="HG365" s="460" t="str">
        <f t="shared" ca="1" si="719"/>
        <v/>
      </c>
      <c r="HH365" s="460" t="str">
        <f t="shared" ca="1" si="719"/>
        <v/>
      </c>
      <c r="HI365" s="460" t="str">
        <f t="shared" ca="1" si="719"/>
        <v/>
      </c>
      <c r="HJ365" s="460" t="str">
        <f t="shared" ca="1" si="719"/>
        <v/>
      </c>
      <c r="HK365" s="460" t="str">
        <f t="shared" ca="1" si="719"/>
        <v/>
      </c>
      <c r="HL365" s="460" t="str">
        <f t="shared" ca="1" si="719"/>
        <v/>
      </c>
      <c r="HM365" s="460" t="str">
        <f t="shared" ca="1" si="719"/>
        <v/>
      </c>
      <c r="HN365" s="460" t="str">
        <f t="shared" ca="1" si="719"/>
        <v/>
      </c>
      <c r="HO365" s="460" t="str">
        <f t="shared" ca="1" si="719"/>
        <v/>
      </c>
      <c r="HP365" s="460" t="str">
        <f t="shared" ca="1" si="719"/>
        <v/>
      </c>
      <c r="HQ365" s="460" t="str">
        <f t="shared" ca="1" si="719"/>
        <v/>
      </c>
      <c r="HR365" s="460" t="str">
        <f t="shared" ca="1" si="719"/>
        <v/>
      </c>
      <c r="HS365" s="460" t="str">
        <f t="shared" ca="1" si="719"/>
        <v/>
      </c>
      <c r="HT365" s="460" t="str">
        <f t="shared" ca="1" si="719"/>
        <v/>
      </c>
      <c r="HU365" s="460" t="str">
        <f t="shared" ca="1" si="719"/>
        <v/>
      </c>
      <c r="HV365" s="460" t="str">
        <f t="shared" ca="1" si="719"/>
        <v/>
      </c>
      <c r="HW365" s="460" t="str">
        <f t="shared" ca="1" si="712"/>
        <v/>
      </c>
      <c r="HX365" s="460" t="str">
        <f t="shared" ref="HX365:ID374" ca="1" si="720">IF(AND(ISNUMBER(HX60),ISNUMBER(HX$320),HX$320&lt;&gt;0),HX60*HX$320/HX$15,"")</f>
        <v/>
      </c>
      <c r="HY365" s="460" t="str">
        <f t="shared" ca="1" si="720"/>
        <v/>
      </c>
      <c r="HZ365" s="460" t="str">
        <f t="shared" ca="1" si="720"/>
        <v/>
      </c>
      <c r="IA365" s="460" t="str">
        <f t="shared" ca="1" si="720"/>
        <v/>
      </c>
      <c r="IB365" s="460" t="str">
        <f t="shared" ca="1" si="720"/>
        <v/>
      </c>
      <c r="IC365" s="460" t="str">
        <f t="shared" ca="1" si="720"/>
        <v/>
      </c>
      <c r="ID365" s="674" t="str">
        <f t="shared" ca="1" si="720"/>
        <v/>
      </c>
    </row>
    <row r="366" spans="9:238">
      <c r="I366" s="137"/>
      <c r="J366" s="375"/>
      <c r="K366" s="1"/>
      <c r="L366" s="1"/>
      <c r="M366" s="376"/>
      <c r="P366" s="375"/>
      <c r="S366" s="55"/>
      <c r="T366" s="375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74"/>
      <c r="AO366" s="374"/>
      <c r="AP366" s="106"/>
      <c r="AQ366" s="374"/>
      <c r="AR366" s="106"/>
      <c r="AS366" s="106"/>
      <c r="AT366" s="106"/>
      <c r="AU366" s="31"/>
      <c r="AV366" s="31"/>
      <c r="AW366" s="31"/>
      <c r="AX366" s="31"/>
      <c r="AY366" s="154"/>
      <c r="AZ366" s="154"/>
      <c r="BA366" s="106"/>
      <c r="BB366" s="106"/>
      <c r="BC366" s="106"/>
      <c r="BD366" s="106"/>
      <c r="BE366" s="107"/>
      <c r="BF366" s="107"/>
      <c r="BG366" s="107"/>
      <c r="BH366" s="105"/>
      <c r="BI366" s="107"/>
      <c r="BJ366" s="106"/>
      <c r="BK366" s="108"/>
      <c r="BL366" s="159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7"/>
      <c r="CC366" s="107"/>
      <c r="CD366" s="107"/>
      <c r="CE366" s="107"/>
      <c r="CF366" s="107"/>
      <c r="CG366" s="107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10"/>
      <c r="DH366" s="475"/>
      <c r="DI366" s="1"/>
      <c r="DJ366" s="53"/>
      <c r="DK366" s="475"/>
      <c r="DL366" s="54"/>
      <c r="DM366" s="54"/>
      <c r="DN366" s="54"/>
      <c r="DO366" s="54"/>
      <c r="DP366" s="54"/>
      <c r="DQ366" s="54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L366" s="55"/>
      <c r="EM366" s="1"/>
      <c r="EN366" s="106"/>
      <c r="EO366" s="106"/>
      <c r="EP366" s="1"/>
      <c r="EQ366" s="106"/>
      <c r="ER366" s="1"/>
      <c r="ES366" s="1"/>
      <c r="ET366" s="1"/>
      <c r="EU366" s="107"/>
      <c r="FJ366" s="673">
        <v>42</v>
      </c>
      <c r="FK366" s="460">
        <f t="shared" ref="FK366:HV366" ca="1" si="721">IF(AND(ISNUMBER(FK61),ISNUMBER(FK$320),FK$320&lt;&gt;0),FK61*FK$320/FK$15,"")</f>
        <v>0</v>
      </c>
      <c r="FL366" s="460">
        <f t="shared" ca="1" si="721"/>
        <v>2.1976210339428267E-3</v>
      </c>
      <c r="FM366" s="460">
        <f t="shared" ca="1" si="721"/>
        <v>2.5555455073819964E-3</v>
      </c>
      <c r="FN366" s="460">
        <f t="shared" ca="1" si="721"/>
        <v>2.1521816885141471E-3</v>
      </c>
      <c r="FO366" s="460">
        <f t="shared" ca="1" si="721"/>
        <v>2.2401162289068487E-3</v>
      </c>
      <c r="FP366" s="460">
        <f t="shared" ca="1" si="721"/>
        <v>1.2421307678731315E-3</v>
      </c>
      <c r="FQ366" s="460" t="str">
        <f t="shared" ca="1" si="721"/>
        <v/>
      </c>
      <c r="FR366" s="460" t="str">
        <f t="shared" ca="1" si="721"/>
        <v/>
      </c>
      <c r="FS366" s="460" t="str">
        <f t="shared" ca="1" si="721"/>
        <v/>
      </c>
      <c r="FT366" s="460" t="str">
        <f t="shared" ca="1" si="721"/>
        <v/>
      </c>
      <c r="FU366" s="460" t="str">
        <f t="shared" ca="1" si="721"/>
        <v/>
      </c>
      <c r="FV366" s="460" t="str">
        <f t="shared" ca="1" si="721"/>
        <v/>
      </c>
      <c r="FW366" s="460" t="str">
        <f t="shared" ca="1" si="721"/>
        <v/>
      </c>
      <c r="FX366" s="460" t="str">
        <f t="shared" ca="1" si="721"/>
        <v/>
      </c>
      <c r="FY366" s="460" t="str">
        <f t="shared" ca="1" si="721"/>
        <v/>
      </c>
      <c r="FZ366" s="460" t="str">
        <f t="shared" ca="1" si="721"/>
        <v/>
      </c>
      <c r="GA366" s="460" t="str">
        <f t="shared" ca="1" si="721"/>
        <v/>
      </c>
      <c r="GB366" s="460" t="str">
        <f t="shared" ca="1" si="721"/>
        <v/>
      </c>
      <c r="GC366" s="460" t="str">
        <f t="shared" ca="1" si="721"/>
        <v/>
      </c>
      <c r="GD366" s="460" t="str">
        <f t="shared" ca="1" si="721"/>
        <v/>
      </c>
      <c r="GE366" s="460" t="str">
        <f t="shared" ca="1" si="721"/>
        <v/>
      </c>
      <c r="GF366" s="460" t="str">
        <f t="shared" ca="1" si="721"/>
        <v/>
      </c>
      <c r="GG366" s="460" t="str">
        <f t="shared" ca="1" si="721"/>
        <v/>
      </c>
      <c r="GH366" s="460" t="str">
        <f t="shared" ca="1" si="721"/>
        <v/>
      </c>
      <c r="GI366" s="460" t="str">
        <f t="shared" ca="1" si="721"/>
        <v/>
      </c>
      <c r="GJ366" s="460" t="str">
        <f t="shared" ca="1" si="721"/>
        <v/>
      </c>
      <c r="GK366" s="460" t="str">
        <f t="shared" ca="1" si="721"/>
        <v/>
      </c>
      <c r="GL366" s="460" t="str">
        <f t="shared" ca="1" si="721"/>
        <v/>
      </c>
      <c r="GM366" s="460" t="str">
        <f t="shared" ca="1" si="721"/>
        <v/>
      </c>
      <c r="GN366" s="460" t="str">
        <f t="shared" ca="1" si="721"/>
        <v/>
      </c>
      <c r="GO366" s="460" t="str">
        <f t="shared" ca="1" si="721"/>
        <v/>
      </c>
      <c r="GP366" s="460" t="str">
        <f t="shared" ca="1" si="721"/>
        <v/>
      </c>
      <c r="GQ366" s="460" t="str">
        <f t="shared" ca="1" si="721"/>
        <v/>
      </c>
      <c r="GR366" s="460" t="str">
        <f t="shared" ca="1" si="721"/>
        <v/>
      </c>
      <c r="GS366" s="460" t="str">
        <f t="shared" ca="1" si="721"/>
        <v/>
      </c>
      <c r="GT366" s="460" t="str">
        <f t="shared" ca="1" si="721"/>
        <v/>
      </c>
      <c r="GU366" s="460" t="str">
        <f t="shared" ca="1" si="721"/>
        <v/>
      </c>
      <c r="GV366" s="460" t="str">
        <f t="shared" ca="1" si="721"/>
        <v/>
      </c>
      <c r="GW366" s="460" t="str">
        <f t="shared" ca="1" si="721"/>
        <v/>
      </c>
      <c r="GX366" s="460" t="str">
        <f t="shared" ca="1" si="721"/>
        <v/>
      </c>
      <c r="GY366" s="460" t="str">
        <f t="shared" ca="1" si="721"/>
        <v/>
      </c>
      <c r="GZ366" s="460" t="str">
        <f t="shared" ca="1" si="721"/>
        <v/>
      </c>
      <c r="HA366" s="460" t="str">
        <f t="shared" ca="1" si="721"/>
        <v/>
      </c>
      <c r="HB366" s="460" t="str">
        <f t="shared" ca="1" si="721"/>
        <v/>
      </c>
      <c r="HC366" s="460" t="str">
        <f t="shared" ca="1" si="721"/>
        <v/>
      </c>
      <c r="HD366" s="460" t="str">
        <f t="shared" ca="1" si="721"/>
        <v/>
      </c>
      <c r="HE366" s="460" t="str">
        <f t="shared" ca="1" si="721"/>
        <v/>
      </c>
      <c r="HF366" s="460" t="str">
        <f t="shared" ca="1" si="721"/>
        <v/>
      </c>
      <c r="HG366" s="460" t="str">
        <f t="shared" ca="1" si="721"/>
        <v/>
      </c>
      <c r="HH366" s="460" t="str">
        <f t="shared" ca="1" si="721"/>
        <v/>
      </c>
      <c r="HI366" s="460" t="str">
        <f t="shared" ca="1" si="721"/>
        <v/>
      </c>
      <c r="HJ366" s="460" t="str">
        <f t="shared" ca="1" si="721"/>
        <v/>
      </c>
      <c r="HK366" s="460" t="str">
        <f t="shared" ca="1" si="721"/>
        <v/>
      </c>
      <c r="HL366" s="460" t="str">
        <f t="shared" ca="1" si="721"/>
        <v/>
      </c>
      <c r="HM366" s="460" t="str">
        <f t="shared" ca="1" si="721"/>
        <v/>
      </c>
      <c r="HN366" s="460" t="str">
        <f t="shared" ca="1" si="721"/>
        <v/>
      </c>
      <c r="HO366" s="460" t="str">
        <f t="shared" ca="1" si="721"/>
        <v/>
      </c>
      <c r="HP366" s="460" t="str">
        <f t="shared" ca="1" si="721"/>
        <v/>
      </c>
      <c r="HQ366" s="460" t="str">
        <f t="shared" ca="1" si="721"/>
        <v/>
      </c>
      <c r="HR366" s="460" t="str">
        <f t="shared" ca="1" si="721"/>
        <v/>
      </c>
      <c r="HS366" s="460" t="str">
        <f t="shared" ca="1" si="721"/>
        <v/>
      </c>
      <c r="HT366" s="460" t="str">
        <f t="shared" ca="1" si="721"/>
        <v/>
      </c>
      <c r="HU366" s="460" t="str">
        <f t="shared" ca="1" si="721"/>
        <v/>
      </c>
      <c r="HV366" s="460" t="str">
        <f t="shared" ca="1" si="721"/>
        <v/>
      </c>
      <c r="HW366" s="460" t="str">
        <f t="shared" ca="1" si="712"/>
        <v/>
      </c>
      <c r="HX366" s="460" t="str">
        <f t="shared" ca="1" si="720"/>
        <v/>
      </c>
      <c r="HY366" s="460" t="str">
        <f t="shared" ca="1" si="720"/>
        <v/>
      </c>
      <c r="HZ366" s="460" t="str">
        <f t="shared" ca="1" si="720"/>
        <v/>
      </c>
      <c r="IA366" s="460" t="str">
        <f t="shared" ca="1" si="720"/>
        <v/>
      </c>
      <c r="IB366" s="460" t="str">
        <f t="shared" ca="1" si="720"/>
        <v/>
      </c>
      <c r="IC366" s="460" t="str">
        <f t="shared" ca="1" si="720"/>
        <v/>
      </c>
      <c r="ID366" s="674" t="str">
        <f t="shared" ca="1" si="720"/>
        <v/>
      </c>
    </row>
    <row r="367" spans="9:238">
      <c r="I367" s="137"/>
      <c r="J367" s="375"/>
      <c r="K367" s="1"/>
      <c r="L367" s="1"/>
      <c r="M367" s="376"/>
      <c r="P367" s="375"/>
      <c r="S367" s="55"/>
      <c r="T367" s="375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74"/>
      <c r="AO367" s="374"/>
      <c r="AP367" s="106"/>
      <c r="AQ367" s="374"/>
      <c r="AR367" s="106"/>
      <c r="AS367" s="106"/>
      <c r="AT367" s="106"/>
      <c r="AU367" s="31"/>
      <c r="AV367" s="31"/>
      <c r="AW367" s="31"/>
      <c r="AX367" s="31"/>
      <c r="AY367" s="154"/>
      <c r="AZ367" s="154"/>
      <c r="BA367" s="106"/>
      <c r="BB367" s="106"/>
      <c r="BC367" s="106"/>
      <c r="BD367" s="106"/>
      <c r="BE367" s="107"/>
      <c r="BF367" s="107"/>
      <c r="BG367" s="107"/>
      <c r="BH367" s="105"/>
      <c r="BI367" s="107"/>
      <c r="BJ367" s="106"/>
      <c r="BK367" s="108"/>
      <c r="BL367" s="159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7"/>
      <c r="CC367" s="107"/>
      <c r="CD367" s="107"/>
      <c r="CE367" s="107"/>
      <c r="CF367" s="107"/>
      <c r="CG367" s="107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10"/>
      <c r="DH367" s="475"/>
      <c r="DI367" s="1"/>
      <c r="DJ367" s="53"/>
      <c r="DK367" s="475"/>
      <c r="DL367" s="54"/>
      <c r="DM367" s="54"/>
      <c r="DN367" s="54"/>
      <c r="DO367" s="54"/>
      <c r="DP367" s="54"/>
      <c r="DQ367" s="54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L367" s="55"/>
      <c r="EM367" s="1"/>
      <c r="EN367" s="106"/>
      <c r="EO367" s="106"/>
      <c r="EP367" s="1"/>
      <c r="EQ367" s="106"/>
      <c r="ER367" s="1"/>
      <c r="ES367" s="1"/>
      <c r="ET367" s="1"/>
      <c r="EU367" s="107"/>
      <c r="FJ367" s="673">
        <v>43</v>
      </c>
      <c r="FK367" s="460">
        <f t="shared" ref="FK367:HV367" ca="1" si="722">IF(AND(ISNUMBER(FK62),ISNUMBER(FK$320),FK$320&lt;&gt;0),FK62*FK$320/FK$15,"")</f>
        <v>0</v>
      </c>
      <c r="FL367" s="460">
        <f t="shared" ca="1" si="722"/>
        <v>2.1966832243631835E-3</v>
      </c>
      <c r="FM367" s="460">
        <f t="shared" ca="1" si="722"/>
        <v>2.5542700106042904E-3</v>
      </c>
      <c r="FN367" s="460">
        <f t="shared" ca="1" si="722"/>
        <v>2.1509253445314352E-3</v>
      </c>
      <c r="FO367" s="460">
        <f t="shared" ca="1" si="722"/>
        <v>2.2385867831824654E-3</v>
      </c>
      <c r="FP367" s="460">
        <f t="shared" ca="1" si="722"/>
        <v>1.2411388751089323E-3</v>
      </c>
      <c r="FQ367" s="460" t="str">
        <f t="shared" ca="1" si="722"/>
        <v/>
      </c>
      <c r="FR367" s="460" t="str">
        <f t="shared" ca="1" si="722"/>
        <v/>
      </c>
      <c r="FS367" s="460" t="str">
        <f t="shared" ca="1" si="722"/>
        <v/>
      </c>
      <c r="FT367" s="460" t="str">
        <f t="shared" ca="1" si="722"/>
        <v/>
      </c>
      <c r="FU367" s="460" t="str">
        <f t="shared" ca="1" si="722"/>
        <v/>
      </c>
      <c r="FV367" s="460" t="str">
        <f t="shared" ca="1" si="722"/>
        <v/>
      </c>
      <c r="FW367" s="460" t="str">
        <f t="shared" ca="1" si="722"/>
        <v/>
      </c>
      <c r="FX367" s="460" t="str">
        <f t="shared" ca="1" si="722"/>
        <v/>
      </c>
      <c r="FY367" s="460" t="str">
        <f t="shared" ca="1" si="722"/>
        <v/>
      </c>
      <c r="FZ367" s="460" t="str">
        <f t="shared" ca="1" si="722"/>
        <v/>
      </c>
      <c r="GA367" s="460" t="str">
        <f t="shared" ca="1" si="722"/>
        <v/>
      </c>
      <c r="GB367" s="460" t="str">
        <f t="shared" ca="1" si="722"/>
        <v/>
      </c>
      <c r="GC367" s="460" t="str">
        <f t="shared" ca="1" si="722"/>
        <v/>
      </c>
      <c r="GD367" s="460" t="str">
        <f t="shared" ca="1" si="722"/>
        <v/>
      </c>
      <c r="GE367" s="460" t="str">
        <f t="shared" ca="1" si="722"/>
        <v/>
      </c>
      <c r="GF367" s="460" t="str">
        <f t="shared" ca="1" si="722"/>
        <v/>
      </c>
      <c r="GG367" s="460" t="str">
        <f t="shared" ca="1" si="722"/>
        <v/>
      </c>
      <c r="GH367" s="460" t="str">
        <f t="shared" ca="1" si="722"/>
        <v/>
      </c>
      <c r="GI367" s="460" t="str">
        <f t="shared" ca="1" si="722"/>
        <v/>
      </c>
      <c r="GJ367" s="460" t="str">
        <f t="shared" ca="1" si="722"/>
        <v/>
      </c>
      <c r="GK367" s="460" t="str">
        <f t="shared" ca="1" si="722"/>
        <v/>
      </c>
      <c r="GL367" s="460" t="str">
        <f t="shared" ca="1" si="722"/>
        <v/>
      </c>
      <c r="GM367" s="460" t="str">
        <f t="shared" ca="1" si="722"/>
        <v/>
      </c>
      <c r="GN367" s="460" t="str">
        <f t="shared" ca="1" si="722"/>
        <v/>
      </c>
      <c r="GO367" s="460" t="str">
        <f t="shared" ca="1" si="722"/>
        <v/>
      </c>
      <c r="GP367" s="460" t="str">
        <f t="shared" ca="1" si="722"/>
        <v/>
      </c>
      <c r="GQ367" s="460" t="str">
        <f t="shared" ca="1" si="722"/>
        <v/>
      </c>
      <c r="GR367" s="460" t="str">
        <f t="shared" ca="1" si="722"/>
        <v/>
      </c>
      <c r="GS367" s="460" t="str">
        <f t="shared" ca="1" si="722"/>
        <v/>
      </c>
      <c r="GT367" s="460" t="str">
        <f t="shared" ca="1" si="722"/>
        <v/>
      </c>
      <c r="GU367" s="460" t="str">
        <f t="shared" ca="1" si="722"/>
        <v/>
      </c>
      <c r="GV367" s="460" t="str">
        <f t="shared" ca="1" si="722"/>
        <v/>
      </c>
      <c r="GW367" s="460" t="str">
        <f t="shared" ca="1" si="722"/>
        <v/>
      </c>
      <c r="GX367" s="460" t="str">
        <f t="shared" ca="1" si="722"/>
        <v/>
      </c>
      <c r="GY367" s="460" t="str">
        <f t="shared" ca="1" si="722"/>
        <v/>
      </c>
      <c r="GZ367" s="460" t="str">
        <f t="shared" ca="1" si="722"/>
        <v/>
      </c>
      <c r="HA367" s="460" t="str">
        <f t="shared" ca="1" si="722"/>
        <v/>
      </c>
      <c r="HB367" s="460" t="str">
        <f t="shared" ca="1" si="722"/>
        <v/>
      </c>
      <c r="HC367" s="460" t="str">
        <f t="shared" ca="1" si="722"/>
        <v/>
      </c>
      <c r="HD367" s="460" t="str">
        <f t="shared" ca="1" si="722"/>
        <v/>
      </c>
      <c r="HE367" s="460" t="str">
        <f t="shared" ca="1" si="722"/>
        <v/>
      </c>
      <c r="HF367" s="460" t="str">
        <f t="shared" ca="1" si="722"/>
        <v/>
      </c>
      <c r="HG367" s="460" t="str">
        <f t="shared" ca="1" si="722"/>
        <v/>
      </c>
      <c r="HH367" s="460" t="str">
        <f t="shared" ca="1" si="722"/>
        <v/>
      </c>
      <c r="HI367" s="460" t="str">
        <f t="shared" ca="1" si="722"/>
        <v/>
      </c>
      <c r="HJ367" s="460" t="str">
        <f t="shared" ca="1" si="722"/>
        <v/>
      </c>
      <c r="HK367" s="460" t="str">
        <f t="shared" ca="1" si="722"/>
        <v/>
      </c>
      <c r="HL367" s="460" t="str">
        <f t="shared" ca="1" si="722"/>
        <v/>
      </c>
      <c r="HM367" s="460" t="str">
        <f t="shared" ca="1" si="722"/>
        <v/>
      </c>
      <c r="HN367" s="460" t="str">
        <f t="shared" ca="1" si="722"/>
        <v/>
      </c>
      <c r="HO367" s="460" t="str">
        <f t="shared" ca="1" si="722"/>
        <v/>
      </c>
      <c r="HP367" s="460" t="str">
        <f t="shared" ca="1" si="722"/>
        <v/>
      </c>
      <c r="HQ367" s="460" t="str">
        <f t="shared" ca="1" si="722"/>
        <v/>
      </c>
      <c r="HR367" s="460" t="str">
        <f t="shared" ca="1" si="722"/>
        <v/>
      </c>
      <c r="HS367" s="460" t="str">
        <f t="shared" ca="1" si="722"/>
        <v/>
      </c>
      <c r="HT367" s="460" t="str">
        <f t="shared" ca="1" si="722"/>
        <v/>
      </c>
      <c r="HU367" s="460" t="str">
        <f t="shared" ca="1" si="722"/>
        <v/>
      </c>
      <c r="HV367" s="460" t="str">
        <f t="shared" ca="1" si="722"/>
        <v/>
      </c>
      <c r="HW367" s="460" t="str">
        <f t="shared" ca="1" si="712"/>
        <v/>
      </c>
      <c r="HX367" s="460" t="str">
        <f t="shared" ca="1" si="720"/>
        <v/>
      </c>
      <c r="HY367" s="460" t="str">
        <f t="shared" ca="1" si="720"/>
        <v/>
      </c>
      <c r="HZ367" s="460" t="str">
        <f t="shared" ca="1" si="720"/>
        <v/>
      </c>
      <c r="IA367" s="460" t="str">
        <f t="shared" ca="1" si="720"/>
        <v/>
      </c>
      <c r="IB367" s="460" t="str">
        <f t="shared" ca="1" si="720"/>
        <v/>
      </c>
      <c r="IC367" s="460" t="str">
        <f t="shared" ca="1" si="720"/>
        <v/>
      </c>
      <c r="ID367" s="674" t="str">
        <f t="shared" ca="1" si="720"/>
        <v/>
      </c>
    </row>
    <row r="368" spans="9:238">
      <c r="I368" s="137"/>
      <c r="J368" s="375"/>
      <c r="K368" s="1"/>
      <c r="L368" s="1"/>
      <c r="M368" s="376"/>
      <c r="P368" s="375"/>
      <c r="S368" s="55"/>
      <c r="T368" s="375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74"/>
      <c r="AO368" s="374"/>
      <c r="AP368" s="106"/>
      <c r="AQ368" s="374"/>
      <c r="AR368" s="106"/>
      <c r="AS368" s="106"/>
      <c r="AT368" s="106"/>
      <c r="AU368" s="31"/>
      <c r="AV368" s="31"/>
      <c r="AW368" s="31"/>
      <c r="AX368" s="31"/>
      <c r="AY368" s="154"/>
      <c r="AZ368" s="154"/>
      <c r="BA368" s="106"/>
      <c r="BB368" s="106"/>
      <c r="BC368" s="106"/>
      <c r="BD368" s="106"/>
      <c r="BE368" s="107"/>
      <c r="BF368" s="107"/>
      <c r="BG368" s="107"/>
      <c r="BH368" s="105"/>
      <c r="BI368" s="107"/>
      <c r="BJ368" s="106"/>
      <c r="BK368" s="108"/>
      <c r="BL368" s="159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7"/>
      <c r="CC368" s="107"/>
      <c r="CD368" s="107"/>
      <c r="CE368" s="107"/>
      <c r="CF368" s="107"/>
      <c r="CG368" s="107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10"/>
      <c r="DH368" s="475"/>
      <c r="DI368" s="1"/>
      <c r="DJ368" s="53"/>
      <c r="DK368" s="475"/>
      <c r="DL368" s="54"/>
      <c r="DM368" s="54"/>
      <c r="DN368" s="54"/>
      <c r="DO368" s="54"/>
      <c r="DP368" s="54"/>
      <c r="DQ368" s="54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L368" s="55"/>
      <c r="EM368" s="1"/>
      <c r="EN368" s="106"/>
      <c r="EO368" s="106"/>
      <c r="EP368" s="1"/>
      <c r="EQ368" s="106"/>
      <c r="ER368" s="1"/>
      <c r="ES368" s="1"/>
      <c r="ET368" s="1"/>
      <c r="EU368" s="107"/>
      <c r="FJ368" s="673">
        <v>44</v>
      </c>
      <c r="FK368" s="460">
        <f t="shared" ref="FK368:HV368" ca="1" si="723">IF(AND(ISNUMBER(FK63),ISNUMBER(FK$320),FK$320&lt;&gt;0),FK63*FK$320/FK$15,"")</f>
        <v>0</v>
      </c>
      <c r="FL368" s="460">
        <f t="shared" ca="1" si="723"/>
        <v>2.1958817393431481E-3</v>
      </c>
      <c r="FM368" s="460">
        <f t="shared" ca="1" si="723"/>
        <v>2.5531800051629776E-3</v>
      </c>
      <c r="FN368" s="460">
        <f t="shared" ca="1" si="723"/>
        <v>2.1498517974793043E-3</v>
      </c>
      <c r="FO368" s="460">
        <f t="shared" ca="1" si="723"/>
        <v>2.2372799999076892E-3</v>
      </c>
      <c r="FP368" s="460">
        <f t="shared" ca="1" si="723"/>
        <v>1.2402914840131465E-3</v>
      </c>
      <c r="FQ368" s="460" t="str">
        <f t="shared" ca="1" si="723"/>
        <v/>
      </c>
      <c r="FR368" s="460" t="str">
        <f t="shared" ca="1" si="723"/>
        <v/>
      </c>
      <c r="FS368" s="460" t="str">
        <f t="shared" ca="1" si="723"/>
        <v/>
      </c>
      <c r="FT368" s="460" t="str">
        <f t="shared" ca="1" si="723"/>
        <v/>
      </c>
      <c r="FU368" s="460" t="str">
        <f t="shared" ca="1" si="723"/>
        <v/>
      </c>
      <c r="FV368" s="460" t="str">
        <f t="shared" ca="1" si="723"/>
        <v/>
      </c>
      <c r="FW368" s="460" t="str">
        <f t="shared" ca="1" si="723"/>
        <v/>
      </c>
      <c r="FX368" s="460" t="str">
        <f t="shared" ca="1" si="723"/>
        <v/>
      </c>
      <c r="FY368" s="460" t="str">
        <f t="shared" ca="1" si="723"/>
        <v/>
      </c>
      <c r="FZ368" s="460" t="str">
        <f t="shared" ca="1" si="723"/>
        <v/>
      </c>
      <c r="GA368" s="460" t="str">
        <f t="shared" ca="1" si="723"/>
        <v/>
      </c>
      <c r="GB368" s="460" t="str">
        <f t="shared" ca="1" si="723"/>
        <v/>
      </c>
      <c r="GC368" s="460" t="str">
        <f t="shared" ca="1" si="723"/>
        <v/>
      </c>
      <c r="GD368" s="460" t="str">
        <f t="shared" ca="1" si="723"/>
        <v/>
      </c>
      <c r="GE368" s="460" t="str">
        <f t="shared" ca="1" si="723"/>
        <v/>
      </c>
      <c r="GF368" s="460" t="str">
        <f t="shared" ca="1" si="723"/>
        <v/>
      </c>
      <c r="GG368" s="460" t="str">
        <f t="shared" ca="1" si="723"/>
        <v/>
      </c>
      <c r="GH368" s="460" t="str">
        <f t="shared" ca="1" si="723"/>
        <v/>
      </c>
      <c r="GI368" s="460" t="str">
        <f t="shared" ca="1" si="723"/>
        <v/>
      </c>
      <c r="GJ368" s="460" t="str">
        <f t="shared" ca="1" si="723"/>
        <v/>
      </c>
      <c r="GK368" s="460" t="str">
        <f t="shared" ca="1" si="723"/>
        <v/>
      </c>
      <c r="GL368" s="460" t="str">
        <f t="shared" ca="1" si="723"/>
        <v/>
      </c>
      <c r="GM368" s="460" t="str">
        <f t="shared" ca="1" si="723"/>
        <v/>
      </c>
      <c r="GN368" s="460" t="str">
        <f t="shared" ca="1" si="723"/>
        <v/>
      </c>
      <c r="GO368" s="460" t="str">
        <f t="shared" ca="1" si="723"/>
        <v/>
      </c>
      <c r="GP368" s="460" t="str">
        <f t="shared" ca="1" si="723"/>
        <v/>
      </c>
      <c r="GQ368" s="460" t="str">
        <f t="shared" ca="1" si="723"/>
        <v/>
      </c>
      <c r="GR368" s="460" t="str">
        <f t="shared" ca="1" si="723"/>
        <v/>
      </c>
      <c r="GS368" s="460" t="str">
        <f t="shared" ca="1" si="723"/>
        <v/>
      </c>
      <c r="GT368" s="460" t="str">
        <f t="shared" ca="1" si="723"/>
        <v/>
      </c>
      <c r="GU368" s="460" t="str">
        <f t="shared" ca="1" si="723"/>
        <v/>
      </c>
      <c r="GV368" s="460" t="str">
        <f t="shared" ca="1" si="723"/>
        <v/>
      </c>
      <c r="GW368" s="460" t="str">
        <f t="shared" ca="1" si="723"/>
        <v/>
      </c>
      <c r="GX368" s="460" t="str">
        <f t="shared" ca="1" si="723"/>
        <v/>
      </c>
      <c r="GY368" s="460" t="str">
        <f t="shared" ca="1" si="723"/>
        <v/>
      </c>
      <c r="GZ368" s="460" t="str">
        <f t="shared" ca="1" si="723"/>
        <v/>
      </c>
      <c r="HA368" s="460" t="str">
        <f t="shared" ca="1" si="723"/>
        <v/>
      </c>
      <c r="HB368" s="460" t="str">
        <f t="shared" ca="1" si="723"/>
        <v/>
      </c>
      <c r="HC368" s="460" t="str">
        <f t="shared" ca="1" si="723"/>
        <v/>
      </c>
      <c r="HD368" s="460" t="str">
        <f t="shared" ca="1" si="723"/>
        <v/>
      </c>
      <c r="HE368" s="460" t="str">
        <f t="shared" ca="1" si="723"/>
        <v/>
      </c>
      <c r="HF368" s="460" t="str">
        <f t="shared" ca="1" si="723"/>
        <v/>
      </c>
      <c r="HG368" s="460" t="str">
        <f t="shared" ca="1" si="723"/>
        <v/>
      </c>
      <c r="HH368" s="460" t="str">
        <f t="shared" ca="1" si="723"/>
        <v/>
      </c>
      <c r="HI368" s="460" t="str">
        <f t="shared" ca="1" si="723"/>
        <v/>
      </c>
      <c r="HJ368" s="460" t="str">
        <f t="shared" ca="1" si="723"/>
        <v/>
      </c>
      <c r="HK368" s="460" t="str">
        <f t="shared" ca="1" si="723"/>
        <v/>
      </c>
      <c r="HL368" s="460" t="str">
        <f t="shared" ca="1" si="723"/>
        <v/>
      </c>
      <c r="HM368" s="460" t="str">
        <f t="shared" ca="1" si="723"/>
        <v/>
      </c>
      <c r="HN368" s="460" t="str">
        <f t="shared" ca="1" si="723"/>
        <v/>
      </c>
      <c r="HO368" s="460" t="str">
        <f t="shared" ca="1" si="723"/>
        <v/>
      </c>
      <c r="HP368" s="460" t="str">
        <f t="shared" ca="1" si="723"/>
        <v/>
      </c>
      <c r="HQ368" s="460" t="str">
        <f t="shared" ca="1" si="723"/>
        <v/>
      </c>
      <c r="HR368" s="460" t="str">
        <f t="shared" ca="1" si="723"/>
        <v/>
      </c>
      <c r="HS368" s="460" t="str">
        <f t="shared" ca="1" si="723"/>
        <v/>
      </c>
      <c r="HT368" s="460" t="str">
        <f t="shared" ca="1" si="723"/>
        <v/>
      </c>
      <c r="HU368" s="460" t="str">
        <f t="shared" ca="1" si="723"/>
        <v/>
      </c>
      <c r="HV368" s="460" t="str">
        <f t="shared" ca="1" si="723"/>
        <v/>
      </c>
      <c r="HW368" s="460" t="str">
        <f t="shared" ca="1" si="712"/>
        <v/>
      </c>
      <c r="HX368" s="460" t="str">
        <f t="shared" ca="1" si="720"/>
        <v/>
      </c>
      <c r="HY368" s="460" t="str">
        <f t="shared" ca="1" si="720"/>
        <v/>
      </c>
      <c r="HZ368" s="460" t="str">
        <f t="shared" ca="1" si="720"/>
        <v/>
      </c>
      <c r="IA368" s="460" t="str">
        <f t="shared" ca="1" si="720"/>
        <v/>
      </c>
      <c r="IB368" s="460" t="str">
        <f t="shared" ca="1" si="720"/>
        <v/>
      </c>
      <c r="IC368" s="460" t="str">
        <f t="shared" ca="1" si="720"/>
        <v/>
      </c>
      <c r="ID368" s="674" t="str">
        <f t="shared" ca="1" si="720"/>
        <v/>
      </c>
    </row>
    <row r="369" spans="9:238">
      <c r="I369" s="137"/>
      <c r="J369" s="375"/>
      <c r="K369" s="1"/>
      <c r="L369" s="1"/>
      <c r="M369" s="376"/>
      <c r="P369" s="375"/>
      <c r="S369" s="55"/>
      <c r="T369" s="375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74"/>
      <c r="AO369" s="374"/>
      <c r="AP369" s="106"/>
      <c r="AQ369" s="374"/>
      <c r="AR369" s="106"/>
      <c r="AS369" s="106"/>
      <c r="AT369" s="106"/>
      <c r="AU369" s="31"/>
      <c r="AV369" s="31"/>
      <c r="AW369" s="31"/>
      <c r="AX369" s="31"/>
      <c r="AY369" s="154"/>
      <c r="AZ369" s="154"/>
      <c r="BA369" s="106"/>
      <c r="BB369" s="106"/>
      <c r="BC369" s="106"/>
      <c r="BD369" s="106"/>
      <c r="BE369" s="107"/>
      <c r="BF369" s="107"/>
      <c r="BG369" s="107"/>
      <c r="BH369" s="105"/>
      <c r="BI369" s="107"/>
      <c r="BJ369" s="106"/>
      <c r="BK369" s="108"/>
      <c r="BL369" s="159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7"/>
      <c r="CC369" s="107"/>
      <c r="CD369" s="107"/>
      <c r="CE369" s="107"/>
      <c r="CF369" s="107"/>
      <c r="CG369" s="107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10"/>
      <c r="DH369" s="475"/>
      <c r="DI369" s="1"/>
      <c r="DJ369" s="53"/>
      <c r="DK369" s="475"/>
      <c r="DL369" s="54"/>
      <c r="DM369" s="54"/>
      <c r="DN369" s="54"/>
      <c r="DO369" s="54"/>
      <c r="DP369" s="54"/>
      <c r="DQ369" s="54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L369" s="55"/>
      <c r="EM369" s="1"/>
      <c r="EN369" s="106"/>
      <c r="EO369" s="106"/>
      <c r="EP369" s="1"/>
      <c r="EQ369" s="106"/>
      <c r="ER369" s="1"/>
      <c r="ES369" s="1"/>
      <c r="ET369" s="1"/>
      <c r="EU369" s="107"/>
      <c r="FJ369" s="673">
        <v>45</v>
      </c>
      <c r="FK369" s="460">
        <f t="shared" ref="FK369:HV369" ca="1" si="724">IF(AND(ISNUMBER(FK64),ISNUMBER(FK$320),FK$320&lt;&gt;0),FK64*FK$320/FK$15,"")</f>
        <v>0</v>
      </c>
      <c r="FL369" s="460">
        <f t="shared" ca="1" si="724"/>
        <v>2.1951967196795095E-3</v>
      </c>
      <c r="FM369" s="460">
        <f t="shared" ca="1" si="724"/>
        <v>2.5522484482116176E-3</v>
      </c>
      <c r="FN369" s="460">
        <f t="shared" ca="1" si="724"/>
        <v>2.1489343728736286E-3</v>
      </c>
      <c r="FO369" s="460">
        <f t="shared" ca="1" si="724"/>
        <v>2.2361633524355679E-3</v>
      </c>
      <c r="FP369" s="460">
        <f t="shared" ca="1" si="724"/>
        <v>1.2395674592939211E-3</v>
      </c>
      <c r="FQ369" s="460" t="str">
        <f t="shared" ca="1" si="724"/>
        <v/>
      </c>
      <c r="FR369" s="460" t="str">
        <f t="shared" ca="1" si="724"/>
        <v/>
      </c>
      <c r="FS369" s="460" t="str">
        <f t="shared" ca="1" si="724"/>
        <v/>
      </c>
      <c r="FT369" s="460" t="str">
        <f t="shared" ca="1" si="724"/>
        <v/>
      </c>
      <c r="FU369" s="460" t="str">
        <f t="shared" ca="1" si="724"/>
        <v/>
      </c>
      <c r="FV369" s="460" t="str">
        <f t="shared" ca="1" si="724"/>
        <v/>
      </c>
      <c r="FW369" s="460" t="str">
        <f t="shared" ca="1" si="724"/>
        <v/>
      </c>
      <c r="FX369" s="460" t="str">
        <f t="shared" ca="1" si="724"/>
        <v/>
      </c>
      <c r="FY369" s="460" t="str">
        <f t="shared" ca="1" si="724"/>
        <v/>
      </c>
      <c r="FZ369" s="460" t="str">
        <f t="shared" ca="1" si="724"/>
        <v/>
      </c>
      <c r="GA369" s="460" t="str">
        <f t="shared" ca="1" si="724"/>
        <v/>
      </c>
      <c r="GB369" s="460" t="str">
        <f t="shared" ca="1" si="724"/>
        <v/>
      </c>
      <c r="GC369" s="460" t="str">
        <f t="shared" ca="1" si="724"/>
        <v/>
      </c>
      <c r="GD369" s="460" t="str">
        <f t="shared" ca="1" si="724"/>
        <v/>
      </c>
      <c r="GE369" s="460" t="str">
        <f t="shared" ca="1" si="724"/>
        <v/>
      </c>
      <c r="GF369" s="460" t="str">
        <f t="shared" ca="1" si="724"/>
        <v/>
      </c>
      <c r="GG369" s="460" t="str">
        <f t="shared" ca="1" si="724"/>
        <v/>
      </c>
      <c r="GH369" s="460" t="str">
        <f t="shared" ca="1" si="724"/>
        <v/>
      </c>
      <c r="GI369" s="460" t="str">
        <f t="shared" ca="1" si="724"/>
        <v/>
      </c>
      <c r="GJ369" s="460" t="str">
        <f t="shared" ca="1" si="724"/>
        <v/>
      </c>
      <c r="GK369" s="460" t="str">
        <f t="shared" ca="1" si="724"/>
        <v/>
      </c>
      <c r="GL369" s="460" t="str">
        <f t="shared" ca="1" si="724"/>
        <v/>
      </c>
      <c r="GM369" s="460" t="str">
        <f t="shared" ca="1" si="724"/>
        <v/>
      </c>
      <c r="GN369" s="460" t="str">
        <f t="shared" ca="1" si="724"/>
        <v/>
      </c>
      <c r="GO369" s="460" t="str">
        <f t="shared" ca="1" si="724"/>
        <v/>
      </c>
      <c r="GP369" s="460" t="str">
        <f t="shared" ca="1" si="724"/>
        <v/>
      </c>
      <c r="GQ369" s="460" t="str">
        <f t="shared" ca="1" si="724"/>
        <v/>
      </c>
      <c r="GR369" s="460" t="str">
        <f t="shared" ca="1" si="724"/>
        <v/>
      </c>
      <c r="GS369" s="460" t="str">
        <f t="shared" ca="1" si="724"/>
        <v/>
      </c>
      <c r="GT369" s="460" t="str">
        <f t="shared" ca="1" si="724"/>
        <v/>
      </c>
      <c r="GU369" s="460" t="str">
        <f t="shared" ca="1" si="724"/>
        <v/>
      </c>
      <c r="GV369" s="460" t="str">
        <f t="shared" ca="1" si="724"/>
        <v/>
      </c>
      <c r="GW369" s="460" t="str">
        <f t="shared" ca="1" si="724"/>
        <v/>
      </c>
      <c r="GX369" s="460" t="str">
        <f t="shared" ca="1" si="724"/>
        <v/>
      </c>
      <c r="GY369" s="460" t="str">
        <f t="shared" ca="1" si="724"/>
        <v/>
      </c>
      <c r="GZ369" s="460" t="str">
        <f t="shared" ca="1" si="724"/>
        <v/>
      </c>
      <c r="HA369" s="460" t="str">
        <f t="shared" ca="1" si="724"/>
        <v/>
      </c>
      <c r="HB369" s="460" t="str">
        <f t="shared" ca="1" si="724"/>
        <v/>
      </c>
      <c r="HC369" s="460" t="str">
        <f t="shared" ca="1" si="724"/>
        <v/>
      </c>
      <c r="HD369" s="460" t="str">
        <f t="shared" ca="1" si="724"/>
        <v/>
      </c>
      <c r="HE369" s="460" t="str">
        <f t="shared" ca="1" si="724"/>
        <v/>
      </c>
      <c r="HF369" s="460" t="str">
        <f t="shared" ca="1" si="724"/>
        <v/>
      </c>
      <c r="HG369" s="460" t="str">
        <f t="shared" ca="1" si="724"/>
        <v/>
      </c>
      <c r="HH369" s="460" t="str">
        <f t="shared" ca="1" si="724"/>
        <v/>
      </c>
      <c r="HI369" s="460" t="str">
        <f t="shared" ca="1" si="724"/>
        <v/>
      </c>
      <c r="HJ369" s="460" t="str">
        <f t="shared" ca="1" si="724"/>
        <v/>
      </c>
      <c r="HK369" s="460" t="str">
        <f t="shared" ca="1" si="724"/>
        <v/>
      </c>
      <c r="HL369" s="460" t="str">
        <f t="shared" ca="1" si="724"/>
        <v/>
      </c>
      <c r="HM369" s="460" t="str">
        <f t="shared" ca="1" si="724"/>
        <v/>
      </c>
      <c r="HN369" s="460" t="str">
        <f t="shared" ca="1" si="724"/>
        <v/>
      </c>
      <c r="HO369" s="460" t="str">
        <f t="shared" ca="1" si="724"/>
        <v/>
      </c>
      <c r="HP369" s="460" t="str">
        <f t="shared" ca="1" si="724"/>
        <v/>
      </c>
      <c r="HQ369" s="460" t="str">
        <f t="shared" ca="1" si="724"/>
        <v/>
      </c>
      <c r="HR369" s="460" t="str">
        <f t="shared" ca="1" si="724"/>
        <v/>
      </c>
      <c r="HS369" s="460" t="str">
        <f t="shared" ca="1" si="724"/>
        <v/>
      </c>
      <c r="HT369" s="460" t="str">
        <f t="shared" ca="1" si="724"/>
        <v/>
      </c>
      <c r="HU369" s="460" t="str">
        <f t="shared" ca="1" si="724"/>
        <v/>
      </c>
      <c r="HV369" s="460" t="str">
        <f t="shared" ca="1" si="724"/>
        <v/>
      </c>
      <c r="HW369" s="460" t="str">
        <f t="shared" ca="1" si="712"/>
        <v/>
      </c>
      <c r="HX369" s="460" t="str">
        <f t="shared" ca="1" si="720"/>
        <v/>
      </c>
      <c r="HY369" s="460" t="str">
        <f t="shared" ca="1" si="720"/>
        <v/>
      </c>
      <c r="HZ369" s="460" t="str">
        <f t="shared" ca="1" si="720"/>
        <v/>
      </c>
      <c r="IA369" s="460" t="str">
        <f t="shared" ca="1" si="720"/>
        <v/>
      </c>
      <c r="IB369" s="460" t="str">
        <f t="shared" ca="1" si="720"/>
        <v/>
      </c>
      <c r="IC369" s="460" t="str">
        <f t="shared" ca="1" si="720"/>
        <v/>
      </c>
      <c r="ID369" s="674" t="str">
        <f t="shared" ca="1" si="720"/>
        <v/>
      </c>
    </row>
    <row r="370" spans="9:238">
      <c r="I370" s="137"/>
      <c r="J370" s="375"/>
      <c r="K370" s="1"/>
      <c r="L370" s="1"/>
      <c r="M370" s="376"/>
      <c r="P370" s="375"/>
      <c r="S370" s="55"/>
      <c r="T370" s="375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74"/>
      <c r="AO370" s="374"/>
      <c r="AP370" s="106"/>
      <c r="AQ370" s="374"/>
      <c r="AR370" s="106"/>
      <c r="AS370" s="106"/>
      <c r="AT370" s="106"/>
      <c r="AU370" s="31"/>
      <c r="AV370" s="31"/>
      <c r="AW370" s="31"/>
      <c r="AX370" s="31"/>
      <c r="AY370" s="154"/>
      <c r="AZ370" s="154"/>
      <c r="BA370" s="106"/>
      <c r="BB370" s="106"/>
      <c r="BC370" s="106"/>
      <c r="BD370" s="106"/>
      <c r="BE370" s="107"/>
      <c r="BF370" s="107"/>
      <c r="BG370" s="107"/>
      <c r="BH370" s="105"/>
      <c r="BI370" s="107"/>
      <c r="BJ370" s="106"/>
      <c r="BK370" s="108"/>
      <c r="BL370" s="159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7"/>
      <c r="CC370" s="107"/>
      <c r="CD370" s="107"/>
      <c r="CE370" s="107"/>
      <c r="CF370" s="107"/>
      <c r="CG370" s="107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10"/>
      <c r="DH370" s="475"/>
      <c r="DI370" s="1"/>
      <c r="DJ370" s="53"/>
      <c r="DK370" s="475"/>
      <c r="DL370" s="54"/>
      <c r="DM370" s="54"/>
      <c r="DN370" s="54"/>
      <c r="DO370" s="54"/>
      <c r="DP370" s="54"/>
      <c r="DQ370" s="54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L370" s="55"/>
      <c r="EM370" s="1"/>
      <c r="EN370" s="106"/>
      <c r="EO370" s="106"/>
      <c r="EP370" s="1"/>
      <c r="EQ370" s="106"/>
      <c r="ER370" s="1"/>
      <c r="ES370" s="1"/>
      <c r="ET370" s="1"/>
      <c r="EU370" s="107"/>
      <c r="FJ370" s="673">
        <v>46</v>
      </c>
      <c r="FK370" s="460">
        <f t="shared" ref="FK370:HV370" ca="1" si="725">IF(AND(ISNUMBER(FK65),ISNUMBER(FK$320),FK$320&lt;&gt;0),FK65*FK$320/FK$15,"")</f>
        <v>0</v>
      </c>
      <c r="FL370" s="460">
        <f t="shared" ca="1" si="725"/>
        <v>2.1946112105774886E-3</v>
      </c>
      <c r="FM370" s="460">
        <f t="shared" ca="1" si="725"/>
        <v>2.5514522576234855E-3</v>
      </c>
      <c r="FN370" s="460">
        <f t="shared" ca="1" si="725"/>
        <v>2.1481503095686447E-3</v>
      </c>
      <c r="FO370" s="460">
        <f t="shared" ca="1" si="725"/>
        <v>2.2352090953634105E-3</v>
      </c>
      <c r="FP370" s="460">
        <f t="shared" ca="1" si="725"/>
        <v>1.2389487795265244E-3</v>
      </c>
      <c r="FQ370" s="460" t="str">
        <f t="shared" ca="1" si="725"/>
        <v/>
      </c>
      <c r="FR370" s="460" t="str">
        <f t="shared" ca="1" si="725"/>
        <v/>
      </c>
      <c r="FS370" s="460" t="str">
        <f t="shared" ca="1" si="725"/>
        <v/>
      </c>
      <c r="FT370" s="460" t="str">
        <f t="shared" ca="1" si="725"/>
        <v/>
      </c>
      <c r="FU370" s="460" t="str">
        <f t="shared" ca="1" si="725"/>
        <v/>
      </c>
      <c r="FV370" s="460" t="str">
        <f t="shared" ca="1" si="725"/>
        <v/>
      </c>
      <c r="FW370" s="460" t="str">
        <f t="shared" ca="1" si="725"/>
        <v/>
      </c>
      <c r="FX370" s="460" t="str">
        <f t="shared" ca="1" si="725"/>
        <v/>
      </c>
      <c r="FY370" s="460" t="str">
        <f t="shared" ca="1" si="725"/>
        <v/>
      </c>
      <c r="FZ370" s="460" t="str">
        <f t="shared" ca="1" si="725"/>
        <v/>
      </c>
      <c r="GA370" s="460" t="str">
        <f t="shared" ca="1" si="725"/>
        <v/>
      </c>
      <c r="GB370" s="460" t="str">
        <f t="shared" ca="1" si="725"/>
        <v/>
      </c>
      <c r="GC370" s="460" t="str">
        <f t="shared" ca="1" si="725"/>
        <v/>
      </c>
      <c r="GD370" s="460" t="str">
        <f t="shared" ca="1" si="725"/>
        <v/>
      </c>
      <c r="GE370" s="460" t="str">
        <f t="shared" ca="1" si="725"/>
        <v/>
      </c>
      <c r="GF370" s="460" t="str">
        <f t="shared" ca="1" si="725"/>
        <v/>
      </c>
      <c r="GG370" s="460" t="str">
        <f t="shared" ca="1" si="725"/>
        <v/>
      </c>
      <c r="GH370" s="460" t="str">
        <f t="shared" ca="1" si="725"/>
        <v/>
      </c>
      <c r="GI370" s="460" t="str">
        <f t="shared" ca="1" si="725"/>
        <v/>
      </c>
      <c r="GJ370" s="460" t="str">
        <f t="shared" ca="1" si="725"/>
        <v/>
      </c>
      <c r="GK370" s="460" t="str">
        <f t="shared" ca="1" si="725"/>
        <v/>
      </c>
      <c r="GL370" s="460" t="str">
        <f t="shared" ca="1" si="725"/>
        <v/>
      </c>
      <c r="GM370" s="460" t="str">
        <f t="shared" ca="1" si="725"/>
        <v/>
      </c>
      <c r="GN370" s="460" t="str">
        <f t="shared" ca="1" si="725"/>
        <v/>
      </c>
      <c r="GO370" s="460" t="str">
        <f t="shared" ca="1" si="725"/>
        <v/>
      </c>
      <c r="GP370" s="460" t="str">
        <f t="shared" ca="1" si="725"/>
        <v/>
      </c>
      <c r="GQ370" s="460" t="str">
        <f t="shared" ca="1" si="725"/>
        <v/>
      </c>
      <c r="GR370" s="460" t="str">
        <f t="shared" ca="1" si="725"/>
        <v/>
      </c>
      <c r="GS370" s="460" t="str">
        <f t="shared" ca="1" si="725"/>
        <v/>
      </c>
      <c r="GT370" s="460" t="str">
        <f t="shared" ca="1" si="725"/>
        <v/>
      </c>
      <c r="GU370" s="460" t="str">
        <f t="shared" ca="1" si="725"/>
        <v/>
      </c>
      <c r="GV370" s="460" t="str">
        <f t="shared" ca="1" si="725"/>
        <v/>
      </c>
      <c r="GW370" s="460" t="str">
        <f t="shared" ca="1" si="725"/>
        <v/>
      </c>
      <c r="GX370" s="460" t="str">
        <f t="shared" ca="1" si="725"/>
        <v/>
      </c>
      <c r="GY370" s="460" t="str">
        <f t="shared" ca="1" si="725"/>
        <v/>
      </c>
      <c r="GZ370" s="460" t="str">
        <f t="shared" ca="1" si="725"/>
        <v/>
      </c>
      <c r="HA370" s="460" t="str">
        <f t="shared" ca="1" si="725"/>
        <v/>
      </c>
      <c r="HB370" s="460" t="str">
        <f t="shared" ca="1" si="725"/>
        <v/>
      </c>
      <c r="HC370" s="460" t="str">
        <f t="shared" ca="1" si="725"/>
        <v/>
      </c>
      <c r="HD370" s="460" t="str">
        <f t="shared" ca="1" si="725"/>
        <v/>
      </c>
      <c r="HE370" s="460" t="str">
        <f t="shared" ca="1" si="725"/>
        <v/>
      </c>
      <c r="HF370" s="460" t="str">
        <f t="shared" ca="1" si="725"/>
        <v/>
      </c>
      <c r="HG370" s="460" t="str">
        <f t="shared" ca="1" si="725"/>
        <v/>
      </c>
      <c r="HH370" s="460" t="str">
        <f t="shared" ca="1" si="725"/>
        <v/>
      </c>
      <c r="HI370" s="460" t="str">
        <f t="shared" ca="1" si="725"/>
        <v/>
      </c>
      <c r="HJ370" s="460" t="str">
        <f t="shared" ca="1" si="725"/>
        <v/>
      </c>
      <c r="HK370" s="460" t="str">
        <f t="shared" ca="1" si="725"/>
        <v/>
      </c>
      <c r="HL370" s="460" t="str">
        <f t="shared" ca="1" si="725"/>
        <v/>
      </c>
      <c r="HM370" s="460" t="str">
        <f t="shared" ca="1" si="725"/>
        <v/>
      </c>
      <c r="HN370" s="460" t="str">
        <f t="shared" ca="1" si="725"/>
        <v/>
      </c>
      <c r="HO370" s="460" t="str">
        <f t="shared" ca="1" si="725"/>
        <v/>
      </c>
      <c r="HP370" s="460" t="str">
        <f t="shared" ca="1" si="725"/>
        <v/>
      </c>
      <c r="HQ370" s="460" t="str">
        <f t="shared" ca="1" si="725"/>
        <v/>
      </c>
      <c r="HR370" s="460" t="str">
        <f t="shared" ca="1" si="725"/>
        <v/>
      </c>
      <c r="HS370" s="460" t="str">
        <f t="shared" ca="1" si="725"/>
        <v/>
      </c>
      <c r="HT370" s="460" t="str">
        <f t="shared" ca="1" si="725"/>
        <v/>
      </c>
      <c r="HU370" s="460" t="str">
        <f t="shared" ca="1" si="725"/>
        <v/>
      </c>
      <c r="HV370" s="460" t="str">
        <f t="shared" ca="1" si="725"/>
        <v/>
      </c>
      <c r="HW370" s="460" t="str">
        <f t="shared" ca="1" si="712"/>
        <v/>
      </c>
      <c r="HX370" s="460" t="str">
        <f t="shared" ca="1" si="720"/>
        <v/>
      </c>
      <c r="HY370" s="460" t="str">
        <f t="shared" ca="1" si="720"/>
        <v/>
      </c>
      <c r="HZ370" s="460" t="str">
        <f t="shared" ca="1" si="720"/>
        <v/>
      </c>
      <c r="IA370" s="460" t="str">
        <f t="shared" ca="1" si="720"/>
        <v/>
      </c>
      <c r="IB370" s="460" t="str">
        <f t="shared" ca="1" si="720"/>
        <v/>
      </c>
      <c r="IC370" s="460" t="str">
        <f t="shared" ca="1" si="720"/>
        <v/>
      </c>
      <c r="ID370" s="674" t="str">
        <f t="shared" ca="1" si="720"/>
        <v/>
      </c>
    </row>
    <row r="371" spans="9:238">
      <c r="I371" s="137"/>
      <c r="J371" s="375"/>
      <c r="K371" s="1"/>
      <c r="L371" s="1"/>
      <c r="M371" s="376"/>
      <c r="P371" s="375"/>
      <c r="S371" s="55"/>
      <c r="T371" s="375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74"/>
      <c r="AO371" s="374"/>
      <c r="AP371" s="106"/>
      <c r="AQ371" s="374"/>
      <c r="AR371" s="106"/>
      <c r="AS371" s="106"/>
      <c r="AT371" s="106"/>
      <c r="AU371" s="31"/>
      <c r="AV371" s="31"/>
      <c r="AW371" s="31"/>
      <c r="AX371" s="31"/>
      <c r="AY371" s="154"/>
      <c r="AZ371" s="154"/>
      <c r="BA371" s="106"/>
      <c r="BB371" s="106"/>
      <c r="BC371" s="106"/>
      <c r="BD371" s="106"/>
      <c r="BE371" s="107"/>
      <c r="BF371" s="107"/>
      <c r="BG371" s="107"/>
      <c r="BH371" s="105"/>
      <c r="BI371" s="107"/>
      <c r="BJ371" s="106"/>
      <c r="BK371" s="108"/>
      <c r="BL371" s="159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7"/>
      <c r="CC371" s="107"/>
      <c r="CD371" s="107"/>
      <c r="CE371" s="107"/>
      <c r="CF371" s="107"/>
      <c r="CG371" s="107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10"/>
      <c r="DH371" s="475"/>
      <c r="DI371" s="1"/>
      <c r="DJ371" s="53"/>
      <c r="DK371" s="475"/>
      <c r="DL371" s="54"/>
      <c r="DM371" s="54"/>
      <c r="DN371" s="54"/>
      <c r="DO371" s="54"/>
      <c r="DP371" s="54"/>
      <c r="DQ371" s="54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L371" s="55"/>
      <c r="EM371" s="1"/>
      <c r="EN371" s="106"/>
      <c r="EO371" s="106"/>
      <c r="EP371" s="1"/>
      <c r="EQ371" s="106"/>
      <c r="ER371" s="1"/>
      <c r="ES371" s="1"/>
      <c r="ET371" s="1"/>
      <c r="EU371" s="107"/>
      <c r="FJ371" s="673">
        <v>47</v>
      </c>
      <c r="FK371" s="460">
        <f t="shared" ref="FK371:HV371" ca="1" si="726">IF(AND(ISNUMBER(FK66),ISNUMBER(FK$320),FK$320&lt;&gt;0),FK66*FK$320/FK$15,"")</f>
        <v>0</v>
      </c>
      <c r="FL371" s="460">
        <f t="shared" ca="1" si="726"/>
        <v>2.1941107338194566E-3</v>
      </c>
      <c r="FM371" s="460">
        <f t="shared" ca="1" si="726"/>
        <v>2.5507717270328474E-3</v>
      </c>
      <c r="FN371" s="460">
        <f t="shared" ca="1" si="726"/>
        <v>2.1474801800365575E-3</v>
      </c>
      <c r="FO371" s="460">
        <f t="shared" ca="1" si="726"/>
        <v>2.2343935537383315E-3</v>
      </c>
      <c r="FP371" s="460">
        <f t="shared" ca="1" si="726"/>
        <v>1.2384200723398978E-3</v>
      </c>
      <c r="FQ371" s="460" t="str">
        <f t="shared" ca="1" si="726"/>
        <v/>
      </c>
      <c r="FR371" s="460" t="str">
        <f t="shared" ca="1" si="726"/>
        <v/>
      </c>
      <c r="FS371" s="460" t="str">
        <f t="shared" ca="1" si="726"/>
        <v/>
      </c>
      <c r="FT371" s="460" t="str">
        <f t="shared" ca="1" si="726"/>
        <v/>
      </c>
      <c r="FU371" s="460" t="str">
        <f t="shared" ca="1" si="726"/>
        <v/>
      </c>
      <c r="FV371" s="460" t="str">
        <f t="shared" ca="1" si="726"/>
        <v/>
      </c>
      <c r="FW371" s="460" t="str">
        <f t="shared" ca="1" si="726"/>
        <v/>
      </c>
      <c r="FX371" s="460" t="str">
        <f t="shared" ca="1" si="726"/>
        <v/>
      </c>
      <c r="FY371" s="460" t="str">
        <f t="shared" ca="1" si="726"/>
        <v/>
      </c>
      <c r="FZ371" s="460" t="str">
        <f t="shared" ca="1" si="726"/>
        <v/>
      </c>
      <c r="GA371" s="460" t="str">
        <f t="shared" ca="1" si="726"/>
        <v/>
      </c>
      <c r="GB371" s="460" t="str">
        <f t="shared" ca="1" si="726"/>
        <v/>
      </c>
      <c r="GC371" s="460" t="str">
        <f t="shared" ca="1" si="726"/>
        <v/>
      </c>
      <c r="GD371" s="460" t="str">
        <f t="shared" ca="1" si="726"/>
        <v/>
      </c>
      <c r="GE371" s="460" t="str">
        <f t="shared" ca="1" si="726"/>
        <v/>
      </c>
      <c r="GF371" s="460" t="str">
        <f t="shared" ca="1" si="726"/>
        <v/>
      </c>
      <c r="GG371" s="460" t="str">
        <f t="shared" ca="1" si="726"/>
        <v/>
      </c>
      <c r="GH371" s="460" t="str">
        <f t="shared" ca="1" si="726"/>
        <v/>
      </c>
      <c r="GI371" s="460" t="str">
        <f t="shared" ca="1" si="726"/>
        <v/>
      </c>
      <c r="GJ371" s="460" t="str">
        <f t="shared" ca="1" si="726"/>
        <v/>
      </c>
      <c r="GK371" s="460" t="str">
        <f t="shared" ca="1" si="726"/>
        <v/>
      </c>
      <c r="GL371" s="460" t="str">
        <f t="shared" ca="1" si="726"/>
        <v/>
      </c>
      <c r="GM371" s="460" t="str">
        <f t="shared" ca="1" si="726"/>
        <v/>
      </c>
      <c r="GN371" s="460" t="str">
        <f t="shared" ca="1" si="726"/>
        <v/>
      </c>
      <c r="GO371" s="460" t="str">
        <f t="shared" ca="1" si="726"/>
        <v/>
      </c>
      <c r="GP371" s="460" t="str">
        <f t="shared" ca="1" si="726"/>
        <v/>
      </c>
      <c r="GQ371" s="460" t="str">
        <f t="shared" ca="1" si="726"/>
        <v/>
      </c>
      <c r="GR371" s="460" t="str">
        <f t="shared" ca="1" si="726"/>
        <v/>
      </c>
      <c r="GS371" s="460" t="str">
        <f t="shared" ca="1" si="726"/>
        <v/>
      </c>
      <c r="GT371" s="460" t="str">
        <f t="shared" ca="1" si="726"/>
        <v/>
      </c>
      <c r="GU371" s="460" t="str">
        <f t="shared" ca="1" si="726"/>
        <v/>
      </c>
      <c r="GV371" s="460" t="str">
        <f t="shared" ca="1" si="726"/>
        <v/>
      </c>
      <c r="GW371" s="460" t="str">
        <f t="shared" ca="1" si="726"/>
        <v/>
      </c>
      <c r="GX371" s="460" t="str">
        <f t="shared" ca="1" si="726"/>
        <v/>
      </c>
      <c r="GY371" s="460" t="str">
        <f t="shared" ca="1" si="726"/>
        <v/>
      </c>
      <c r="GZ371" s="460" t="str">
        <f t="shared" ca="1" si="726"/>
        <v/>
      </c>
      <c r="HA371" s="460" t="str">
        <f t="shared" ca="1" si="726"/>
        <v/>
      </c>
      <c r="HB371" s="460" t="str">
        <f t="shared" ca="1" si="726"/>
        <v/>
      </c>
      <c r="HC371" s="460" t="str">
        <f t="shared" ca="1" si="726"/>
        <v/>
      </c>
      <c r="HD371" s="460" t="str">
        <f t="shared" ca="1" si="726"/>
        <v/>
      </c>
      <c r="HE371" s="460" t="str">
        <f t="shared" ca="1" si="726"/>
        <v/>
      </c>
      <c r="HF371" s="460" t="str">
        <f t="shared" ca="1" si="726"/>
        <v/>
      </c>
      <c r="HG371" s="460" t="str">
        <f t="shared" ca="1" si="726"/>
        <v/>
      </c>
      <c r="HH371" s="460" t="str">
        <f t="shared" ca="1" si="726"/>
        <v/>
      </c>
      <c r="HI371" s="460" t="str">
        <f t="shared" ca="1" si="726"/>
        <v/>
      </c>
      <c r="HJ371" s="460" t="str">
        <f t="shared" ca="1" si="726"/>
        <v/>
      </c>
      <c r="HK371" s="460" t="str">
        <f t="shared" ca="1" si="726"/>
        <v/>
      </c>
      <c r="HL371" s="460" t="str">
        <f t="shared" ca="1" si="726"/>
        <v/>
      </c>
      <c r="HM371" s="460" t="str">
        <f t="shared" ca="1" si="726"/>
        <v/>
      </c>
      <c r="HN371" s="460" t="str">
        <f t="shared" ca="1" si="726"/>
        <v/>
      </c>
      <c r="HO371" s="460" t="str">
        <f t="shared" ca="1" si="726"/>
        <v/>
      </c>
      <c r="HP371" s="460" t="str">
        <f t="shared" ca="1" si="726"/>
        <v/>
      </c>
      <c r="HQ371" s="460" t="str">
        <f t="shared" ca="1" si="726"/>
        <v/>
      </c>
      <c r="HR371" s="460" t="str">
        <f t="shared" ca="1" si="726"/>
        <v/>
      </c>
      <c r="HS371" s="460" t="str">
        <f t="shared" ca="1" si="726"/>
        <v/>
      </c>
      <c r="HT371" s="460" t="str">
        <f t="shared" ca="1" si="726"/>
        <v/>
      </c>
      <c r="HU371" s="460" t="str">
        <f t="shared" ca="1" si="726"/>
        <v/>
      </c>
      <c r="HV371" s="460" t="str">
        <f t="shared" ca="1" si="726"/>
        <v/>
      </c>
      <c r="HW371" s="460" t="str">
        <f t="shared" ca="1" si="712"/>
        <v/>
      </c>
      <c r="HX371" s="460" t="str">
        <f t="shared" ca="1" si="720"/>
        <v/>
      </c>
      <c r="HY371" s="460" t="str">
        <f t="shared" ca="1" si="720"/>
        <v/>
      </c>
      <c r="HZ371" s="460" t="str">
        <f t="shared" ca="1" si="720"/>
        <v/>
      </c>
      <c r="IA371" s="460" t="str">
        <f t="shared" ca="1" si="720"/>
        <v/>
      </c>
      <c r="IB371" s="460" t="str">
        <f t="shared" ca="1" si="720"/>
        <v/>
      </c>
      <c r="IC371" s="460" t="str">
        <f t="shared" ca="1" si="720"/>
        <v/>
      </c>
      <c r="ID371" s="674" t="str">
        <f t="shared" ca="1" si="720"/>
        <v/>
      </c>
    </row>
    <row r="372" spans="9:238">
      <c r="I372" s="137"/>
      <c r="J372" s="375"/>
      <c r="K372" s="1"/>
      <c r="L372" s="1"/>
      <c r="M372" s="376"/>
      <c r="P372" s="375"/>
      <c r="S372" s="55"/>
      <c r="T372" s="375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74"/>
      <c r="AO372" s="374"/>
      <c r="AP372" s="106"/>
      <c r="AQ372" s="374"/>
      <c r="AR372" s="106"/>
      <c r="AS372" s="106"/>
      <c r="AT372" s="106"/>
      <c r="AU372" s="31"/>
      <c r="AV372" s="31"/>
      <c r="AW372" s="31"/>
      <c r="AX372" s="31"/>
      <c r="AY372" s="154"/>
      <c r="AZ372" s="154"/>
      <c r="BA372" s="106"/>
      <c r="BB372" s="106"/>
      <c r="BC372" s="106"/>
      <c r="BD372" s="106"/>
      <c r="BE372" s="107"/>
      <c r="BF372" s="107"/>
      <c r="BG372" s="107"/>
      <c r="BH372" s="105"/>
      <c r="BI372" s="107"/>
      <c r="BJ372" s="106"/>
      <c r="BK372" s="108"/>
      <c r="BL372" s="159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7"/>
      <c r="CC372" s="107"/>
      <c r="CD372" s="107"/>
      <c r="CE372" s="107"/>
      <c r="CF372" s="107"/>
      <c r="CG372" s="107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10"/>
      <c r="DH372" s="475"/>
      <c r="DI372" s="1"/>
      <c r="DJ372" s="53"/>
      <c r="DK372" s="475"/>
      <c r="DL372" s="54"/>
      <c r="DM372" s="54"/>
      <c r="DN372" s="54"/>
      <c r="DO372" s="54"/>
      <c r="DP372" s="54"/>
      <c r="DQ372" s="54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L372" s="55"/>
      <c r="EM372" s="1"/>
      <c r="EN372" s="106"/>
      <c r="EO372" s="106"/>
      <c r="EP372" s="1"/>
      <c r="EQ372" s="106"/>
      <c r="ER372" s="1"/>
      <c r="ES372" s="1"/>
      <c r="ET372" s="1"/>
      <c r="EU372" s="107"/>
      <c r="FJ372" s="673">
        <v>48</v>
      </c>
      <c r="FK372" s="460">
        <f t="shared" ref="FK372:HV372" ca="1" si="727">IF(AND(ISNUMBER(FK67),ISNUMBER(FK$320),FK$320&lt;&gt;0),FK67*FK$320/FK$15,"")</f>
        <v>0</v>
      </c>
      <c r="FL372" s="460">
        <f t="shared" ca="1" si="727"/>
        <v>2.1936829237748294E-3</v>
      </c>
      <c r="FM372" s="460">
        <f t="shared" ca="1" si="727"/>
        <v>2.550190028571511E-3</v>
      </c>
      <c r="FN372" s="460">
        <f t="shared" ca="1" si="727"/>
        <v>2.1469073980254745E-3</v>
      </c>
      <c r="FO372" s="460">
        <f t="shared" ca="1" si="727"/>
        <v>2.2336965200624305E-3</v>
      </c>
      <c r="FP372" s="460">
        <f t="shared" ca="1" si="727"/>
        <v>1.237968220600201E-3</v>
      </c>
      <c r="FQ372" s="460" t="str">
        <f t="shared" ca="1" si="727"/>
        <v/>
      </c>
      <c r="FR372" s="460" t="str">
        <f t="shared" ca="1" si="727"/>
        <v/>
      </c>
      <c r="FS372" s="460" t="str">
        <f t="shared" ca="1" si="727"/>
        <v/>
      </c>
      <c r="FT372" s="460" t="str">
        <f t="shared" ca="1" si="727"/>
        <v/>
      </c>
      <c r="FU372" s="460" t="str">
        <f t="shared" ca="1" si="727"/>
        <v/>
      </c>
      <c r="FV372" s="460" t="str">
        <f t="shared" ca="1" si="727"/>
        <v/>
      </c>
      <c r="FW372" s="460" t="str">
        <f t="shared" ca="1" si="727"/>
        <v/>
      </c>
      <c r="FX372" s="460" t="str">
        <f t="shared" ca="1" si="727"/>
        <v/>
      </c>
      <c r="FY372" s="460" t="str">
        <f t="shared" ca="1" si="727"/>
        <v/>
      </c>
      <c r="FZ372" s="460" t="str">
        <f t="shared" ca="1" si="727"/>
        <v/>
      </c>
      <c r="GA372" s="460" t="str">
        <f t="shared" ca="1" si="727"/>
        <v/>
      </c>
      <c r="GB372" s="460" t="str">
        <f t="shared" ca="1" si="727"/>
        <v/>
      </c>
      <c r="GC372" s="460" t="str">
        <f t="shared" ca="1" si="727"/>
        <v/>
      </c>
      <c r="GD372" s="460" t="str">
        <f t="shared" ca="1" si="727"/>
        <v/>
      </c>
      <c r="GE372" s="460" t="str">
        <f t="shared" ca="1" si="727"/>
        <v/>
      </c>
      <c r="GF372" s="460" t="str">
        <f t="shared" ca="1" si="727"/>
        <v/>
      </c>
      <c r="GG372" s="460" t="str">
        <f t="shared" ca="1" si="727"/>
        <v/>
      </c>
      <c r="GH372" s="460" t="str">
        <f t="shared" ca="1" si="727"/>
        <v/>
      </c>
      <c r="GI372" s="460" t="str">
        <f t="shared" ca="1" si="727"/>
        <v/>
      </c>
      <c r="GJ372" s="460" t="str">
        <f t="shared" ca="1" si="727"/>
        <v/>
      </c>
      <c r="GK372" s="460" t="str">
        <f t="shared" ca="1" si="727"/>
        <v/>
      </c>
      <c r="GL372" s="460" t="str">
        <f t="shared" ca="1" si="727"/>
        <v/>
      </c>
      <c r="GM372" s="460" t="str">
        <f t="shared" ca="1" si="727"/>
        <v/>
      </c>
      <c r="GN372" s="460" t="str">
        <f t="shared" ca="1" si="727"/>
        <v/>
      </c>
      <c r="GO372" s="460" t="str">
        <f t="shared" ca="1" si="727"/>
        <v/>
      </c>
      <c r="GP372" s="460" t="str">
        <f t="shared" ca="1" si="727"/>
        <v/>
      </c>
      <c r="GQ372" s="460" t="str">
        <f t="shared" ca="1" si="727"/>
        <v/>
      </c>
      <c r="GR372" s="460" t="str">
        <f t="shared" ca="1" si="727"/>
        <v/>
      </c>
      <c r="GS372" s="460" t="str">
        <f t="shared" ca="1" si="727"/>
        <v/>
      </c>
      <c r="GT372" s="460" t="str">
        <f t="shared" ca="1" si="727"/>
        <v/>
      </c>
      <c r="GU372" s="460" t="str">
        <f t="shared" ca="1" si="727"/>
        <v/>
      </c>
      <c r="GV372" s="460" t="str">
        <f t="shared" ca="1" si="727"/>
        <v/>
      </c>
      <c r="GW372" s="460" t="str">
        <f t="shared" ca="1" si="727"/>
        <v/>
      </c>
      <c r="GX372" s="460" t="str">
        <f t="shared" ca="1" si="727"/>
        <v/>
      </c>
      <c r="GY372" s="460" t="str">
        <f t="shared" ca="1" si="727"/>
        <v/>
      </c>
      <c r="GZ372" s="460" t="str">
        <f t="shared" ca="1" si="727"/>
        <v/>
      </c>
      <c r="HA372" s="460" t="str">
        <f t="shared" ca="1" si="727"/>
        <v/>
      </c>
      <c r="HB372" s="460" t="str">
        <f t="shared" ca="1" si="727"/>
        <v/>
      </c>
      <c r="HC372" s="460" t="str">
        <f t="shared" ca="1" si="727"/>
        <v/>
      </c>
      <c r="HD372" s="460" t="str">
        <f t="shared" ca="1" si="727"/>
        <v/>
      </c>
      <c r="HE372" s="460" t="str">
        <f t="shared" ca="1" si="727"/>
        <v/>
      </c>
      <c r="HF372" s="460" t="str">
        <f t="shared" ca="1" si="727"/>
        <v/>
      </c>
      <c r="HG372" s="460" t="str">
        <f t="shared" ca="1" si="727"/>
        <v/>
      </c>
      <c r="HH372" s="460" t="str">
        <f t="shared" ca="1" si="727"/>
        <v/>
      </c>
      <c r="HI372" s="460" t="str">
        <f t="shared" ca="1" si="727"/>
        <v/>
      </c>
      <c r="HJ372" s="460" t="str">
        <f t="shared" ca="1" si="727"/>
        <v/>
      </c>
      <c r="HK372" s="460" t="str">
        <f t="shared" ca="1" si="727"/>
        <v/>
      </c>
      <c r="HL372" s="460" t="str">
        <f t="shared" ca="1" si="727"/>
        <v/>
      </c>
      <c r="HM372" s="460" t="str">
        <f t="shared" ca="1" si="727"/>
        <v/>
      </c>
      <c r="HN372" s="460" t="str">
        <f t="shared" ca="1" si="727"/>
        <v/>
      </c>
      <c r="HO372" s="460" t="str">
        <f t="shared" ca="1" si="727"/>
        <v/>
      </c>
      <c r="HP372" s="460" t="str">
        <f t="shared" ca="1" si="727"/>
        <v/>
      </c>
      <c r="HQ372" s="460" t="str">
        <f t="shared" ca="1" si="727"/>
        <v/>
      </c>
      <c r="HR372" s="460" t="str">
        <f t="shared" ca="1" si="727"/>
        <v/>
      </c>
      <c r="HS372" s="460" t="str">
        <f t="shared" ca="1" si="727"/>
        <v/>
      </c>
      <c r="HT372" s="460" t="str">
        <f t="shared" ca="1" si="727"/>
        <v/>
      </c>
      <c r="HU372" s="460" t="str">
        <f t="shared" ca="1" si="727"/>
        <v/>
      </c>
      <c r="HV372" s="460" t="str">
        <f t="shared" ca="1" si="727"/>
        <v/>
      </c>
      <c r="HW372" s="460" t="str">
        <f t="shared" ca="1" si="712"/>
        <v/>
      </c>
      <c r="HX372" s="460" t="str">
        <f t="shared" ca="1" si="720"/>
        <v/>
      </c>
      <c r="HY372" s="460" t="str">
        <f t="shared" ca="1" si="720"/>
        <v/>
      </c>
      <c r="HZ372" s="460" t="str">
        <f t="shared" ca="1" si="720"/>
        <v/>
      </c>
      <c r="IA372" s="460" t="str">
        <f t="shared" ca="1" si="720"/>
        <v/>
      </c>
      <c r="IB372" s="460" t="str">
        <f t="shared" ca="1" si="720"/>
        <v/>
      </c>
      <c r="IC372" s="460" t="str">
        <f t="shared" ca="1" si="720"/>
        <v/>
      </c>
      <c r="ID372" s="674" t="str">
        <f t="shared" ca="1" si="720"/>
        <v/>
      </c>
    </row>
    <row r="373" spans="9:238">
      <c r="I373" s="137"/>
      <c r="J373" s="375"/>
      <c r="K373" s="1"/>
      <c r="L373" s="1"/>
      <c r="M373" s="376"/>
      <c r="P373" s="375"/>
      <c r="S373" s="55"/>
      <c r="T373" s="375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74"/>
      <c r="AO373" s="374"/>
      <c r="AP373" s="106"/>
      <c r="AQ373" s="374"/>
      <c r="AR373" s="106"/>
      <c r="AS373" s="106"/>
      <c r="AT373" s="106"/>
      <c r="AU373" s="31"/>
      <c r="AV373" s="31"/>
      <c r="AW373" s="31"/>
      <c r="AX373" s="31"/>
      <c r="AY373" s="154"/>
      <c r="AZ373" s="154"/>
      <c r="BA373" s="106"/>
      <c r="BB373" s="106"/>
      <c r="BC373" s="106"/>
      <c r="BD373" s="106"/>
      <c r="BE373" s="107"/>
      <c r="BF373" s="107"/>
      <c r="BG373" s="107"/>
      <c r="BH373" s="105"/>
      <c r="BI373" s="107"/>
      <c r="BJ373" s="106"/>
      <c r="BK373" s="108"/>
      <c r="BL373" s="159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7"/>
      <c r="CC373" s="107"/>
      <c r="CD373" s="107"/>
      <c r="CE373" s="107"/>
      <c r="CF373" s="107"/>
      <c r="CG373" s="107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10"/>
      <c r="DH373" s="475"/>
      <c r="DI373" s="1"/>
      <c r="DJ373" s="53"/>
      <c r="DK373" s="475"/>
      <c r="DL373" s="54"/>
      <c r="DM373" s="54"/>
      <c r="DN373" s="54"/>
      <c r="DO373" s="54"/>
      <c r="DP373" s="54"/>
      <c r="DQ373" s="54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L373" s="55"/>
      <c r="EM373" s="1"/>
      <c r="EN373" s="106"/>
      <c r="EO373" s="106"/>
      <c r="EP373" s="1"/>
      <c r="EQ373" s="106"/>
      <c r="ER373" s="1"/>
      <c r="ES373" s="1"/>
      <c r="ET373" s="1"/>
      <c r="EU373" s="107"/>
      <c r="FJ373" s="673">
        <v>49</v>
      </c>
      <c r="FK373" s="460">
        <f t="shared" ref="FK373:HV373" ca="1" si="728">IF(AND(ISNUMBER(FK68),ISNUMBER(FK$320),FK$320&lt;&gt;0),FK68*FK$320/FK$15,"")</f>
        <v>0</v>
      </c>
      <c r="FL373" s="460">
        <f t="shared" ca="1" si="728"/>
        <v>2.1933172175063764E-3</v>
      </c>
      <c r="FM373" s="460">
        <f t="shared" ca="1" si="728"/>
        <v>2.5496927898072527E-3</v>
      </c>
      <c r="FN373" s="460">
        <f t="shared" ca="1" si="728"/>
        <v>2.1464178000278064E-3</v>
      </c>
      <c r="FO373" s="460">
        <f t="shared" ca="1" si="728"/>
        <v>2.2331007421843366E-3</v>
      </c>
      <c r="FP373" s="460">
        <f t="shared" ca="1" si="728"/>
        <v>1.2375820283208642E-3</v>
      </c>
      <c r="FQ373" s="460" t="str">
        <f t="shared" ca="1" si="728"/>
        <v/>
      </c>
      <c r="FR373" s="460" t="str">
        <f t="shared" ca="1" si="728"/>
        <v/>
      </c>
      <c r="FS373" s="460" t="str">
        <f t="shared" ca="1" si="728"/>
        <v/>
      </c>
      <c r="FT373" s="460" t="str">
        <f t="shared" ca="1" si="728"/>
        <v/>
      </c>
      <c r="FU373" s="460" t="str">
        <f t="shared" ca="1" si="728"/>
        <v/>
      </c>
      <c r="FV373" s="460" t="str">
        <f t="shared" ca="1" si="728"/>
        <v/>
      </c>
      <c r="FW373" s="460" t="str">
        <f t="shared" ca="1" si="728"/>
        <v/>
      </c>
      <c r="FX373" s="460" t="str">
        <f t="shared" ca="1" si="728"/>
        <v/>
      </c>
      <c r="FY373" s="460" t="str">
        <f t="shared" ca="1" si="728"/>
        <v/>
      </c>
      <c r="FZ373" s="460" t="str">
        <f t="shared" ca="1" si="728"/>
        <v/>
      </c>
      <c r="GA373" s="460" t="str">
        <f t="shared" ca="1" si="728"/>
        <v/>
      </c>
      <c r="GB373" s="460" t="str">
        <f t="shared" ca="1" si="728"/>
        <v/>
      </c>
      <c r="GC373" s="460" t="str">
        <f t="shared" ca="1" si="728"/>
        <v/>
      </c>
      <c r="GD373" s="460" t="str">
        <f t="shared" ca="1" si="728"/>
        <v/>
      </c>
      <c r="GE373" s="460" t="str">
        <f t="shared" ca="1" si="728"/>
        <v/>
      </c>
      <c r="GF373" s="460" t="str">
        <f t="shared" ca="1" si="728"/>
        <v/>
      </c>
      <c r="GG373" s="460" t="str">
        <f t="shared" ca="1" si="728"/>
        <v/>
      </c>
      <c r="GH373" s="460" t="str">
        <f t="shared" ca="1" si="728"/>
        <v/>
      </c>
      <c r="GI373" s="460" t="str">
        <f t="shared" ca="1" si="728"/>
        <v/>
      </c>
      <c r="GJ373" s="460" t="str">
        <f t="shared" ca="1" si="728"/>
        <v/>
      </c>
      <c r="GK373" s="460" t="str">
        <f t="shared" ca="1" si="728"/>
        <v/>
      </c>
      <c r="GL373" s="460" t="str">
        <f t="shared" ca="1" si="728"/>
        <v/>
      </c>
      <c r="GM373" s="460" t="str">
        <f t="shared" ca="1" si="728"/>
        <v/>
      </c>
      <c r="GN373" s="460" t="str">
        <f t="shared" ca="1" si="728"/>
        <v/>
      </c>
      <c r="GO373" s="460" t="str">
        <f t="shared" ca="1" si="728"/>
        <v/>
      </c>
      <c r="GP373" s="460" t="str">
        <f t="shared" ca="1" si="728"/>
        <v/>
      </c>
      <c r="GQ373" s="460" t="str">
        <f t="shared" ca="1" si="728"/>
        <v/>
      </c>
      <c r="GR373" s="460" t="str">
        <f t="shared" ca="1" si="728"/>
        <v/>
      </c>
      <c r="GS373" s="460" t="str">
        <f t="shared" ca="1" si="728"/>
        <v/>
      </c>
      <c r="GT373" s="460" t="str">
        <f t="shared" ca="1" si="728"/>
        <v/>
      </c>
      <c r="GU373" s="460" t="str">
        <f t="shared" ca="1" si="728"/>
        <v/>
      </c>
      <c r="GV373" s="460" t="str">
        <f t="shared" ca="1" si="728"/>
        <v/>
      </c>
      <c r="GW373" s="460" t="str">
        <f t="shared" ca="1" si="728"/>
        <v/>
      </c>
      <c r="GX373" s="460" t="str">
        <f t="shared" ca="1" si="728"/>
        <v/>
      </c>
      <c r="GY373" s="460" t="str">
        <f t="shared" ca="1" si="728"/>
        <v/>
      </c>
      <c r="GZ373" s="460" t="str">
        <f t="shared" ca="1" si="728"/>
        <v/>
      </c>
      <c r="HA373" s="460" t="str">
        <f t="shared" ca="1" si="728"/>
        <v/>
      </c>
      <c r="HB373" s="460" t="str">
        <f t="shared" ca="1" si="728"/>
        <v/>
      </c>
      <c r="HC373" s="460" t="str">
        <f t="shared" ca="1" si="728"/>
        <v/>
      </c>
      <c r="HD373" s="460" t="str">
        <f t="shared" ca="1" si="728"/>
        <v/>
      </c>
      <c r="HE373" s="460" t="str">
        <f t="shared" ca="1" si="728"/>
        <v/>
      </c>
      <c r="HF373" s="460" t="str">
        <f t="shared" ca="1" si="728"/>
        <v/>
      </c>
      <c r="HG373" s="460" t="str">
        <f t="shared" ca="1" si="728"/>
        <v/>
      </c>
      <c r="HH373" s="460" t="str">
        <f t="shared" ca="1" si="728"/>
        <v/>
      </c>
      <c r="HI373" s="460" t="str">
        <f t="shared" ca="1" si="728"/>
        <v/>
      </c>
      <c r="HJ373" s="460" t="str">
        <f t="shared" ca="1" si="728"/>
        <v/>
      </c>
      <c r="HK373" s="460" t="str">
        <f t="shared" ca="1" si="728"/>
        <v/>
      </c>
      <c r="HL373" s="460" t="str">
        <f t="shared" ca="1" si="728"/>
        <v/>
      </c>
      <c r="HM373" s="460" t="str">
        <f t="shared" ca="1" si="728"/>
        <v/>
      </c>
      <c r="HN373" s="460" t="str">
        <f t="shared" ca="1" si="728"/>
        <v/>
      </c>
      <c r="HO373" s="460" t="str">
        <f t="shared" ca="1" si="728"/>
        <v/>
      </c>
      <c r="HP373" s="460" t="str">
        <f t="shared" ca="1" si="728"/>
        <v/>
      </c>
      <c r="HQ373" s="460" t="str">
        <f t="shared" ca="1" si="728"/>
        <v/>
      </c>
      <c r="HR373" s="460" t="str">
        <f t="shared" ca="1" si="728"/>
        <v/>
      </c>
      <c r="HS373" s="460" t="str">
        <f t="shared" ca="1" si="728"/>
        <v/>
      </c>
      <c r="HT373" s="460" t="str">
        <f t="shared" ca="1" si="728"/>
        <v/>
      </c>
      <c r="HU373" s="460" t="str">
        <f t="shared" ca="1" si="728"/>
        <v/>
      </c>
      <c r="HV373" s="460" t="str">
        <f t="shared" ca="1" si="728"/>
        <v/>
      </c>
      <c r="HW373" s="460" t="str">
        <f t="shared" ca="1" si="712"/>
        <v/>
      </c>
      <c r="HX373" s="460" t="str">
        <f t="shared" ca="1" si="720"/>
        <v/>
      </c>
      <c r="HY373" s="460" t="str">
        <f t="shared" ca="1" si="720"/>
        <v/>
      </c>
      <c r="HZ373" s="460" t="str">
        <f t="shared" ca="1" si="720"/>
        <v/>
      </c>
      <c r="IA373" s="460" t="str">
        <f t="shared" ca="1" si="720"/>
        <v/>
      </c>
      <c r="IB373" s="460" t="str">
        <f t="shared" ca="1" si="720"/>
        <v/>
      </c>
      <c r="IC373" s="460" t="str">
        <f t="shared" ca="1" si="720"/>
        <v/>
      </c>
      <c r="ID373" s="674" t="str">
        <f t="shared" ca="1" si="720"/>
        <v/>
      </c>
    </row>
    <row r="374" spans="9:238">
      <c r="I374" s="137"/>
      <c r="J374" s="375"/>
      <c r="K374" s="1"/>
      <c r="L374" s="1"/>
      <c r="M374" s="376"/>
      <c r="P374" s="375"/>
      <c r="S374" s="55"/>
      <c r="T374" s="375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74"/>
      <c r="AO374" s="374"/>
      <c r="AP374" s="106"/>
      <c r="AQ374" s="374"/>
      <c r="AR374" s="106"/>
      <c r="AS374" s="106"/>
      <c r="AT374" s="106"/>
      <c r="AU374" s="31"/>
      <c r="AV374" s="31"/>
      <c r="AW374" s="31"/>
      <c r="AX374" s="31"/>
      <c r="AY374" s="154"/>
      <c r="AZ374" s="154"/>
      <c r="BA374" s="106"/>
      <c r="BB374" s="106"/>
      <c r="BC374" s="106"/>
      <c r="BD374" s="106"/>
      <c r="BE374" s="107"/>
      <c r="BF374" s="107"/>
      <c r="BG374" s="107"/>
      <c r="BH374" s="105"/>
      <c r="BI374" s="107"/>
      <c r="BJ374" s="106"/>
      <c r="BK374" s="108"/>
      <c r="BL374" s="159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7"/>
      <c r="CC374" s="107"/>
      <c r="CD374" s="107"/>
      <c r="CE374" s="107"/>
      <c r="CF374" s="107"/>
      <c r="CG374" s="107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10"/>
      <c r="DH374" s="475"/>
      <c r="DI374" s="1"/>
      <c r="DJ374" s="53"/>
      <c r="DK374" s="475"/>
      <c r="DL374" s="54"/>
      <c r="DM374" s="54"/>
      <c r="DN374" s="54"/>
      <c r="DO374" s="54"/>
      <c r="DP374" s="54"/>
      <c r="DQ374" s="54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L374" s="55"/>
      <c r="EM374" s="1"/>
      <c r="EN374" s="106"/>
      <c r="EO374" s="106"/>
      <c r="EP374" s="1"/>
      <c r="EQ374" s="106"/>
      <c r="ER374" s="1"/>
      <c r="ES374" s="1"/>
      <c r="ET374" s="1"/>
      <c r="EU374" s="107"/>
      <c r="FJ374" s="673">
        <v>50</v>
      </c>
      <c r="FK374" s="460">
        <f t="shared" ref="FK374:HV374" ca="1" si="729">IF(AND(ISNUMBER(FK69),ISNUMBER(FK$320),FK$320&lt;&gt;0),FK69*FK$320/FK$15,"")</f>
        <v>0</v>
      </c>
      <c r="FL374" s="460">
        <f t="shared" ca="1" si="729"/>
        <v>2.1930045907731697E-3</v>
      </c>
      <c r="FM374" s="460">
        <f t="shared" ca="1" si="729"/>
        <v>2.5492677335578941E-3</v>
      </c>
      <c r="FN374" s="460">
        <f t="shared" ca="1" si="729"/>
        <v>2.1459992892021384E-3</v>
      </c>
      <c r="FO374" s="460">
        <f t="shared" ca="1" si="729"/>
        <v>2.2325914879645367E-3</v>
      </c>
      <c r="FP374" s="460">
        <f t="shared" ca="1" si="729"/>
        <v>1.2372519369283329E-3</v>
      </c>
      <c r="FQ374" s="460" t="str">
        <f t="shared" ca="1" si="729"/>
        <v/>
      </c>
      <c r="FR374" s="460" t="str">
        <f t="shared" ca="1" si="729"/>
        <v/>
      </c>
      <c r="FS374" s="460" t="str">
        <f t="shared" ca="1" si="729"/>
        <v/>
      </c>
      <c r="FT374" s="460" t="str">
        <f t="shared" ca="1" si="729"/>
        <v/>
      </c>
      <c r="FU374" s="460" t="str">
        <f t="shared" ca="1" si="729"/>
        <v/>
      </c>
      <c r="FV374" s="460" t="str">
        <f t="shared" ca="1" si="729"/>
        <v/>
      </c>
      <c r="FW374" s="460" t="str">
        <f t="shared" ca="1" si="729"/>
        <v/>
      </c>
      <c r="FX374" s="460" t="str">
        <f t="shared" ca="1" si="729"/>
        <v/>
      </c>
      <c r="FY374" s="460" t="str">
        <f t="shared" ca="1" si="729"/>
        <v/>
      </c>
      <c r="FZ374" s="460" t="str">
        <f t="shared" ca="1" si="729"/>
        <v/>
      </c>
      <c r="GA374" s="460" t="str">
        <f t="shared" ca="1" si="729"/>
        <v/>
      </c>
      <c r="GB374" s="460" t="str">
        <f t="shared" ca="1" si="729"/>
        <v/>
      </c>
      <c r="GC374" s="460" t="str">
        <f t="shared" ca="1" si="729"/>
        <v/>
      </c>
      <c r="GD374" s="460" t="str">
        <f t="shared" ca="1" si="729"/>
        <v/>
      </c>
      <c r="GE374" s="460" t="str">
        <f t="shared" ca="1" si="729"/>
        <v/>
      </c>
      <c r="GF374" s="460" t="str">
        <f t="shared" ca="1" si="729"/>
        <v/>
      </c>
      <c r="GG374" s="460" t="str">
        <f t="shared" ca="1" si="729"/>
        <v/>
      </c>
      <c r="GH374" s="460" t="str">
        <f t="shared" ca="1" si="729"/>
        <v/>
      </c>
      <c r="GI374" s="460" t="str">
        <f t="shared" ca="1" si="729"/>
        <v/>
      </c>
      <c r="GJ374" s="460" t="str">
        <f t="shared" ca="1" si="729"/>
        <v/>
      </c>
      <c r="GK374" s="460" t="str">
        <f t="shared" ca="1" si="729"/>
        <v/>
      </c>
      <c r="GL374" s="460" t="str">
        <f t="shared" ca="1" si="729"/>
        <v/>
      </c>
      <c r="GM374" s="460" t="str">
        <f t="shared" ca="1" si="729"/>
        <v/>
      </c>
      <c r="GN374" s="460" t="str">
        <f t="shared" ca="1" si="729"/>
        <v/>
      </c>
      <c r="GO374" s="460" t="str">
        <f t="shared" ca="1" si="729"/>
        <v/>
      </c>
      <c r="GP374" s="460" t="str">
        <f t="shared" ca="1" si="729"/>
        <v/>
      </c>
      <c r="GQ374" s="460" t="str">
        <f t="shared" ca="1" si="729"/>
        <v/>
      </c>
      <c r="GR374" s="460" t="str">
        <f t="shared" ca="1" si="729"/>
        <v/>
      </c>
      <c r="GS374" s="460" t="str">
        <f t="shared" ca="1" si="729"/>
        <v/>
      </c>
      <c r="GT374" s="460" t="str">
        <f t="shared" ca="1" si="729"/>
        <v/>
      </c>
      <c r="GU374" s="460" t="str">
        <f t="shared" ca="1" si="729"/>
        <v/>
      </c>
      <c r="GV374" s="460" t="str">
        <f t="shared" ca="1" si="729"/>
        <v/>
      </c>
      <c r="GW374" s="460" t="str">
        <f t="shared" ca="1" si="729"/>
        <v/>
      </c>
      <c r="GX374" s="460" t="str">
        <f t="shared" ca="1" si="729"/>
        <v/>
      </c>
      <c r="GY374" s="460" t="str">
        <f t="shared" ca="1" si="729"/>
        <v/>
      </c>
      <c r="GZ374" s="460" t="str">
        <f t="shared" ca="1" si="729"/>
        <v/>
      </c>
      <c r="HA374" s="460" t="str">
        <f t="shared" ca="1" si="729"/>
        <v/>
      </c>
      <c r="HB374" s="460" t="str">
        <f t="shared" ca="1" si="729"/>
        <v/>
      </c>
      <c r="HC374" s="460" t="str">
        <f t="shared" ca="1" si="729"/>
        <v/>
      </c>
      <c r="HD374" s="460" t="str">
        <f t="shared" ca="1" si="729"/>
        <v/>
      </c>
      <c r="HE374" s="460" t="str">
        <f t="shared" ca="1" si="729"/>
        <v/>
      </c>
      <c r="HF374" s="460" t="str">
        <f t="shared" ca="1" si="729"/>
        <v/>
      </c>
      <c r="HG374" s="460" t="str">
        <f t="shared" ca="1" si="729"/>
        <v/>
      </c>
      <c r="HH374" s="460" t="str">
        <f t="shared" ca="1" si="729"/>
        <v/>
      </c>
      <c r="HI374" s="460" t="str">
        <f t="shared" ca="1" si="729"/>
        <v/>
      </c>
      <c r="HJ374" s="460" t="str">
        <f t="shared" ca="1" si="729"/>
        <v/>
      </c>
      <c r="HK374" s="460" t="str">
        <f t="shared" ca="1" si="729"/>
        <v/>
      </c>
      <c r="HL374" s="460" t="str">
        <f t="shared" ca="1" si="729"/>
        <v/>
      </c>
      <c r="HM374" s="460" t="str">
        <f t="shared" ca="1" si="729"/>
        <v/>
      </c>
      <c r="HN374" s="460" t="str">
        <f t="shared" ca="1" si="729"/>
        <v/>
      </c>
      <c r="HO374" s="460" t="str">
        <f t="shared" ca="1" si="729"/>
        <v/>
      </c>
      <c r="HP374" s="460" t="str">
        <f t="shared" ca="1" si="729"/>
        <v/>
      </c>
      <c r="HQ374" s="460" t="str">
        <f t="shared" ca="1" si="729"/>
        <v/>
      </c>
      <c r="HR374" s="460" t="str">
        <f t="shared" ca="1" si="729"/>
        <v/>
      </c>
      <c r="HS374" s="460" t="str">
        <f t="shared" ca="1" si="729"/>
        <v/>
      </c>
      <c r="HT374" s="460" t="str">
        <f t="shared" ca="1" si="729"/>
        <v/>
      </c>
      <c r="HU374" s="460" t="str">
        <f t="shared" ca="1" si="729"/>
        <v/>
      </c>
      <c r="HV374" s="460" t="str">
        <f t="shared" ca="1" si="729"/>
        <v/>
      </c>
      <c r="HW374" s="460" t="str">
        <f t="shared" ca="1" si="712"/>
        <v/>
      </c>
      <c r="HX374" s="460" t="str">
        <f t="shared" ca="1" si="720"/>
        <v/>
      </c>
      <c r="HY374" s="460" t="str">
        <f t="shared" ca="1" si="720"/>
        <v/>
      </c>
      <c r="HZ374" s="460" t="str">
        <f t="shared" ca="1" si="720"/>
        <v/>
      </c>
      <c r="IA374" s="460" t="str">
        <f t="shared" ca="1" si="720"/>
        <v/>
      </c>
      <c r="IB374" s="460" t="str">
        <f t="shared" ca="1" si="720"/>
        <v/>
      </c>
      <c r="IC374" s="460" t="str">
        <f t="shared" ca="1" si="720"/>
        <v/>
      </c>
      <c r="ID374" s="674" t="str">
        <f t="shared" ca="1" si="720"/>
        <v/>
      </c>
    </row>
    <row r="375" spans="9:238">
      <c r="I375" s="137"/>
      <c r="J375" s="375"/>
      <c r="K375" s="1"/>
      <c r="L375" s="1"/>
      <c r="M375" s="376"/>
      <c r="P375" s="375"/>
      <c r="S375" s="55"/>
      <c r="T375" s="375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74"/>
      <c r="AO375" s="374"/>
      <c r="AP375" s="106"/>
      <c r="AQ375" s="374"/>
      <c r="AR375" s="106"/>
      <c r="AS375" s="106"/>
      <c r="AT375" s="106"/>
      <c r="AU375" s="31"/>
      <c r="AV375" s="31"/>
      <c r="AW375" s="31"/>
      <c r="AX375" s="31"/>
      <c r="AY375" s="154"/>
      <c r="AZ375" s="154"/>
      <c r="BA375" s="106"/>
      <c r="BB375" s="106"/>
      <c r="BC375" s="106"/>
      <c r="BD375" s="106"/>
      <c r="BE375" s="107"/>
      <c r="BF375" s="107"/>
      <c r="BG375" s="107"/>
      <c r="BH375" s="105"/>
      <c r="BI375" s="107"/>
      <c r="BJ375" s="106"/>
      <c r="BK375" s="108"/>
      <c r="BL375" s="159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7"/>
      <c r="CC375" s="107"/>
      <c r="CD375" s="107"/>
      <c r="CE375" s="107"/>
      <c r="CF375" s="107"/>
      <c r="CG375" s="107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10"/>
      <c r="DH375" s="475"/>
      <c r="DI375" s="1"/>
      <c r="DJ375" s="53"/>
      <c r="DK375" s="475"/>
      <c r="DL375" s="54"/>
      <c r="DM375" s="54"/>
      <c r="DN375" s="54"/>
      <c r="DO375" s="54"/>
      <c r="DP375" s="54"/>
      <c r="DQ375" s="54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L375" s="55"/>
      <c r="EM375" s="1"/>
      <c r="EN375" s="106"/>
      <c r="EO375" s="106"/>
      <c r="EP375" s="1"/>
      <c r="EQ375" s="106"/>
      <c r="ER375" s="1"/>
      <c r="ES375" s="1"/>
      <c r="ET375" s="1"/>
      <c r="EU375" s="107"/>
      <c r="FJ375" s="673">
        <v>51</v>
      </c>
      <c r="FK375" s="460">
        <f t="shared" ref="FK375:HV375" ca="1" si="730">IF(AND(ISNUMBER(FK70),ISNUMBER(FK$320),FK$320&lt;&gt;0),FK70*FK$320/FK$15,"")</f>
        <v>0</v>
      </c>
      <c r="FL375" s="460">
        <f t="shared" ca="1" si="730"/>
        <v>2.1927373330155688E-3</v>
      </c>
      <c r="FM375" s="460">
        <f t="shared" ca="1" si="730"/>
        <v>2.5489043710505239E-3</v>
      </c>
      <c r="FN375" s="460">
        <f t="shared" ca="1" si="730"/>
        <v>2.1456415322156338E-3</v>
      </c>
      <c r="FO375" s="460">
        <f t="shared" ca="1" si="730"/>
        <v>2.2321561749015367E-3</v>
      </c>
      <c r="FP375" s="460">
        <f t="shared" ca="1" si="730"/>
        <v>1.2369697840644096E-3</v>
      </c>
      <c r="FQ375" s="460" t="str">
        <f t="shared" ca="1" si="730"/>
        <v/>
      </c>
      <c r="FR375" s="460" t="str">
        <f t="shared" ca="1" si="730"/>
        <v/>
      </c>
      <c r="FS375" s="460" t="str">
        <f t="shared" ca="1" si="730"/>
        <v/>
      </c>
      <c r="FT375" s="460" t="str">
        <f t="shared" ca="1" si="730"/>
        <v/>
      </c>
      <c r="FU375" s="460" t="str">
        <f t="shared" ca="1" si="730"/>
        <v/>
      </c>
      <c r="FV375" s="460" t="str">
        <f t="shared" ca="1" si="730"/>
        <v/>
      </c>
      <c r="FW375" s="460" t="str">
        <f t="shared" ca="1" si="730"/>
        <v/>
      </c>
      <c r="FX375" s="460" t="str">
        <f t="shared" ca="1" si="730"/>
        <v/>
      </c>
      <c r="FY375" s="460" t="str">
        <f t="shared" ca="1" si="730"/>
        <v/>
      </c>
      <c r="FZ375" s="460" t="str">
        <f t="shared" ca="1" si="730"/>
        <v/>
      </c>
      <c r="GA375" s="460" t="str">
        <f t="shared" ca="1" si="730"/>
        <v/>
      </c>
      <c r="GB375" s="460" t="str">
        <f t="shared" ca="1" si="730"/>
        <v/>
      </c>
      <c r="GC375" s="460" t="str">
        <f t="shared" ca="1" si="730"/>
        <v/>
      </c>
      <c r="GD375" s="460" t="str">
        <f t="shared" ca="1" si="730"/>
        <v/>
      </c>
      <c r="GE375" s="460" t="str">
        <f t="shared" ca="1" si="730"/>
        <v/>
      </c>
      <c r="GF375" s="460" t="str">
        <f t="shared" ca="1" si="730"/>
        <v/>
      </c>
      <c r="GG375" s="460" t="str">
        <f t="shared" ca="1" si="730"/>
        <v/>
      </c>
      <c r="GH375" s="460" t="str">
        <f t="shared" ca="1" si="730"/>
        <v/>
      </c>
      <c r="GI375" s="460" t="str">
        <f t="shared" ca="1" si="730"/>
        <v/>
      </c>
      <c r="GJ375" s="460" t="str">
        <f t="shared" ca="1" si="730"/>
        <v/>
      </c>
      <c r="GK375" s="460" t="str">
        <f t="shared" ca="1" si="730"/>
        <v/>
      </c>
      <c r="GL375" s="460" t="str">
        <f t="shared" ca="1" si="730"/>
        <v/>
      </c>
      <c r="GM375" s="460" t="str">
        <f t="shared" ca="1" si="730"/>
        <v/>
      </c>
      <c r="GN375" s="460" t="str">
        <f t="shared" ca="1" si="730"/>
        <v/>
      </c>
      <c r="GO375" s="460" t="str">
        <f t="shared" ca="1" si="730"/>
        <v/>
      </c>
      <c r="GP375" s="460" t="str">
        <f t="shared" ca="1" si="730"/>
        <v/>
      </c>
      <c r="GQ375" s="460" t="str">
        <f t="shared" ca="1" si="730"/>
        <v/>
      </c>
      <c r="GR375" s="460" t="str">
        <f t="shared" ca="1" si="730"/>
        <v/>
      </c>
      <c r="GS375" s="460" t="str">
        <f t="shared" ca="1" si="730"/>
        <v/>
      </c>
      <c r="GT375" s="460" t="str">
        <f t="shared" ca="1" si="730"/>
        <v/>
      </c>
      <c r="GU375" s="460" t="str">
        <f t="shared" ca="1" si="730"/>
        <v/>
      </c>
      <c r="GV375" s="460" t="str">
        <f t="shared" ca="1" si="730"/>
        <v/>
      </c>
      <c r="GW375" s="460" t="str">
        <f t="shared" ca="1" si="730"/>
        <v/>
      </c>
      <c r="GX375" s="460" t="str">
        <f t="shared" ca="1" si="730"/>
        <v/>
      </c>
      <c r="GY375" s="460" t="str">
        <f t="shared" ca="1" si="730"/>
        <v/>
      </c>
      <c r="GZ375" s="460" t="str">
        <f t="shared" ca="1" si="730"/>
        <v/>
      </c>
      <c r="HA375" s="460" t="str">
        <f t="shared" ca="1" si="730"/>
        <v/>
      </c>
      <c r="HB375" s="460" t="str">
        <f t="shared" ca="1" si="730"/>
        <v/>
      </c>
      <c r="HC375" s="460" t="str">
        <f t="shared" ca="1" si="730"/>
        <v/>
      </c>
      <c r="HD375" s="460" t="str">
        <f t="shared" ca="1" si="730"/>
        <v/>
      </c>
      <c r="HE375" s="460" t="str">
        <f t="shared" ca="1" si="730"/>
        <v/>
      </c>
      <c r="HF375" s="460" t="str">
        <f t="shared" ca="1" si="730"/>
        <v/>
      </c>
      <c r="HG375" s="460" t="str">
        <f t="shared" ca="1" si="730"/>
        <v/>
      </c>
      <c r="HH375" s="460" t="str">
        <f t="shared" ca="1" si="730"/>
        <v/>
      </c>
      <c r="HI375" s="460" t="str">
        <f t="shared" ca="1" si="730"/>
        <v/>
      </c>
      <c r="HJ375" s="460" t="str">
        <f t="shared" ca="1" si="730"/>
        <v/>
      </c>
      <c r="HK375" s="460" t="str">
        <f t="shared" ca="1" si="730"/>
        <v/>
      </c>
      <c r="HL375" s="460" t="str">
        <f t="shared" ca="1" si="730"/>
        <v/>
      </c>
      <c r="HM375" s="460" t="str">
        <f t="shared" ca="1" si="730"/>
        <v/>
      </c>
      <c r="HN375" s="460" t="str">
        <f t="shared" ca="1" si="730"/>
        <v/>
      </c>
      <c r="HO375" s="460" t="str">
        <f t="shared" ca="1" si="730"/>
        <v/>
      </c>
      <c r="HP375" s="460" t="str">
        <f t="shared" ca="1" si="730"/>
        <v/>
      </c>
      <c r="HQ375" s="460" t="str">
        <f t="shared" ca="1" si="730"/>
        <v/>
      </c>
      <c r="HR375" s="460" t="str">
        <f t="shared" ca="1" si="730"/>
        <v/>
      </c>
      <c r="HS375" s="460" t="str">
        <f t="shared" ca="1" si="730"/>
        <v/>
      </c>
      <c r="HT375" s="460" t="str">
        <f t="shared" ca="1" si="730"/>
        <v/>
      </c>
      <c r="HU375" s="460" t="str">
        <f t="shared" ca="1" si="730"/>
        <v/>
      </c>
      <c r="HV375" s="460" t="str">
        <f t="shared" ca="1" si="730"/>
        <v/>
      </c>
      <c r="HW375" s="460" t="str">
        <f t="shared" ca="1" si="712"/>
        <v/>
      </c>
      <c r="HX375" s="460" t="str">
        <f t="shared" ref="HX375:ID384" ca="1" si="731">IF(AND(ISNUMBER(HX70),ISNUMBER(HX$320),HX$320&lt;&gt;0),HX70*HX$320/HX$15,"")</f>
        <v/>
      </c>
      <c r="HY375" s="460" t="str">
        <f t="shared" ca="1" si="731"/>
        <v/>
      </c>
      <c r="HZ375" s="460" t="str">
        <f t="shared" ca="1" si="731"/>
        <v/>
      </c>
      <c r="IA375" s="460" t="str">
        <f t="shared" ca="1" si="731"/>
        <v/>
      </c>
      <c r="IB375" s="460" t="str">
        <f t="shared" ca="1" si="731"/>
        <v/>
      </c>
      <c r="IC375" s="460" t="str">
        <f t="shared" ca="1" si="731"/>
        <v/>
      </c>
      <c r="ID375" s="674" t="str">
        <f t="shared" ca="1" si="731"/>
        <v/>
      </c>
    </row>
    <row r="376" spans="9:238">
      <c r="I376" s="137"/>
      <c r="J376" s="375"/>
      <c r="K376" s="1"/>
      <c r="L376" s="1"/>
      <c r="M376" s="376"/>
      <c r="P376" s="375"/>
      <c r="S376" s="55"/>
      <c r="T376" s="375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74"/>
      <c r="AO376" s="374"/>
      <c r="AP376" s="106"/>
      <c r="AQ376" s="374"/>
      <c r="AR376" s="106"/>
      <c r="AS376" s="106"/>
      <c r="AT376" s="106"/>
      <c r="AU376" s="31"/>
      <c r="AV376" s="31"/>
      <c r="AW376" s="31"/>
      <c r="AX376" s="31"/>
      <c r="AY376" s="154"/>
      <c r="AZ376" s="154"/>
      <c r="BA376" s="106"/>
      <c r="BB376" s="106"/>
      <c r="BC376" s="106"/>
      <c r="BD376" s="106"/>
      <c r="BE376" s="107"/>
      <c r="BF376" s="107"/>
      <c r="BG376" s="107"/>
      <c r="BH376" s="105"/>
      <c r="BI376" s="107"/>
      <c r="BJ376" s="106"/>
      <c r="BK376" s="108"/>
      <c r="BL376" s="159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7"/>
      <c r="CC376" s="107"/>
      <c r="CD376" s="107"/>
      <c r="CE376" s="107"/>
      <c r="CF376" s="107"/>
      <c r="CG376" s="107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10"/>
      <c r="DH376" s="475"/>
      <c r="DI376" s="1"/>
      <c r="DJ376" s="53"/>
      <c r="DK376" s="475"/>
      <c r="DL376" s="54"/>
      <c r="DM376" s="54"/>
      <c r="DN376" s="54"/>
      <c r="DO376" s="54"/>
      <c r="DP376" s="54"/>
      <c r="DQ376" s="54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L376" s="55"/>
      <c r="EM376" s="1"/>
      <c r="EN376" s="106"/>
      <c r="EO376" s="106"/>
      <c r="EP376" s="1"/>
      <c r="EQ376" s="106"/>
      <c r="ER376" s="1"/>
      <c r="ES376" s="1"/>
      <c r="ET376" s="1"/>
      <c r="EU376" s="107"/>
      <c r="FJ376" s="673">
        <v>52</v>
      </c>
      <c r="FK376" s="460">
        <f t="shared" ref="FK376:HV376" ca="1" si="732">IF(AND(ISNUMBER(FK71),ISNUMBER(FK$320),FK$320&lt;&gt;0),FK71*FK$320/FK$15,"")</f>
        <v>0</v>
      </c>
      <c r="FL376" s="460">
        <f t="shared" ca="1" si="732"/>
        <v>2.1925088554803841E-3</v>
      </c>
      <c r="FM376" s="460">
        <f t="shared" ca="1" si="732"/>
        <v>2.548593740389096E-3</v>
      </c>
      <c r="FN376" s="460">
        <f t="shared" ca="1" si="732"/>
        <v>2.1453357009854337E-3</v>
      </c>
      <c r="FO376" s="460">
        <f t="shared" ca="1" si="732"/>
        <v>2.2317840548031942E-3</v>
      </c>
      <c r="FP376" s="460">
        <f t="shared" ca="1" si="732"/>
        <v>1.2367285983802207E-3</v>
      </c>
      <c r="FQ376" s="460" t="str">
        <f t="shared" ca="1" si="732"/>
        <v/>
      </c>
      <c r="FR376" s="460" t="str">
        <f t="shared" ca="1" si="732"/>
        <v/>
      </c>
      <c r="FS376" s="460" t="str">
        <f t="shared" ca="1" si="732"/>
        <v/>
      </c>
      <c r="FT376" s="460" t="str">
        <f t="shared" ca="1" si="732"/>
        <v/>
      </c>
      <c r="FU376" s="460" t="str">
        <f t="shared" ca="1" si="732"/>
        <v/>
      </c>
      <c r="FV376" s="460" t="str">
        <f t="shared" ca="1" si="732"/>
        <v/>
      </c>
      <c r="FW376" s="460" t="str">
        <f t="shared" ca="1" si="732"/>
        <v/>
      </c>
      <c r="FX376" s="460" t="str">
        <f t="shared" ca="1" si="732"/>
        <v/>
      </c>
      <c r="FY376" s="460" t="str">
        <f t="shared" ca="1" si="732"/>
        <v/>
      </c>
      <c r="FZ376" s="460" t="str">
        <f t="shared" ca="1" si="732"/>
        <v/>
      </c>
      <c r="GA376" s="460" t="str">
        <f t="shared" ca="1" si="732"/>
        <v/>
      </c>
      <c r="GB376" s="460" t="str">
        <f t="shared" ca="1" si="732"/>
        <v/>
      </c>
      <c r="GC376" s="460" t="str">
        <f t="shared" ca="1" si="732"/>
        <v/>
      </c>
      <c r="GD376" s="460" t="str">
        <f t="shared" ca="1" si="732"/>
        <v/>
      </c>
      <c r="GE376" s="460" t="str">
        <f t="shared" ca="1" si="732"/>
        <v/>
      </c>
      <c r="GF376" s="460" t="str">
        <f t="shared" ca="1" si="732"/>
        <v/>
      </c>
      <c r="GG376" s="460" t="str">
        <f t="shared" ca="1" si="732"/>
        <v/>
      </c>
      <c r="GH376" s="460" t="str">
        <f t="shared" ca="1" si="732"/>
        <v/>
      </c>
      <c r="GI376" s="460" t="str">
        <f t="shared" ca="1" si="732"/>
        <v/>
      </c>
      <c r="GJ376" s="460" t="str">
        <f t="shared" ca="1" si="732"/>
        <v/>
      </c>
      <c r="GK376" s="460" t="str">
        <f t="shared" ca="1" si="732"/>
        <v/>
      </c>
      <c r="GL376" s="460" t="str">
        <f t="shared" ca="1" si="732"/>
        <v/>
      </c>
      <c r="GM376" s="460" t="str">
        <f t="shared" ca="1" si="732"/>
        <v/>
      </c>
      <c r="GN376" s="460" t="str">
        <f t="shared" ca="1" si="732"/>
        <v/>
      </c>
      <c r="GO376" s="460" t="str">
        <f t="shared" ca="1" si="732"/>
        <v/>
      </c>
      <c r="GP376" s="460" t="str">
        <f t="shared" ca="1" si="732"/>
        <v/>
      </c>
      <c r="GQ376" s="460" t="str">
        <f t="shared" ca="1" si="732"/>
        <v/>
      </c>
      <c r="GR376" s="460" t="str">
        <f t="shared" ca="1" si="732"/>
        <v/>
      </c>
      <c r="GS376" s="460" t="str">
        <f t="shared" ca="1" si="732"/>
        <v/>
      </c>
      <c r="GT376" s="460" t="str">
        <f t="shared" ca="1" si="732"/>
        <v/>
      </c>
      <c r="GU376" s="460" t="str">
        <f t="shared" ca="1" si="732"/>
        <v/>
      </c>
      <c r="GV376" s="460" t="str">
        <f t="shared" ca="1" si="732"/>
        <v/>
      </c>
      <c r="GW376" s="460" t="str">
        <f t="shared" ca="1" si="732"/>
        <v/>
      </c>
      <c r="GX376" s="460" t="str">
        <f t="shared" ca="1" si="732"/>
        <v/>
      </c>
      <c r="GY376" s="460" t="str">
        <f t="shared" ca="1" si="732"/>
        <v/>
      </c>
      <c r="GZ376" s="460" t="str">
        <f t="shared" ca="1" si="732"/>
        <v/>
      </c>
      <c r="HA376" s="460" t="str">
        <f t="shared" ca="1" si="732"/>
        <v/>
      </c>
      <c r="HB376" s="460" t="str">
        <f t="shared" ca="1" si="732"/>
        <v/>
      </c>
      <c r="HC376" s="460" t="str">
        <f t="shared" ca="1" si="732"/>
        <v/>
      </c>
      <c r="HD376" s="460" t="str">
        <f t="shared" ca="1" si="732"/>
        <v/>
      </c>
      <c r="HE376" s="460" t="str">
        <f t="shared" ca="1" si="732"/>
        <v/>
      </c>
      <c r="HF376" s="460" t="str">
        <f t="shared" ca="1" si="732"/>
        <v/>
      </c>
      <c r="HG376" s="460" t="str">
        <f t="shared" ca="1" si="732"/>
        <v/>
      </c>
      <c r="HH376" s="460" t="str">
        <f t="shared" ca="1" si="732"/>
        <v/>
      </c>
      <c r="HI376" s="460" t="str">
        <f t="shared" ca="1" si="732"/>
        <v/>
      </c>
      <c r="HJ376" s="460" t="str">
        <f t="shared" ca="1" si="732"/>
        <v/>
      </c>
      <c r="HK376" s="460" t="str">
        <f t="shared" ca="1" si="732"/>
        <v/>
      </c>
      <c r="HL376" s="460" t="str">
        <f t="shared" ca="1" si="732"/>
        <v/>
      </c>
      <c r="HM376" s="460" t="str">
        <f t="shared" ca="1" si="732"/>
        <v/>
      </c>
      <c r="HN376" s="460" t="str">
        <f t="shared" ca="1" si="732"/>
        <v/>
      </c>
      <c r="HO376" s="460" t="str">
        <f t="shared" ca="1" si="732"/>
        <v/>
      </c>
      <c r="HP376" s="460" t="str">
        <f t="shared" ca="1" si="732"/>
        <v/>
      </c>
      <c r="HQ376" s="460" t="str">
        <f t="shared" ca="1" si="732"/>
        <v/>
      </c>
      <c r="HR376" s="460" t="str">
        <f t="shared" ca="1" si="732"/>
        <v/>
      </c>
      <c r="HS376" s="460" t="str">
        <f t="shared" ca="1" si="732"/>
        <v/>
      </c>
      <c r="HT376" s="460" t="str">
        <f t="shared" ca="1" si="732"/>
        <v/>
      </c>
      <c r="HU376" s="460" t="str">
        <f t="shared" ca="1" si="732"/>
        <v/>
      </c>
      <c r="HV376" s="460" t="str">
        <f t="shared" ca="1" si="732"/>
        <v/>
      </c>
      <c r="HW376" s="460" t="str">
        <f t="shared" ca="1" si="712"/>
        <v/>
      </c>
      <c r="HX376" s="460" t="str">
        <f t="shared" ca="1" si="731"/>
        <v/>
      </c>
      <c r="HY376" s="460" t="str">
        <f t="shared" ca="1" si="731"/>
        <v/>
      </c>
      <c r="HZ376" s="460" t="str">
        <f t="shared" ca="1" si="731"/>
        <v/>
      </c>
      <c r="IA376" s="460" t="str">
        <f t="shared" ca="1" si="731"/>
        <v/>
      </c>
      <c r="IB376" s="460" t="str">
        <f t="shared" ca="1" si="731"/>
        <v/>
      </c>
      <c r="IC376" s="460" t="str">
        <f t="shared" ca="1" si="731"/>
        <v/>
      </c>
      <c r="ID376" s="674" t="str">
        <f t="shared" ca="1" si="731"/>
        <v/>
      </c>
    </row>
    <row r="377" spans="9:238">
      <c r="I377" s="137"/>
      <c r="J377" s="375"/>
      <c r="K377" s="1"/>
      <c r="L377" s="1"/>
      <c r="M377" s="376"/>
      <c r="P377" s="375"/>
      <c r="S377" s="55"/>
      <c r="T377" s="375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74"/>
      <c r="AO377" s="374"/>
      <c r="AP377" s="106"/>
      <c r="AQ377" s="374"/>
      <c r="AR377" s="106"/>
      <c r="AS377" s="106"/>
      <c r="AT377" s="106"/>
      <c r="AU377" s="31"/>
      <c r="AV377" s="31"/>
      <c r="AW377" s="31"/>
      <c r="AX377" s="31"/>
      <c r="AY377" s="154"/>
      <c r="AZ377" s="154"/>
      <c r="BA377" s="106"/>
      <c r="BB377" s="106"/>
      <c r="BC377" s="106"/>
      <c r="BD377" s="106"/>
      <c r="BE377" s="107"/>
      <c r="BF377" s="107"/>
      <c r="BG377" s="107"/>
      <c r="BH377" s="105"/>
      <c r="BI377" s="107"/>
      <c r="BJ377" s="106"/>
      <c r="BK377" s="108"/>
      <c r="BL377" s="159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7"/>
      <c r="CC377" s="107"/>
      <c r="CD377" s="107"/>
      <c r="CE377" s="107"/>
      <c r="CF377" s="107"/>
      <c r="CG377" s="107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10"/>
      <c r="DH377" s="475"/>
      <c r="DI377" s="1"/>
      <c r="DJ377" s="53"/>
      <c r="DK377" s="475"/>
      <c r="DL377" s="54"/>
      <c r="DM377" s="54"/>
      <c r="DN377" s="54"/>
      <c r="DO377" s="54"/>
      <c r="DP377" s="54"/>
      <c r="DQ377" s="54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L377" s="55"/>
      <c r="EM377" s="1"/>
      <c r="EN377" s="106"/>
      <c r="EO377" s="106"/>
      <c r="EP377" s="1"/>
      <c r="EQ377" s="106"/>
      <c r="ER377" s="1"/>
      <c r="ES377" s="1"/>
      <c r="ET377" s="1"/>
      <c r="EU377" s="107"/>
      <c r="FJ377" s="673">
        <v>53</v>
      </c>
      <c r="FK377" s="460">
        <f t="shared" ref="FK377:HV377" ca="1" si="733">IF(AND(ISNUMBER(FK72),ISNUMBER(FK$320),FK$320&lt;&gt;0),FK72*FK$320/FK$15,"")</f>
        <v>0</v>
      </c>
      <c r="FL377" s="460">
        <f t="shared" ca="1" si="733"/>
        <v>2.1923135275425864E-3</v>
      </c>
      <c r="FM377" s="460">
        <f t="shared" ca="1" si="733"/>
        <v>2.5483281835404835E-3</v>
      </c>
      <c r="FN377" s="460">
        <f t="shared" ca="1" si="733"/>
        <v>2.1450742525547469E-3</v>
      </c>
      <c r="FO377" s="460">
        <f t="shared" ca="1" si="733"/>
        <v>2.2314659451596335E-3</v>
      </c>
      <c r="FP377" s="460">
        <f t="shared" ca="1" si="733"/>
        <v>1.2365224248280173E-3</v>
      </c>
      <c r="FQ377" s="460" t="str">
        <f t="shared" ca="1" si="733"/>
        <v/>
      </c>
      <c r="FR377" s="460" t="str">
        <f t="shared" ca="1" si="733"/>
        <v/>
      </c>
      <c r="FS377" s="460" t="str">
        <f t="shared" ca="1" si="733"/>
        <v/>
      </c>
      <c r="FT377" s="460" t="str">
        <f t="shared" ca="1" si="733"/>
        <v/>
      </c>
      <c r="FU377" s="460" t="str">
        <f t="shared" ca="1" si="733"/>
        <v/>
      </c>
      <c r="FV377" s="460" t="str">
        <f t="shared" ca="1" si="733"/>
        <v/>
      </c>
      <c r="FW377" s="460" t="str">
        <f t="shared" ca="1" si="733"/>
        <v/>
      </c>
      <c r="FX377" s="460" t="str">
        <f t="shared" ca="1" si="733"/>
        <v/>
      </c>
      <c r="FY377" s="460" t="str">
        <f t="shared" ca="1" si="733"/>
        <v/>
      </c>
      <c r="FZ377" s="460" t="str">
        <f t="shared" ca="1" si="733"/>
        <v/>
      </c>
      <c r="GA377" s="460" t="str">
        <f t="shared" ca="1" si="733"/>
        <v/>
      </c>
      <c r="GB377" s="460" t="str">
        <f t="shared" ca="1" si="733"/>
        <v/>
      </c>
      <c r="GC377" s="460" t="str">
        <f t="shared" ca="1" si="733"/>
        <v/>
      </c>
      <c r="GD377" s="460" t="str">
        <f t="shared" ca="1" si="733"/>
        <v/>
      </c>
      <c r="GE377" s="460" t="str">
        <f t="shared" ca="1" si="733"/>
        <v/>
      </c>
      <c r="GF377" s="460" t="str">
        <f t="shared" ca="1" si="733"/>
        <v/>
      </c>
      <c r="GG377" s="460" t="str">
        <f t="shared" ca="1" si="733"/>
        <v/>
      </c>
      <c r="GH377" s="460" t="str">
        <f t="shared" ca="1" si="733"/>
        <v/>
      </c>
      <c r="GI377" s="460" t="str">
        <f t="shared" ca="1" si="733"/>
        <v/>
      </c>
      <c r="GJ377" s="460" t="str">
        <f t="shared" ca="1" si="733"/>
        <v/>
      </c>
      <c r="GK377" s="460" t="str">
        <f t="shared" ca="1" si="733"/>
        <v/>
      </c>
      <c r="GL377" s="460" t="str">
        <f t="shared" ca="1" si="733"/>
        <v/>
      </c>
      <c r="GM377" s="460" t="str">
        <f t="shared" ca="1" si="733"/>
        <v/>
      </c>
      <c r="GN377" s="460" t="str">
        <f t="shared" ca="1" si="733"/>
        <v/>
      </c>
      <c r="GO377" s="460" t="str">
        <f t="shared" ca="1" si="733"/>
        <v/>
      </c>
      <c r="GP377" s="460" t="str">
        <f t="shared" ca="1" si="733"/>
        <v/>
      </c>
      <c r="GQ377" s="460" t="str">
        <f t="shared" ca="1" si="733"/>
        <v/>
      </c>
      <c r="GR377" s="460" t="str">
        <f t="shared" ca="1" si="733"/>
        <v/>
      </c>
      <c r="GS377" s="460" t="str">
        <f t="shared" ca="1" si="733"/>
        <v/>
      </c>
      <c r="GT377" s="460" t="str">
        <f t="shared" ca="1" si="733"/>
        <v/>
      </c>
      <c r="GU377" s="460" t="str">
        <f t="shared" ca="1" si="733"/>
        <v/>
      </c>
      <c r="GV377" s="460" t="str">
        <f t="shared" ca="1" si="733"/>
        <v/>
      </c>
      <c r="GW377" s="460" t="str">
        <f t="shared" ca="1" si="733"/>
        <v/>
      </c>
      <c r="GX377" s="460" t="str">
        <f t="shared" ca="1" si="733"/>
        <v/>
      </c>
      <c r="GY377" s="460" t="str">
        <f t="shared" ca="1" si="733"/>
        <v/>
      </c>
      <c r="GZ377" s="460" t="str">
        <f t="shared" ca="1" si="733"/>
        <v/>
      </c>
      <c r="HA377" s="460" t="str">
        <f t="shared" ca="1" si="733"/>
        <v/>
      </c>
      <c r="HB377" s="460" t="str">
        <f t="shared" ca="1" si="733"/>
        <v/>
      </c>
      <c r="HC377" s="460" t="str">
        <f t="shared" ca="1" si="733"/>
        <v/>
      </c>
      <c r="HD377" s="460" t="str">
        <f t="shared" ca="1" si="733"/>
        <v/>
      </c>
      <c r="HE377" s="460" t="str">
        <f t="shared" ca="1" si="733"/>
        <v/>
      </c>
      <c r="HF377" s="460" t="str">
        <f t="shared" ca="1" si="733"/>
        <v/>
      </c>
      <c r="HG377" s="460" t="str">
        <f t="shared" ca="1" si="733"/>
        <v/>
      </c>
      <c r="HH377" s="460" t="str">
        <f t="shared" ca="1" si="733"/>
        <v/>
      </c>
      <c r="HI377" s="460" t="str">
        <f t="shared" ca="1" si="733"/>
        <v/>
      </c>
      <c r="HJ377" s="460" t="str">
        <f t="shared" ca="1" si="733"/>
        <v/>
      </c>
      <c r="HK377" s="460" t="str">
        <f t="shared" ca="1" si="733"/>
        <v/>
      </c>
      <c r="HL377" s="460" t="str">
        <f t="shared" ca="1" si="733"/>
        <v/>
      </c>
      <c r="HM377" s="460" t="str">
        <f t="shared" ca="1" si="733"/>
        <v/>
      </c>
      <c r="HN377" s="460" t="str">
        <f t="shared" ca="1" si="733"/>
        <v/>
      </c>
      <c r="HO377" s="460" t="str">
        <f t="shared" ca="1" si="733"/>
        <v/>
      </c>
      <c r="HP377" s="460" t="str">
        <f t="shared" ca="1" si="733"/>
        <v/>
      </c>
      <c r="HQ377" s="460" t="str">
        <f t="shared" ca="1" si="733"/>
        <v/>
      </c>
      <c r="HR377" s="460" t="str">
        <f t="shared" ca="1" si="733"/>
        <v/>
      </c>
      <c r="HS377" s="460" t="str">
        <f t="shared" ca="1" si="733"/>
        <v/>
      </c>
      <c r="HT377" s="460" t="str">
        <f t="shared" ca="1" si="733"/>
        <v/>
      </c>
      <c r="HU377" s="460" t="str">
        <f t="shared" ca="1" si="733"/>
        <v/>
      </c>
      <c r="HV377" s="460" t="str">
        <f t="shared" ca="1" si="733"/>
        <v/>
      </c>
      <c r="HW377" s="460" t="str">
        <f t="shared" ca="1" si="712"/>
        <v/>
      </c>
      <c r="HX377" s="460" t="str">
        <f t="shared" ca="1" si="731"/>
        <v/>
      </c>
      <c r="HY377" s="460" t="str">
        <f t="shared" ca="1" si="731"/>
        <v/>
      </c>
      <c r="HZ377" s="460" t="str">
        <f t="shared" ca="1" si="731"/>
        <v/>
      </c>
      <c r="IA377" s="460" t="str">
        <f t="shared" ca="1" si="731"/>
        <v/>
      </c>
      <c r="IB377" s="460" t="str">
        <f t="shared" ca="1" si="731"/>
        <v/>
      </c>
      <c r="IC377" s="460" t="str">
        <f t="shared" ca="1" si="731"/>
        <v/>
      </c>
      <c r="ID377" s="674" t="str">
        <f t="shared" ca="1" si="731"/>
        <v/>
      </c>
    </row>
    <row r="378" spans="9:238">
      <c r="I378" s="137"/>
      <c r="J378" s="375"/>
      <c r="K378" s="1"/>
      <c r="L378" s="1"/>
      <c r="M378" s="376"/>
      <c r="P378" s="375"/>
      <c r="S378" s="55"/>
      <c r="T378" s="375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74"/>
      <c r="AO378" s="374"/>
      <c r="AP378" s="106"/>
      <c r="AQ378" s="374"/>
      <c r="AR378" s="106"/>
      <c r="AS378" s="106"/>
      <c r="AT378" s="106"/>
      <c r="AU378" s="31"/>
      <c r="AV378" s="31"/>
      <c r="AW378" s="31"/>
      <c r="AX378" s="31"/>
      <c r="AY378" s="154"/>
      <c r="AZ378" s="154"/>
      <c r="BA378" s="106"/>
      <c r="BB378" s="106"/>
      <c r="BC378" s="106"/>
      <c r="BD378" s="106"/>
      <c r="BE378" s="107"/>
      <c r="BF378" s="107"/>
      <c r="BG378" s="107"/>
      <c r="BH378" s="105"/>
      <c r="BI378" s="107"/>
      <c r="BJ378" s="106"/>
      <c r="BK378" s="108"/>
      <c r="BL378" s="159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7"/>
      <c r="CC378" s="107"/>
      <c r="CD378" s="107"/>
      <c r="CE378" s="107"/>
      <c r="CF378" s="107"/>
      <c r="CG378" s="107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10"/>
      <c r="DH378" s="475"/>
      <c r="DI378" s="1"/>
      <c r="DJ378" s="53"/>
      <c r="DK378" s="475"/>
      <c r="DL378" s="54"/>
      <c r="DM378" s="54"/>
      <c r="DN378" s="54"/>
      <c r="DO378" s="54"/>
      <c r="DP378" s="54"/>
      <c r="DQ378" s="54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L378" s="55"/>
      <c r="EM378" s="1"/>
      <c r="EN378" s="106"/>
      <c r="EO378" s="106"/>
      <c r="EP378" s="1"/>
      <c r="EQ378" s="106"/>
      <c r="ER378" s="1"/>
      <c r="ES378" s="1"/>
      <c r="ET378" s="1"/>
      <c r="EU378" s="107"/>
      <c r="FJ378" s="673">
        <v>54</v>
      </c>
      <c r="FK378" s="460">
        <f t="shared" ref="FK378:HV378" ca="1" si="734">IF(AND(ISNUMBER(FK73),ISNUMBER(FK$320),FK$320&lt;&gt;0),FK73*FK$320/FK$15,"")</f>
        <v>0</v>
      </c>
      <c r="FL378" s="460">
        <f t="shared" ca="1" si="734"/>
        <v>2.192146537034075E-3</v>
      </c>
      <c r="FM378" s="460">
        <f t="shared" ca="1" si="734"/>
        <v>2.5481011560930552E-3</v>
      </c>
      <c r="FN378" s="460">
        <f t="shared" ca="1" si="734"/>
        <v>2.144850741388757E-3</v>
      </c>
      <c r="FO378" s="460">
        <f t="shared" ca="1" si="734"/>
        <v>2.2311940001818729E-3</v>
      </c>
      <c r="FP378" s="460">
        <f t="shared" ca="1" si="734"/>
        <v>1.2363461758280435E-3</v>
      </c>
      <c r="FQ378" s="460" t="str">
        <f t="shared" ca="1" si="734"/>
        <v/>
      </c>
      <c r="FR378" s="460" t="str">
        <f t="shared" ca="1" si="734"/>
        <v/>
      </c>
      <c r="FS378" s="460" t="str">
        <f t="shared" ca="1" si="734"/>
        <v/>
      </c>
      <c r="FT378" s="460" t="str">
        <f t="shared" ca="1" si="734"/>
        <v/>
      </c>
      <c r="FU378" s="460" t="str">
        <f t="shared" ca="1" si="734"/>
        <v/>
      </c>
      <c r="FV378" s="460" t="str">
        <f t="shared" ca="1" si="734"/>
        <v/>
      </c>
      <c r="FW378" s="460" t="str">
        <f t="shared" ca="1" si="734"/>
        <v/>
      </c>
      <c r="FX378" s="460" t="str">
        <f t="shared" ca="1" si="734"/>
        <v/>
      </c>
      <c r="FY378" s="460" t="str">
        <f t="shared" ca="1" si="734"/>
        <v/>
      </c>
      <c r="FZ378" s="460" t="str">
        <f t="shared" ca="1" si="734"/>
        <v/>
      </c>
      <c r="GA378" s="460" t="str">
        <f t="shared" ca="1" si="734"/>
        <v/>
      </c>
      <c r="GB378" s="460" t="str">
        <f t="shared" ca="1" si="734"/>
        <v/>
      </c>
      <c r="GC378" s="460" t="str">
        <f t="shared" ca="1" si="734"/>
        <v/>
      </c>
      <c r="GD378" s="460" t="str">
        <f t="shared" ca="1" si="734"/>
        <v/>
      </c>
      <c r="GE378" s="460" t="str">
        <f t="shared" ca="1" si="734"/>
        <v/>
      </c>
      <c r="GF378" s="460" t="str">
        <f t="shared" ca="1" si="734"/>
        <v/>
      </c>
      <c r="GG378" s="460" t="str">
        <f t="shared" ca="1" si="734"/>
        <v/>
      </c>
      <c r="GH378" s="460" t="str">
        <f t="shared" ca="1" si="734"/>
        <v/>
      </c>
      <c r="GI378" s="460" t="str">
        <f t="shared" ca="1" si="734"/>
        <v/>
      </c>
      <c r="GJ378" s="460" t="str">
        <f t="shared" ca="1" si="734"/>
        <v/>
      </c>
      <c r="GK378" s="460" t="str">
        <f t="shared" ca="1" si="734"/>
        <v/>
      </c>
      <c r="GL378" s="460" t="str">
        <f t="shared" ca="1" si="734"/>
        <v/>
      </c>
      <c r="GM378" s="460" t="str">
        <f t="shared" ca="1" si="734"/>
        <v/>
      </c>
      <c r="GN378" s="460" t="str">
        <f t="shared" ca="1" si="734"/>
        <v/>
      </c>
      <c r="GO378" s="460" t="str">
        <f t="shared" ca="1" si="734"/>
        <v/>
      </c>
      <c r="GP378" s="460" t="str">
        <f t="shared" ca="1" si="734"/>
        <v/>
      </c>
      <c r="GQ378" s="460" t="str">
        <f t="shared" ca="1" si="734"/>
        <v/>
      </c>
      <c r="GR378" s="460" t="str">
        <f t="shared" ca="1" si="734"/>
        <v/>
      </c>
      <c r="GS378" s="460" t="str">
        <f t="shared" ca="1" si="734"/>
        <v/>
      </c>
      <c r="GT378" s="460" t="str">
        <f t="shared" ca="1" si="734"/>
        <v/>
      </c>
      <c r="GU378" s="460" t="str">
        <f t="shared" ca="1" si="734"/>
        <v/>
      </c>
      <c r="GV378" s="460" t="str">
        <f t="shared" ca="1" si="734"/>
        <v/>
      </c>
      <c r="GW378" s="460" t="str">
        <f t="shared" ca="1" si="734"/>
        <v/>
      </c>
      <c r="GX378" s="460" t="str">
        <f t="shared" ca="1" si="734"/>
        <v/>
      </c>
      <c r="GY378" s="460" t="str">
        <f t="shared" ca="1" si="734"/>
        <v/>
      </c>
      <c r="GZ378" s="460" t="str">
        <f t="shared" ca="1" si="734"/>
        <v/>
      </c>
      <c r="HA378" s="460" t="str">
        <f t="shared" ca="1" si="734"/>
        <v/>
      </c>
      <c r="HB378" s="460" t="str">
        <f t="shared" ca="1" si="734"/>
        <v/>
      </c>
      <c r="HC378" s="460" t="str">
        <f t="shared" ca="1" si="734"/>
        <v/>
      </c>
      <c r="HD378" s="460" t="str">
        <f t="shared" ca="1" si="734"/>
        <v/>
      </c>
      <c r="HE378" s="460" t="str">
        <f t="shared" ca="1" si="734"/>
        <v/>
      </c>
      <c r="HF378" s="460" t="str">
        <f t="shared" ca="1" si="734"/>
        <v/>
      </c>
      <c r="HG378" s="460" t="str">
        <f t="shared" ca="1" si="734"/>
        <v/>
      </c>
      <c r="HH378" s="460" t="str">
        <f t="shared" ca="1" si="734"/>
        <v/>
      </c>
      <c r="HI378" s="460" t="str">
        <f t="shared" ca="1" si="734"/>
        <v/>
      </c>
      <c r="HJ378" s="460" t="str">
        <f t="shared" ca="1" si="734"/>
        <v/>
      </c>
      <c r="HK378" s="460" t="str">
        <f t="shared" ca="1" si="734"/>
        <v/>
      </c>
      <c r="HL378" s="460" t="str">
        <f t="shared" ca="1" si="734"/>
        <v/>
      </c>
      <c r="HM378" s="460" t="str">
        <f t="shared" ca="1" si="734"/>
        <v/>
      </c>
      <c r="HN378" s="460" t="str">
        <f t="shared" ca="1" si="734"/>
        <v/>
      </c>
      <c r="HO378" s="460" t="str">
        <f t="shared" ca="1" si="734"/>
        <v/>
      </c>
      <c r="HP378" s="460" t="str">
        <f t="shared" ca="1" si="734"/>
        <v/>
      </c>
      <c r="HQ378" s="460" t="str">
        <f t="shared" ca="1" si="734"/>
        <v/>
      </c>
      <c r="HR378" s="460" t="str">
        <f t="shared" ca="1" si="734"/>
        <v/>
      </c>
      <c r="HS378" s="460" t="str">
        <f t="shared" ca="1" si="734"/>
        <v/>
      </c>
      <c r="HT378" s="460" t="str">
        <f t="shared" ca="1" si="734"/>
        <v/>
      </c>
      <c r="HU378" s="460" t="str">
        <f t="shared" ca="1" si="734"/>
        <v/>
      </c>
      <c r="HV378" s="460" t="str">
        <f t="shared" ca="1" si="734"/>
        <v/>
      </c>
      <c r="HW378" s="460" t="str">
        <f t="shared" ca="1" si="712"/>
        <v/>
      </c>
      <c r="HX378" s="460" t="str">
        <f t="shared" ca="1" si="731"/>
        <v/>
      </c>
      <c r="HY378" s="460" t="str">
        <f t="shared" ca="1" si="731"/>
        <v/>
      </c>
      <c r="HZ378" s="460" t="str">
        <f t="shared" ca="1" si="731"/>
        <v/>
      </c>
      <c r="IA378" s="460" t="str">
        <f t="shared" ca="1" si="731"/>
        <v/>
      </c>
      <c r="IB378" s="460" t="str">
        <f t="shared" ca="1" si="731"/>
        <v/>
      </c>
      <c r="IC378" s="460" t="str">
        <f t="shared" ca="1" si="731"/>
        <v/>
      </c>
      <c r="ID378" s="674" t="str">
        <f t="shared" ca="1" si="731"/>
        <v/>
      </c>
    </row>
    <row r="379" spans="9:238">
      <c r="I379" s="137"/>
      <c r="J379" s="375"/>
      <c r="K379" s="1"/>
      <c r="L379" s="1"/>
      <c r="M379" s="376"/>
      <c r="P379" s="375"/>
      <c r="S379" s="55"/>
      <c r="T379" s="375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74"/>
      <c r="AO379" s="374"/>
      <c r="AP379" s="106"/>
      <c r="AQ379" s="374"/>
      <c r="AR379" s="106"/>
      <c r="AS379" s="106"/>
      <c r="AT379" s="106"/>
      <c r="AU379" s="31"/>
      <c r="AV379" s="31"/>
      <c r="AW379" s="31"/>
      <c r="AX379" s="31"/>
      <c r="AY379" s="154"/>
      <c r="AZ379" s="154"/>
      <c r="BA379" s="106"/>
      <c r="BB379" s="106"/>
      <c r="BC379" s="106"/>
      <c r="BD379" s="106"/>
      <c r="BE379" s="107"/>
      <c r="BF379" s="107"/>
      <c r="BG379" s="107"/>
      <c r="BH379" s="105"/>
      <c r="BI379" s="107"/>
      <c r="BJ379" s="106"/>
      <c r="BK379" s="108"/>
      <c r="BL379" s="159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7"/>
      <c r="CC379" s="107"/>
      <c r="CD379" s="107"/>
      <c r="CE379" s="107"/>
      <c r="CF379" s="107"/>
      <c r="CG379" s="107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10"/>
      <c r="DH379" s="475"/>
      <c r="DI379" s="1"/>
      <c r="DJ379" s="53"/>
      <c r="DK379" s="475"/>
      <c r="DL379" s="54"/>
      <c r="DM379" s="54"/>
      <c r="DN379" s="54"/>
      <c r="DO379" s="54"/>
      <c r="DP379" s="54"/>
      <c r="DQ379" s="54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L379" s="55"/>
      <c r="EM379" s="1"/>
      <c r="EN379" s="106"/>
      <c r="EO379" s="106"/>
      <c r="EP379" s="1"/>
      <c r="EQ379" s="106"/>
      <c r="ER379" s="1"/>
      <c r="ES379" s="1"/>
      <c r="ET379" s="1"/>
      <c r="EU379" s="107"/>
      <c r="FJ379" s="673">
        <v>55</v>
      </c>
      <c r="FK379" s="460">
        <f t="shared" ref="FK379:HV379" ca="1" si="735">IF(AND(ISNUMBER(FK74),ISNUMBER(FK$320),FK$320&lt;&gt;0),FK74*FK$320/FK$15,"")</f>
        <v>0</v>
      </c>
      <c r="FL379" s="460">
        <f t="shared" ca="1" si="735"/>
        <v>2.1920037710247428E-3</v>
      </c>
      <c r="FM379" s="460">
        <f t="shared" ca="1" si="735"/>
        <v>2.5479070649183904E-3</v>
      </c>
      <c r="FN379" s="460">
        <f t="shared" ca="1" si="735"/>
        <v>2.1446596592541731E-3</v>
      </c>
      <c r="FO379" s="460">
        <f t="shared" ca="1" si="735"/>
        <v>2.230961515561848E-3</v>
      </c>
      <c r="FP379" s="460">
        <f t="shared" ca="1" si="735"/>
        <v>1.2361955044122332E-3</v>
      </c>
      <c r="FQ379" s="460" t="str">
        <f t="shared" ca="1" si="735"/>
        <v/>
      </c>
      <c r="FR379" s="460" t="str">
        <f t="shared" ca="1" si="735"/>
        <v/>
      </c>
      <c r="FS379" s="460" t="str">
        <f t="shared" ca="1" si="735"/>
        <v/>
      </c>
      <c r="FT379" s="460" t="str">
        <f t="shared" ca="1" si="735"/>
        <v/>
      </c>
      <c r="FU379" s="460" t="str">
        <f t="shared" ca="1" si="735"/>
        <v/>
      </c>
      <c r="FV379" s="460" t="str">
        <f t="shared" ca="1" si="735"/>
        <v/>
      </c>
      <c r="FW379" s="460" t="str">
        <f t="shared" ca="1" si="735"/>
        <v/>
      </c>
      <c r="FX379" s="460" t="str">
        <f t="shared" ca="1" si="735"/>
        <v/>
      </c>
      <c r="FY379" s="460" t="str">
        <f t="shared" ca="1" si="735"/>
        <v/>
      </c>
      <c r="FZ379" s="460" t="str">
        <f t="shared" ca="1" si="735"/>
        <v/>
      </c>
      <c r="GA379" s="460" t="str">
        <f t="shared" ca="1" si="735"/>
        <v/>
      </c>
      <c r="GB379" s="460" t="str">
        <f t="shared" ca="1" si="735"/>
        <v/>
      </c>
      <c r="GC379" s="460" t="str">
        <f t="shared" ca="1" si="735"/>
        <v/>
      </c>
      <c r="GD379" s="460" t="str">
        <f t="shared" ca="1" si="735"/>
        <v/>
      </c>
      <c r="GE379" s="460" t="str">
        <f t="shared" ca="1" si="735"/>
        <v/>
      </c>
      <c r="GF379" s="460" t="str">
        <f t="shared" ca="1" si="735"/>
        <v/>
      </c>
      <c r="GG379" s="460" t="str">
        <f t="shared" ca="1" si="735"/>
        <v/>
      </c>
      <c r="GH379" s="460" t="str">
        <f t="shared" ca="1" si="735"/>
        <v/>
      </c>
      <c r="GI379" s="460" t="str">
        <f t="shared" ca="1" si="735"/>
        <v/>
      </c>
      <c r="GJ379" s="460" t="str">
        <f t="shared" ca="1" si="735"/>
        <v/>
      </c>
      <c r="GK379" s="460" t="str">
        <f t="shared" ca="1" si="735"/>
        <v/>
      </c>
      <c r="GL379" s="460" t="str">
        <f t="shared" ca="1" si="735"/>
        <v/>
      </c>
      <c r="GM379" s="460" t="str">
        <f t="shared" ca="1" si="735"/>
        <v/>
      </c>
      <c r="GN379" s="460" t="str">
        <f t="shared" ca="1" si="735"/>
        <v/>
      </c>
      <c r="GO379" s="460" t="str">
        <f t="shared" ca="1" si="735"/>
        <v/>
      </c>
      <c r="GP379" s="460" t="str">
        <f t="shared" ca="1" si="735"/>
        <v/>
      </c>
      <c r="GQ379" s="460" t="str">
        <f t="shared" ca="1" si="735"/>
        <v/>
      </c>
      <c r="GR379" s="460" t="str">
        <f t="shared" ca="1" si="735"/>
        <v/>
      </c>
      <c r="GS379" s="460" t="str">
        <f t="shared" ca="1" si="735"/>
        <v/>
      </c>
      <c r="GT379" s="460" t="str">
        <f t="shared" ca="1" si="735"/>
        <v/>
      </c>
      <c r="GU379" s="460" t="str">
        <f t="shared" ca="1" si="735"/>
        <v/>
      </c>
      <c r="GV379" s="460" t="str">
        <f t="shared" ca="1" si="735"/>
        <v/>
      </c>
      <c r="GW379" s="460" t="str">
        <f t="shared" ca="1" si="735"/>
        <v/>
      </c>
      <c r="GX379" s="460" t="str">
        <f t="shared" ca="1" si="735"/>
        <v/>
      </c>
      <c r="GY379" s="460" t="str">
        <f t="shared" ca="1" si="735"/>
        <v/>
      </c>
      <c r="GZ379" s="460" t="str">
        <f t="shared" ca="1" si="735"/>
        <v/>
      </c>
      <c r="HA379" s="460" t="str">
        <f t="shared" ca="1" si="735"/>
        <v/>
      </c>
      <c r="HB379" s="460" t="str">
        <f t="shared" ca="1" si="735"/>
        <v/>
      </c>
      <c r="HC379" s="460" t="str">
        <f t="shared" ca="1" si="735"/>
        <v/>
      </c>
      <c r="HD379" s="460" t="str">
        <f t="shared" ca="1" si="735"/>
        <v/>
      </c>
      <c r="HE379" s="460" t="str">
        <f t="shared" ca="1" si="735"/>
        <v/>
      </c>
      <c r="HF379" s="460" t="str">
        <f t="shared" ca="1" si="735"/>
        <v/>
      </c>
      <c r="HG379" s="460" t="str">
        <f t="shared" ca="1" si="735"/>
        <v/>
      </c>
      <c r="HH379" s="460" t="str">
        <f t="shared" ca="1" si="735"/>
        <v/>
      </c>
      <c r="HI379" s="460" t="str">
        <f t="shared" ca="1" si="735"/>
        <v/>
      </c>
      <c r="HJ379" s="460" t="str">
        <f t="shared" ca="1" si="735"/>
        <v/>
      </c>
      <c r="HK379" s="460" t="str">
        <f t="shared" ca="1" si="735"/>
        <v/>
      </c>
      <c r="HL379" s="460" t="str">
        <f t="shared" ca="1" si="735"/>
        <v/>
      </c>
      <c r="HM379" s="460" t="str">
        <f t="shared" ca="1" si="735"/>
        <v/>
      </c>
      <c r="HN379" s="460" t="str">
        <f t="shared" ca="1" si="735"/>
        <v/>
      </c>
      <c r="HO379" s="460" t="str">
        <f t="shared" ca="1" si="735"/>
        <v/>
      </c>
      <c r="HP379" s="460" t="str">
        <f t="shared" ca="1" si="735"/>
        <v/>
      </c>
      <c r="HQ379" s="460" t="str">
        <f t="shared" ca="1" si="735"/>
        <v/>
      </c>
      <c r="HR379" s="460" t="str">
        <f t="shared" ca="1" si="735"/>
        <v/>
      </c>
      <c r="HS379" s="460" t="str">
        <f t="shared" ca="1" si="735"/>
        <v/>
      </c>
      <c r="HT379" s="460" t="str">
        <f t="shared" ca="1" si="735"/>
        <v/>
      </c>
      <c r="HU379" s="460" t="str">
        <f t="shared" ca="1" si="735"/>
        <v/>
      </c>
      <c r="HV379" s="460" t="str">
        <f t="shared" ca="1" si="735"/>
        <v/>
      </c>
      <c r="HW379" s="460" t="str">
        <f t="shared" ca="1" si="712"/>
        <v/>
      </c>
      <c r="HX379" s="460" t="str">
        <f t="shared" ca="1" si="731"/>
        <v/>
      </c>
      <c r="HY379" s="460" t="str">
        <f t="shared" ca="1" si="731"/>
        <v/>
      </c>
      <c r="HZ379" s="460" t="str">
        <f t="shared" ca="1" si="731"/>
        <v/>
      </c>
      <c r="IA379" s="460" t="str">
        <f t="shared" ca="1" si="731"/>
        <v/>
      </c>
      <c r="IB379" s="460" t="str">
        <f t="shared" ca="1" si="731"/>
        <v/>
      </c>
      <c r="IC379" s="460" t="str">
        <f t="shared" ca="1" si="731"/>
        <v/>
      </c>
      <c r="ID379" s="674" t="str">
        <f t="shared" ca="1" si="731"/>
        <v/>
      </c>
    </row>
    <row r="380" spans="9:238">
      <c r="I380" s="137"/>
      <c r="J380" s="375"/>
      <c r="K380" s="1"/>
      <c r="L380" s="1"/>
      <c r="M380" s="376"/>
      <c r="P380" s="375"/>
      <c r="S380" s="55"/>
      <c r="T380" s="375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74"/>
      <c r="AO380" s="374"/>
      <c r="AP380" s="106"/>
      <c r="AQ380" s="374"/>
      <c r="AR380" s="106"/>
      <c r="AS380" s="106"/>
      <c r="AT380" s="106"/>
      <c r="AU380" s="31"/>
      <c r="AV380" s="31"/>
      <c r="AW380" s="31"/>
      <c r="AX380" s="31"/>
      <c r="AY380" s="154"/>
      <c r="AZ380" s="154"/>
      <c r="BA380" s="106"/>
      <c r="BB380" s="106"/>
      <c r="BC380" s="106"/>
      <c r="BD380" s="106"/>
      <c r="BE380" s="107"/>
      <c r="BF380" s="107"/>
      <c r="BG380" s="107"/>
      <c r="BH380" s="105"/>
      <c r="BI380" s="107"/>
      <c r="BJ380" s="106"/>
      <c r="BK380" s="108"/>
      <c r="BL380" s="159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7"/>
      <c r="CC380" s="107"/>
      <c r="CD380" s="107"/>
      <c r="CE380" s="107"/>
      <c r="CF380" s="107"/>
      <c r="CG380" s="107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10"/>
      <c r="DH380" s="475"/>
      <c r="DI380" s="1"/>
      <c r="DJ380" s="53"/>
      <c r="DK380" s="475"/>
      <c r="DL380" s="54"/>
      <c r="DM380" s="54"/>
      <c r="DN380" s="54"/>
      <c r="DO380" s="54"/>
      <c r="DP380" s="54"/>
      <c r="DQ380" s="54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L380" s="55"/>
      <c r="EM380" s="1"/>
      <c r="EN380" s="106"/>
      <c r="EO380" s="106"/>
      <c r="EP380" s="1"/>
      <c r="EQ380" s="106"/>
      <c r="ER380" s="1"/>
      <c r="ES380" s="1"/>
      <c r="ET380" s="1"/>
      <c r="EU380" s="107"/>
      <c r="FJ380" s="673">
        <v>56</v>
      </c>
      <c r="FK380" s="460">
        <f t="shared" ref="FK380:HV380" ca="1" si="736">IF(AND(ISNUMBER(FK75),ISNUMBER(FK$320),FK$320&lt;&gt;0),FK75*FK$320/FK$15,"")</f>
        <v>0</v>
      </c>
      <c r="FL380" s="460">
        <f t="shared" ca="1" si="736"/>
        <v>2.1918817140363801E-3</v>
      </c>
      <c r="FM380" s="460">
        <f t="shared" ca="1" si="736"/>
        <v>2.5477411296044583E-3</v>
      </c>
      <c r="FN380" s="460">
        <f t="shared" ca="1" si="736"/>
        <v>2.1444962985840031E-3</v>
      </c>
      <c r="FO380" s="460">
        <f t="shared" ca="1" si="736"/>
        <v>2.2307627619234981E-3</v>
      </c>
      <c r="FP380" s="460">
        <f t="shared" ca="1" si="736"/>
        <v>1.2360666960512855E-3</v>
      </c>
      <c r="FQ380" s="460" t="str">
        <f t="shared" ca="1" si="736"/>
        <v/>
      </c>
      <c r="FR380" s="460" t="str">
        <f t="shared" ca="1" si="736"/>
        <v/>
      </c>
      <c r="FS380" s="460" t="str">
        <f t="shared" ca="1" si="736"/>
        <v/>
      </c>
      <c r="FT380" s="460" t="str">
        <f t="shared" ca="1" si="736"/>
        <v/>
      </c>
      <c r="FU380" s="460" t="str">
        <f t="shared" ca="1" si="736"/>
        <v/>
      </c>
      <c r="FV380" s="460" t="str">
        <f t="shared" ca="1" si="736"/>
        <v/>
      </c>
      <c r="FW380" s="460" t="str">
        <f t="shared" ca="1" si="736"/>
        <v/>
      </c>
      <c r="FX380" s="460" t="str">
        <f t="shared" ca="1" si="736"/>
        <v/>
      </c>
      <c r="FY380" s="460" t="str">
        <f t="shared" ca="1" si="736"/>
        <v/>
      </c>
      <c r="FZ380" s="460" t="str">
        <f t="shared" ca="1" si="736"/>
        <v/>
      </c>
      <c r="GA380" s="460" t="str">
        <f t="shared" ca="1" si="736"/>
        <v/>
      </c>
      <c r="GB380" s="460" t="str">
        <f t="shared" ca="1" si="736"/>
        <v/>
      </c>
      <c r="GC380" s="460" t="str">
        <f t="shared" ca="1" si="736"/>
        <v/>
      </c>
      <c r="GD380" s="460" t="str">
        <f t="shared" ca="1" si="736"/>
        <v/>
      </c>
      <c r="GE380" s="460" t="str">
        <f t="shared" ca="1" si="736"/>
        <v/>
      </c>
      <c r="GF380" s="460" t="str">
        <f t="shared" ca="1" si="736"/>
        <v/>
      </c>
      <c r="GG380" s="460" t="str">
        <f t="shared" ca="1" si="736"/>
        <v/>
      </c>
      <c r="GH380" s="460" t="str">
        <f t="shared" ca="1" si="736"/>
        <v/>
      </c>
      <c r="GI380" s="460" t="str">
        <f t="shared" ca="1" si="736"/>
        <v/>
      </c>
      <c r="GJ380" s="460" t="str">
        <f t="shared" ca="1" si="736"/>
        <v/>
      </c>
      <c r="GK380" s="460" t="str">
        <f t="shared" ca="1" si="736"/>
        <v/>
      </c>
      <c r="GL380" s="460" t="str">
        <f t="shared" ca="1" si="736"/>
        <v/>
      </c>
      <c r="GM380" s="460" t="str">
        <f t="shared" ca="1" si="736"/>
        <v/>
      </c>
      <c r="GN380" s="460" t="str">
        <f t="shared" ca="1" si="736"/>
        <v/>
      </c>
      <c r="GO380" s="460" t="str">
        <f t="shared" ca="1" si="736"/>
        <v/>
      </c>
      <c r="GP380" s="460" t="str">
        <f t="shared" ca="1" si="736"/>
        <v/>
      </c>
      <c r="GQ380" s="460" t="str">
        <f t="shared" ca="1" si="736"/>
        <v/>
      </c>
      <c r="GR380" s="460" t="str">
        <f t="shared" ca="1" si="736"/>
        <v/>
      </c>
      <c r="GS380" s="460" t="str">
        <f t="shared" ca="1" si="736"/>
        <v/>
      </c>
      <c r="GT380" s="460" t="str">
        <f t="shared" ca="1" si="736"/>
        <v/>
      </c>
      <c r="GU380" s="460" t="str">
        <f t="shared" ca="1" si="736"/>
        <v/>
      </c>
      <c r="GV380" s="460" t="str">
        <f t="shared" ca="1" si="736"/>
        <v/>
      </c>
      <c r="GW380" s="460" t="str">
        <f t="shared" ca="1" si="736"/>
        <v/>
      </c>
      <c r="GX380" s="460" t="str">
        <f t="shared" ca="1" si="736"/>
        <v/>
      </c>
      <c r="GY380" s="460" t="str">
        <f t="shared" ca="1" si="736"/>
        <v/>
      </c>
      <c r="GZ380" s="460" t="str">
        <f t="shared" ca="1" si="736"/>
        <v/>
      </c>
      <c r="HA380" s="460" t="str">
        <f t="shared" ca="1" si="736"/>
        <v/>
      </c>
      <c r="HB380" s="460" t="str">
        <f t="shared" ca="1" si="736"/>
        <v/>
      </c>
      <c r="HC380" s="460" t="str">
        <f t="shared" ca="1" si="736"/>
        <v/>
      </c>
      <c r="HD380" s="460" t="str">
        <f t="shared" ca="1" si="736"/>
        <v/>
      </c>
      <c r="HE380" s="460" t="str">
        <f t="shared" ca="1" si="736"/>
        <v/>
      </c>
      <c r="HF380" s="460" t="str">
        <f t="shared" ca="1" si="736"/>
        <v/>
      </c>
      <c r="HG380" s="460" t="str">
        <f t="shared" ca="1" si="736"/>
        <v/>
      </c>
      <c r="HH380" s="460" t="str">
        <f t="shared" ca="1" si="736"/>
        <v/>
      </c>
      <c r="HI380" s="460" t="str">
        <f t="shared" ca="1" si="736"/>
        <v/>
      </c>
      <c r="HJ380" s="460" t="str">
        <f t="shared" ca="1" si="736"/>
        <v/>
      </c>
      <c r="HK380" s="460" t="str">
        <f t="shared" ca="1" si="736"/>
        <v/>
      </c>
      <c r="HL380" s="460" t="str">
        <f t="shared" ca="1" si="736"/>
        <v/>
      </c>
      <c r="HM380" s="460" t="str">
        <f t="shared" ca="1" si="736"/>
        <v/>
      </c>
      <c r="HN380" s="460" t="str">
        <f t="shared" ca="1" si="736"/>
        <v/>
      </c>
      <c r="HO380" s="460" t="str">
        <f t="shared" ca="1" si="736"/>
        <v/>
      </c>
      <c r="HP380" s="460" t="str">
        <f t="shared" ca="1" si="736"/>
        <v/>
      </c>
      <c r="HQ380" s="460" t="str">
        <f t="shared" ca="1" si="736"/>
        <v/>
      </c>
      <c r="HR380" s="460" t="str">
        <f t="shared" ca="1" si="736"/>
        <v/>
      </c>
      <c r="HS380" s="460" t="str">
        <f t="shared" ca="1" si="736"/>
        <v/>
      </c>
      <c r="HT380" s="460" t="str">
        <f t="shared" ca="1" si="736"/>
        <v/>
      </c>
      <c r="HU380" s="460" t="str">
        <f t="shared" ca="1" si="736"/>
        <v/>
      </c>
      <c r="HV380" s="460" t="str">
        <f t="shared" ca="1" si="736"/>
        <v/>
      </c>
      <c r="HW380" s="460" t="str">
        <f t="shared" ca="1" si="712"/>
        <v/>
      </c>
      <c r="HX380" s="460" t="str">
        <f t="shared" ca="1" si="731"/>
        <v/>
      </c>
      <c r="HY380" s="460" t="str">
        <f t="shared" ca="1" si="731"/>
        <v/>
      </c>
      <c r="HZ380" s="460" t="str">
        <f t="shared" ca="1" si="731"/>
        <v/>
      </c>
      <c r="IA380" s="460" t="str">
        <f t="shared" ca="1" si="731"/>
        <v/>
      </c>
      <c r="IB380" s="460" t="str">
        <f t="shared" ca="1" si="731"/>
        <v/>
      </c>
      <c r="IC380" s="460" t="str">
        <f t="shared" ca="1" si="731"/>
        <v/>
      </c>
      <c r="ID380" s="674" t="str">
        <f t="shared" ca="1" si="731"/>
        <v/>
      </c>
    </row>
    <row r="381" spans="9:238">
      <c r="I381" s="137"/>
      <c r="J381" s="375"/>
      <c r="K381" s="1"/>
      <c r="L381" s="1"/>
      <c r="M381" s="376"/>
      <c r="P381" s="375"/>
      <c r="S381" s="55"/>
      <c r="T381" s="375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74"/>
      <c r="AO381" s="374"/>
      <c r="AP381" s="106"/>
      <c r="AQ381" s="374"/>
      <c r="AR381" s="106"/>
      <c r="AS381" s="106"/>
      <c r="AT381" s="106"/>
      <c r="AU381" s="31"/>
      <c r="AV381" s="31"/>
      <c r="AW381" s="31"/>
      <c r="AX381" s="31"/>
      <c r="AY381" s="154"/>
      <c r="AZ381" s="154"/>
      <c r="BA381" s="106"/>
      <c r="BB381" s="106"/>
      <c r="BC381" s="106"/>
      <c r="BD381" s="106"/>
      <c r="BE381" s="107"/>
      <c r="BF381" s="107"/>
      <c r="BG381" s="107"/>
      <c r="BH381" s="105"/>
      <c r="BI381" s="107"/>
      <c r="BJ381" s="106"/>
      <c r="BK381" s="108"/>
      <c r="BL381" s="159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7"/>
      <c r="CC381" s="107"/>
      <c r="CD381" s="107"/>
      <c r="CE381" s="107"/>
      <c r="CF381" s="107"/>
      <c r="CG381" s="107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10"/>
      <c r="DH381" s="475"/>
      <c r="DI381" s="1"/>
      <c r="DJ381" s="53"/>
      <c r="DK381" s="475"/>
      <c r="DL381" s="54"/>
      <c r="DM381" s="54"/>
      <c r="DN381" s="54"/>
      <c r="DO381" s="54"/>
      <c r="DP381" s="54"/>
      <c r="DQ381" s="54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L381" s="55"/>
      <c r="EM381" s="1"/>
      <c r="EN381" s="106"/>
      <c r="EO381" s="106"/>
      <c r="EP381" s="1"/>
      <c r="EQ381" s="106"/>
      <c r="ER381" s="1"/>
      <c r="ES381" s="1"/>
      <c r="ET381" s="1"/>
      <c r="EU381" s="107"/>
      <c r="FJ381" s="673">
        <v>57</v>
      </c>
      <c r="FK381" s="460">
        <f t="shared" ref="FK381:HV381" ca="1" si="737">IF(AND(ISNUMBER(FK76),ISNUMBER(FK$320),FK$320&lt;&gt;0),FK76*FK$320/FK$15,"")</f>
        <v>0</v>
      </c>
      <c r="FL381" s="460">
        <f t="shared" ca="1" si="737"/>
        <v>2.1917773611223202E-3</v>
      </c>
      <c r="FM381" s="460">
        <f t="shared" ca="1" si="737"/>
        <v>2.5475992641507952E-3</v>
      </c>
      <c r="FN381" s="460">
        <f t="shared" ca="1" si="737"/>
        <v>2.1443566358500554E-3</v>
      </c>
      <c r="FO381" s="460">
        <f t="shared" ca="1" si="737"/>
        <v>2.2305928427019538E-3</v>
      </c>
      <c r="FP381" s="460">
        <f t="shared" ca="1" si="737"/>
        <v>1.2359565763780552E-3</v>
      </c>
      <c r="FQ381" s="460" t="str">
        <f t="shared" ca="1" si="737"/>
        <v/>
      </c>
      <c r="FR381" s="460" t="str">
        <f t="shared" ca="1" si="737"/>
        <v/>
      </c>
      <c r="FS381" s="460" t="str">
        <f t="shared" ca="1" si="737"/>
        <v/>
      </c>
      <c r="FT381" s="460" t="str">
        <f t="shared" ca="1" si="737"/>
        <v/>
      </c>
      <c r="FU381" s="460" t="str">
        <f t="shared" ca="1" si="737"/>
        <v/>
      </c>
      <c r="FV381" s="460" t="str">
        <f t="shared" ca="1" si="737"/>
        <v/>
      </c>
      <c r="FW381" s="460" t="str">
        <f t="shared" ca="1" si="737"/>
        <v/>
      </c>
      <c r="FX381" s="460" t="str">
        <f t="shared" ca="1" si="737"/>
        <v/>
      </c>
      <c r="FY381" s="460" t="str">
        <f t="shared" ca="1" si="737"/>
        <v/>
      </c>
      <c r="FZ381" s="460" t="str">
        <f t="shared" ca="1" si="737"/>
        <v/>
      </c>
      <c r="GA381" s="460" t="str">
        <f t="shared" ca="1" si="737"/>
        <v/>
      </c>
      <c r="GB381" s="460" t="str">
        <f t="shared" ca="1" si="737"/>
        <v/>
      </c>
      <c r="GC381" s="460" t="str">
        <f t="shared" ca="1" si="737"/>
        <v/>
      </c>
      <c r="GD381" s="460" t="str">
        <f t="shared" ca="1" si="737"/>
        <v/>
      </c>
      <c r="GE381" s="460" t="str">
        <f t="shared" ca="1" si="737"/>
        <v/>
      </c>
      <c r="GF381" s="460" t="str">
        <f t="shared" ca="1" si="737"/>
        <v/>
      </c>
      <c r="GG381" s="460" t="str">
        <f t="shared" ca="1" si="737"/>
        <v/>
      </c>
      <c r="GH381" s="460" t="str">
        <f t="shared" ca="1" si="737"/>
        <v/>
      </c>
      <c r="GI381" s="460" t="str">
        <f t="shared" ca="1" si="737"/>
        <v/>
      </c>
      <c r="GJ381" s="460" t="str">
        <f t="shared" ca="1" si="737"/>
        <v/>
      </c>
      <c r="GK381" s="460" t="str">
        <f t="shared" ca="1" si="737"/>
        <v/>
      </c>
      <c r="GL381" s="460" t="str">
        <f t="shared" ca="1" si="737"/>
        <v/>
      </c>
      <c r="GM381" s="460" t="str">
        <f t="shared" ca="1" si="737"/>
        <v/>
      </c>
      <c r="GN381" s="460" t="str">
        <f t="shared" ca="1" si="737"/>
        <v/>
      </c>
      <c r="GO381" s="460" t="str">
        <f t="shared" ca="1" si="737"/>
        <v/>
      </c>
      <c r="GP381" s="460" t="str">
        <f t="shared" ca="1" si="737"/>
        <v/>
      </c>
      <c r="GQ381" s="460" t="str">
        <f t="shared" ca="1" si="737"/>
        <v/>
      </c>
      <c r="GR381" s="460" t="str">
        <f t="shared" ca="1" si="737"/>
        <v/>
      </c>
      <c r="GS381" s="460" t="str">
        <f t="shared" ca="1" si="737"/>
        <v/>
      </c>
      <c r="GT381" s="460" t="str">
        <f t="shared" ca="1" si="737"/>
        <v/>
      </c>
      <c r="GU381" s="460" t="str">
        <f t="shared" ca="1" si="737"/>
        <v/>
      </c>
      <c r="GV381" s="460" t="str">
        <f t="shared" ca="1" si="737"/>
        <v/>
      </c>
      <c r="GW381" s="460" t="str">
        <f t="shared" ca="1" si="737"/>
        <v/>
      </c>
      <c r="GX381" s="460" t="str">
        <f t="shared" ca="1" si="737"/>
        <v/>
      </c>
      <c r="GY381" s="460" t="str">
        <f t="shared" ca="1" si="737"/>
        <v/>
      </c>
      <c r="GZ381" s="460" t="str">
        <f t="shared" ca="1" si="737"/>
        <v/>
      </c>
      <c r="HA381" s="460" t="str">
        <f t="shared" ca="1" si="737"/>
        <v/>
      </c>
      <c r="HB381" s="460" t="str">
        <f t="shared" ca="1" si="737"/>
        <v/>
      </c>
      <c r="HC381" s="460" t="str">
        <f t="shared" ca="1" si="737"/>
        <v/>
      </c>
      <c r="HD381" s="460" t="str">
        <f t="shared" ca="1" si="737"/>
        <v/>
      </c>
      <c r="HE381" s="460" t="str">
        <f t="shared" ca="1" si="737"/>
        <v/>
      </c>
      <c r="HF381" s="460" t="str">
        <f t="shared" ca="1" si="737"/>
        <v/>
      </c>
      <c r="HG381" s="460" t="str">
        <f t="shared" ca="1" si="737"/>
        <v/>
      </c>
      <c r="HH381" s="460" t="str">
        <f t="shared" ca="1" si="737"/>
        <v/>
      </c>
      <c r="HI381" s="460" t="str">
        <f t="shared" ca="1" si="737"/>
        <v/>
      </c>
      <c r="HJ381" s="460" t="str">
        <f t="shared" ca="1" si="737"/>
        <v/>
      </c>
      <c r="HK381" s="460" t="str">
        <f t="shared" ca="1" si="737"/>
        <v/>
      </c>
      <c r="HL381" s="460" t="str">
        <f t="shared" ca="1" si="737"/>
        <v/>
      </c>
      <c r="HM381" s="460" t="str">
        <f t="shared" ca="1" si="737"/>
        <v/>
      </c>
      <c r="HN381" s="460" t="str">
        <f t="shared" ca="1" si="737"/>
        <v/>
      </c>
      <c r="HO381" s="460" t="str">
        <f t="shared" ca="1" si="737"/>
        <v/>
      </c>
      <c r="HP381" s="460" t="str">
        <f t="shared" ca="1" si="737"/>
        <v/>
      </c>
      <c r="HQ381" s="460" t="str">
        <f t="shared" ca="1" si="737"/>
        <v/>
      </c>
      <c r="HR381" s="460" t="str">
        <f t="shared" ca="1" si="737"/>
        <v/>
      </c>
      <c r="HS381" s="460" t="str">
        <f t="shared" ca="1" si="737"/>
        <v/>
      </c>
      <c r="HT381" s="460" t="str">
        <f t="shared" ca="1" si="737"/>
        <v/>
      </c>
      <c r="HU381" s="460" t="str">
        <f t="shared" ca="1" si="737"/>
        <v/>
      </c>
      <c r="HV381" s="460" t="str">
        <f t="shared" ca="1" si="737"/>
        <v/>
      </c>
      <c r="HW381" s="460" t="str">
        <f t="shared" ca="1" si="712"/>
        <v/>
      </c>
      <c r="HX381" s="460" t="str">
        <f t="shared" ca="1" si="731"/>
        <v/>
      </c>
      <c r="HY381" s="460" t="str">
        <f t="shared" ca="1" si="731"/>
        <v/>
      </c>
      <c r="HZ381" s="460" t="str">
        <f t="shared" ca="1" si="731"/>
        <v/>
      </c>
      <c r="IA381" s="460" t="str">
        <f t="shared" ca="1" si="731"/>
        <v/>
      </c>
      <c r="IB381" s="460" t="str">
        <f t="shared" ca="1" si="731"/>
        <v/>
      </c>
      <c r="IC381" s="460" t="str">
        <f t="shared" ca="1" si="731"/>
        <v/>
      </c>
      <c r="ID381" s="674" t="str">
        <f t="shared" ca="1" si="731"/>
        <v/>
      </c>
    </row>
    <row r="382" spans="9:238">
      <c r="I382" s="137"/>
      <c r="J382" s="375"/>
      <c r="K382" s="1"/>
      <c r="L382" s="1"/>
      <c r="M382" s="376"/>
      <c r="P382" s="375"/>
      <c r="S382" s="55"/>
      <c r="T382" s="375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74"/>
      <c r="AO382" s="374"/>
      <c r="AP382" s="106"/>
      <c r="AQ382" s="374"/>
      <c r="AR382" s="106"/>
      <c r="AS382" s="106"/>
      <c r="AT382" s="106"/>
      <c r="AU382" s="31"/>
      <c r="AV382" s="31"/>
      <c r="AW382" s="31"/>
      <c r="AX382" s="31"/>
      <c r="AY382" s="154"/>
      <c r="AZ382" s="154"/>
      <c r="BA382" s="106"/>
      <c r="BB382" s="106"/>
      <c r="BC382" s="106"/>
      <c r="BD382" s="106"/>
      <c r="BE382" s="107"/>
      <c r="BF382" s="107"/>
      <c r="BG382" s="107"/>
      <c r="BH382" s="105"/>
      <c r="BI382" s="107"/>
      <c r="BJ382" s="106"/>
      <c r="BK382" s="108"/>
      <c r="BL382" s="159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7"/>
      <c r="CC382" s="107"/>
      <c r="CD382" s="107"/>
      <c r="CE382" s="107"/>
      <c r="CF382" s="107"/>
      <c r="CG382" s="107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10"/>
      <c r="DH382" s="475"/>
      <c r="DI382" s="1"/>
      <c r="DJ382" s="53"/>
      <c r="DK382" s="475"/>
      <c r="DL382" s="54"/>
      <c r="DM382" s="54"/>
      <c r="DN382" s="54"/>
      <c r="DO382" s="54"/>
      <c r="DP382" s="54"/>
      <c r="DQ382" s="54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L382" s="55"/>
      <c r="EM382" s="1"/>
      <c r="EN382" s="106"/>
      <c r="EO382" s="106"/>
      <c r="EP382" s="1"/>
      <c r="EQ382" s="106"/>
      <c r="ER382" s="1"/>
      <c r="ES382" s="1"/>
      <c r="ET382" s="1"/>
      <c r="EU382" s="107"/>
      <c r="FJ382" s="673">
        <v>58</v>
      </c>
      <c r="FK382" s="460">
        <f t="shared" ref="FK382:HV382" ca="1" si="738">IF(AND(ISNUMBER(FK77),ISNUMBER(FK$320),FK$320&lt;&gt;0),FK77*FK$320/FK$15,"")</f>
        <v>0</v>
      </c>
      <c r="FL382" s="460">
        <f t="shared" ca="1" si="738"/>
        <v>2.1916881436285416E-3</v>
      </c>
      <c r="FM382" s="460">
        <f t="shared" ca="1" si="738"/>
        <v>2.5474779759419616E-3</v>
      </c>
      <c r="FN382" s="460">
        <f t="shared" ca="1" si="738"/>
        <v>2.1442372319893472E-3</v>
      </c>
      <c r="FO382" s="460">
        <f t="shared" ca="1" si="738"/>
        <v>2.2304475728337136E-3</v>
      </c>
      <c r="FP382" s="460">
        <f t="shared" ca="1" si="738"/>
        <v>1.2358624324453583E-3</v>
      </c>
      <c r="FQ382" s="460" t="str">
        <f t="shared" ca="1" si="738"/>
        <v/>
      </c>
      <c r="FR382" s="460" t="str">
        <f t="shared" ca="1" si="738"/>
        <v/>
      </c>
      <c r="FS382" s="460" t="str">
        <f t="shared" ca="1" si="738"/>
        <v/>
      </c>
      <c r="FT382" s="460" t="str">
        <f t="shared" ca="1" si="738"/>
        <v/>
      </c>
      <c r="FU382" s="460" t="str">
        <f t="shared" ca="1" si="738"/>
        <v/>
      </c>
      <c r="FV382" s="460" t="str">
        <f t="shared" ca="1" si="738"/>
        <v/>
      </c>
      <c r="FW382" s="460" t="str">
        <f t="shared" ca="1" si="738"/>
        <v/>
      </c>
      <c r="FX382" s="460" t="str">
        <f t="shared" ca="1" si="738"/>
        <v/>
      </c>
      <c r="FY382" s="460" t="str">
        <f t="shared" ca="1" si="738"/>
        <v/>
      </c>
      <c r="FZ382" s="460" t="str">
        <f t="shared" ca="1" si="738"/>
        <v/>
      </c>
      <c r="GA382" s="460" t="str">
        <f t="shared" ca="1" si="738"/>
        <v/>
      </c>
      <c r="GB382" s="460" t="str">
        <f t="shared" ca="1" si="738"/>
        <v/>
      </c>
      <c r="GC382" s="460" t="str">
        <f t="shared" ca="1" si="738"/>
        <v/>
      </c>
      <c r="GD382" s="460" t="str">
        <f t="shared" ca="1" si="738"/>
        <v/>
      </c>
      <c r="GE382" s="460" t="str">
        <f t="shared" ca="1" si="738"/>
        <v/>
      </c>
      <c r="GF382" s="460" t="str">
        <f t="shared" ca="1" si="738"/>
        <v/>
      </c>
      <c r="GG382" s="460" t="str">
        <f t="shared" ca="1" si="738"/>
        <v/>
      </c>
      <c r="GH382" s="460" t="str">
        <f t="shared" ca="1" si="738"/>
        <v/>
      </c>
      <c r="GI382" s="460" t="str">
        <f t="shared" ca="1" si="738"/>
        <v/>
      </c>
      <c r="GJ382" s="460" t="str">
        <f t="shared" ca="1" si="738"/>
        <v/>
      </c>
      <c r="GK382" s="460" t="str">
        <f t="shared" ca="1" si="738"/>
        <v/>
      </c>
      <c r="GL382" s="460" t="str">
        <f t="shared" ca="1" si="738"/>
        <v/>
      </c>
      <c r="GM382" s="460" t="str">
        <f t="shared" ca="1" si="738"/>
        <v/>
      </c>
      <c r="GN382" s="460" t="str">
        <f t="shared" ca="1" si="738"/>
        <v/>
      </c>
      <c r="GO382" s="460" t="str">
        <f t="shared" ca="1" si="738"/>
        <v/>
      </c>
      <c r="GP382" s="460" t="str">
        <f t="shared" ca="1" si="738"/>
        <v/>
      </c>
      <c r="GQ382" s="460" t="str">
        <f t="shared" ca="1" si="738"/>
        <v/>
      </c>
      <c r="GR382" s="460" t="str">
        <f t="shared" ca="1" si="738"/>
        <v/>
      </c>
      <c r="GS382" s="460" t="str">
        <f t="shared" ca="1" si="738"/>
        <v/>
      </c>
      <c r="GT382" s="460" t="str">
        <f t="shared" ca="1" si="738"/>
        <v/>
      </c>
      <c r="GU382" s="460" t="str">
        <f t="shared" ca="1" si="738"/>
        <v/>
      </c>
      <c r="GV382" s="460" t="str">
        <f t="shared" ca="1" si="738"/>
        <v/>
      </c>
      <c r="GW382" s="460" t="str">
        <f t="shared" ca="1" si="738"/>
        <v/>
      </c>
      <c r="GX382" s="460" t="str">
        <f t="shared" ca="1" si="738"/>
        <v/>
      </c>
      <c r="GY382" s="460" t="str">
        <f t="shared" ca="1" si="738"/>
        <v/>
      </c>
      <c r="GZ382" s="460" t="str">
        <f t="shared" ca="1" si="738"/>
        <v/>
      </c>
      <c r="HA382" s="460" t="str">
        <f t="shared" ca="1" si="738"/>
        <v/>
      </c>
      <c r="HB382" s="460" t="str">
        <f t="shared" ca="1" si="738"/>
        <v/>
      </c>
      <c r="HC382" s="460" t="str">
        <f t="shared" ca="1" si="738"/>
        <v/>
      </c>
      <c r="HD382" s="460" t="str">
        <f t="shared" ca="1" si="738"/>
        <v/>
      </c>
      <c r="HE382" s="460" t="str">
        <f t="shared" ca="1" si="738"/>
        <v/>
      </c>
      <c r="HF382" s="460" t="str">
        <f t="shared" ca="1" si="738"/>
        <v/>
      </c>
      <c r="HG382" s="460" t="str">
        <f t="shared" ca="1" si="738"/>
        <v/>
      </c>
      <c r="HH382" s="460" t="str">
        <f t="shared" ca="1" si="738"/>
        <v/>
      </c>
      <c r="HI382" s="460" t="str">
        <f t="shared" ca="1" si="738"/>
        <v/>
      </c>
      <c r="HJ382" s="460" t="str">
        <f t="shared" ca="1" si="738"/>
        <v/>
      </c>
      <c r="HK382" s="460" t="str">
        <f t="shared" ca="1" si="738"/>
        <v/>
      </c>
      <c r="HL382" s="460" t="str">
        <f t="shared" ca="1" si="738"/>
        <v/>
      </c>
      <c r="HM382" s="460" t="str">
        <f t="shared" ca="1" si="738"/>
        <v/>
      </c>
      <c r="HN382" s="460" t="str">
        <f t="shared" ca="1" si="738"/>
        <v/>
      </c>
      <c r="HO382" s="460" t="str">
        <f t="shared" ca="1" si="738"/>
        <v/>
      </c>
      <c r="HP382" s="460" t="str">
        <f t="shared" ca="1" si="738"/>
        <v/>
      </c>
      <c r="HQ382" s="460" t="str">
        <f t="shared" ca="1" si="738"/>
        <v/>
      </c>
      <c r="HR382" s="460" t="str">
        <f t="shared" ca="1" si="738"/>
        <v/>
      </c>
      <c r="HS382" s="460" t="str">
        <f t="shared" ca="1" si="738"/>
        <v/>
      </c>
      <c r="HT382" s="460" t="str">
        <f t="shared" ca="1" si="738"/>
        <v/>
      </c>
      <c r="HU382" s="460" t="str">
        <f t="shared" ca="1" si="738"/>
        <v/>
      </c>
      <c r="HV382" s="460" t="str">
        <f t="shared" ca="1" si="738"/>
        <v/>
      </c>
      <c r="HW382" s="460" t="str">
        <f t="shared" ca="1" si="712"/>
        <v/>
      </c>
      <c r="HX382" s="460" t="str">
        <f t="shared" ca="1" si="731"/>
        <v/>
      </c>
      <c r="HY382" s="460" t="str">
        <f t="shared" ca="1" si="731"/>
        <v/>
      </c>
      <c r="HZ382" s="460" t="str">
        <f t="shared" ca="1" si="731"/>
        <v/>
      </c>
      <c r="IA382" s="460" t="str">
        <f t="shared" ca="1" si="731"/>
        <v/>
      </c>
      <c r="IB382" s="460" t="str">
        <f t="shared" ca="1" si="731"/>
        <v/>
      </c>
      <c r="IC382" s="460" t="str">
        <f t="shared" ca="1" si="731"/>
        <v/>
      </c>
      <c r="ID382" s="674" t="str">
        <f t="shared" ca="1" si="731"/>
        <v/>
      </c>
    </row>
    <row r="383" spans="9:238">
      <c r="I383" s="137"/>
      <c r="J383" s="375"/>
      <c r="K383" s="1"/>
      <c r="L383" s="1"/>
      <c r="M383" s="376"/>
      <c r="P383" s="375"/>
      <c r="S383" s="55"/>
      <c r="T383" s="375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74"/>
      <c r="AO383" s="374"/>
      <c r="AP383" s="106"/>
      <c r="AQ383" s="374"/>
      <c r="AR383" s="106"/>
      <c r="AS383" s="106"/>
      <c r="AT383" s="106"/>
      <c r="AU383" s="31"/>
      <c r="AV383" s="31"/>
      <c r="AW383" s="31"/>
      <c r="AX383" s="31"/>
      <c r="AY383" s="154"/>
      <c r="AZ383" s="154"/>
      <c r="BA383" s="106"/>
      <c r="BB383" s="106"/>
      <c r="BC383" s="106"/>
      <c r="BD383" s="106"/>
      <c r="BE383" s="107"/>
      <c r="BF383" s="107"/>
      <c r="BG383" s="107"/>
      <c r="BH383" s="105"/>
      <c r="BI383" s="107"/>
      <c r="BJ383" s="106"/>
      <c r="BK383" s="108"/>
      <c r="BL383" s="159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7"/>
      <c r="CC383" s="107"/>
      <c r="CD383" s="107"/>
      <c r="CE383" s="107"/>
      <c r="CF383" s="107"/>
      <c r="CG383" s="107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10"/>
      <c r="DH383" s="475"/>
      <c r="DI383" s="1"/>
      <c r="DJ383" s="53"/>
      <c r="DK383" s="475"/>
      <c r="DL383" s="54"/>
      <c r="DM383" s="54"/>
      <c r="DN383" s="54"/>
      <c r="DO383" s="54"/>
      <c r="DP383" s="54"/>
      <c r="DQ383" s="54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L383" s="55"/>
      <c r="EM383" s="1"/>
      <c r="EN383" s="106"/>
      <c r="EO383" s="106"/>
      <c r="EP383" s="1"/>
      <c r="EQ383" s="106"/>
      <c r="ER383" s="1"/>
      <c r="ES383" s="1"/>
      <c r="ET383" s="1"/>
      <c r="EU383" s="107"/>
      <c r="FJ383" s="673">
        <v>59</v>
      </c>
      <c r="FK383" s="460">
        <f t="shared" ref="FK383:HV383" ca="1" si="739">IF(AND(ISNUMBER(FK78),ISNUMBER(FK$320),FK$320&lt;&gt;0),FK78*FK$320/FK$15,"")</f>
        <v>0</v>
      </c>
      <c r="FL383" s="460">
        <f t="shared" ca="1" si="739"/>
        <v>2.1916118657764184E-3</v>
      </c>
      <c r="FM383" s="460">
        <f t="shared" ca="1" si="739"/>
        <v>2.5473742794605118E-3</v>
      </c>
      <c r="FN383" s="460">
        <f t="shared" ca="1" si="739"/>
        <v>2.1441351473731195E-3</v>
      </c>
      <c r="FO383" s="460">
        <f t="shared" ca="1" si="739"/>
        <v>2.2303233751854064E-3</v>
      </c>
      <c r="FP383" s="460">
        <f t="shared" ca="1" si="739"/>
        <v>1.2357819455141323E-3</v>
      </c>
      <c r="FQ383" s="460" t="str">
        <f t="shared" ca="1" si="739"/>
        <v/>
      </c>
      <c r="FR383" s="460" t="str">
        <f t="shared" ca="1" si="739"/>
        <v/>
      </c>
      <c r="FS383" s="460" t="str">
        <f t="shared" ca="1" si="739"/>
        <v/>
      </c>
      <c r="FT383" s="460" t="str">
        <f t="shared" ca="1" si="739"/>
        <v/>
      </c>
      <c r="FU383" s="460" t="str">
        <f t="shared" ca="1" si="739"/>
        <v/>
      </c>
      <c r="FV383" s="460" t="str">
        <f t="shared" ca="1" si="739"/>
        <v/>
      </c>
      <c r="FW383" s="460" t="str">
        <f t="shared" ca="1" si="739"/>
        <v/>
      </c>
      <c r="FX383" s="460" t="str">
        <f t="shared" ca="1" si="739"/>
        <v/>
      </c>
      <c r="FY383" s="460" t="str">
        <f t="shared" ca="1" si="739"/>
        <v/>
      </c>
      <c r="FZ383" s="460" t="str">
        <f t="shared" ca="1" si="739"/>
        <v/>
      </c>
      <c r="GA383" s="460" t="str">
        <f t="shared" ca="1" si="739"/>
        <v/>
      </c>
      <c r="GB383" s="460" t="str">
        <f t="shared" ca="1" si="739"/>
        <v/>
      </c>
      <c r="GC383" s="460" t="str">
        <f t="shared" ca="1" si="739"/>
        <v/>
      </c>
      <c r="GD383" s="460" t="str">
        <f t="shared" ca="1" si="739"/>
        <v/>
      </c>
      <c r="GE383" s="460" t="str">
        <f t="shared" ca="1" si="739"/>
        <v/>
      </c>
      <c r="GF383" s="460" t="str">
        <f t="shared" ca="1" si="739"/>
        <v/>
      </c>
      <c r="GG383" s="460" t="str">
        <f t="shared" ca="1" si="739"/>
        <v/>
      </c>
      <c r="GH383" s="460" t="str">
        <f t="shared" ca="1" si="739"/>
        <v/>
      </c>
      <c r="GI383" s="460" t="str">
        <f t="shared" ca="1" si="739"/>
        <v/>
      </c>
      <c r="GJ383" s="460" t="str">
        <f t="shared" ca="1" si="739"/>
        <v/>
      </c>
      <c r="GK383" s="460" t="str">
        <f t="shared" ca="1" si="739"/>
        <v/>
      </c>
      <c r="GL383" s="460" t="str">
        <f t="shared" ca="1" si="739"/>
        <v/>
      </c>
      <c r="GM383" s="460" t="str">
        <f t="shared" ca="1" si="739"/>
        <v/>
      </c>
      <c r="GN383" s="460" t="str">
        <f t="shared" ca="1" si="739"/>
        <v/>
      </c>
      <c r="GO383" s="460" t="str">
        <f t="shared" ca="1" si="739"/>
        <v/>
      </c>
      <c r="GP383" s="460" t="str">
        <f t="shared" ca="1" si="739"/>
        <v/>
      </c>
      <c r="GQ383" s="460" t="str">
        <f t="shared" ca="1" si="739"/>
        <v/>
      </c>
      <c r="GR383" s="460" t="str">
        <f t="shared" ca="1" si="739"/>
        <v/>
      </c>
      <c r="GS383" s="460" t="str">
        <f t="shared" ca="1" si="739"/>
        <v/>
      </c>
      <c r="GT383" s="460" t="str">
        <f t="shared" ca="1" si="739"/>
        <v/>
      </c>
      <c r="GU383" s="460" t="str">
        <f t="shared" ca="1" si="739"/>
        <v/>
      </c>
      <c r="GV383" s="460" t="str">
        <f t="shared" ca="1" si="739"/>
        <v/>
      </c>
      <c r="GW383" s="460" t="str">
        <f t="shared" ca="1" si="739"/>
        <v/>
      </c>
      <c r="GX383" s="460" t="str">
        <f t="shared" ca="1" si="739"/>
        <v/>
      </c>
      <c r="GY383" s="460" t="str">
        <f t="shared" ca="1" si="739"/>
        <v/>
      </c>
      <c r="GZ383" s="460" t="str">
        <f t="shared" ca="1" si="739"/>
        <v/>
      </c>
      <c r="HA383" s="460" t="str">
        <f t="shared" ca="1" si="739"/>
        <v/>
      </c>
      <c r="HB383" s="460" t="str">
        <f t="shared" ca="1" si="739"/>
        <v/>
      </c>
      <c r="HC383" s="460" t="str">
        <f t="shared" ca="1" si="739"/>
        <v/>
      </c>
      <c r="HD383" s="460" t="str">
        <f t="shared" ca="1" si="739"/>
        <v/>
      </c>
      <c r="HE383" s="460" t="str">
        <f t="shared" ca="1" si="739"/>
        <v/>
      </c>
      <c r="HF383" s="460" t="str">
        <f t="shared" ca="1" si="739"/>
        <v/>
      </c>
      <c r="HG383" s="460" t="str">
        <f t="shared" ca="1" si="739"/>
        <v/>
      </c>
      <c r="HH383" s="460" t="str">
        <f t="shared" ca="1" si="739"/>
        <v/>
      </c>
      <c r="HI383" s="460" t="str">
        <f t="shared" ca="1" si="739"/>
        <v/>
      </c>
      <c r="HJ383" s="460" t="str">
        <f t="shared" ca="1" si="739"/>
        <v/>
      </c>
      <c r="HK383" s="460" t="str">
        <f t="shared" ca="1" si="739"/>
        <v/>
      </c>
      <c r="HL383" s="460" t="str">
        <f t="shared" ca="1" si="739"/>
        <v/>
      </c>
      <c r="HM383" s="460" t="str">
        <f t="shared" ca="1" si="739"/>
        <v/>
      </c>
      <c r="HN383" s="460" t="str">
        <f t="shared" ca="1" si="739"/>
        <v/>
      </c>
      <c r="HO383" s="460" t="str">
        <f t="shared" ca="1" si="739"/>
        <v/>
      </c>
      <c r="HP383" s="460" t="str">
        <f t="shared" ca="1" si="739"/>
        <v/>
      </c>
      <c r="HQ383" s="460" t="str">
        <f t="shared" ca="1" si="739"/>
        <v/>
      </c>
      <c r="HR383" s="460" t="str">
        <f t="shared" ca="1" si="739"/>
        <v/>
      </c>
      <c r="HS383" s="460" t="str">
        <f t="shared" ca="1" si="739"/>
        <v/>
      </c>
      <c r="HT383" s="460" t="str">
        <f t="shared" ca="1" si="739"/>
        <v/>
      </c>
      <c r="HU383" s="460" t="str">
        <f t="shared" ca="1" si="739"/>
        <v/>
      </c>
      <c r="HV383" s="460" t="str">
        <f t="shared" ca="1" si="739"/>
        <v/>
      </c>
      <c r="HW383" s="460" t="str">
        <f t="shared" ca="1" si="712"/>
        <v/>
      </c>
      <c r="HX383" s="460" t="str">
        <f t="shared" ca="1" si="731"/>
        <v/>
      </c>
      <c r="HY383" s="460" t="str">
        <f t="shared" ca="1" si="731"/>
        <v/>
      </c>
      <c r="HZ383" s="460" t="str">
        <f t="shared" ca="1" si="731"/>
        <v/>
      </c>
      <c r="IA383" s="460" t="str">
        <f t="shared" ca="1" si="731"/>
        <v/>
      </c>
      <c r="IB383" s="460" t="str">
        <f t="shared" ca="1" si="731"/>
        <v/>
      </c>
      <c r="IC383" s="460" t="str">
        <f t="shared" ca="1" si="731"/>
        <v/>
      </c>
      <c r="ID383" s="674" t="str">
        <f t="shared" ca="1" si="731"/>
        <v/>
      </c>
    </row>
    <row r="384" spans="9:238">
      <c r="I384" s="137"/>
      <c r="J384" s="375"/>
      <c r="K384" s="1"/>
      <c r="L384" s="1"/>
      <c r="M384" s="376"/>
      <c r="P384" s="375"/>
      <c r="S384" s="55"/>
      <c r="T384" s="375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74"/>
      <c r="AO384" s="374"/>
      <c r="AP384" s="106"/>
      <c r="AQ384" s="374"/>
      <c r="AR384" s="106"/>
      <c r="AS384" s="106"/>
      <c r="AT384" s="106"/>
      <c r="AU384" s="31"/>
      <c r="AV384" s="31"/>
      <c r="AW384" s="31"/>
      <c r="AX384" s="31"/>
      <c r="AY384" s="154"/>
      <c r="AZ384" s="154"/>
      <c r="BA384" s="106"/>
      <c r="BB384" s="106"/>
      <c r="BC384" s="106"/>
      <c r="BD384" s="106"/>
      <c r="BE384" s="107"/>
      <c r="BF384" s="107"/>
      <c r="BG384" s="107"/>
      <c r="BH384" s="105"/>
      <c r="BI384" s="107"/>
      <c r="BJ384" s="106"/>
      <c r="BK384" s="108"/>
      <c r="BL384" s="159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7"/>
      <c r="CC384" s="107"/>
      <c r="CD384" s="107"/>
      <c r="CE384" s="107"/>
      <c r="CF384" s="107"/>
      <c r="CG384" s="107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10"/>
      <c r="DH384" s="475"/>
      <c r="DI384" s="1"/>
      <c r="DJ384" s="53"/>
      <c r="DK384" s="475"/>
      <c r="DL384" s="54"/>
      <c r="DM384" s="54"/>
      <c r="DN384" s="54"/>
      <c r="DO384" s="54"/>
      <c r="DP384" s="54"/>
      <c r="DQ384" s="54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L384" s="55"/>
      <c r="EM384" s="1"/>
      <c r="EN384" s="106"/>
      <c r="EO384" s="106"/>
      <c r="EP384" s="1"/>
      <c r="EQ384" s="106"/>
      <c r="ER384" s="1"/>
      <c r="ES384" s="1"/>
      <c r="ET384" s="1"/>
      <c r="EU384" s="107"/>
      <c r="FJ384" s="673">
        <v>60</v>
      </c>
      <c r="FK384" s="460">
        <f t="shared" ref="FK384:HV384" ca="1" si="740">IF(AND(ISNUMBER(FK79),ISNUMBER(FK$320),FK$320&lt;&gt;0),FK79*FK$320/FK$15,"")</f>
        <v>0</v>
      </c>
      <c r="FL384" s="460">
        <f t="shared" ca="1" si="740"/>
        <v>2.191546650482636E-3</v>
      </c>
      <c r="FM384" s="460">
        <f t="shared" ca="1" si="740"/>
        <v>2.5472856225778454E-3</v>
      </c>
      <c r="FN384" s="460">
        <f t="shared" ca="1" si="740"/>
        <v>2.1440478691816547E-3</v>
      </c>
      <c r="FO384" s="460">
        <f t="shared" ca="1" si="740"/>
        <v>2.2302171921090084E-3</v>
      </c>
      <c r="FP384" s="460">
        <f t="shared" ca="1" si="740"/>
        <v>1.2357131336696746E-3</v>
      </c>
      <c r="FQ384" s="460" t="str">
        <f t="shared" ca="1" si="740"/>
        <v/>
      </c>
      <c r="FR384" s="460" t="str">
        <f t="shared" ca="1" si="740"/>
        <v/>
      </c>
      <c r="FS384" s="460" t="str">
        <f t="shared" ca="1" si="740"/>
        <v/>
      </c>
      <c r="FT384" s="460" t="str">
        <f t="shared" ca="1" si="740"/>
        <v/>
      </c>
      <c r="FU384" s="460" t="str">
        <f t="shared" ca="1" si="740"/>
        <v/>
      </c>
      <c r="FV384" s="460" t="str">
        <f t="shared" ca="1" si="740"/>
        <v/>
      </c>
      <c r="FW384" s="460" t="str">
        <f t="shared" ca="1" si="740"/>
        <v/>
      </c>
      <c r="FX384" s="460" t="str">
        <f t="shared" ca="1" si="740"/>
        <v/>
      </c>
      <c r="FY384" s="460" t="str">
        <f t="shared" ca="1" si="740"/>
        <v/>
      </c>
      <c r="FZ384" s="460" t="str">
        <f t="shared" ca="1" si="740"/>
        <v/>
      </c>
      <c r="GA384" s="460" t="str">
        <f t="shared" ca="1" si="740"/>
        <v/>
      </c>
      <c r="GB384" s="460" t="str">
        <f t="shared" ca="1" si="740"/>
        <v/>
      </c>
      <c r="GC384" s="460" t="str">
        <f t="shared" ca="1" si="740"/>
        <v/>
      </c>
      <c r="GD384" s="460" t="str">
        <f t="shared" ca="1" si="740"/>
        <v/>
      </c>
      <c r="GE384" s="460" t="str">
        <f t="shared" ca="1" si="740"/>
        <v/>
      </c>
      <c r="GF384" s="460" t="str">
        <f t="shared" ca="1" si="740"/>
        <v/>
      </c>
      <c r="GG384" s="460" t="str">
        <f t="shared" ca="1" si="740"/>
        <v/>
      </c>
      <c r="GH384" s="460" t="str">
        <f t="shared" ca="1" si="740"/>
        <v/>
      </c>
      <c r="GI384" s="460" t="str">
        <f t="shared" ca="1" si="740"/>
        <v/>
      </c>
      <c r="GJ384" s="460" t="str">
        <f t="shared" ca="1" si="740"/>
        <v/>
      </c>
      <c r="GK384" s="460" t="str">
        <f t="shared" ca="1" si="740"/>
        <v/>
      </c>
      <c r="GL384" s="460" t="str">
        <f t="shared" ca="1" si="740"/>
        <v/>
      </c>
      <c r="GM384" s="460" t="str">
        <f t="shared" ca="1" si="740"/>
        <v/>
      </c>
      <c r="GN384" s="460" t="str">
        <f t="shared" ca="1" si="740"/>
        <v/>
      </c>
      <c r="GO384" s="460" t="str">
        <f t="shared" ca="1" si="740"/>
        <v/>
      </c>
      <c r="GP384" s="460" t="str">
        <f t="shared" ca="1" si="740"/>
        <v/>
      </c>
      <c r="GQ384" s="460" t="str">
        <f t="shared" ca="1" si="740"/>
        <v/>
      </c>
      <c r="GR384" s="460" t="str">
        <f t="shared" ca="1" si="740"/>
        <v/>
      </c>
      <c r="GS384" s="460" t="str">
        <f t="shared" ca="1" si="740"/>
        <v/>
      </c>
      <c r="GT384" s="460" t="str">
        <f t="shared" ca="1" si="740"/>
        <v/>
      </c>
      <c r="GU384" s="460" t="str">
        <f t="shared" ca="1" si="740"/>
        <v/>
      </c>
      <c r="GV384" s="460" t="str">
        <f t="shared" ca="1" si="740"/>
        <v/>
      </c>
      <c r="GW384" s="460" t="str">
        <f t="shared" ca="1" si="740"/>
        <v/>
      </c>
      <c r="GX384" s="460" t="str">
        <f t="shared" ca="1" si="740"/>
        <v/>
      </c>
      <c r="GY384" s="460" t="str">
        <f t="shared" ca="1" si="740"/>
        <v/>
      </c>
      <c r="GZ384" s="460" t="str">
        <f t="shared" ca="1" si="740"/>
        <v/>
      </c>
      <c r="HA384" s="460" t="str">
        <f t="shared" ca="1" si="740"/>
        <v/>
      </c>
      <c r="HB384" s="460" t="str">
        <f t="shared" ca="1" si="740"/>
        <v/>
      </c>
      <c r="HC384" s="460" t="str">
        <f t="shared" ca="1" si="740"/>
        <v/>
      </c>
      <c r="HD384" s="460" t="str">
        <f t="shared" ca="1" si="740"/>
        <v/>
      </c>
      <c r="HE384" s="460" t="str">
        <f t="shared" ca="1" si="740"/>
        <v/>
      </c>
      <c r="HF384" s="460" t="str">
        <f t="shared" ca="1" si="740"/>
        <v/>
      </c>
      <c r="HG384" s="460" t="str">
        <f t="shared" ca="1" si="740"/>
        <v/>
      </c>
      <c r="HH384" s="460" t="str">
        <f t="shared" ca="1" si="740"/>
        <v/>
      </c>
      <c r="HI384" s="460" t="str">
        <f t="shared" ca="1" si="740"/>
        <v/>
      </c>
      <c r="HJ384" s="460" t="str">
        <f t="shared" ca="1" si="740"/>
        <v/>
      </c>
      <c r="HK384" s="460" t="str">
        <f t="shared" ca="1" si="740"/>
        <v/>
      </c>
      <c r="HL384" s="460" t="str">
        <f t="shared" ca="1" si="740"/>
        <v/>
      </c>
      <c r="HM384" s="460" t="str">
        <f t="shared" ca="1" si="740"/>
        <v/>
      </c>
      <c r="HN384" s="460" t="str">
        <f t="shared" ca="1" si="740"/>
        <v/>
      </c>
      <c r="HO384" s="460" t="str">
        <f t="shared" ca="1" si="740"/>
        <v/>
      </c>
      <c r="HP384" s="460" t="str">
        <f t="shared" ca="1" si="740"/>
        <v/>
      </c>
      <c r="HQ384" s="460" t="str">
        <f t="shared" ca="1" si="740"/>
        <v/>
      </c>
      <c r="HR384" s="460" t="str">
        <f t="shared" ca="1" si="740"/>
        <v/>
      </c>
      <c r="HS384" s="460" t="str">
        <f t="shared" ca="1" si="740"/>
        <v/>
      </c>
      <c r="HT384" s="460" t="str">
        <f t="shared" ca="1" si="740"/>
        <v/>
      </c>
      <c r="HU384" s="460" t="str">
        <f t="shared" ca="1" si="740"/>
        <v/>
      </c>
      <c r="HV384" s="460" t="str">
        <f t="shared" ca="1" si="740"/>
        <v/>
      </c>
      <c r="HW384" s="460" t="str">
        <f t="shared" ca="1" si="712"/>
        <v/>
      </c>
      <c r="HX384" s="460" t="str">
        <f t="shared" ca="1" si="731"/>
        <v/>
      </c>
      <c r="HY384" s="460" t="str">
        <f t="shared" ca="1" si="731"/>
        <v/>
      </c>
      <c r="HZ384" s="460" t="str">
        <f t="shared" ca="1" si="731"/>
        <v/>
      </c>
      <c r="IA384" s="460" t="str">
        <f t="shared" ca="1" si="731"/>
        <v/>
      </c>
      <c r="IB384" s="460" t="str">
        <f t="shared" ca="1" si="731"/>
        <v/>
      </c>
      <c r="IC384" s="460" t="str">
        <f t="shared" ca="1" si="731"/>
        <v/>
      </c>
      <c r="ID384" s="674" t="str">
        <f t="shared" ca="1" si="731"/>
        <v/>
      </c>
    </row>
    <row r="385" spans="9:238">
      <c r="I385" s="137"/>
      <c r="J385" s="375"/>
      <c r="K385" s="1"/>
      <c r="L385" s="1"/>
      <c r="M385" s="376"/>
      <c r="P385" s="375"/>
      <c r="S385" s="55"/>
      <c r="T385" s="375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74"/>
      <c r="AO385" s="374"/>
      <c r="AP385" s="106"/>
      <c r="AQ385" s="374"/>
      <c r="AR385" s="106"/>
      <c r="AS385" s="106"/>
      <c r="AT385" s="106"/>
      <c r="AU385" s="31"/>
      <c r="AV385" s="31"/>
      <c r="AW385" s="31"/>
      <c r="AX385" s="31"/>
      <c r="AY385" s="154"/>
      <c r="AZ385" s="154"/>
      <c r="BA385" s="106"/>
      <c r="BB385" s="106"/>
      <c r="BC385" s="106"/>
      <c r="BD385" s="106"/>
      <c r="BE385" s="107"/>
      <c r="BF385" s="107"/>
      <c r="BG385" s="107"/>
      <c r="BH385" s="105"/>
      <c r="BI385" s="107"/>
      <c r="BJ385" s="106"/>
      <c r="BK385" s="108"/>
      <c r="BL385" s="159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7"/>
      <c r="CC385" s="107"/>
      <c r="CD385" s="107"/>
      <c r="CE385" s="107"/>
      <c r="CF385" s="107"/>
      <c r="CG385" s="107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10"/>
      <c r="DH385" s="475"/>
      <c r="DI385" s="1"/>
      <c r="DJ385" s="53"/>
      <c r="DK385" s="475"/>
      <c r="DL385" s="54"/>
      <c r="DM385" s="54"/>
      <c r="DN385" s="54"/>
      <c r="DO385" s="54"/>
      <c r="DP385" s="54"/>
      <c r="DQ385" s="54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L385" s="55"/>
      <c r="EM385" s="1"/>
      <c r="EN385" s="106"/>
      <c r="EO385" s="106"/>
      <c r="EP385" s="1"/>
      <c r="EQ385" s="106"/>
      <c r="ER385" s="1"/>
      <c r="ES385" s="1"/>
      <c r="ET385" s="1"/>
      <c r="EU385" s="107"/>
      <c r="FJ385" s="673">
        <v>61</v>
      </c>
      <c r="FK385" s="460">
        <f t="shared" ref="FK385:HV385" ca="1" si="741">IF(AND(ISNUMBER(FK80),ISNUMBER(FK$320),FK$320&lt;&gt;0),FK80*FK$320/FK$15,"")</f>
        <v>0</v>
      </c>
      <c r="FL385" s="460">
        <f t="shared" ca="1" si="741"/>
        <v>2.1914908930656622E-3</v>
      </c>
      <c r="FM385" s="460">
        <f t="shared" ca="1" si="741"/>
        <v>2.5472098235813086E-3</v>
      </c>
      <c r="FN385" s="460">
        <f t="shared" ca="1" si="741"/>
        <v>2.1439732493655161E-3</v>
      </c>
      <c r="FO385" s="460">
        <f t="shared" ca="1" si="741"/>
        <v>2.2301264099009285E-3</v>
      </c>
      <c r="FP385" s="460">
        <f t="shared" ca="1" si="741"/>
        <v>1.2356543028187144E-3</v>
      </c>
      <c r="FQ385" s="460" t="str">
        <f t="shared" ca="1" si="741"/>
        <v/>
      </c>
      <c r="FR385" s="460" t="str">
        <f t="shared" ca="1" si="741"/>
        <v/>
      </c>
      <c r="FS385" s="460" t="str">
        <f t="shared" ca="1" si="741"/>
        <v/>
      </c>
      <c r="FT385" s="460" t="str">
        <f t="shared" ca="1" si="741"/>
        <v/>
      </c>
      <c r="FU385" s="460" t="str">
        <f t="shared" ca="1" si="741"/>
        <v/>
      </c>
      <c r="FV385" s="460" t="str">
        <f t="shared" ca="1" si="741"/>
        <v/>
      </c>
      <c r="FW385" s="460" t="str">
        <f t="shared" ca="1" si="741"/>
        <v/>
      </c>
      <c r="FX385" s="460" t="str">
        <f t="shared" ca="1" si="741"/>
        <v/>
      </c>
      <c r="FY385" s="460" t="str">
        <f t="shared" ca="1" si="741"/>
        <v/>
      </c>
      <c r="FZ385" s="460" t="str">
        <f t="shared" ca="1" si="741"/>
        <v/>
      </c>
      <c r="GA385" s="460" t="str">
        <f t="shared" ca="1" si="741"/>
        <v/>
      </c>
      <c r="GB385" s="460" t="str">
        <f t="shared" ca="1" si="741"/>
        <v/>
      </c>
      <c r="GC385" s="460" t="str">
        <f t="shared" ca="1" si="741"/>
        <v/>
      </c>
      <c r="GD385" s="460" t="str">
        <f t="shared" ca="1" si="741"/>
        <v/>
      </c>
      <c r="GE385" s="460" t="str">
        <f t="shared" ca="1" si="741"/>
        <v/>
      </c>
      <c r="GF385" s="460" t="str">
        <f t="shared" ca="1" si="741"/>
        <v/>
      </c>
      <c r="GG385" s="460" t="str">
        <f t="shared" ca="1" si="741"/>
        <v/>
      </c>
      <c r="GH385" s="460" t="str">
        <f t="shared" ca="1" si="741"/>
        <v/>
      </c>
      <c r="GI385" s="460" t="str">
        <f t="shared" ca="1" si="741"/>
        <v/>
      </c>
      <c r="GJ385" s="460" t="str">
        <f t="shared" ca="1" si="741"/>
        <v/>
      </c>
      <c r="GK385" s="460" t="str">
        <f t="shared" ca="1" si="741"/>
        <v/>
      </c>
      <c r="GL385" s="460" t="str">
        <f t="shared" ca="1" si="741"/>
        <v/>
      </c>
      <c r="GM385" s="460" t="str">
        <f t="shared" ca="1" si="741"/>
        <v/>
      </c>
      <c r="GN385" s="460" t="str">
        <f t="shared" ca="1" si="741"/>
        <v/>
      </c>
      <c r="GO385" s="460" t="str">
        <f t="shared" ca="1" si="741"/>
        <v/>
      </c>
      <c r="GP385" s="460" t="str">
        <f t="shared" ca="1" si="741"/>
        <v/>
      </c>
      <c r="GQ385" s="460" t="str">
        <f t="shared" ca="1" si="741"/>
        <v/>
      </c>
      <c r="GR385" s="460" t="str">
        <f t="shared" ca="1" si="741"/>
        <v/>
      </c>
      <c r="GS385" s="460" t="str">
        <f t="shared" ca="1" si="741"/>
        <v/>
      </c>
      <c r="GT385" s="460" t="str">
        <f t="shared" ca="1" si="741"/>
        <v/>
      </c>
      <c r="GU385" s="460" t="str">
        <f t="shared" ca="1" si="741"/>
        <v/>
      </c>
      <c r="GV385" s="460" t="str">
        <f t="shared" ca="1" si="741"/>
        <v/>
      </c>
      <c r="GW385" s="460" t="str">
        <f t="shared" ca="1" si="741"/>
        <v/>
      </c>
      <c r="GX385" s="460" t="str">
        <f t="shared" ca="1" si="741"/>
        <v/>
      </c>
      <c r="GY385" s="460" t="str">
        <f t="shared" ca="1" si="741"/>
        <v/>
      </c>
      <c r="GZ385" s="460" t="str">
        <f t="shared" ca="1" si="741"/>
        <v/>
      </c>
      <c r="HA385" s="460" t="str">
        <f t="shared" ca="1" si="741"/>
        <v/>
      </c>
      <c r="HB385" s="460" t="str">
        <f t="shared" ca="1" si="741"/>
        <v/>
      </c>
      <c r="HC385" s="460" t="str">
        <f t="shared" ca="1" si="741"/>
        <v/>
      </c>
      <c r="HD385" s="460" t="str">
        <f t="shared" ca="1" si="741"/>
        <v/>
      </c>
      <c r="HE385" s="460" t="str">
        <f t="shared" ca="1" si="741"/>
        <v/>
      </c>
      <c r="HF385" s="460" t="str">
        <f t="shared" ca="1" si="741"/>
        <v/>
      </c>
      <c r="HG385" s="460" t="str">
        <f t="shared" ca="1" si="741"/>
        <v/>
      </c>
      <c r="HH385" s="460" t="str">
        <f t="shared" ca="1" si="741"/>
        <v/>
      </c>
      <c r="HI385" s="460" t="str">
        <f t="shared" ca="1" si="741"/>
        <v/>
      </c>
      <c r="HJ385" s="460" t="str">
        <f t="shared" ca="1" si="741"/>
        <v/>
      </c>
      <c r="HK385" s="460" t="str">
        <f t="shared" ca="1" si="741"/>
        <v/>
      </c>
      <c r="HL385" s="460" t="str">
        <f t="shared" ca="1" si="741"/>
        <v/>
      </c>
      <c r="HM385" s="460" t="str">
        <f t="shared" ca="1" si="741"/>
        <v/>
      </c>
      <c r="HN385" s="460" t="str">
        <f t="shared" ca="1" si="741"/>
        <v/>
      </c>
      <c r="HO385" s="460" t="str">
        <f t="shared" ca="1" si="741"/>
        <v/>
      </c>
      <c r="HP385" s="460" t="str">
        <f t="shared" ca="1" si="741"/>
        <v/>
      </c>
      <c r="HQ385" s="460" t="str">
        <f t="shared" ca="1" si="741"/>
        <v/>
      </c>
      <c r="HR385" s="460" t="str">
        <f t="shared" ca="1" si="741"/>
        <v/>
      </c>
      <c r="HS385" s="460" t="str">
        <f t="shared" ca="1" si="741"/>
        <v/>
      </c>
      <c r="HT385" s="460" t="str">
        <f t="shared" ca="1" si="741"/>
        <v/>
      </c>
      <c r="HU385" s="460" t="str">
        <f t="shared" ca="1" si="741"/>
        <v/>
      </c>
      <c r="HV385" s="460" t="str">
        <f t="shared" ca="1" si="741"/>
        <v/>
      </c>
      <c r="HW385" s="460" t="str">
        <f t="shared" ca="1" si="712"/>
        <v/>
      </c>
      <c r="HX385" s="460" t="str">
        <f t="shared" ref="HX385:ID394" ca="1" si="742">IF(AND(ISNUMBER(HX80),ISNUMBER(HX$320),HX$320&lt;&gt;0),HX80*HX$320/HX$15,"")</f>
        <v/>
      </c>
      <c r="HY385" s="460" t="str">
        <f t="shared" ca="1" si="742"/>
        <v/>
      </c>
      <c r="HZ385" s="460" t="str">
        <f t="shared" ca="1" si="742"/>
        <v/>
      </c>
      <c r="IA385" s="460" t="str">
        <f t="shared" ca="1" si="742"/>
        <v/>
      </c>
      <c r="IB385" s="460" t="str">
        <f t="shared" ca="1" si="742"/>
        <v/>
      </c>
      <c r="IC385" s="460" t="str">
        <f t="shared" ca="1" si="742"/>
        <v/>
      </c>
      <c r="ID385" s="674" t="str">
        <f t="shared" ca="1" si="742"/>
        <v/>
      </c>
    </row>
    <row r="386" spans="9:238">
      <c r="I386" s="137"/>
      <c r="J386" s="375"/>
      <c r="K386" s="1"/>
      <c r="L386" s="1"/>
      <c r="M386" s="376"/>
      <c r="P386" s="375"/>
      <c r="S386" s="55"/>
      <c r="T386" s="375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74"/>
      <c r="AO386" s="374"/>
      <c r="AP386" s="106"/>
      <c r="AQ386" s="374"/>
      <c r="AR386" s="106"/>
      <c r="AS386" s="106"/>
      <c r="AT386" s="106"/>
      <c r="AU386" s="31"/>
      <c r="AV386" s="31"/>
      <c r="AW386" s="31"/>
      <c r="AX386" s="31"/>
      <c r="AY386" s="154"/>
      <c r="AZ386" s="154"/>
      <c r="BA386" s="106"/>
      <c r="BB386" s="106"/>
      <c r="BC386" s="106"/>
      <c r="BD386" s="106"/>
      <c r="BE386" s="107"/>
      <c r="BF386" s="107"/>
      <c r="BG386" s="107"/>
      <c r="BH386" s="105"/>
      <c r="BI386" s="107"/>
      <c r="BJ386" s="106"/>
      <c r="BK386" s="108"/>
      <c r="BL386" s="159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7"/>
      <c r="CC386" s="107"/>
      <c r="CD386" s="107"/>
      <c r="CE386" s="107"/>
      <c r="CF386" s="107"/>
      <c r="CG386" s="107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10"/>
      <c r="DH386" s="475"/>
      <c r="DI386" s="1"/>
      <c r="DJ386" s="53"/>
      <c r="DK386" s="475"/>
      <c r="DL386" s="54"/>
      <c r="DM386" s="54"/>
      <c r="DN386" s="54"/>
      <c r="DO386" s="54"/>
      <c r="DP386" s="54"/>
      <c r="DQ386" s="54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L386" s="55"/>
      <c r="EM386" s="1"/>
      <c r="EN386" s="106"/>
      <c r="EO386" s="106"/>
      <c r="EP386" s="1"/>
      <c r="EQ386" s="106"/>
      <c r="ER386" s="1"/>
      <c r="ES386" s="1"/>
      <c r="ET386" s="1"/>
      <c r="EU386" s="107"/>
      <c r="FJ386" s="673">
        <v>62</v>
      </c>
      <c r="FK386" s="460">
        <f t="shared" ref="FK386:HV386" ca="1" si="743">IF(AND(ISNUMBER(FK81),ISNUMBER(FK$320),FK$320&lt;&gt;0),FK81*FK$320/FK$15,"")</f>
        <v>0</v>
      </c>
      <c r="FL386" s="460">
        <f t="shared" ca="1" si="743"/>
        <v>2.1914432216870372E-3</v>
      </c>
      <c r="FM386" s="460">
        <f t="shared" ca="1" si="743"/>
        <v>2.5471450173677507E-3</v>
      </c>
      <c r="FN386" s="460">
        <f t="shared" ca="1" si="743"/>
        <v>2.1439094516431624E-3</v>
      </c>
      <c r="FO386" s="460">
        <f t="shared" ca="1" si="743"/>
        <v>2.230048794272535E-3</v>
      </c>
      <c r="FP386" s="460">
        <f t="shared" ca="1" si="743"/>
        <v>1.2356040048358856E-3</v>
      </c>
      <c r="FQ386" s="460" t="str">
        <f t="shared" ca="1" si="743"/>
        <v/>
      </c>
      <c r="FR386" s="460" t="str">
        <f t="shared" ca="1" si="743"/>
        <v/>
      </c>
      <c r="FS386" s="460" t="str">
        <f t="shared" ca="1" si="743"/>
        <v/>
      </c>
      <c r="FT386" s="460" t="str">
        <f t="shared" ca="1" si="743"/>
        <v/>
      </c>
      <c r="FU386" s="460" t="str">
        <f t="shared" ca="1" si="743"/>
        <v/>
      </c>
      <c r="FV386" s="460" t="str">
        <f t="shared" ca="1" si="743"/>
        <v/>
      </c>
      <c r="FW386" s="460" t="str">
        <f t="shared" ca="1" si="743"/>
        <v/>
      </c>
      <c r="FX386" s="460" t="str">
        <f t="shared" ca="1" si="743"/>
        <v/>
      </c>
      <c r="FY386" s="460" t="str">
        <f t="shared" ca="1" si="743"/>
        <v/>
      </c>
      <c r="FZ386" s="460" t="str">
        <f t="shared" ca="1" si="743"/>
        <v/>
      </c>
      <c r="GA386" s="460" t="str">
        <f t="shared" ca="1" si="743"/>
        <v/>
      </c>
      <c r="GB386" s="460" t="str">
        <f t="shared" ca="1" si="743"/>
        <v/>
      </c>
      <c r="GC386" s="460" t="str">
        <f t="shared" ca="1" si="743"/>
        <v/>
      </c>
      <c r="GD386" s="460" t="str">
        <f t="shared" ca="1" si="743"/>
        <v/>
      </c>
      <c r="GE386" s="460" t="str">
        <f t="shared" ca="1" si="743"/>
        <v/>
      </c>
      <c r="GF386" s="460" t="str">
        <f t="shared" ca="1" si="743"/>
        <v/>
      </c>
      <c r="GG386" s="460" t="str">
        <f t="shared" ca="1" si="743"/>
        <v/>
      </c>
      <c r="GH386" s="460" t="str">
        <f t="shared" ca="1" si="743"/>
        <v/>
      </c>
      <c r="GI386" s="460" t="str">
        <f t="shared" ca="1" si="743"/>
        <v/>
      </c>
      <c r="GJ386" s="460" t="str">
        <f t="shared" ca="1" si="743"/>
        <v/>
      </c>
      <c r="GK386" s="460" t="str">
        <f t="shared" ca="1" si="743"/>
        <v/>
      </c>
      <c r="GL386" s="460" t="str">
        <f t="shared" ca="1" si="743"/>
        <v/>
      </c>
      <c r="GM386" s="460" t="str">
        <f t="shared" ca="1" si="743"/>
        <v/>
      </c>
      <c r="GN386" s="460" t="str">
        <f t="shared" ca="1" si="743"/>
        <v/>
      </c>
      <c r="GO386" s="460" t="str">
        <f t="shared" ca="1" si="743"/>
        <v/>
      </c>
      <c r="GP386" s="460" t="str">
        <f t="shared" ca="1" si="743"/>
        <v/>
      </c>
      <c r="GQ386" s="460" t="str">
        <f t="shared" ca="1" si="743"/>
        <v/>
      </c>
      <c r="GR386" s="460" t="str">
        <f t="shared" ca="1" si="743"/>
        <v/>
      </c>
      <c r="GS386" s="460" t="str">
        <f t="shared" ca="1" si="743"/>
        <v/>
      </c>
      <c r="GT386" s="460" t="str">
        <f t="shared" ca="1" si="743"/>
        <v/>
      </c>
      <c r="GU386" s="460" t="str">
        <f t="shared" ca="1" si="743"/>
        <v/>
      </c>
      <c r="GV386" s="460" t="str">
        <f t="shared" ca="1" si="743"/>
        <v/>
      </c>
      <c r="GW386" s="460" t="str">
        <f t="shared" ca="1" si="743"/>
        <v/>
      </c>
      <c r="GX386" s="460" t="str">
        <f t="shared" ca="1" si="743"/>
        <v/>
      </c>
      <c r="GY386" s="460" t="str">
        <f t="shared" ca="1" si="743"/>
        <v/>
      </c>
      <c r="GZ386" s="460" t="str">
        <f t="shared" ca="1" si="743"/>
        <v/>
      </c>
      <c r="HA386" s="460" t="str">
        <f t="shared" ca="1" si="743"/>
        <v/>
      </c>
      <c r="HB386" s="460" t="str">
        <f t="shared" ca="1" si="743"/>
        <v/>
      </c>
      <c r="HC386" s="460" t="str">
        <f t="shared" ca="1" si="743"/>
        <v/>
      </c>
      <c r="HD386" s="460" t="str">
        <f t="shared" ca="1" si="743"/>
        <v/>
      </c>
      <c r="HE386" s="460" t="str">
        <f t="shared" ca="1" si="743"/>
        <v/>
      </c>
      <c r="HF386" s="460" t="str">
        <f t="shared" ca="1" si="743"/>
        <v/>
      </c>
      <c r="HG386" s="460" t="str">
        <f t="shared" ca="1" si="743"/>
        <v/>
      </c>
      <c r="HH386" s="460" t="str">
        <f t="shared" ca="1" si="743"/>
        <v/>
      </c>
      <c r="HI386" s="460" t="str">
        <f t="shared" ca="1" si="743"/>
        <v/>
      </c>
      <c r="HJ386" s="460" t="str">
        <f t="shared" ca="1" si="743"/>
        <v/>
      </c>
      <c r="HK386" s="460" t="str">
        <f t="shared" ca="1" si="743"/>
        <v/>
      </c>
      <c r="HL386" s="460" t="str">
        <f t="shared" ca="1" si="743"/>
        <v/>
      </c>
      <c r="HM386" s="460" t="str">
        <f t="shared" ca="1" si="743"/>
        <v/>
      </c>
      <c r="HN386" s="460" t="str">
        <f t="shared" ca="1" si="743"/>
        <v/>
      </c>
      <c r="HO386" s="460" t="str">
        <f t="shared" ca="1" si="743"/>
        <v/>
      </c>
      <c r="HP386" s="460" t="str">
        <f t="shared" ca="1" si="743"/>
        <v/>
      </c>
      <c r="HQ386" s="460" t="str">
        <f t="shared" ca="1" si="743"/>
        <v/>
      </c>
      <c r="HR386" s="460" t="str">
        <f t="shared" ca="1" si="743"/>
        <v/>
      </c>
      <c r="HS386" s="460" t="str">
        <f t="shared" ca="1" si="743"/>
        <v/>
      </c>
      <c r="HT386" s="460" t="str">
        <f t="shared" ca="1" si="743"/>
        <v/>
      </c>
      <c r="HU386" s="460" t="str">
        <f t="shared" ca="1" si="743"/>
        <v/>
      </c>
      <c r="HV386" s="460" t="str">
        <f t="shared" ca="1" si="743"/>
        <v/>
      </c>
      <c r="HW386" s="460" t="str">
        <f t="shared" ca="1" si="712"/>
        <v/>
      </c>
      <c r="HX386" s="460" t="str">
        <f t="shared" ca="1" si="742"/>
        <v/>
      </c>
      <c r="HY386" s="460" t="str">
        <f t="shared" ca="1" si="742"/>
        <v/>
      </c>
      <c r="HZ386" s="460" t="str">
        <f t="shared" ca="1" si="742"/>
        <v/>
      </c>
      <c r="IA386" s="460" t="str">
        <f t="shared" ca="1" si="742"/>
        <v/>
      </c>
      <c r="IB386" s="460" t="str">
        <f t="shared" ca="1" si="742"/>
        <v/>
      </c>
      <c r="IC386" s="460" t="str">
        <f t="shared" ca="1" si="742"/>
        <v/>
      </c>
      <c r="ID386" s="674" t="str">
        <f t="shared" ca="1" si="742"/>
        <v/>
      </c>
    </row>
    <row r="387" spans="9:238">
      <c r="I387" s="137"/>
      <c r="J387" s="375"/>
      <c r="K387" s="1"/>
      <c r="L387" s="1"/>
      <c r="M387" s="376"/>
      <c r="P387" s="375"/>
      <c r="S387" s="55"/>
      <c r="T387" s="375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74"/>
      <c r="AO387" s="374"/>
      <c r="AP387" s="106"/>
      <c r="AQ387" s="374"/>
      <c r="AR387" s="106"/>
      <c r="AS387" s="106"/>
      <c r="AT387" s="106"/>
      <c r="AU387" s="31"/>
      <c r="AV387" s="31"/>
      <c r="AW387" s="31"/>
      <c r="AX387" s="31"/>
      <c r="AY387" s="154"/>
      <c r="AZ387" s="154"/>
      <c r="BA387" s="106"/>
      <c r="BB387" s="106"/>
      <c r="BC387" s="106"/>
      <c r="BD387" s="106"/>
      <c r="BE387" s="107"/>
      <c r="BF387" s="107"/>
      <c r="BG387" s="107"/>
      <c r="BH387" s="105"/>
      <c r="BI387" s="107"/>
      <c r="BJ387" s="106"/>
      <c r="BK387" s="108"/>
      <c r="BL387" s="159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7"/>
      <c r="CC387" s="107"/>
      <c r="CD387" s="107"/>
      <c r="CE387" s="107"/>
      <c r="CF387" s="107"/>
      <c r="CG387" s="107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10"/>
      <c r="DH387" s="475"/>
      <c r="DI387" s="1"/>
      <c r="DJ387" s="53"/>
      <c r="DK387" s="475"/>
      <c r="DL387" s="54"/>
      <c r="DM387" s="54"/>
      <c r="DN387" s="54"/>
      <c r="DO387" s="54"/>
      <c r="DP387" s="54"/>
      <c r="DQ387" s="54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L387" s="55"/>
      <c r="EM387" s="1"/>
      <c r="EN387" s="106"/>
      <c r="EO387" s="106"/>
      <c r="EP387" s="1"/>
      <c r="EQ387" s="106"/>
      <c r="ER387" s="1"/>
      <c r="ES387" s="1"/>
      <c r="ET387" s="1"/>
      <c r="EU387" s="107"/>
      <c r="FJ387" s="673">
        <v>63</v>
      </c>
      <c r="FK387" s="460">
        <f t="shared" ref="FK387:HV387" ca="1" si="744">IF(AND(ISNUMBER(FK82),ISNUMBER(FK$320),FK$320&lt;&gt;0),FK82*FK$320/FK$15,"")</f>
        <v>0</v>
      </c>
      <c r="FL387" s="460">
        <f t="shared" ca="1" si="744"/>
        <v>2.1914024635449419E-3</v>
      </c>
      <c r="FM387" s="460">
        <f t="shared" ca="1" si="744"/>
        <v>2.5470896094648846E-3</v>
      </c>
      <c r="FN387" s="460">
        <f t="shared" ca="1" si="744"/>
        <v>2.1438549062136945E-3</v>
      </c>
      <c r="FO387" s="460">
        <f t="shared" ca="1" si="744"/>
        <v>2.2299824352198495E-3</v>
      </c>
      <c r="FP387" s="460">
        <f t="shared" ca="1" si="744"/>
        <v>1.2355610018110995E-3</v>
      </c>
      <c r="FQ387" s="460" t="str">
        <f t="shared" ca="1" si="744"/>
        <v/>
      </c>
      <c r="FR387" s="460" t="str">
        <f t="shared" ca="1" si="744"/>
        <v/>
      </c>
      <c r="FS387" s="460" t="str">
        <f t="shared" ca="1" si="744"/>
        <v/>
      </c>
      <c r="FT387" s="460" t="str">
        <f t="shared" ca="1" si="744"/>
        <v/>
      </c>
      <c r="FU387" s="460" t="str">
        <f t="shared" ca="1" si="744"/>
        <v/>
      </c>
      <c r="FV387" s="460" t="str">
        <f t="shared" ca="1" si="744"/>
        <v/>
      </c>
      <c r="FW387" s="460" t="str">
        <f t="shared" ca="1" si="744"/>
        <v/>
      </c>
      <c r="FX387" s="460" t="str">
        <f t="shared" ca="1" si="744"/>
        <v/>
      </c>
      <c r="FY387" s="460" t="str">
        <f t="shared" ca="1" si="744"/>
        <v/>
      </c>
      <c r="FZ387" s="460" t="str">
        <f t="shared" ca="1" si="744"/>
        <v/>
      </c>
      <c r="GA387" s="460" t="str">
        <f t="shared" ca="1" si="744"/>
        <v/>
      </c>
      <c r="GB387" s="460" t="str">
        <f t="shared" ca="1" si="744"/>
        <v/>
      </c>
      <c r="GC387" s="460" t="str">
        <f t="shared" ca="1" si="744"/>
        <v/>
      </c>
      <c r="GD387" s="460" t="str">
        <f t="shared" ca="1" si="744"/>
        <v/>
      </c>
      <c r="GE387" s="460" t="str">
        <f t="shared" ca="1" si="744"/>
        <v/>
      </c>
      <c r="GF387" s="460" t="str">
        <f t="shared" ca="1" si="744"/>
        <v/>
      </c>
      <c r="GG387" s="460" t="str">
        <f t="shared" ca="1" si="744"/>
        <v/>
      </c>
      <c r="GH387" s="460" t="str">
        <f t="shared" ca="1" si="744"/>
        <v/>
      </c>
      <c r="GI387" s="460" t="str">
        <f t="shared" ca="1" si="744"/>
        <v/>
      </c>
      <c r="GJ387" s="460" t="str">
        <f t="shared" ca="1" si="744"/>
        <v/>
      </c>
      <c r="GK387" s="460" t="str">
        <f t="shared" ca="1" si="744"/>
        <v/>
      </c>
      <c r="GL387" s="460" t="str">
        <f t="shared" ca="1" si="744"/>
        <v/>
      </c>
      <c r="GM387" s="460" t="str">
        <f t="shared" ca="1" si="744"/>
        <v/>
      </c>
      <c r="GN387" s="460" t="str">
        <f t="shared" ca="1" si="744"/>
        <v/>
      </c>
      <c r="GO387" s="460" t="str">
        <f t="shared" ca="1" si="744"/>
        <v/>
      </c>
      <c r="GP387" s="460" t="str">
        <f t="shared" ca="1" si="744"/>
        <v/>
      </c>
      <c r="GQ387" s="460" t="str">
        <f t="shared" ca="1" si="744"/>
        <v/>
      </c>
      <c r="GR387" s="460" t="str">
        <f t="shared" ca="1" si="744"/>
        <v/>
      </c>
      <c r="GS387" s="460" t="str">
        <f t="shared" ca="1" si="744"/>
        <v/>
      </c>
      <c r="GT387" s="460" t="str">
        <f t="shared" ca="1" si="744"/>
        <v/>
      </c>
      <c r="GU387" s="460" t="str">
        <f t="shared" ca="1" si="744"/>
        <v/>
      </c>
      <c r="GV387" s="460" t="str">
        <f t="shared" ca="1" si="744"/>
        <v/>
      </c>
      <c r="GW387" s="460" t="str">
        <f t="shared" ca="1" si="744"/>
        <v/>
      </c>
      <c r="GX387" s="460" t="str">
        <f t="shared" ca="1" si="744"/>
        <v/>
      </c>
      <c r="GY387" s="460" t="str">
        <f t="shared" ca="1" si="744"/>
        <v/>
      </c>
      <c r="GZ387" s="460" t="str">
        <f t="shared" ca="1" si="744"/>
        <v/>
      </c>
      <c r="HA387" s="460" t="str">
        <f t="shared" ca="1" si="744"/>
        <v/>
      </c>
      <c r="HB387" s="460" t="str">
        <f t="shared" ca="1" si="744"/>
        <v/>
      </c>
      <c r="HC387" s="460" t="str">
        <f t="shared" ca="1" si="744"/>
        <v/>
      </c>
      <c r="HD387" s="460" t="str">
        <f t="shared" ca="1" si="744"/>
        <v/>
      </c>
      <c r="HE387" s="460" t="str">
        <f t="shared" ca="1" si="744"/>
        <v/>
      </c>
      <c r="HF387" s="460" t="str">
        <f t="shared" ca="1" si="744"/>
        <v/>
      </c>
      <c r="HG387" s="460" t="str">
        <f t="shared" ca="1" si="744"/>
        <v/>
      </c>
      <c r="HH387" s="460" t="str">
        <f t="shared" ca="1" si="744"/>
        <v/>
      </c>
      <c r="HI387" s="460" t="str">
        <f t="shared" ca="1" si="744"/>
        <v/>
      </c>
      <c r="HJ387" s="460" t="str">
        <f t="shared" ca="1" si="744"/>
        <v/>
      </c>
      <c r="HK387" s="460" t="str">
        <f t="shared" ca="1" si="744"/>
        <v/>
      </c>
      <c r="HL387" s="460" t="str">
        <f t="shared" ca="1" si="744"/>
        <v/>
      </c>
      <c r="HM387" s="460" t="str">
        <f t="shared" ca="1" si="744"/>
        <v/>
      </c>
      <c r="HN387" s="460" t="str">
        <f t="shared" ca="1" si="744"/>
        <v/>
      </c>
      <c r="HO387" s="460" t="str">
        <f t="shared" ca="1" si="744"/>
        <v/>
      </c>
      <c r="HP387" s="460" t="str">
        <f t="shared" ca="1" si="744"/>
        <v/>
      </c>
      <c r="HQ387" s="460" t="str">
        <f t="shared" ca="1" si="744"/>
        <v/>
      </c>
      <c r="HR387" s="460" t="str">
        <f t="shared" ca="1" si="744"/>
        <v/>
      </c>
      <c r="HS387" s="460" t="str">
        <f t="shared" ca="1" si="744"/>
        <v/>
      </c>
      <c r="HT387" s="460" t="str">
        <f t="shared" ca="1" si="744"/>
        <v/>
      </c>
      <c r="HU387" s="460" t="str">
        <f t="shared" ca="1" si="744"/>
        <v/>
      </c>
      <c r="HV387" s="460" t="str">
        <f t="shared" ca="1" si="744"/>
        <v/>
      </c>
      <c r="HW387" s="460" t="str">
        <f t="shared" ca="1" si="712"/>
        <v/>
      </c>
      <c r="HX387" s="460" t="str">
        <f t="shared" ca="1" si="742"/>
        <v/>
      </c>
      <c r="HY387" s="460" t="str">
        <f t="shared" ca="1" si="742"/>
        <v/>
      </c>
      <c r="HZ387" s="460" t="str">
        <f t="shared" ca="1" si="742"/>
        <v/>
      </c>
      <c r="IA387" s="460" t="str">
        <f t="shared" ca="1" si="742"/>
        <v/>
      </c>
      <c r="IB387" s="460" t="str">
        <f t="shared" ca="1" si="742"/>
        <v/>
      </c>
      <c r="IC387" s="460" t="str">
        <f t="shared" ca="1" si="742"/>
        <v/>
      </c>
      <c r="ID387" s="674" t="str">
        <f t="shared" ca="1" si="742"/>
        <v/>
      </c>
    </row>
    <row r="388" spans="9:238">
      <c r="I388" s="137"/>
      <c r="J388" s="375"/>
      <c r="K388" s="1"/>
      <c r="L388" s="1"/>
      <c r="M388" s="376"/>
      <c r="P388" s="375"/>
      <c r="S388" s="55"/>
      <c r="T388" s="375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74"/>
      <c r="AO388" s="374"/>
      <c r="AP388" s="106"/>
      <c r="AQ388" s="374"/>
      <c r="AR388" s="106"/>
      <c r="AS388" s="106"/>
      <c r="AT388" s="106"/>
      <c r="AU388" s="31"/>
      <c r="AV388" s="31"/>
      <c r="AW388" s="31"/>
      <c r="AX388" s="31"/>
      <c r="AY388" s="154"/>
      <c r="AZ388" s="154"/>
      <c r="BA388" s="106"/>
      <c r="BB388" s="106"/>
      <c r="BC388" s="106"/>
      <c r="BD388" s="106"/>
      <c r="BE388" s="107"/>
      <c r="BF388" s="107"/>
      <c r="BG388" s="107"/>
      <c r="BH388" s="105"/>
      <c r="BI388" s="107"/>
      <c r="BJ388" s="106"/>
      <c r="BK388" s="108"/>
      <c r="BL388" s="159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7"/>
      <c r="CC388" s="107"/>
      <c r="CD388" s="107"/>
      <c r="CE388" s="107"/>
      <c r="CF388" s="107"/>
      <c r="CG388" s="107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10"/>
      <c r="DH388" s="475"/>
      <c r="DI388" s="1"/>
      <c r="DJ388" s="53"/>
      <c r="DK388" s="475"/>
      <c r="DL388" s="54"/>
      <c r="DM388" s="54"/>
      <c r="DN388" s="54"/>
      <c r="DO388" s="54"/>
      <c r="DP388" s="54"/>
      <c r="DQ388" s="54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L388" s="55"/>
      <c r="EM388" s="1"/>
      <c r="EN388" s="106"/>
      <c r="EO388" s="106"/>
      <c r="EP388" s="1"/>
      <c r="EQ388" s="106"/>
      <c r="ER388" s="1"/>
      <c r="ES388" s="1"/>
      <c r="ET388" s="1"/>
      <c r="EU388" s="107"/>
      <c r="FJ388" s="673">
        <v>64</v>
      </c>
      <c r="FK388" s="460">
        <f t="shared" ref="FK388:HV388" ca="1" si="745">IF(AND(ISNUMBER(FK83),ISNUMBER(FK$320),FK$320&lt;&gt;0),FK83*FK$320/FK$15,"")</f>
        <v>0</v>
      </c>
      <c r="FL388" s="460">
        <f t="shared" ca="1" si="745"/>
        <v>2.1913676159815844E-3</v>
      </c>
      <c r="FM388" s="460">
        <f t="shared" ca="1" si="745"/>
        <v>2.5470422367384529E-3</v>
      </c>
      <c r="FN388" s="460">
        <f t="shared" ca="1" si="745"/>
        <v>2.1438082710580233E-3</v>
      </c>
      <c r="FO388" s="460">
        <f t="shared" ca="1" si="745"/>
        <v>2.2299256999181128E-3</v>
      </c>
      <c r="FP388" s="460">
        <f t="shared" ca="1" si="745"/>
        <v>1.2355242355045386E-3</v>
      </c>
      <c r="FQ388" s="460" t="str">
        <f t="shared" ca="1" si="745"/>
        <v/>
      </c>
      <c r="FR388" s="460" t="str">
        <f t="shared" ca="1" si="745"/>
        <v/>
      </c>
      <c r="FS388" s="460" t="str">
        <f t="shared" ca="1" si="745"/>
        <v/>
      </c>
      <c r="FT388" s="460" t="str">
        <f t="shared" ca="1" si="745"/>
        <v/>
      </c>
      <c r="FU388" s="460" t="str">
        <f t="shared" ca="1" si="745"/>
        <v/>
      </c>
      <c r="FV388" s="460" t="str">
        <f t="shared" ca="1" si="745"/>
        <v/>
      </c>
      <c r="FW388" s="460" t="str">
        <f t="shared" ca="1" si="745"/>
        <v/>
      </c>
      <c r="FX388" s="460" t="str">
        <f t="shared" ca="1" si="745"/>
        <v/>
      </c>
      <c r="FY388" s="460" t="str">
        <f t="shared" ca="1" si="745"/>
        <v/>
      </c>
      <c r="FZ388" s="460" t="str">
        <f t="shared" ca="1" si="745"/>
        <v/>
      </c>
      <c r="GA388" s="460" t="str">
        <f t="shared" ca="1" si="745"/>
        <v/>
      </c>
      <c r="GB388" s="460" t="str">
        <f t="shared" ca="1" si="745"/>
        <v/>
      </c>
      <c r="GC388" s="460" t="str">
        <f t="shared" ca="1" si="745"/>
        <v/>
      </c>
      <c r="GD388" s="460" t="str">
        <f t="shared" ca="1" si="745"/>
        <v/>
      </c>
      <c r="GE388" s="460" t="str">
        <f t="shared" ca="1" si="745"/>
        <v/>
      </c>
      <c r="GF388" s="460" t="str">
        <f t="shared" ca="1" si="745"/>
        <v/>
      </c>
      <c r="GG388" s="460" t="str">
        <f t="shared" ca="1" si="745"/>
        <v/>
      </c>
      <c r="GH388" s="460" t="str">
        <f t="shared" ca="1" si="745"/>
        <v/>
      </c>
      <c r="GI388" s="460" t="str">
        <f t="shared" ca="1" si="745"/>
        <v/>
      </c>
      <c r="GJ388" s="460" t="str">
        <f t="shared" ca="1" si="745"/>
        <v/>
      </c>
      <c r="GK388" s="460" t="str">
        <f t="shared" ca="1" si="745"/>
        <v/>
      </c>
      <c r="GL388" s="460" t="str">
        <f t="shared" ca="1" si="745"/>
        <v/>
      </c>
      <c r="GM388" s="460" t="str">
        <f t="shared" ca="1" si="745"/>
        <v/>
      </c>
      <c r="GN388" s="460" t="str">
        <f t="shared" ca="1" si="745"/>
        <v/>
      </c>
      <c r="GO388" s="460" t="str">
        <f t="shared" ca="1" si="745"/>
        <v/>
      </c>
      <c r="GP388" s="460" t="str">
        <f t="shared" ca="1" si="745"/>
        <v/>
      </c>
      <c r="GQ388" s="460" t="str">
        <f t="shared" ca="1" si="745"/>
        <v/>
      </c>
      <c r="GR388" s="460" t="str">
        <f t="shared" ca="1" si="745"/>
        <v/>
      </c>
      <c r="GS388" s="460" t="str">
        <f t="shared" ca="1" si="745"/>
        <v/>
      </c>
      <c r="GT388" s="460" t="str">
        <f t="shared" ca="1" si="745"/>
        <v/>
      </c>
      <c r="GU388" s="460" t="str">
        <f t="shared" ca="1" si="745"/>
        <v/>
      </c>
      <c r="GV388" s="460" t="str">
        <f t="shared" ca="1" si="745"/>
        <v/>
      </c>
      <c r="GW388" s="460" t="str">
        <f t="shared" ca="1" si="745"/>
        <v/>
      </c>
      <c r="GX388" s="460" t="str">
        <f t="shared" ca="1" si="745"/>
        <v/>
      </c>
      <c r="GY388" s="460" t="str">
        <f t="shared" ca="1" si="745"/>
        <v/>
      </c>
      <c r="GZ388" s="460" t="str">
        <f t="shared" ca="1" si="745"/>
        <v/>
      </c>
      <c r="HA388" s="460" t="str">
        <f t="shared" ca="1" si="745"/>
        <v/>
      </c>
      <c r="HB388" s="460" t="str">
        <f t="shared" ca="1" si="745"/>
        <v/>
      </c>
      <c r="HC388" s="460" t="str">
        <f t="shared" ca="1" si="745"/>
        <v/>
      </c>
      <c r="HD388" s="460" t="str">
        <f t="shared" ca="1" si="745"/>
        <v/>
      </c>
      <c r="HE388" s="460" t="str">
        <f t="shared" ca="1" si="745"/>
        <v/>
      </c>
      <c r="HF388" s="460" t="str">
        <f t="shared" ca="1" si="745"/>
        <v/>
      </c>
      <c r="HG388" s="460" t="str">
        <f t="shared" ca="1" si="745"/>
        <v/>
      </c>
      <c r="HH388" s="460" t="str">
        <f t="shared" ca="1" si="745"/>
        <v/>
      </c>
      <c r="HI388" s="460" t="str">
        <f t="shared" ca="1" si="745"/>
        <v/>
      </c>
      <c r="HJ388" s="460" t="str">
        <f t="shared" ca="1" si="745"/>
        <v/>
      </c>
      <c r="HK388" s="460" t="str">
        <f t="shared" ca="1" si="745"/>
        <v/>
      </c>
      <c r="HL388" s="460" t="str">
        <f t="shared" ca="1" si="745"/>
        <v/>
      </c>
      <c r="HM388" s="460" t="str">
        <f t="shared" ca="1" si="745"/>
        <v/>
      </c>
      <c r="HN388" s="460" t="str">
        <f t="shared" ca="1" si="745"/>
        <v/>
      </c>
      <c r="HO388" s="460" t="str">
        <f t="shared" ca="1" si="745"/>
        <v/>
      </c>
      <c r="HP388" s="460" t="str">
        <f t="shared" ca="1" si="745"/>
        <v/>
      </c>
      <c r="HQ388" s="460" t="str">
        <f t="shared" ca="1" si="745"/>
        <v/>
      </c>
      <c r="HR388" s="460" t="str">
        <f t="shared" ca="1" si="745"/>
        <v/>
      </c>
      <c r="HS388" s="460" t="str">
        <f t="shared" ca="1" si="745"/>
        <v/>
      </c>
      <c r="HT388" s="460" t="str">
        <f t="shared" ca="1" si="745"/>
        <v/>
      </c>
      <c r="HU388" s="460" t="str">
        <f t="shared" ca="1" si="745"/>
        <v/>
      </c>
      <c r="HV388" s="460" t="str">
        <f t="shared" ca="1" si="745"/>
        <v/>
      </c>
      <c r="HW388" s="460" t="str">
        <f t="shared" ca="1" si="712"/>
        <v/>
      </c>
      <c r="HX388" s="460" t="str">
        <f t="shared" ca="1" si="742"/>
        <v/>
      </c>
      <c r="HY388" s="460" t="str">
        <f t="shared" ca="1" si="742"/>
        <v/>
      </c>
      <c r="HZ388" s="460" t="str">
        <f t="shared" ca="1" si="742"/>
        <v/>
      </c>
      <c r="IA388" s="460" t="str">
        <f t="shared" ca="1" si="742"/>
        <v/>
      </c>
      <c r="IB388" s="460" t="str">
        <f t="shared" ca="1" si="742"/>
        <v/>
      </c>
      <c r="IC388" s="460" t="str">
        <f t="shared" ca="1" si="742"/>
        <v/>
      </c>
      <c r="ID388" s="674" t="str">
        <f t="shared" ca="1" si="742"/>
        <v/>
      </c>
    </row>
    <row r="389" spans="9:238">
      <c r="I389" s="137"/>
      <c r="J389" s="375"/>
      <c r="K389" s="1"/>
      <c r="L389" s="1"/>
      <c r="M389" s="376"/>
      <c r="P389" s="375"/>
      <c r="S389" s="55"/>
      <c r="T389" s="375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74"/>
      <c r="AO389" s="374"/>
      <c r="AP389" s="106"/>
      <c r="AQ389" s="374"/>
      <c r="AR389" s="106"/>
      <c r="AS389" s="106"/>
      <c r="AT389" s="106"/>
      <c r="AU389" s="31"/>
      <c r="AV389" s="31"/>
      <c r="AW389" s="31"/>
      <c r="AX389" s="31"/>
      <c r="AY389" s="154"/>
      <c r="AZ389" s="154"/>
      <c r="BA389" s="106"/>
      <c r="BB389" s="106"/>
      <c r="BC389" s="106"/>
      <c r="BD389" s="106"/>
      <c r="BE389" s="107"/>
      <c r="BF389" s="107"/>
      <c r="BG389" s="107"/>
      <c r="BH389" s="105"/>
      <c r="BI389" s="107"/>
      <c r="BJ389" s="106"/>
      <c r="BK389" s="108"/>
      <c r="BL389" s="159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7"/>
      <c r="CC389" s="107"/>
      <c r="CD389" s="107"/>
      <c r="CE389" s="107"/>
      <c r="CF389" s="107"/>
      <c r="CG389" s="107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10"/>
      <c r="DH389" s="475"/>
      <c r="DI389" s="1"/>
      <c r="DJ389" s="53"/>
      <c r="DK389" s="475"/>
      <c r="DL389" s="54"/>
      <c r="DM389" s="54"/>
      <c r="DN389" s="54"/>
      <c r="DO389" s="54"/>
      <c r="DP389" s="54"/>
      <c r="DQ389" s="54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L389" s="55"/>
      <c r="EM389" s="1"/>
      <c r="EN389" s="106"/>
      <c r="EO389" s="106"/>
      <c r="EP389" s="1"/>
      <c r="EQ389" s="106"/>
      <c r="ER389" s="1"/>
      <c r="ES389" s="1"/>
      <c r="ET389" s="1"/>
      <c r="EU389" s="107"/>
      <c r="FJ389" s="673">
        <v>65</v>
      </c>
      <c r="FK389" s="460">
        <f t="shared" ref="FK389:HV389" ca="1" si="746">IF(AND(ISNUMBER(FK84),ISNUMBER(FK$320),FK$320&lt;&gt;0),FK84*FK$320/FK$15,"")</f>
        <v>0</v>
      </c>
      <c r="FL389" s="460">
        <f t="shared" ca="1" si="746"/>
        <v>2.1913378217887072E-3</v>
      </c>
      <c r="FM389" s="460">
        <f t="shared" ca="1" si="746"/>
        <v>2.5470017338106725E-3</v>
      </c>
      <c r="FN389" s="460">
        <f t="shared" ca="1" si="746"/>
        <v>2.1437683988672807E-3</v>
      </c>
      <c r="FO389" s="460">
        <f t="shared" ca="1" si="746"/>
        <v>2.2298771924692882E-3</v>
      </c>
      <c r="FP389" s="460">
        <f t="shared" ca="1" si="746"/>
        <v>1.2354928012478391E-3</v>
      </c>
      <c r="FQ389" s="460" t="str">
        <f t="shared" ca="1" si="746"/>
        <v/>
      </c>
      <c r="FR389" s="460" t="str">
        <f t="shared" ca="1" si="746"/>
        <v/>
      </c>
      <c r="FS389" s="460" t="str">
        <f t="shared" ca="1" si="746"/>
        <v/>
      </c>
      <c r="FT389" s="460" t="str">
        <f t="shared" ca="1" si="746"/>
        <v/>
      </c>
      <c r="FU389" s="460" t="str">
        <f t="shared" ca="1" si="746"/>
        <v/>
      </c>
      <c r="FV389" s="460" t="str">
        <f t="shared" ca="1" si="746"/>
        <v/>
      </c>
      <c r="FW389" s="460" t="str">
        <f t="shared" ca="1" si="746"/>
        <v/>
      </c>
      <c r="FX389" s="460" t="str">
        <f t="shared" ca="1" si="746"/>
        <v/>
      </c>
      <c r="FY389" s="460" t="str">
        <f t="shared" ca="1" si="746"/>
        <v/>
      </c>
      <c r="FZ389" s="460" t="str">
        <f t="shared" ca="1" si="746"/>
        <v/>
      </c>
      <c r="GA389" s="460" t="str">
        <f t="shared" ca="1" si="746"/>
        <v/>
      </c>
      <c r="GB389" s="460" t="str">
        <f t="shared" ca="1" si="746"/>
        <v/>
      </c>
      <c r="GC389" s="460" t="str">
        <f t="shared" ca="1" si="746"/>
        <v/>
      </c>
      <c r="GD389" s="460" t="str">
        <f t="shared" ca="1" si="746"/>
        <v/>
      </c>
      <c r="GE389" s="460" t="str">
        <f t="shared" ca="1" si="746"/>
        <v/>
      </c>
      <c r="GF389" s="460" t="str">
        <f t="shared" ca="1" si="746"/>
        <v/>
      </c>
      <c r="GG389" s="460" t="str">
        <f t="shared" ca="1" si="746"/>
        <v/>
      </c>
      <c r="GH389" s="460" t="str">
        <f t="shared" ca="1" si="746"/>
        <v/>
      </c>
      <c r="GI389" s="460" t="str">
        <f t="shared" ca="1" si="746"/>
        <v/>
      </c>
      <c r="GJ389" s="460" t="str">
        <f t="shared" ca="1" si="746"/>
        <v/>
      </c>
      <c r="GK389" s="460" t="str">
        <f t="shared" ca="1" si="746"/>
        <v/>
      </c>
      <c r="GL389" s="460" t="str">
        <f t="shared" ca="1" si="746"/>
        <v/>
      </c>
      <c r="GM389" s="460" t="str">
        <f t="shared" ca="1" si="746"/>
        <v/>
      </c>
      <c r="GN389" s="460" t="str">
        <f t="shared" ca="1" si="746"/>
        <v/>
      </c>
      <c r="GO389" s="460" t="str">
        <f t="shared" ca="1" si="746"/>
        <v/>
      </c>
      <c r="GP389" s="460" t="str">
        <f t="shared" ca="1" si="746"/>
        <v/>
      </c>
      <c r="GQ389" s="460" t="str">
        <f t="shared" ca="1" si="746"/>
        <v/>
      </c>
      <c r="GR389" s="460" t="str">
        <f t="shared" ca="1" si="746"/>
        <v/>
      </c>
      <c r="GS389" s="460" t="str">
        <f t="shared" ca="1" si="746"/>
        <v/>
      </c>
      <c r="GT389" s="460" t="str">
        <f t="shared" ca="1" si="746"/>
        <v/>
      </c>
      <c r="GU389" s="460" t="str">
        <f t="shared" ca="1" si="746"/>
        <v/>
      </c>
      <c r="GV389" s="460" t="str">
        <f t="shared" ca="1" si="746"/>
        <v/>
      </c>
      <c r="GW389" s="460" t="str">
        <f t="shared" ca="1" si="746"/>
        <v/>
      </c>
      <c r="GX389" s="460" t="str">
        <f t="shared" ca="1" si="746"/>
        <v/>
      </c>
      <c r="GY389" s="460" t="str">
        <f t="shared" ca="1" si="746"/>
        <v/>
      </c>
      <c r="GZ389" s="460" t="str">
        <f t="shared" ca="1" si="746"/>
        <v/>
      </c>
      <c r="HA389" s="460" t="str">
        <f t="shared" ca="1" si="746"/>
        <v/>
      </c>
      <c r="HB389" s="460" t="str">
        <f t="shared" ca="1" si="746"/>
        <v/>
      </c>
      <c r="HC389" s="460" t="str">
        <f t="shared" ca="1" si="746"/>
        <v/>
      </c>
      <c r="HD389" s="460" t="str">
        <f t="shared" ca="1" si="746"/>
        <v/>
      </c>
      <c r="HE389" s="460" t="str">
        <f t="shared" ca="1" si="746"/>
        <v/>
      </c>
      <c r="HF389" s="460" t="str">
        <f t="shared" ca="1" si="746"/>
        <v/>
      </c>
      <c r="HG389" s="460" t="str">
        <f t="shared" ca="1" si="746"/>
        <v/>
      </c>
      <c r="HH389" s="460" t="str">
        <f t="shared" ca="1" si="746"/>
        <v/>
      </c>
      <c r="HI389" s="460" t="str">
        <f t="shared" ca="1" si="746"/>
        <v/>
      </c>
      <c r="HJ389" s="460" t="str">
        <f t="shared" ca="1" si="746"/>
        <v/>
      </c>
      <c r="HK389" s="460" t="str">
        <f t="shared" ca="1" si="746"/>
        <v/>
      </c>
      <c r="HL389" s="460" t="str">
        <f t="shared" ca="1" si="746"/>
        <v/>
      </c>
      <c r="HM389" s="460" t="str">
        <f t="shared" ca="1" si="746"/>
        <v/>
      </c>
      <c r="HN389" s="460" t="str">
        <f t="shared" ca="1" si="746"/>
        <v/>
      </c>
      <c r="HO389" s="460" t="str">
        <f t="shared" ca="1" si="746"/>
        <v/>
      </c>
      <c r="HP389" s="460" t="str">
        <f t="shared" ca="1" si="746"/>
        <v/>
      </c>
      <c r="HQ389" s="460" t="str">
        <f t="shared" ca="1" si="746"/>
        <v/>
      </c>
      <c r="HR389" s="460" t="str">
        <f t="shared" ca="1" si="746"/>
        <v/>
      </c>
      <c r="HS389" s="460" t="str">
        <f t="shared" ca="1" si="746"/>
        <v/>
      </c>
      <c r="HT389" s="460" t="str">
        <f t="shared" ca="1" si="746"/>
        <v/>
      </c>
      <c r="HU389" s="460" t="str">
        <f t="shared" ca="1" si="746"/>
        <v/>
      </c>
      <c r="HV389" s="460" t="str">
        <f t="shared" ca="1" si="746"/>
        <v/>
      </c>
      <c r="HW389" s="460" t="str">
        <f t="shared" ca="1" si="712"/>
        <v/>
      </c>
      <c r="HX389" s="460" t="str">
        <f t="shared" ca="1" si="742"/>
        <v/>
      </c>
      <c r="HY389" s="460" t="str">
        <f t="shared" ca="1" si="742"/>
        <v/>
      </c>
      <c r="HZ389" s="460" t="str">
        <f t="shared" ca="1" si="742"/>
        <v/>
      </c>
      <c r="IA389" s="460" t="str">
        <f t="shared" ca="1" si="742"/>
        <v/>
      </c>
      <c r="IB389" s="460" t="str">
        <f t="shared" ca="1" si="742"/>
        <v/>
      </c>
      <c r="IC389" s="460" t="str">
        <f t="shared" ca="1" si="742"/>
        <v/>
      </c>
      <c r="ID389" s="674" t="str">
        <f t="shared" ca="1" si="742"/>
        <v/>
      </c>
    </row>
    <row r="390" spans="9:238">
      <c r="I390" s="137"/>
      <c r="J390" s="375"/>
      <c r="K390" s="1"/>
      <c r="L390" s="1"/>
      <c r="M390" s="376"/>
      <c r="P390" s="375"/>
      <c r="S390" s="55"/>
      <c r="T390" s="375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74"/>
      <c r="AO390" s="374"/>
      <c r="AP390" s="106"/>
      <c r="AQ390" s="374"/>
      <c r="AR390" s="106"/>
      <c r="AS390" s="106"/>
      <c r="AT390" s="106"/>
      <c r="AU390" s="31"/>
      <c r="AV390" s="31"/>
      <c r="AW390" s="31"/>
      <c r="AX390" s="31"/>
      <c r="AY390" s="154"/>
      <c r="AZ390" s="154"/>
      <c r="BA390" s="106"/>
      <c r="BB390" s="106"/>
      <c r="BC390" s="106"/>
      <c r="BD390" s="106"/>
      <c r="BE390" s="107"/>
      <c r="BF390" s="107"/>
      <c r="BG390" s="107"/>
      <c r="BH390" s="105"/>
      <c r="BI390" s="107"/>
      <c r="BJ390" s="106"/>
      <c r="BK390" s="108"/>
      <c r="BL390" s="159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7"/>
      <c r="CC390" s="107"/>
      <c r="CD390" s="107"/>
      <c r="CE390" s="107"/>
      <c r="CF390" s="107"/>
      <c r="CG390" s="107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10"/>
      <c r="DH390" s="475"/>
      <c r="DI390" s="1"/>
      <c r="DJ390" s="53"/>
      <c r="DK390" s="475"/>
      <c r="DL390" s="54"/>
      <c r="DM390" s="54"/>
      <c r="DN390" s="54"/>
      <c r="DO390" s="54"/>
      <c r="DP390" s="54"/>
      <c r="DQ390" s="54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L390" s="55"/>
      <c r="EM390" s="1"/>
      <c r="EN390" s="106"/>
      <c r="EO390" s="106"/>
      <c r="EP390" s="1"/>
      <c r="EQ390" s="106"/>
      <c r="ER390" s="1"/>
      <c r="ES390" s="1"/>
      <c r="ET390" s="1"/>
      <c r="EU390" s="107"/>
      <c r="FJ390" s="673">
        <v>66</v>
      </c>
      <c r="FK390" s="460">
        <f t="shared" ref="FK390:HV390" ca="1" si="747">IF(AND(ISNUMBER(FK85),ISNUMBER(FK$320),FK$320&lt;&gt;0),FK85*FK$320/FK$15,"")</f>
        <v>0</v>
      </c>
      <c r="FL390" s="460">
        <f t="shared" ca="1" si="747"/>
        <v>2.1913123481001459E-3</v>
      </c>
      <c r="FM390" s="460">
        <f t="shared" ca="1" si="747"/>
        <v>2.5469671043581049E-3</v>
      </c>
      <c r="FN390" s="460">
        <f t="shared" ca="1" si="747"/>
        <v>2.1437343087782413E-3</v>
      </c>
      <c r="FO390" s="460">
        <f t="shared" ca="1" si="747"/>
        <v>2.2298357195027216E-3</v>
      </c>
      <c r="FP390" s="460">
        <f t="shared" ca="1" si="747"/>
        <v>1.2354659256421485E-3</v>
      </c>
      <c r="FQ390" s="460" t="str">
        <f t="shared" ca="1" si="747"/>
        <v/>
      </c>
      <c r="FR390" s="460" t="str">
        <f t="shared" ca="1" si="747"/>
        <v/>
      </c>
      <c r="FS390" s="460" t="str">
        <f t="shared" ca="1" si="747"/>
        <v/>
      </c>
      <c r="FT390" s="460" t="str">
        <f t="shared" ca="1" si="747"/>
        <v/>
      </c>
      <c r="FU390" s="460" t="str">
        <f t="shared" ca="1" si="747"/>
        <v/>
      </c>
      <c r="FV390" s="460" t="str">
        <f t="shared" ca="1" si="747"/>
        <v/>
      </c>
      <c r="FW390" s="460" t="str">
        <f t="shared" ca="1" si="747"/>
        <v/>
      </c>
      <c r="FX390" s="460" t="str">
        <f t="shared" ca="1" si="747"/>
        <v/>
      </c>
      <c r="FY390" s="460" t="str">
        <f t="shared" ca="1" si="747"/>
        <v/>
      </c>
      <c r="FZ390" s="460" t="str">
        <f t="shared" ca="1" si="747"/>
        <v/>
      </c>
      <c r="GA390" s="460" t="str">
        <f t="shared" ca="1" si="747"/>
        <v/>
      </c>
      <c r="GB390" s="460" t="str">
        <f t="shared" ca="1" si="747"/>
        <v/>
      </c>
      <c r="GC390" s="460" t="str">
        <f t="shared" ca="1" si="747"/>
        <v/>
      </c>
      <c r="GD390" s="460" t="str">
        <f t="shared" ca="1" si="747"/>
        <v/>
      </c>
      <c r="GE390" s="460" t="str">
        <f t="shared" ca="1" si="747"/>
        <v/>
      </c>
      <c r="GF390" s="460" t="str">
        <f t="shared" ca="1" si="747"/>
        <v/>
      </c>
      <c r="GG390" s="460" t="str">
        <f t="shared" ca="1" si="747"/>
        <v/>
      </c>
      <c r="GH390" s="460" t="str">
        <f t="shared" ca="1" si="747"/>
        <v/>
      </c>
      <c r="GI390" s="460" t="str">
        <f t="shared" ca="1" si="747"/>
        <v/>
      </c>
      <c r="GJ390" s="460" t="str">
        <f t="shared" ca="1" si="747"/>
        <v/>
      </c>
      <c r="GK390" s="460" t="str">
        <f t="shared" ca="1" si="747"/>
        <v/>
      </c>
      <c r="GL390" s="460" t="str">
        <f t="shared" ca="1" si="747"/>
        <v/>
      </c>
      <c r="GM390" s="460" t="str">
        <f t="shared" ca="1" si="747"/>
        <v/>
      </c>
      <c r="GN390" s="460" t="str">
        <f t="shared" ca="1" si="747"/>
        <v/>
      </c>
      <c r="GO390" s="460" t="str">
        <f t="shared" ca="1" si="747"/>
        <v/>
      </c>
      <c r="GP390" s="460" t="str">
        <f t="shared" ca="1" si="747"/>
        <v/>
      </c>
      <c r="GQ390" s="460" t="str">
        <f t="shared" ca="1" si="747"/>
        <v/>
      </c>
      <c r="GR390" s="460" t="str">
        <f t="shared" ca="1" si="747"/>
        <v/>
      </c>
      <c r="GS390" s="460" t="str">
        <f t="shared" ca="1" si="747"/>
        <v/>
      </c>
      <c r="GT390" s="460" t="str">
        <f t="shared" ca="1" si="747"/>
        <v/>
      </c>
      <c r="GU390" s="460" t="str">
        <f t="shared" ca="1" si="747"/>
        <v/>
      </c>
      <c r="GV390" s="460" t="str">
        <f t="shared" ca="1" si="747"/>
        <v/>
      </c>
      <c r="GW390" s="460" t="str">
        <f t="shared" ca="1" si="747"/>
        <v/>
      </c>
      <c r="GX390" s="460" t="str">
        <f t="shared" ca="1" si="747"/>
        <v/>
      </c>
      <c r="GY390" s="460" t="str">
        <f t="shared" ca="1" si="747"/>
        <v/>
      </c>
      <c r="GZ390" s="460" t="str">
        <f t="shared" ca="1" si="747"/>
        <v/>
      </c>
      <c r="HA390" s="460" t="str">
        <f t="shared" ca="1" si="747"/>
        <v/>
      </c>
      <c r="HB390" s="460" t="str">
        <f t="shared" ca="1" si="747"/>
        <v/>
      </c>
      <c r="HC390" s="460" t="str">
        <f t="shared" ca="1" si="747"/>
        <v/>
      </c>
      <c r="HD390" s="460" t="str">
        <f t="shared" ca="1" si="747"/>
        <v/>
      </c>
      <c r="HE390" s="460" t="str">
        <f t="shared" ca="1" si="747"/>
        <v/>
      </c>
      <c r="HF390" s="460" t="str">
        <f t="shared" ca="1" si="747"/>
        <v/>
      </c>
      <c r="HG390" s="460" t="str">
        <f t="shared" ca="1" si="747"/>
        <v/>
      </c>
      <c r="HH390" s="460" t="str">
        <f t="shared" ca="1" si="747"/>
        <v/>
      </c>
      <c r="HI390" s="460" t="str">
        <f t="shared" ca="1" si="747"/>
        <v/>
      </c>
      <c r="HJ390" s="460" t="str">
        <f t="shared" ca="1" si="747"/>
        <v/>
      </c>
      <c r="HK390" s="460" t="str">
        <f t="shared" ca="1" si="747"/>
        <v/>
      </c>
      <c r="HL390" s="460" t="str">
        <f t="shared" ca="1" si="747"/>
        <v/>
      </c>
      <c r="HM390" s="460" t="str">
        <f t="shared" ca="1" si="747"/>
        <v/>
      </c>
      <c r="HN390" s="460" t="str">
        <f t="shared" ca="1" si="747"/>
        <v/>
      </c>
      <c r="HO390" s="460" t="str">
        <f t="shared" ca="1" si="747"/>
        <v/>
      </c>
      <c r="HP390" s="460" t="str">
        <f t="shared" ca="1" si="747"/>
        <v/>
      </c>
      <c r="HQ390" s="460" t="str">
        <f t="shared" ca="1" si="747"/>
        <v/>
      </c>
      <c r="HR390" s="460" t="str">
        <f t="shared" ca="1" si="747"/>
        <v/>
      </c>
      <c r="HS390" s="460" t="str">
        <f t="shared" ca="1" si="747"/>
        <v/>
      </c>
      <c r="HT390" s="460" t="str">
        <f t="shared" ca="1" si="747"/>
        <v/>
      </c>
      <c r="HU390" s="460" t="str">
        <f t="shared" ca="1" si="747"/>
        <v/>
      </c>
      <c r="HV390" s="460" t="str">
        <f t="shared" ca="1" si="747"/>
        <v/>
      </c>
      <c r="HW390" s="460" t="str">
        <f ca="1">IF(AND(ISNUMBER(HW85),ISNUMBER(HW$320),HW$320&lt;&gt;0),HW85*HW$320/HW$15,"")</f>
        <v/>
      </c>
      <c r="HX390" s="460" t="str">
        <f t="shared" ca="1" si="742"/>
        <v/>
      </c>
      <c r="HY390" s="460" t="str">
        <f t="shared" ca="1" si="742"/>
        <v/>
      </c>
      <c r="HZ390" s="460" t="str">
        <f t="shared" ca="1" si="742"/>
        <v/>
      </c>
      <c r="IA390" s="460" t="str">
        <f t="shared" ca="1" si="742"/>
        <v/>
      </c>
      <c r="IB390" s="460" t="str">
        <f t="shared" ca="1" si="742"/>
        <v/>
      </c>
      <c r="IC390" s="460" t="str">
        <f t="shared" ca="1" si="742"/>
        <v/>
      </c>
      <c r="ID390" s="674" t="str">
        <f t="shared" ca="1" si="742"/>
        <v/>
      </c>
    </row>
    <row r="391" spans="9:238">
      <c r="I391" s="137"/>
      <c r="J391" s="375"/>
      <c r="K391" s="1"/>
      <c r="L391" s="1"/>
      <c r="M391" s="376"/>
      <c r="P391" s="375"/>
      <c r="S391" s="55"/>
      <c r="T391" s="375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74"/>
      <c r="AO391" s="374"/>
      <c r="AP391" s="106"/>
      <c r="AQ391" s="374"/>
      <c r="AR391" s="106"/>
      <c r="AS391" s="106"/>
      <c r="AT391" s="106"/>
      <c r="AU391" s="31"/>
      <c r="AV391" s="31"/>
      <c r="AW391" s="31"/>
      <c r="AX391" s="31"/>
      <c r="AY391" s="154"/>
      <c r="AZ391" s="154"/>
      <c r="BA391" s="106"/>
      <c r="BB391" s="106"/>
      <c r="BC391" s="106"/>
      <c r="BD391" s="106"/>
      <c r="BE391" s="107"/>
      <c r="BF391" s="107"/>
      <c r="BG391" s="107"/>
      <c r="BH391" s="105"/>
      <c r="BI391" s="107"/>
      <c r="BJ391" s="106"/>
      <c r="BK391" s="108"/>
      <c r="BL391" s="159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7"/>
      <c r="CC391" s="107"/>
      <c r="CD391" s="107"/>
      <c r="CE391" s="107"/>
      <c r="CF391" s="107"/>
      <c r="CG391" s="107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10"/>
      <c r="DH391" s="475"/>
      <c r="DI391" s="1"/>
      <c r="DJ391" s="53"/>
      <c r="DK391" s="475"/>
      <c r="DL391" s="54"/>
      <c r="DM391" s="54"/>
      <c r="DN391" s="54"/>
      <c r="DO391" s="54"/>
      <c r="DP391" s="54"/>
      <c r="DQ391" s="54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L391" s="55"/>
      <c r="EM391" s="1"/>
      <c r="EN391" s="106"/>
      <c r="EO391" s="106"/>
      <c r="EP391" s="1"/>
      <c r="EQ391" s="106"/>
      <c r="ER391" s="1"/>
      <c r="ES391" s="1"/>
      <c r="ET391" s="1"/>
      <c r="EU391" s="107"/>
      <c r="FJ391" s="673">
        <v>67</v>
      </c>
      <c r="FK391" s="460">
        <f t="shared" ref="FK391:HV391" ca="1" si="748">IF(AND(ISNUMBER(FK86),ISNUMBER(FK$320),FK$320&lt;&gt;0),FK86*FK$320/FK$15,"")</f>
        <v>0</v>
      </c>
      <c r="FL391" s="460">
        <f t="shared" ca="1" si="748"/>
        <v>2.1912905683496124E-3</v>
      </c>
      <c r="FM391" s="460">
        <f t="shared" ca="1" si="748"/>
        <v>2.5469374965787174E-3</v>
      </c>
      <c r="FN391" s="460">
        <f t="shared" ca="1" si="748"/>
        <v>2.1437051622156069E-3</v>
      </c>
      <c r="FO391" s="460">
        <f t="shared" ca="1" si="748"/>
        <v>2.2298002607758086E-3</v>
      </c>
      <c r="FP391" s="460">
        <f t="shared" ca="1" si="748"/>
        <v>1.2354429474991364E-3</v>
      </c>
      <c r="FQ391" s="460" t="str">
        <f t="shared" ca="1" si="748"/>
        <v/>
      </c>
      <c r="FR391" s="460" t="str">
        <f t="shared" ca="1" si="748"/>
        <v/>
      </c>
      <c r="FS391" s="460" t="str">
        <f t="shared" ca="1" si="748"/>
        <v/>
      </c>
      <c r="FT391" s="460" t="str">
        <f t="shared" ca="1" si="748"/>
        <v/>
      </c>
      <c r="FU391" s="460" t="str">
        <f t="shared" ca="1" si="748"/>
        <v/>
      </c>
      <c r="FV391" s="460" t="str">
        <f t="shared" ca="1" si="748"/>
        <v/>
      </c>
      <c r="FW391" s="460" t="str">
        <f t="shared" ca="1" si="748"/>
        <v/>
      </c>
      <c r="FX391" s="460" t="str">
        <f t="shared" ca="1" si="748"/>
        <v/>
      </c>
      <c r="FY391" s="460" t="str">
        <f t="shared" ca="1" si="748"/>
        <v/>
      </c>
      <c r="FZ391" s="460" t="str">
        <f t="shared" ca="1" si="748"/>
        <v/>
      </c>
      <c r="GA391" s="460" t="str">
        <f t="shared" ca="1" si="748"/>
        <v/>
      </c>
      <c r="GB391" s="460" t="str">
        <f t="shared" ca="1" si="748"/>
        <v/>
      </c>
      <c r="GC391" s="460" t="str">
        <f t="shared" ca="1" si="748"/>
        <v/>
      </c>
      <c r="GD391" s="460" t="str">
        <f t="shared" ca="1" si="748"/>
        <v/>
      </c>
      <c r="GE391" s="460" t="str">
        <f t="shared" ca="1" si="748"/>
        <v/>
      </c>
      <c r="GF391" s="460" t="str">
        <f t="shared" ca="1" si="748"/>
        <v/>
      </c>
      <c r="GG391" s="460" t="str">
        <f t="shared" ca="1" si="748"/>
        <v/>
      </c>
      <c r="GH391" s="460" t="str">
        <f t="shared" ca="1" si="748"/>
        <v/>
      </c>
      <c r="GI391" s="460" t="str">
        <f t="shared" ca="1" si="748"/>
        <v/>
      </c>
      <c r="GJ391" s="460" t="str">
        <f t="shared" ca="1" si="748"/>
        <v/>
      </c>
      <c r="GK391" s="460" t="str">
        <f t="shared" ca="1" si="748"/>
        <v/>
      </c>
      <c r="GL391" s="460" t="str">
        <f t="shared" ca="1" si="748"/>
        <v/>
      </c>
      <c r="GM391" s="460" t="str">
        <f t="shared" ca="1" si="748"/>
        <v/>
      </c>
      <c r="GN391" s="460" t="str">
        <f t="shared" ca="1" si="748"/>
        <v/>
      </c>
      <c r="GO391" s="460" t="str">
        <f t="shared" ca="1" si="748"/>
        <v/>
      </c>
      <c r="GP391" s="460" t="str">
        <f t="shared" ca="1" si="748"/>
        <v/>
      </c>
      <c r="GQ391" s="460" t="str">
        <f t="shared" ca="1" si="748"/>
        <v/>
      </c>
      <c r="GR391" s="460" t="str">
        <f t="shared" ca="1" si="748"/>
        <v/>
      </c>
      <c r="GS391" s="460" t="str">
        <f t="shared" ca="1" si="748"/>
        <v/>
      </c>
      <c r="GT391" s="460" t="str">
        <f t="shared" ca="1" si="748"/>
        <v/>
      </c>
      <c r="GU391" s="460" t="str">
        <f t="shared" ca="1" si="748"/>
        <v/>
      </c>
      <c r="GV391" s="460" t="str">
        <f t="shared" ca="1" si="748"/>
        <v/>
      </c>
      <c r="GW391" s="460" t="str">
        <f t="shared" ca="1" si="748"/>
        <v/>
      </c>
      <c r="GX391" s="460" t="str">
        <f t="shared" ca="1" si="748"/>
        <v/>
      </c>
      <c r="GY391" s="460" t="str">
        <f t="shared" ca="1" si="748"/>
        <v/>
      </c>
      <c r="GZ391" s="460" t="str">
        <f t="shared" ca="1" si="748"/>
        <v/>
      </c>
      <c r="HA391" s="460" t="str">
        <f t="shared" ca="1" si="748"/>
        <v/>
      </c>
      <c r="HB391" s="460" t="str">
        <f t="shared" ca="1" si="748"/>
        <v/>
      </c>
      <c r="HC391" s="460" t="str">
        <f t="shared" ca="1" si="748"/>
        <v/>
      </c>
      <c r="HD391" s="460" t="str">
        <f t="shared" ca="1" si="748"/>
        <v/>
      </c>
      <c r="HE391" s="460" t="str">
        <f t="shared" ca="1" si="748"/>
        <v/>
      </c>
      <c r="HF391" s="460" t="str">
        <f t="shared" ca="1" si="748"/>
        <v/>
      </c>
      <c r="HG391" s="460" t="str">
        <f t="shared" ca="1" si="748"/>
        <v/>
      </c>
      <c r="HH391" s="460" t="str">
        <f t="shared" ca="1" si="748"/>
        <v/>
      </c>
      <c r="HI391" s="460" t="str">
        <f t="shared" ca="1" si="748"/>
        <v/>
      </c>
      <c r="HJ391" s="460" t="str">
        <f t="shared" ca="1" si="748"/>
        <v/>
      </c>
      <c r="HK391" s="460" t="str">
        <f t="shared" ca="1" si="748"/>
        <v/>
      </c>
      <c r="HL391" s="460" t="str">
        <f t="shared" ca="1" si="748"/>
        <v/>
      </c>
      <c r="HM391" s="460" t="str">
        <f t="shared" ca="1" si="748"/>
        <v/>
      </c>
      <c r="HN391" s="460" t="str">
        <f t="shared" ca="1" si="748"/>
        <v/>
      </c>
      <c r="HO391" s="460" t="str">
        <f t="shared" ca="1" si="748"/>
        <v/>
      </c>
      <c r="HP391" s="460" t="str">
        <f t="shared" ca="1" si="748"/>
        <v/>
      </c>
      <c r="HQ391" s="460" t="str">
        <f t="shared" ca="1" si="748"/>
        <v/>
      </c>
      <c r="HR391" s="460" t="str">
        <f t="shared" ca="1" si="748"/>
        <v/>
      </c>
      <c r="HS391" s="460" t="str">
        <f t="shared" ca="1" si="748"/>
        <v/>
      </c>
      <c r="HT391" s="460" t="str">
        <f t="shared" ca="1" si="748"/>
        <v/>
      </c>
      <c r="HU391" s="460" t="str">
        <f t="shared" ca="1" si="748"/>
        <v/>
      </c>
      <c r="HV391" s="460" t="str">
        <f t="shared" ca="1" si="748"/>
        <v/>
      </c>
      <c r="HW391" s="460" t="str">
        <f ca="1">IF(AND(ISNUMBER(HW86),ISNUMBER(HW$320),HW$320&lt;&gt;0),HW86*HW$320/HW$15,"")</f>
        <v/>
      </c>
      <c r="HX391" s="460" t="str">
        <f t="shared" ca="1" si="742"/>
        <v/>
      </c>
      <c r="HY391" s="460" t="str">
        <f t="shared" ca="1" si="742"/>
        <v/>
      </c>
      <c r="HZ391" s="460" t="str">
        <f t="shared" ca="1" si="742"/>
        <v/>
      </c>
      <c r="IA391" s="460" t="str">
        <f t="shared" ca="1" si="742"/>
        <v/>
      </c>
      <c r="IB391" s="460" t="str">
        <f t="shared" ca="1" si="742"/>
        <v/>
      </c>
      <c r="IC391" s="460" t="str">
        <f t="shared" ca="1" si="742"/>
        <v/>
      </c>
      <c r="ID391" s="674" t="str">
        <f t="shared" ca="1" si="742"/>
        <v/>
      </c>
    </row>
    <row r="392" spans="9:238">
      <c r="I392" s="137"/>
      <c r="J392" s="375"/>
      <c r="K392" s="1"/>
      <c r="L392" s="1"/>
      <c r="M392" s="376"/>
      <c r="P392" s="375"/>
      <c r="S392" s="55"/>
      <c r="T392" s="375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74"/>
      <c r="AO392" s="374"/>
      <c r="AP392" s="106"/>
      <c r="AQ392" s="374"/>
      <c r="AR392" s="106"/>
      <c r="AS392" s="106"/>
      <c r="AT392" s="106"/>
      <c r="AU392" s="31"/>
      <c r="AV392" s="31"/>
      <c r="AW392" s="31"/>
      <c r="AX392" s="31"/>
      <c r="AY392" s="154"/>
      <c r="AZ392" s="154"/>
      <c r="BA392" s="106"/>
      <c r="BB392" s="106"/>
      <c r="BC392" s="106"/>
      <c r="BD392" s="106"/>
      <c r="BE392" s="107"/>
      <c r="BF392" s="107"/>
      <c r="BG392" s="107"/>
      <c r="BH392" s="105"/>
      <c r="BI392" s="107"/>
      <c r="BJ392" s="106"/>
      <c r="BK392" s="108"/>
      <c r="BL392" s="159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7"/>
      <c r="CC392" s="107"/>
      <c r="CD392" s="107"/>
      <c r="CE392" s="107"/>
      <c r="CF392" s="107"/>
      <c r="CG392" s="107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10"/>
      <c r="DH392" s="475"/>
      <c r="DI392" s="1"/>
      <c r="DJ392" s="53"/>
      <c r="DK392" s="475"/>
      <c r="DL392" s="54"/>
      <c r="DM392" s="54"/>
      <c r="DN392" s="54"/>
      <c r="DO392" s="54"/>
      <c r="DP392" s="54"/>
      <c r="DQ392" s="54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L392" s="55"/>
      <c r="EM392" s="1"/>
      <c r="EN392" s="106"/>
      <c r="EO392" s="106"/>
      <c r="EP392" s="1"/>
      <c r="EQ392" s="106"/>
      <c r="ER392" s="1"/>
      <c r="ES392" s="1"/>
      <c r="ET392" s="1"/>
      <c r="EU392" s="107"/>
      <c r="FJ392" s="673">
        <v>68</v>
      </c>
      <c r="FK392" s="460">
        <f t="shared" ref="FK392:HV392" ca="1" si="749">IF(AND(ISNUMBER(FK87),ISNUMBER(FK$320),FK$320&lt;&gt;0),FK87*FK$320/FK$15,"")</f>
        <v>0</v>
      </c>
      <c r="FL392" s="460">
        <f t="shared" ca="1" si="749"/>
        <v>2.19127194684799E-3</v>
      </c>
      <c r="FM392" s="460">
        <f t="shared" ca="1" si="749"/>
        <v>2.5469121822216164E-3</v>
      </c>
      <c r="FN392" s="460">
        <f t="shared" ca="1" si="749"/>
        <v>2.1436802422433758E-3</v>
      </c>
      <c r="FO392" s="460">
        <f t="shared" ca="1" si="749"/>
        <v>2.2297699440464004E-3</v>
      </c>
      <c r="FP392" s="460">
        <f t="shared" ca="1" si="749"/>
        <v>1.2354233015522582E-3</v>
      </c>
      <c r="FQ392" s="460" t="str">
        <f t="shared" ca="1" si="749"/>
        <v/>
      </c>
      <c r="FR392" s="460" t="str">
        <f t="shared" ca="1" si="749"/>
        <v/>
      </c>
      <c r="FS392" s="460" t="str">
        <f t="shared" ca="1" si="749"/>
        <v/>
      </c>
      <c r="FT392" s="460" t="str">
        <f t="shared" ca="1" si="749"/>
        <v/>
      </c>
      <c r="FU392" s="460" t="str">
        <f t="shared" ca="1" si="749"/>
        <v/>
      </c>
      <c r="FV392" s="460" t="str">
        <f t="shared" ca="1" si="749"/>
        <v/>
      </c>
      <c r="FW392" s="460" t="str">
        <f t="shared" ca="1" si="749"/>
        <v/>
      </c>
      <c r="FX392" s="460" t="str">
        <f t="shared" ca="1" si="749"/>
        <v/>
      </c>
      <c r="FY392" s="460" t="str">
        <f t="shared" ca="1" si="749"/>
        <v/>
      </c>
      <c r="FZ392" s="460" t="str">
        <f t="shared" ca="1" si="749"/>
        <v/>
      </c>
      <c r="GA392" s="460" t="str">
        <f t="shared" ca="1" si="749"/>
        <v/>
      </c>
      <c r="GB392" s="460" t="str">
        <f t="shared" ca="1" si="749"/>
        <v/>
      </c>
      <c r="GC392" s="460" t="str">
        <f t="shared" ca="1" si="749"/>
        <v/>
      </c>
      <c r="GD392" s="460" t="str">
        <f t="shared" ca="1" si="749"/>
        <v/>
      </c>
      <c r="GE392" s="460" t="str">
        <f t="shared" ca="1" si="749"/>
        <v/>
      </c>
      <c r="GF392" s="460" t="str">
        <f t="shared" ca="1" si="749"/>
        <v/>
      </c>
      <c r="GG392" s="460" t="str">
        <f t="shared" ca="1" si="749"/>
        <v/>
      </c>
      <c r="GH392" s="460" t="str">
        <f t="shared" ca="1" si="749"/>
        <v/>
      </c>
      <c r="GI392" s="460" t="str">
        <f t="shared" ca="1" si="749"/>
        <v/>
      </c>
      <c r="GJ392" s="460" t="str">
        <f t="shared" ca="1" si="749"/>
        <v/>
      </c>
      <c r="GK392" s="460" t="str">
        <f t="shared" ca="1" si="749"/>
        <v/>
      </c>
      <c r="GL392" s="460" t="str">
        <f t="shared" ca="1" si="749"/>
        <v/>
      </c>
      <c r="GM392" s="460" t="str">
        <f t="shared" ca="1" si="749"/>
        <v/>
      </c>
      <c r="GN392" s="460" t="str">
        <f t="shared" ca="1" si="749"/>
        <v/>
      </c>
      <c r="GO392" s="460" t="str">
        <f t="shared" ca="1" si="749"/>
        <v/>
      </c>
      <c r="GP392" s="460" t="str">
        <f t="shared" ca="1" si="749"/>
        <v/>
      </c>
      <c r="GQ392" s="460" t="str">
        <f t="shared" ca="1" si="749"/>
        <v/>
      </c>
      <c r="GR392" s="460" t="str">
        <f t="shared" ca="1" si="749"/>
        <v/>
      </c>
      <c r="GS392" s="460" t="str">
        <f t="shared" ca="1" si="749"/>
        <v/>
      </c>
      <c r="GT392" s="460" t="str">
        <f t="shared" ca="1" si="749"/>
        <v/>
      </c>
      <c r="GU392" s="460" t="str">
        <f t="shared" ca="1" si="749"/>
        <v/>
      </c>
      <c r="GV392" s="460" t="str">
        <f t="shared" ca="1" si="749"/>
        <v/>
      </c>
      <c r="GW392" s="460" t="str">
        <f t="shared" ca="1" si="749"/>
        <v/>
      </c>
      <c r="GX392" s="460" t="str">
        <f t="shared" ca="1" si="749"/>
        <v/>
      </c>
      <c r="GY392" s="460" t="str">
        <f t="shared" ca="1" si="749"/>
        <v/>
      </c>
      <c r="GZ392" s="460" t="str">
        <f t="shared" ca="1" si="749"/>
        <v/>
      </c>
      <c r="HA392" s="460" t="str">
        <f t="shared" ca="1" si="749"/>
        <v/>
      </c>
      <c r="HB392" s="460" t="str">
        <f t="shared" ca="1" si="749"/>
        <v/>
      </c>
      <c r="HC392" s="460" t="str">
        <f t="shared" ca="1" si="749"/>
        <v/>
      </c>
      <c r="HD392" s="460" t="str">
        <f t="shared" ca="1" si="749"/>
        <v/>
      </c>
      <c r="HE392" s="460" t="str">
        <f t="shared" ca="1" si="749"/>
        <v/>
      </c>
      <c r="HF392" s="460" t="str">
        <f t="shared" ca="1" si="749"/>
        <v/>
      </c>
      <c r="HG392" s="460" t="str">
        <f t="shared" ca="1" si="749"/>
        <v/>
      </c>
      <c r="HH392" s="460" t="str">
        <f t="shared" ca="1" si="749"/>
        <v/>
      </c>
      <c r="HI392" s="460" t="str">
        <f t="shared" ca="1" si="749"/>
        <v/>
      </c>
      <c r="HJ392" s="460" t="str">
        <f t="shared" ca="1" si="749"/>
        <v/>
      </c>
      <c r="HK392" s="460" t="str">
        <f t="shared" ca="1" si="749"/>
        <v/>
      </c>
      <c r="HL392" s="460" t="str">
        <f t="shared" ca="1" si="749"/>
        <v/>
      </c>
      <c r="HM392" s="460" t="str">
        <f t="shared" ca="1" si="749"/>
        <v/>
      </c>
      <c r="HN392" s="460" t="str">
        <f t="shared" ca="1" si="749"/>
        <v/>
      </c>
      <c r="HO392" s="460" t="str">
        <f t="shared" ca="1" si="749"/>
        <v/>
      </c>
      <c r="HP392" s="460" t="str">
        <f t="shared" ca="1" si="749"/>
        <v/>
      </c>
      <c r="HQ392" s="460" t="str">
        <f t="shared" ca="1" si="749"/>
        <v/>
      </c>
      <c r="HR392" s="460" t="str">
        <f t="shared" ca="1" si="749"/>
        <v/>
      </c>
      <c r="HS392" s="460" t="str">
        <f t="shared" ca="1" si="749"/>
        <v/>
      </c>
      <c r="HT392" s="460" t="str">
        <f t="shared" ca="1" si="749"/>
        <v/>
      </c>
      <c r="HU392" s="460" t="str">
        <f t="shared" ca="1" si="749"/>
        <v/>
      </c>
      <c r="HV392" s="460" t="str">
        <f t="shared" ca="1" si="749"/>
        <v/>
      </c>
      <c r="HW392" s="460" t="str">
        <f ca="1">IF(AND(ISNUMBER(HW87),ISNUMBER(HW$320),HW$320&lt;&gt;0),HW87*HW$320/HW$15,"")</f>
        <v/>
      </c>
      <c r="HX392" s="460" t="str">
        <f t="shared" ca="1" si="742"/>
        <v/>
      </c>
      <c r="HY392" s="460" t="str">
        <f t="shared" ca="1" si="742"/>
        <v/>
      </c>
      <c r="HZ392" s="460" t="str">
        <f t="shared" ca="1" si="742"/>
        <v/>
      </c>
      <c r="IA392" s="460" t="str">
        <f t="shared" ca="1" si="742"/>
        <v/>
      </c>
      <c r="IB392" s="460" t="str">
        <f t="shared" ca="1" si="742"/>
        <v/>
      </c>
      <c r="IC392" s="460" t="str">
        <f t="shared" ca="1" si="742"/>
        <v/>
      </c>
      <c r="ID392" s="674" t="str">
        <f t="shared" ca="1" si="742"/>
        <v/>
      </c>
    </row>
    <row r="393" spans="9:238">
      <c r="I393" s="137"/>
      <c r="J393" s="375"/>
      <c r="K393" s="1"/>
      <c r="L393" s="1"/>
      <c r="M393" s="376"/>
      <c r="P393" s="375"/>
      <c r="S393" s="55"/>
      <c r="T393" s="375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74"/>
      <c r="AO393" s="374"/>
      <c r="AP393" s="106"/>
      <c r="AQ393" s="374"/>
      <c r="AR393" s="106"/>
      <c r="AS393" s="106"/>
      <c r="AT393" s="106"/>
      <c r="AU393" s="31"/>
      <c r="AV393" s="31"/>
      <c r="AW393" s="31"/>
      <c r="AX393" s="31"/>
      <c r="AY393" s="154"/>
      <c r="AZ393" s="154"/>
      <c r="BA393" s="106"/>
      <c r="BB393" s="106"/>
      <c r="BC393" s="106"/>
      <c r="BD393" s="106"/>
      <c r="BE393" s="107"/>
      <c r="BF393" s="107"/>
      <c r="BG393" s="107"/>
      <c r="BH393" s="105"/>
      <c r="BI393" s="107"/>
      <c r="BJ393" s="106"/>
      <c r="BK393" s="108"/>
      <c r="BL393" s="159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7"/>
      <c r="CC393" s="107"/>
      <c r="CD393" s="107"/>
      <c r="CE393" s="107"/>
      <c r="CF393" s="107"/>
      <c r="CG393" s="107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10"/>
      <c r="DH393" s="475"/>
      <c r="DI393" s="1"/>
      <c r="DJ393" s="53"/>
      <c r="DK393" s="475"/>
      <c r="DL393" s="54"/>
      <c r="DM393" s="54"/>
      <c r="DN393" s="54"/>
      <c r="DO393" s="54"/>
      <c r="DP393" s="54"/>
      <c r="DQ393" s="54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L393" s="55"/>
      <c r="EM393" s="1"/>
      <c r="EN393" s="106"/>
      <c r="EO393" s="106"/>
      <c r="EP393" s="1"/>
      <c r="EQ393" s="106"/>
      <c r="ER393" s="1"/>
      <c r="ES393" s="1"/>
      <c r="ET393" s="1"/>
      <c r="EU393" s="107"/>
      <c r="FJ393" s="673">
        <v>69</v>
      </c>
      <c r="FK393" s="460">
        <f t="shared" ref="FK393:HV393" ca="1" si="750">IF(AND(ISNUMBER(FK88),ISNUMBER(FK$320),FK$320&lt;&gt;0),FK88*FK$320/FK$15,"")</f>
        <v>0</v>
      </c>
      <c r="FL393" s="460">
        <f t="shared" ca="1" si="750"/>
        <v>2.1912560255994019E-3</v>
      </c>
      <c r="FM393" s="460">
        <f t="shared" ca="1" si="750"/>
        <v>2.5468905386614158E-3</v>
      </c>
      <c r="FN393" s="460">
        <f t="shared" ca="1" si="750"/>
        <v>2.1436589359148006E-3</v>
      </c>
      <c r="FO393" s="460">
        <f t="shared" ca="1" si="750"/>
        <v>2.2297440235951797E-3</v>
      </c>
      <c r="FP393" s="460">
        <f t="shared" ca="1" si="750"/>
        <v>1.2354065045347869E-3</v>
      </c>
      <c r="FQ393" s="460" t="str">
        <f t="shared" ca="1" si="750"/>
        <v/>
      </c>
      <c r="FR393" s="460" t="str">
        <f t="shared" ca="1" si="750"/>
        <v/>
      </c>
      <c r="FS393" s="460" t="str">
        <f t="shared" ca="1" si="750"/>
        <v/>
      </c>
      <c r="FT393" s="460" t="str">
        <f t="shared" ca="1" si="750"/>
        <v/>
      </c>
      <c r="FU393" s="460" t="str">
        <f t="shared" ca="1" si="750"/>
        <v/>
      </c>
      <c r="FV393" s="460" t="str">
        <f t="shared" ca="1" si="750"/>
        <v/>
      </c>
      <c r="FW393" s="460" t="str">
        <f t="shared" ca="1" si="750"/>
        <v/>
      </c>
      <c r="FX393" s="460" t="str">
        <f t="shared" ca="1" si="750"/>
        <v/>
      </c>
      <c r="FY393" s="460" t="str">
        <f t="shared" ca="1" si="750"/>
        <v/>
      </c>
      <c r="FZ393" s="460" t="str">
        <f t="shared" ca="1" si="750"/>
        <v/>
      </c>
      <c r="GA393" s="460" t="str">
        <f t="shared" ca="1" si="750"/>
        <v/>
      </c>
      <c r="GB393" s="460" t="str">
        <f t="shared" ca="1" si="750"/>
        <v/>
      </c>
      <c r="GC393" s="460" t="str">
        <f t="shared" ca="1" si="750"/>
        <v/>
      </c>
      <c r="GD393" s="460" t="str">
        <f t="shared" ca="1" si="750"/>
        <v/>
      </c>
      <c r="GE393" s="460" t="str">
        <f t="shared" ca="1" si="750"/>
        <v/>
      </c>
      <c r="GF393" s="460" t="str">
        <f t="shared" ca="1" si="750"/>
        <v/>
      </c>
      <c r="GG393" s="460" t="str">
        <f t="shared" ca="1" si="750"/>
        <v/>
      </c>
      <c r="GH393" s="460" t="str">
        <f t="shared" ca="1" si="750"/>
        <v/>
      </c>
      <c r="GI393" s="460" t="str">
        <f t="shared" ca="1" si="750"/>
        <v/>
      </c>
      <c r="GJ393" s="460" t="str">
        <f t="shared" ca="1" si="750"/>
        <v/>
      </c>
      <c r="GK393" s="460" t="str">
        <f t="shared" ca="1" si="750"/>
        <v/>
      </c>
      <c r="GL393" s="460" t="str">
        <f t="shared" ca="1" si="750"/>
        <v/>
      </c>
      <c r="GM393" s="460" t="str">
        <f t="shared" ca="1" si="750"/>
        <v/>
      </c>
      <c r="GN393" s="460" t="str">
        <f t="shared" ca="1" si="750"/>
        <v/>
      </c>
      <c r="GO393" s="460" t="str">
        <f t="shared" ca="1" si="750"/>
        <v/>
      </c>
      <c r="GP393" s="460" t="str">
        <f t="shared" ca="1" si="750"/>
        <v/>
      </c>
      <c r="GQ393" s="460" t="str">
        <f t="shared" ca="1" si="750"/>
        <v/>
      </c>
      <c r="GR393" s="460" t="str">
        <f t="shared" ca="1" si="750"/>
        <v/>
      </c>
      <c r="GS393" s="460" t="str">
        <f t="shared" ca="1" si="750"/>
        <v/>
      </c>
      <c r="GT393" s="460" t="str">
        <f t="shared" ca="1" si="750"/>
        <v/>
      </c>
      <c r="GU393" s="460" t="str">
        <f t="shared" ca="1" si="750"/>
        <v/>
      </c>
      <c r="GV393" s="460" t="str">
        <f t="shared" ca="1" si="750"/>
        <v/>
      </c>
      <c r="GW393" s="460" t="str">
        <f t="shared" ca="1" si="750"/>
        <v/>
      </c>
      <c r="GX393" s="460" t="str">
        <f t="shared" ca="1" si="750"/>
        <v/>
      </c>
      <c r="GY393" s="460" t="str">
        <f t="shared" ca="1" si="750"/>
        <v/>
      </c>
      <c r="GZ393" s="460" t="str">
        <f t="shared" ca="1" si="750"/>
        <v/>
      </c>
      <c r="HA393" s="460" t="str">
        <f t="shared" ca="1" si="750"/>
        <v/>
      </c>
      <c r="HB393" s="460" t="str">
        <f t="shared" ca="1" si="750"/>
        <v/>
      </c>
      <c r="HC393" s="460" t="str">
        <f t="shared" ca="1" si="750"/>
        <v/>
      </c>
      <c r="HD393" s="460" t="str">
        <f t="shared" ca="1" si="750"/>
        <v/>
      </c>
      <c r="HE393" s="460" t="str">
        <f t="shared" ca="1" si="750"/>
        <v/>
      </c>
      <c r="HF393" s="460" t="str">
        <f t="shared" ca="1" si="750"/>
        <v/>
      </c>
      <c r="HG393" s="460" t="str">
        <f t="shared" ca="1" si="750"/>
        <v/>
      </c>
      <c r="HH393" s="460" t="str">
        <f t="shared" ca="1" si="750"/>
        <v/>
      </c>
      <c r="HI393" s="460" t="str">
        <f t="shared" ca="1" si="750"/>
        <v/>
      </c>
      <c r="HJ393" s="460" t="str">
        <f t="shared" ca="1" si="750"/>
        <v/>
      </c>
      <c r="HK393" s="460" t="str">
        <f t="shared" ca="1" si="750"/>
        <v/>
      </c>
      <c r="HL393" s="460" t="str">
        <f t="shared" ca="1" si="750"/>
        <v/>
      </c>
      <c r="HM393" s="460" t="str">
        <f t="shared" ca="1" si="750"/>
        <v/>
      </c>
      <c r="HN393" s="460" t="str">
        <f t="shared" ca="1" si="750"/>
        <v/>
      </c>
      <c r="HO393" s="460" t="str">
        <f t="shared" ca="1" si="750"/>
        <v/>
      </c>
      <c r="HP393" s="460" t="str">
        <f t="shared" ca="1" si="750"/>
        <v/>
      </c>
      <c r="HQ393" s="460" t="str">
        <f t="shared" ca="1" si="750"/>
        <v/>
      </c>
      <c r="HR393" s="460" t="str">
        <f t="shared" ca="1" si="750"/>
        <v/>
      </c>
      <c r="HS393" s="460" t="str">
        <f t="shared" ca="1" si="750"/>
        <v/>
      </c>
      <c r="HT393" s="460" t="str">
        <f t="shared" ca="1" si="750"/>
        <v/>
      </c>
      <c r="HU393" s="460" t="str">
        <f t="shared" ca="1" si="750"/>
        <v/>
      </c>
      <c r="HV393" s="460" t="str">
        <f t="shared" ca="1" si="750"/>
        <v/>
      </c>
      <c r="HW393" s="460" t="str">
        <f ca="1">IF(AND(ISNUMBER(HW88),ISNUMBER(HW$320),HW$320&lt;&gt;0),HW88*HW$320/HW$15,"")</f>
        <v/>
      </c>
      <c r="HX393" s="460" t="str">
        <f t="shared" ca="1" si="742"/>
        <v/>
      </c>
      <c r="HY393" s="460" t="str">
        <f t="shared" ca="1" si="742"/>
        <v/>
      </c>
      <c r="HZ393" s="460" t="str">
        <f t="shared" ca="1" si="742"/>
        <v/>
      </c>
      <c r="IA393" s="460" t="str">
        <f t="shared" ca="1" si="742"/>
        <v/>
      </c>
      <c r="IB393" s="460" t="str">
        <f t="shared" ca="1" si="742"/>
        <v/>
      </c>
      <c r="IC393" s="460" t="str">
        <f t="shared" ca="1" si="742"/>
        <v/>
      </c>
      <c r="ID393" s="674" t="str">
        <f t="shared" ca="1" si="742"/>
        <v/>
      </c>
    </row>
    <row r="394" spans="9:238">
      <c r="I394" s="137"/>
      <c r="J394" s="375"/>
      <c r="K394" s="1"/>
      <c r="L394" s="1"/>
      <c r="M394" s="376"/>
      <c r="P394" s="375"/>
      <c r="S394" s="55"/>
      <c r="T394" s="375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74"/>
      <c r="AO394" s="374"/>
      <c r="AP394" s="106"/>
      <c r="AQ394" s="374"/>
      <c r="AR394" s="106"/>
      <c r="AS394" s="106"/>
      <c r="AT394" s="106"/>
      <c r="AU394" s="31"/>
      <c r="AV394" s="31"/>
      <c r="AW394" s="31"/>
      <c r="AX394" s="31"/>
      <c r="AY394" s="154"/>
      <c r="AZ394" s="154"/>
      <c r="BA394" s="106"/>
      <c r="BB394" s="106"/>
      <c r="BC394" s="106"/>
      <c r="BD394" s="106"/>
      <c r="BE394" s="107"/>
      <c r="BF394" s="107"/>
      <c r="BG394" s="107"/>
      <c r="BH394" s="105"/>
      <c r="BI394" s="107"/>
      <c r="BJ394" s="106"/>
      <c r="BK394" s="108"/>
      <c r="BL394" s="159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7"/>
      <c r="CC394" s="107"/>
      <c r="CD394" s="107"/>
      <c r="CE394" s="107"/>
      <c r="CF394" s="107"/>
      <c r="CG394" s="107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10"/>
      <c r="DH394" s="475"/>
      <c r="DI394" s="1"/>
      <c r="DJ394" s="53"/>
      <c r="DK394" s="475"/>
      <c r="DL394" s="54"/>
      <c r="DM394" s="54"/>
      <c r="DN394" s="54"/>
      <c r="DO394" s="54"/>
      <c r="DP394" s="54"/>
      <c r="DQ394" s="54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L394" s="55"/>
      <c r="EM394" s="1"/>
      <c r="EN394" s="106"/>
      <c r="EO394" s="106"/>
      <c r="EP394" s="1"/>
      <c r="EQ394" s="106"/>
      <c r="ER394" s="1"/>
      <c r="ES394" s="1"/>
      <c r="ET394" s="1"/>
      <c r="EU394" s="107"/>
      <c r="FJ394" s="673">
        <v>70</v>
      </c>
      <c r="FK394" s="460">
        <f t="shared" ref="FK394:HV394" ca="1" si="751">IF(AND(ISNUMBER(FK89),ISNUMBER(FK$320),FK$320&lt;&gt;0),FK89*FK$320/FK$15,"")</f>
        <v>0</v>
      </c>
      <c r="FL394" s="460">
        <f t="shared" ca="1" si="751"/>
        <v>2.1912424130307653E-3</v>
      </c>
      <c r="FM394" s="460">
        <f t="shared" ca="1" si="751"/>
        <v>2.5468720335747011E-3</v>
      </c>
      <c r="FN394" s="460">
        <f t="shared" ca="1" si="751"/>
        <v>2.1436407191849295E-3</v>
      </c>
      <c r="FO394" s="460">
        <f t="shared" ca="1" si="751"/>
        <v>2.2297218618670127E-3</v>
      </c>
      <c r="FP394" s="460">
        <f t="shared" ca="1" si="751"/>
        <v>1.2353921432801097E-3</v>
      </c>
      <c r="FQ394" s="460" t="str">
        <f t="shared" ca="1" si="751"/>
        <v/>
      </c>
      <c r="FR394" s="460" t="str">
        <f t="shared" ca="1" si="751"/>
        <v/>
      </c>
      <c r="FS394" s="460" t="str">
        <f t="shared" ca="1" si="751"/>
        <v/>
      </c>
      <c r="FT394" s="460" t="str">
        <f t="shared" ca="1" si="751"/>
        <v/>
      </c>
      <c r="FU394" s="460" t="str">
        <f t="shared" ca="1" si="751"/>
        <v/>
      </c>
      <c r="FV394" s="460" t="str">
        <f t="shared" ca="1" si="751"/>
        <v/>
      </c>
      <c r="FW394" s="460" t="str">
        <f t="shared" ca="1" si="751"/>
        <v/>
      </c>
      <c r="FX394" s="460" t="str">
        <f t="shared" ca="1" si="751"/>
        <v/>
      </c>
      <c r="FY394" s="460" t="str">
        <f t="shared" ca="1" si="751"/>
        <v/>
      </c>
      <c r="FZ394" s="460" t="str">
        <f t="shared" ca="1" si="751"/>
        <v/>
      </c>
      <c r="GA394" s="460" t="str">
        <f t="shared" ca="1" si="751"/>
        <v/>
      </c>
      <c r="GB394" s="460" t="str">
        <f t="shared" ca="1" si="751"/>
        <v/>
      </c>
      <c r="GC394" s="460" t="str">
        <f t="shared" ca="1" si="751"/>
        <v/>
      </c>
      <c r="GD394" s="460" t="str">
        <f t="shared" ca="1" si="751"/>
        <v/>
      </c>
      <c r="GE394" s="460" t="str">
        <f t="shared" ca="1" si="751"/>
        <v/>
      </c>
      <c r="GF394" s="460" t="str">
        <f t="shared" ca="1" si="751"/>
        <v/>
      </c>
      <c r="GG394" s="460" t="str">
        <f t="shared" ca="1" si="751"/>
        <v/>
      </c>
      <c r="GH394" s="460" t="str">
        <f t="shared" ca="1" si="751"/>
        <v/>
      </c>
      <c r="GI394" s="460" t="str">
        <f t="shared" ca="1" si="751"/>
        <v/>
      </c>
      <c r="GJ394" s="460" t="str">
        <f t="shared" ca="1" si="751"/>
        <v/>
      </c>
      <c r="GK394" s="460" t="str">
        <f t="shared" ca="1" si="751"/>
        <v/>
      </c>
      <c r="GL394" s="460" t="str">
        <f t="shared" ca="1" si="751"/>
        <v/>
      </c>
      <c r="GM394" s="460" t="str">
        <f t="shared" ca="1" si="751"/>
        <v/>
      </c>
      <c r="GN394" s="460" t="str">
        <f t="shared" ca="1" si="751"/>
        <v/>
      </c>
      <c r="GO394" s="460" t="str">
        <f t="shared" ca="1" si="751"/>
        <v/>
      </c>
      <c r="GP394" s="460" t="str">
        <f t="shared" ca="1" si="751"/>
        <v/>
      </c>
      <c r="GQ394" s="460" t="str">
        <f t="shared" ca="1" si="751"/>
        <v/>
      </c>
      <c r="GR394" s="460" t="str">
        <f t="shared" ca="1" si="751"/>
        <v/>
      </c>
      <c r="GS394" s="460" t="str">
        <f t="shared" ca="1" si="751"/>
        <v/>
      </c>
      <c r="GT394" s="460" t="str">
        <f t="shared" ca="1" si="751"/>
        <v/>
      </c>
      <c r="GU394" s="460" t="str">
        <f t="shared" ca="1" si="751"/>
        <v/>
      </c>
      <c r="GV394" s="460" t="str">
        <f t="shared" ca="1" si="751"/>
        <v/>
      </c>
      <c r="GW394" s="460" t="str">
        <f t="shared" ca="1" si="751"/>
        <v/>
      </c>
      <c r="GX394" s="460" t="str">
        <f t="shared" ca="1" si="751"/>
        <v/>
      </c>
      <c r="GY394" s="460" t="str">
        <f t="shared" ca="1" si="751"/>
        <v/>
      </c>
      <c r="GZ394" s="460" t="str">
        <f t="shared" ca="1" si="751"/>
        <v/>
      </c>
      <c r="HA394" s="460" t="str">
        <f t="shared" ca="1" si="751"/>
        <v/>
      </c>
      <c r="HB394" s="460" t="str">
        <f t="shared" ca="1" si="751"/>
        <v/>
      </c>
      <c r="HC394" s="460" t="str">
        <f t="shared" ca="1" si="751"/>
        <v/>
      </c>
      <c r="HD394" s="460" t="str">
        <f t="shared" ca="1" si="751"/>
        <v/>
      </c>
      <c r="HE394" s="460" t="str">
        <f t="shared" ca="1" si="751"/>
        <v/>
      </c>
      <c r="HF394" s="460" t="str">
        <f t="shared" ca="1" si="751"/>
        <v/>
      </c>
      <c r="HG394" s="460" t="str">
        <f t="shared" ca="1" si="751"/>
        <v/>
      </c>
      <c r="HH394" s="460" t="str">
        <f t="shared" ca="1" si="751"/>
        <v/>
      </c>
      <c r="HI394" s="460" t="str">
        <f t="shared" ca="1" si="751"/>
        <v/>
      </c>
      <c r="HJ394" s="460" t="str">
        <f t="shared" ca="1" si="751"/>
        <v/>
      </c>
      <c r="HK394" s="460" t="str">
        <f t="shared" ca="1" si="751"/>
        <v/>
      </c>
      <c r="HL394" s="460" t="str">
        <f t="shared" ca="1" si="751"/>
        <v/>
      </c>
      <c r="HM394" s="460" t="str">
        <f t="shared" ca="1" si="751"/>
        <v/>
      </c>
      <c r="HN394" s="460" t="str">
        <f t="shared" ca="1" si="751"/>
        <v/>
      </c>
      <c r="HO394" s="460" t="str">
        <f t="shared" ca="1" si="751"/>
        <v/>
      </c>
      <c r="HP394" s="460" t="str">
        <f t="shared" ca="1" si="751"/>
        <v/>
      </c>
      <c r="HQ394" s="460" t="str">
        <f t="shared" ca="1" si="751"/>
        <v/>
      </c>
      <c r="HR394" s="460" t="str">
        <f t="shared" ca="1" si="751"/>
        <v/>
      </c>
      <c r="HS394" s="460" t="str">
        <f t="shared" ca="1" si="751"/>
        <v/>
      </c>
      <c r="HT394" s="460" t="str">
        <f t="shared" ca="1" si="751"/>
        <v/>
      </c>
      <c r="HU394" s="460" t="str">
        <f t="shared" ca="1" si="751"/>
        <v/>
      </c>
      <c r="HV394" s="460" t="str">
        <f t="shared" ca="1" si="751"/>
        <v/>
      </c>
      <c r="HW394" s="460" t="str">
        <f ca="1">IF(AND(ISNUMBER(HW89),ISNUMBER(HW$320),HW$320&lt;&gt;0),HW89*HW$320/HW$15,"")</f>
        <v/>
      </c>
      <c r="HX394" s="460" t="str">
        <f t="shared" ca="1" si="742"/>
        <v/>
      </c>
      <c r="HY394" s="460" t="str">
        <f t="shared" ca="1" si="742"/>
        <v/>
      </c>
      <c r="HZ394" s="460" t="str">
        <f t="shared" ca="1" si="742"/>
        <v/>
      </c>
      <c r="IA394" s="460" t="str">
        <f t="shared" ca="1" si="742"/>
        <v/>
      </c>
      <c r="IB394" s="460" t="str">
        <f t="shared" ca="1" si="742"/>
        <v/>
      </c>
      <c r="IC394" s="460" t="str">
        <f t="shared" ca="1" si="742"/>
        <v/>
      </c>
      <c r="ID394" s="674" t="str">
        <f t="shared" ca="1" si="742"/>
        <v/>
      </c>
    </row>
    <row r="395" spans="9:238">
      <c r="I395" s="137"/>
      <c r="J395" s="375"/>
      <c r="K395" s="1"/>
      <c r="L395" s="1"/>
      <c r="M395" s="376"/>
      <c r="P395" s="375"/>
      <c r="S395" s="55"/>
      <c r="T395" s="375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74"/>
      <c r="AO395" s="374"/>
      <c r="AP395" s="106"/>
      <c r="AQ395" s="374"/>
      <c r="AR395" s="106"/>
      <c r="AS395" s="106"/>
      <c r="AT395" s="106"/>
      <c r="AU395" s="31"/>
      <c r="AV395" s="31"/>
      <c r="AW395" s="31"/>
      <c r="AX395" s="31"/>
      <c r="AY395" s="154"/>
      <c r="AZ395" s="154"/>
      <c r="BA395" s="106"/>
      <c r="BB395" s="106"/>
      <c r="BC395" s="106"/>
      <c r="BD395" s="106"/>
      <c r="BE395" s="107"/>
      <c r="BF395" s="107"/>
      <c r="BG395" s="107"/>
      <c r="BH395" s="105"/>
      <c r="BI395" s="107"/>
      <c r="BJ395" s="106"/>
      <c r="BK395" s="108"/>
      <c r="BL395" s="159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7"/>
      <c r="CC395" s="107"/>
      <c r="CD395" s="107"/>
      <c r="CE395" s="107"/>
      <c r="CF395" s="107"/>
      <c r="CG395" s="107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10"/>
      <c r="DH395" s="475"/>
      <c r="DI395" s="1"/>
      <c r="DJ395" s="53"/>
      <c r="DK395" s="475"/>
      <c r="DL395" s="54"/>
      <c r="DM395" s="54"/>
      <c r="DN395" s="54"/>
      <c r="DO395" s="54"/>
      <c r="DP395" s="54"/>
      <c r="DQ395" s="54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L395" s="55"/>
      <c r="EM395" s="1"/>
      <c r="EN395" s="106"/>
      <c r="EO395" s="106"/>
      <c r="EP395" s="1"/>
      <c r="EQ395" s="106"/>
      <c r="ER395" s="1"/>
      <c r="ES395" s="1"/>
      <c r="ET395" s="1"/>
      <c r="EU395" s="107"/>
      <c r="FJ395" s="673">
        <v>71</v>
      </c>
      <c r="FK395" s="460">
        <f t="shared" ref="FK395:HV395" ca="1" si="752">IF(AND(ISNUMBER(FK90),ISNUMBER(FK$320),FK$320&lt;&gt;0),FK90*FK$320/FK$15,"")</f>
        <v>0</v>
      </c>
      <c r="FL395" s="460">
        <f t="shared" ca="1" si="752"/>
        <v>2.1912307743568839E-3</v>
      </c>
      <c r="FM395" s="460">
        <f t="shared" ca="1" si="752"/>
        <v>2.5468562118405175E-3</v>
      </c>
      <c r="FN395" s="460">
        <f t="shared" ca="1" si="752"/>
        <v>2.1436251440132476E-3</v>
      </c>
      <c r="FO395" s="460">
        <f t="shared" ca="1" si="752"/>
        <v>2.2297029137777597E-3</v>
      </c>
      <c r="FP395" s="460">
        <f t="shared" ca="1" si="752"/>
        <v>1.235379864550099E-3</v>
      </c>
      <c r="FQ395" s="460" t="str">
        <f t="shared" ca="1" si="752"/>
        <v/>
      </c>
      <c r="FR395" s="460" t="str">
        <f t="shared" ca="1" si="752"/>
        <v/>
      </c>
      <c r="FS395" s="460" t="str">
        <f t="shared" ca="1" si="752"/>
        <v/>
      </c>
      <c r="FT395" s="460" t="str">
        <f t="shared" ca="1" si="752"/>
        <v/>
      </c>
      <c r="FU395" s="460" t="str">
        <f t="shared" ca="1" si="752"/>
        <v/>
      </c>
      <c r="FV395" s="460" t="str">
        <f t="shared" ca="1" si="752"/>
        <v/>
      </c>
      <c r="FW395" s="460" t="str">
        <f t="shared" ca="1" si="752"/>
        <v/>
      </c>
      <c r="FX395" s="460" t="str">
        <f t="shared" ca="1" si="752"/>
        <v/>
      </c>
      <c r="FY395" s="460" t="str">
        <f t="shared" ca="1" si="752"/>
        <v/>
      </c>
      <c r="FZ395" s="460" t="str">
        <f t="shared" ca="1" si="752"/>
        <v/>
      </c>
      <c r="GA395" s="460" t="str">
        <f t="shared" ca="1" si="752"/>
        <v/>
      </c>
      <c r="GB395" s="460" t="str">
        <f t="shared" ca="1" si="752"/>
        <v/>
      </c>
      <c r="GC395" s="460" t="str">
        <f t="shared" ca="1" si="752"/>
        <v/>
      </c>
      <c r="GD395" s="460" t="str">
        <f t="shared" ca="1" si="752"/>
        <v/>
      </c>
      <c r="GE395" s="460" t="str">
        <f t="shared" ca="1" si="752"/>
        <v/>
      </c>
      <c r="GF395" s="460" t="str">
        <f t="shared" ca="1" si="752"/>
        <v/>
      </c>
      <c r="GG395" s="460" t="str">
        <f t="shared" ca="1" si="752"/>
        <v/>
      </c>
      <c r="GH395" s="460" t="str">
        <f t="shared" ca="1" si="752"/>
        <v/>
      </c>
      <c r="GI395" s="460" t="str">
        <f t="shared" ca="1" si="752"/>
        <v/>
      </c>
      <c r="GJ395" s="460" t="str">
        <f t="shared" ca="1" si="752"/>
        <v/>
      </c>
      <c r="GK395" s="460" t="str">
        <f t="shared" ca="1" si="752"/>
        <v/>
      </c>
      <c r="GL395" s="460" t="str">
        <f t="shared" ca="1" si="752"/>
        <v/>
      </c>
      <c r="GM395" s="460" t="str">
        <f t="shared" ca="1" si="752"/>
        <v/>
      </c>
      <c r="GN395" s="460" t="str">
        <f t="shared" ca="1" si="752"/>
        <v/>
      </c>
      <c r="GO395" s="460" t="str">
        <f t="shared" ca="1" si="752"/>
        <v/>
      </c>
      <c r="GP395" s="460" t="str">
        <f t="shared" ca="1" si="752"/>
        <v/>
      </c>
      <c r="GQ395" s="460" t="str">
        <f t="shared" ca="1" si="752"/>
        <v/>
      </c>
      <c r="GR395" s="460" t="str">
        <f t="shared" ca="1" si="752"/>
        <v/>
      </c>
      <c r="GS395" s="460" t="str">
        <f t="shared" ca="1" si="752"/>
        <v/>
      </c>
      <c r="GT395" s="460" t="str">
        <f t="shared" ca="1" si="752"/>
        <v/>
      </c>
      <c r="GU395" s="460" t="str">
        <f t="shared" ca="1" si="752"/>
        <v/>
      </c>
      <c r="GV395" s="460" t="str">
        <f t="shared" ca="1" si="752"/>
        <v/>
      </c>
      <c r="GW395" s="460" t="str">
        <f t="shared" ca="1" si="752"/>
        <v/>
      </c>
      <c r="GX395" s="460" t="str">
        <f t="shared" ca="1" si="752"/>
        <v/>
      </c>
      <c r="GY395" s="460" t="str">
        <f t="shared" ca="1" si="752"/>
        <v/>
      </c>
      <c r="GZ395" s="460" t="str">
        <f t="shared" ca="1" si="752"/>
        <v/>
      </c>
      <c r="HA395" s="460" t="str">
        <f t="shared" ca="1" si="752"/>
        <v/>
      </c>
      <c r="HB395" s="460" t="str">
        <f t="shared" ca="1" si="752"/>
        <v/>
      </c>
      <c r="HC395" s="460" t="str">
        <f t="shared" ca="1" si="752"/>
        <v/>
      </c>
      <c r="HD395" s="460" t="str">
        <f t="shared" ca="1" si="752"/>
        <v/>
      </c>
      <c r="HE395" s="460" t="str">
        <f t="shared" ca="1" si="752"/>
        <v/>
      </c>
      <c r="HF395" s="460" t="str">
        <f t="shared" ca="1" si="752"/>
        <v/>
      </c>
      <c r="HG395" s="460" t="str">
        <f t="shared" ca="1" si="752"/>
        <v/>
      </c>
      <c r="HH395" s="460" t="str">
        <f t="shared" ca="1" si="752"/>
        <v/>
      </c>
      <c r="HI395" s="460" t="str">
        <f t="shared" ca="1" si="752"/>
        <v/>
      </c>
      <c r="HJ395" s="460" t="str">
        <f t="shared" ca="1" si="752"/>
        <v/>
      </c>
      <c r="HK395" s="460" t="str">
        <f t="shared" ca="1" si="752"/>
        <v/>
      </c>
      <c r="HL395" s="460" t="str">
        <f t="shared" ca="1" si="752"/>
        <v/>
      </c>
      <c r="HM395" s="460" t="str">
        <f t="shared" ca="1" si="752"/>
        <v/>
      </c>
      <c r="HN395" s="460" t="str">
        <f t="shared" ca="1" si="752"/>
        <v/>
      </c>
      <c r="HO395" s="460" t="str">
        <f t="shared" ca="1" si="752"/>
        <v/>
      </c>
      <c r="HP395" s="460" t="str">
        <f t="shared" ca="1" si="752"/>
        <v/>
      </c>
      <c r="HQ395" s="460" t="str">
        <f t="shared" ca="1" si="752"/>
        <v/>
      </c>
      <c r="HR395" s="460" t="str">
        <f t="shared" ca="1" si="752"/>
        <v/>
      </c>
      <c r="HS395" s="460" t="str">
        <f t="shared" ca="1" si="752"/>
        <v/>
      </c>
      <c r="HT395" s="460" t="str">
        <f t="shared" ca="1" si="752"/>
        <v/>
      </c>
      <c r="HU395" s="460" t="str">
        <f t="shared" ca="1" si="752"/>
        <v/>
      </c>
      <c r="HV395" s="460" t="str">
        <f t="shared" ca="1" si="752"/>
        <v/>
      </c>
      <c r="HW395" s="460" t="str">
        <f t="shared" ref="HW395:ID395" ca="1" si="753">IF(AND(ISNUMBER(HW90),ISNUMBER(HW$320),HW$320&lt;&gt;0),HW90*HW$320/HW$15,"")</f>
        <v/>
      </c>
      <c r="HX395" s="460" t="str">
        <f t="shared" ca="1" si="753"/>
        <v/>
      </c>
      <c r="HY395" s="460" t="str">
        <f t="shared" ca="1" si="753"/>
        <v/>
      </c>
      <c r="HZ395" s="460" t="str">
        <f t="shared" ca="1" si="753"/>
        <v/>
      </c>
      <c r="IA395" s="460" t="str">
        <f t="shared" ca="1" si="753"/>
        <v/>
      </c>
      <c r="IB395" s="460" t="str">
        <f t="shared" ca="1" si="753"/>
        <v/>
      </c>
      <c r="IC395" s="460" t="str">
        <f t="shared" ca="1" si="753"/>
        <v/>
      </c>
      <c r="ID395" s="674" t="str">
        <f t="shared" ca="1" si="753"/>
        <v/>
      </c>
    </row>
    <row r="396" spans="9:238">
      <c r="I396" s="137"/>
      <c r="J396" s="375"/>
      <c r="K396" s="1"/>
      <c r="L396" s="1"/>
      <c r="M396" s="376"/>
      <c r="P396" s="375"/>
      <c r="S396" s="55"/>
      <c r="T396" s="375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74"/>
      <c r="AO396" s="374"/>
      <c r="AP396" s="106"/>
      <c r="AQ396" s="374"/>
      <c r="AR396" s="106"/>
      <c r="AS396" s="106"/>
      <c r="AT396" s="106"/>
      <c r="AU396" s="31"/>
      <c r="AV396" s="31"/>
      <c r="AW396" s="31"/>
      <c r="AX396" s="31"/>
      <c r="AY396" s="154"/>
      <c r="AZ396" s="154"/>
      <c r="BA396" s="106"/>
      <c r="BB396" s="106"/>
      <c r="BC396" s="106"/>
      <c r="BD396" s="106"/>
      <c r="BE396" s="107"/>
      <c r="BF396" s="107"/>
      <c r="BG396" s="107"/>
      <c r="BH396" s="105"/>
      <c r="BI396" s="107"/>
      <c r="BJ396" s="106"/>
      <c r="BK396" s="108"/>
      <c r="BL396" s="159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7"/>
      <c r="CC396" s="107"/>
      <c r="CD396" s="107"/>
      <c r="CE396" s="107"/>
      <c r="CF396" s="107"/>
      <c r="CG396" s="107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10"/>
      <c r="DH396" s="475"/>
      <c r="DI396" s="1"/>
      <c r="DJ396" s="53"/>
      <c r="DK396" s="475"/>
      <c r="DL396" s="54"/>
      <c r="DM396" s="54"/>
      <c r="DN396" s="54"/>
      <c r="DO396" s="54"/>
      <c r="DP396" s="54"/>
      <c r="DQ396" s="54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L396" s="55"/>
      <c r="EM396" s="1"/>
      <c r="EN396" s="106"/>
      <c r="EO396" s="106"/>
      <c r="EP396" s="1"/>
      <c r="EQ396" s="106"/>
      <c r="ER396" s="1"/>
      <c r="ES396" s="1"/>
      <c r="ET396" s="1"/>
      <c r="EU396" s="107"/>
      <c r="FJ396" s="675">
        <v>72</v>
      </c>
      <c r="FK396" s="676">
        <f t="shared" ref="FK396:HV396" ca="1" si="754">IF(AND(ISNUMBER(FK91),ISNUMBER(FK$320),FK$320&lt;&gt;0),FK91*FK$320/FK$15,"")</f>
        <v>0</v>
      </c>
      <c r="FL396" s="676">
        <f t="shared" ca="1" si="754"/>
        <v>2.1912208233435693E-3</v>
      </c>
      <c r="FM396" s="676">
        <f t="shared" ca="1" si="754"/>
        <v>2.5468426843418272E-3</v>
      </c>
      <c r="FN396" s="676">
        <f t="shared" ca="1" si="754"/>
        <v>2.1436118273382163E-3</v>
      </c>
      <c r="FO396" s="676">
        <f t="shared" ca="1" si="754"/>
        <v>2.2296867132991205E-3</v>
      </c>
      <c r="FP396" s="676">
        <f t="shared" ca="1" si="754"/>
        <v>1.2353693663402843E-3</v>
      </c>
      <c r="FQ396" s="676" t="str">
        <f t="shared" ca="1" si="754"/>
        <v/>
      </c>
      <c r="FR396" s="676" t="str">
        <f t="shared" ca="1" si="754"/>
        <v/>
      </c>
      <c r="FS396" s="676" t="str">
        <f t="shared" ca="1" si="754"/>
        <v/>
      </c>
      <c r="FT396" s="676" t="str">
        <f t="shared" ca="1" si="754"/>
        <v/>
      </c>
      <c r="FU396" s="676" t="str">
        <f t="shared" ca="1" si="754"/>
        <v/>
      </c>
      <c r="FV396" s="676" t="str">
        <f t="shared" ca="1" si="754"/>
        <v/>
      </c>
      <c r="FW396" s="676" t="str">
        <f t="shared" ca="1" si="754"/>
        <v/>
      </c>
      <c r="FX396" s="676" t="str">
        <f t="shared" ca="1" si="754"/>
        <v/>
      </c>
      <c r="FY396" s="676" t="str">
        <f t="shared" ca="1" si="754"/>
        <v/>
      </c>
      <c r="FZ396" s="676" t="str">
        <f t="shared" ca="1" si="754"/>
        <v/>
      </c>
      <c r="GA396" s="676" t="str">
        <f t="shared" ca="1" si="754"/>
        <v/>
      </c>
      <c r="GB396" s="676" t="str">
        <f t="shared" ca="1" si="754"/>
        <v/>
      </c>
      <c r="GC396" s="676" t="str">
        <f t="shared" ca="1" si="754"/>
        <v/>
      </c>
      <c r="GD396" s="676" t="str">
        <f t="shared" ca="1" si="754"/>
        <v/>
      </c>
      <c r="GE396" s="676" t="str">
        <f t="shared" ca="1" si="754"/>
        <v/>
      </c>
      <c r="GF396" s="676" t="str">
        <f t="shared" ca="1" si="754"/>
        <v/>
      </c>
      <c r="GG396" s="676" t="str">
        <f t="shared" ca="1" si="754"/>
        <v/>
      </c>
      <c r="GH396" s="676" t="str">
        <f t="shared" ca="1" si="754"/>
        <v/>
      </c>
      <c r="GI396" s="676" t="str">
        <f t="shared" ca="1" si="754"/>
        <v/>
      </c>
      <c r="GJ396" s="676" t="str">
        <f t="shared" ca="1" si="754"/>
        <v/>
      </c>
      <c r="GK396" s="676" t="str">
        <f t="shared" ca="1" si="754"/>
        <v/>
      </c>
      <c r="GL396" s="676" t="str">
        <f t="shared" ca="1" si="754"/>
        <v/>
      </c>
      <c r="GM396" s="676" t="str">
        <f t="shared" ca="1" si="754"/>
        <v/>
      </c>
      <c r="GN396" s="676" t="str">
        <f t="shared" ca="1" si="754"/>
        <v/>
      </c>
      <c r="GO396" s="676" t="str">
        <f t="shared" ca="1" si="754"/>
        <v/>
      </c>
      <c r="GP396" s="676" t="str">
        <f t="shared" ca="1" si="754"/>
        <v/>
      </c>
      <c r="GQ396" s="676" t="str">
        <f t="shared" ca="1" si="754"/>
        <v/>
      </c>
      <c r="GR396" s="676" t="str">
        <f t="shared" ca="1" si="754"/>
        <v/>
      </c>
      <c r="GS396" s="676" t="str">
        <f t="shared" ca="1" si="754"/>
        <v/>
      </c>
      <c r="GT396" s="676" t="str">
        <f t="shared" ca="1" si="754"/>
        <v/>
      </c>
      <c r="GU396" s="676" t="str">
        <f t="shared" ca="1" si="754"/>
        <v/>
      </c>
      <c r="GV396" s="676" t="str">
        <f t="shared" ca="1" si="754"/>
        <v/>
      </c>
      <c r="GW396" s="676" t="str">
        <f t="shared" ca="1" si="754"/>
        <v/>
      </c>
      <c r="GX396" s="676" t="str">
        <f t="shared" ca="1" si="754"/>
        <v/>
      </c>
      <c r="GY396" s="676" t="str">
        <f t="shared" ca="1" si="754"/>
        <v/>
      </c>
      <c r="GZ396" s="676" t="str">
        <f t="shared" ca="1" si="754"/>
        <v/>
      </c>
      <c r="HA396" s="676" t="str">
        <f t="shared" ca="1" si="754"/>
        <v/>
      </c>
      <c r="HB396" s="676" t="str">
        <f t="shared" ca="1" si="754"/>
        <v/>
      </c>
      <c r="HC396" s="676" t="str">
        <f t="shared" ca="1" si="754"/>
        <v/>
      </c>
      <c r="HD396" s="676" t="str">
        <f t="shared" ca="1" si="754"/>
        <v/>
      </c>
      <c r="HE396" s="676" t="str">
        <f t="shared" ca="1" si="754"/>
        <v/>
      </c>
      <c r="HF396" s="676" t="str">
        <f t="shared" ca="1" si="754"/>
        <v/>
      </c>
      <c r="HG396" s="676" t="str">
        <f t="shared" ca="1" si="754"/>
        <v/>
      </c>
      <c r="HH396" s="676" t="str">
        <f t="shared" ca="1" si="754"/>
        <v/>
      </c>
      <c r="HI396" s="676" t="str">
        <f t="shared" ca="1" si="754"/>
        <v/>
      </c>
      <c r="HJ396" s="676" t="str">
        <f t="shared" ca="1" si="754"/>
        <v/>
      </c>
      <c r="HK396" s="676" t="str">
        <f t="shared" ca="1" si="754"/>
        <v/>
      </c>
      <c r="HL396" s="676" t="str">
        <f t="shared" ca="1" si="754"/>
        <v/>
      </c>
      <c r="HM396" s="676" t="str">
        <f t="shared" ca="1" si="754"/>
        <v/>
      </c>
      <c r="HN396" s="676" t="str">
        <f t="shared" ca="1" si="754"/>
        <v/>
      </c>
      <c r="HO396" s="676" t="str">
        <f t="shared" ca="1" si="754"/>
        <v/>
      </c>
      <c r="HP396" s="676" t="str">
        <f t="shared" ca="1" si="754"/>
        <v/>
      </c>
      <c r="HQ396" s="676" t="str">
        <f t="shared" ca="1" si="754"/>
        <v/>
      </c>
      <c r="HR396" s="676" t="str">
        <f t="shared" ca="1" si="754"/>
        <v/>
      </c>
      <c r="HS396" s="676" t="str">
        <f t="shared" ca="1" si="754"/>
        <v/>
      </c>
      <c r="HT396" s="676" t="str">
        <f t="shared" ca="1" si="754"/>
        <v/>
      </c>
      <c r="HU396" s="676" t="str">
        <f t="shared" ca="1" si="754"/>
        <v/>
      </c>
      <c r="HV396" s="676" t="str">
        <f t="shared" ca="1" si="754"/>
        <v/>
      </c>
      <c r="HW396" s="676" t="str">
        <f t="shared" ref="HW396:ID396" ca="1" si="755">IF(AND(ISNUMBER(HW91),ISNUMBER(HW$320),HW$320&lt;&gt;0),HW91*HW$320/HW$15,"")</f>
        <v/>
      </c>
      <c r="HX396" s="676" t="str">
        <f t="shared" ca="1" si="755"/>
        <v/>
      </c>
      <c r="HY396" s="676" t="str">
        <f t="shared" ca="1" si="755"/>
        <v/>
      </c>
      <c r="HZ396" s="676" t="str">
        <f t="shared" ca="1" si="755"/>
        <v/>
      </c>
      <c r="IA396" s="676" t="str">
        <f t="shared" ca="1" si="755"/>
        <v/>
      </c>
      <c r="IB396" s="676" t="str">
        <f t="shared" ca="1" si="755"/>
        <v/>
      </c>
      <c r="IC396" s="676" t="str">
        <f t="shared" ca="1" si="755"/>
        <v/>
      </c>
      <c r="ID396" s="677" t="str">
        <f t="shared" ca="1" si="755"/>
        <v/>
      </c>
    </row>
    <row r="397" spans="9:238">
      <c r="I397" s="137"/>
      <c r="J397" s="375"/>
      <c r="K397" s="1"/>
      <c r="L397" s="1"/>
      <c r="M397" s="376"/>
      <c r="P397" s="375"/>
      <c r="S397" s="55"/>
      <c r="T397" s="375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74"/>
      <c r="AO397" s="374"/>
      <c r="AP397" s="106"/>
      <c r="AQ397" s="374"/>
      <c r="AR397" s="106"/>
      <c r="AS397" s="106"/>
      <c r="AT397" s="106"/>
      <c r="AU397" s="31"/>
      <c r="AV397" s="31"/>
      <c r="AW397" s="31"/>
      <c r="AX397" s="31"/>
      <c r="AY397" s="154"/>
      <c r="AZ397" s="154"/>
      <c r="BA397" s="106"/>
      <c r="BB397" s="106"/>
      <c r="BC397" s="106"/>
      <c r="BD397" s="106"/>
      <c r="BE397" s="107"/>
      <c r="BF397" s="107"/>
      <c r="BG397" s="107"/>
      <c r="BH397" s="105"/>
      <c r="BI397" s="107"/>
      <c r="BJ397" s="106"/>
      <c r="BK397" s="108"/>
      <c r="BL397" s="159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7"/>
      <c r="CC397" s="107"/>
      <c r="CD397" s="107"/>
      <c r="CE397" s="107"/>
      <c r="CF397" s="107"/>
      <c r="CG397" s="107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10"/>
      <c r="DH397" s="475"/>
      <c r="DI397" s="1"/>
      <c r="DJ397" s="53"/>
      <c r="DK397" s="475"/>
      <c r="DL397" s="54"/>
      <c r="DM397" s="54"/>
      <c r="DN397" s="54"/>
      <c r="DO397" s="54"/>
      <c r="DP397" s="54"/>
      <c r="DQ397" s="54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L397" s="55"/>
      <c r="EM397" s="1"/>
      <c r="EN397" s="106"/>
      <c r="EO397" s="106"/>
      <c r="EP397" s="1"/>
      <c r="EQ397" s="106"/>
      <c r="ER397" s="1"/>
      <c r="ES397" s="1"/>
      <c r="ET397" s="1"/>
      <c r="EU397" s="107"/>
    </row>
    <row r="398" spans="9:238">
      <c r="I398" s="137"/>
      <c r="J398" s="375"/>
      <c r="K398" s="1"/>
      <c r="L398" s="1"/>
      <c r="M398" s="376"/>
      <c r="P398" s="375"/>
      <c r="S398" s="55"/>
      <c r="T398" s="375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74"/>
      <c r="AO398" s="374"/>
      <c r="AP398" s="106"/>
      <c r="AQ398" s="374"/>
      <c r="AR398" s="106"/>
      <c r="AS398" s="106"/>
      <c r="AT398" s="106"/>
      <c r="AU398" s="31"/>
      <c r="AV398" s="31"/>
      <c r="AW398" s="31"/>
      <c r="AX398" s="31"/>
      <c r="AY398" s="154"/>
      <c r="AZ398" s="154"/>
      <c r="BA398" s="106"/>
      <c r="BB398" s="106"/>
      <c r="BC398" s="106"/>
      <c r="BD398" s="106"/>
      <c r="BE398" s="107"/>
      <c r="BF398" s="107"/>
      <c r="BG398" s="107"/>
      <c r="BH398" s="105"/>
      <c r="BI398" s="107"/>
      <c r="BJ398" s="106"/>
      <c r="BK398" s="108"/>
      <c r="BL398" s="159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7"/>
      <c r="CC398" s="107"/>
      <c r="CD398" s="107"/>
      <c r="CE398" s="107"/>
      <c r="CF398" s="107"/>
      <c r="CG398" s="107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10"/>
      <c r="DH398" s="475"/>
      <c r="DI398" s="1"/>
      <c r="DJ398" s="53"/>
      <c r="DK398" s="475"/>
      <c r="DL398" s="54"/>
      <c r="DM398" s="54"/>
      <c r="DN398" s="54"/>
      <c r="DO398" s="54"/>
      <c r="DP398" s="54"/>
      <c r="DQ398" s="54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L398" s="55"/>
      <c r="EM398" s="1"/>
      <c r="EN398" s="106"/>
      <c r="EO398" s="106"/>
      <c r="EP398" s="1"/>
      <c r="EQ398" s="106"/>
      <c r="ER398" s="1"/>
      <c r="ES398" s="1"/>
      <c r="ET398" s="1"/>
      <c r="EU398" s="107"/>
    </row>
    <row r="399" spans="9:238">
      <c r="I399" s="137"/>
      <c r="J399" s="375"/>
      <c r="K399" s="1"/>
      <c r="L399" s="1"/>
      <c r="M399" s="376"/>
      <c r="P399" s="375"/>
      <c r="S399" s="55"/>
      <c r="T399" s="375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74"/>
      <c r="AO399" s="374"/>
      <c r="AP399" s="106"/>
      <c r="AQ399" s="374"/>
      <c r="AR399" s="106"/>
      <c r="AS399" s="106"/>
      <c r="AT399" s="106"/>
      <c r="AU399" s="31"/>
      <c r="AV399" s="31"/>
      <c r="AW399" s="31"/>
      <c r="AX399" s="31"/>
      <c r="AY399" s="154"/>
      <c r="AZ399" s="154"/>
      <c r="BA399" s="106"/>
      <c r="BB399" s="106"/>
      <c r="BC399" s="106"/>
      <c r="BD399" s="106"/>
      <c r="BE399" s="107"/>
      <c r="BF399" s="107"/>
      <c r="BG399" s="107"/>
      <c r="BH399" s="105"/>
      <c r="BI399" s="107"/>
      <c r="BJ399" s="106"/>
      <c r="BK399" s="108"/>
      <c r="BL399" s="159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7"/>
      <c r="CC399" s="107"/>
      <c r="CD399" s="107"/>
      <c r="CE399" s="107"/>
      <c r="CF399" s="107"/>
      <c r="CG399" s="107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10"/>
      <c r="DH399" s="475"/>
      <c r="DI399" s="1"/>
      <c r="DJ399" s="53"/>
      <c r="DK399" s="475"/>
      <c r="DL399" s="54"/>
      <c r="DM399" s="54"/>
      <c r="DN399" s="54"/>
      <c r="DO399" s="54"/>
      <c r="DP399" s="54"/>
      <c r="DQ399" s="54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L399" s="55"/>
      <c r="EM399" s="1"/>
      <c r="EN399" s="106"/>
      <c r="EO399" s="106"/>
      <c r="EP399" s="1"/>
      <c r="EQ399" s="106"/>
      <c r="ER399" s="1"/>
      <c r="ES399" s="1"/>
      <c r="ET399" s="1"/>
      <c r="EU399" s="107"/>
    </row>
    <row r="400" spans="9:238">
      <c r="I400" s="137"/>
      <c r="J400" s="375"/>
      <c r="K400" s="1"/>
      <c r="L400" s="1"/>
      <c r="M400" s="376"/>
      <c r="P400" s="375"/>
      <c r="S400" s="55"/>
      <c r="T400" s="375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74"/>
      <c r="AO400" s="374"/>
      <c r="AP400" s="106"/>
      <c r="AQ400" s="374"/>
      <c r="AR400" s="106"/>
      <c r="AS400" s="106"/>
      <c r="AT400" s="106"/>
      <c r="AU400" s="31"/>
      <c r="AV400" s="31"/>
      <c r="AW400" s="31"/>
      <c r="AX400" s="31"/>
      <c r="AY400" s="154"/>
      <c r="AZ400" s="154"/>
      <c r="BA400" s="106"/>
      <c r="BB400" s="106"/>
      <c r="BC400" s="106"/>
      <c r="BD400" s="106"/>
      <c r="BE400" s="107"/>
      <c r="BF400" s="107"/>
      <c r="BG400" s="107"/>
      <c r="BH400" s="105"/>
      <c r="BI400" s="107"/>
      <c r="BJ400" s="106"/>
      <c r="BK400" s="108"/>
      <c r="BL400" s="159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7"/>
      <c r="CC400" s="107"/>
      <c r="CD400" s="107"/>
      <c r="CE400" s="107"/>
      <c r="CF400" s="107"/>
      <c r="CG400" s="107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10"/>
      <c r="DH400" s="475"/>
      <c r="DI400" s="1"/>
      <c r="DJ400" s="53"/>
      <c r="DK400" s="475"/>
      <c r="DL400" s="54"/>
      <c r="DM400" s="54"/>
      <c r="DN400" s="54"/>
      <c r="DO400" s="54"/>
      <c r="DP400" s="54"/>
      <c r="DQ400" s="54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L400" s="55"/>
      <c r="EM400" s="1"/>
      <c r="EN400" s="106"/>
      <c r="EO400" s="106"/>
      <c r="EP400" s="1"/>
      <c r="EQ400" s="106"/>
      <c r="ER400" s="1"/>
      <c r="ES400" s="1"/>
      <c r="ET400" s="1"/>
      <c r="EU400" s="107"/>
    </row>
    <row r="401" spans="9:151">
      <c r="I401" s="137"/>
      <c r="J401" s="375"/>
      <c r="K401" s="1"/>
      <c r="L401" s="1"/>
      <c r="M401" s="376"/>
      <c r="P401" s="375"/>
      <c r="S401" s="55"/>
      <c r="T401" s="375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74"/>
      <c r="AO401" s="374"/>
      <c r="AP401" s="106"/>
      <c r="AQ401" s="374"/>
      <c r="AR401" s="106"/>
      <c r="AS401" s="106"/>
      <c r="AT401" s="106"/>
      <c r="AU401" s="31"/>
      <c r="AV401" s="31"/>
      <c r="AW401" s="31"/>
      <c r="AX401" s="31"/>
      <c r="AY401" s="154"/>
      <c r="AZ401" s="154"/>
      <c r="BA401" s="106"/>
      <c r="BB401" s="106"/>
      <c r="BC401" s="106"/>
      <c r="BD401" s="106"/>
      <c r="BE401" s="107"/>
      <c r="BF401" s="107"/>
      <c r="BG401" s="107"/>
      <c r="BH401" s="105"/>
      <c r="BI401" s="107"/>
      <c r="BJ401" s="106"/>
      <c r="BK401" s="108"/>
      <c r="BL401" s="159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7"/>
      <c r="CC401" s="107"/>
      <c r="CD401" s="107"/>
      <c r="CE401" s="107"/>
      <c r="CF401" s="107"/>
      <c r="CG401" s="107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10"/>
      <c r="DH401" s="475"/>
      <c r="DI401" s="1"/>
      <c r="DJ401" s="53"/>
      <c r="DK401" s="475"/>
      <c r="DL401" s="54"/>
      <c r="DM401" s="54"/>
      <c r="DN401" s="54"/>
      <c r="DO401" s="54"/>
      <c r="DP401" s="54"/>
      <c r="DQ401" s="54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L401" s="55"/>
      <c r="EM401" s="1"/>
      <c r="EN401" s="106"/>
      <c r="EO401" s="106"/>
      <c r="EP401" s="1"/>
      <c r="EQ401" s="106"/>
      <c r="ER401" s="1"/>
      <c r="ES401" s="1"/>
      <c r="ET401" s="1"/>
      <c r="EU401" s="107"/>
    </row>
    <row r="402" spans="9:151">
      <c r="I402" s="137"/>
      <c r="J402" s="375"/>
      <c r="K402" s="1"/>
      <c r="L402" s="1"/>
      <c r="M402" s="376"/>
      <c r="P402" s="375"/>
      <c r="S402" s="55"/>
      <c r="T402" s="375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74"/>
      <c r="AO402" s="374"/>
      <c r="AP402" s="106"/>
      <c r="AQ402" s="374"/>
      <c r="AR402" s="106"/>
      <c r="AS402" s="106"/>
      <c r="AT402" s="106"/>
      <c r="AU402" s="31"/>
      <c r="AV402" s="31"/>
      <c r="AW402" s="31"/>
      <c r="AX402" s="31"/>
      <c r="AY402" s="154"/>
      <c r="AZ402" s="154"/>
      <c r="BA402" s="106"/>
      <c r="BB402" s="106"/>
      <c r="BC402" s="106"/>
      <c r="BD402" s="106"/>
      <c r="BE402" s="107"/>
      <c r="BF402" s="107"/>
      <c r="BG402" s="107"/>
      <c r="BH402" s="105"/>
      <c r="BI402" s="107"/>
      <c r="BJ402" s="106"/>
      <c r="BK402" s="108"/>
      <c r="BL402" s="159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7"/>
      <c r="CC402" s="107"/>
      <c r="CD402" s="107"/>
      <c r="CE402" s="107"/>
      <c r="CF402" s="107"/>
      <c r="CG402" s="107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10"/>
      <c r="DH402" s="475"/>
      <c r="DI402" s="1"/>
      <c r="DJ402" s="53"/>
      <c r="DK402" s="475"/>
      <c r="DL402" s="54"/>
      <c r="DM402" s="54"/>
      <c r="DN402" s="54"/>
      <c r="DO402" s="54"/>
      <c r="DP402" s="54"/>
      <c r="DQ402" s="54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L402" s="55"/>
      <c r="EM402" s="1"/>
      <c r="EN402" s="106"/>
      <c r="EO402" s="106"/>
      <c r="EP402" s="1"/>
      <c r="EQ402" s="106"/>
      <c r="ER402" s="1"/>
      <c r="ES402" s="1"/>
      <c r="ET402" s="1"/>
      <c r="EU402" s="107"/>
    </row>
    <row r="403" spans="9:151">
      <c r="I403" s="137"/>
      <c r="J403" s="375"/>
      <c r="K403" s="1"/>
      <c r="L403" s="1"/>
      <c r="M403" s="376"/>
      <c r="P403" s="375"/>
      <c r="S403" s="55"/>
      <c r="T403" s="375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74"/>
      <c r="AO403" s="374"/>
      <c r="AP403" s="106"/>
      <c r="AQ403" s="374"/>
      <c r="AR403" s="106"/>
      <c r="AS403" s="106"/>
      <c r="AT403" s="106"/>
      <c r="AU403" s="31"/>
      <c r="AV403" s="31"/>
      <c r="AW403" s="31"/>
      <c r="AX403" s="31"/>
      <c r="AY403" s="154"/>
      <c r="AZ403" s="154"/>
      <c r="BA403" s="106"/>
      <c r="BB403" s="106"/>
      <c r="BC403" s="106"/>
      <c r="BD403" s="106"/>
      <c r="BE403" s="107"/>
      <c r="BF403" s="107"/>
      <c r="BG403" s="107"/>
      <c r="BH403" s="105"/>
      <c r="BI403" s="107"/>
      <c r="BJ403" s="106"/>
      <c r="BK403" s="108"/>
      <c r="BL403" s="159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7"/>
      <c r="CC403" s="107"/>
      <c r="CD403" s="107"/>
      <c r="CE403" s="107"/>
      <c r="CF403" s="107"/>
      <c r="CG403" s="107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10"/>
      <c r="DH403" s="475"/>
      <c r="DI403" s="1"/>
      <c r="DJ403" s="53"/>
      <c r="DK403" s="475"/>
      <c r="DL403" s="54"/>
      <c r="DM403" s="54"/>
      <c r="DN403" s="54"/>
      <c r="DO403" s="54"/>
      <c r="DP403" s="54"/>
      <c r="DQ403" s="54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L403" s="55"/>
      <c r="EM403" s="1"/>
      <c r="EN403" s="106"/>
      <c r="EO403" s="106"/>
      <c r="EP403" s="1"/>
      <c r="EQ403" s="106"/>
      <c r="ER403" s="1"/>
      <c r="ES403" s="1"/>
      <c r="ET403" s="1"/>
      <c r="EU403" s="107"/>
    </row>
    <row r="404" spans="9:151">
      <c r="I404" s="137"/>
      <c r="J404" s="375"/>
      <c r="K404" s="1"/>
      <c r="L404" s="1"/>
      <c r="M404" s="376"/>
      <c r="P404" s="375"/>
      <c r="S404" s="55"/>
      <c r="T404" s="375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74"/>
      <c r="AO404" s="374"/>
      <c r="AP404" s="106"/>
      <c r="AQ404" s="374"/>
      <c r="AR404" s="106"/>
      <c r="AS404" s="106"/>
      <c r="AT404" s="106"/>
      <c r="AU404" s="31"/>
      <c r="AV404" s="31"/>
      <c r="AW404" s="31"/>
      <c r="AX404" s="31"/>
      <c r="AY404" s="154"/>
      <c r="AZ404" s="154"/>
      <c r="BA404" s="106"/>
      <c r="BB404" s="106"/>
      <c r="BC404" s="106"/>
      <c r="BD404" s="106"/>
      <c r="BE404" s="107"/>
      <c r="BF404" s="107"/>
      <c r="BG404" s="107"/>
      <c r="BH404" s="105"/>
      <c r="BI404" s="107"/>
      <c r="BJ404" s="106"/>
      <c r="BK404" s="108"/>
      <c r="BL404" s="159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7"/>
      <c r="CC404" s="107"/>
      <c r="CD404" s="107"/>
      <c r="CE404" s="107"/>
      <c r="CF404" s="107"/>
      <c r="CG404" s="107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10"/>
      <c r="DH404" s="475"/>
      <c r="DI404" s="1"/>
      <c r="DJ404" s="53"/>
      <c r="DK404" s="475"/>
      <c r="DL404" s="54"/>
      <c r="DM404" s="54"/>
      <c r="DN404" s="54"/>
      <c r="DO404" s="54"/>
      <c r="DP404" s="54"/>
      <c r="DQ404" s="54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L404" s="55"/>
      <c r="EM404" s="1"/>
      <c r="EN404" s="106"/>
      <c r="EO404" s="106"/>
      <c r="EP404" s="1"/>
      <c r="EQ404" s="106"/>
      <c r="ER404" s="1"/>
      <c r="ES404" s="1"/>
      <c r="ET404" s="1"/>
      <c r="EU404" s="107"/>
    </row>
    <row r="405" spans="9:151">
      <c r="I405" s="137"/>
      <c r="J405" s="375"/>
      <c r="K405" s="1"/>
      <c r="L405" s="1"/>
      <c r="M405" s="376"/>
      <c r="P405" s="375"/>
      <c r="S405" s="55"/>
      <c r="T405" s="375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74"/>
      <c r="AO405" s="374"/>
      <c r="AP405" s="106"/>
      <c r="AQ405" s="374"/>
      <c r="AR405" s="106"/>
      <c r="AS405" s="106"/>
      <c r="AT405" s="106"/>
      <c r="AU405" s="31"/>
      <c r="AV405" s="31"/>
      <c r="AW405" s="31"/>
      <c r="AX405" s="31"/>
      <c r="AY405" s="154"/>
      <c r="AZ405" s="154"/>
      <c r="BA405" s="106"/>
      <c r="BB405" s="106"/>
      <c r="BC405" s="106"/>
      <c r="BD405" s="106"/>
      <c r="BE405" s="107"/>
      <c r="BF405" s="107"/>
      <c r="BG405" s="107"/>
      <c r="BH405" s="105"/>
      <c r="BI405" s="107"/>
      <c r="BJ405" s="106"/>
      <c r="BK405" s="108"/>
      <c r="BL405" s="159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7"/>
      <c r="CC405" s="107"/>
      <c r="CD405" s="107"/>
      <c r="CE405" s="107"/>
      <c r="CF405" s="107"/>
      <c r="CG405" s="107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10"/>
      <c r="DH405" s="475"/>
      <c r="DI405" s="1"/>
      <c r="DJ405" s="53"/>
      <c r="DK405" s="475"/>
      <c r="DL405" s="54"/>
      <c r="DM405" s="54"/>
      <c r="DN405" s="54"/>
      <c r="DO405" s="54"/>
      <c r="DP405" s="54"/>
      <c r="DQ405" s="54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L405" s="55"/>
      <c r="EM405" s="1"/>
      <c r="EN405" s="106"/>
      <c r="EO405" s="106"/>
      <c r="EP405" s="1"/>
      <c r="EQ405" s="106"/>
      <c r="ER405" s="1"/>
      <c r="ES405" s="1"/>
      <c r="ET405" s="1"/>
      <c r="EU405" s="107"/>
    </row>
    <row r="406" spans="9:151">
      <c r="I406" s="137"/>
      <c r="J406" s="375"/>
      <c r="K406" s="1"/>
      <c r="L406" s="1"/>
      <c r="M406" s="376"/>
      <c r="P406" s="375"/>
      <c r="S406" s="55"/>
      <c r="T406" s="375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74"/>
      <c r="AO406" s="374"/>
      <c r="AP406" s="106"/>
      <c r="AQ406" s="374"/>
      <c r="AR406" s="106"/>
      <c r="AS406" s="106"/>
      <c r="AT406" s="106"/>
      <c r="AU406" s="31"/>
      <c r="AV406" s="31"/>
      <c r="AW406" s="31"/>
      <c r="AX406" s="31"/>
      <c r="AY406" s="154"/>
      <c r="AZ406" s="154"/>
      <c r="BA406" s="106"/>
      <c r="BB406" s="106"/>
      <c r="BC406" s="106"/>
      <c r="BD406" s="106"/>
      <c r="BE406" s="107"/>
      <c r="BF406" s="107"/>
      <c r="BG406" s="107"/>
      <c r="BH406" s="105"/>
      <c r="BI406" s="107"/>
      <c r="BJ406" s="106"/>
      <c r="BK406" s="108"/>
      <c r="BL406" s="159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7"/>
      <c r="CC406" s="107"/>
      <c r="CD406" s="107"/>
      <c r="CE406" s="107"/>
      <c r="CF406" s="107"/>
      <c r="CG406" s="107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10"/>
      <c r="DH406" s="475"/>
      <c r="DI406" s="1"/>
      <c r="DJ406" s="53"/>
      <c r="DK406" s="475"/>
      <c r="DL406" s="54"/>
      <c r="DM406" s="54"/>
      <c r="DN406" s="54"/>
      <c r="DO406" s="54"/>
      <c r="DP406" s="54"/>
      <c r="DQ406" s="54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L406" s="55"/>
      <c r="EM406" s="1"/>
      <c r="EN406" s="106"/>
      <c r="EO406" s="106"/>
      <c r="EP406" s="1"/>
      <c r="EQ406" s="106"/>
      <c r="ER406" s="1"/>
      <c r="ES406" s="1"/>
      <c r="ET406" s="1"/>
      <c r="EU406" s="107"/>
    </row>
    <row r="407" spans="9:151">
      <c r="I407" s="137"/>
      <c r="J407" s="375"/>
      <c r="K407" s="1"/>
      <c r="L407" s="1"/>
      <c r="M407" s="376"/>
      <c r="P407" s="375"/>
      <c r="S407" s="55"/>
      <c r="T407" s="375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74"/>
      <c r="AO407" s="374"/>
      <c r="AP407" s="106"/>
      <c r="AQ407" s="374"/>
      <c r="AR407" s="106"/>
      <c r="AS407" s="106"/>
      <c r="AT407" s="106"/>
      <c r="AU407" s="31"/>
      <c r="AV407" s="31"/>
      <c r="AW407" s="31"/>
      <c r="AX407" s="31"/>
      <c r="AY407" s="154"/>
      <c r="AZ407" s="154"/>
      <c r="BA407" s="106"/>
      <c r="BB407" s="106"/>
      <c r="BC407" s="106"/>
      <c r="BD407" s="106"/>
      <c r="BE407" s="107"/>
      <c r="BF407" s="107"/>
      <c r="BG407" s="107"/>
      <c r="BH407" s="105"/>
      <c r="BI407" s="107"/>
      <c r="BJ407" s="106"/>
      <c r="BK407" s="108"/>
      <c r="BL407" s="159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7"/>
      <c r="CC407" s="107"/>
      <c r="CD407" s="107"/>
      <c r="CE407" s="107"/>
      <c r="CF407" s="107"/>
      <c r="CG407" s="107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10"/>
      <c r="DH407" s="475"/>
      <c r="DI407" s="1"/>
      <c r="DJ407" s="53"/>
      <c r="DK407" s="475"/>
      <c r="DL407" s="54"/>
      <c r="DM407" s="54"/>
      <c r="DN407" s="54"/>
      <c r="DO407" s="54"/>
      <c r="DP407" s="54"/>
      <c r="DQ407" s="54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L407" s="55"/>
      <c r="EM407" s="1"/>
      <c r="EN407" s="106"/>
      <c r="EO407" s="106"/>
      <c r="EP407" s="1"/>
      <c r="EQ407" s="106"/>
      <c r="ER407" s="1"/>
      <c r="ES407" s="1"/>
      <c r="ET407" s="1"/>
      <c r="EU407" s="107"/>
    </row>
    <row r="408" spans="9:151">
      <c r="I408" s="137"/>
      <c r="J408" s="375"/>
      <c r="K408" s="1"/>
      <c r="L408" s="1"/>
      <c r="M408" s="376"/>
      <c r="P408" s="375"/>
      <c r="S408" s="55"/>
      <c r="T408" s="375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74"/>
      <c r="AO408" s="374"/>
      <c r="AP408" s="106"/>
      <c r="AQ408" s="374"/>
      <c r="AR408" s="106"/>
      <c r="AS408" s="106"/>
      <c r="AT408" s="106"/>
      <c r="AU408" s="31"/>
      <c r="AV408" s="31"/>
      <c r="AW408" s="31"/>
      <c r="AX408" s="31"/>
      <c r="AY408" s="154"/>
      <c r="AZ408" s="154"/>
      <c r="BA408" s="106"/>
      <c r="BB408" s="106"/>
      <c r="BC408" s="106"/>
      <c r="BD408" s="106"/>
      <c r="BE408" s="107"/>
      <c r="BF408" s="107"/>
      <c r="BG408" s="107"/>
      <c r="BH408" s="105"/>
      <c r="BI408" s="107"/>
      <c r="BJ408" s="106"/>
      <c r="BK408" s="108"/>
      <c r="BL408" s="159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7"/>
      <c r="CC408" s="107"/>
      <c r="CD408" s="107"/>
      <c r="CE408" s="107"/>
      <c r="CF408" s="107"/>
      <c r="CG408" s="107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10"/>
      <c r="DH408" s="475"/>
      <c r="DI408" s="1"/>
      <c r="DJ408" s="53"/>
      <c r="DK408" s="475"/>
      <c r="DL408" s="54"/>
      <c r="DM408" s="54"/>
      <c r="DN408" s="54"/>
      <c r="DO408" s="54"/>
      <c r="DP408" s="54"/>
      <c r="DQ408" s="54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L408" s="55"/>
      <c r="EM408" s="1"/>
      <c r="EN408" s="106"/>
      <c r="EO408" s="106"/>
      <c r="EP408" s="1"/>
      <c r="EQ408" s="106"/>
      <c r="ER408" s="1"/>
      <c r="ES408" s="1"/>
      <c r="ET408" s="1"/>
      <c r="EU408" s="107"/>
    </row>
    <row r="409" spans="9:151">
      <c r="I409" s="137"/>
      <c r="J409" s="375"/>
      <c r="K409" s="1"/>
      <c r="L409" s="1"/>
      <c r="M409" s="376"/>
      <c r="P409" s="375"/>
      <c r="S409" s="55"/>
      <c r="T409" s="375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74"/>
      <c r="AO409" s="374"/>
      <c r="AP409" s="106"/>
      <c r="AQ409" s="374"/>
      <c r="AR409" s="106"/>
      <c r="AS409" s="106"/>
      <c r="AT409" s="106"/>
      <c r="AU409" s="31"/>
      <c r="AV409" s="31"/>
      <c r="AW409" s="31"/>
      <c r="AX409" s="31"/>
      <c r="AY409" s="154"/>
      <c r="AZ409" s="154"/>
      <c r="BA409" s="106"/>
      <c r="BB409" s="106"/>
      <c r="BC409" s="106"/>
      <c r="BD409" s="106"/>
      <c r="BE409" s="107"/>
      <c r="BF409" s="107"/>
      <c r="BG409" s="107"/>
      <c r="BH409" s="105"/>
      <c r="BI409" s="107"/>
      <c r="BJ409" s="106"/>
      <c r="BK409" s="108"/>
      <c r="BL409" s="159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7"/>
      <c r="CC409" s="107"/>
      <c r="CD409" s="107"/>
      <c r="CE409" s="107"/>
      <c r="CF409" s="107"/>
      <c r="CG409" s="107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10"/>
      <c r="DH409" s="475"/>
      <c r="DI409" s="1"/>
      <c r="DJ409" s="53"/>
      <c r="DK409" s="475"/>
      <c r="DL409" s="54"/>
      <c r="DM409" s="54"/>
      <c r="DN409" s="54"/>
      <c r="DO409" s="54"/>
      <c r="DP409" s="54"/>
      <c r="DQ409" s="54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L409" s="55"/>
      <c r="EM409" s="1"/>
      <c r="EN409" s="106"/>
      <c r="EO409" s="106"/>
      <c r="EP409" s="1"/>
      <c r="EQ409" s="106"/>
      <c r="ER409" s="1"/>
      <c r="ES409" s="1"/>
      <c r="ET409" s="1"/>
      <c r="EU409" s="107"/>
    </row>
    <row r="410" spans="9:151">
      <c r="I410" s="137"/>
      <c r="J410" s="375"/>
      <c r="K410" s="1"/>
      <c r="L410" s="1"/>
      <c r="M410" s="376"/>
      <c r="P410" s="375"/>
      <c r="S410" s="55"/>
      <c r="T410" s="375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74"/>
      <c r="AO410" s="374"/>
      <c r="AP410" s="106"/>
      <c r="AQ410" s="374"/>
      <c r="AR410" s="106"/>
      <c r="AS410" s="106"/>
      <c r="AT410" s="106"/>
      <c r="AU410" s="31"/>
      <c r="AV410" s="31"/>
      <c r="AW410" s="31"/>
      <c r="AX410" s="31"/>
      <c r="AY410" s="154"/>
      <c r="AZ410" s="154"/>
      <c r="BA410" s="106"/>
      <c r="BB410" s="106"/>
      <c r="BC410" s="106"/>
      <c r="BD410" s="106"/>
      <c r="BE410" s="107"/>
      <c r="BF410" s="107"/>
      <c r="BG410" s="107"/>
      <c r="BH410" s="105"/>
      <c r="BI410" s="107"/>
      <c r="BJ410" s="106"/>
      <c r="BK410" s="108"/>
      <c r="BL410" s="159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7"/>
      <c r="CC410" s="107"/>
      <c r="CD410" s="107"/>
      <c r="CE410" s="107"/>
      <c r="CF410" s="107"/>
      <c r="CG410" s="107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10"/>
      <c r="DH410" s="475"/>
      <c r="DI410" s="1"/>
      <c r="DJ410" s="53"/>
      <c r="DK410" s="475"/>
      <c r="DL410" s="54"/>
      <c r="DM410" s="54"/>
      <c r="DN410" s="54"/>
      <c r="DO410" s="54"/>
      <c r="DP410" s="54"/>
      <c r="DQ410" s="54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L410" s="55"/>
      <c r="EM410" s="1"/>
      <c r="EN410" s="106"/>
      <c r="EO410" s="106"/>
      <c r="EP410" s="1"/>
      <c r="EQ410" s="106"/>
      <c r="ER410" s="1"/>
      <c r="ES410" s="1"/>
      <c r="ET410" s="1"/>
      <c r="EU410" s="107"/>
    </row>
    <row r="411" spans="9:151">
      <c r="I411" s="137"/>
      <c r="J411" s="375"/>
      <c r="K411" s="1"/>
      <c r="L411" s="1"/>
      <c r="M411" s="376"/>
      <c r="P411" s="375"/>
      <c r="S411" s="55"/>
      <c r="T411" s="375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74"/>
      <c r="AO411" s="374"/>
      <c r="AP411" s="106"/>
      <c r="AQ411" s="374"/>
      <c r="AR411" s="106"/>
      <c r="AS411" s="106"/>
      <c r="AT411" s="106"/>
      <c r="AU411" s="31"/>
      <c r="AV411" s="31"/>
      <c r="AW411" s="31"/>
      <c r="AX411" s="31"/>
      <c r="AY411" s="154"/>
      <c r="AZ411" s="154"/>
      <c r="BA411" s="106"/>
      <c r="BB411" s="106"/>
      <c r="BC411" s="106"/>
      <c r="BD411" s="106"/>
      <c r="BE411" s="107"/>
      <c r="BF411" s="107"/>
      <c r="BG411" s="107"/>
      <c r="BH411" s="105"/>
      <c r="BI411" s="107"/>
      <c r="BJ411" s="106"/>
      <c r="BK411" s="108"/>
      <c r="BL411" s="159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7"/>
      <c r="CC411" s="107"/>
      <c r="CD411" s="107"/>
      <c r="CE411" s="107"/>
      <c r="CF411" s="107"/>
      <c r="CG411" s="107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10"/>
      <c r="DH411" s="475"/>
      <c r="DI411" s="1"/>
      <c r="DJ411" s="53"/>
      <c r="DK411" s="475"/>
      <c r="DL411" s="54"/>
      <c r="DM411" s="54"/>
      <c r="DN411" s="54"/>
      <c r="DO411" s="54"/>
      <c r="DP411" s="54"/>
      <c r="DQ411" s="54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L411" s="55"/>
      <c r="EM411" s="1"/>
      <c r="EN411" s="106"/>
      <c r="EO411" s="106"/>
      <c r="EP411" s="1"/>
      <c r="EQ411" s="106"/>
      <c r="ER411" s="1"/>
      <c r="ES411" s="1"/>
      <c r="ET411" s="1"/>
      <c r="EU411" s="107"/>
    </row>
    <row r="412" spans="9:151">
      <c r="I412" s="137"/>
      <c r="J412" s="375"/>
      <c r="K412" s="1"/>
      <c r="L412" s="1"/>
      <c r="M412" s="376"/>
      <c r="P412" s="375"/>
      <c r="S412" s="55"/>
      <c r="T412" s="375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74"/>
      <c r="AO412" s="374"/>
      <c r="AP412" s="106"/>
      <c r="AQ412" s="374"/>
      <c r="AR412" s="106"/>
      <c r="AS412" s="106"/>
      <c r="AT412" s="106"/>
      <c r="AU412" s="31"/>
      <c r="AV412" s="31"/>
      <c r="AW412" s="31"/>
      <c r="AX412" s="31"/>
      <c r="AY412" s="154"/>
      <c r="AZ412" s="154"/>
      <c r="BA412" s="106"/>
      <c r="BB412" s="106"/>
      <c r="BC412" s="106"/>
      <c r="BD412" s="106"/>
      <c r="BE412" s="107"/>
      <c r="BF412" s="107"/>
      <c r="BG412" s="107"/>
      <c r="BH412" s="105"/>
      <c r="BI412" s="107"/>
      <c r="BJ412" s="106"/>
      <c r="BK412" s="108"/>
      <c r="BL412" s="159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7"/>
      <c r="CC412" s="107"/>
      <c r="CD412" s="107"/>
      <c r="CE412" s="107"/>
      <c r="CF412" s="107"/>
      <c r="CG412" s="107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10"/>
      <c r="DH412" s="475"/>
      <c r="DI412" s="1"/>
      <c r="DJ412" s="53"/>
      <c r="DK412" s="475"/>
      <c r="DL412" s="54"/>
      <c r="DM412" s="54"/>
      <c r="DN412" s="54"/>
      <c r="DO412" s="54"/>
      <c r="DP412" s="54"/>
      <c r="DQ412" s="54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L412" s="55"/>
      <c r="EM412" s="1"/>
      <c r="EN412" s="106"/>
      <c r="EO412" s="106"/>
      <c r="EP412" s="1"/>
      <c r="EQ412" s="106"/>
      <c r="ER412" s="1"/>
      <c r="ES412" s="1"/>
      <c r="ET412" s="1"/>
      <c r="EU412" s="107"/>
    </row>
    <row r="413" spans="9:151">
      <c r="I413" s="137"/>
      <c r="J413" s="375"/>
      <c r="K413" s="1"/>
      <c r="L413" s="1"/>
      <c r="M413" s="376"/>
      <c r="P413" s="375"/>
      <c r="S413" s="55"/>
      <c r="T413" s="375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74"/>
      <c r="AO413" s="374"/>
      <c r="AP413" s="106"/>
      <c r="AQ413" s="374"/>
      <c r="AR413" s="106"/>
      <c r="AS413" s="106"/>
      <c r="AT413" s="106"/>
      <c r="AU413" s="31"/>
      <c r="AV413" s="31"/>
      <c r="AW413" s="31"/>
      <c r="AX413" s="31"/>
      <c r="AY413" s="154"/>
      <c r="AZ413" s="154"/>
      <c r="BA413" s="106"/>
      <c r="BB413" s="106"/>
      <c r="BC413" s="106"/>
      <c r="BD413" s="106"/>
      <c r="BE413" s="107"/>
      <c r="BF413" s="107"/>
      <c r="BG413" s="107"/>
      <c r="BH413" s="105"/>
      <c r="BI413" s="107"/>
      <c r="BJ413" s="106"/>
      <c r="BK413" s="108"/>
      <c r="BL413" s="159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7"/>
      <c r="CC413" s="107"/>
      <c r="CD413" s="107"/>
      <c r="CE413" s="107"/>
      <c r="CF413" s="107"/>
      <c r="CG413" s="107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10"/>
      <c r="DH413" s="475"/>
      <c r="DI413" s="1"/>
      <c r="DJ413" s="53"/>
      <c r="DK413" s="475"/>
      <c r="DL413" s="54"/>
      <c r="DM413" s="54"/>
      <c r="DN413" s="54"/>
      <c r="DO413" s="54"/>
      <c r="DP413" s="54"/>
      <c r="DQ413" s="54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L413" s="55"/>
      <c r="EM413" s="1"/>
      <c r="EN413" s="106"/>
      <c r="EO413" s="106"/>
      <c r="EP413" s="1"/>
      <c r="EQ413" s="106"/>
      <c r="ER413" s="1"/>
      <c r="ES413" s="1"/>
      <c r="ET413" s="1"/>
      <c r="EU413" s="107"/>
    </row>
    <row r="414" spans="9:151">
      <c r="I414" s="137"/>
      <c r="J414" s="375"/>
      <c r="K414" s="1"/>
      <c r="L414" s="1"/>
      <c r="M414" s="376"/>
      <c r="P414" s="375"/>
      <c r="S414" s="55"/>
      <c r="T414" s="375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74"/>
      <c r="AO414" s="374"/>
      <c r="AP414" s="106"/>
      <c r="AQ414" s="374"/>
      <c r="AR414" s="106"/>
      <c r="AS414" s="106"/>
      <c r="AT414" s="106"/>
      <c r="AU414" s="31"/>
      <c r="AV414" s="31"/>
      <c r="AW414" s="31"/>
      <c r="AX414" s="31"/>
      <c r="AY414" s="154"/>
      <c r="AZ414" s="154"/>
      <c r="BA414" s="106"/>
      <c r="BB414" s="106"/>
      <c r="BC414" s="106"/>
      <c r="BD414" s="106"/>
      <c r="BE414" s="107"/>
      <c r="BF414" s="107"/>
      <c r="BG414" s="107"/>
      <c r="BH414" s="105"/>
      <c r="BI414" s="107"/>
      <c r="BJ414" s="106"/>
      <c r="BK414" s="108"/>
      <c r="BL414" s="159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7"/>
      <c r="CC414" s="107"/>
      <c r="CD414" s="107"/>
      <c r="CE414" s="107"/>
      <c r="CF414" s="107"/>
      <c r="CG414" s="107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10"/>
      <c r="DH414" s="475"/>
      <c r="DI414" s="1"/>
      <c r="DJ414" s="53"/>
      <c r="DK414" s="475"/>
      <c r="DL414" s="54"/>
      <c r="DM414" s="54"/>
      <c r="DN414" s="54"/>
      <c r="DO414" s="54"/>
      <c r="DP414" s="54"/>
      <c r="DQ414" s="54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L414" s="55"/>
      <c r="EM414" s="1"/>
      <c r="EN414" s="106"/>
      <c r="EO414" s="106"/>
      <c r="EP414" s="1"/>
      <c r="EQ414" s="106"/>
      <c r="ER414" s="1"/>
      <c r="ES414" s="1"/>
      <c r="ET414" s="1"/>
      <c r="EU414" s="107"/>
    </row>
    <row r="415" spans="9:151">
      <c r="I415" s="137"/>
      <c r="J415" s="375"/>
      <c r="K415" s="1"/>
      <c r="L415" s="1"/>
      <c r="M415" s="376"/>
      <c r="P415" s="375"/>
      <c r="S415" s="55"/>
      <c r="T415" s="375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74"/>
      <c r="AO415" s="374"/>
      <c r="AP415" s="106"/>
      <c r="AQ415" s="374"/>
      <c r="AR415" s="106"/>
      <c r="AS415" s="106"/>
      <c r="AT415" s="106"/>
      <c r="AU415" s="31"/>
      <c r="AV415" s="31"/>
      <c r="AW415" s="31"/>
      <c r="AX415" s="31"/>
      <c r="AY415" s="154"/>
      <c r="AZ415" s="154"/>
      <c r="BA415" s="106"/>
      <c r="BB415" s="106"/>
      <c r="BC415" s="106"/>
      <c r="BD415" s="106"/>
      <c r="BE415" s="107"/>
      <c r="BF415" s="107"/>
      <c r="BG415" s="107"/>
      <c r="BH415" s="105"/>
      <c r="BI415" s="107"/>
      <c r="BJ415" s="106"/>
      <c r="BK415" s="108"/>
      <c r="BL415" s="159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7"/>
      <c r="CC415" s="107"/>
      <c r="CD415" s="107"/>
      <c r="CE415" s="107"/>
      <c r="CF415" s="107"/>
      <c r="CG415" s="107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10"/>
      <c r="DH415" s="475"/>
      <c r="DI415" s="1"/>
      <c r="DJ415" s="53"/>
      <c r="DK415" s="475"/>
      <c r="DL415" s="54"/>
      <c r="DM415" s="54"/>
      <c r="DN415" s="54"/>
      <c r="DO415" s="54"/>
      <c r="DP415" s="54"/>
      <c r="DQ415" s="54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L415" s="55"/>
      <c r="EM415" s="1"/>
      <c r="EN415" s="106"/>
      <c r="EO415" s="106"/>
      <c r="EP415" s="1"/>
      <c r="EQ415" s="106"/>
      <c r="ER415" s="1"/>
      <c r="ES415" s="1"/>
      <c r="ET415" s="1"/>
      <c r="EU415" s="107"/>
    </row>
    <row r="416" spans="9:151">
      <c r="I416" s="137"/>
      <c r="J416" s="375"/>
      <c r="K416" s="1"/>
      <c r="L416" s="1"/>
      <c r="M416" s="376"/>
      <c r="P416" s="375"/>
      <c r="S416" s="55"/>
      <c r="T416" s="375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74"/>
      <c r="AO416" s="374"/>
      <c r="AP416" s="106"/>
      <c r="AQ416" s="374"/>
      <c r="AR416" s="106"/>
      <c r="AS416" s="106"/>
      <c r="AT416" s="106"/>
      <c r="AU416" s="31"/>
      <c r="AV416" s="31"/>
      <c r="AW416" s="31"/>
      <c r="AX416" s="31"/>
      <c r="AY416" s="154"/>
      <c r="AZ416" s="154"/>
      <c r="BA416" s="106"/>
      <c r="BB416" s="106"/>
      <c r="BC416" s="106"/>
      <c r="BD416" s="106"/>
      <c r="BE416" s="107"/>
      <c r="BF416" s="107"/>
      <c r="BG416" s="107"/>
      <c r="BH416" s="105"/>
      <c r="BI416" s="107"/>
      <c r="BJ416" s="106"/>
      <c r="BK416" s="108"/>
      <c r="BL416" s="159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7"/>
      <c r="CC416" s="107"/>
      <c r="CD416" s="107"/>
      <c r="CE416" s="107"/>
      <c r="CF416" s="107"/>
      <c r="CG416" s="107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10"/>
      <c r="DH416" s="475"/>
      <c r="DI416" s="1"/>
      <c r="DJ416" s="53"/>
      <c r="DK416" s="475"/>
      <c r="DL416" s="54"/>
      <c r="DM416" s="54"/>
      <c r="DN416" s="54"/>
      <c r="DO416" s="54"/>
      <c r="DP416" s="54"/>
      <c r="DQ416" s="54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L416" s="55"/>
      <c r="EM416" s="1"/>
      <c r="EN416" s="106"/>
      <c r="EO416" s="106"/>
      <c r="EP416" s="1"/>
      <c r="EQ416" s="106"/>
      <c r="ER416" s="1"/>
      <c r="ES416" s="1"/>
      <c r="ET416" s="1"/>
      <c r="EU416" s="107"/>
    </row>
    <row r="417" spans="9:151">
      <c r="I417" s="137"/>
      <c r="J417" s="375"/>
      <c r="K417" s="1"/>
      <c r="L417" s="1"/>
      <c r="M417" s="376"/>
      <c r="P417" s="375"/>
      <c r="S417" s="55"/>
      <c r="T417" s="375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74"/>
      <c r="AO417" s="374"/>
      <c r="AP417" s="106"/>
      <c r="AQ417" s="374"/>
      <c r="AR417" s="106"/>
      <c r="AS417" s="106"/>
      <c r="AT417" s="106"/>
      <c r="AU417" s="31"/>
      <c r="AV417" s="31"/>
      <c r="AW417" s="31"/>
      <c r="AX417" s="31"/>
      <c r="AY417" s="154"/>
      <c r="AZ417" s="154"/>
      <c r="BA417" s="106"/>
      <c r="BB417" s="106"/>
      <c r="BC417" s="106"/>
      <c r="BD417" s="106"/>
      <c r="BE417" s="107"/>
      <c r="BF417" s="107"/>
      <c r="BG417" s="107"/>
      <c r="BH417" s="105"/>
      <c r="BI417" s="107"/>
      <c r="BJ417" s="106"/>
      <c r="BK417" s="108"/>
      <c r="BL417" s="159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7"/>
      <c r="CC417" s="107"/>
      <c r="CD417" s="107"/>
      <c r="CE417" s="107"/>
      <c r="CF417" s="107"/>
      <c r="CG417" s="107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10"/>
      <c r="DH417" s="475"/>
      <c r="DI417" s="1"/>
      <c r="DJ417" s="53"/>
      <c r="DK417" s="475"/>
      <c r="DL417" s="54"/>
      <c r="DM417" s="54"/>
      <c r="DN417" s="54"/>
      <c r="DO417" s="54"/>
      <c r="DP417" s="54"/>
      <c r="DQ417" s="54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L417" s="55"/>
      <c r="EM417" s="1"/>
      <c r="EN417" s="106"/>
      <c r="EO417" s="106"/>
      <c r="EP417" s="1"/>
      <c r="EQ417" s="106"/>
      <c r="ER417" s="1"/>
      <c r="ES417" s="1"/>
      <c r="ET417" s="1"/>
      <c r="EU417" s="107"/>
    </row>
    <row r="418" spans="9:151">
      <c r="I418" s="137"/>
      <c r="J418" s="375"/>
      <c r="K418" s="1"/>
      <c r="L418" s="1"/>
      <c r="M418" s="376"/>
      <c r="P418" s="375"/>
      <c r="S418" s="55"/>
      <c r="T418" s="375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74"/>
      <c r="AO418" s="374"/>
      <c r="AP418" s="106"/>
      <c r="AQ418" s="374"/>
      <c r="AR418" s="106"/>
      <c r="AS418" s="106"/>
      <c r="AT418" s="106"/>
      <c r="AU418" s="31"/>
      <c r="AV418" s="31"/>
      <c r="AW418" s="31"/>
      <c r="AX418" s="31"/>
      <c r="AY418" s="154"/>
      <c r="AZ418" s="154"/>
      <c r="BA418" s="106"/>
      <c r="BB418" s="106"/>
      <c r="BC418" s="106"/>
      <c r="BD418" s="106"/>
      <c r="BE418" s="107"/>
      <c r="BF418" s="107"/>
      <c r="BG418" s="107"/>
      <c r="BH418" s="105"/>
      <c r="BI418" s="107"/>
      <c r="BJ418" s="106"/>
      <c r="BK418" s="108"/>
      <c r="BL418" s="159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7"/>
      <c r="CC418" s="107"/>
      <c r="CD418" s="107"/>
      <c r="CE418" s="107"/>
      <c r="CF418" s="107"/>
      <c r="CG418" s="107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10"/>
      <c r="DH418" s="475"/>
      <c r="DI418" s="1"/>
      <c r="DJ418" s="53"/>
      <c r="DK418" s="475"/>
      <c r="DL418" s="54"/>
      <c r="DM418" s="54"/>
      <c r="DN418" s="54"/>
      <c r="DO418" s="54"/>
      <c r="DP418" s="54"/>
      <c r="DQ418" s="54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L418" s="55"/>
      <c r="EM418" s="1"/>
      <c r="EN418" s="106"/>
      <c r="EO418" s="106"/>
      <c r="EP418" s="1"/>
      <c r="EQ418" s="106"/>
      <c r="ER418" s="1"/>
      <c r="ES418" s="1"/>
      <c r="ET418" s="1"/>
      <c r="EU418" s="107"/>
    </row>
    <row r="419" spans="9:151">
      <c r="I419" s="137"/>
      <c r="J419" s="375"/>
      <c r="K419" s="1"/>
      <c r="L419" s="1"/>
      <c r="M419" s="376"/>
      <c r="P419" s="375"/>
      <c r="S419" s="55"/>
      <c r="T419" s="375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74"/>
      <c r="AO419" s="374"/>
      <c r="AP419" s="106"/>
      <c r="AQ419" s="374"/>
      <c r="AR419" s="106"/>
      <c r="AS419" s="106"/>
      <c r="AT419" s="106"/>
      <c r="AU419" s="31"/>
      <c r="AV419" s="31"/>
      <c r="AW419" s="31"/>
      <c r="AX419" s="31"/>
      <c r="AY419" s="154"/>
      <c r="AZ419" s="154"/>
      <c r="BA419" s="106"/>
      <c r="BB419" s="106"/>
      <c r="BC419" s="106"/>
      <c r="BD419" s="106"/>
      <c r="BE419" s="107"/>
      <c r="BF419" s="107"/>
      <c r="BG419" s="107"/>
      <c r="BH419" s="105"/>
      <c r="BI419" s="107"/>
      <c r="BJ419" s="106"/>
      <c r="BK419" s="108"/>
      <c r="BL419" s="159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7"/>
      <c r="CC419" s="107"/>
      <c r="CD419" s="107"/>
      <c r="CE419" s="107"/>
      <c r="CF419" s="107"/>
      <c r="CG419" s="107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10"/>
      <c r="DH419" s="475"/>
      <c r="DI419" s="1"/>
      <c r="DJ419" s="53"/>
      <c r="DK419" s="475"/>
      <c r="DL419" s="54"/>
      <c r="DM419" s="54"/>
      <c r="DN419" s="54"/>
      <c r="DO419" s="54"/>
      <c r="DP419" s="54"/>
      <c r="DQ419" s="54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L419" s="55"/>
      <c r="EM419" s="1"/>
      <c r="EN419" s="106"/>
      <c r="EO419" s="106"/>
      <c r="EP419" s="1"/>
      <c r="EQ419" s="106"/>
      <c r="ER419" s="1"/>
      <c r="ES419" s="1"/>
      <c r="ET419" s="1"/>
      <c r="EU419" s="107"/>
    </row>
    <row r="420" spans="9:151">
      <c r="I420" s="137"/>
      <c r="J420" s="375"/>
      <c r="K420" s="1"/>
      <c r="L420" s="1"/>
      <c r="M420" s="376"/>
      <c r="P420" s="375"/>
      <c r="S420" s="55"/>
      <c r="T420" s="375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74"/>
      <c r="AO420" s="374"/>
      <c r="AP420" s="106"/>
      <c r="AQ420" s="374"/>
      <c r="AR420" s="106"/>
      <c r="AS420" s="106"/>
      <c r="AT420" s="106"/>
      <c r="AU420" s="31"/>
      <c r="AV420" s="31"/>
      <c r="AW420" s="31"/>
      <c r="AX420" s="31"/>
      <c r="AY420" s="154"/>
      <c r="AZ420" s="154"/>
      <c r="BA420" s="106"/>
      <c r="BB420" s="106"/>
      <c r="BC420" s="106"/>
      <c r="BD420" s="106"/>
      <c r="BE420" s="107"/>
      <c r="BF420" s="107"/>
      <c r="BG420" s="107"/>
      <c r="BH420" s="105"/>
      <c r="BI420" s="107"/>
      <c r="BJ420" s="106"/>
      <c r="BK420" s="108"/>
      <c r="BL420" s="159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7"/>
      <c r="CC420" s="107"/>
      <c r="CD420" s="107"/>
      <c r="CE420" s="107"/>
      <c r="CF420" s="107"/>
      <c r="CG420" s="107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10"/>
      <c r="DH420" s="475"/>
      <c r="DI420" s="1"/>
      <c r="DJ420" s="53"/>
      <c r="DK420" s="475"/>
      <c r="DL420" s="54"/>
      <c r="DM420" s="54"/>
      <c r="DN420" s="54"/>
      <c r="DO420" s="54"/>
      <c r="DP420" s="54"/>
      <c r="DQ420" s="54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L420" s="55"/>
      <c r="EM420" s="1"/>
      <c r="EN420" s="106"/>
      <c r="EO420" s="106"/>
      <c r="EP420" s="1"/>
      <c r="EQ420" s="106"/>
      <c r="ER420" s="1"/>
      <c r="ES420" s="1"/>
      <c r="ET420" s="1"/>
      <c r="EU420" s="107"/>
    </row>
    <row r="421" spans="9:151">
      <c r="I421" s="137"/>
      <c r="J421" s="375"/>
      <c r="K421" s="1"/>
      <c r="L421" s="1"/>
      <c r="M421" s="376"/>
      <c r="P421" s="375"/>
      <c r="S421" s="55"/>
      <c r="T421" s="375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74"/>
      <c r="AO421" s="374"/>
      <c r="AP421" s="106"/>
      <c r="AQ421" s="374"/>
      <c r="AR421" s="106"/>
      <c r="AS421" s="106"/>
      <c r="AT421" s="106"/>
      <c r="AU421" s="31"/>
      <c r="AV421" s="31"/>
      <c r="AW421" s="31"/>
      <c r="AX421" s="31"/>
      <c r="AY421" s="154"/>
      <c r="AZ421" s="154"/>
      <c r="BA421" s="106"/>
      <c r="BB421" s="106"/>
      <c r="BC421" s="106"/>
      <c r="BD421" s="106"/>
      <c r="BE421" s="107"/>
      <c r="BF421" s="107"/>
      <c r="BG421" s="107"/>
      <c r="BH421" s="105"/>
      <c r="BI421" s="107"/>
      <c r="BJ421" s="106"/>
      <c r="BK421" s="108"/>
      <c r="BL421" s="159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7"/>
      <c r="CC421" s="107"/>
      <c r="CD421" s="107"/>
      <c r="CE421" s="107"/>
      <c r="CF421" s="107"/>
      <c r="CG421" s="107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10"/>
      <c r="DH421" s="475"/>
      <c r="DI421" s="1"/>
      <c r="DJ421" s="53"/>
      <c r="DK421" s="475"/>
      <c r="DL421" s="54"/>
      <c r="DM421" s="54"/>
      <c r="DN421" s="54"/>
      <c r="DO421" s="54"/>
      <c r="DP421" s="54"/>
      <c r="DQ421" s="54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L421" s="55"/>
      <c r="EM421" s="1"/>
      <c r="EN421" s="106"/>
      <c r="EO421" s="106"/>
      <c r="EP421" s="1"/>
      <c r="EQ421" s="106"/>
      <c r="ER421" s="1"/>
      <c r="ES421" s="1"/>
      <c r="ET421" s="1"/>
      <c r="EU421" s="107"/>
    </row>
    <row r="422" spans="9:151">
      <c r="I422" s="137"/>
      <c r="J422" s="375"/>
      <c r="K422" s="1"/>
      <c r="L422" s="1"/>
      <c r="M422" s="376"/>
      <c r="P422" s="375"/>
      <c r="S422" s="55"/>
      <c r="T422" s="375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74"/>
      <c r="AO422" s="374"/>
      <c r="AP422" s="106"/>
      <c r="AQ422" s="374"/>
      <c r="AR422" s="106"/>
      <c r="AS422" s="106"/>
      <c r="AT422" s="106"/>
      <c r="AU422" s="31"/>
      <c r="AV422" s="31"/>
      <c r="AW422" s="31"/>
      <c r="AX422" s="31"/>
      <c r="AY422" s="154"/>
      <c r="AZ422" s="154"/>
      <c r="BA422" s="106"/>
      <c r="BB422" s="106"/>
      <c r="BC422" s="106"/>
      <c r="BD422" s="106"/>
      <c r="BE422" s="107"/>
      <c r="BF422" s="107"/>
      <c r="BG422" s="107"/>
      <c r="BH422" s="105"/>
      <c r="BI422" s="107"/>
      <c r="BJ422" s="106"/>
      <c r="BK422" s="108"/>
      <c r="BL422" s="159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7"/>
      <c r="CC422" s="107"/>
      <c r="CD422" s="107"/>
      <c r="CE422" s="107"/>
      <c r="CF422" s="107"/>
      <c r="CG422" s="107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10"/>
      <c r="DH422" s="475"/>
      <c r="DI422" s="1"/>
      <c r="DJ422" s="53"/>
      <c r="DK422" s="475"/>
      <c r="DL422" s="54"/>
      <c r="DM422" s="54"/>
      <c r="DN422" s="54"/>
      <c r="DO422" s="54"/>
      <c r="DP422" s="54"/>
      <c r="DQ422" s="54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L422" s="55"/>
      <c r="EM422" s="1"/>
      <c r="EN422" s="106"/>
      <c r="EO422" s="106"/>
      <c r="EP422" s="1"/>
      <c r="EQ422" s="106"/>
      <c r="ER422" s="1"/>
      <c r="ES422" s="1"/>
      <c r="ET422" s="1"/>
      <c r="EU422" s="107"/>
    </row>
    <row r="423" spans="9:151">
      <c r="I423" s="137"/>
      <c r="J423" s="375"/>
      <c r="K423" s="1"/>
      <c r="L423" s="1"/>
      <c r="M423" s="376"/>
      <c r="P423" s="375"/>
      <c r="S423" s="55"/>
      <c r="T423" s="375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74"/>
      <c r="AO423" s="374"/>
      <c r="AP423" s="106"/>
      <c r="AQ423" s="374"/>
      <c r="AR423" s="106"/>
      <c r="AS423" s="106"/>
      <c r="AT423" s="106"/>
      <c r="AU423" s="31"/>
      <c r="AV423" s="31"/>
      <c r="AW423" s="31"/>
      <c r="AX423" s="31"/>
      <c r="AY423" s="154"/>
      <c r="AZ423" s="154"/>
      <c r="BA423" s="106"/>
      <c r="BB423" s="106"/>
      <c r="BC423" s="106"/>
      <c r="BD423" s="106"/>
      <c r="BE423" s="107"/>
      <c r="BF423" s="107"/>
      <c r="BG423" s="107"/>
      <c r="BH423" s="105"/>
      <c r="BI423" s="107"/>
      <c r="BJ423" s="106"/>
      <c r="BK423" s="108"/>
      <c r="BL423" s="159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7"/>
      <c r="CC423" s="107"/>
      <c r="CD423" s="107"/>
      <c r="CE423" s="107"/>
      <c r="CF423" s="107"/>
      <c r="CG423" s="107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10"/>
      <c r="DH423" s="475"/>
      <c r="DI423" s="1"/>
      <c r="DJ423" s="53"/>
      <c r="DK423" s="475"/>
      <c r="DL423" s="54"/>
      <c r="DM423" s="54"/>
      <c r="DN423" s="54"/>
      <c r="DO423" s="54"/>
      <c r="DP423" s="54"/>
      <c r="DQ423" s="54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L423" s="55"/>
      <c r="EM423" s="1"/>
      <c r="EN423" s="106"/>
      <c r="EO423" s="106"/>
      <c r="EP423" s="1"/>
      <c r="EQ423" s="106"/>
      <c r="ER423" s="1"/>
      <c r="ES423" s="1"/>
      <c r="ET423" s="1"/>
      <c r="EU423" s="107"/>
    </row>
    <row r="424" spans="9:151">
      <c r="I424" s="137"/>
      <c r="J424" s="375"/>
      <c r="K424" s="1"/>
      <c r="L424" s="1"/>
      <c r="M424" s="376"/>
      <c r="P424" s="375"/>
      <c r="S424" s="55"/>
      <c r="T424" s="375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74"/>
      <c r="AO424" s="374"/>
      <c r="AP424" s="106"/>
      <c r="AQ424" s="374"/>
      <c r="AR424" s="106"/>
      <c r="AS424" s="106"/>
      <c r="AT424" s="106"/>
      <c r="AU424" s="31"/>
      <c r="AV424" s="31"/>
      <c r="AW424" s="31"/>
      <c r="AX424" s="31"/>
      <c r="AY424" s="154"/>
      <c r="AZ424" s="154"/>
      <c r="BA424" s="106"/>
      <c r="BB424" s="106"/>
      <c r="BC424" s="106"/>
      <c r="BD424" s="106"/>
      <c r="BE424" s="107"/>
      <c r="BF424" s="107"/>
      <c r="BG424" s="107"/>
      <c r="BH424" s="105"/>
      <c r="BI424" s="107"/>
      <c r="BJ424" s="106"/>
      <c r="BK424" s="108"/>
      <c r="BL424" s="159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7"/>
      <c r="CC424" s="107"/>
      <c r="CD424" s="107"/>
      <c r="CE424" s="107"/>
      <c r="CF424" s="107"/>
      <c r="CG424" s="107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10"/>
      <c r="DH424" s="475"/>
      <c r="DI424" s="1"/>
      <c r="DJ424" s="53"/>
      <c r="DK424" s="475"/>
      <c r="DL424" s="54"/>
      <c r="DM424" s="54"/>
      <c r="DN424" s="54"/>
      <c r="DO424" s="54"/>
      <c r="DP424" s="54"/>
      <c r="DQ424" s="54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L424" s="55"/>
      <c r="EM424" s="1"/>
      <c r="EN424" s="106"/>
      <c r="EO424" s="106"/>
      <c r="EP424" s="1"/>
      <c r="EQ424" s="106"/>
      <c r="ER424" s="1"/>
      <c r="ES424" s="1"/>
      <c r="ET424" s="1"/>
      <c r="EU424" s="107"/>
    </row>
    <row r="425" spans="9:151">
      <c r="I425" s="137"/>
      <c r="J425" s="375"/>
      <c r="K425" s="1"/>
      <c r="L425" s="1"/>
      <c r="M425" s="376"/>
      <c r="P425" s="375"/>
      <c r="S425" s="55"/>
      <c r="T425" s="375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74"/>
      <c r="AO425" s="374"/>
      <c r="AP425" s="106"/>
      <c r="AQ425" s="374"/>
      <c r="AR425" s="106"/>
      <c r="AS425" s="106"/>
      <c r="AT425" s="106"/>
      <c r="AU425" s="31"/>
      <c r="AV425" s="31"/>
      <c r="AW425" s="31"/>
      <c r="AX425" s="31"/>
      <c r="AY425" s="154"/>
      <c r="AZ425" s="154"/>
      <c r="BA425" s="106"/>
      <c r="BB425" s="106"/>
      <c r="BC425" s="106"/>
      <c r="BD425" s="106"/>
      <c r="BE425" s="107"/>
      <c r="BF425" s="107"/>
      <c r="BG425" s="107"/>
      <c r="BH425" s="105"/>
      <c r="BI425" s="107"/>
      <c r="BJ425" s="106"/>
      <c r="BK425" s="108"/>
      <c r="BL425" s="159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7"/>
      <c r="CC425" s="107"/>
      <c r="CD425" s="107"/>
      <c r="CE425" s="107"/>
      <c r="CF425" s="107"/>
      <c r="CG425" s="107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10"/>
      <c r="DH425" s="475"/>
      <c r="DI425" s="1"/>
      <c r="DJ425" s="53"/>
      <c r="DK425" s="475"/>
      <c r="DL425" s="54"/>
      <c r="DM425" s="54"/>
      <c r="DN425" s="54"/>
      <c r="DO425" s="54"/>
      <c r="DP425" s="54"/>
      <c r="DQ425" s="54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L425" s="55"/>
      <c r="EM425" s="1"/>
      <c r="EN425" s="106"/>
      <c r="EO425" s="106"/>
      <c r="EP425" s="1"/>
      <c r="EQ425" s="106"/>
      <c r="ER425" s="1"/>
      <c r="ES425" s="1"/>
      <c r="ET425" s="1"/>
      <c r="EU425" s="107"/>
    </row>
    <row r="426" spans="9:151">
      <c r="I426" s="137"/>
      <c r="J426" s="375"/>
      <c r="K426" s="1"/>
      <c r="L426" s="1"/>
      <c r="M426" s="376"/>
      <c r="P426" s="375"/>
      <c r="S426" s="55"/>
      <c r="T426" s="375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74"/>
      <c r="AO426" s="374"/>
      <c r="AP426" s="106"/>
      <c r="AQ426" s="374"/>
      <c r="AR426" s="106"/>
      <c r="AS426" s="106"/>
      <c r="AT426" s="106"/>
      <c r="AU426" s="31"/>
      <c r="AV426" s="31"/>
      <c r="AW426" s="31"/>
      <c r="AX426" s="31"/>
      <c r="AY426" s="154"/>
      <c r="AZ426" s="154"/>
      <c r="BA426" s="106"/>
      <c r="BB426" s="106"/>
      <c r="BC426" s="106"/>
      <c r="BD426" s="106"/>
      <c r="BE426" s="107"/>
      <c r="BF426" s="107"/>
      <c r="BG426" s="107"/>
      <c r="BH426" s="105"/>
      <c r="BI426" s="107"/>
      <c r="BJ426" s="106"/>
      <c r="BK426" s="108"/>
      <c r="BL426" s="159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7"/>
      <c r="CC426" s="107"/>
      <c r="CD426" s="107"/>
      <c r="CE426" s="107"/>
      <c r="CF426" s="107"/>
      <c r="CG426" s="107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10"/>
      <c r="DH426" s="475"/>
      <c r="DI426" s="1"/>
      <c r="DJ426" s="53"/>
      <c r="DK426" s="475"/>
      <c r="DL426" s="54"/>
      <c r="DM426" s="54"/>
      <c r="DN426" s="54"/>
      <c r="DO426" s="54"/>
      <c r="DP426" s="54"/>
      <c r="DQ426" s="54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L426" s="55"/>
      <c r="EM426" s="1"/>
      <c r="EN426" s="106"/>
      <c r="EO426" s="106"/>
      <c r="EP426" s="1"/>
      <c r="EQ426" s="106"/>
      <c r="ER426" s="1"/>
      <c r="ES426" s="1"/>
      <c r="ET426" s="1"/>
      <c r="EU426" s="107"/>
    </row>
    <row r="427" spans="9:151">
      <c r="I427" s="137"/>
      <c r="J427" s="375"/>
      <c r="K427" s="1"/>
      <c r="L427" s="1"/>
      <c r="M427" s="376"/>
      <c r="P427" s="375"/>
      <c r="S427" s="55"/>
      <c r="T427" s="375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74"/>
      <c r="AO427" s="374"/>
      <c r="AP427" s="106"/>
      <c r="AQ427" s="374"/>
      <c r="AR427" s="106"/>
      <c r="AS427" s="106"/>
      <c r="AT427" s="106"/>
      <c r="AU427" s="31"/>
      <c r="AV427" s="31"/>
      <c r="AW427" s="31"/>
      <c r="AX427" s="31"/>
      <c r="AY427" s="154"/>
      <c r="AZ427" s="154"/>
      <c r="BA427" s="106"/>
      <c r="BB427" s="106"/>
      <c r="BC427" s="106"/>
      <c r="BD427" s="106"/>
      <c r="BE427" s="107"/>
      <c r="BF427" s="107"/>
      <c r="BG427" s="107"/>
      <c r="BH427" s="105"/>
      <c r="BI427" s="107"/>
      <c r="BJ427" s="106"/>
      <c r="BK427" s="108"/>
      <c r="BL427" s="159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7"/>
      <c r="CC427" s="107"/>
      <c r="CD427" s="107"/>
      <c r="CE427" s="107"/>
      <c r="CF427" s="107"/>
      <c r="CG427" s="107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10"/>
      <c r="DH427" s="475"/>
      <c r="DI427" s="1"/>
      <c r="DJ427" s="53"/>
      <c r="DK427" s="475"/>
      <c r="DL427" s="54"/>
      <c r="DM427" s="54"/>
      <c r="DN427" s="54"/>
      <c r="DO427" s="54"/>
      <c r="DP427" s="54"/>
      <c r="DQ427" s="54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L427" s="55"/>
      <c r="EM427" s="1"/>
      <c r="EN427" s="106"/>
      <c r="EO427" s="106"/>
      <c r="EP427" s="1"/>
      <c r="EQ427" s="106"/>
      <c r="ER427" s="1"/>
      <c r="ES427" s="1"/>
      <c r="ET427" s="1"/>
      <c r="EU427" s="107"/>
    </row>
    <row r="428" spans="9:151">
      <c r="I428" s="137"/>
      <c r="J428" s="375"/>
      <c r="K428" s="1"/>
      <c r="L428" s="1"/>
      <c r="M428" s="376"/>
      <c r="P428" s="375"/>
      <c r="S428" s="55"/>
      <c r="T428" s="375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74"/>
      <c r="AO428" s="374"/>
      <c r="AP428" s="106"/>
      <c r="AQ428" s="374"/>
      <c r="AR428" s="106"/>
      <c r="AS428" s="106"/>
      <c r="AT428" s="106"/>
      <c r="AU428" s="31"/>
      <c r="AV428" s="31"/>
      <c r="AW428" s="31"/>
      <c r="AX428" s="31"/>
      <c r="AY428" s="154"/>
      <c r="AZ428" s="154"/>
      <c r="BA428" s="106"/>
      <c r="BB428" s="106"/>
      <c r="BC428" s="106"/>
      <c r="BD428" s="106"/>
      <c r="BE428" s="107"/>
      <c r="BF428" s="107"/>
      <c r="BG428" s="107"/>
      <c r="BH428" s="105"/>
      <c r="BI428" s="107"/>
      <c r="BJ428" s="106"/>
      <c r="BK428" s="108"/>
      <c r="BL428" s="159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7"/>
      <c r="CC428" s="107"/>
      <c r="CD428" s="107"/>
      <c r="CE428" s="107"/>
      <c r="CF428" s="107"/>
      <c r="CG428" s="107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10"/>
      <c r="DH428" s="475"/>
      <c r="DI428" s="1"/>
      <c r="DJ428" s="53"/>
      <c r="DK428" s="475"/>
      <c r="DL428" s="54"/>
      <c r="DM428" s="54"/>
      <c r="DN428" s="54"/>
      <c r="DO428" s="54"/>
      <c r="DP428" s="54"/>
      <c r="DQ428" s="54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L428" s="55"/>
      <c r="EM428" s="1"/>
      <c r="EN428" s="106"/>
      <c r="EO428" s="106"/>
      <c r="EP428" s="1"/>
      <c r="EQ428" s="106"/>
      <c r="ER428" s="1"/>
      <c r="ES428" s="1"/>
      <c r="ET428" s="1"/>
      <c r="EU428" s="107"/>
    </row>
    <row r="429" spans="9:151">
      <c r="I429" s="137"/>
      <c r="J429" s="375"/>
      <c r="K429" s="1"/>
      <c r="L429" s="1"/>
      <c r="M429" s="376"/>
      <c r="P429" s="375"/>
      <c r="S429" s="55"/>
      <c r="T429" s="375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74"/>
      <c r="AO429" s="374"/>
      <c r="AP429" s="106"/>
      <c r="AQ429" s="374"/>
      <c r="AR429" s="106"/>
      <c r="AS429" s="106"/>
      <c r="AT429" s="106"/>
      <c r="AU429" s="31"/>
      <c r="AV429" s="31"/>
      <c r="AW429" s="31"/>
      <c r="AX429" s="31"/>
      <c r="AY429" s="154"/>
      <c r="AZ429" s="154"/>
      <c r="BA429" s="106"/>
      <c r="BB429" s="106"/>
      <c r="BC429" s="106"/>
      <c r="BD429" s="106"/>
      <c r="BE429" s="107"/>
      <c r="BF429" s="107"/>
      <c r="BG429" s="107"/>
      <c r="BH429" s="105"/>
      <c r="BI429" s="107"/>
      <c r="BJ429" s="106"/>
      <c r="BK429" s="108"/>
      <c r="BL429" s="159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7"/>
      <c r="CC429" s="107"/>
      <c r="CD429" s="107"/>
      <c r="CE429" s="107"/>
      <c r="CF429" s="107"/>
      <c r="CG429" s="107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10"/>
      <c r="DH429" s="475"/>
      <c r="DI429" s="1"/>
      <c r="DJ429" s="53"/>
      <c r="DK429" s="475"/>
      <c r="DL429" s="54"/>
      <c r="DM429" s="54"/>
      <c r="DN429" s="54"/>
      <c r="DO429" s="54"/>
      <c r="DP429" s="54"/>
      <c r="DQ429" s="54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L429" s="55"/>
      <c r="EM429" s="1"/>
      <c r="EN429" s="106"/>
      <c r="EO429" s="106"/>
      <c r="EP429" s="1"/>
      <c r="EQ429" s="106"/>
      <c r="ER429" s="1"/>
      <c r="ES429" s="1"/>
      <c r="ET429" s="1"/>
      <c r="EU429" s="107"/>
    </row>
    <row r="430" spans="9:151">
      <c r="I430" s="137"/>
      <c r="J430" s="375"/>
      <c r="K430" s="1"/>
      <c r="L430" s="1"/>
      <c r="M430" s="376"/>
      <c r="P430" s="375"/>
      <c r="S430" s="55"/>
      <c r="T430" s="375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74"/>
      <c r="AO430" s="374"/>
      <c r="AP430" s="106"/>
      <c r="AQ430" s="374"/>
      <c r="AR430" s="106"/>
      <c r="AS430" s="106"/>
      <c r="AT430" s="106"/>
      <c r="AU430" s="31"/>
      <c r="AV430" s="31"/>
      <c r="AW430" s="31"/>
      <c r="AX430" s="31"/>
      <c r="AY430" s="154"/>
      <c r="AZ430" s="154"/>
      <c r="BA430" s="106"/>
      <c r="BB430" s="106"/>
      <c r="BC430" s="106"/>
      <c r="BD430" s="106"/>
      <c r="BE430" s="107"/>
      <c r="BF430" s="107"/>
      <c r="BG430" s="107"/>
      <c r="BH430" s="105"/>
      <c r="BI430" s="107"/>
      <c r="BJ430" s="106"/>
      <c r="BK430" s="108"/>
      <c r="BL430" s="159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7"/>
      <c r="CC430" s="107"/>
      <c r="CD430" s="107"/>
      <c r="CE430" s="107"/>
      <c r="CF430" s="107"/>
      <c r="CG430" s="107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10"/>
      <c r="DH430" s="475"/>
      <c r="DI430" s="1"/>
      <c r="DJ430" s="53"/>
      <c r="DK430" s="475"/>
      <c r="DL430" s="54"/>
      <c r="DM430" s="54"/>
      <c r="DN430" s="54"/>
      <c r="DO430" s="54"/>
      <c r="DP430" s="54"/>
      <c r="DQ430" s="54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L430" s="55"/>
      <c r="EM430" s="1"/>
      <c r="EN430" s="106"/>
      <c r="EO430" s="106"/>
      <c r="EP430" s="1"/>
      <c r="EQ430" s="106"/>
      <c r="ER430" s="1"/>
      <c r="ES430" s="1"/>
      <c r="ET430" s="1"/>
      <c r="EU430" s="107"/>
    </row>
    <row r="431" spans="9:151">
      <c r="I431" s="137"/>
      <c r="J431" s="375"/>
      <c r="K431" s="1"/>
      <c r="L431" s="1"/>
      <c r="M431" s="376"/>
      <c r="P431" s="375"/>
      <c r="S431" s="55"/>
      <c r="T431" s="375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74"/>
      <c r="AO431" s="374"/>
      <c r="AP431" s="106"/>
      <c r="AQ431" s="374"/>
      <c r="AR431" s="106"/>
      <c r="AS431" s="106"/>
      <c r="AT431" s="106"/>
      <c r="AU431" s="31"/>
      <c r="AV431" s="31"/>
      <c r="AW431" s="31"/>
      <c r="AX431" s="31"/>
      <c r="AY431" s="154"/>
      <c r="AZ431" s="154"/>
      <c r="BA431" s="106"/>
      <c r="BB431" s="106"/>
      <c r="BC431" s="106"/>
      <c r="BD431" s="106"/>
      <c r="BE431" s="107"/>
      <c r="BF431" s="107"/>
      <c r="BG431" s="107"/>
      <c r="BH431" s="105"/>
      <c r="BI431" s="107"/>
      <c r="BJ431" s="106"/>
      <c r="BK431" s="108"/>
      <c r="BL431" s="159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7"/>
      <c r="CC431" s="107"/>
      <c r="CD431" s="107"/>
      <c r="CE431" s="107"/>
      <c r="CF431" s="107"/>
      <c r="CG431" s="107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10"/>
      <c r="DH431" s="475"/>
      <c r="DI431" s="1"/>
      <c r="DJ431" s="53"/>
      <c r="DK431" s="475"/>
      <c r="DL431" s="54"/>
      <c r="DM431" s="54"/>
      <c r="DN431" s="54"/>
      <c r="DO431" s="54"/>
      <c r="DP431" s="54"/>
      <c r="DQ431" s="54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L431" s="55"/>
      <c r="EM431" s="1"/>
      <c r="EN431" s="106"/>
      <c r="EO431" s="106"/>
      <c r="EP431" s="1"/>
      <c r="EQ431" s="106"/>
      <c r="ER431" s="1"/>
      <c r="ES431" s="1"/>
      <c r="ET431" s="1"/>
      <c r="EU431" s="107"/>
    </row>
    <row r="432" spans="9:151">
      <c r="I432" s="137"/>
      <c r="J432" s="375"/>
      <c r="K432" s="1"/>
      <c r="L432" s="1"/>
      <c r="M432" s="376"/>
      <c r="P432" s="375"/>
      <c r="S432" s="55"/>
      <c r="T432" s="375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74"/>
      <c r="AO432" s="374"/>
      <c r="AP432" s="106"/>
      <c r="AQ432" s="374"/>
      <c r="AR432" s="106"/>
      <c r="AS432" s="106"/>
      <c r="AT432" s="106"/>
      <c r="AU432" s="31"/>
      <c r="AV432" s="31"/>
      <c r="AW432" s="31"/>
      <c r="AX432" s="31"/>
      <c r="AY432" s="154"/>
      <c r="AZ432" s="154"/>
      <c r="BA432" s="106"/>
      <c r="BB432" s="106"/>
      <c r="BC432" s="106"/>
      <c r="BD432" s="106"/>
      <c r="BE432" s="107"/>
      <c r="BF432" s="107"/>
      <c r="BG432" s="107"/>
      <c r="BH432" s="105"/>
      <c r="BI432" s="107"/>
      <c r="BJ432" s="106"/>
      <c r="BK432" s="108"/>
      <c r="BL432" s="159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7"/>
      <c r="CC432" s="107"/>
      <c r="CD432" s="107"/>
      <c r="CE432" s="107"/>
      <c r="CF432" s="107"/>
      <c r="CG432" s="107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10"/>
      <c r="DH432" s="475"/>
      <c r="DI432" s="1"/>
      <c r="DJ432" s="53"/>
      <c r="DK432" s="475"/>
      <c r="DL432" s="54"/>
      <c r="DM432" s="54"/>
      <c r="DN432" s="54"/>
      <c r="DO432" s="54"/>
      <c r="DP432" s="54"/>
      <c r="DQ432" s="54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L432" s="55"/>
      <c r="EM432" s="1"/>
      <c r="EN432" s="106"/>
      <c r="EO432" s="106"/>
      <c r="EP432" s="1"/>
      <c r="EQ432" s="106"/>
      <c r="ER432" s="1"/>
      <c r="ES432" s="1"/>
      <c r="ET432" s="1"/>
      <c r="EU432" s="107"/>
    </row>
    <row r="433" spans="9:151">
      <c r="I433" s="137"/>
      <c r="J433" s="375"/>
      <c r="K433" s="1"/>
      <c r="L433" s="1"/>
      <c r="M433" s="376"/>
      <c r="P433" s="375"/>
      <c r="S433" s="55"/>
      <c r="T433" s="375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74"/>
      <c r="AO433" s="374"/>
      <c r="AP433" s="106"/>
      <c r="AQ433" s="374"/>
      <c r="AR433" s="106"/>
      <c r="AS433" s="106"/>
      <c r="AT433" s="106"/>
      <c r="AU433" s="31"/>
      <c r="AV433" s="31"/>
      <c r="AW433" s="31"/>
      <c r="AX433" s="31"/>
      <c r="AY433" s="154"/>
      <c r="AZ433" s="154"/>
      <c r="BA433" s="106"/>
      <c r="BB433" s="106"/>
      <c r="BC433" s="106"/>
      <c r="BD433" s="106"/>
      <c r="BE433" s="107"/>
      <c r="BF433" s="107"/>
      <c r="BG433" s="107"/>
      <c r="BH433" s="105"/>
      <c r="BI433" s="107"/>
      <c r="BJ433" s="106"/>
      <c r="BK433" s="108"/>
      <c r="BL433" s="159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7"/>
      <c r="CC433" s="107"/>
      <c r="CD433" s="107"/>
      <c r="CE433" s="107"/>
      <c r="CF433" s="107"/>
      <c r="CG433" s="107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10"/>
      <c r="DH433" s="475"/>
      <c r="DI433" s="1"/>
      <c r="DJ433" s="53"/>
      <c r="DK433" s="475"/>
      <c r="DL433" s="54"/>
      <c r="DM433" s="54"/>
      <c r="DN433" s="54"/>
      <c r="DO433" s="54"/>
      <c r="DP433" s="54"/>
      <c r="DQ433" s="54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L433" s="55"/>
      <c r="EM433" s="1"/>
      <c r="EN433" s="106"/>
      <c r="EO433" s="106"/>
      <c r="EP433" s="1"/>
      <c r="EQ433" s="106"/>
      <c r="ER433" s="1"/>
      <c r="ES433" s="1"/>
      <c r="ET433" s="1"/>
      <c r="EU433" s="107"/>
    </row>
    <row r="434" spans="9:151">
      <c r="I434" s="137"/>
      <c r="J434" s="375"/>
      <c r="K434" s="1"/>
      <c r="L434" s="1"/>
      <c r="M434" s="376"/>
      <c r="P434" s="375"/>
      <c r="S434" s="55"/>
      <c r="T434" s="375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74"/>
      <c r="AO434" s="374"/>
      <c r="AP434" s="106"/>
      <c r="AQ434" s="374"/>
      <c r="AR434" s="106"/>
      <c r="AS434" s="106"/>
      <c r="AT434" s="106"/>
      <c r="AU434" s="31"/>
      <c r="AV434" s="31"/>
      <c r="AW434" s="31"/>
      <c r="AX434" s="31"/>
      <c r="AY434" s="154"/>
      <c r="AZ434" s="154"/>
      <c r="BA434" s="106"/>
      <c r="BB434" s="106"/>
      <c r="BC434" s="106"/>
      <c r="BD434" s="106"/>
      <c r="BE434" s="107"/>
      <c r="BF434" s="107"/>
      <c r="BG434" s="107"/>
      <c r="BH434" s="105"/>
      <c r="BI434" s="107"/>
      <c r="BJ434" s="106"/>
      <c r="BK434" s="108"/>
      <c r="BL434" s="159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7"/>
      <c r="CC434" s="107"/>
      <c r="CD434" s="107"/>
      <c r="CE434" s="107"/>
      <c r="CF434" s="107"/>
      <c r="CG434" s="107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10"/>
      <c r="DH434" s="475"/>
      <c r="DI434" s="1"/>
      <c r="DJ434" s="53"/>
      <c r="DK434" s="475"/>
      <c r="DL434" s="54"/>
      <c r="DM434" s="54"/>
      <c r="DN434" s="54"/>
      <c r="DO434" s="54"/>
      <c r="DP434" s="54"/>
      <c r="DQ434" s="54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L434" s="55"/>
      <c r="EM434" s="1"/>
      <c r="EN434" s="106"/>
      <c r="EO434" s="106"/>
      <c r="EP434" s="1"/>
      <c r="EQ434" s="106"/>
      <c r="ER434" s="1"/>
      <c r="ES434" s="1"/>
      <c r="ET434" s="1"/>
      <c r="EU434" s="107"/>
    </row>
    <row r="435" spans="9:151">
      <c r="I435" s="137"/>
      <c r="J435" s="375"/>
      <c r="K435" s="1"/>
      <c r="L435" s="1"/>
      <c r="M435" s="376"/>
      <c r="P435" s="375"/>
      <c r="S435" s="55"/>
      <c r="T435" s="375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74"/>
      <c r="AO435" s="374"/>
      <c r="AP435" s="106"/>
      <c r="AQ435" s="374"/>
      <c r="AR435" s="106"/>
      <c r="AS435" s="106"/>
      <c r="AT435" s="106"/>
      <c r="AU435" s="31"/>
      <c r="AV435" s="31"/>
      <c r="AW435" s="31"/>
      <c r="AX435" s="31"/>
      <c r="AY435" s="154"/>
      <c r="AZ435" s="154"/>
      <c r="BA435" s="106"/>
      <c r="BB435" s="106"/>
      <c r="BC435" s="106"/>
      <c r="BD435" s="106"/>
      <c r="BE435" s="107"/>
      <c r="BF435" s="107"/>
      <c r="BG435" s="107"/>
      <c r="BH435" s="105"/>
      <c r="BI435" s="107"/>
      <c r="BJ435" s="106"/>
      <c r="BK435" s="108"/>
      <c r="BL435" s="159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7"/>
      <c r="CC435" s="107"/>
      <c r="CD435" s="107"/>
      <c r="CE435" s="107"/>
      <c r="CF435" s="107"/>
      <c r="CG435" s="107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10"/>
      <c r="DH435" s="475"/>
      <c r="DI435" s="1"/>
      <c r="DJ435" s="53"/>
      <c r="DK435" s="475"/>
      <c r="DL435" s="54"/>
      <c r="DM435" s="54"/>
      <c r="DN435" s="54"/>
      <c r="DO435" s="54"/>
      <c r="DP435" s="54"/>
      <c r="DQ435" s="54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L435" s="55"/>
      <c r="EM435" s="1"/>
      <c r="EN435" s="106"/>
      <c r="EO435" s="106"/>
      <c r="EP435" s="1"/>
      <c r="EQ435" s="106"/>
      <c r="ER435" s="1"/>
      <c r="ES435" s="1"/>
      <c r="ET435" s="1"/>
      <c r="EU435" s="107"/>
    </row>
    <row r="436" spans="9:151">
      <c r="I436" s="137"/>
      <c r="J436" s="375"/>
      <c r="K436" s="1"/>
      <c r="L436" s="1"/>
      <c r="M436" s="376"/>
      <c r="P436" s="375"/>
      <c r="S436" s="55"/>
      <c r="T436" s="375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74"/>
      <c r="AO436" s="374"/>
      <c r="AP436" s="106"/>
      <c r="AQ436" s="374"/>
      <c r="AR436" s="106"/>
      <c r="AS436" s="106"/>
      <c r="AT436" s="106"/>
      <c r="AU436" s="31"/>
      <c r="AV436" s="31"/>
      <c r="AW436" s="31"/>
      <c r="AX436" s="31"/>
      <c r="AY436" s="154"/>
      <c r="AZ436" s="154"/>
      <c r="BA436" s="106"/>
      <c r="BB436" s="106"/>
      <c r="BC436" s="106"/>
      <c r="BD436" s="106"/>
      <c r="BE436" s="107"/>
      <c r="BF436" s="107"/>
      <c r="BG436" s="107"/>
      <c r="BH436" s="105"/>
      <c r="BI436" s="107"/>
      <c r="BJ436" s="106"/>
      <c r="BK436" s="108"/>
      <c r="BL436" s="159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7"/>
      <c r="CC436" s="107"/>
      <c r="CD436" s="107"/>
      <c r="CE436" s="107"/>
      <c r="CF436" s="107"/>
      <c r="CG436" s="107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10"/>
      <c r="DH436" s="475"/>
      <c r="DI436" s="1"/>
      <c r="DJ436" s="53"/>
      <c r="DK436" s="475"/>
      <c r="DL436" s="54"/>
      <c r="DM436" s="54"/>
      <c r="DN436" s="54"/>
      <c r="DO436" s="54"/>
      <c r="DP436" s="54"/>
      <c r="DQ436" s="54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L436" s="55"/>
      <c r="EM436" s="1"/>
      <c r="EN436" s="106"/>
      <c r="EO436" s="106"/>
      <c r="EP436" s="1"/>
      <c r="EQ436" s="106"/>
      <c r="ER436" s="1"/>
      <c r="ES436" s="1"/>
      <c r="ET436" s="1"/>
      <c r="EU436" s="107"/>
    </row>
    <row r="437" spans="9:151">
      <c r="I437" s="137"/>
      <c r="J437" s="375"/>
      <c r="K437" s="1"/>
      <c r="L437" s="1"/>
      <c r="M437" s="376"/>
      <c r="P437" s="375"/>
      <c r="S437" s="55"/>
      <c r="T437" s="375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74"/>
      <c r="AO437" s="374"/>
      <c r="AP437" s="106"/>
      <c r="AQ437" s="374"/>
      <c r="AR437" s="106"/>
      <c r="AS437" s="106"/>
      <c r="AT437" s="106"/>
      <c r="AU437" s="31"/>
      <c r="AV437" s="31"/>
      <c r="AW437" s="31"/>
      <c r="AX437" s="31"/>
      <c r="AY437" s="154"/>
      <c r="AZ437" s="154"/>
      <c r="BA437" s="106"/>
      <c r="BB437" s="106"/>
      <c r="BC437" s="106"/>
      <c r="BD437" s="106"/>
      <c r="BE437" s="107"/>
      <c r="BF437" s="107"/>
      <c r="BG437" s="107"/>
      <c r="BH437" s="105"/>
      <c r="BI437" s="107"/>
      <c r="BJ437" s="106"/>
      <c r="BK437" s="108"/>
      <c r="BL437" s="159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7"/>
      <c r="CC437" s="107"/>
      <c r="CD437" s="107"/>
      <c r="CE437" s="107"/>
      <c r="CF437" s="107"/>
      <c r="CG437" s="107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10"/>
      <c r="DH437" s="475"/>
      <c r="DI437" s="1"/>
      <c r="DJ437" s="53"/>
      <c r="DK437" s="475"/>
      <c r="DL437" s="54"/>
      <c r="DM437" s="54"/>
      <c r="DN437" s="54"/>
      <c r="DO437" s="54"/>
      <c r="DP437" s="54"/>
      <c r="DQ437" s="54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L437" s="55"/>
      <c r="EM437" s="1"/>
      <c r="EN437" s="106"/>
      <c r="EO437" s="106"/>
      <c r="EP437" s="1"/>
      <c r="EQ437" s="106"/>
      <c r="ER437" s="1"/>
      <c r="ES437" s="1"/>
      <c r="ET437" s="1"/>
      <c r="EU437" s="107"/>
    </row>
    <row r="438" spans="9:151">
      <c r="I438" s="137"/>
      <c r="J438" s="375"/>
      <c r="K438" s="1"/>
      <c r="L438" s="1"/>
      <c r="M438" s="376"/>
      <c r="P438" s="375"/>
      <c r="S438" s="55"/>
      <c r="T438" s="375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74"/>
      <c r="AO438" s="374"/>
      <c r="AP438" s="106"/>
      <c r="AQ438" s="374"/>
      <c r="AR438" s="106"/>
      <c r="AS438" s="106"/>
      <c r="AT438" s="106"/>
      <c r="AU438" s="31"/>
      <c r="AV438" s="31"/>
      <c r="AW438" s="31"/>
      <c r="AX438" s="31"/>
      <c r="AY438" s="154"/>
      <c r="AZ438" s="154"/>
      <c r="BA438" s="106"/>
      <c r="BB438" s="106"/>
      <c r="BC438" s="106"/>
      <c r="BD438" s="106"/>
      <c r="BE438" s="107"/>
      <c r="BF438" s="107"/>
      <c r="BG438" s="107"/>
      <c r="BH438" s="105"/>
      <c r="BI438" s="107"/>
      <c r="BJ438" s="106"/>
      <c r="BK438" s="108"/>
      <c r="BL438" s="159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7"/>
      <c r="CC438" s="107"/>
      <c r="CD438" s="107"/>
      <c r="CE438" s="107"/>
      <c r="CF438" s="107"/>
      <c r="CG438" s="107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10"/>
      <c r="DH438" s="475"/>
      <c r="DI438" s="1"/>
      <c r="DJ438" s="53"/>
      <c r="DK438" s="475"/>
      <c r="DL438" s="54"/>
      <c r="DM438" s="54"/>
      <c r="DN438" s="54"/>
      <c r="DO438" s="54"/>
      <c r="DP438" s="54"/>
      <c r="DQ438" s="54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L438" s="55"/>
      <c r="EM438" s="1"/>
      <c r="EN438" s="106"/>
      <c r="EO438" s="106"/>
      <c r="EP438" s="1"/>
      <c r="EQ438" s="106"/>
      <c r="ER438" s="1"/>
      <c r="ES438" s="1"/>
      <c r="ET438" s="1"/>
      <c r="EU438" s="107"/>
    </row>
    <row r="439" spans="9:151">
      <c r="I439" s="137"/>
      <c r="J439" s="375"/>
      <c r="K439" s="1"/>
      <c r="L439" s="1"/>
      <c r="M439" s="376"/>
      <c r="P439" s="375"/>
      <c r="S439" s="55"/>
      <c r="T439" s="375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74"/>
      <c r="AO439" s="374"/>
      <c r="AP439" s="106"/>
      <c r="AQ439" s="374"/>
      <c r="AR439" s="106"/>
      <c r="AS439" s="106"/>
      <c r="AT439" s="106"/>
      <c r="AU439" s="31"/>
      <c r="AV439" s="31"/>
      <c r="AW439" s="31"/>
      <c r="AX439" s="31"/>
      <c r="AY439" s="154"/>
      <c r="AZ439" s="154"/>
      <c r="BA439" s="106"/>
      <c r="BB439" s="106"/>
      <c r="BC439" s="106"/>
      <c r="BD439" s="106"/>
      <c r="BE439" s="107"/>
      <c r="BF439" s="107"/>
      <c r="BG439" s="107"/>
      <c r="BH439" s="105"/>
      <c r="BI439" s="107"/>
      <c r="BJ439" s="106"/>
      <c r="BK439" s="108"/>
      <c r="BL439" s="159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7"/>
      <c r="CC439" s="107"/>
      <c r="CD439" s="107"/>
      <c r="CE439" s="107"/>
      <c r="CF439" s="107"/>
      <c r="CG439" s="107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10"/>
      <c r="DH439" s="475"/>
      <c r="DI439" s="1"/>
      <c r="DJ439" s="53"/>
      <c r="DK439" s="475"/>
      <c r="DL439" s="54"/>
      <c r="DM439" s="54"/>
      <c r="DN439" s="54"/>
      <c r="DO439" s="54"/>
      <c r="DP439" s="54"/>
      <c r="DQ439" s="54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L439" s="55"/>
      <c r="EM439" s="1"/>
      <c r="EN439" s="106"/>
      <c r="EO439" s="106"/>
      <c r="EP439" s="1"/>
      <c r="EQ439" s="106"/>
      <c r="ER439" s="1"/>
      <c r="ES439" s="1"/>
      <c r="ET439" s="1"/>
      <c r="EU439" s="107"/>
    </row>
    <row r="440" spans="9:151">
      <c r="I440" s="137"/>
      <c r="J440" s="375"/>
      <c r="K440" s="1"/>
      <c r="L440" s="1"/>
      <c r="M440" s="376"/>
      <c r="P440" s="375"/>
      <c r="S440" s="55"/>
      <c r="T440" s="375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74"/>
      <c r="AO440" s="374"/>
      <c r="AP440" s="106"/>
      <c r="AQ440" s="374"/>
      <c r="AR440" s="106"/>
      <c r="AS440" s="106"/>
      <c r="AT440" s="106"/>
      <c r="AU440" s="31"/>
      <c r="AV440" s="31"/>
      <c r="AW440" s="31"/>
      <c r="AX440" s="31"/>
      <c r="AY440" s="154"/>
      <c r="AZ440" s="154"/>
      <c r="BA440" s="106"/>
      <c r="BB440" s="106"/>
      <c r="BC440" s="106"/>
      <c r="BD440" s="106"/>
      <c r="BE440" s="107"/>
      <c r="BF440" s="107"/>
      <c r="BG440" s="107"/>
      <c r="BH440" s="105"/>
      <c r="BI440" s="107"/>
      <c r="BJ440" s="106"/>
      <c r="BK440" s="108"/>
      <c r="BL440" s="159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7"/>
      <c r="CC440" s="107"/>
      <c r="CD440" s="107"/>
      <c r="CE440" s="107"/>
      <c r="CF440" s="107"/>
      <c r="CG440" s="107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10"/>
      <c r="DH440" s="475"/>
      <c r="DI440" s="1"/>
      <c r="DJ440" s="53"/>
      <c r="DK440" s="475"/>
      <c r="DL440" s="54"/>
      <c r="DM440" s="54"/>
      <c r="DN440" s="54"/>
      <c r="DO440" s="54"/>
      <c r="DP440" s="54"/>
      <c r="DQ440" s="54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L440" s="55"/>
      <c r="EM440" s="1"/>
      <c r="EN440" s="106"/>
      <c r="EO440" s="106"/>
      <c r="EP440" s="1"/>
      <c r="EQ440" s="106"/>
      <c r="ER440" s="1"/>
      <c r="ES440" s="1"/>
      <c r="ET440" s="1"/>
      <c r="EU440" s="107"/>
    </row>
    <row r="441" spans="9:151">
      <c r="I441" s="137"/>
      <c r="J441" s="375"/>
      <c r="K441" s="1"/>
      <c r="L441" s="1"/>
      <c r="M441" s="376"/>
      <c r="P441" s="375"/>
      <c r="S441" s="55"/>
      <c r="T441" s="375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74"/>
      <c r="AO441" s="374"/>
      <c r="AP441" s="374"/>
      <c r="AQ441" s="374"/>
      <c r="AR441" s="374"/>
      <c r="AS441" s="1"/>
      <c r="AT441" s="106"/>
      <c r="AU441" s="106"/>
      <c r="AV441" s="106"/>
      <c r="AW441" s="31"/>
      <c r="AX441" s="31"/>
      <c r="AY441" s="31"/>
      <c r="AZ441" s="31"/>
      <c r="BA441" s="154"/>
      <c r="BB441" s="154"/>
      <c r="BC441" s="106"/>
      <c r="BD441" s="106"/>
      <c r="BE441" s="106"/>
      <c r="BF441" s="106"/>
      <c r="BG441" s="107"/>
      <c r="BH441" s="107"/>
      <c r="BI441" s="105"/>
      <c r="BJ441" s="107"/>
      <c r="BK441" s="107"/>
      <c r="BL441" s="106"/>
      <c r="BM441" s="108"/>
      <c r="BN441" s="159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7"/>
      <c r="CE441" s="107"/>
      <c r="CF441" s="107"/>
      <c r="CG441" s="107"/>
      <c r="CH441" s="107"/>
      <c r="CI441" s="107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475"/>
      <c r="DI441" s="110"/>
      <c r="DJ441" s="110"/>
      <c r="DK441" s="475"/>
      <c r="DL441" s="53"/>
      <c r="DM441" s="54"/>
      <c r="DN441" s="54"/>
      <c r="DO441" s="54"/>
      <c r="DP441" s="54"/>
      <c r="DQ441" s="54"/>
      <c r="DR441" s="54"/>
      <c r="DS441" s="54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L441" s="55"/>
      <c r="EM441" s="1"/>
      <c r="EN441" s="106"/>
      <c r="EO441" s="105"/>
      <c r="EP441" s="1"/>
      <c r="EQ441" s="106"/>
      <c r="ER441" s="1"/>
      <c r="ES441" s="1"/>
      <c r="ET441" s="1"/>
      <c r="EU441" s="107"/>
    </row>
    <row r="442" spans="9:151">
      <c r="I442" s="137"/>
      <c r="J442" s="375"/>
      <c r="K442" s="1"/>
      <c r="L442" s="1"/>
      <c r="M442" s="376"/>
      <c r="P442" s="375"/>
      <c r="S442" s="55"/>
      <c r="T442" s="375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74"/>
      <c r="AO442" s="374"/>
      <c r="AP442" s="374"/>
      <c r="AQ442" s="374"/>
      <c r="AR442" s="374"/>
      <c r="AS442" s="1"/>
      <c r="AT442" s="106"/>
      <c r="AU442" s="106"/>
      <c r="AV442" s="106"/>
      <c r="AW442" s="31"/>
      <c r="AX442" s="31"/>
      <c r="AY442" s="31"/>
      <c r="AZ442" s="31"/>
      <c r="BA442" s="154"/>
      <c r="BB442" s="154"/>
      <c r="BC442" s="106"/>
      <c r="BD442" s="106"/>
      <c r="BE442" s="106"/>
      <c r="BF442" s="106"/>
      <c r="BG442" s="107"/>
      <c r="BH442" s="107"/>
      <c r="BI442" s="105"/>
      <c r="BJ442" s="107"/>
      <c r="BK442" s="107"/>
      <c r="BL442" s="106"/>
      <c r="BM442" s="108"/>
      <c r="BN442" s="159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7"/>
      <c r="CE442" s="107"/>
      <c r="CF442" s="107"/>
      <c r="CG442" s="107"/>
      <c r="CH442" s="107"/>
      <c r="CI442" s="107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475"/>
      <c r="DI442" s="110"/>
      <c r="DJ442" s="110"/>
      <c r="DK442" s="475"/>
      <c r="DL442" s="53"/>
      <c r="DM442" s="54"/>
      <c r="DN442" s="54"/>
      <c r="DO442" s="54"/>
      <c r="DP442" s="54"/>
      <c r="DQ442" s="54"/>
      <c r="DR442" s="54"/>
      <c r="DS442" s="54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L442" s="55"/>
      <c r="EM442" s="1"/>
      <c r="EN442" s="106"/>
      <c r="EO442" s="105"/>
      <c r="EP442" s="1"/>
      <c r="EQ442" s="106"/>
      <c r="ER442" s="1"/>
      <c r="ES442" s="1"/>
      <c r="ET442" s="1"/>
      <c r="EU442" s="107"/>
    </row>
    <row r="443" spans="9:151">
      <c r="I443" s="137"/>
      <c r="J443" s="375"/>
      <c r="K443" s="1"/>
      <c r="L443" s="1"/>
      <c r="M443" s="376"/>
      <c r="P443" s="375"/>
      <c r="S443" s="55"/>
      <c r="T443" s="375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74"/>
      <c r="AO443" s="374"/>
      <c r="AP443" s="374"/>
      <c r="AQ443" s="374"/>
      <c r="AR443" s="374"/>
      <c r="AS443" s="1"/>
      <c r="AT443" s="106"/>
      <c r="AU443" s="106"/>
      <c r="AV443" s="106"/>
      <c r="AW443" s="31"/>
      <c r="AX443" s="31"/>
      <c r="AY443" s="31"/>
      <c r="AZ443" s="31"/>
      <c r="BA443" s="154"/>
      <c r="BB443" s="154"/>
      <c r="BC443" s="106"/>
      <c r="BD443" s="106"/>
      <c r="BE443" s="106"/>
      <c r="BF443" s="106"/>
      <c r="BG443" s="107"/>
      <c r="BH443" s="107"/>
      <c r="BI443" s="105"/>
      <c r="BJ443" s="107"/>
      <c r="BK443" s="107"/>
      <c r="BL443" s="106"/>
      <c r="BM443" s="108"/>
      <c r="BN443" s="159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7"/>
      <c r="CE443" s="107"/>
      <c r="CF443" s="107"/>
      <c r="CG443" s="107"/>
      <c r="CH443" s="107"/>
      <c r="CI443" s="107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475"/>
      <c r="DI443" s="110"/>
      <c r="DJ443" s="110"/>
      <c r="DK443" s="475"/>
      <c r="DL443" s="53"/>
      <c r="DM443" s="54"/>
      <c r="DN443" s="54"/>
      <c r="DO443" s="54"/>
      <c r="DP443" s="54"/>
      <c r="DQ443" s="54"/>
      <c r="DR443" s="54"/>
      <c r="DS443" s="54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L443" s="55"/>
      <c r="EM443" s="1"/>
      <c r="EN443" s="106"/>
      <c r="EO443" s="105"/>
      <c r="EP443" s="1"/>
      <c r="EQ443" s="106"/>
      <c r="ER443" s="1"/>
      <c r="ES443" s="1"/>
      <c r="ET443" s="1"/>
      <c r="EU443" s="107"/>
    </row>
    <row r="444" spans="9:151">
      <c r="I444" s="137"/>
      <c r="J444" s="375"/>
      <c r="K444" s="1"/>
      <c r="L444" s="1"/>
      <c r="M444" s="376"/>
      <c r="P444" s="375"/>
      <c r="S444" s="55"/>
      <c r="T444" s="375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74"/>
      <c r="AO444" s="374"/>
      <c r="AP444" s="374"/>
      <c r="AQ444" s="374"/>
      <c r="AR444" s="374"/>
      <c r="AS444" s="1"/>
      <c r="AT444" s="106"/>
      <c r="AU444" s="106"/>
      <c r="AV444" s="106"/>
      <c r="AW444" s="31"/>
      <c r="AX444" s="31"/>
      <c r="AY444" s="31"/>
      <c r="AZ444" s="31"/>
      <c r="BA444" s="154"/>
      <c r="BB444" s="154"/>
      <c r="BC444" s="106"/>
      <c r="BD444" s="106"/>
      <c r="BE444" s="106"/>
      <c r="BF444" s="106"/>
      <c r="BG444" s="107"/>
      <c r="BH444" s="107"/>
      <c r="BI444" s="105"/>
      <c r="BJ444" s="107"/>
      <c r="BK444" s="107"/>
      <c r="BL444" s="106"/>
      <c r="BM444" s="108"/>
      <c r="BN444" s="159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7"/>
      <c r="CE444" s="107"/>
      <c r="CF444" s="107"/>
      <c r="CG444" s="107"/>
      <c r="CH444" s="107"/>
      <c r="CI444" s="107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475"/>
      <c r="DI444" s="110"/>
      <c r="DJ444" s="110"/>
      <c r="DK444" s="475"/>
      <c r="DL444" s="53"/>
      <c r="DM444" s="54"/>
      <c r="DN444" s="54"/>
      <c r="DO444" s="54"/>
      <c r="DP444" s="54"/>
      <c r="DQ444" s="54"/>
      <c r="DR444" s="54"/>
      <c r="DS444" s="54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L444" s="55"/>
      <c r="EM444" s="1"/>
      <c r="EN444" s="106"/>
      <c r="EO444" s="105"/>
      <c r="EP444" s="1"/>
      <c r="EQ444" s="106"/>
      <c r="ER444" s="1"/>
      <c r="ES444" s="1"/>
      <c r="ET444" s="1"/>
      <c r="EU444" s="107"/>
    </row>
    <row r="445" spans="9:151">
      <c r="I445" s="137"/>
      <c r="J445" s="375"/>
      <c r="K445" s="1"/>
      <c r="L445" s="1"/>
      <c r="M445" s="376"/>
      <c r="P445" s="375"/>
      <c r="S445" s="55"/>
      <c r="T445" s="375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74"/>
      <c r="AO445" s="374"/>
      <c r="AP445" s="374"/>
      <c r="AQ445" s="374"/>
      <c r="AR445" s="374"/>
      <c r="AS445" s="1"/>
      <c r="AT445" s="106"/>
      <c r="AU445" s="106"/>
      <c r="AV445" s="106"/>
      <c r="AW445" s="31"/>
      <c r="AX445" s="31"/>
      <c r="AY445" s="31"/>
      <c r="AZ445" s="31"/>
      <c r="BA445" s="154"/>
      <c r="BB445" s="154"/>
      <c r="BC445" s="106"/>
      <c r="BD445" s="106"/>
      <c r="BE445" s="106"/>
      <c r="BF445" s="106"/>
      <c r="BG445" s="107"/>
      <c r="BH445" s="107"/>
      <c r="BI445" s="105"/>
      <c r="BJ445" s="107"/>
      <c r="BK445" s="107"/>
      <c r="BL445" s="106"/>
      <c r="BM445" s="108"/>
      <c r="BN445" s="159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7"/>
      <c r="CE445" s="107"/>
      <c r="CF445" s="107"/>
      <c r="CG445" s="107"/>
      <c r="CH445" s="107"/>
      <c r="CI445" s="107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475"/>
      <c r="DI445" s="110"/>
      <c r="DJ445" s="110"/>
      <c r="DK445" s="475"/>
      <c r="DL445" s="53"/>
      <c r="DM445" s="54"/>
      <c r="DN445" s="54"/>
      <c r="DO445" s="54"/>
      <c r="DP445" s="54"/>
      <c r="DQ445" s="54"/>
      <c r="DR445" s="54"/>
      <c r="DS445" s="54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L445" s="55"/>
      <c r="EM445" s="1"/>
      <c r="EN445" s="106"/>
      <c r="EO445" s="105"/>
      <c r="EP445" s="1"/>
      <c r="EQ445" s="106"/>
      <c r="ER445" s="1"/>
      <c r="ES445" s="1"/>
      <c r="ET445" s="1"/>
      <c r="EU445" s="107"/>
    </row>
    <row r="446" spans="9:151">
      <c r="I446" s="137"/>
      <c r="J446" s="375"/>
      <c r="K446" s="1"/>
      <c r="L446" s="1"/>
      <c r="M446" s="376"/>
      <c r="P446" s="375"/>
      <c r="S446" s="55"/>
      <c r="T446" s="375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74"/>
      <c r="AO446" s="374"/>
      <c r="AP446" s="374"/>
      <c r="AQ446" s="374"/>
      <c r="AR446" s="374"/>
      <c r="AS446" s="1"/>
      <c r="AT446" s="106"/>
      <c r="AU446" s="106"/>
      <c r="AV446" s="106"/>
      <c r="AW446" s="31"/>
      <c r="AX446" s="31"/>
      <c r="AY446" s="31"/>
      <c r="AZ446" s="31"/>
      <c r="BA446" s="154"/>
      <c r="BB446" s="154"/>
      <c r="BC446" s="106"/>
      <c r="BD446" s="106"/>
      <c r="BE446" s="106"/>
      <c r="BF446" s="106"/>
      <c r="BG446" s="107"/>
      <c r="BH446" s="107"/>
      <c r="BI446" s="105"/>
      <c r="BJ446" s="107"/>
      <c r="BK446" s="107"/>
      <c r="BL446" s="106"/>
      <c r="BM446" s="108"/>
      <c r="BN446" s="159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7"/>
      <c r="CE446" s="107"/>
      <c r="CF446" s="107"/>
      <c r="CG446" s="107"/>
      <c r="CH446" s="107"/>
      <c r="CI446" s="107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475"/>
      <c r="DI446" s="110"/>
      <c r="DJ446" s="110"/>
      <c r="DK446" s="475"/>
      <c r="DL446" s="53"/>
      <c r="DM446" s="54"/>
      <c r="DN446" s="54"/>
      <c r="DO446" s="54"/>
      <c r="DP446" s="54"/>
      <c r="DQ446" s="54"/>
      <c r="DR446" s="54"/>
      <c r="DS446" s="54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L446" s="55"/>
      <c r="EM446" s="1"/>
      <c r="EN446" s="106"/>
      <c r="EO446" s="105"/>
      <c r="EP446" s="1"/>
      <c r="EQ446" s="106"/>
      <c r="ER446" s="1"/>
      <c r="ES446" s="1"/>
      <c r="ET446" s="1"/>
      <c r="EU446" s="107"/>
    </row>
    <row r="447" spans="9:151">
      <c r="I447" s="137"/>
      <c r="J447" s="375"/>
      <c r="K447" s="1"/>
      <c r="L447" s="1"/>
      <c r="M447" s="376"/>
      <c r="P447" s="375"/>
      <c r="S447" s="55"/>
      <c r="T447" s="375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74"/>
      <c r="AO447" s="374"/>
      <c r="AP447" s="374"/>
      <c r="AQ447" s="374"/>
      <c r="AR447" s="374"/>
      <c r="AS447" s="1"/>
      <c r="AT447" s="106"/>
      <c r="AU447" s="106"/>
      <c r="AV447" s="106"/>
      <c r="AW447" s="31"/>
      <c r="AX447" s="31"/>
      <c r="AY447" s="31"/>
      <c r="AZ447" s="31"/>
      <c r="BA447" s="154"/>
      <c r="BB447" s="154"/>
      <c r="BC447" s="106"/>
      <c r="BD447" s="106"/>
      <c r="BE447" s="106"/>
      <c r="BF447" s="106"/>
      <c r="BG447" s="107"/>
      <c r="BH447" s="107"/>
      <c r="BI447" s="105"/>
      <c r="BJ447" s="107"/>
      <c r="BK447" s="107"/>
      <c r="BL447" s="106"/>
      <c r="BM447" s="108"/>
      <c r="BN447" s="159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7"/>
      <c r="CE447" s="107"/>
      <c r="CF447" s="107"/>
      <c r="CG447" s="107"/>
      <c r="CH447" s="107"/>
      <c r="CI447" s="107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475"/>
      <c r="DI447" s="110"/>
      <c r="DJ447" s="110"/>
      <c r="DK447" s="475"/>
      <c r="DL447" s="53"/>
      <c r="DM447" s="54"/>
      <c r="DN447" s="54"/>
      <c r="DO447" s="54"/>
      <c r="DP447" s="54"/>
      <c r="DQ447" s="54"/>
      <c r="DR447" s="54"/>
      <c r="DS447" s="54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L447" s="55"/>
      <c r="EM447" s="1"/>
      <c r="EN447" s="106"/>
      <c r="EO447" s="105"/>
      <c r="EP447" s="1"/>
      <c r="EQ447" s="106"/>
      <c r="ER447" s="1"/>
      <c r="ES447" s="1"/>
      <c r="ET447" s="1"/>
      <c r="EU447" s="107"/>
    </row>
    <row r="448" spans="9:151">
      <c r="I448" s="137"/>
      <c r="J448" s="375"/>
      <c r="K448" s="1"/>
      <c r="L448" s="1"/>
      <c r="M448" s="376"/>
      <c r="P448" s="375"/>
      <c r="S448" s="55"/>
      <c r="T448" s="375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74"/>
      <c r="AO448" s="374"/>
      <c r="AP448" s="374"/>
      <c r="AQ448" s="374"/>
      <c r="AR448" s="374"/>
      <c r="AS448" s="1"/>
      <c r="AT448" s="106"/>
      <c r="AU448" s="106"/>
      <c r="AV448" s="106"/>
      <c r="AW448" s="31"/>
      <c r="AX448" s="31"/>
      <c r="AY448" s="31"/>
      <c r="AZ448" s="31"/>
      <c r="BA448" s="154"/>
      <c r="BB448" s="154"/>
      <c r="BC448" s="106"/>
      <c r="BD448" s="106"/>
      <c r="BE448" s="106"/>
      <c r="BF448" s="106"/>
      <c r="BG448" s="107"/>
      <c r="BH448" s="107"/>
      <c r="BI448" s="105"/>
      <c r="BJ448" s="107"/>
      <c r="BK448" s="107"/>
      <c r="BL448" s="106"/>
      <c r="BM448" s="108"/>
      <c r="BN448" s="159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7"/>
      <c r="CE448" s="107"/>
      <c r="CF448" s="107"/>
      <c r="CG448" s="107"/>
      <c r="CH448" s="107"/>
      <c r="CI448" s="107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475"/>
      <c r="DI448" s="110"/>
      <c r="DJ448" s="110"/>
      <c r="DK448" s="475"/>
      <c r="DL448" s="53"/>
      <c r="DM448" s="54"/>
      <c r="DN448" s="54"/>
      <c r="DO448" s="54"/>
      <c r="DP448" s="54"/>
      <c r="DQ448" s="54"/>
      <c r="DR448" s="54"/>
      <c r="DS448" s="54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L448" s="55"/>
      <c r="EM448" s="1"/>
      <c r="EN448" s="106"/>
      <c r="EO448" s="105"/>
      <c r="EP448" s="1"/>
      <c r="EQ448" s="106"/>
      <c r="ER448" s="1"/>
      <c r="ES448" s="1"/>
      <c r="ET448" s="1"/>
      <c r="EU448" s="107"/>
    </row>
    <row r="449" spans="9:151">
      <c r="I449" s="137"/>
      <c r="J449" s="375"/>
      <c r="K449" s="1"/>
      <c r="L449" s="1"/>
      <c r="M449" s="376"/>
      <c r="P449" s="375"/>
      <c r="S449" s="55"/>
      <c r="T449" s="375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74"/>
      <c r="AO449" s="374"/>
      <c r="AP449" s="374"/>
      <c r="AQ449" s="374"/>
      <c r="AR449" s="374"/>
      <c r="AS449" s="1"/>
      <c r="AT449" s="106"/>
      <c r="AU449" s="106"/>
      <c r="AV449" s="106"/>
      <c r="AW449" s="31"/>
      <c r="AX449" s="31"/>
      <c r="AY449" s="31"/>
      <c r="AZ449" s="31"/>
      <c r="BA449" s="154"/>
      <c r="BB449" s="154"/>
      <c r="BC449" s="106"/>
      <c r="BD449" s="106"/>
      <c r="BE449" s="106"/>
      <c r="BF449" s="106"/>
      <c r="BG449" s="107"/>
      <c r="BH449" s="107"/>
      <c r="BI449" s="105"/>
      <c r="BJ449" s="107"/>
      <c r="BK449" s="107"/>
      <c r="BL449" s="106"/>
      <c r="BM449" s="108"/>
      <c r="BN449" s="159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7"/>
      <c r="CE449" s="107"/>
      <c r="CF449" s="107"/>
      <c r="CG449" s="107"/>
      <c r="CH449" s="107"/>
      <c r="CI449" s="107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475"/>
      <c r="DI449" s="110"/>
      <c r="DJ449" s="110"/>
      <c r="DK449" s="475"/>
      <c r="DL449" s="53"/>
      <c r="DM449" s="54"/>
      <c r="DN449" s="54"/>
      <c r="DO449" s="54"/>
      <c r="DP449" s="54"/>
      <c r="DQ449" s="54"/>
      <c r="DR449" s="54"/>
      <c r="DS449" s="54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L449" s="55"/>
      <c r="EM449" s="1"/>
      <c r="EN449" s="106"/>
      <c r="EO449" s="105"/>
      <c r="EP449" s="1"/>
      <c r="EQ449" s="106"/>
      <c r="ER449" s="1"/>
      <c r="ES449" s="1"/>
      <c r="ET449" s="1"/>
      <c r="EU449" s="107"/>
    </row>
    <row r="450" spans="9:151">
      <c r="I450" s="137"/>
      <c r="J450" s="375"/>
      <c r="K450" s="1"/>
      <c r="L450" s="1"/>
      <c r="M450" s="376"/>
      <c r="P450" s="375"/>
      <c r="S450" s="55"/>
      <c r="T450" s="375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74"/>
      <c r="AO450" s="374"/>
      <c r="AP450" s="374"/>
      <c r="AQ450" s="374"/>
      <c r="AR450" s="374"/>
      <c r="AS450" s="1"/>
      <c r="AT450" s="106"/>
      <c r="AU450" s="106"/>
      <c r="AV450" s="106"/>
      <c r="AW450" s="31"/>
      <c r="AX450" s="31"/>
      <c r="AY450" s="31"/>
      <c r="AZ450" s="31"/>
      <c r="BA450" s="154"/>
      <c r="BB450" s="154"/>
      <c r="BC450" s="106"/>
      <c r="BD450" s="106"/>
      <c r="BE450" s="106"/>
      <c r="BF450" s="106"/>
      <c r="BG450" s="107"/>
      <c r="BH450" s="107"/>
      <c r="BI450" s="105"/>
      <c r="BJ450" s="107"/>
      <c r="BK450" s="107"/>
      <c r="BL450" s="106"/>
      <c r="BM450" s="108"/>
      <c r="BN450" s="159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7"/>
      <c r="CE450" s="107"/>
      <c r="CF450" s="107"/>
      <c r="CG450" s="107"/>
      <c r="CH450" s="107"/>
      <c r="CI450" s="107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475"/>
      <c r="DI450" s="110"/>
      <c r="DJ450" s="110"/>
      <c r="DK450" s="475"/>
      <c r="DL450" s="53"/>
      <c r="DM450" s="54"/>
      <c r="DN450" s="54"/>
      <c r="DO450" s="54"/>
      <c r="DP450" s="54"/>
      <c r="DQ450" s="54"/>
      <c r="DR450" s="54"/>
      <c r="DS450" s="54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L450" s="55"/>
      <c r="EM450" s="1"/>
      <c r="EN450" s="106"/>
      <c r="EO450" s="105"/>
      <c r="EP450" s="1"/>
      <c r="EQ450" s="106"/>
      <c r="ER450" s="1"/>
      <c r="ES450" s="1"/>
      <c r="ET450" s="1"/>
      <c r="EU450" s="107"/>
    </row>
    <row r="451" spans="9:151">
      <c r="I451" s="137"/>
      <c r="J451" s="375"/>
      <c r="K451" s="1"/>
      <c r="L451" s="1"/>
      <c r="M451" s="376"/>
      <c r="P451" s="375"/>
      <c r="S451" s="55"/>
      <c r="T451" s="375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74"/>
      <c r="AO451" s="374"/>
      <c r="AP451" s="374"/>
      <c r="AQ451" s="374"/>
      <c r="AR451" s="374"/>
      <c r="AS451" s="1"/>
      <c r="AT451" s="106"/>
      <c r="AU451" s="106"/>
      <c r="AV451" s="106"/>
      <c r="AW451" s="31"/>
      <c r="AX451" s="31"/>
      <c r="AY451" s="31"/>
      <c r="AZ451" s="31"/>
      <c r="BA451" s="154"/>
      <c r="BB451" s="154"/>
      <c r="BC451" s="106"/>
      <c r="BD451" s="106"/>
      <c r="BE451" s="106"/>
      <c r="BF451" s="106"/>
      <c r="BG451" s="107"/>
      <c r="BH451" s="107"/>
      <c r="BI451" s="105"/>
      <c r="BJ451" s="107"/>
      <c r="BK451" s="107"/>
      <c r="BL451" s="106"/>
      <c r="BM451" s="108"/>
      <c r="BN451" s="159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7"/>
      <c r="CE451" s="107"/>
      <c r="CF451" s="107"/>
      <c r="CG451" s="107"/>
      <c r="CH451" s="107"/>
      <c r="CI451" s="107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475"/>
      <c r="DI451" s="110"/>
      <c r="DJ451" s="110"/>
      <c r="DK451" s="475"/>
      <c r="DL451" s="53"/>
      <c r="DM451" s="54"/>
      <c r="DN451" s="54"/>
      <c r="DO451" s="54"/>
      <c r="DP451" s="54"/>
      <c r="DQ451" s="54"/>
      <c r="DR451" s="54"/>
      <c r="DS451" s="54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L451" s="55"/>
      <c r="EM451" s="1"/>
      <c r="EN451" s="106"/>
      <c r="EO451" s="105"/>
      <c r="EP451" s="1"/>
      <c r="EQ451" s="106"/>
      <c r="ER451" s="1"/>
      <c r="ES451" s="1"/>
      <c r="ET451" s="1"/>
      <c r="EU451" s="107"/>
    </row>
    <row r="452" spans="9:151">
      <c r="I452" s="137"/>
      <c r="J452" s="375"/>
      <c r="K452" s="1"/>
      <c r="L452" s="1"/>
      <c r="M452" s="376"/>
      <c r="P452" s="375"/>
      <c r="S452" s="55"/>
      <c r="T452" s="375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74"/>
      <c r="AO452" s="374"/>
      <c r="AP452" s="374"/>
      <c r="AQ452" s="374"/>
      <c r="AR452" s="374"/>
      <c r="AS452" s="1"/>
      <c r="AT452" s="106"/>
      <c r="AU452" s="106"/>
      <c r="AV452" s="106"/>
      <c r="AW452" s="31"/>
      <c r="AX452" s="31"/>
      <c r="AY452" s="31"/>
      <c r="AZ452" s="31"/>
      <c r="BA452" s="154"/>
      <c r="BB452" s="154"/>
      <c r="BC452" s="106"/>
      <c r="BD452" s="106"/>
      <c r="BE452" s="106"/>
      <c r="BF452" s="106"/>
      <c r="BG452" s="107"/>
      <c r="BH452" s="107"/>
      <c r="BI452" s="105"/>
      <c r="BJ452" s="107"/>
      <c r="BK452" s="107"/>
      <c r="BL452" s="106"/>
      <c r="BM452" s="108"/>
      <c r="BN452" s="159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7"/>
      <c r="CE452" s="107"/>
      <c r="CF452" s="107"/>
      <c r="CG452" s="107"/>
      <c r="CH452" s="107"/>
      <c r="CI452" s="107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475"/>
      <c r="DI452" s="110"/>
      <c r="DJ452" s="110"/>
      <c r="DK452" s="475"/>
      <c r="DL452" s="53"/>
      <c r="DM452" s="54"/>
      <c r="DN452" s="54"/>
      <c r="DO452" s="54"/>
      <c r="DP452" s="54"/>
      <c r="DQ452" s="54"/>
      <c r="DR452" s="54"/>
      <c r="DS452" s="54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L452" s="55"/>
      <c r="EM452" s="1"/>
      <c r="EN452" s="106"/>
      <c r="EO452" s="105"/>
      <c r="EP452" s="1"/>
      <c r="EQ452" s="106"/>
      <c r="ER452" s="1"/>
      <c r="ES452" s="1"/>
      <c r="ET452" s="1"/>
      <c r="EU452" s="107"/>
    </row>
    <row r="453" spans="9:151">
      <c r="I453" s="137"/>
      <c r="J453" s="375"/>
      <c r="K453" s="1"/>
      <c r="L453" s="1"/>
      <c r="M453" s="376"/>
      <c r="P453" s="375"/>
      <c r="S453" s="55"/>
      <c r="T453" s="375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74"/>
      <c r="AO453" s="374"/>
      <c r="AP453" s="374"/>
      <c r="AQ453" s="374"/>
      <c r="AR453" s="374"/>
      <c r="AS453" s="1"/>
      <c r="AT453" s="106"/>
      <c r="AU453" s="106"/>
      <c r="AV453" s="106"/>
      <c r="AW453" s="31"/>
      <c r="AX453" s="31"/>
      <c r="AY453" s="31"/>
      <c r="AZ453" s="31"/>
      <c r="BA453" s="154"/>
      <c r="BB453" s="154"/>
      <c r="BC453" s="106"/>
      <c r="BD453" s="106"/>
      <c r="BE453" s="106"/>
      <c r="BF453" s="106"/>
      <c r="BG453" s="107"/>
      <c r="BH453" s="107"/>
      <c r="BI453" s="105"/>
      <c r="BJ453" s="107"/>
      <c r="BK453" s="107"/>
      <c r="BL453" s="106"/>
      <c r="BM453" s="108"/>
      <c r="BN453" s="159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7"/>
      <c r="CE453" s="107"/>
      <c r="CF453" s="107"/>
      <c r="CG453" s="107"/>
      <c r="CH453" s="107"/>
      <c r="CI453" s="107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475"/>
      <c r="DI453" s="110"/>
      <c r="DJ453" s="110"/>
      <c r="DK453" s="475"/>
      <c r="DL453" s="53"/>
      <c r="DM453" s="54"/>
      <c r="DN453" s="54"/>
      <c r="DO453" s="54"/>
      <c r="DP453" s="54"/>
      <c r="DQ453" s="54"/>
      <c r="DR453" s="54"/>
      <c r="DS453" s="54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L453" s="55"/>
      <c r="EM453" s="1"/>
      <c r="EN453" s="106"/>
      <c r="EO453" s="105"/>
      <c r="EP453" s="1"/>
      <c r="EQ453" s="106"/>
      <c r="ER453" s="1"/>
      <c r="ES453" s="1"/>
      <c r="ET453" s="1"/>
      <c r="EU453" s="107"/>
    </row>
    <row r="454" spans="9:151">
      <c r="I454" s="137"/>
      <c r="J454" s="375"/>
      <c r="K454" s="1"/>
      <c r="L454" s="1"/>
      <c r="M454" s="376"/>
      <c r="P454" s="375"/>
      <c r="S454" s="55"/>
      <c r="T454" s="375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74"/>
      <c r="AO454" s="374"/>
      <c r="AP454" s="374"/>
      <c r="AQ454" s="374"/>
      <c r="AR454" s="374"/>
      <c r="AS454" s="1"/>
      <c r="AT454" s="106"/>
      <c r="AU454" s="106"/>
      <c r="AV454" s="106"/>
      <c r="AW454" s="31"/>
      <c r="AX454" s="31"/>
      <c r="AY454" s="31"/>
      <c r="AZ454" s="31"/>
      <c r="BA454" s="154"/>
      <c r="BB454" s="154"/>
      <c r="BC454" s="106"/>
      <c r="BD454" s="106"/>
      <c r="BE454" s="106"/>
      <c r="BF454" s="106"/>
      <c r="BG454" s="107"/>
      <c r="BH454" s="107"/>
      <c r="BI454" s="105"/>
      <c r="BJ454" s="107"/>
      <c r="BK454" s="107"/>
      <c r="BL454" s="106"/>
      <c r="BM454" s="108"/>
      <c r="BN454" s="159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7"/>
      <c r="CE454" s="107"/>
      <c r="CF454" s="107"/>
      <c r="CG454" s="107"/>
      <c r="CH454" s="107"/>
      <c r="CI454" s="107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475"/>
      <c r="DI454" s="110"/>
      <c r="DJ454" s="110"/>
      <c r="DK454" s="475"/>
      <c r="DL454" s="53"/>
      <c r="DM454" s="54"/>
      <c r="DN454" s="54"/>
      <c r="DO454" s="54"/>
      <c r="DP454" s="54"/>
      <c r="DQ454" s="54"/>
      <c r="DR454" s="54"/>
      <c r="DS454" s="54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L454" s="55"/>
      <c r="EM454" s="1"/>
      <c r="EN454" s="106"/>
      <c r="EO454" s="105"/>
      <c r="EP454" s="1"/>
      <c r="EQ454" s="106"/>
      <c r="ER454" s="1"/>
      <c r="ES454" s="1"/>
      <c r="ET454" s="1"/>
      <c r="EU454" s="107"/>
    </row>
    <row r="455" spans="9:151">
      <c r="I455" s="137"/>
      <c r="J455" s="375"/>
      <c r="K455" s="1"/>
      <c r="L455" s="1"/>
      <c r="M455" s="376"/>
      <c r="P455" s="375"/>
      <c r="S455" s="55"/>
      <c r="T455" s="375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74"/>
      <c r="AO455" s="374"/>
      <c r="AP455" s="374"/>
      <c r="AQ455" s="374"/>
      <c r="AR455" s="374"/>
      <c r="AS455" s="1"/>
      <c r="AT455" s="106"/>
      <c r="AU455" s="106"/>
      <c r="AV455" s="106"/>
      <c r="AW455" s="31"/>
      <c r="AX455" s="31"/>
      <c r="AY455" s="31"/>
      <c r="AZ455" s="31"/>
      <c r="BA455" s="154"/>
      <c r="BB455" s="154"/>
      <c r="BC455" s="106"/>
      <c r="BD455" s="106"/>
      <c r="BE455" s="106"/>
      <c r="BF455" s="106"/>
      <c r="BG455" s="107"/>
      <c r="BH455" s="107"/>
      <c r="BI455" s="105"/>
      <c r="BJ455" s="107"/>
      <c r="BK455" s="107"/>
      <c r="BL455" s="106"/>
      <c r="BM455" s="108"/>
      <c r="BN455" s="159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7"/>
      <c r="CE455" s="107"/>
      <c r="CF455" s="107"/>
      <c r="CG455" s="107"/>
      <c r="CH455" s="107"/>
      <c r="CI455" s="107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475"/>
      <c r="DI455" s="110"/>
      <c r="DJ455" s="110"/>
      <c r="DK455" s="475"/>
      <c r="DL455" s="53"/>
      <c r="DM455" s="54"/>
      <c r="DN455" s="54"/>
      <c r="DO455" s="54"/>
      <c r="DP455" s="54"/>
      <c r="DQ455" s="54"/>
      <c r="DR455" s="54"/>
      <c r="DS455" s="54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L455" s="55"/>
      <c r="EM455" s="1"/>
      <c r="EN455" s="106"/>
      <c r="EO455" s="105"/>
      <c r="EP455" s="1"/>
      <c r="EQ455" s="106"/>
      <c r="ER455" s="1"/>
      <c r="ES455" s="1"/>
      <c r="ET455" s="1"/>
      <c r="EU455" s="107"/>
    </row>
    <row r="456" spans="9:151">
      <c r="I456" s="137"/>
      <c r="J456" s="375"/>
      <c r="K456" s="1"/>
      <c r="L456" s="1"/>
      <c r="M456" s="376"/>
      <c r="P456" s="375"/>
      <c r="S456" s="55"/>
      <c r="T456" s="375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74"/>
      <c r="AO456" s="374"/>
      <c r="AP456" s="374"/>
      <c r="AQ456" s="374"/>
      <c r="AR456" s="374"/>
      <c r="AS456" s="1"/>
      <c r="AT456" s="106"/>
      <c r="AU456" s="106"/>
      <c r="AV456" s="106"/>
      <c r="AW456" s="31"/>
      <c r="AX456" s="31"/>
      <c r="AY456" s="31"/>
      <c r="AZ456" s="31"/>
      <c r="BA456" s="154"/>
      <c r="BB456" s="154"/>
      <c r="BC456" s="106"/>
      <c r="BD456" s="106"/>
      <c r="BE456" s="106"/>
      <c r="BF456" s="106"/>
      <c r="BG456" s="107"/>
      <c r="BH456" s="107"/>
      <c r="BI456" s="105"/>
      <c r="BJ456" s="107"/>
      <c r="BK456" s="107"/>
      <c r="BL456" s="106"/>
      <c r="BM456" s="108"/>
      <c r="BN456" s="159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7"/>
      <c r="CE456" s="107"/>
      <c r="CF456" s="107"/>
      <c r="CG456" s="107"/>
      <c r="CH456" s="107"/>
      <c r="CI456" s="107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475"/>
      <c r="DI456" s="110"/>
      <c r="DJ456" s="110"/>
      <c r="DK456" s="475"/>
      <c r="DL456" s="53"/>
      <c r="DM456" s="54"/>
      <c r="DN456" s="54"/>
      <c r="DO456" s="54"/>
      <c r="DP456" s="54"/>
      <c r="DQ456" s="54"/>
      <c r="DR456" s="54"/>
      <c r="DS456" s="54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L456" s="55"/>
      <c r="EM456" s="1"/>
      <c r="EN456" s="106"/>
      <c r="EO456" s="105"/>
      <c r="EP456" s="1"/>
      <c r="EQ456" s="106"/>
      <c r="ER456" s="1"/>
      <c r="ES456" s="1"/>
      <c r="ET456" s="1"/>
      <c r="EU456" s="107"/>
    </row>
    <row r="457" spans="9:151">
      <c r="I457" s="137"/>
      <c r="J457" s="375"/>
      <c r="K457" s="1"/>
      <c r="L457" s="1"/>
      <c r="M457" s="376"/>
      <c r="P457" s="375"/>
      <c r="S457" s="55"/>
      <c r="T457" s="375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74"/>
      <c r="AO457" s="374"/>
      <c r="AP457" s="374"/>
      <c r="AQ457" s="374"/>
      <c r="AR457" s="374"/>
      <c r="AS457" s="1"/>
      <c r="AT457" s="106"/>
      <c r="AU457" s="106"/>
      <c r="AV457" s="106"/>
      <c r="AW457" s="31"/>
      <c r="AX457" s="31"/>
      <c r="AY457" s="31"/>
      <c r="AZ457" s="31"/>
      <c r="BA457" s="154"/>
      <c r="BB457" s="154"/>
      <c r="BC457" s="106"/>
      <c r="BD457" s="106"/>
      <c r="BE457" s="106"/>
      <c r="BF457" s="106"/>
      <c r="BG457" s="107"/>
      <c r="BH457" s="107"/>
      <c r="BI457" s="105"/>
      <c r="BJ457" s="107"/>
      <c r="BK457" s="107"/>
      <c r="BL457" s="106"/>
      <c r="BM457" s="108"/>
      <c r="BN457" s="159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7"/>
      <c r="CE457" s="107"/>
      <c r="CF457" s="107"/>
      <c r="CG457" s="107"/>
      <c r="CH457" s="107"/>
      <c r="CI457" s="107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475"/>
      <c r="DI457" s="110"/>
      <c r="DJ457" s="110"/>
      <c r="DK457" s="475"/>
      <c r="DL457" s="53"/>
      <c r="DM457" s="54"/>
      <c r="DN457" s="54"/>
      <c r="DO457" s="54"/>
      <c r="DP457" s="54"/>
      <c r="DQ457" s="54"/>
      <c r="DR457" s="54"/>
      <c r="DS457" s="54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L457" s="55"/>
      <c r="EM457" s="1"/>
      <c r="EN457" s="106"/>
      <c r="EO457" s="105"/>
      <c r="EP457" s="1"/>
      <c r="EQ457" s="106"/>
      <c r="ER457" s="1"/>
      <c r="ES457" s="1"/>
      <c r="ET457" s="1"/>
      <c r="EU457" s="107"/>
    </row>
    <row r="458" spans="9:151">
      <c r="I458" s="137"/>
      <c r="J458" s="375"/>
      <c r="K458" s="1"/>
      <c r="L458" s="1"/>
      <c r="M458" s="376"/>
      <c r="P458" s="375"/>
      <c r="S458" s="55"/>
      <c r="T458" s="375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74"/>
      <c r="AO458" s="374"/>
      <c r="AP458" s="374"/>
      <c r="AQ458" s="374"/>
      <c r="AR458" s="374"/>
      <c r="AS458" s="1"/>
      <c r="AT458" s="106"/>
      <c r="AU458" s="106"/>
      <c r="AV458" s="106"/>
      <c r="AW458" s="31"/>
      <c r="AX458" s="31"/>
      <c r="AY458" s="31"/>
      <c r="AZ458" s="31"/>
      <c r="BA458" s="154"/>
      <c r="BB458" s="154"/>
      <c r="BC458" s="106"/>
      <c r="BD458" s="106"/>
      <c r="BE458" s="106"/>
      <c r="BF458" s="106"/>
      <c r="BG458" s="107"/>
      <c r="BH458" s="107"/>
      <c r="BI458" s="105"/>
      <c r="BJ458" s="107"/>
      <c r="BK458" s="107"/>
      <c r="BL458" s="106"/>
      <c r="BM458" s="108"/>
      <c r="BN458" s="159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7"/>
      <c r="CE458" s="107"/>
      <c r="CF458" s="107"/>
      <c r="CG458" s="107"/>
      <c r="CH458" s="107"/>
      <c r="CI458" s="107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475"/>
      <c r="DI458" s="110"/>
      <c r="DJ458" s="110"/>
      <c r="DK458" s="475"/>
      <c r="DL458" s="53"/>
      <c r="DM458" s="54"/>
      <c r="DN458" s="54"/>
      <c r="DO458" s="54"/>
      <c r="DP458" s="54"/>
      <c r="DQ458" s="54"/>
      <c r="DR458" s="54"/>
      <c r="DS458" s="54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L458" s="55"/>
      <c r="EM458" s="1"/>
      <c r="EN458" s="106"/>
      <c r="EO458" s="105"/>
      <c r="EP458" s="1"/>
      <c r="EQ458" s="106"/>
      <c r="ER458" s="1"/>
      <c r="ES458" s="1"/>
      <c r="ET458" s="1"/>
      <c r="EU458" s="107"/>
    </row>
    <row r="459" spans="9:151">
      <c r="I459" s="137"/>
      <c r="J459" s="375"/>
      <c r="K459" s="1"/>
      <c r="L459" s="1"/>
      <c r="M459" s="376"/>
      <c r="P459" s="375"/>
      <c r="S459" s="55"/>
      <c r="T459" s="375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74"/>
      <c r="AO459" s="374"/>
      <c r="AP459" s="374"/>
      <c r="AQ459" s="374"/>
      <c r="AR459" s="374"/>
      <c r="AS459" s="1"/>
      <c r="AT459" s="106"/>
      <c r="AU459" s="106"/>
      <c r="AV459" s="106"/>
      <c r="AW459" s="31"/>
      <c r="AX459" s="31"/>
      <c r="AY459" s="31"/>
      <c r="AZ459" s="31"/>
      <c r="BA459" s="154"/>
      <c r="BB459" s="154"/>
      <c r="BC459" s="106"/>
      <c r="BD459" s="106"/>
      <c r="BE459" s="106"/>
      <c r="BF459" s="106"/>
      <c r="BG459" s="107"/>
      <c r="BH459" s="107"/>
      <c r="BI459" s="105"/>
      <c r="BJ459" s="107"/>
      <c r="BK459" s="107"/>
      <c r="BL459" s="106"/>
      <c r="BM459" s="108"/>
      <c r="BN459" s="159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7"/>
      <c r="CE459" s="107"/>
      <c r="CF459" s="107"/>
      <c r="CG459" s="107"/>
      <c r="CH459" s="107"/>
      <c r="CI459" s="107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475"/>
      <c r="DI459" s="110"/>
      <c r="DJ459" s="110"/>
      <c r="DK459" s="475"/>
      <c r="DL459" s="53"/>
      <c r="DM459" s="54"/>
      <c r="DN459" s="54"/>
      <c r="DO459" s="54"/>
      <c r="DP459" s="54"/>
      <c r="DQ459" s="54"/>
      <c r="DR459" s="54"/>
      <c r="DS459" s="54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L459" s="55"/>
      <c r="EM459" s="1"/>
      <c r="EN459" s="106"/>
      <c r="EO459" s="105"/>
      <c r="EP459" s="1"/>
      <c r="EQ459" s="106"/>
      <c r="ER459" s="1"/>
      <c r="ES459" s="1"/>
      <c r="ET459" s="1"/>
      <c r="EU459" s="107"/>
    </row>
    <row r="460" spans="9:151">
      <c r="I460" s="137"/>
      <c r="J460" s="375"/>
      <c r="K460" s="1"/>
      <c r="L460" s="1"/>
      <c r="M460" s="376"/>
      <c r="P460" s="375"/>
      <c r="S460" s="55"/>
      <c r="T460" s="375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74"/>
      <c r="AO460" s="374"/>
      <c r="AP460" s="374"/>
      <c r="AQ460" s="374"/>
      <c r="AR460" s="374"/>
      <c r="AS460" s="1"/>
      <c r="AT460" s="106"/>
      <c r="AU460" s="106"/>
      <c r="AV460" s="106"/>
      <c r="AW460" s="31"/>
      <c r="AX460" s="31"/>
      <c r="AY460" s="31"/>
      <c r="AZ460" s="31"/>
      <c r="BA460" s="154"/>
      <c r="BB460" s="154"/>
      <c r="BC460" s="106"/>
      <c r="BD460" s="106"/>
      <c r="BE460" s="106"/>
      <c r="BF460" s="106"/>
      <c r="BG460" s="107"/>
      <c r="BH460" s="107"/>
      <c r="BI460" s="105"/>
      <c r="BJ460" s="107"/>
      <c r="BK460" s="107"/>
      <c r="BL460" s="106"/>
      <c r="BM460" s="108"/>
      <c r="BN460" s="159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7"/>
      <c r="CE460" s="107"/>
      <c r="CF460" s="107"/>
      <c r="CG460" s="107"/>
      <c r="CH460" s="107"/>
      <c r="CI460" s="107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475"/>
      <c r="DI460" s="110"/>
      <c r="DJ460" s="110"/>
      <c r="DK460" s="475"/>
      <c r="DL460" s="53"/>
      <c r="DM460" s="54"/>
      <c r="DN460" s="54"/>
      <c r="DO460" s="54"/>
      <c r="DP460" s="54"/>
      <c r="DQ460" s="54"/>
      <c r="DR460" s="54"/>
      <c r="DS460" s="54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L460" s="55"/>
      <c r="EM460" s="1"/>
      <c r="EN460" s="106"/>
      <c r="EO460" s="105"/>
      <c r="EP460" s="1"/>
      <c r="EQ460" s="106"/>
      <c r="ER460" s="1"/>
      <c r="ES460" s="1"/>
      <c r="ET460" s="1"/>
      <c r="EU460" s="107"/>
    </row>
    <row r="461" spans="9:151">
      <c r="I461" s="137"/>
      <c r="J461" s="375"/>
      <c r="K461" s="1"/>
      <c r="L461" s="1"/>
      <c r="M461" s="376"/>
      <c r="P461" s="375"/>
      <c r="S461" s="55"/>
      <c r="T461" s="375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74"/>
      <c r="AO461" s="374"/>
      <c r="AP461" s="374"/>
      <c r="AQ461" s="374"/>
      <c r="AR461" s="374"/>
      <c r="AS461" s="1"/>
      <c r="AT461" s="106"/>
      <c r="AU461" s="106"/>
      <c r="AV461" s="106"/>
      <c r="AW461" s="31"/>
      <c r="AX461" s="31"/>
      <c r="AY461" s="31"/>
      <c r="AZ461" s="31"/>
      <c r="BA461" s="154"/>
      <c r="BB461" s="154"/>
      <c r="BC461" s="106"/>
      <c r="BD461" s="106"/>
      <c r="BE461" s="106"/>
      <c r="BF461" s="106"/>
      <c r="BG461" s="107"/>
      <c r="BH461" s="107"/>
      <c r="BI461" s="105"/>
      <c r="BJ461" s="107"/>
      <c r="BK461" s="107"/>
      <c r="BL461" s="106"/>
      <c r="BM461" s="108"/>
      <c r="BN461" s="159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7"/>
      <c r="CE461" s="107"/>
      <c r="CF461" s="107"/>
      <c r="CG461" s="107"/>
      <c r="CH461" s="107"/>
      <c r="CI461" s="107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475"/>
      <c r="DI461" s="110"/>
      <c r="DJ461" s="110"/>
      <c r="DK461" s="475"/>
      <c r="DL461" s="53"/>
      <c r="DM461" s="54"/>
      <c r="DN461" s="54"/>
      <c r="DO461" s="54"/>
      <c r="DP461" s="54"/>
      <c r="DQ461" s="54"/>
      <c r="DR461" s="54"/>
      <c r="DS461" s="54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L461" s="55"/>
      <c r="EM461" s="1"/>
      <c r="EN461" s="106"/>
      <c r="EO461" s="105"/>
      <c r="EP461" s="1"/>
      <c r="EQ461" s="106"/>
      <c r="ER461" s="1"/>
      <c r="ES461" s="1"/>
      <c r="ET461" s="1"/>
      <c r="EU461" s="107"/>
    </row>
    <row r="462" spans="9:151">
      <c r="I462" s="137"/>
      <c r="J462" s="375"/>
      <c r="K462" s="1"/>
      <c r="L462" s="1"/>
      <c r="M462" s="376"/>
      <c r="P462" s="375"/>
      <c r="S462" s="55"/>
      <c r="T462" s="375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74"/>
      <c r="AO462" s="374"/>
      <c r="AP462" s="374"/>
      <c r="AQ462" s="374"/>
      <c r="AR462" s="374"/>
      <c r="AS462" s="1"/>
      <c r="AT462" s="106"/>
      <c r="AU462" s="106"/>
      <c r="AV462" s="106"/>
      <c r="AW462" s="31"/>
      <c r="AX462" s="31"/>
      <c r="AY462" s="31"/>
      <c r="AZ462" s="31"/>
      <c r="BA462" s="154"/>
      <c r="BB462" s="154"/>
      <c r="BC462" s="106"/>
      <c r="BD462" s="106"/>
      <c r="BE462" s="106"/>
      <c r="BF462" s="106"/>
      <c r="BG462" s="107"/>
      <c r="BH462" s="107"/>
      <c r="BI462" s="105"/>
      <c r="BJ462" s="107"/>
      <c r="BK462" s="107"/>
      <c r="BL462" s="106"/>
      <c r="BM462" s="108"/>
      <c r="BN462" s="159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7"/>
      <c r="CE462" s="107"/>
      <c r="CF462" s="107"/>
      <c r="CG462" s="107"/>
      <c r="CH462" s="107"/>
      <c r="CI462" s="107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475"/>
      <c r="DI462" s="110"/>
      <c r="DJ462" s="110"/>
      <c r="DK462" s="475"/>
      <c r="DL462" s="53"/>
      <c r="DM462" s="54"/>
      <c r="DN462" s="54"/>
      <c r="DO462" s="54"/>
      <c r="DP462" s="54"/>
      <c r="DQ462" s="54"/>
      <c r="DR462" s="54"/>
      <c r="DS462" s="54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L462" s="55"/>
      <c r="EM462" s="1"/>
      <c r="EN462" s="106"/>
      <c r="EO462" s="105"/>
      <c r="EP462" s="1"/>
      <c r="EQ462" s="106"/>
      <c r="ER462" s="1"/>
      <c r="ES462" s="1"/>
      <c r="ET462" s="1"/>
      <c r="EU462" s="107"/>
    </row>
    <row r="463" spans="9:151">
      <c r="I463" s="137"/>
      <c r="J463" s="375"/>
      <c r="K463" s="1"/>
      <c r="L463" s="1"/>
      <c r="M463" s="376"/>
      <c r="P463" s="375"/>
      <c r="S463" s="55"/>
      <c r="T463" s="375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74"/>
      <c r="AO463" s="374"/>
      <c r="AP463" s="374"/>
      <c r="AQ463" s="374"/>
      <c r="AR463" s="374"/>
      <c r="AS463" s="1"/>
      <c r="AT463" s="106"/>
      <c r="AU463" s="106"/>
      <c r="AV463" s="106"/>
      <c r="AW463" s="31"/>
      <c r="AX463" s="31"/>
      <c r="AY463" s="31"/>
      <c r="AZ463" s="31"/>
      <c r="BA463" s="154"/>
      <c r="BB463" s="154"/>
      <c r="BC463" s="106"/>
      <c r="BD463" s="106"/>
      <c r="BE463" s="106"/>
      <c r="BF463" s="106"/>
      <c r="BG463" s="107"/>
      <c r="BH463" s="107"/>
      <c r="BI463" s="105"/>
      <c r="BJ463" s="107"/>
      <c r="BK463" s="107"/>
      <c r="BL463" s="106"/>
      <c r="BM463" s="108"/>
      <c r="BN463" s="159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7"/>
      <c r="CE463" s="107"/>
      <c r="CF463" s="107"/>
      <c r="CG463" s="107"/>
      <c r="CH463" s="107"/>
      <c r="CI463" s="107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475"/>
      <c r="DI463" s="110"/>
      <c r="DJ463" s="110"/>
      <c r="DK463" s="475"/>
      <c r="DL463" s="53"/>
      <c r="DM463" s="54"/>
      <c r="DN463" s="54"/>
      <c r="DO463" s="54"/>
      <c r="DP463" s="54"/>
      <c r="DQ463" s="54"/>
      <c r="DR463" s="54"/>
      <c r="DS463" s="54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L463" s="55"/>
      <c r="EM463" s="1"/>
      <c r="EN463" s="106"/>
      <c r="EO463" s="105"/>
      <c r="EP463" s="1"/>
      <c r="EQ463" s="106"/>
      <c r="ER463" s="1"/>
      <c r="ES463" s="1"/>
      <c r="ET463" s="1"/>
      <c r="EU463" s="107"/>
    </row>
    <row r="464" spans="9:151">
      <c r="I464" s="137"/>
      <c r="J464" s="375"/>
      <c r="K464" s="1"/>
      <c r="L464" s="1"/>
      <c r="M464" s="376"/>
      <c r="P464" s="375"/>
      <c r="S464" s="55"/>
      <c r="T464" s="375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74"/>
      <c r="AO464" s="374"/>
      <c r="AP464" s="374"/>
      <c r="AQ464" s="374"/>
      <c r="AR464" s="374"/>
      <c r="AS464" s="1"/>
      <c r="AT464" s="106"/>
      <c r="AU464" s="106"/>
      <c r="AV464" s="106"/>
      <c r="AW464" s="31"/>
      <c r="AX464" s="31"/>
      <c r="AY464" s="31"/>
      <c r="AZ464" s="31"/>
      <c r="BA464" s="154"/>
      <c r="BB464" s="154"/>
      <c r="BC464" s="106"/>
      <c r="BD464" s="106"/>
      <c r="BE464" s="106"/>
      <c r="BF464" s="106"/>
      <c r="BG464" s="107"/>
      <c r="BH464" s="107"/>
      <c r="BI464" s="105"/>
      <c r="BJ464" s="107"/>
      <c r="BK464" s="107"/>
      <c r="BL464" s="106"/>
      <c r="BM464" s="108"/>
      <c r="BN464" s="159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7"/>
      <c r="CE464" s="107"/>
      <c r="CF464" s="107"/>
      <c r="CG464" s="107"/>
      <c r="CH464" s="107"/>
      <c r="CI464" s="107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475"/>
      <c r="DI464" s="110"/>
      <c r="DJ464" s="110"/>
      <c r="DK464" s="475"/>
      <c r="DL464" s="53"/>
      <c r="DM464" s="54"/>
      <c r="DN464" s="54"/>
      <c r="DO464" s="54"/>
      <c r="DP464" s="54"/>
      <c r="DQ464" s="54"/>
      <c r="DR464" s="54"/>
      <c r="DS464" s="54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L464" s="55"/>
      <c r="EM464" s="1"/>
      <c r="EN464" s="106"/>
      <c r="EO464" s="105"/>
      <c r="EP464" s="1"/>
      <c r="EQ464" s="106"/>
      <c r="ER464" s="1"/>
      <c r="ES464" s="1"/>
      <c r="ET464" s="1"/>
      <c r="EU464" s="107"/>
    </row>
    <row r="465" spans="9:151">
      <c r="I465" s="137"/>
      <c r="J465" s="375"/>
      <c r="K465" s="1"/>
      <c r="L465" s="1"/>
      <c r="M465" s="376"/>
      <c r="P465" s="375"/>
      <c r="S465" s="55"/>
      <c r="T465" s="375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74"/>
      <c r="AO465" s="374"/>
      <c r="AP465" s="374"/>
      <c r="AQ465" s="374"/>
      <c r="AR465" s="374"/>
      <c r="AS465" s="1"/>
      <c r="AT465" s="106"/>
      <c r="AU465" s="106"/>
      <c r="AV465" s="106"/>
      <c r="AW465" s="31"/>
      <c r="AX465" s="31"/>
      <c r="AY465" s="31"/>
      <c r="AZ465" s="31"/>
      <c r="BA465" s="154"/>
      <c r="BB465" s="154"/>
      <c r="BC465" s="106"/>
      <c r="BD465" s="106"/>
      <c r="BE465" s="106"/>
      <c r="BF465" s="106"/>
      <c r="BG465" s="107"/>
      <c r="BH465" s="107"/>
      <c r="BI465" s="105"/>
      <c r="BJ465" s="107"/>
      <c r="BK465" s="107"/>
      <c r="BL465" s="106"/>
      <c r="BM465" s="108"/>
      <c r="BN465" s="159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7"/>
      <c r="CE465" s="107"/>
      <c r="CF465" s="107"/>
      <c r="CG465" s="107"/>
      <c r="CH465" s="107"/>
      <c r="CI465" s="107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475"/>
      <c r="DI465" s="110"/>
      <c r="DJ465" s="110"/>
      <c r="DK465" s="475"/>
      <c r="DL465" s="53"/>
      <c r="DM465" s="54"/>
      <c r="DN465" s="54"/>
      <c r="DO465" s="54"/>
      <c r="DP465" s="54"/>
      <c r="DQ465" s="54"/>
      <c r="DR465" s="54"/>
      <c r="DS465" s="54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L465" s="55"/>
      <c r="EM465" s="1"/>
      <c r="EN465" s="106"/>
      <c r="EO465" s="105"/>
      <c r="EP465" s="1"/>
      <c r="EQ465" s="106"/>
      <c r="ER465" s="1"/>
      <c r="ES465" s="1"/>
      <c r="ET465" s="1"/>
      <c r="EU465" s="107"/>
    </row>
    <row r="466" spans="9:151">
      <c r="I466" s="137"/>
      <c r="J466" s="375"/>
      <c r="K466" s="1"/>
      <c r="L466" s="1"/>
      <c r="M466" s="376"/>
      <c r="P466" s="375"/>
      <c r="S466" s="55"/>
      <c r="T466" s="375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74"/>
      <c r="AO466" s="374"/>
      <c r="AP466" s="374"/>
      <c r="AQ466" s="374"/>
      <c r="AR466" s="374"/>
      <c r="AS466" s="1"/>
      <c r="AT466" s="106"/>
      <c r="AU466" s="106"/>
      <c r="AV466" s="106"/>
      <c r="AW466" s="31"/>
      <c r="AX466" s="31"/>
      <c r="AY466" s="31"/>
      <c r="AZ466" s="31"/>
      <c r="BA466" s="154"/>
      <c r="BB466" s="154"/>
      <c r="BC466" s="106"/>
      <c r="BD466" s="106"/>
      <c r="BE466" s="106"/>
      <c r="BF466" s="106"/>
      <c r="BG466" s="107"/>
      <c r="BH466" s="107"/>
      <c r="BI466" s="105"/>
      <c r="BJ466" s="107"/>
      <c r="BK466" s="107"/>
      <c r="BL466" s="106"/>
      <c r="BM466" s="108"/>
      <c r="BN466" s="159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7"/>
      <c r="CE466" s="107"/>
      <c r="CF466" s="107"/>
      <c r="CG466" s="107"/>
      <c r="CH466" s="107"/>
      <c r="CI466" s="107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475"/>
      <c r="DI466" s="110"/>
      <c r="DJ466" s="110"/>
      <c r="DK466" s="475"/>
      <c r="DL466" s="53"/>
      <c r="DM466" s="54"/>
      <c r="DN466" s="54"/>
      <c r="DO466" s="54"/>
      <c r="DP466" s="54"/>
      <c r="DQ466" s="54"/>
      <c r="DR466" s="54"/>
      <c r="DS466" s="54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L466" s="55"/>
      <c r="EM466" s="1"/>
      <c r="EN466" s="106"/>
      <c r="EO466" s="105"/>
      <c r="EP466" s="1"/>
      <c r="EQ466" s="106"/>
      <c r="ER466" s="1"/>
      <c r="ES466" s="1"/>
      <c r="ET466" s="1"/>
      <c r="EU466" s="107"/>
    </row>
    <row r="467" spans="9:151">
      <c r="I467" s="137"/>
      <c r="J467" s="375"/>
      <c r="K467" s="1"/>
      <c r="L467" s="1"/>
      <c r="M467" s="376"/>
      <c r="P467" s="375"/>
      <c r="S467" s="55"/>
      <c r="T467" s="375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74"/>
      <c r="AO467" s="374"/>
      <c r="AP467" s="374"/>
      <c r="AQ467" s="374"/>
      <c r="AR467" s="374"/>
      <c r="AS467" s="1"/>
      <c r="AT467" s="106"/>
      <c r="AU467" s="106"/>
      <c r="AV467" s="106"/>
      <c r="AW467" s="31"/>
      <c r="AX467" s="31"/>
      <c r="AY467" s="31"/>
      <c r="AZ467" s="31"/>
      <c r="BA467" s="154"/>
      <c r="BB467" s="154"/>
      <c r="BC467" s="106"/>
      <c r="BD467" s="106"/>
      <c r="BE467" s="106"/>
      <c r="BF467" s="106"/>
      <c r="BG467" s="107"/>
      <c r="BH467" s="107"/>
      <c r="BI467" s="105"/>
      <c r="BJ467" s="107"/>
      <c r="BK467" s="107"/>
      <c r="BL467" s="106"/>
      <c r="BM467" s="108"/>
      <c r="BN467" s="159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7"/>
      <c r="CE467" s="107"/>
      <c r="CF467" s="107"/>
      <c r="CG467" s="107"/>
      <c r="CH467" s="107"/>
      <c r="CI467" s="107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475"/>
      <c r="DI467" s="110"/>
      <c r="DJ467" s="110"/>
      <c r="DK467" s="475"/>
      <c r="DL467" s="53"/>
      <c r="DM467" s="54"/>
      <c r="DN467" s="54"/>
      <c r="DO467" s="54"/>
      <c r="DP467" s="54"/>
      <c r="DQ467" s="54"/>
      <c r="DR467" s="54"/>
      <c r="DS467" s="54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L467" s="55"/>
      <c r="EM467" s="1"/>
      <c r="EN467" s="106"/>
      <c r="EO467" s="105"/>
      <c r="EP467" s="1"/>
      <c r="EQ467" s="106"/>
      <c r="ER467" s="1"/>
      <c r="ES467" s="1"/>
      <c r="ET467" s="1"/>
      <c r="EU467" s="107"/>
    </row>
    <row r="468" spans="9:151">
      <c r="I468" s="137"/>
      <c r="J468" s="375"/>
      <c r="K468" s="1"/>
      <c r="L468" s="1"/>
      <c r="M468" s="376"/>
      <c r="P468" s="375"/>
      <c r="S468" s="55"/>
      <c r="T468" s="375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74"/>
      <c r="AO468" s="374"/>
      <c r="AP468" s="374"/>
      <c r="AQ468" s="374"/>
      <c r="AR468" s="374"/>
      <c r="AS468" s="1"/>
      <c r="AT468" s="106"/>
      <c r="AU468" s="106"/>
      <c r="AV468" s="106"/>
      <c r="AW468" s="31"/>
      <c r="AX468" s="31"/>
      <c r="AY468" s="31"/>
      <c r="AZ468" s="31"/>
      <c r="BA468" s="154"/>
      <c r="BB468" s="154"/>
      <c r="BC468" s="106"/>
      <c r="BD468" s="106"/>
      <c r="BE468" s="106"/>
      <c r="BF468" s="106"/>
      <c r="BG468" s="107"/>
      <c r="BH468" s="107"/>
      <c r="BI468" s="105"/>
      <c r="BJ468" s="107"/>
      <c r="BK468" s="107"/>
      <c r="BL468" s="106"/>
      <c r="BM468" s="108"/>
      <c r="BN468" s="159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7"/>
      <c r="CE468" s="107"/>
      <c r="CF468" s="107"/>
      <c r="CG468" s="107"/>
      <c r="CH468" s="107"/>
      <c r="CI468" s="107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475"/>
      <c r="DI468" s="110"/>
      <c r="DJ468" s="110"/>
      <c r="DK468" s="475"/>
      <c r="DL468" s="53"/>
      <c r="DM468" s="54"/>
      <c r="DN468" s="54"/>
      <c r="DO468" s="54"/>
      <c r="DP468" s="54"/>
      <c r="DQ468" s="54"/>
      <c r="DR468" s="54"/>
      <c r="DS468" s="54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L468" s="55"/>
      <c r="EM468" s="1"/>
      <c r="EN468" s="106"/>
      <c r="EO468" s="105"/>
      <c r="EP468" s="1"/>
      <c r="EQ468" s="106"/>
      <c r="ER468" s="1"/>
      <c r="ES468" s="1"/>
      <c r="ET468" s="1"/>
      <c r="EU468" s="107"/>
    </row>
    <row r="469" spans="9:151">
      <c r="I469" s="137"/>
      <c r="J469" s="375"/>
      <c r="K469" s="1"/>
      <c r="L469" s="1"/>
      <c r="M469" s="376"/>
      <c r="P469" s="375"/>
      <c r="S469" s="55"/>
      <c r="T469" s="375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74"/>
      <c r="AO469" s="374"/>
      <c r="AP469" s="374"/>
      <c r="AQ469" s="374"/>
      <c r="AR469" s="374"/>
      <c r="AS469" s="1"/>
      <c r="AT469" s="106"/>
      <c r="AU469" s="106"/>
      <c r="AV469" s="106"/>
      <c r="AW469" s="31"/>
      <c r="AX469" s="31"/>
      <c r="AY469" s="31"/>
      <c r="AZ469" s="31"/>
      <c r="BA469" s="154"/>
      <c r="BB469" s="154"/>
      <c r="BC469" s="106"/>
      <c r="BD469" s="106"/>
      <c r="BE469" s="106"/>
      <c r="BF469" s="106"/>
      <c r="BG469" s="107"/>
      <c r="BH469" s="107"/>
      <c r="BI469" s="105"/>
      <c r="BJ469" s="107"/>
      <c r="BK469" s="107"/>
      <c r="BL469" s="106"/>
      <c r="BM469" s="108"/>
      <c r="BN469" s="159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7"/>
      <c r="CE469" s="107"/>
      <c r="CF469" s="107"/>
      <c r="CG469" s="107"/>
      <c r="CH469" s="107"/>
      <c r="CI469" s="107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475"/>
      <c r="DI469" s="110"/>
      <c r="DJ469" s="110"/>
      <c r="DK469" s="475"/>
      <c r="DL469" s="53"/>
      <c r="DM469" s="54"/>
      <c r="DN469" s="54"/>
      <c r="DO469" s="54"/>
      <c r="DP469" s="54"/>
      <c r="DQ469" s="54"/>
      <c r="DR469" s="54"/>
      <c r="DS469" s="54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L469" s="55"/>
      <c r="EM469" s="1"/>
      <c r="EN469" s="106"/>
      <c r="EO469" s="105"/>
      <c r="EP469" s="1"/>
      <c r="EQ469" s="106"/>
      <c r="ER469" s="1"/>
      <c r="ES469" s="1"/>
      <c r="ET469" s="1"/>
      <c r="EU469" s="107"/>
    </row>
    <row r="470" spans="9:151">
      <c r="I470" s="137"/>
      <c r="J470" s="375"/>
      <c r="K470" s="1"/>
      <c r="L470" s="1"/>
      <c r="M470" s="376"/>
      <c r="P470" s="375"/>
      <c r="S470" s="55"/>
      <c r="T470" s="375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74"/>
      <c r="AO470" s="374"/>
      <c r="AP470" s="374"/>
      <c r="AQ470" s="374"/>
      <c r="AR470" s="374"/>
      <c r="AS470" s="1"/>
      <c r="AT470" s="106"/>
      <c r="AU470" s="106"/>
      <c r="AV470" s="106"/>
      <c r="AW470" s="31"/>
      <c r="AX470" s="31"/>
      <c r="AY470" s="31"/>
      <c r="AZ470" s="31"/>
      <c r="BA470" s="154"/>
      <c r="BB470" s="154"/>
      <c r="BC470" s="106"/>
      <c r="BD470" s="106"/>
      <c r="BE470" s="106"/>
      <c r="BF470" s="106"/>
      <c r="BG470" s="107"/>
      <c r="BH470" s="107"/>
      <c r="BI470" s="105"/>
      <c r="BJ470" s="107"/>
      <c r="BK470" s="107"/>
      <c r="BL470" s="106"/>
      <c r="BM470" s="108"/>
      <c r="BN470" s="159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7"/>
      <c r="CE470" s="107"/>
      <c r="CF470" s="107"/>
      <c r="CG470" s="107"/>
      <c r="CH470" s="107"/>
      <c r="CI470" s="107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475"/>
      <c r="DI470" s="110"/>
      <c r="DJ470" s="110"/>
      <c r="DK470" s="475"/>
      <c r="DL470" s="53"/>
      <c r="DM470" s="54"/>
      <c r="DN470" s="54"/>
      <c r="DO470" s="54"/>
      <c r="DP470" s="54"/>
      <c r="DQ470" s="54"/>
      <c r="DR470" s="54"/>
      <c r="DS470" s="54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L470" s="55"/>
      <c r="EM470" s="1"/>
      <c r="EN470" s="106"/>
      <c r="EO470" s="105"/>
      <c r="EP470" s="1"/>
      <c r="EQ470" s="106"/>
      <c r="ER470" s="1"/>
      <c r="ES470" s="1"/>
      <c r="ET470" s="1"/>
      <c r="EU470" s="107"/>
    </row>
    <row r="471" spans="9:151">
      <c r="I471" s="137"/>
      <c r="J471" s="375"/>
      <c r="K471" s="1"/>
      <c r="L471" s="1"/>
      <c r="M471" s="376"/>
      <c r="P471" s="375"/>
      <c r="S471" s="55"/>
      <c r="T471" s="375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74"/>
      <c r="AO471" s="374"/>
      <c r="AP471" s="374"/>
      <c r="AQ471" s="374"/>
      <c r="AR471" s="374"/>
      <c r="AS471" s="1"/>
      <c r="AT471" s="106"/>
      <c r="AU471" s="106"/>
      <c r="AV471" s="106"/>
      <c r="AW471" s="31"/>
      <c r="AX471" s="31"/>
      <c r="AY471" s="31"/>
      <c r="AZ471" s="31"/>
      <c r="BA471" s="154"/>
      <c r="BB471" s="154"/>
      <c r="BC471" s="106"/>
      <c r="BD471" s="106"/>
      <c r="BE471" s="106"/>
      <c r="BF471" s="106"/>
      <c r="BG471" s="107"/>
      <c r="BH471" s="107"/>
      <c r="BI471" s="105"/>
      <c r="BJ471" s="107"/>
      <c r="BK471" s="107"/>
      <c r="BL471" s="106"/>
      <c r="BM471" s="108"/>
      <c r="BN471" s="159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7"/>
      <c r="CE471" s="107"/>
      <c r="CF471" s="107"/>
      <c r="CG471" s="107"/>
      <c r="CH471" s="107"/>
      <c r="CI471" s="107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475"/>
      <c r="DI471" s="110"/>
      <c r="DJ471" s="110"/>
      <c r="DK471" s="475"/>
      <c r="DL471" s="53"/>
      <c r="DM471" s="54"/>
      <c r="DN471" s="54"/>
      <c r="DO471" s="54"/>
      <c r="DP471" s="54"/>
      <c r="DQ471" s="54"/>
      <c r="DR471" s="54"/>
      <c r="DS471" s="54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L471" s="55"/>
      <c r="EM471" s="1"/>
      <c r="EN471" s="106"/>
      <c r="EO471" s="105"/>
      <c r="EP471" s="1"/>
      <c r="EQ471" s="106"/>
      <c r="ER471" s="1"/>
      <c r="ES471" s="1"/>
      <c r="ET471" s="1"/>
      <c r="EU471" s="107"/>
    </row>
    <row r="472" spans="9:151">
      <c r="I472" s="137"/>
      <c r="J472" s="375"/>
      <c r="K472" s="1"/>
      <c r="L472" s="1"/>
      <c r="M472" s="376"/>
      <c r="P472" s="375"/>
      <c r="S472" s="55"/>
      <c r="T472" s="375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74"/>
      <c r="AO472" s="374"/>
      <c r="AP472" s="374"/>
      <c r="AQ472" s="374"/>
      <c r="AR472" s="374"/>
      <c r="AS472" s="1"/>
      <c r="AT472" s="106"/>
      <c r="AU472" s="106"/>
      <c r="AV472" s="106"/>
      <c r="AW472" s="31"/>
      <c r="AX472" s="31"/>
      <c r="AY472" s="31"/>
      <c r="AZ472" s="31"/>
      <c r="BA472" s="154"/>
      <c r="BB472" s="154"/>
      <c r="BC472" s="106"/>
      <c r="BD472" s="106"/>
      <c r="BE472" s="106"/>
      <c r="BF472" s="106"/>
      <c r="BG472" s="107"/>
      <c r="BH472" s="107"/>
      <c r="BI472" s="105"/>
      <c r="BJ472" s="107"/>
      <c r="BK472" s="107"/>
      <c r="BL472" s="106"/>
      <c r="BM472" s="108"/>
      <c r="BN472" s="159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7"/>
      <c r="CE472" s="107"/>
      <c r="CF472" s="107"/>
      <c r="CG472" s="107"/>
      <c r="CH472" s="107"/>
      <c r="CI472" s="107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475"/>
      <c r="DI472" s="110"/>
      <c r="DJ472" s="110"/>
      <c r="DK472" s="475"/>
      <c r="DL472" s="53"/>
      <c r="DM472" s="54"/>
      <c r="DN472" s="54"/>
      <c r="DO472" s="54"/>
      <c r="DP472" s="54"/>
      <c r="DQ472" s="54"/>
      <c r="DR472" s="54"/>
      <c r="DS472" s="54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L472" s="55"/>
      <c r="EM472" s="1"/>
      <c r="EN472" s="106"/>
      <c r="EO472" s="105"/>
      <c r="EP472" s="1"/>
      <c r="EQ472" s="106"/>
      <c r="ER472" s="1"/>
      <c r="ES472" s="1"/>
      <c r="ET472" s="1"/>
      <c r="EU472" s="107"/>
    </row>
    <row r="473" spans="9:151">
      <c r="I473" s="137"/>
      <c r="J473" s="375"/>
      <c r="K473" s="1"/>
      <c r="L473" s="1"/>
      <c r="M473" s="376"/>
      <c r="P473" s="375"/>
      <c r="S473" s="55"/>
      <c r="T473" s="375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74"/>
      <c r="AO473" s="374"/>
      <c r="AP473" s="374"/>
      <c r="AQ473" s="374"/>
      <c r="AR473" s="374"/>
      <c r="AS473" s="1"/>
      <c r="AT473" s="106"/>
      <c r="AU473" s="106"/>
      <c r="AV473" s="106"/>
      <c r="AW473" s="31"/>
      <c r="AX473" s="31"/>
      <c r="AY473" s="31"/>
      <c r="AZ473" s="31"/>
      <c r="BA473" s="154"/>
      <c r="BB473" s="154"/>
      <c r="BC473" s="106"/>
      <c r="BD473" s="106"/>
      <c r="BE473" s="106"/>
      <c r="BF473" s="106"/>
      <c r="BG473" s="107"/>
      <c r="BH473" s="107"/>
      <c r="BI473" s="105"/>
      <c r="BJ473" s="107"/>
      <c r="BK473" s="107"/>
      <c r="BL473" s="106"/>
      <c r="BM473" s="108"/>
      <c r="BN473" s="159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7"/>
      <c r="CE473" s="107"/>
      <c r="CF473" s="107"/>
      <c r="CG473" s="107"/>
      <c r="CH473" s="107"/>
      <c r="CI473" s="107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475"/>
      <c r="DI473" s="110"/>
      <c r="DJ473" s="110"/>
      <c r="DK473" s="475"/>
      <c r="DL473" s="53"/>
      <c r="DM473" s="54"/>
      <c r="DN473" s="54"/>
      <c r="DO473" s="54"/>
      <c r="DP473" s="54"/>
      <c r="DQ473" s="54"/>
      <c r="DR473" s="54"/>
      <c r="DS473" s="54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L473" s="55"/>
      <c r="EM473" s="1"/>
      <c r="EN473" s="106"/>
      <c r="EO473" s="105"/>
      <c r="EP473" s="1"/>
      <c r="EQ473" s="106"/>
      <c r="ER473" s="1"/>
      <c r="ES473" s="1"/>
      <c r="ET473" s="1"/>
      <c r="EU473" s="107"/>
    </row>
    <row r="474" spans="9:151">
      <c r="I474" s="137"/>
      <c r="J474" s="375"/>
      <c r="K474" s="1"/>
      <c r="L474" s="1"/>
      <c r="M474" s="376"/>
      <c r="P474" s="375"/>
      <c r="S474" s="55"/>
      <c r="T474" s="375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74"/>
      <c r="AO474" s="374"/>
      <c r="AP474" s="374"/>
      <c r="AQ474" s="374"/>
      <c r="AR474" s="374"/>
      <c r="AS474" s="1"/>
      <c r="AT474" s="106"/>
      <c r="AU474" s="106"/>
      <c r="AV474" s="106"/>
      <c r="AW474" s="31"/>
      <c r="AX474" s="31"/>
      <c r="AY474" s="31"/>
      <c r="AZ474" s="31"/>
      <c r="BA474" s="154"/>
      <c r="BB474" s="154"/>
      <c r="BC474" s="106"/>
      <c r="BD474" s="106"/>
      <c r="BE474" s="106"/>
      <c r="BF474" s="106"/>
      <c r="BG474" s="107"/>
      <c r="BH474" s="107"/>
      <c r="BI474" s="105"/>
      <c r="BJ474" s="107"/>
      <c r="BK474" s="107"/>
      <c r="BL474" s="106"/>
      <c r="BM474" s="108"/>
      <c r="BN474" s="159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7"/>
      <c r="CE474" s="107"/>
      <c r="CF474" s="107"/>
      <c r="CG474" s="107"/>
      <c r="CH474" s="107"/>
      <c r="CI474" s="107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475"/>
      <c r="DI474" s="110"/>
      <c r="DJ474" s="110"/>
      <c r="DK474" s="475"/>
      <c r="DL474" s="53"/>
      <c r="DM474" s="54"/>
      <c r="DN474" s="54"/>
      <c r="DO474" s="54"/>
      <c r="DP474" s="54"/>
      <c r="DQ474" s="54"/>
      <c r="DR474" s="54"/>
      <c r="DS474" s="54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L474" s="55"/>
      <c r="EM474" s="1"/>
      <c r="EN474" s="106"/>
      <c r="EO474" s="105"/>
      <c r="EP474" s="1"/>
      <c r="EQ474" s="106"/>
      <c r="ER474" s="1"/>
      <c r="ES474" s="1"/>
      <c r="ET474" s="1"/>
      <c r="EU474" s="107"/>
    </row>
    <row r="475" spans="9:151">
      <c r="I475" s="137"/>
      <c r="J475" s="375"/>
      <c r="K475" s="1"/>
      <c r="L475" s="1"/>
      <c r="M475" s="376"/>
      <c r="P475" s="375"/>
      <c r="S475" s="55"/>
      <c r="T475" s="375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74"/>
      <c r="AO475" s="374"/>
      <c r="AP475" s="374"/>
      <c r="AQ475" s="374"/>
      <c r="AR475" s="374"/>
      <c r="AS475" s="1"/>
      <c r="AT475" s="106"/>
      <c r="AU475" s="106"/>
      <c r="AV475" s="106"/>
      <c r="AW475" s="31"/>
      <c r="AX475" s="31"/>
      <c r="AY475" s="31"/>
      <c r="AZ475" s="31"/>
      <c r="BA475" s="154"/>
      <c r="BB475" s="154"/>
      <c r="BC475" s="106"/>
      <c r="BD475" s="106"/>
      <c r="BE475" s="106"/>
      <c r="BF475" s="106"/>
      <c r="BG475" s="107"/>
      <c r="BH475" s="107"/>
      <c r="BI475" s="105"/>
      <c r="BJ475" s="107"/>
      <c r="BK475" s="107"/>
      <c r="BL475" s="106"/>
      <c r="BM475" s="108"/>
      <c r="BN475" s="159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7"/>
      <c r="CE475" s="107"/>
      <c r="CF475" s="107"/>
      <c r="CG475" s="107"/>
      <c r="CH475" s="107"/>
      <c r="CI475" s="107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475"/>
      <c r="DI475" s="110"/>
      <c r="DJ475" s="110"/>
      <c r="DK475" s="475"/>
      <c r="DL475" s="53"/>
      <c r="DM475" s="54"/>
      <c r="DN475" s="54"/>
      <c r="DO475" s="54"/>
      <c r="DP475" s="54"/>
      <c r="DQ475" s="54"/>
      <c r="DR475" s="54"/>
      <c r="DS475" s="54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L475" s="55"/>
      <c r="EM475" s="1"/>
      <c r="EN475" s="106"/>
      <c r="EO475" s="105"/>
      <c r="EP475" s="1"/>
      <c r="EQ475" s="106"/>
      <c r="ER475" s="1"/>
      <c r="ES475" s="1"/>
      <c r="ET475" s="1"/>
      <c r="EU475" s="107"/>
    </row>
    <row r="476" spans="9:151">
      <c r="I476" s="137"/>
      <c r="J476" s="375"/>
      <c r="K476" s="1"/>
      <c r="L476" s="1"/>
      <c r="M476" s="376"/>
      <c r="P476" s="375"/>
      <c r="S476" s="55"/>
      <c r="T476" s="375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74"/>
      <c r="AO476" s="374"/>
      <c r="AP476" s="374"/>
      <c r="AQ476" s="374"/>
      <c r="AR476" s="374"/>
      <c r="AS476" s="1"/>
      <c r="AT476" s="106"/>
      <c r="AU476" s="106"/>
      <c r="AV476" s="106"/>
      <c r="AW476" s="31"/>
      <c r="AX476" s="31"/>
      <c r="AY476" s="31"/>
      <c r="AZ476" s="31"/>
      <c r="BA476" s="154"/>
      <c r="BB476" s="154"/>
      <c r="BC476" s="106"/>
      <c r="BD476" s="106"/>
      <c r="BE476" s="106"/>
      <c r="BF476" s="106"/>
      <c r="BG476" s="107"/>
      <c r="BH476" s="107"/>
      <c r="BI476" s="105"/>
      <c r="BJ476" s="107"/>
      <c r="BK476" s="107"/>
      <c r="BL476" s="106"/>
      <c r="BM476" s="108"/>
      <c r="BN476" s="159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7"/>
      <c r="CE476" s="107"/>
      <c r="CF476" s="107"/>
      <c r="CG476" s="107"/>
      <c r="CH476" s="107"/>
      <c r="CI476" s="107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475"/>
      <c r="DI476" s="110"/>
      <c r="DJ476" s="110"/>
      <c r="DK476" s="475"/>
      <c r="DL476" s="53"/>
      <c r="DM476" s="54"/>
      <c r="DN476" s="54"/>
      <c r="DO476" s="54"/>
      <c r="DP476" s="54"/>
      <c r="DQ476" s="54"/>
      <c r="DR476" s="54"/>
      <c r="DS476" s="54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L476" s="55"/>
      <c r="EM476" s="1"/>
      <c r="EN476" s="106"/>
      <c r="EO476" s="105"/>
      <c r="EP476" s="1"/>
      <c r="EQ476" s="106"/>
      <c r="ER476" s="1"/>
      <c r="ES476" s="1"/>
      <c r="ET476" s="1"/>
      <c r="EU476" s="107"/>
    </row>
    <row r="477" spans="9:151">
      <c r="I477" s="137"/>
      <c r="J477" s="375"/>
      <c r="K477" s="1"/>
      <c r="L477" s="1"/>
      <c r="M477" s="376"/>
      <c r="P477" s="375"/>
      <c r="S477" s="55"/>
      <c r="T477" s="375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74"/>
      <c r="AO477" s="374"/>
      <c r="AP477" s="374"/>
      <c r="AQ477" s="374"/>
      <c r="AR477" s="374"/>
      <c r="AS477" s="1"/>
      <c r="AT477" s="106"/>
      <c r="AU477" s="106"/>
      <c r="AV477" s="106"/>
      <c r="AW477" s="31"/>
      <c r="AX477" s="31"/>
      <c r="AY477" s="31"/>
      <c r="AZ477" s="31"/>
      <c r="BA477" s="154"/>
      <c r="BB477" s="154"/>
      <c r="BC477" s="106"/>
      <c r="BD477" s="106"/>
      <c r="BE477" s="106"/>
      <c r="BF477" s="106"/>
      <c r="BG477" s="107"/>
      <c r="BH477" s="107"/>
      <c r="BI477" s="105"/>
      <c r="BJ477" s="107"/>
      <c r="BK477" s="107"/>
      <c r="BL477" s="106"/>
      <c r="BM477" s="108"/>
      <c r="BN477" s="159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7"/>
      <c r="CE477" s="107"/>
      <c r="CF477" s="107"/>
      <c r="CG477" s="107"/>
      <c r="CH477" s="107"/>
      <c r="CI477" s="107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475"/>
      <c r="DI477" s="110"/>
      <c r="DJ477" s="110"/>
      <c r="DK477" s="475"/>
      <c r="DL477" s="53"/>
      <c r="DM477" s="54"/>
      <c r="DN477" s="54"/>
      <c r="DO477" s="54"/>
      <c r="DP477" s="54"/>
      <c r="DQ477" s="54"/>
      <c r="DR477" s="54"/>
      <c r="DS477" s="54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L477" s="55"/>
      <c r="EM477" s="1"/>
      <c r="EN477" s="106"/>
      <c r="EO477" s="105"/>
      <c r="EP477" s="1"/>
      <c r="EQ477" s="106"/>
      <c r="ER477" s="1"/>
      <c r="ES477" s="1"/>
      <c r="ET477" s="1"/>
      <c r="EU477" s="107"/>
    </row>
    <row r="478" spans="9:151">
      <c r="I478" s="137"/>
      <c r="J478" s="375"/>
      <c r="K478" s="1"/>
      <c r="L478" s="1"/>
      <c r="M478" s="376"/>
      <c r="P478" s="375"/>
      <c r="S478" s="55"/>
      <c r="T478" s="375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74"/>
      <c r="AO478" s="374"/>
      <c r="AP478" s="374"/>
      <c r="AQ478" s="374"/>
      <c r="AR478" s="374"/>
      <c r="AS478" s="1"/>
      <c r="AT478" s="106"/>
      <c r="AU478" s="106"/>
      <c r="AV478" s="106"/>
      <c r="AW478" s="31"/>
      <c r="AX478" s="31"/>
      <c r="AY478" s="31"/>
      <c r="AZ478" s="31"/>
      <c r="BA478" s="154"/>
      <c r="BB478" s="154"/>
      <c r="BC478" s="106"/>
      <c r="BD478" s="106"/>
      <c r="BE478" s="106"/>
      <c r="BF478" s="106"/>
      <c r="BG478" s="107"/>
      <c r="BH478" s="107"/>
      <c r="BI478" s="105"/>
      <c r="BJ478" s="107"/>
      <c r="BK478" s="107"/>
      <c r="BL478" s="106"/>
      <c r="BM478" s="108"/>
      <c r="BN478" s="159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7"/>
      <c r="CE478" s="107"/>
      <c r="CF478" s="107"/>
      <c r="CG478" s="107"/>
      <c r="CH478" s="107"/>
      <c r="CI478" s="107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475"/>
      <c r="DI478" s="110"/>
      <c r="DJ478" s="110"/>
      <c r="DK478" s="475"/>
      <c r="DL478" s="53"/>
      <c r="DM478" s="54"/>
      <c r="DN478" s="54"/>
      <c r="DO478" s="54"/>
      <c r="DP478" s="54"/>
      <c r="DQ478" s="54"/>
      <c r="DR478" s="54"/>
      <c r="DS478" s="54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L478" s="55"/>
      <c r="EM478" s="1"/>
      <c r="EN478" s="106"/>
      <c r="EO478" s="105"/>
      <c r="EP478" s="1"/>
      <c r="EQ478" s="106"/>
      <c r="ER478" s="1"/>
      <c r="ES478" s="1"/>
      <c r="ET478" s="1"/>
      <c r="EU478" s="107"/>
    </row>
    <row r="479" spans="9:151">
      <c r="I479" s="137"/>
      <c r="J479" s="375"/>
      <c r="K479" s="1"/>
      <c r="L479" s="1"/>
      <c r="M479" s="376"/>
      <c r="P479" s="375"/>
      <c r="S479" s="55"/>
      <c r="T479" s="375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74"/>
      <c r="AO479" s="374"/>
      <c r="AP479" s="374"/>
      <c r="AQ479" s="374"/>
      <c r="AR479" s="374"/>
      <c r="AS479" s="1"/>
      <c r="AT479" s="106"/>
      <c r="AU479" s="106"/>
      <c r="AV479" s="106"/>
      <c r="AW479" s="31"/>
      <c r="AX479" s="31"/>
      <c r="AY479" s="31"/>
      <c r="AZ479" s="31"/>
      <c r="BA479" s="154"/>
      <c r="BB479" s="154"/>
      <c r="BC479" s="106"/>
      <c r="BD479" s="106"/>
      <c r="BE479" s="106"/>
      <c r="BF479" s="106"/>
      <c r="BG479" s="107"/>
      <c r="BH479" s="107"/>
      <c r="BI479" s="105"/>
      <c r="BJ479" s="107"/>
      <c r="BK479" s="107"/>
      <c r="BL479" s="106"/>
      <c r="BM479" s="108"/>
      <c r="BN479" s="159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7"/>
      <c r="CE479" s="107"/>
      <c r="CF479" s="107"/>
      <c r="CG479" s="107"/>
      <c r="CH479" s="107"/>
      <c r="CI479" s="107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475"/>
      <c r="DI479" s="110"/>
      <c r="DJ479" s="110"/>
      <c r="DK479" s="475"/>
      <c r="DL479" s="53"/>
      <c r="DM479" s="54"/>
      <c r="DN479" s="54"/>
      <c r="DO479" s="54"/>
      <c r="DP479" s="54"/>
      <c r="DQ479" s="54"/>
      <c r="DR479" s="54"/>
      <c r="DS479" s="54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L479" s="55"/>
      <c r="EM479" s="1"/>
      <c r="EN479" s="106"/>
      <c r="EO479" s="105"/>
      <c r="EP479" s="1"/>
      <c r="EQ479" s="106"/>
      <c r="ER479" s="1"/>
      <c r="ES479" s="1"/>
      <c r="ET479" s="1"/>
      <c r="EU479" s="107"/>
    </row>
    <row r="480" spans="9:151">
      <c r="I480" s="137"/>
      <c r="J480" s="375"/>
      <c r="K480" s="1"/>
      <c r="L480" s="1"/>
      <c r="M480" s="376"/>
      <c r="P480" s="375"/>
      <c r="S480" s="55"/>
      <c r="T480" s="375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74"/>
      <c r="AO480" s="374"/>
      <c r="AP480" s="374"/>
      <c r="AQ480" s="374"/>
      <c r="AR480" s="374"/>
      <c r="AS480" s="1"/>
      <c r="AT480" s="106"/>
      <c r="AU480" s="106"/>
      <c r="AV480" s="106"/>
      <c r="AW480" s="31"/>
      <c r="AX480" s="31"/>
      <c r="AY480" s="31"/>
      <c r="AZ480" s="31"/>
      <c r="BA480" s="154"/>
      <c r="BB480" s="154"/>
      <c r="BC480" s="106"/>
      <c r="BD480" s="106"/>
      <c r="BE480" s="106"/>
      <c r="BF480" s="106"/>
      <c r="BG480" s="107"/>
      <c r="BH480" s="107"/>
      <c r="BI480" s="105"/>
      <c r="BJ480" s="107"/>
      <c r="BK480" s="107"/>
      <c r="BL480" s="106"/>
      <c r="BM480" s="108"/>
      <c r="BN480" s="159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7"/>
      <c r="CE480" s="107"/>
      <c r="CF480" s="107"/>
      <c r="CG480" s="107"/>
      <c r="CH480" s="107"/>
      <c r="CI480" s="107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475"/>
      <c r="DI480" s="110"/>
      <c r="DJ480" s="110"/>
      <c r="DK480" s="475"/>
      <c r="DL480" s="53"/>
      <c r="DM480" s="54"/>
      <c r="DN480" s="54"/>
      <c r="DO480" s="54"/>
      <c r="DP480" s="54"/>
      <c r="DQ480" s="54"/>
      <c r="DR480" s="54"/>
      <c r="DS480" s="54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L480" s="55"/>
      <c r="EM480" s="1"/>
      <c r="EN480" s="106"/>
      <c r="EO480" s="105"/>
      <c r="EP480" s="1"/>
      <c r="EQ480" s="106"/>
      <c r="ER480" s="1"/>
      <c r="ES480" s="1"/>
      <c r="ET480" s="1"/>
      <c r="EU480" s="107"/>
    </row>
    <row r="481" spans="9:151">
      <c r="I481" s="137"/>
      <c r="J481" s="375"/>
      <c r="K481" s="1"/>
      <c r="L481" s="1"/>
      <c r="M481" s="376"/>
      <c r="P481" s="375"/>
      <c r="S481" s="55"/>
      <c r="T481" s="375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74"/>
      <c r="AO481" s="374"/>
      <c r="AP481" s="374"/>
      <c r="AQ481" s="374"/>
      <c r="AR481" s="374"/>
      <c r="AS481" s="1"/>
      <c r="AT481" s="106"/>
      <c r="AU481" s="106"/>
      <c r="AV481" s="106"/>
      <c r="AW481" s="31"/>
      <c r="AX481" s="31"/>
      <c r="AY481" s="31"/>
      <c r="AZ481" s="31"/>
      <c r="BA481" s="154"/>
      <c r="BB481" s="154"/>
      <c r="BC481" s="106"/>
      <c r="BD481" s="106"/>
      <c r="BE481" s="106"/>
      <c r="BF481" s="106"/>
      <c r="BG481" s="107"/>
      <c r="BH481" s="107"/>
      <c r="BI481" s="105"/>
      <c r="BJ481" s="107"/>
      <c r="BK481" s="107"/>
      <c r="BL481" s="106"/>
      <c r="BM481" s="108"/>
      <c r="BN481" s="159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7"/>
      <c r="CE481" s="107"/>
      <c r="CF481" s="107"/>
      <c r="CG481" s="107"/>
      <c r="CH481" s="107"/>
      <c r="CI481" s="107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475"/>
      <c r="DI481" s="110"/>
      <c r="DJ481" s="110"/>
      <c r="DK481" s="475"/>
      <c r="DL481" s="53"/>
      <c r="DM481" s="54"/>
      <c r="DN481" s="54"/>
      <c r="DO481" s="54"/>
      <c r="DP481" s="54"/>
      <c r="DQ481" s="54"/>
      <c r="DR481" s="54"/>
      <c r="DS481" s="54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L481" s="55"/>
      <c r="EM481" s="1"/>
      <c r="EN481" s="106"/>
      <c r="EO481" s="105"/>
      <c r="EP481" s="1"/>
      <c r="EQ481" s="106"/>
      <c r="ER481" s="1"/>
      <c r="ES481" s="1"/>
      <c r="ET481" s="1"/>
      <c r="EU481" s="107"/>
    </row>
    <row r="482" spans="9:151">
      <c r="I482" s="137"/>
      <c r="J482" s="375"/>
      <c r="K482" s="1"/>
      <c r="L482" s="1"/>
      <c r="M482" s="376"/>
      <c r="P482" s="375"/>
      <c r="S482" s="55"/>
      <c r="T482" s="375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74"/>
      <c r="AO482" s="374"/>
      <c r="AP482" s="374"/>
      <c r="AQ482" s="374"/>
      <c r="AR482" s="374"/>
      <c r="AS482" s="1"/>
      <c r="AT482" s="106"/>
      <c r="AU482" s="106"/>
      <c r="AV482" s="106"/>
      <c r="AW482" s="31"/>
      <c r="AX482" s="31"/>
      <c r="AY482" s="31"/>
      <c r="AZ482" s="31"/>
      <c r="BA482" s="154"/>
      <c r="BB482" s="154"/>
      <c r="BC482" s="106"/>
      <c r="BD482" s="106"/>
      <c r="BE482" s="106"/>
      <c r="BF482" s="106"/>
      <c r="BG482" s="107"/>
      <c r="BH482" s="107"/>
      <c r="BI482" s="105"/>
      <c r="BJ482" s="107"/>
      <c r="BK482" s="107"/>
      <c r="BL482" s="106"/>
      <c r="BM482" s="108"/>
      <c r="BN482" s="159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7"/>
      <c r="CE482" s="107"/>
      <c r="CF482" s="107"/>
      <c r="CG482" s="107"/>
      <c r="CH482" s="107"/>
      <c r="CI482" s="107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475"/>
      <c r="DI482" s="110"/>
      <c r="DJ482" s="110"/>
      <c r="DK482" s="475"/>
      <c r="DL482" s="53"/>
      <c r="DM482" s="54"/>
      <c r="DN482" s="54"/>
      <c r="DO482" s="54"/>
      <c r="DP482" s="54"/>
      <c r="DQ482" s="54"/>
      <c r="DR482" s="54"/>
      <c r="DS482" s="54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L482" s="55"/>
      <c r="EM482" s="1"/>
      <c r="EN482" s="106"/>
      <c r="EO482" s="105"/>
      <c r="EP482" s="1"/>
      <c r="EQ482" s="106"/>
      <c r="ER482" s="1"/>
      <c r="ES482" s="1"/>
      <c r="ET482" s="1"/>
      <c r="EU482" s="107"/>
    </row>
    <row r="483" spans="9:151">
      <c r="I483" s="137"/>
      <c r="J483" s="375"/>
      <c r="K483" s="1"/>
      <c r="L483" s="1"/>
      <c r="M483" s="376"/>
      <c r="P483" s="375"/>
      <c r="S483" s="55"/>
      <c r="T483" s="375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74"/>
      <c r="AO483" s="374"/>
      <c r="AP483" s="374"/>
      <c r="AQ483" s="374"/>
      <c r="AR483" s="374"/>
      <c r="AS483" s="1"/>
      <c r="AT483" s="106"/>
      <c r="AU483" s="106"/>
      <c r="AV483" s="106"/>
      <c r="AW483" s="31"/>
      <c r="AX483" s="31"/>
      <c r="AY483" s="31"/>
      <c r="AZ483" s="31"/>
      <c r="BA483" s="154"/>
      <c r="BB483" s="154"/>
      <c r="BC483" s="106"/>
      <c r="BD483" s="106"/>
      <c r="BE483" s="106"/>
      <c r="BF483" s="106"/>
      <c r="BG483" s="107"/>
      <c r="BH483" s="107"/>
      <c r="BI483" s="105"/>
      <c r="BJ483" s="107"/>
      <c r="BK483" s="107"/>
      <c r="BL483" s="106"/>
      <c r="BM483" s="108"/>
      <c r="BN483" s="159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7"/>
      <c r="CE483" s="107"/>
      <c r="CF483" s="107"/>
      <c r="CG483" s="107"/>
      <c r="CH483" s="107"/>
      <c r="CI483" s="107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475"/>
      <c r="DI483" s="110"/>
      <c r="DJ483" s="110"/>
      <c r="DK483" s="475"/>
      <c r="DL483" s="53"/>
      <c r="DM483" s="54"/>
      <c r="DN483" s="54"/>
      <c r="DO483" s="54"/>
      <c r="DP483" s="54"/>
      <c r="DQ483" s="54"/>
      <c r="DR483" s="54"/>
      <c r="DS483" s="54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L483" s="55"/>
      <c r="EM483" s="1"/>
      <c r="EN483" s="106"/>
      <c r="EO483" s="105"/>
      <c r="EP483" s="1"/>
      <c r="EQ483" s="106"/>
      <c r="ER483" s="1"/>
      <c r="ES483" s="1"/>
      <c r="ET483" s="1"/>
      <c r="EU483" s="107"/>
    </row>
    <row r="484" spans="9:151">
      <c r="I484" s="137"/>
      <c r="J484" s="375"/>
      <c r="K484" s="1"/>
      <c r="L484" s="1"/>
      <c r="M484" s="376"/>
      <c r="P484" s="375"/>
      <c r="S484" s="55"/>
      <c r="T484" s="375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74"/>
      <c r="AO484" s="374"/>
      <c r="AP484" s="1"/>
      <c r="AQ484" s="374"/>
      <c r="AR484" s="1"/>
      <c r="AS484" s="106"/>
      <c r="AT484" s="106"/>
      <c r="AU484" s="106"/>
      <c r="AV484" s="31"/>
      <c r="AW484" s="31"/>
      <c r="AX484" s="31"/>
      <c r="AY484" s="31"/>
      <c r="AZ484" s="154"/>
      <c r="BA484" s="154"/>
      <c r="BB484" s="106"/>
      <c r="BC484" s="106"/>
      <c r="BD484" s="106"/>
      <c r="BE484" s="106"/>
      <c r="BF484" s="107"/>
      <c r="BG484" s="107"/>
      <c r="BH484" s="107"/>
      <c r="BI484" s="107"/>
      <c r="BJ484" s="107"/>
      <c r="BK484" s="106"/>
      <c r="BL484" s="108"/>
      <c r="BM484" s="159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7"/>
      <c r="CD484" s="107"/>
      <c r="CE484" s="107"/>
      <c r="CF484" s="107"/>
      <c r="CG484" s="107"/>
      <c r="CH484" s="107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475"/>
      <c r="DI484" s="110"/>
      <c r="DJ484" s="1"/>
      <c r="DK484" s="475"/>
      <c r="DL484" s="54"/>
      <c r="DM484" s="54"/>
      <c r="DN484" s="54"/>
      <c r="DO484" s="54"/>
      <c r="DP484" s="54"/>
      <c r="DQ484" s="54"/>
      <c r="DR484" s="54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L484" s="55"/>
      <c r="EM484" s="1"/>
      <c r="EN484" s="105"/>
      <c r="EO484" s="106"/>
      <c r="EP484" s="1"/>
      <c r="EQ484" s="106"/>
      <c r="ER484" s="1"/>
      <c r="ES484" s="1"/>
      <c r="ET484" s="1"/>
      <c r="EU484" s="105"/>
    </row>
    <row r="485" spans="9:151">
      <c r="I485" s="137"/>
      <c r="J485" s="375"/>
      <c r="K485" s="1"/>
      <c r="L485" s="1"/>
      <c r="M485" s="376"/>
      <c r="P485" s="375"/>
      <c r="S485" s="55"/>
      <c r="T485" s="375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74"/>
      <c r="AO485" s="374"/>
      <c r="AP485" s="1"/>
      <c r="AQ485" s="374"/>
      <c r="AR485" s="1"/>
      <c r="AS485" s="106"/>
      <c r="AT485" s="106"/>
      <c r="AU485" s="106"/>
      <c r="AV485" s="31"/>
      <c r="AW485" s="31"/>
      <c r="AX485" s="31"/>
      <c r="AY485" s="31"/>
      <c r="AZ485" s="154"/>
      <c r="BA485" s="154"/>
      <c r="BB485" s="106"/>
      <c r="BC485" s="106"/>
      <c r="BD485" s="106"/>
      <c r="BE485" s="106"/>
      <c r="BF485" s="107"/>
      <c r="BG485" s="107"/>
      <c r="BH485" s="107"/>
      <c r="BI485" s="107"/>
      <c r="BJ485" s="107"/>
      <c r="BK485" s="106"/>
      <c r="BL485" s="108"/>
      <c r="BM485" s="159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7"/>
      <c r="CD485" s="107"/>
      <c r="CE485" s="107"/>
      <c r="CF485" s="107"/>
      <c r="CG485" s="107"/>
      <c r="CH485" s="107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475"/>
      <c r="DI485" s="110"/>
      <c r="DJ485" s="1"/>
      <c r="DK485" s="475"/>
      <c r="DL485" s="54"/>
      <c r="DM485" s="54"/>
      <c r="DN485" s="54"/>
      <c r="DO485" s="54"/>
      <c r="DP485" s="54"/>
      <c r="DQ485" s="54"/>
      <c r="DR485" s="54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L485" s="55"/>
      <c r="EM485" s="1"/>
      <c r="EN485" s="105"/>
      <c r="EO485" s="106"/>
      <c r="EP485" s="1"/>
      <c r="EQ485" s="106"/>
      <c r="ER485" s="1"/>
      <c r="ES485" s="1"/>
      <c r="ET485" s="1"/>
      <c r="EU485" s="105"/>
    </row>
    <row r="486" spans="9:151">
      <c r="I486" s="137"/>
      <c r="J486" s="375"/>
      <c r="K486" s="1"/>
      <c r="L486" s="1"/>
      <c r="M486" s="376"/>
      <c r="P486" s="375"/>
      <c r="S486" s="55"/>
      <c r="T486" s="375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74"/>
      <c r="AO486" s="374"/>
      <c r="AP486" s="1"/>
      <c r="AQ486" s="374"/>
      <c r="AR486" s="1"/>
      <c r="AS486" s="106"/>
      <c r="AT486" s="106"/>
      <c r="AU486" s="106"/>
      <c r="AV486" s="31"/>
      <c r="AW486" s="31"/>
      <c r="AX486" s="31"/>
      <c r="AY486" s="31"/>
      <c r="AZ486" s="154"/>
      <c r="BA486" s="154"/>
      <c r="BB486" s="106"/>
      <c r="BC486" s="106"/>
      <c r="BD486" s="106"/>
      <c r="BE486" s="106"/>
      <c r="BF486" s="107"/>
      <c r="BG486" s="107"/>
      <c r="BH486" s="107"/>
      <c r="BI486" s="107"/>
      <c r="BJ486" s="107"/>
      <c r="BK486" s="106"/>
      <c r="BL486" s="108"/>
      <c r="BM486" s="159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7"/>
      <c r="CD486" s="107"/>
      <c r="CE486" s="107"/>
      <c r="CF486" s="107"/>
      <c r="CG486" s="107"/>
      <c r="CH486" s="107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475"/>
      <c r="DI486" s="110"/>
      <c r="DJ486" s="1"/>
      <c r="DK486" s="475"/>
      <c r="DL486" s="54"/>
      <c r="DM486" s="54"/>
      <c r="DN486" s="54"/>
      <c r="DO486" s="54"/>
      <c r="DP486" s="54"/>
      <c r="DQ486" s="54"/>
      <c r="DR486" s="54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L486" s="55"/>
      <c r="EM486" s="1"/>
      <c r="EN486" s="105"/>
      <c r="EO486" s="106"/>
      <c r="EP486" s="1"/>
      <c r="EQ486" s="106"/>
      <c r="ER486" s="1"/>
      <c r="ES486" s="1"/>
      <c r="ET486" s="1"/>
      <c r="EU486" s="105"/>
    </row>
    <row r="487" spans="9:151">
      <c r="I487" s="137"/>
      <c r="J487" s="375"/>
      <c r="K487" s="1"/>
      <c r="L487" s="1"/>
      <c r="M487" s="376"/>
      <c r="P487" s="375"/>
      <c r="S487" s="55"/>
      <c r="T487" s="375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74"/>
      <c r="AO487" s="374"/>
      <c r="AP487" s="1"/>
      <c r="AQ487" s="374"/>
      <c r="AR487" s="1"/>
      <c r="AS487" s="106"/>
      <c r="AT487" s="106"/>
      <c r="AU487" s="106"/>
      <c r="AV487" s="31"/>
      <c r="AW487" s="31"/>
      <c r="AX487" s="31"/>
      <c r="AY487" s="31"/>
      <c r="AZ487" s="154"/>
      <c r="BA487" s="154"/>
      <c r="BB487" s="106"/>
      <c r="BC487" s="106"/>
      <c r="BD487" s="106"/>
      <c r="BE487" s="106"/>
      <c r="BF487" s="107"/>
      <c r="BG487" s="107"/>
      <c r="BH487" s="107"/>
      <c r="BI487" s="107"/>
      <c r="BJ487" s="107"/>
      <c r="BK487" s="106"/>
      <c r="BL487" s="108"/>
      <c r="BM487" s="159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7"/>
      <c r="CD487" s="107"/>
      <c r="CE487" s="107"/>
      <c r="CF487" s="107"/>
      <c r="CG487" s="107"/>
      <c r="CH487" s="107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475"/>
      <c r="DI487" s="110"/>
      <c r="DJ487" s="1"/>
      <c r="DK487" s="475"/>
      <c r="DL487" s="54"/>
      <c r="DM487" s="54"/>
      <c r="DN487" s="54"/>
      <c r="DO487" s="54"/>
      <c r="DP487" s="54"/>
      <c r="DQ487" s="54"/>
      <c r="DR487" s="54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L487" s="55"/>
      <c r="EM487" s="1"/>
      <c r="EN487" s="105"/>
      <c r="EO487" s="106"/>
      <c r="EP487" s="1"/>
      <c r="EQ487" s="106"/>
      <c r="ER487" s="1"/>
      <c r="ES487" s="1"/>
      <c r="ET487" s="1"/>
      <c r="EU487" s="105"/>
    </row>
    <row r="488" spans="9:151">
      <c r="I488" s="137"/>
      <c r="J488" s="375"/>
      <c r="K488" s="1"/>
      <c r="L488" s="1"/>
      <c r="M488" s="376"/>
      <c r="P488" s="375"/>
      <c r="S488" s="55"/>
      <c r="T488" s="375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74"/>
      <c r="AO488" s="374"/>
      <c r="AP488" s="1"/>
      <c r="AQ488" s="374"/>
      <c r="AR488" s="1"/>
      <c r="AS488" s="106"/>
      <c r="AT488" s="106"/>
      <c r="AU488" s="106"/>
      <c r="AV488" s="31"/>
      <c r="AW488" s="31"/>
      <c r="AX488" s="31"/>
      <c r="AY488" s="31"/>
      <c r="AZ488" s="154"/>
      <c r="BA488" s="154"/>
      <c r="BB488" s="106"/>
      <c r="BC488" s="106"/>
      <c r="BD488" s="106"/>
      <c r="BE488" s="106"/>
      <c r="BF488" s="107"/>
      <c r="BG488" s="107"/>
      <c r="BH488" s="107"/>
      <c r="BI488" s="107"/>
      <c r="BJ488" s="107"/>
      <c r="BK488" s="106"/>
      <c r="BL488" s="108"/>
      <c r="BM488" s="159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7"/>
      <c r="CD488" s="107"/>
      <c r="CE488" s="107"/>
      <c r="CF488" s="107"/>
      <c r="CG488" s="107"/>
      <c r="CH488" s="107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475"/>
      <c r="DI488" s="110"/>
      <c r="DJ488" s="1"/>
      <c r="DK488" s="475"/>
      <c r="DL488" s="54"/>
      <c r="DM488" s="54"/>
      <c r="DN488" s="54"/>
      <c r="DO488" s="54"/>
      <c r="DP488" s="54"/>
      <c r="DQ488" s="54"/>
      <c r="DR488" s="54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L488" s="55"/>
      <c r="EM488" s="1"/>
      <c r="EN488" s="105"/>
      <c r="EO488" s="106"/>
      <c r="EP488" s="1"/>
      <c r="EQ488" s="106"/>
      <c r="ER488" s="1"/>
      <c r="ES488" s="1"/>
      <c r="ET488" s="1"/>
      <c r="EU488" s="105"/>
    </row>
    <row r="489" spans="9:151">
      <c r="I489" s="137"/>
      <c r="J489" s="375"/>
      <c r="K489" s="1"/>
      <c r="L489" s="1"/>
      <c r="M489" s="376"/>
      <c r="P489" s="375"/>
      <c r="S489" s="55"/>
      <c r="T489" s="375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74"/>
      <c r="AO489" s="374"/>
      <c r="AP489" s="1"/>
      <c r="AQ489" s="374"/>
      <c r="AR489" s="1"/>
      <c r="AS489" s="106"/>
      <c r="AT489" s="106"/>
      <c r="AU489" s="106"/>
      <c r="AV489" s="31"/>
      <c r="AW489" s="31"/>
      <c r="AX489" s="31"/>
      <c r="AY489" s="31"/>
      <c r="AZ489" s="154"/>
      <c r="BA489" s="154"/>
      <c r="BB489" s="106"/>
      <c r="BC489" s="106"/>
      <c r="BD489" s="106"/>
      <c r="BE489" s="106"/>
      <c r="BF489" s="107"/>
      <c r="BG489" s="107"/>
      <c r="BH489" s="107"/>
      <c r="BI489" s="107"/>
      <c r="BJ489" s="107"/>
      <c r="BK489" s="106"/>
      <c r="BL489" s="108"/>
      <c r="BM489" s="159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7"/>
      <c r="CD489" s="107"/>
      <c r="CE489" s="107"/>
      <c r="CF489" s="107"/>
      <c r="CG489" s="107"/>
      <c r="CH489" s="107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475"/>
      <c r="DI489" s="110"/>
      <c r="DJ489" s="1"/>
      <c r="DK489" s="475"/>
      <c r="DL489" s="54"/>
      <c r="DM489" s="54"/>
      <c r="DN489" s="54"/>
      <c r="DO489" s="54"/>
      <c r="DP489" s="54"/>
      <c r="DQ489" s="54"/>
      <c r="DR489" s="54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L489" s="55"/>
      <c r="EM489" s="1"/>
      <c r="EN489" s="105"/>
      <c r="EO489" s="106"/>
      <c r="EP489" s="1"/>
      <c r="EQ489" s="106"/>
      <c r="ER489" s="1"/>
      <c r="ES489" s="1"/>
      <c r="ET489" s="1"/>
      <c r="EU489" s="105"/>
    </row>
    <row r="490" spans="9:151">
      <c r="I490" s="137"/>
      <c r="J490" s="375"/>
      <c r="K490" s="1"/>
      <c r="L490" s="1"/>
      <c r="M490" s="376"/>
      <c r="P490" s="375"/>
      <c r="S490" s="55"/>
      <c r="T490" s="375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74"/>
      <c r="AO490" s="374"/>
      <c r="AP490" s="1"/>
      <c r="AQ490" s="374"/>
      <c r="AR490" s="1"/>
      <c r="AS490" s="106"/>
      <c r="AT490" s="106"/>
      <c r="AU490" s="106"/>
      <c r="AV490" s="31"/>
      <c r="AW490" s="31"/>
      <c r="AX490" s="31"/>
      <c r="AY490" s="31"/>
      <c r="AZ490" s="154"/>
      <c r="BA490" s="154"/>
      <c r="BB490" s="106"/>
      <c r="BC490" s="106"/>
      <c r="BD490" s="106"/>
      <c r="BE490" s="106"/>
      <c r="BF490" s="107"/>
      <c r="BG490" s="107"/>
      <c r="BH490" s="107"/>
      <c r="BI490" s="107"/>
      <c r="BJ490" s="107"/>
      <c r="BK490" s="106"/>
      <c r="BL490" s="108"/>
      <c r="BM490" s="159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7"/>
      <c r="CD490" s="107"/>
      <c r="CE490" s="107"/>
      <c r="CF490" s="107"/>
      <c r="CG490" s="107"/>
      <c r="CH490" s="107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475"/>
      <c r="DI490" s="110"/>
      <c r="DJ490" s="1"/>
      <c r="DK490" s="475"/>
      <c r="DL490" s="54"/>
      <c r="DM490" s="54"/>
      <c r="DN490" s="54"/>
      <c r="DO490" s="54"/>
      <c r="DP490" s="54"/>
      <c r="DQ490" s="54"/>
      <c r="DR490" s="54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L490" s="55"/>
      <c r="EM490" s="1"/>
      <c r="EN490" s="105"/>
      <c r="EO490" s="106"/>
      <c r="EP490" s="1"/>
      <c r="EQ490" s="106"/>
      <c r="ER490" s="1"/>
      <c r="ES490" s="1"/>
      <c r="ET490" s="1"/>
      <c r="EU490" s="105"/>
    </row>
    <row r="491" spans="9:151">
      <c r="I491" s="137"/>
      <c r="J491" s="375"/>
      <c r="K491" s="1"/>
      <c r="L491" s="1"/>
      <c r="M491" s="376"/>
      <c r="P491" s="375"/>
      <c r="S491" s="55"/>
      <c r="T491" s="375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74"/>
      <c r="AO491" s="374"/>
      <c r="AP491" s="1"/>
      <c r="AQ491" s="374"/>
      <c r="AR491" s="1"/>
      <c r="AS491" s="106"/>
      <c r="AT491" s="106"/>
      <c r="AU491" s="106"/>
      <c r="AV491" s="31"/>
      <c r="AW491" s="31"/>
      <c r="AX491" s="31"/>
      <c r="AY491" s="31"/>
      <c r="AZ491" s="154"/>
      <c r="BA491" s="154"/>
      <c r="BB491" s="106"/>
      <c r="BC491" s="106"/>
      <c r="BD491" s="106"/>
      <c r="BE491" s="106"/>
      <c r="BF491" s="107"/>
      <c r="BG491" s="107"/>
      <c r="BH491" s="107"/>
      <c r="BI491" s="107"/>
      <c r="BJ491" s="107"/>
      <c r="BK491" s="106"/>
      <c r="BL491" s="108"/>
      <c r="BM491" s="159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7"/>
      <c r="CD491" s="107"/>
      <c r="CE491" s="107"/>
      <c r="CF491" s="107"/>
      <c r="CG491" s="107"/>
      <c r="CH491" s="107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475"/>
      <c r="DI491" s="110"/>
      <c r="DJ491" s="1"/>
      <c r="DK491" s="475"/>
      <c r="DL491" s="54"/>
      <c r="DM491" s="54"/>
      <c r="DN491" s="54"/>
      <c r="DO491" s="54"/>
      <c r="DP491" s="54"/>
      <c r="DQ491" s="54"/>
      <c r="DR491" s="54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L491" s="55"/>
      <c r="EM491" s="1"/>
      <c r="EN491" s="105"/>
      <c r="EO491" s="106"/>
      <c r="EP491" s="1"/>
      <c r="EQ491" s="106"/>
      <c r="ER491" s="1"/>
      <c r="ES491" s="1"/>
      <c r="ET491" s="1"/>
      <c r="EU491" s="105"/>
    </row>
    <row r="492" spans="9:151">
      <c r="I492" s="137"/>
      <c r="J492" s="375"/>
      <c r="K492" s="1"/>
      <c r="L492" s="1"/>
      <c r="M492" s="376"/>
      <c r="P492" s="375"/>
      <c r="S492" s="55"/>
      <c r="T492" s="375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74"/>
      <c r="AO492" s="374"/>
      <c r="AP492" s="1"/>
      <c r="AQ492" s="374"/>
      <c r="AR492" s="1"/>
      <c r="AS492" s="106"/>
      <c r="AT492" s="106"/>
      <c r="AU492" s="106"/>
      <c r="AV492" s="31"/>
      <c r="AW492" s="31"/>
      <c r="AX492" s="31"/>
      <c r="AY492" s="31"/>
      <c r="AZ492" s="154"/>
      <c r="BA492" s="154"/>
      <c r="BB492" s="106"/>
      <c r="BC492" s="106"/>
      <c r="BD492" s="106"/>
      <c r="BE492" s="106"/>
      <c r="BF492" s="107"/>
      <c r="BG492" s="107"/>
      <c r="BH492" s="107"/>
      <c r="BI492" s="107"/>
      <c r="BJ492" s="107"/>
      <c r="BK492" s="106"/>
      <c r="BL492" s="108"/>
      <c r="BM492" s="159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7"/>
      <c r="CD492" s="107"/>
      <c r="CE492" s="107"/>
      <c r="CF492" s="107"/>
      <c r="CG492" s="107"/>
      <c r="CH492" s="107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475"/>
      <c r="DI492" s="110"/>
      <c r="DJ492" s="1"/>
      <c r="DK492" s="475"/>
      <c r="DL492" s="54"/>
      <c r="DM492" s="54"/>
      <c r="DN492" s="54"/>
      <c r="DO492" s="54"/>
      <c r="DP492" s="54"/>
      <c r="DQ492" s="54"/>
      <c r="DR492" s="54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L492" s="55"/>
      <c r="EM492" s="1"/>
      <c r="EN492" s="105"/>
      <c r="EO492" s="106"/>
      <c r="EP492" s="1"/>
      <c r="EQ492" s="106"/>
      <c r="ER492" s="1"/>
      <c r="ES492" s="1"/>
      <c r="ET492" s="1"/>
      <c r="EU492" s="105"/>
    </row>
    <row r="493" spans="9:151">
      <c r="I493" s="137"/>
      <c r="J493" s="375"/>
      <c r="K493" s="1"/>
      <c r="L493" s="1"/>
      <c r="M493" s="376"/>
      <c r="P493" s="375"/>
      <c r="S493" s="55"/>
      <c r="T493" s="375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74"/>
      <c r="AO493" s="374"/>
      <c r="AP493" s="1"/>
      <c r="AQ493" s="374"/>
      <c r="AR493" s="1"/>
      <c r="AS493" s="106"/>
      <c r="AT493" s="106"/>
      <c r="AU493" s="106"/>
      <c r="AV493" s="31"/>
      <c r="AW493" s="31"/>
      <c r="AX493" s="31"/>
      <c r="AY493" s="31"/>
      <c r="AZ493" s="154"/>
      <c r="BA493" s="154"/>
      <c r="BB493" s="106"/>
      <c r="BC493" s="106"/>
      <c r="BD493" s="106"/>
      <c r="BE493" s="106"/>
      <c r="BF493" s="107"/>
      <c r="BG493" s="107"/>
      <c r="BH493" s="107"/>
      <c r="BI493" s="107"/>
      <c r="BJ493" s="107"/>
      <c r="BK493" s="106"/>
      <c r="BL493" s="108"/>
      <c r="BM493" s="159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7"/>
      <c r="CD493" s="107"/>
      <c r="CE493" s="107"/>
      <c r="CF493" s="107"/>
      <c r="CG493" s="107"/>
      <c r="CH493" s="107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475"/>
      <c r="DI493" s="110"/>
      <c r="DJ493" s="1"/>
      <c r="DK493" s="475"/>
      <c r="DL493" s="54"/>
      <c r="DM493" s="54"/>
      <c r="DN493" s="54"/>
      <c r="DO493" s="54"/>
      <c r="DP493" s="54"/>
      <c r="DQ493" s="54"/>
      <c r="DR493" s="54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L493" s="55"/>
      <c r="EM493" s="1"/>
      <c r="EN493" s="105"/>
      <c r="EO493" s="106"/>
      <c r="EP493" s="1"/>
      <c r="EQ493" s="106"/>
      <c r="ER493" s="1"/>
      <c r="ES493" s="1"/>
      <c r="ET493" s="1"/>
      <c r="EU493" s="105"/>
    </row>
    <row r="494" spans="9:151">
      <c r="I494" s="137"/>
      <c r="J494" s="375"/>
      <c r="K494" s="1"/>
      <c r="L494" s="1"/>
      <c r="M494" s="376"/>
      <c r="P494" s="375"/>
      <c r="S494" s="55"/>
      <c r="T494" s="375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74"/>
      <c r="AO494" s="374"/>
      <c r="AP494" s="1"/>
      <c r="AQ494" s="374"/>
      <c r="AR494" s="1"/>
      <c r="AS494" s="106"/>
      <c r="AT494" s="106"/>
      <c r="AU494" s="106"/>
      <c r="AV494" s="31"/>
      <c r="AW494" s="31"/>
      <c r="AX494" s="31"/>
      <c r="AY494" s="31"/>
      <c r="AZ494" s="154"/>
      <c r="BA494" s="154"/>
      <c r="BB494" s="106"/>
      <c r="BC494" s="106"/>
      <c r="BD494" s="106"/>
      <c r="BE494" s="106"/>
      <c r="BF494" s="107"/>
      <c r="BG494" s="107"/>
      <c r="BH494" s="107"/>
      <c r="BI494" s="107"/>
      <c r="BJ494" s="107"/>
      <c r="BK494" s="106"/>
      <c r="BL494" s="108"/>
      <c r="BM494" s="159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7"/>
      <c r="CD494" s="107"/>
      <c r="CE494" s="107"/>
      <c r="CF494" s="107"/>
      <c r="CG494" s="107"/>
      <c r="CH494" s="107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475"/>
      <c r="DI494" s="110"/>
      <c r="DJ494" s="1"/>
      <c r="DK494" s="475"/>
      <c r="DL494" s="54"/>
      <c r="DM494" s="54"/>
      <c r="DN494" s="54"/>
      <c r="DO494" s="54"/>
      <c r="DP494" s="54"/>
      <c r="DQ494" s="54"/>
      <c r="DR494" s="54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L494" s="55"/>
      <c r="EM494" s="1"/>
      <c r="EN494" s="105"/>
      <c r="EO494" s="106"/>
      <c r="EP494" s="1"/>
      <c r="EQ494" s="106"/>
      <c r="ER494" s="1"/>
      <c r="ES494" s="1"/>
      <c r="ET494" s="1"/>
      <c r="EU494" s="105"/>
    </row>
    <row r="495" spans="9:151">
      <c r="I495" s="137"/>
      <c r="J495" s="375"/>
      <c r="K495" s="1"/>
      <c r="L495" s="1"/>
      <c r="M495" s="376"/>
      <c r="P495" s="375"/>
      <c r="S495" s="55"/>
      <c r="T495" s="375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74"/>
      <c r="AO495" s="374"/>
      <c r="AP495" s="1"/>
      <c r="AQ495" s="374"/>
      <c r="AR495" s="1"/>
      <c r="AS495" s="106"/>
      <c r="AT495" s="106"/>
      <c r="AU495" s="106"/>
      <c r="AV495" s="31"/>
      <c r="AW495" s="31"/>
      <c r="AX495" s="31"/>
      <c r="AY495" s="31"/>
      <c r="AZ495" s="154"/>
      <c r="BA495" s="154"/>
      <c r="BB495" s="106"/>
      <c r="BC495" s="106"/>
      <c r="BD495" s="106"/>
      <c r="BE495" s="106"/>
      <c r="BF495" s="107"/>
      <c r="BG495" s="107"/>
      <c r="BH495" s="107"/>
      <c r="BI495" s="107"/>
      <c r="BJ495" s="107"/>
      <c r="BK495" s="106"/>
      <c r="BL495" s="108"/>
      <c r="BM495" s="159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7"/>
      <c r="CD495" s="107"/>
      <c r="CE495" s="107"/>
      <c r="CF495" s="107"/>
      <c r="CG495" s="107"/>
      <c r="CH495" s="107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475"/>
      <c r="DI495" s="110"/>
      <c r="DJ495" s="1"/>
      <c r="DK495" s="475"/>
      <c r="DL495" s="54"/>
      <c r="DM495" s="54"/>
      <c r="DN495" s="54"/>
      <c r="DO495" s="54"/>
      <c r="DP495" s="54"/>
      <c r="DQ495" s="54"/>
      <c r="DR495" s="54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L495" s="55"/>
      <c r="EM495" s="1"/>
      <c r="EN495" s="105"/>
      <c r="EO495" s="106"/>
      <c r="EP495" s="1"/>
      <c r="EQ495" s="106"/>
      <c r="ER495" s="1"/>
      <c r="ES495" s="1"/>
      <c r="ET495" s="1"/>
      <c r="EU495" s="105"/>
    </row>
    <row r="496" spans="9:151">
      <c r="I496" s="137"/>
      <c r="J496" s="375"/>
      <c r="K496" s="1"/>
      <c r="L496" s="1"/>
      <c r="M496" s="376"/>
      <c r="P496" s="375"/>
      <c r="S496" s="55"/>
      <c r="T496" s="375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74"/>
      <c r="AO496" s="374"/>
      <c r="AP496" s="1"/>
      <c r="AQ496" s="374"/>
      <c r="AR496" s="1"/>
      <c r="AS496" s="106"/>
      <c r="AT496" s="106"/>
      <c r="AU496" s="106"/>
      <c r="AV496" s="31"/>
      <c r="AW496" s="31"/>
      <c r="AX496" s="31"/>
      <c r="AY496" s="31"/>
      <c r="AZ496" s="154"/>
      <c r="BA496" s="154"/>
      <c r="BB496" s="106"/>
      <c r="BC496" s="106"/>
      <c r="BD496" s="106"/>
      <c r="BE496" s="106"/>
      <c r="BF496" s="107"/>
      <c r="BG496" s="107"/>
      <c r="BH496" s="107"/>
      <c r="BI496" s="107"/>
      <c r="BJ496" s="107"/>
      <c r="BK496" s="106"/>
      <c r="BL496" s="108"/>
      <c r="BM496" s="159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7"/>
      <c r="CD496" s="107"/>
      <c r="CE496" s="107"/>
      <c r="CF496" s="107"/>
      <c r="CG496" s="107"/>
      <c r="CH496" s="107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475"/>
      <c r="DI496" s="110"/>
      <c r="DJ496" s="1"/>
      <c r="DK496" s="475"/>
      <c r="DL496" s="54"/>
      <c r="DM496" s="54"/>
      <c r="DN496" s="54"/>
      <c r="DO496" s="54"/>
      <c r="DP496" s="54"/>
      <c r="DQ496" s="54"/>
      <c r="DR496" s="54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L496" s="55"/>
      <c r="EM496" s="1"/>
      <c r="EN496" s="105"/>
      <c r="EO496" s="106"/>
      <c r="EP496" s="1"/>
      <c r="EQ496" s="106"/>
      <c r="ER496" s="1"/>
      <c r="ES496" s="1"/>
      <c r="ET496" s="1"/>
      <c r="EU496" s="105"/>
    </row>
    <row r="497" spans="9:151">
      <c r="I497" s="137"/>
      <c r="J497" s="375"/>
      <c r="K497" s="1"/>
      <c r="L497" s="1"/>
      <c r="M497" s="376"/>
      <c r="P497" s="375"/>
      <c r="S497" s="55"/>
      <c r="T497" s="375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74"/>
      <c r="AO497" s="374"/>
      <c r="AP497" s="1"/>
      <c r="AQ497" s="374"/>
      <c r="AR497" s="1"/>
      <c r="AS497" s="106"/>
      <c r="AT497" s="106"/>
      <c r="AU497" s="106"/>
      <c r="AV497" s="31"/>
      <c r="AW497" s="31"/>
      <c r="AX497" s="31"/>
      <c r="AY497" s="31"/>
      <c r="AZ497" s="154"/>
      <c r="BA497" s="154"/>
      <c r="BB497" s="106"/>
      <c r="BC497" s="106"/>
      <c r="BD497" s="106"/>
      <c r="BE497" s="106"/>
      <c r="BF497" s="107"/>
      <c r="BG497" s="107"/>
      <c r="BH497" s="107"/>
      <c r="BI497" s="107"/>
      <c r="BJ497" s="107"/>
      <c r="BK497" s="106"/>
      <c r="BL497" s="108"/>
      <c r="BM497" s="159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7"/>
      <c r="CD497" s="107"/>
      <c r="CE497" s="107"/>
      <c r="CF497" s="107"/>
      <c r="CG497" s="107"/>
      <c r="CH497" s="107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475"/>
      <c r="DI497" s="110"/>
      <c r="DJ497" s="1"/>
      <c r="DK497" s="475"/>
      <c r="DL497" s="54"/>
      <c r="DM497" s="54"/>
      <c r="DN497" s="54"/>
      <c r="DO497" s="54"/>
      <c r="DP497" s="54"/>
      <c r="DQ497" s="54"/>
      <c r="DR497" s="54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L497" s="55"/>
      <c r="EM497" s="1"/>
      <c r="EN497" s="105"/>
      <c r="EO497" s="106"/>
      <c r="EP497" s="1"/>
      <c r="EQ497" s="106"/>
      <c r="ER497" s="1"/>
      <c r="ES497" s="1"/>
      <c r="ET497" s="1"/>
      <c r="EU497" s="105"/>
    </row>
    <row r="498" spans="9:151">
      <c r="I498" s="137"/>
      <c r="J498" s="375"/>
      <c r="K498" s="1"/>
      <c r="L498" s="1"/>
      <c r="M498" s="376"/>
      <c r="P498" s="375"/>
      <c r="S498" s="55"/>
      <c r="T498" s="375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74"/>
      <c r="AO498" s="374"/>
      <c r="AP498" s="106"/>
      <c r="AQ498" s="374"/>
      <c r="AR498" s="106"/>
      <c r="AS498" s="106"/>
      <c r="AT498" s="106"/>
      <c r="AU498" s="106"/>
      <c r="AV498" s="31"/>
      <c r="AW498" s="31"/>
      <c r="AX498" s="31"/>
      <c r="AY498" s="154"/>
      <c r="AZ498" s="154"/>
      <c r="BA498" s="106"/>
      <c r="BB498" s="106"/>
      <c r="BC498" s="106"/>
      <c r="BD498" s="106"/>
      <c r="BE498" s="106"/>
      <c r="BF498" s="107"/>
      <c r="BG498" s="107"/>
      <c r="BH498" s="105"/>
      <c r="BI498" s="107"/>
      <c r="BJ498" s="106"/>
      <c r="BK498" s="108"/>
      <c r="BL498" s="159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7"/>
      <c r="CC498" s="107"/>
      <c r="CD498" s="107"/>
      <c r="CE498" s="107"/>
      <c r="CF498" s="107"/>
      <c r="CG498" s="107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10"/>
      <c r="DH498" s="475"/>
      <c r="DI498" s="1"/>
      <c r="DJ498" s="55"/>
      <c r="DK498" s="475"/>
      <c r="DL498" s="54"/>
      <c r="DM498" s="54"/>
      <c r="DN498" s="54"/>
      <c r="DO498" s="54"/>
      <c r="DP498" s="54"/>
      <c r="DQ498" s="54"/>
      <c r="DR498" s="54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L498" s="55"/>
      <c r="EM498" s="1"/>
      <c r="EN498" s="105"/>
      <c r="EO498" s="106"/>
      <c r="EP498" s="1"/>
      <c r="EQ498" s="106"/>
      <c r="ER498" s="1"/>
      <c r="ES498" s="1"/>
      <c r="ET498" s="1"/>
      <c r="EU498" s="105"/>
    </row>
    <row r="499" spans="9:151">
      <c r="I499" s="137"/>
      <c r="J499" s="375"/>
      <c r="K499" s="1"/>
      <c r="L499" s="1"/>
      <c r="M499" s="376"/>
      <c r="P499" s="375"/>
      <c r="S499" s="55"/>
      <c r="T499" s="375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74"/>
      <c r="AO499" s="374"/>
      <c r="AP499" s="106"/>
      <c r="AQ499" s="374"/>
      <c r="AR499" s="106"/>
      <c r="AS499" s="106"/>
      <c r="AT499" s="106"/>
      <c r="AU499" s="106"/>
      <c r="AV499" s="31"/>
      <c r="AW499" s="31"/>
      <c r="AX499" s="31"/>
      <c r="AY499" s="154"/>
      <c r="AZ499" s="154"/>
      <c r="BA499" s="106"/>
      <c r="BB499" s="106"/>
      <c r="BC499" s="106"/>
      <c r="BD499" s="106"/>
      <c r="BE499" s="106"/>
      <c r="BF499" s="107"/>
      <c r="BG499" s="107"/>
      <c r="BH499" s="105"/>
      <c r="BI499" s="107"/>
      <c r="BJ499" s="106"/>
      <c r="BK499" s="108"/>
      <c r="BL499" s="159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7"/>
      <c r="CC499" s="107"/>
      <c r="CD499" s="107"/>
      <c r="CE499" s="107"/>
      <c r="CF499" s="107"/>
      <c r="CG499" s="107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10"/>
      <c r="DH499" s="475"/>
      <c r="DI499" s="1"/>
      <c r="DJ499" s="55"/>
      <c r="DK499" s="475"/>
      <c r="DL499" s="54"/>
      <c r="DM499" s="54"/>
      <c r="DN499" s="54"/>
      <c r="DO499" s="54"/>
      <c r="DP499" s="54"/>
      <c r="DQ499" s="54"/>
      <c r="DR499" s="54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L499" s="55"/>
      <c r="EM499" s="1"/>
      <c r="EN499" s="105"/>
      <c r="EO499" s="106"/>
      <c r="EP499" s="1"/>
      <c r="EQ499" s="106"/>
      <c r="ER499" s="1"/>
      <c r="ES499" s="1"/>
      <c r="ET499" s="1"/>
      <c r="EU499" s="105"/>
    </row>
    <row r="500" spans="9:151">
      <c r="I500" s="137"/>
      <c r="J500" s="375"/>
      <c r="K500" s="1"/>
      <c r="L500" s="1"/>
      <c r="M500" s="376"/>
      <c r="P500" s="375"/>
      <c r="S500" s="55"/>
      <c r="T500" s="375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74"/>
      <c r="AO500" s="374"/>
      <c r="AP500" s="106"/>
      <c r="AQ500" s="374"/>
      <c r="AR500" s="106"/>
      <c r="AS500" s="106"/>
      <c r="AT500" s="106"/>
      <c r="AU500" s="106"/>
      <c r="AV500" s="31"/>
      <c r="AW500" s="31"/>
      <c r="AX500" s="31"/>
      <c r="AY500" s="154"/>
      <c r="AZ500" s="154"/>
      <c r="BA500" s="106"/>
      <c r="BB500" s="106"/>
      <c r="BC500" s="106"/>
      <c r="BD500" s="106"/>
      <c r="BE500" s="106"/>
      <c r="BF500" s="107"/>
      <c r="BG500" s="107"/>
      <c r="BH500" s="105"/>
      <c r="BI500" s="107"/>
      <c r="BJ500" s="106"/>
      <c r="BK500" s="108"/>
      <c r="BL500" s="159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7"/>
      <c r="CC500" s="107"/>
      <c r="CD500" s="107"/>
      <c r="CE500" s="107"/>
      <c r="CF500" s="107"/>
      <c r="CG500" s="107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10"/>
      <c r="DH500" s="475"/>
      <c r="DI500" s="1"/>
      <c r="DJ500" s="55"/>
      <c r="DK500" s="475"/>
      <c r="DL500" s="54"/>
      <c r="DM500" s="54"/>
      <c r="DN500" s="54"/>
      <c r="DO500" s="54"/>
      <c r="DP500" s="54"/>
      <c r="DQ500" s="54"/>
      <c r="DR500" s="54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L500" s="55"/>
      <c r="EM500" s="1"/>
      <c r="EN500" s="105"/>
      <c r="EO500" s="106"/>
      <c r="EP500" s="1"/>
      <c r="EQ500" s="106"/>
      <c r="ER500" s="1"/>
      <c r="ES500" s="1"/>
      <c r="ET500" s="1"/>
      <c r="EU500" s="105"/>
    </row>
    <row r="501" spans="9:151">
      <c r="I501" s="137"/>
      <c r="J501" s="375"/>
      <c r="K501" s="1"/>
      <c r="L501" s="1"/>
      <c r="M501" s="376"/>
      <c r="P501" s="375"/>
      <c r="S501" s="55"/>
      <c r="T501" s="375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74"/>
      <c r="AO501" s="374"/>
      <c r="AP501" s="106"/>
      <c r="AQ501" s="374"/>
      <c r="AR501" s="106"/>
      <c r="AS501" s="106"/>
      <c r="AT501" s="106"/>
      <c r="AU501" s="106"/>
      <c r="AV501" s="31"/>
      <c r="AW501" s="31"/>
      <c r="AX501" s="31"/>
      <c r="AY501" s="154"/>
      <c r="AZ501" s="154"/>
      <c r="BA501" s="106"/>
      <c r="BB501" s="106"/>
      <c r="BC501" s="106"/>
      <c r="BD501" s="106"/>
      <c r="BE501" s="106"/>
      <c r="BF501" s="107"/>
      <c r="BG501" s="107"/>
      <c r="BH501" s="105"/>
      <c r="BI501" s="107"/>
      <c r="BJ501" s="106"/>
      <c r="BK501" s="108"/>
      <c r="BL501" s="159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7"/>
      <c r="CC501" s="107"/>
      <c r="CD501" s="107"/>
      <c r="CE501" s="107"/>
      <c r="CF501" s="107"/>
      <c r="CG501" s="107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10"/>
      <c r="DH501" s="475"/>
      <c r="DI501" s="1"/>
      <c r="DJ501" s="55"/>
      <c r="DK501" s="475"/>
      <c r="DL501" s="54"/>
      <c r="DM501" s="54"/>
      <c r="DN501" s="54"/>
      <c r="DO501" s="54"/>
      <c r="DP501" s="54"/>
      <c r="DQ501" s="54"/>
      <c r="DR501" s="54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L501" s="55"/>
      <c r="EM501" s="1"/>
      <c r="EN501" s="105"/>
      <c r="EO501" s="106"/>
      <c r="EP501" s="1"/>
      <c r="EQ501" s="106"/>
      <c r="ER501" s="1"/>
      <c r="ES501" s="1"/>
      <c r="ET501" s="1"/>
      <c r="EU501" s="105"/>
    </row>
    <row r="502" spans="9:151">
      <c r="I502" s="137"/>
      <c r="J502" s="375"/>
      <c r="K502" s="1"/>
      <c r="L502" s="1"/>
      <c r="M502" s="376"/>
      <c r="P502" s="375"/>
      <c r="S502" s="55"/>
      <c r="T502" s="375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74"/>
      <c r="AO502" s="374"/>
      <c r="AP502" s="106"/>
      <c r="AQ502" s="374"/>
      <c r="AR502" s="106"/>
      <c r="AS502" s="106"/>
      <c r="AT502" s="106"/>
      <c r="AU502" s="106"/>
      <c r="AV502" s="31"/>
      <c r="AW502" s="31"/>
      <c r="AX502" s="31"/>
      <c r="AY502" s="154"/>
      <c r="AZ502" s="154"/>
      <c r="BA502" s="106"/>
      <c r="BB502" s="106"/>
      <c r="BC502" s="106"/>
      <c r="BD502" s="106"/>
      <c r="BE502" s="106"/>
      <c r="BF502" s="107"/>
      <c r="BG502" s="107"/>
      <c r="BH502" s="105"/>
      <c r="BI502" s="107"/>
      <c r="BJ502" s="106"/>
      <c r="BK502" s="108"/>
      <c r="BL502" s="159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7"/>
      <c r="CC502" s="107"/>
      <c r="CD502" s="107"/>
      <c r="CE502" s="107"/>
      <c r="CF502" s="107"/>
      <c r="CG502" s="107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10"/>
      <c r="DH502" s="475"/>
      <c r="DI502" s="1"/>
      <c r="DJ502" s="55"/>
      <c r="DK502" s="475"/>
      <c r="DL502" s="54"/>
      <c r="DM502" s="54"/>
      <c r="DN502" s="54"/>
      <c r="DO502" s="54"/>
      <c r="DP502" s="54"/>
      <c r="DQ502" s="54"/>
      <c r="DR502" s="54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L502" s="55"/>
      <c r="EM502" s="1"/>
      <c r="EN502" s="105"/>
      <c r="EO502" s="106"/>
      <c r="EP502" s="1"/>
      <c r="EQ502" s="106"/>
      <c r="ER502" s="1"/>
      <c r="ES502" s="1"/>
      <c r="ET502" s="1"/>
      <c r="EU502" s="105"/>
    </row>
    <row r="503" spans="9:151">
      <c r="I503" s="137"/>
      <c r="J503" s="375"/>
      <c r="K503" s="1"/>
      <c r="L503" s="1"/>
      <c r="M503" s="376"/>
      <c r="P503" s="375"/>
      <c r="S503" s="55"/>
      <c r="T503" s="375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74"/>
      <c r="AO503" s="374"/>
      <c r="AP503" s="106"/>
      <c r="AQ503" s="374"/>
      <c r="AR503" s="106"/>
      <c r="AS503" s="106"/>
      <c r="AT503" s="106"/>
      <c r="AU503" s="106"/>
      <c r="AV503" s="31"/>
      <c r="AW503" s="31"/>
      <c r="AX503" s="31"/>
      <c r="AY503" s="154"/>
      <c r="AZ503" s="154"/>
      <c r="BA503" s="106"/>
      <c r="BB503" s="106"/>
      <c r="BC503" s="106"/>
      <c r="BD503" s="106"/>
      <c r="BE503" s="106"/>
      <c r="BF503" s="107"/>
      <c r="BG503" s="107"/>
      <c r="BH503" s="105"/>
      <c r="BI503" s="107"/>
      <c r="BJ503" s="106"/>
      <c r="BK503" s="108"/>
      <c r="BL503" s="159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7"/>
      <c r="CC503" s="107"/>
      <c r="CD503" s="107"/>
      <c r="CE503" s="107"/>
      <c r="CF503" s="107"/>
      <c r="CG503" s="107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10"/>
      <c r="DH503" s="475"/>
      <c r="DI503" s="1"/>
      <c r="DJ503" s="55"/>
      <c r="DK503" s="475"/>
      <c r="DL503" s="54"/>
      <c r="DM503" s="54"/>
      <c r="DN503" s="54"/>
      <c r="DO503" s="54"/>
      <c r="DP503" s="54"/>
      <c r="DQ503" s="54"/>
      <c r="DR503" s="54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L503" s="55"/>
      <c r="EM503" s="1"/>
      <c r="EN503" s="105"/>
      <c r="EO503" s="106"/>
      <c r="EP503" s="1"/>
      <c r="EQ503" s="106"/>
      <c r="ER503" s="1"/>
      <c r="ES503" s="1"/>
      <c r="ET503" s="1"/>
      <c r="EU503" s="105"/>
    </row>
    <row r="504" spans="9:151">
      <c r="I504" s="137"/>
      <c r="J504" s="375"/>
      <c r="K504" s="1"/>
      <c r="L504" s="1"/>
      <c r="M504" s="376"/>
      <c r="P504" s="375"/>
      <c r="S504" s="55"/>
      <c r="T504" s="375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74"/>
      <c r="AO504" s="374"/>
      <c r="AP504" s="106"/>
      <c r="AQ504" s="374"/>
      <c r="AR504" s="106"/>
      <c r="AS504" s="106"/>
      <c r="AT504" s="106"/>
      <c r="AU504" s="106"/>
      <c r="AV504" s="31"/>
      <c r="AW504" s="31"/>
      <c r="AX504" s="31"/>
      <c r="AY504" s="154"/>
      <c r="AZ504" s="154"/>
      <c r="BA504" s="106"/>
      <c r="BB504" s="106"/>
      <c r="BC504" s="106"/>
      <c r="BD504" s="106"/>
      <c r="BE504" s="106"/>
      <c r="BF504" s="107"/>
      <c r="BG504" s="107"/>
      <c r="BH504" s="105"/>
      <c r="BI504" s="107"/>
      <c r="BJ504" s="106"/>
      <c r="BK504" s="108"/>
      <c r="BL504" s="159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7"/>
      <c r="CC504" s="107"/>
      <c r="CD504" s="107"/>
      <c r="CE504" s="107"/>
      <c r="CF504" s="107"/>
      <c r="CG504" s="107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10"/>
      <c r="DH504" s="475"/>
      <c r="DI504" s="1"/>
      <c r="DJ504" s="55"/>
      <c r="DK504" s="475"/>
      <c r="DL504" s="54"/>
      <c r="DM504" s="54"/>
      <c r="DN504" s="54"/>
      <c r="DO504" s="54"/>
      <c r="DP504" s="54"/>
      <c r="DQ504" s="54"/>
      <c r="DR504" s="54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L504" s="55"/>
      <c r="EM504" s="1"/>
      <c r="EN504" s="105"/>
      <c r="EO504" s="106"/>
      <c r="EP504" s="1"/>
      <c r="EQ504" s="106"/>
      <c r="ER504" s="1"/>
      <c r="ES504" s="1"/>
      <c r="ET504" s="1"/>
      <c r="EU504" s="105"/>
    </row>
    <row r="505" spans="9:151">
      <c r="I505" s="137"/>
      <c r="J505" s="375"/>
      <c r="K505" s="1"/>
      <c r="L505" s="1"/>
      <c r="M505" s="376"/>
      <c r="P505" s="375"/>
      <c r="S505" s="55"/>
      <c r="T505" s="375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74"/>
      <c r="AO505" s="374"/>
      <c r="AP505" s="106"/>
      <c r="AQ505" s="374"/>
      <c r="AR505" s="106"/>
      <c r="AS505" s="106"/>
      <c r="AT505" s="106"/>
      <c r="AU505" s="106"/>
      <c r="AV505" s="31"/>
      <c r="AW505" s="31"/>
      <c r="AX505" s="31"/>
      <c r="AY505" s="154"/>
      <c r="AZ505" s="154"/>
      <c r="BA505" s="106"/>
      <c r="BB505" s="106"/>
      <c r="BC505" s="106"/>
      <c r="BD505" s="106"/>
      <c r="BE505" s="106"/>
      <c r="BF505" s="107"/>
      <c r="BG505" s="107"/>
      <c r="BH505" s="105"/>
      <c r="BI505" s="107"/>
      <c r="BJ505" s="106"/>
      <c r="BK505" s="108"/>
      <c r="BL505" s="159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7"/>
      <c r="CC505" s="107"/>
      <c r="CD505" s="107"/>
      <c r="CE505" s="107"/>
      <c r="CF505" s="107"/>
      <c r="CG505" s="107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10"/>
      <c r="DH505" s="475"/>
      <c r="DI505" s="1"/>
      <c r="DJ505" s="55"/>
      <c r="DK505" s="475"/>
      <c r="DL505" s="54"/>
      <c r="DM505" s="54"/>
      <c r="DN505" s="54"/>
      <c r="DO505" s="54"/>
      <c r="DP505" s="54"/>
      <c r="DQ505" s="54"/>
      <c r="DR505" s="54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L505" s="55"/>
      <c r="EM505" s="1"/>
      <c r="EN505" s="105"/>
      <c r="EO505" s="106"/>
      <c r="EP505" s="1"/>
      <c r="EQ505" s="106"/>
      <c r="ER505" s="1"/>
      <c r="ES505" s="1"/>
      <c r="ET505" s="1"/>
      <c r="EU505" s="105"/>
    </row>
    <row r="506" spans="9:151">
      <c r="I506" s="137"/>
      <c r="J506" s="375"/>
      <c r="K506" s="1"/>
      <c r="L506" s="1"/>
      <c r="M506" s="376"/>
      <c r="P506" s="375"/>
      <c r="S506" s="55"/>
      <c r="T506" s="375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74"/>
      <c r="AO506" s="374"/>
      <c r="AP506" s="106"/>
      <c r="AQ506" s="374"/>
      <c r="AR506" s="106"/>
      <c r="AS506" s="106"/>
      <c r="AT506" s="106"/>
      <c r="AU506" s="106"/>
      <c r="AV506" s="31"/>
      <c r="AW506" s="31"/>
      <c r="AX506" s="31"/>
      <c r="AY506" s="154"/>
      <c r="AZ506" s="154"/>
      <c r="BA506" s="106"/>
      <c r="BB506" s="106"/>
      <c r="BC506" s="106"/>
      <c r="BD506" s="106"/>
      <c r="BE506" s="106"/>
      <c r="BF506" s="107"/>
      <c r="BG506" s="107"/>
      <c r="BH506" s="105"/>
      <c r="BI506" s="107"/>
      <c r="BJ506" s="106"/>
      <c r="BK506" s="108"/>
      <c r="BL506" s="159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7"/>
      <c r="CC506" s="107"/>
      <c r="CD506" s="107"/>
      <c r="CE506" s="107"/>
      <c r="CF506" s="107"/>
      <c r="CG506" s="107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10"/>
      <c r="DH506" s="475"/>
      <c r="DI506" s="1"/>
      <c r="DJ506" s="55"/>
      <c r="DK506" s="475"/>
      <c r="DL506" s="54"/>
      <c r="DM506" s="54"/>
      <c r="DN506" s="54"/>
      <c r="DO506" s="54"/>
      <c r="DP506" s="54"/>
      <c r="DQ506" s="54"/>
      <c r="DR506" s="54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L506" s="55"/>
      <c r="EM506" s="1"/>
      <c r="EN506" s="105"/>
      <c r="EO506" s="106"/>
      <c r="EP506" s="1"/>
      <c r="EQ506" s="106"/>
      <c r="ER506" s="1"/>
      <c r="ES506" s="1"/>
      <c r="ET506" s="1"/>
      <c r="EU506" s="105"/>
    </row>
    <row r="507" spans="9:151">
      <c r="I507" s="137"/>
      <c r="J507" s="375"/>
      <c r="K507" s="1"/>
      <c r="L507" s="1"/>
      <c r="M507" s="376"/>
      <c r="P507" s="375"/>
      <c r="S507" s="55"/>
      <c r="T507" s="375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74"/>
      <c r="AO507" s="374"/>
      <c r="AP507" s="106"/>
      <c r="AQ507" s="374"/>
      <c r="AR507" s="106"/>
      <c r="AS507" s="106"/>
      <c r="AT507" s="106"/>
      <c r="AU507" s="106"/>
      <c r="AV507" s="31"/>
      <c r="AW507" s="31"/>
      <c r="AX507" s="31"/>
      <c r="AY507" s="154"/>
      <c r="AZ507" s="154"/>
      <c r="BA507" s="106"/>
      <c r="BB507" s="106"/>
      <c r="BC507" s="106"/>
      <c r="BD507" s="106"/>
      <c r="BE507" s="106"/>
      <c r="BF507" s="107"/>
      <c r="BG507" s="107"/>
      <c r="BH507" s="105"/>
      <c r="BI507" s="107"/>
      <c r="BJ507" s="106"/>
      <c r="BK507" s="108"/>
      <c r="BL507" s="159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7"/>
      <c r="CC507" s="107"/>
      <c r="CD507" s="107"/>
      <c r="CE507" s="107"/>
      <c r="CF507" s="107"/>
      <c r="CG507" s="107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10"/>
      <c r="DH507" s="475"/>
      <c r="DI507" s="1"/>
      <c r="DJ507" s="55"/>
      <c r="DK507" s="475"/>
      <c r="DL507" s="54"/>
      <c r="DM507" s="54"/>
      <c r="DN507" s="54"/>
      <c r="DO507" s="54"/>
      <c r="DP507" s="54"/>
      <c r="DQ507" s="54"/>
      <c r="DR507" s="54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L507" s="55"/>
      <c r="EM507" s="1"/>
      <c r="EN507" s="105"/>
      <c r="EO507" s="106"/>
      <c r="EP507" s="1"/>
      <c r="EQ507" s="106"/>
      <c r="ER507" s="1"/>
      <c r="ES507" s="1"/>
      <c r="ET507" s="1"/>
      <c r="EU507" s="105"/>
    </row>
    <row r="508" spans="9:151">
      <c r="I508" s="137"/>
      <c r="J508" s="375"/>
      <c r="K508" s="1"/>
      <c r="L508" s="1"/>
      <c r="M508" s="376"/>
      <c r="P508" s="375"/>
      <c r="S508" s="55"/>
      <c r="T508" s="375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74"/>
      <c r="AO508" s="374"/>
      <c r="AP508" s="106"/>
      <c r="AQ508" s="374"/>
      <c r="AR508" s="106"/>
      <c r="AS508" s="106"/>
      <c r="AT508" s="106"/>
      <c r="AU508" s="106"/>
      <c r="AV508" s="31"/>
      <c r="AW508" s="31"/>
      <c r="AX508" s="31"/>
      <c r="AY508" s="154"/>
      <c r="AZ508" s="154"/>
      <c r="BA508" s="106"/>
      <c r="BB508" s="106"/>
      <c r="BC508" s="106"/>
      <c r="BD508" s="106"/>
      <c r="BE508" s="106"/>
      <c r="BF508" s="107"/>
      <c r="BG508" s="107"/>
      <c r="BH508" s="105"/>
      <c r="BI508" s="107"/>
      <c r="BJ508" s="106"/>
      <c r="BK508" s="108"/>
      <c r="BL508" s="159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7"/>
      <c r="CC508" s="107"/>
      <c r="CD508" s="107"/>
      <c r="CE508" s="107"/>
      <c r="CF508" s="107"/>
      <c r="CG508" s="107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10"/>
      <c r="DH508" s="475"/>
      <c r="DI508" s="1"/>
      <c r="DJ508" s="55"/>
      <c r="DK508" s="475"/>
      <c r="DL508" s="54"/>
      <c r="DM508" s="54"/>
      <c r="DN508" s="54"/>
      <c r="DO508" s="54"/>
      <c r="DP508" s="54"/>
      <c r="DQ508" s="54"/>
      <c r="DR508" s="54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L508" s="55"/>
      <c r="EM508" s="1"/>
      <c r="EN508" s="105"/>
      <c r="EO508" s="106"/>
      <c r="EP508" s="1"/>
      <c r="EQ508" s="106"/>
      <c r="ER508" s="1"/>
      <c r="ES508" s="1"/>
      <c r="ET508" s="1"/>
      <c r="EU508" s="105"/>
    </row>
    <row r="509" spans="9:151">
      <c r="I509" s="137"/>
      <c r="J509" s="375"/>
      <c r="K509" s="1"/>
      <c r="L509" s="1"/>
      <c r="M509" s="376"/>
      <c r="P509" s="375"/>
      <c r="S509" s="55"/>
      <c r="T509" s="375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74"/>
      <c r="AO509" s="374"/>
      <c r="AP509" s="106"/>
      <c r="AQ509" s="374"/>
      <c r="AR509" s="106"/>
      <c r="AS509" s="106"/>
      <c r="AT509" s="106"/>
      <c r="AU509" s="106"/>
      <c r="AV509" s="31"/>
      <c r="AW509" s="31"/>
      <c r="AX509" s="31"/>
      <c r="AY509" s="154"/>
      <c r="AZ509" s="154"/>
      <c r="BA509" s="106"/>
      <c r="BB509" s="106"/>
      <c r="BC509" s="106"/>
      <c r="BD509" s="106"/>
      <c r="BE509" s="106"/>
      <c r="BF509" s="107"/>
      <c r="BG509" s="107"/>
      <c r="BH509" s="105"/>
      <c r="BI509" s="107"/>
      <c r="BJ509" s="106"/>
      <c r="BK509" s="108"/>
      <c r="BL509" s="159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7"/>
      <c r="CC509" s="107"/>
      <c r="CD509" s="107"/>
      <c r="CE509" s="107"/>
      <c r="CF509" s="107"/>
      <c r="CG509" s="107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10"/>
      <c r="DH509" s="475"/>
      <c r="DI509" s="1"/>
      <c r="DJ509" s="55"/>
      <c r="DK509" s="475"/>
      <c r="DL509" s="54"/>
      <c r="DM509" s="54"/>
      <c r="DN509" s="54"/>
      <c r="DO509" s="54"/>
      <c r="DP509" s="54"/>
      <c r="DQ509" s="54"/>
      <c r="DR509" s="54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L509" s="55"/>
      <c r="EM509" s="1"/>
      <c r="EN509" s="105"/>
      <c r="EO509" s="106"/>
      <c r="EP509" s="1"/>
      <c r="EQ509" s="106"/>
      <c r="ER509" s="1"/>
      <c r="ES509" s="1"/>
      <c r="ET509" s="1"/>
      <c r="EU509" s="105"/>
    </row>
    <row r="510" spans="9:151">
      <c r="I510" s="137"/>
      <c r="J510" s="375"/>
      <c r="K510" s="1"/>
      <c r="L510" s="1"/>
      <c r="M510" s="376"/>
      <c r="P510" s="375"/>
      <c r="S510" s="55"/>
      <c r="T510" s="375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74"/>
      <c r="AO510" s="374"/>
      <c r="AP510" s="106"/>
      <c r="AQ510" s="374"/>
      <c r="AR510" s="106"/>
      <c r="AS510" s="106"/>
      <c r="AT510" s="106"/>
      <c r="AU510" s="106"/>
      <c r="AV510" s="31"/>
      <c r="AW510" s="31"/>
      <c r="AX510" s="31"/>
      <c r="AY510" s="154"/>
      <c r="AZ510" s="154"/>
      <c r="BA510" s="106"/>
      <c r="BB510" s="106"/>
      <c r="BC510" s="106"/>
      <c r="BD510" s="106"/>
      <c r="BE510" s="106"/>
      <c r="BF510" s="107"/>
      <c r="BG510" s="107"/>
      <c r="BH510" s="105"/>
      <c r="BI510" s="107"/>
      <c r="BJ510" s="106"/>
      <c r="BK510" s="108"/>
      <c r="BL510" s="159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7"/>
      <c r="CC510" s="107"/>
      <c r="CD510" s="107"/>
      <c r="CE510" s="107"/>
      <c r="CF510" s="107"/>
      <c r="CG510" s="107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10"/>
      <c r="DH510" s="475"/>
      <c r="DI510" s="1"/>
      <c r="DJ510" s="55"/>
      <c r="DK510" s="475"/>
      <c r="DL510" s="54"/>
      <c r="DM510" s="54"/>
      <c r="DN510" s="54"/>
      <c r="DO510" s="54"/>
      <c r="DP510" s="54"/>
      <c r="DQ510" s="54"/>
      <c r="DR510" s="54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L510" s="55"/>
      <c r="EM510" s="1"/>
      <c r="EN510" s="105"/>
      <c r="EO510" s="106"/>
      <c r="EP510" s="1"/>
      <c r="EQ510" s="106"/>
      <c r="ER510" s="1"/>
      <c r="ES510" s="1"/>
      <c r="ET510" s="1"/>
      <c r="EU510" s="105"/>
    </row>
    <row r="511" spans="9:151">
      <c r="I511" s="137"/>
      <c r="J511" s="375"/>
      <c r="K511" s="1"/>
      <c r="L511" s="1"/>
      <c r="M511" s="376"/>
      <c r="P511" s="375"/>
      <c r="S511" s="55"/>
      <c r="T511" s="375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74"/>
      <c r="AO511" s="374"/>
      <c r="AP511" s="106"/>
      <c r="AQ511" s="374"/>
      <c r="AR511" s="106"/>
      <c r="AS511" s="106"/>
      <c r="AT511" s="106"/>
      <c r="AU511" s="106"/>
      <c r="AV511" s="31"/>
      <c r="AW511" s="31"/>
      <c r="AX511" s="31"/>
      <c r="AY511" s="154"/>
      <c r="AZ511" s="154"/>
      <c r="BA511" s="106"/>
      <c r="BB511" s="106"/>
      <c r="BC511" s="106"/>
      <c r="BD511" s="106"/>
      <c r="BE511" s="106"/>
      <c r="BF511" s="107"/>
      <c r="BG511" s="107"/>
      <c r="BH511" s="105"/>
      <c r="BI511" s="107"/>
      <c r="BJ511" s="106"/>
      <c r="BK511" s="108"/>
      <c r="BL511" s="159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7"/>
      <c r="CC511" s="107"/>
      <c r="CD511" s="107"/>
      <c r="CE511" s="107"/>
      <c r="CF511" s="107"/>
      <c r="CG511" s="107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10"/>
      <c r="DH511" s="475"/>
      <c r="DI511" s="1"/>
      <c r="DJ511" s="55"/>
      <c r="DK511" s="475"/>
      <c r="DL511" s="54"/>
      <c r="DM511" s="54"/>
      <c r="DN511" s="54"/>
      <c r="DO511" s="54"/>
      <c r="DP511" s="54"/>
      <c r="DQ511" s="54"/>
      <c r="DR511" s="54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L511" s="55"/>
      <c r="EM511" s="1"/>
      <c r="EN511" s="105"/>
      <c r="EO511" s="106"/>
      <c r="EP511" s="1"/>
      <c r="EQ511" s="106"/>
      <c r="ER511" s="1"/>
      <c r="ES511" s="1"/>
      <c r="ET511" s="1"/>
      <c r="EU511" s="105"/>
    </row>
    <row r="512" spans="9:151">
      <c r="I512" s="137"/>
      <c r="J512" s="375"/>
      <c r="K512" s="1"/>
      <c r="L512" s="1"/>
      <c r="M512" s="376"/>
      <c r="P512" s="375"/>
      <c r="S512" s="55"/>
      <c r="T512" s="375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74"/>
      <c r="AO512" s="374"/>
      <c r="AP512" s="106"/>
      <c r="AQ512" s="374"/>
      <c r="AR512" s="106"/>
      <c r="AS512" s="106"/>
      <c r="AT512" s="106"/>
      <c r="AU512" s="106"/>
      <c r="AV512" s="31"/>
      <c r="AW512" s="31"/>
      <c r="AX512" s="31"/>
      <c r="AY512" s="154"/>
      <c r="AZ512" s="154"/>
      <c r="BA512" s="106"/>
      <c r="BB512" s="106"/>
      <c r="BC512" s="106"/>
      <c r="BD512" s="106"/>
      <c r="BE512" s="106"/>
      <c r="BF512" s="107"/>
      <c r="BG512" s="107"/>
      <c r="BH512" s="105"/>
      <c r="BI512" s="107"/>
      <c r="BJ512" s="106"/>
      <c r="BK512" s="108"/>
      <c r="BL512" s="159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7"/>
      <c r="CC512" s="107"/>
      <c r="CD512" s="107"/>
      <c r="CE512" s="107"/>
      <c r="CF512" s="107"/>
      <c r="CG512" s="107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10"/>
      <c r="DH512" s="475"/>
      <c r="DI512" s="1"/>
      <c r="DJ512" s="55"/>
      <c r="DK512" s="475"/>
      <c r="DL512" s="54"/>
      <c r="DM512" s="54"/>
      <c r="DN512" s="54"/>
      <c r="DO512" s="54"/>
      <c r="DP512" s="54"/>
      <c r="DQ512" s="54"/>
      <c r="DR512" s="54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L512" s="55"/>
      <c r="EM512" s="1"/>
      <c r="EN512" s="105"/>
      <c r="EO512" s="106"/>
      <c r="EP512" s="1"/>
      <c r="EQ512" s="106"/>
      <c r="ER512" s="1"/>
      <c r="ES512" s="1"/>
      <c r="ET512" s="1"/>
      <c r="EU512" s="105"/>
    </row>
    <row r="513" spans="9:151">
      <c r="I513" s="137"/>
      <c r="J513" s="375"/>
      <c r="K513" s="1"/>
      <c r="L513" s="1"/>
      <c r="M513" s="376"/>
      <c r="P513" s="375"/>
      <c r="S513" s="55"/>
      <c r="T513" s="375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74"/>
      <c r="AO513" s="374"/>
      <c r="AP513" s="106"/>
      <c r="AQ513" s="374"/>
      <c r="AR513" s="106"/>
      <c r="AS513" s="106"/>
      <c r="AT513" s="106"/>
      <c r="AU513" s="106"/>
      <c r="AV513" s="31"/>
      <c r="AW513" s="31"/>
      <c r="AX513" s="31"/>
      <c r="AY513" s="154"/>
      <c r="AZ513" s="154"/>
      <c r="BA513" s="106"/>
      <c r="BB513" s="106"/>
      <c r="BC513" s="106"/>
      <c r="BD513" s="106"/>
      <c r="BE513" s="106"/>
      <c r="BF513" s="107"/>
      <c r="BG513" s="107"/>
      <c r="BH513" s="105"/>
      <c r="BI513" s="107"/>
      <c r="BJ513" s="106"/>
      <c r="BK513" s="108"/>
      <c r="BL513" s="159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7"/>
      <c r="CC513" s="107"/>
      <c r="CD513" s="107"/>
      <c r="CE513" s="107"/>
      <c r="CF513" s="107"/>
      <c r="CG513" s="107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10"/>
      <c r="DH513" s="475"/>
      <c r="DI513" s="1"/>
      <c r="DJ513" s="55"/>
      <c r="DK513" s="475"/>
      <c r="DL513" s="54"/>
      <c r="DM513" s="54"/>
      <c r="DN513" s="54"/>
      <c r="DO513" s="54"/>
      <c r="DP513" s="54"/>
      <c r="DQ513" s="54"/>
      <c r="DR513" s="54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L513" s="55"/>
      <c r="EM513" s="1"/>
      <c r="EN513" s="105"/>
      <c r="EO513" s="106"/>
      <c r="EP513" s="1"/>
      <c r="EQ513" s="106"/>
      <c r="ER513" s="1"/>
      <c r="ES513" s="1"/>
      <c r="ET513" s="1"/>
      <c r="EU513" s="105"/>
    </row>
    <row r="514" spans="9:151">
      <c r="I514" s="137"/>
      <c r="J514" s="375"/>
      <c r="K514" s="1"/>
      <c r="L514" s="1"/>
      <c r="M514" s="376"/>
      <c r="P514" s="375"/>
      <c r="S514" s="55"/>
      <c r="T514" s="375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74"/>
      <c r="AO514" s="374"/>
      <c r="AP514" s="106"/>
      <c r="AQ514" s="374"/>
      <c r="AR514" s="106"/>
      <c r="AS514" s="106"/>
      <c r="AT514" s="106"/>
      <c r="AU514" s="106"/>
      <c r="AV514" s="31"/>
      <c r="AW514" s="31"/>
      <c r="AX514" s="31"/>
      <c r="AY514" s="154"/>
      <c r="AZ514" s="154"/>
      <c r="BA514" s="106"/>
      <c r="BB514" s="106"/>
      <c r="BC514" s="106"/>
      <c r="BD514" s="106"/>
      <c r="BE514" s="106"/>
      <c r="BF514" s="107"/>
      <c r="BG514" s="107"/>
      <c r="BH514" s="105"/>
      <c r="BI514" s="107"/>
      <c r="BJ514" s="106"/>
      <c r="BK514" s="108"/>
      <c r="BL514" s="159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7"/>
      <c r="CC514" s="107"/>
      <c r="CD514" s="107"/>
      <c r="CE514" s="107"/>
      <c r="CF514" s="107"/>
      <c r="CG514" s="107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10"/>
      <c r="DH514" s="475"/>
      <c r="DI514" s="1"/>
      <c r="DJ514" s="55"/>
      <c r="DK514" s="475"/>
      <c r="DL514" s="54"/>
      <c r="DM514" s="54"/>
      <c r="DN514" s="54"/>
      <c r="DO514" s="54"/>
      <c r="DP514" s="54"/>
      <c r="DQ514" s="54"/>
      <c r="DR514" s="54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L514" s="55"/>
      <c r="EM514" s="1"/>
      <c r="EN514" s="105"/>
      <c r="EO514" s="106"/>
      <c r="EP514" s="1"/>
      <c r="EQ514" s="106"/>
      <c r="ER514" s="1"/>
      <c r="ES514" s="1"/>
      <c r="ET514" s="1"/>
      <c r="EU514" s="105"/>
    </row>
    <row r="515" spans="9:151">
      <c r="I515" s="137"/>
      <c r="J515" s="375"/>
      <c r="K515" s="1"/>
      <c r="L515" s="1"/>
      <c r="M515" s="376"/>
      <c r="P515" s="375"/>
      <c r="S515" s="55"/>
      <c r="T515" s="375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74"/>
      <c r="AO515" s="374"/>
      <c r="AP515" s="106"/>
      <c r="AQ515" s="374"/>
      <c r="AR515" s="106"/>
      <c r="AS515" s="106"/>
      <c r="AT515" s="106"/>
      <c r="AU515" s="106"/>
      <c r="AV515" s="31"/>
      <c r="AW515" s="31"/>
      <c r="AX515" s="31"/>
      <c r="AY515" s="154"/>
      <c r="AZ515" s="154"/>
      <c r="BA515" s="106"/>
      <c r="BB515" s="106"/>
      <c r="BC515" s="106"/>
      <c r="BD515" s="106"/>
      <c r="BE515" s="106"/>
      <c r="BF515" s="107"/>
      <c r="BG515" s="107"/>
      <c r="BH515" s="105"/>
      <c r="BI515" s="107"/>
      <c r="BJ515" s="106"/>
      <c r="BK515" s="108"/>
      <c r="BL515" s="159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7"/>
      <c r="CC515" s="107"/>
      <c r="CD515" s="107"/>
      <c r="CE515" s="107"/>
      <c r="CF515" s="107"/>
      <c r="CG515" s="107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10"/>
      <c r="DH515" s="475"/>
      <c r="DI515" s="1"/>
      <c r="DJ515" s="55"/>
      <c r="DK515" s="475"/>
      <c r="DL515" s="54"/>
      <c r="DM515" s="54"/>
      <c r="DN515" s="54"/>
      <c r="DO515" s="54"/>
      <c r="DP515" s="54"/>
      <c r="DQ515" s="54"/>
      <c r="DR515" s="54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L515" s="55"/>
      <c r="EM515" s="1"/>
      <c r="EN515" s="105"/>
      <c r="EO515" s="106"/>
      <c r="EP515" s="1"/>
      <c r="EQ515" s="106"/>
      <c r="ER515" s="1"/>
      <c r="ES515" s="1"/>
      <c r="ET515" s="1"/>
      <c r="EU515" s="105"/>
    </row>
    <row r="516" spans="9:151">
      <c r="I516" s="137"/>
      <c r="J516" s="375"/>
      <c r="K516" s="1"/>
      <c r="L516" s="1"/>
      <c r="M516" s="376"/>
      <c r="P516" s="375"/>
      <c r="S516" s="55"/>
      <c r="T516" s="375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74"/>
      <c r="AO516" s="374"/>
      <c r="AP516" s="106"/>
      <c r="AQ516" s="374"/>
      <c r="AR516" s="106"/>
      <c r="AS516" s="106"/>
      <c r="AT516" s="106"/>
      <c r="AU516" s="106"/>
      <c r="AV516" s="31"/>
      <c r="AW516" s="31"/>
      <c r="AX516" s="31"/>
      <c r="AY516" s="154"/>
      <c r="AZ516" s="154"/>
      <c r="BA516" s="106"/>
      <c r="BB516" s="106"/>
      <c r="BC516" s="106"/>
      <c r="BD516" s="106"/>
      <c r="BE516" s="106"/>
      <c r="BF516" s="107"/>
      <c r="BG516" s="107"/>
      <c r="BH516" s="105"/>
      <c r="BI516" s="107"/>
      <c r="BJ516" s="106"/>
      <c r="BK516" s="108"/>
      <c r="BL516" s="159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7"/>
      <c r="CC516" s="107"/>
      <c r="CD516" s="107"/>
      <c r="CE516" s="107"/>
      <c r="CF516" s="107"/>
      <c r="CG516" s="107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10"/>
      <c r="DH516" s="475"/>
      <c r="DI516" s="1"/>
      <c r="DJ516" s="55"/>
      <c r="DK516" s="475"/>
      <c r="DL516" s="54"/>
      <c r="DM516" s="54"/>
      <c r="DN516" s="54"/>
      <c r="DO516" s="54"/>
      <c r="DP516" s="54"/>
      <c r="DQ516" s="54"/>
      <c r="DR516" s="54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L516" s="55"/>
      <c r="EM516" s="1"/>
      <c r="EN516" s="105"/>
      <c r="EO516" s="106"/>
      <c r="EP516" s="1"/>
      <c r="EQ516" s="106"/>
      <c r="ER516" s="1"/>
      <c r="ES516" s="1"/>
      <c r="ET516" s="1"/>
      <c r="EU516" s="105"/>
    </row>
    <row r="517" spans="9:151">
      <c r="I517" s="137"/>
      <c r="J517" s="375"/>
      <c r="K517" s="1"/>
      <c r="L517" s="1"/>
      <c r="M517" s="376"/>
      <c r="P517" s="375"/>
      <c r="S517" s="55"/>
      <c r="T517" s="375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74"/>
      <c r="AO517" s="374"/>
      <c r="AP517" s="106"/>
      <c r="AQ517" s="374"/>
      <c r="AR517" s="106"/>
      <c r="AS517" s="106"/>
      <c r="AT517" s="106"/>
      <c r="AU517" s="106"/>
      <c r="AV517" s="31"/>
      <c r="AW517" s="31"/>
      <c r="AX517" s="31"/>
      <c r="AY517" s="154"/>
      <c r="AZ517" s="154"/>
      <c r="BA517" s="106"/>
      <c r="BB517" s="106"/>
      <c r="BC517" s="106"/>
      <c r="BD517" s="106"/>
      <c r="BE517" s="106"/>
      <c r="BF517" s="107"/>
      <c r="BG517" s="107"/>
      <c r="BH517" s="105"/>
      <c r="BI517" s="107"/>
      <c r="BJ517" s="106"/>
      <c r="BK517" s="108"/>
      <c r="BL517" s="159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7"/>
      <c r="CC517" s="107"/>
      <c r="CD517" s="107"/>
      <c r="CE517" s="107"/>
      <c r="CF517" s="107"/>
      <c r="CG517" s="107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10"/>
      <c r="DH517" s="475"/>
      <c r="DI517" s="1"/>
      <c r="DJ517" s="55"/>
      <c r="DK517" s="475"/>
      <c r="DL517" s="54"/>
      <c r="DM517" s="54"/>
      <c r="DN517" s="54"/>
      <c r="DO517" s="54"/>
      <c r="DP517" s="54"/>
      <c r="DQ517" s="54"/>
      <c r="DR517" s="54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L517" s="55"/>
      <c r="EM517" s="1"/>
      <c r="EN517" s="105"/>
      <c r="EO517" s="106"/>
      <c r="EP517" s="1"/>
      <c r="EQ517" s="106"/>
      <c r="ER517" s="1"/>
      <c r="ES517" s="1"/>
      <c r="ET517" s="1"/>
      <c r="EU517" s="105"/>
    </row>
    <row r="518" spans="9:151">
      <c r="I518" s="137"/>
      <c r="J518" s="375"/>
      <c r="K518" s="1"/>
      <c r="L518" s="1"/>
      <c r="M518" s="376"/>
      <c r="P518" s="375"/>
      <c r="S518" s="55"/>
      <c r="T518" s="375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74"/>
      <c r="AO518" s="374"/>
      <c r="AP518" s="106"/>
      <c r="AQ518" s="374"/>
      <c r="AR518" s="106"/>
      <c r="AS518" s="106"/>
      <c r="AT518" s="106"/>
      <c r="AU518" s="106"/>
      <c r="AV518" s="31"/>
      <c r="AW518" s="31"/>
      <c r="AX518" s="31"/>
      <c r="AY518" s="154"/>
      <c r="AZ518" s="154"/>
      <c r="BA518" s="106"/>
      <c r="BB518" s="106"/>
      <c r="BC518" s="106"/>
      <c r="BD518" s="106"/>
      <c r="BE518" s="106"/>
      <c r="BF518" s="107"/>
      <c r="BG518" s="107"/>
      <c r="BH518" s="105"/>
      <c r="BI518" s="107"/>
      <c r="BJ518" s="106"/>
      <c r="BK518" s="108"/>
      <c r="BL518" s="159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7"/>
      <c r="CC518" s="107"/>
      <c r="CD518" s="107"/>
      <c r="CE518" s="107"/>
      <c r="CF518" s="107"/>
      <c r="CG518" s="107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10"/>
      <c r="DH518" s="475"/>
      <c r="DI518" s="1"/>
      <c r="DJ518" s="55"/>
      <c r="DK518" s="475"/>
      <c r="DL518" s="54"/>
      <c r="DM518" s="54"/>
      <c r="DN518" s="54"/>
      <c r="DO518" s="54"/>
      <c r="DP518" s="54"/>
      <c r="DQ518" s="54"/>
      <c r="DR518" s="54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L518" s="55"/>
      <c r="EM518" s="1"/>
      <c r="EN518" s="105"/>
      <c r="EO518" s="106"/>
      <c r="EP518" s="1"/>
      <c r="EQ518" s="106"/>
      <c r="ER518" s="1"/>
      <c r="ES518" s="1"/>
      <c r="ET518" s="1"/>
      <c r="EU518" s="105"/>
    </row>
    <row r="519" spans="9:151">
      <c r="I519" s="137"/>
      <c r="J519" s="375"/>
      <c r="K519" s="1"/>
      <c r="L519" s="1"/>
      <c r="M519" s="376"/>
      <c r="P519" s="375"/>
      <c r="S519" s="55"/>
      <c r="T519" s="375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74"/>
      <c r="AO519" s="374"/>
      <c r="AP519" s="106"/>
      <c r="AQ519" s="374"/>
      <c r="AR519" s="106"/>
      <c r="AS519" s="106"/>
      <c r="AT519" s="106"/>
      <c r="AU519" s="106"/>
      <c r="AV519" s="31"/>
      <c r="AW519" s="31"/>
      <c r="AX519" s="31"/>
      <c r="AY519" s="154"/>
      <c r="AZ519" s="154"/>
      <c r="BA519" s="106"/>
      <c r="BB519" s="106"/>
      <c r="BC519" s="106"/>
      <c r="BD519" s="106"/>
      <c r="BE519" s="106"/>
      <c r="BF519" s="107"/>
      <c r="BG519" s="107"/>
      <c r="BH519" s="105"/>
      <c r="BI519" s="107"/>
      <c r="BJ519" s="106"/>
      <c r="BK519" s="108"/>
      <c r="BL519" s="160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7"/>
      <c r="CC519" s="107"/>
      <c r="CD519" s="107"/>
      <c r="CE519" s="107"/>
      <c r="CF519" s="107"/>
      <c r="CG519" s="107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38"/>
      <c r="DH519" s="138"/>
      <c r="DI519" s="1"/>
      <c r="DJ519" s="55"/>
      <c r="DK519" s="53"/>
      <c r="DL519" s="54"/>
      <c r="DM519" s="54"/>
      <c r="DN519" s="54"/>
      <c r="DO519" s="54"/>
      <c r="DP519" s="54"/>
      <c r="DQ519" s="54"/>
      <c r="DR519" s="54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L519" s="55"/>
      <c r="EM519" s="1"/>
      <c r="EN519" s="105"/>
      <c r="EO519" s="106"/>
      <c r="EP519" s="1"/>
      <c r="EQ519" s="106"/>
      <c r="ER519" s="1"/>
      <c r="ES519" s="1"/>
      <c r="ET519" s="1"/>
      <c r="EU519" s="105"/>
    </row>
    <row r="520" spans="9:151">
      <c r="I520" s="137"/>
      <c r="J520" s="138"/>
      <c r="K520" s="1"/>
      <c r="L520" s="1"/>
      <c r="S520" s="55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06"/>
      <c r="AQ520" s="1"/>
      <c r="AR520" s="106"/>
      <c r="AS520" s="106"/>
      <c r="AT520" s="106"/>
      <c r="AU520" s="106"/>
      <c r="AV520" s="31"/>
      <c r="AW520" s="31"/>
      <c r="AX520" s="31"/>
      <c r="AY520" s="154"/>
      <c r="AZ520" s="154"/>
      <c r="BA520" s="106"/>
      <c r="BB520" s="106"/>
      <c r="BC520" s="106"/>
      <c r="BD520" s="106"/>
      <c r="BE520" s="106"/>
      <c r="BF520" s="107"/>
      <c r="BG520" s="107"/>
      <c r="BH520" s="105"/>
      <c r="BI520" s="107"/>
      <c r="BJ520" s="106"/>
      <c r="BK520" s="108"/>
      <c r="BL520" s="160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7"/>
      <c r="CC520" s="107"/>
      <c r="CD520" s="107"/>
      <c r="CE520" s="107"/>
      <c r="CF520" s="107"/>
      <c r="CG520" s="107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38"/>
      <c r="DH520" s="138"/>
      <c r="DI520" s="1"/>
      <c r="DJ520" s="55"/>
      <c r="DK520" s="53"/>
      <c r="DL520" s="54"/>
      <c r="DM520" s="54"/>
      <c r="DN520" s="54"/>
      <c r="DO520" s="54"/>
      <c r="DP520" s="54"/>
      <c r="DQ520" s="54"/>
      <c r="DR520" s="54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L520" s="55"/>
      <c r="EM520" s="1"/>
      <c r="EN520" s="105"/>
      <c r="EO520" s="106"/>
      <c r="EP520" s="1"/>
      <c r="EQ520" s="106"/>
      <c r="ER520" s="1"/>
      <c r="ES520" s="1"/>
      <c r="ET520" s="1"/>
      <c r="EU520" s="105"/>
    </row>
    <row r="521" spans="9:151">
      <c r="I521" s="137"/>
      <c r="J521" s="138"/>
      <c r="K521" s="1"/>
      <c r="L521" s="1"/>
      <c r="S521" s="55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06"/>
      <c r="AQ521" s="1"/>
      <c r="AR521" s="106"/>
      <c r="AS521" s="106"/>
      <c r="AT521" s="106"/>
      <c r="AU521" s="106"/>
      <c r="AV521" s="31"/>
      <c r="AW521" s="31"/>
      <c r="AX521" s="31"/>
      <c r="AY521" s="154"/>
      <c r="AZ521" s="154"/>
      <c r="BA521" s="106"/>
      <c r="BB521" s="106"/>
      <c r="BC521" s="106"/>
      <c r="BD521" s="106"/>
      <c r="BE521" s="106"/>
      <c r="BF521" s="107"/>
      <c r="BG521" s="107"/>
      <c r="BH521" s="105"/>
      <c r="BI521" s="107"/>
      <c r="BJ521" s="106"/>
      <c r="BK521" s="108"/>
      <c r="BL521" s="160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7"/>
      <c r="CC521" s="107"/>
      <c r="CD521" s="107"/>
      <c r="CE521" s="107"/>
      <c r="CF521" s="107"/>
      <c r="CG521" s="107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38"/>
      <c r="DH521" s="138"/>
      <c r="DI521" s="1"/>
      <c r="DJ521" s="55"/>
      <c r="DK521" s="53"/>
      <c r="DL521" s="54"/>
      <c r="DM521" s="54"/>
      <c r="DN521" s="54"/>
      <c r="DO521" s="54"/>
      <c r="DP521" s="54"/>
      <c r="DQ521" s="54"/>
      <c r="DR521" s="54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L521" s="55"/>
      <c r="EM521" s="1"/>
      <c r="EN521" s="105"/>
      <c r="EO521" s="106"/>
      <c r="EP521" s="1"/>
      <c r="EQ521" s="106"/>
      <c r="ER521" s="1"/>
      <c r="ES521" s="1"/>
      <c r="ET521" s="1"/>
      <c r="EU521" s="105"/>
    </row>
    <row r="522" spans="9:151">
      <c r="I522" s="137"/>
      <c r="J522" s="138"/>
      <c r="K522" s="1"/>
      <c r="L522" s="1"/>
      <c r="S522" s="55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06"/>
      <c r="AQ522" s="1"/>
      <c r="AR522" s="106"/>
      <c r="AS522" s="106"/>
      <c r="AT522" s="106"/>
      <c r="AU522" s="106"/>
      <c r="AV522" s="31"/>
      <c r="AW522" s="31"/>
      <c r="AX522" s="31"/>
      <c r="AY522" s="154"/>
      <c r="AZ522" s="154"/>
      <c r="BA522" s="106"/>
      <c r="BB522" s="106"/>
      <c r="BC522" s="106"/>
      <c r="BD522" s="106"/>
      <c r="BE522" s="106"/>
      <c r="BF522" s="107"/>
      <c r="BG522" s="107"/>
      <c r="BH522" s="105"/>
      <c r="BI522" s="107"/>
      <c r="BJ522" s="106"/>
      <c r="BK522" s="108"/>
      <c r="BL522" s="160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7"/>
      <c r="CC522" s="107"/>
      <c r="CD522" s="107"/>
      <c r="CE522" s="107"/>
      <c r="CF522" s="107"/>
      <c r="CG522" s="107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38"/>
      <c r="DH522" s="138"/>
      <c r="DI522" s="1"/>
      <c r="DJ522" s="55"/>
      <c r="DK522" s="53"/>
      <c r="DL522" s="54"/>
      <c r="DM522" s="54"/>
      <c r="DN522" s="54"/>
      <c r="DO522" s="54"/>
      <c r="DP522" s="54"/>
      <c r="DQ522" s="54"/>
      <c r="DR522" s="54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L522" s="55"/>
      <c r="EM522" s="1"/>
      <c r="EN522" s="105"/>
      <c r="EO522" s="106"/>
      <c r="EP522" s="1"/>
      <c r="EQ522" s="106"/>
      <c r="ER522" s="1"/>
      <c r="ES522" s="1"/>
      <c r="ET522" s="1"/>
      <c r="EU522" s="105"/>
    </row>
    <row r="523" spans="9:151">
      <c r="I523" s="137"/>
      <c r="J523" s="138"/>
      <c r="K523" s="1"/>
      <c r="L523" s="1"/>
      <c r="S523" s="55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06"/>
      <c r="AQ523" s="1"/>
      <c r="AR523" s="106"/>
      <c r="AS523" s="106"/>
      <c r="AT523" s="106"/>
      <c r="AU523" s="106"/>
      <c r="AV523" s="31"/>
      <c r="AW523" s="31"/>
      <c r="AX523" s="31"/>
      <c r="AY523" s="154"/>
      <c r="AZ523" s="154"/>
      <c r="BA523" s="106"/>
      <c r="BB523" s="106"/>
      <c r="BC523" s="106"/>
      <c r="BD523" s="106"/>
      <c r="BE523" s="106"/>
      <c r="BF523" s="107"/>
      <c r="BG523" s="107"/>
      <c r="BH523" s="105"/>
      <c r="BI523" s="107"/>
      <c r="BJ523" s="106"/>
      <c r="BK523" s="108"/>
      <c r="BL523" s="160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7"/>
      <c r="CC523" s="107"/>
      <c r="CD523" s="107"/>
      <c r="CE523" s="107"/>
      <c r="CF523" s="107"/>
      <c r="CG523" s="107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38"/>
      <c r="DH523" s="138"/>
      <c r="DI523" s="1"/>
      <c r="DJ523" s="55"/>
      <c r="DK523" s="53"/>
      <c r="DL523" s="54"/>
      <c r="DM523" s="54"/>
      <c r="DN523" s="54"/>
      <c r="DO523" s="54"/>
      <c r="DP523" s="54"/>
      <c r="DQ523" s="54"/>
      <c r="DR523" s="54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L523" s="55"/>
      <c r="EM523" s="1"/>
      <c r="EN523" s="105"/>
      <c r="EO523" s="106"/>
      <c r="EP523" s="1"/>
      <c r="EQ523" s="106"/>
      <c r="ER523" s="1"/>
      <c r="ES523" s="1"/>
      <c r="ET523" s="1"/>
      <c r="EU523" s="105"/>
    </row>
    <row r="524" spans="9:151">
      <c r="I524" s="137"/>
      <c r="J524" s="138"/>
      <c r="K524" s="1"/>
      <c r="L524" s="1"/>
      <c r="S524" s="55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06"/>
      <c r="AQ524" s="1"/>
      <c r="AR524" s="106"/>
      <c r="AS524" s="106"/>
      <c r="AT524" s="106"/>
      <c r="AU524" s="106"/>
      <c r="AV524" s="31"/>
      <c r="AW524" s="31"/>
      <c r="AX524" s="31"/>
      <c r="AY524" s="154"/>
      <c r="AZ524" s="154"/>
      <c r="BA524" s="106"/>
      <c r="BB524" s="106"/>
      <c r="BC524" s="106"/>
      <c r="BD524" s="106"/>
      <c r="BE524" s="106"/>
      <c r="BF524" s="107"/>
      <c r="BG524" s="107"/>
      <c r="BH524" s="105"/>
      <c r="BI524" s="107"/>
      <c r="BJ524" s="106"/>
      <c r="BK524" s="108"/>
      <c r="BL524" s="160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7"/>
      <c r="CC524" s="107"/>
      <c r="CD524" s="107"/>
      <c r="CE524" s="107"/>
      <c r="CF524" s="107"/>
      <c r="CG524" s="107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38"/>
      <c r="DH524" s="138"/>
      <c r="DI524" s="1"/>
      <c r="DJ524" s="55"/>
      <c r="DK524" s="53"/>
      <c r="DL524" s="54"/>
      <c r="DM524" s="54"/>
      <c r="DN524" s="54"/>
      <c r="DO524" s="54"/>
      <c r="DP524" s="54"/>
      <c r="DQ524" s="54"/>
      <c r="DR524" s="54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L524" s="55"/>
      <c r="EM524" s="1"/>
      <c r="EN524" s="105"/>
      <c r="EO524" s="106"/>
      <c r="EP524" s="1"/>
      <c r="EQ524" s="106"/>
      <c r="ER524" s="1"/>
      <c r="ES524" s="1"/>
      <c r="ET524" s="1"/>
      <c r="EU524" s="105"/>
    </row>
    <row r="525" spans="9:151">
      <c r="I525" s="137"/>
      <c r="J525" s="138"/>
      <c r="K525" s="1"/>
      <c r="L525" s="1"/>
      <c r="S525" s="55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06"/>
      <c r="AQ525" s="1"/>
      <c r="AR525" s="106"/>
      <c r="AS525" s="106"/>
      <c r="AT525" s="106"/>
      <c r="AU525" s="106"/>
      <c r="AV525" s="31"/>
      <c r="AW525" s="31"/>
      <c r="AX525" s="31"/>
      <c r="AY525" s="154"/>
      <c r="AZ525" s="154"/>
      <c r="BA525" s="106"/>
      <c r="BB525" s="106"/>
      <c r="BC525" s="106"/>
      <c r="BD525" s="106"/>
      <c r="BE525" s="106"/>
      <c r="BF525" s="107"/>
      <c r="BG525" s="107"/>
      <c r="BH525" s="105"/>
      <c r="BI525" s="107"/>
      <c r="BJ525" s="106"/>
      <c r="BK525" s="108"/>
      <c r="BL525" s="160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7"/>
      <c r="CC525" s="107"/>
      <c r="CD525" s="107"/>
      <c r="CE525" s="107"/>
      <c r="CF525" s="107"/>
      <c r="CG525" s="107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38"/>
      <c r="DH525" s="138"/>
      <c r="DI525" s="1"/>
      <c r="DJ525" s="55"/>
      <c r="DK525" s="53"/>
      <c r="DL525" s="54"/>
      <c r="DM525" s="54"/>
      <c r="DN525" s="54"/>
      <c r="DO525" s="54"/>
      <c r="DP525" s="54"/>
      <c r="DQ525" s="54"/>
      <c r="DR525" s="54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L525" s="55"/>
      <c r="EM525" s="1"/>
      <c r="EN525" s="105"/>
      <c r="EO525" s="106"/>
      <c r="EP525" s="1"/>
      <c r="EQ525" s="106"/>
      <c r="ER525" s="1"/>
      <c r="ES525" s="1"/>
      <c r="ET525" s="1"/>
      <c r="EU525" s="105"/>
    </row>
    <row r="526" spans="9:151">
      <c r="I526" s="137"/>
      <c r="J526" s="138"/>
      <c r="K526" s="1"/>
      <c r="L526" s="1"/>
      <c r="S526" s="55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06"/>
      <c r="AQ526" s="1"/>
      <c r="AR526" s="106"/>
      <c r="AS526" s="106"/>
      <c r="AT526" s="106"/>
      <c r="AU526" s="106"/>
      <c r="AV526" s="31"/>
      <c r="AW526" s="31"/>
      <c r="AX526" s="31"/>
      <c r="AY526" s="154"/>
      <c r="AZ526" s="154"/>
      <c r="BA526" s="106"/>
      <c r="BB526" s="106"/>
      <c r="BC526" s="106"/>
      <c r="BD526" s="106"/>
      <c r="BE526" s="106"/>
      <c r="BF526" s="107"/>
      <c r="BG526" s="107"/>
      <c r="BH526" s="105"/>
      <c r="BI526" s="107"/>
      <c r="BJ526" s="106"/>
      <c r="BK526" s="108"/>
      <c r="BL526" s="160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7"/>
      <c r="CC526" s="107"/>
      <c r="CD526" s="107"/>
      <c r="CE526" s="107"/>
      <c r="CF526" s="107"/>
      <c r="CG526" s="107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38"/>
      <c r="DH526" s="138"/>
      <c r="DI526" s="1"/>
      <c r="DJ526" s="55"/>
      <c r="DK526" s="53"/>
      <c r="DL526" s="54"/>
      <c r="DM526" s="54"/>
      <c r="DN526" s="54"/>
      <c r="DO526" s="54"/>
      <c r="DP526" s="54"/>
      <c r="DQ526" s="54"/>
      <c r="DR526" s="54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L526" s="55"/>
      <c r="EM526" s="1"/>
      <c r="EN526" s="105"/>
      <c r="EO526" s="106"/>
      <c r="EP526" s="1"/>
      <c r="EQ526" s="106"/>
      <c r="ER526" s="1"/>
      <c r="ES526" s="1"/>
      <c r="ET526" s="1"/>
      <c r="EU526" s="105"/>
    </row>
    <row r="527" spans="9:151">
      <c r="I527" s="137"/>
      <c r="J527" s="138"/>
      <c r="K527" s="1"/>
      <c r="L527" s="1"/>
      <c r="S527" s="55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06"/>
      <c r="AQ527" s="1"/>
      <c r="AR527" s="106"/>
      <c r="AS527" s="106"/>
      <c r="AT527" s="106"/>
      <c r="AU527" s="106"/>
      <c r="AV527" s="31"/>
      <c r="AW527" s="31"/>
      <c r="AX527" s="31"/>
      <c r="AY527" s="154"/>
      <c r="AZ527" s="154"/>
      <c r="BA527" s="106"/>
      <c r="BB527" s="106"/>
      <c r="BC527" s="106"/>
      <c r="BD527" s="106"/>
      <c r="BE527" s="106"/>
      <c r="BF527" s="107"/>
      <c r="BG527" s="107"/>
      <c r="BH527" s="105"/>
      <c r="BI527" s="107"/>
      <c r="BJ527" s="106"/>
      <c r="BK527" s="108"/>
      <c r="BL527" s="160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7"/>
      <c r="CC527" s="107"/>
      <c r="CD527" s="107"/>
      <c r="CE527" s="107"/>
      <c r="CF527" s="107"/>
      <c r="CG527" s="107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38"/>
      <c r="DH527" s="138"/>
      <c r="DI527" s="1"/>
      <c r="DJ527" s="55"/>
      <c r="DK527" s="53"/>
      <c r="DL527" s="54"/>
      <c r="DM527" s="54"/>
      <c r="DN527" s="54"/>
      <c r="DO527" s="54"/>
      <c r="DP527" s="54"/>
      <c r="DQ527" s="54"/>
      <c r="DR527" s="54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L527" s="55"/>
      <c r="EM527" s="1"/>
      <c r="EN527" s="105"/>
      <c r="EO527" s="106"/>
      <c r="EP527" s="1"/>
      <c r="EQ527" s="106"/>
      <c r="ER527" s="1"/>
      <c r="ES527" s="1"/>
      <c r="ET527" s="1"/>
      <c r="EU527" s="105"/>
    </row>
    <row r="528" spans="9:151">
      <c r="I528" s="137"/>
      <c r="J528" s="138"/>
      <c r="K528" s="1"/>
      <c r="L528" s="1"/>
      <c r="S528" s="55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06"/>
      <c r="AQ528" s="1"/>
      <c r="AR528" s="106"/>
      <c r="AS528" s="106"/>
      <c r="AT528" s="106"/>
      <c r="AU528" s="106"/>
      <c r="AV528" s="31"/>
      <c r="AW528" s="31"/>
      <c r="AX528" s="31"/>
      <c r="AY528" s="154"/>
      <c r="AZ528" s="154"/>
      <c r="BA528" s="106"/>
      <c r="BB528" s="106"/>
      <c r="BC528" s="106"/>
      <c r="BD528" s="106"/>
      <c r="BE528" s="106"/>
      <c r="BF528" s="107"/>
      <c r="BG528" s="107"/>
      <c r="BH528" s="105"/>
      <c r="BI528" s="107"/>
      <c r="BJ528" s="106"/>
      <c r="BK528" s="108"/>
      <c r="BL528" s="160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7"/>
      <c r="CC528" s="107"/>
      <c r="CD528" s="107"/>
      <c r="CE528" s="107"/>
      <c r="CF528" s="107"/>
      <c r="CG528" s="107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38"/>
      <c r="DH528" s="138"/>
      <c r="DI528" s="1"/>
      <c r="DJ528" s="55"/>
      <c r="DK528" s="53"/>
      <c r="DL528" s="54"/>
      <c r="DM528" s="54"/>
      <c r="DN528" s="54"/>
      <c r="DO528" s="54"/>
      <c r="DP528" s="54"/>
      <c r="DQ528" s="54"/>
      <c r="DR528" s="54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L528" s="55"/>
      <c r="EM528" s="1"/>
      <c r="EN528" s="105"/>
      <c r="EO528" s="106"/>
      <c r="EP528" s="1"/>
      <c r="EQ528" s="106"/>
      <c r="ER528" s="1"/>
      <c r="ES528" s="1"/>
      <c r="ET528" s="1"/>
      <c r="EU528" s="105"/>
    </row>
    <row r="529" spans="9:151">
      <c r="I529" s="137"/>
      <c r="J529" s="138"/>
      <c r="K529" s="1"/>
      <c r="L529" s="1"/>
      <c r="S529" s="55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06"/>
      <c r="AQ529" s="1"/>
      <c r="AR529" s="106"/>
      <c r="AS529" s="106"/>
      <c r="AT529" s="106"/>
      <c r="AU529" s="106"/>
      <c r="AV529" s="31"/>
      <c r="AW529" s="31"/>
      <c r="AX529" s="31"/>
      <c r="AY529" s="154"/>
      <c r="AZ529" s="154"/>
      <c r="BA529" s="106"/>
      <c r="BB529" s="106"/>
      <c r="BC529" s="106"/>
      <c r="BD529" s="106"/>
      <c r="BE529" s="106"/>
      <c r="BF529" s="107"/>
      <c r="BG529" s="107"/>
      <c r="BH529" s="105"/>
      <c r="BI529" s="107"/>
      <c r="BJ529" s="106"/>
      <c r="BK529" s="108"/>
      <c r="BL529" s="160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7"/>
      <c r="CC529" s="107"/>
      <c r="CD529" s="107"/>
      <c r="CE529" s="107"/>
      <c r="CF529" s="107"/>
      <c r="CG529" s="107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38"/>
      <c r="DH529" s="138"/>
      <c r="DI529" s="1"/>
      <c r="DJ529" s="55"/>
      <c r="DK529" s="53"/>
      <c r="DL529" s="54"/>
      <c r="DM529" s="54"/>
      <c r="DN529" s="54"/>
      <c r="DO529" s="54"/>
      <c r="DP529" s="54"/>
      <c r="DQ529" s="54"/>
      <c r="DR529" s="54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L529" s="55"/>
      <c r="EM529" s="1"/>
      <c r="EN529" s="105"/>
      <c r="EO529" s="106"/>
      <c r="EP529" s="1"/>
      <c r="EQ529" s="106"/>
      <c r="ER529" s="1"/>
      <c r="ES529" s="1"/>
      <c r="ET529" s="1"/>
      <c r="EU529" s="105"/>
    </row>
    <row r="530" spans="9:151">
      <c r="I530" s="137"/>
      <c r="J530" s="138"/>
      <c r="K530" s="1"/>
      <c r="L530" s="1"/>
      <c r="S530" s="55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06"/>
      <c r="AQ530" s="1"/>
      <c r="AR530" s="106"/>
      <c r="AS530" s="106"/>
      <c r="AT530" s="106"/>
      <c r="AU530" s="106"/>
      <c r="AV530" s="31"/>
      <c r="AW530" s="31"/>
      <c r="AX530" s="31"/>
      <c r="AY530" s="154"/>
      <c r="AZ530" s="154"/>
      <c r="BA530" s="106"/>
      <c r="BB530" s="106"/>
      <c r="BC530" s="106"/>
      <c r="BD530" s="106"/>
      <c r="BE530" s="106"/>
      <c r="BF530" s="107"/>
      <c r="BG530" s="107"/>
      <c r="BH530" s="105"/>
      <c r="BI530" s="107"/>
      <c r="BJ530" s="106"/>
      <c r="BK530" s="108"/>
      <c r="BL530" s="160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7"/>
      <c r="CC530" s="107"/>
      <c r="CD530" s="107"/>
      <c r="CE530" s="107"/>
      <c r="CF530" s="107"/>
      <c r="CG530" s="107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38"/>
      <c r="DH530" s="138"/>
      <c r="DI530" s="1"/>
      <c r="DJ530" s="55"/>
      <c r="DK530" s="53"/>
      <c r="DL530" s="54"/>
      <c r="DM530" s="54"/>
      <c r="DN530" s="54"/>
      <c r="DO530" s="54"/>
      <c r="DP530" s="54"/>
      <c r="DQ530" s="54"/>
      <c r="DR530" s="54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L530" s="55"/>
      <c r="EM530" s="1"/>
      <c r="EN530" s="105"/>
      <c r="EO530" s="106"/>
      <c r="EP530" s="1"/>
      <c r="EQ530" s="106"/>
      <c r="ER530" s="1"/>
      <c r="ES530" s="1"/>
      <c r="ET530" s="1"/>
      <c r="EU530" s="105"/>
    </row>
    <row r="531" spans="9:151">
      <c r="I531" s="137"/>
      <c r="J531" s="138"/>
      <c r="K531" s="1"/>
      <c r="L531" s="1"/>
      <c r="S531" s="55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06"/>
      <c r="AQ531" s="1"/>
      <c r="AR531" s="106"/>
      <c r="AS531" s="106"/>
      <c r="AT531" s="106"/>
      <c r="AU531" s="106"/>
      <c r="AV531" s="31"/>
      <c r="AW531" s="31"/>
      <c r="AX531" s="31"/>
      <c r="AY531" s="154"/>
      <c r="AZ531" s="154"/>
      <c r="BA531" s="106"/>
      <c r="BB531" s="106"/>
      <c r="BC531" s="106"/>
      <c r="BD531" s="106"/>
      <c r="BE531" s="106"/>
      <c r="BF531" s="107"/>
      <c r="BG531" s="107"/>
      <c r="BH531" s="105"/>
      <c r="BI531" s="107"/>
      <c r="BJ531" s="106"/>
      <c r="BK531" s="108"/>
      <c r="BL531" s="160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7"/>
      <c r="CC531" s="107"/>
      <c r="CD531" s="107"/>
      <c r="CE531" s="107"/>
      <c r="CF531" s="107"/>
      <c r="CG531" s="107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38"/>
      <c r="DH531" s="138"/>
      <c r="DI531" s="1"/>
      <c r="DJ531" s="55"/>
      <c r="DK531" s="53"/>
      <c r="DL531" s="54"/>
      <c r="DM531" s="54"/>
      <c r="DN531" s="54"/>
      <c r="DO531" s="54"/>
      <c r="DP531" s="54"/>
      <c r="DQ531" s="54"/>
      <c r="DR531" s="54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L531" s="55"/>
      <c r="EM531" s="1"/>
      <c r="EN531" s="105"/>
      <c r="EO531" s="106"/>
      <c r="EP531" s="1"/>
      <c r="EQ531" s="106"/>
      <c r="ER531" s="1"/>
      <c r="ES531" s="1"/>
      <c r="ET531" s="1"/>
      <c r="EU531" s="105"/>
    </row>
    <row r="532" spans="9:151">
      <c r="I532" s="137"/>
      <c r="J532" s="138"/>
      <c r="K532" s="1"/>
      <c r="L532" s="1"/>
      <c r="S532" s="55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06"/>
      <c r="AQ532" s="1"/>
      <c r="AR532" s="106"/>
      <c r="AS532" s="106"/>
      <c r="AT532" s="106"/>
      <c r="AU532" s="106"/>
      <c r="AV532" s="31"/>
      <c r="AW532" s="31"/>
      <c r="AX532" s="31"/>
      <c r="AY532" s="154"/>
      <c r="AZ532" s="154"/>
      <c r="BA532" s="106"/>
      <c r="BB532" s="106"/>
      <c r="BC532" s="106"/>
      <c r="BD532" s="106"/>
      <c r="BE532" s="106"/>
      <c r="BF532" s="107"/>
      <c r="BG532" s="107"/>
      <c r="BH532" s="105"/>
      <c r="BI532" s="107"/>
      <c r="BJ532" s="106"/>
      <c r="BK532" s="108"/>
      <c r="BL532" s="160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7"/>
      <c r="CC532" s="107"/>
      <c r="CD532" s="107"/>
      <c r="CE532" s="107"/>
      <c r="CF532" s="107"/>
      <c r="CG532" s="107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38"/>
      <c r="DH532" s="138"/>
      <c r="DI532" s="1"/>
      <c r="DJ532" s="55"/>
      <c r="DK532" s="53"/>
      <c r="DL532" s="54"/>
      <c r="DM532" s="54"/>
      <c r="DN532" s="54"/>
      <c r="DO532" s="54"/>
      <c r="DP532" s="54"/>
      <c r="DQ532" s="54"/>
      <c r="DR532" s="54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L532" s="55"/>
      <c r="EM532" s="1"/>
      <c r="EN532" s="105"/>
      <c r="EO532" s="106"/>
      <c r="EP532" s="1"/>
      <c r="EQ532" s="106"/>
      <c r="ER532" s="1"/>
      <c r="ES532" s="1"/>
      <c r="ET532" s="1"/>
      <c r="EU532" s="105"/>
    </row>
    <row r="533" spans="9:151">
      <c r="I533" s="137"/>
      <c r="J533" s="138"/>
      <c r="K533" s="1"/>
      <c r="L533" s="1"/>
      <c r="S533" s="55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06"/>
      <c r="AQ533" s="1"/>
      <c r="AR533" s="106"/>
      <c r="AS533" s="106"/>
      <c r="AT533" s="106"/>
      <c r="AU533" s="106"/>
      <c r="AV533" s="31"/>
      <c r="AW533" s="31"/>
      <c r="AX533" s="31"/>
      <c r="AY533" s="154"/>
      <c r="AZ533" s="154"/>
      <c r="BA533" s="106"/>
      <c r="BB533" s="106"/>
      <c r="BC533" s="106"/>
      <c r="BD533" s="106"/>
      <c r="BE533" s="106"/>
      <c r="BF533" s="107"/>
      <c r="BG533" s="107"/>
      <c r="BH533" s="105"/>
      <c r="BI533" s="107"/>
      <c r="BJ533" s="106"/>
      <c r="BK533" s="108"/>
      <c r="BL533" s="160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7"/>
      <c r="CC533" s="107"/>
      <c r="CD533" s="107"/>
      <c r="CE533" s="107"/>
      <c r="CF533" s="107"/>
      <c r="CG533" s="107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38"/>
      <c r="DH533" s="138"/>
      <c r="DI533" s="1"/>
      <c r="DJ533" s="55"/>
      <c r="DK533" s="53"/>
      <c r="DL533" s="54"/>
      <c r="DM533" s="54"/>
      <c r="DN533" s="54"/>
      <c r="DO533" s="54"/>
      <c r="DP533" s="54"/>
      <c r="DQ533" s="54"/>
      <c r="DR533" s="54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L533" s="55"/>
      <c r="EM533" s="1"/>
      <c r="EN533" s="105"/>
      <c r="EO533" s="106"/>
      <c r="EP533" s="1"/>
      <c r="EQ533" s="106"/>
      <c r="ER533" s="1"/>
      <c r="ES533" s="1"/>
      <c r="ET533" s="1"/>
      <c r="EU533" s="105"/>
    </row>
    <row r="534" spans="9:151">
      <c r="I534" s="137"/>
      <c r="J534" s="138"/>
      <c r="K534" s="1"/>
      <c r="L534" s="1"/>
      <c r="S534" s="55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06"/>
      <c r="AQ534" s="1"/>
      <c r="AR534" s="106"/>
      <c r="AS534" s="106"/>
      <c r="AT534" s="106"/>
      <c r="AU534" s="106"/>
      <c r="AV534" s="31"/>
      <c r="AW534" s="31"/>
      <c r="AX534" s="31"/>
      <c r="AY534" s="154"/>
      <c r="AZ534" s="154"/>
      <c r="BA534" s="106"/>
      <c r="BB534" s="106"/>
      <c r="BC534" s="106"/>
      <c r="BD534" s="106"/>
      <c r="BE534" s="106"/>
      <c r="BF534" s="107"/>
      <c r="BG534" s="107"/>
      <c r="BH534" s="105"/>
      <c r="BI534" s="107"/>
      <c r="BJ534" s="106"/>
      <c r="BK534" s="108"/>
      <c r="BL534" s="160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7"/>
      <c r="CC534" s="107"/>
      <c r="CD534" s="107"/>
      <c r="CE534" s="107"/>
      <c r="CF534" s="107"/>
      <c r="CG534" s="107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38"/>
      <c r="DH534" s="138"/>
      <c r="DI534" s="1"/>
      <c r="DJ534" s="55"/>
      <c r="DK534" s="53"/>
      <c r="DL534" s="54"/>
      <c r="DM534" s="54"/>
      <c r="DN534" s="54"/>
      <c r="DO534" s="54"/>
      <c r="DP534" s="54"/>
      <c r="DQ534" s="54"/>
      <c r="DR534" s="54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L534" s="55"/>
      <c r="EM534" s="1"/>
      <c r="EN534" s="105"/>
      <c r="EO534" s="106"/>
      <c r="EP534" s="1"/>
      <c r="EQ534" s="106"/>
      <c r="ER534" s="1"/>
      <c r="ES534" s="1"/>
      <c r="ET534" s="1"/>
      <c r="EU534" s="105"/>
    </row>
    <row r="535" spans="9:151">
      <c r="I535" s="137"/>
      <c r="J535" s="138"/>
      <c r="K535" s="1"/>
      <c r="L535" s="1"/>
      <c r="S535" s="55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06"/>
      <c r="AQ535" s="1"/>
      <c r="AR535" s="106"/>
      <c r="AS535" s="106"/>
      <c r="AT535" s="106"/>
      <c r="AU535" s="106"/>
      <c r="AV535" s="31"/>
      <c r="AW535" s="31"/>
      <c r="AX535" s="31"/>
      <c r="AY535" s="154"/>
      <c r="AZ535" s="154"/>
      <c r="BA535" s="106"/>
      <c r="BB535" s="106"/>
      <c r="BC535" s="106"/>
      <c r="BD535" s="106"/>
      <c r="BE535" s="106"/>
      <c r="BF535" s="107"/>
      <c r="BG535" s="107"/>
      <c r="BH535" s="105"/>
      <c r="BI535" s="107"/>
      <c r="BJ535" s="106"/>
      <c r="BK535" s="108"/>
      <c r="BL535" s="160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7"/>
      <c r="CC535" s="107"/>
      <c r="CD535" s="107"/>
      <c r="CE535" s="107"/>
      <c r="CF535" s="107"/>
      <c r="CG535" s="107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38"/>
      <c r="DH535" s="138"/>
      <c r="DI535" s="1"/>
      <c r="DJ535" s="55"/>
      <c r="DK535" s="53"/>
      <c r="DL535" s="54"/>
      <c r="DM535" s="54"/>
      <c r="DN535" s="54"/>
      <c r="DO535" s="54"/>
      <c r="DP535" s="54"/>
      <c r="DQ535" s="54"/>
      <c r="DR535" s="54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L535" s="55"/>
      <c r="EM535" s="1"/>
      <c r="EN535" s="105"/>
      <c r="EO535" s="106"/>
      <c r="EP535" s="1"/>
      <c r="EQ535" s="106"/>
      <c r="ER535" s="1"/>
      <c r="ES535" s="1"/>
      <c r="ET535" s="1"/>
      <c r="EU535" s="105"/>
    </row>
    <row r="536" spans="9:151">
      <c r="I536" s="137"/>
      <c r="J536" s="138"/>
      <c r="K536" s="1"/>
      <c r="L536" s="1"/>
      <c r="S536" s="55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06"/>
      <c r="AQ536" s="1"/>
      <c r="AR536" s="106"/>
      <c r="AS536" s="106"/>
      <c r="AT536" s="106"/>
      <c r="AU536" s="106"/>
      <c r="AV536" s="31"/>
      <c r="AW536" s="31"/>
      <c r="AX536" s="31"/>
      <c r="AY536" s="154"/>
      <c r="AZ536" s="154"/>
      <c r="BA536" s="106"/>
      <c r="BB536" s="106"/>
      <c r="BC536" s="106"/>
      <c r="BD536" s="106"/>
      <c r="BE536" s="106"/>
      <c r="BF536" s="107"/>
      <c r="BG536" s="107"/>
      <c r="BH536" s="105"/>
      <c r="BI536" s="107"/>
      <c r="BJ536" s="106"/>
      <c r="BK536" s="108"/>
      <c r="BL536" s="160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7"/>
      <c r="CC536" s="107"/>
      <c r="CD536" s="107"/>
      <c r="CE536" s="107"/>
      <c r="CF536" s="107"/>
      <c r="CG536" s="107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38"/>
      <c r="DH536" s="138"/>
      <c r="DI536" s="1"/>
      <c r="DJ536" s="55"/>
      <c r="DK536" s="53"/>
      <c r="DL536" s="54"/>
      <c r="DM536" s="54"/>
      <c r="DN536" s="54"/>
      <c r="DO536" s="54"/>
      <c r="DP536" s="54"/>
      <c r="DQ536" s="54"/>
      <c r="DR536" s="54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L536" s="55"/>
      <c r="EM536" s="1"/>
      <c r="EN536" s="105"/>
      <c r="EO536" s="106"/>
      <c r="EP536" s="1"/>
      <c r="EQ536" s="106"/>
      <c r="ER536" s="1"/>
      <c r="ES536" s="1"/>
      <c r="ET536" s="1"/>
      <c r="EU536" s="105"/>
    </row>
    <row r="537" spans="9:151">
      <c r="I537" s="137"/>
      <c r="J537" s="138"/>
      <c r="K537" s="1"/>
      <c r="L537" s="1"/>
      <c r="S537" s="55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06"/>
      <c r="AQ537" s="1"/>
      <c r="AR537" s="106"/>
      <c r="AS537" s="106"/>
      <c r="AT537" s="106"/>
      <c r="AU537" s="106"/>
      <c r="AV537" s="31"/>
      <c r="AW537" s="31"/>
      <c r="AX537" s="31"/>
      <c r="AY537" s="154"/>
      <c r="AZ537" s="154"/>
      <c r="BA537" s="106"/>
      <c r="BB537" s="106"/>
      <c r="BC537" s="106"/>
      <c r="BD537" s="106"/>
      <c r="BE537" s="106"/>
      <c r="BF537" s="107"/>
      <c r="BG537" s="107"/>
      <c r="BH537" s="105"/>
      <c r="BI537" s="107"/>
      <c r="BJ537" s="106"/>
      <c r="BK537" s="108"/>
      <c r="BL537" s="160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7"/>
      <c r="CC537" s="107"/>
      <c r="CD537" s="107"/>
      <c r="CE537" s="107"/>
      <c r="CF537" s="107"/>
      <c r="CG537" s="107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38"/>
      <c r="DH537" s="138"/>
      <c r="DI537" s="1"/>
      <c r="DJ537" s="55"/>
      <c r="DK537" s="53"/>
      <c r="DL537" s="54"/>
      <c r="DM537" s="54"/>
      <c r="DN537" s="54"/>
      <c r="DO537" s="54"/>
      <c r="DP537" s="54"/>
      <c r="DQ537" s="54"/>
      <c r="DR537" s="54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L537" s="55"/>
      <c r="EM537" s="1"/>
      <c r="EN537" s="105"/>
      <c r="EO537" s="106"/>
      <c r="EP537" s="1"/>
      <c r="EQ537" s="106"/>
      <c r="ER537" s="1"/>
      <c r="ES537" s="1"/>
      <c r="ET537" s="1"/>
      <c r="EU537" s="105"/>
    </row>
    <row r="538" spans="9:151">
      <c r="I538" s="137"/>
      <c r="J538" s="138"/>
      <c r="K538" s="1"/>
      <c r="L538" s="1"/>
      <c r="S538" s="55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06"/>
      <c r="AQ538" s="1"/>
      <c r="AR538" s="106"/>
      <c r="AS538" s="106"/>
      <c r="AT538" s="106"/>
      <c r="AU538" s="106"/>
      <c r="AV538" s="31"/>
      <c r="AW538" s="31"/>
      <c r="AX538" s="31"/>
      <c r="AY538" s="154"/>
      <c r="AZ538" s="154"/>
      <c r="BA538" s="106"/>
      <c r="BB538" s="106"/>
      <c r="BC538" s="106"/>
      <c r="BD538" s="106"/>
      <c r="BE538" s="106"/>
      <c r="BF538" s="107"/>
      <c r="BG538" s="107"/>
      <c r="BH538" s="105"/>
      <c r="BI538" s="107"/>
      <c r="BJ538" s="106"/>
      <c r="BK538" s="108"/>
      <c r="BL538" s="160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7"/>
      <c r="CC538" s="107"/>
      <c r="CD538" s="107"/>
      <c r="CE538" s="107"/>
      <c r="CF538" s="107"/>
      <c r="CG538" s="107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38"/>
      <c r="DH538" s="138"/>
      <c r="DI538" s="1"/>
      <c r="DJ538" s="55"/>
      <c r="DK538" s="53"/>
      <c r="DL538" s="54"/>
      <c r="DM538" s="54"/>
      <c r="DN538" s="54"/>
      <c r="DO538" s="54"/>
      <c r="DP538" s="54"/>
      <c r="DQ538" s="54"/>
      <c r="DR538" s="54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L538" s="55"/>
      <c r="EM538" s="1"/>
      <c r="EN538" s="105"/>
      <c r="EO538" s="106"/>
      <c r="EP538" s="1"/>
      <c r="EQ538" s="106"/>
      <c r="ER538" s="1"/>
      <c r="ES538" s="1"/>
      <c r="ET538" s="1"/>
      <c r="EU538" s="105"/>
    </row>
    <row r="539" spans="9:151">
      <c r="I539" s="137"/>
      <c r="J539" s="138"/>
      <c r="K539" s="1"/>
      <c r="L539" s="1"/>
      <c r="S539" s="55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06"/>
      <c r="AQ539" s="1"/>
      <c r="AR539" s="106"/>
      <c r="AS539" s="106"/>
      <c r="AT539" s="106"/>
      <c r="AU539" s="106"/>
      <c r="AV539" s="31"/>
      <c r="AW539" s="31"/>
      <c r="AX539" s="31"/>
      <c r="AY539" s="154"/>
      <c r="AZ539" s="154"/>
      <c r="BA539" s="106"/>
      <c r="BB539" s="106"/>
      <c r="BC539" s="106"/>
      <c r="BD539" s="106"/>
      <c r="BE539" s="106"/>
      <c r="BF539" s="107"/>
      <c r="BG539" s="107"/>
      <c r="BH539" s="105"/>
      <c r="BI539" s="107"/>
      <c r="BJ539" s="106"/>
      <c r="BK539" s="108"/>
      <c r="BL539" s="160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7"/>
      <c r="CC539" s="107"/>
      <c r="CD539" s="107"/>
      <c r="CE539" s="107"/>
      <c r="CF539" s="107"/>
      <c r="CG539" s="107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38"/>
      <c r="DH539" s="138"/>
      <c r="DI539" s="1"/>
      <c r="DJ539" s="55"/>
      <c r="DK539" s="53"/>
      <c r="DL539" s="54"/>
      <c r="DM539" s="54"/>
      <c r="DN539" s="54"/>
      <c r="DO539" s="54"/>
      <c r="DP539" s="54"/>
      <c r="DQ539" s="54"/>
      <c r="DR539" s="54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L539" s="55"/>
      <c r="EM539" s="1"/>
      <c r="EN539" s="105"/>
      <c r="EO539" s="106"/>
      <c r="EP539" s="1"/>
      <c r="EQ539" s="106"/>
      <c r="ER539" s="1"/>
      <c r="ES539" s="1"/>
      <c r="ET539" s="1"/>
      <c r="EU539" s="105"/>
    </row>
    <row r="540" spans="9:151">
      <c r="I540" s="137"/>
      <c r="J540" s="138"/>
      <c r="K540" s="1"/>
      <c r="L540" s="1"/>
      <c r="S540" s="55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06"/>
      <c r="AQ540" s="1"/>
      <c r="AR540" s="106"/>
      <c r="AS540" s="106"/>
      <c r="AT540" s="106"/>
      <c r="AU540" s="106"/>
      <c r="AV540" s="31"/>
      <c r="AW540" s="31"/>
      <c r="AX540" s="31"/>
      <c r="AY540" s="154"/>
      <c r="AZ540" s="154"/>
      <c r="BA540" s="106"/>
      <c r="BB540" s="106"/>
      <c r="BC540" s="106"/>
      <c r="BD540" s="106"/>
      <c r="BE540" s="106"/>
      <c r="BF540" s="107"/>
      <c r="BG540" s="107"/>
      <c r="BH540" s="105"/>
      <c r="BI540" s="107"/>
      <c r="BJ540" s="106"/>
      <c r="BK540" s="108"/>
      <c r="BL540" s="160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7"/>
      <c r="CC540" s="107"/>
      <c r="CD540" s="107"/>
      <c r="CE540" s="107"/>
      <c r="CF540" s="107"/>
      <c r="CG540" s="107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38"/>
      <c r="DH540" s="138"/>
      <c r="DI540" s="1"/>
      <c r="DJ540" s="55"/>
      <c r="DK540" s="53"/>
      <c r="DL540" s="54"/>
      <c r="DM540" s="54"/>
      <c r="DN540" s="54"/>
      <c r="DO540" s="54"/>
      <c r="DP540" s="54"/>
      <c r="DQ540" s="54"/>
      <c r="DR540" s="54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L540" s="55"/>
      <c r="EM540" s="1"/>
      <c r="EN540" s="105"/>
      <c r="EO540" s="106"/>
      <c r="EP540" s="1"/>
      <c r="EQ540" s="106"/>
      <c r="ER540" s="1"/>
      <c r="ES540" s="1"/>
      <c r="ET540" s="1"/>
      <c r="EU540" s="105"/>
    </row>
    <row r="541" spans="9:151">
      <c r="I541" s="137"/>
      <c r="J541" s="138"/>
      <c r="K541" s="1"/>
      <c r="L541" s="1"/>
      <c r="S541" s="55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06"/>
      <c r="AQ541" s="1"/>
      <c r="AR541" s="106"/>
      <c r="AS541" s="106"/>
      <c r="AT541" s="106"/>
      <c r="AU541" s="106"/>
      <c r="AV541" s="31"/>
      <c r="AW541" s="31"/>
      <c r="AX541" s="31"/>
      <c r="AY541" s="154"/>
      <c r="AZ541" s="154"/>
      <c r="BA541" s="106"/>
      <c r="BB541" s="106"/>
      <c r="BC541" s="106"/>
      <c r="BD541" s="106"/>
      <c r="BE541" s="106"/>
      <c r="BF541" s="107"/>
      <c r="BG541" s="107"/>
      <c r="BH541" s="105"/>
      <c r="BI541" s="107"/>
      <c r="BJ541" s="106"/>
      <c r="BK541" s="108"/>
      <c r="BL541" s="160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7"/>
      <c r="CC541" s="107"/>
      <c r="CD541" s="107"/>
      <c r="CE541" s="107"/>
      <c r="CF541" s="107"/>
      <c r="CG541" s="107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38"/>
      <c r="DH541" s="138"/>
      <c r="DI541" s="1"/>
      <c r="DJ541" s="55"/>
      <c r="DK541" s="53"/>
      <c r="DL541" s="54"/>
      <c r="DM541" s="54"/>
      <c r="DN541" s="54"/>
      <c r="DO541" s="54"/>
      <c r="DP541" s="54"/>
      <c r="DQ541" s="54"/>
      <c r="DR541" s="54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L541" s="55"/>
      <c r="EM541" s="1"/>
      <c r="EN541" s="105"/>
      <c r="EO541" s="106"/>
      <c r="EP541" s="1"/>
      <c r="EQ541" s="106"/>
      <c r="ER541" s="1"/>
      <c r="ES541" s="1"/>
      <c r="ET541" s="1"/>
      <c r="EU541" s="105"/>
    </row>
    <row r="542" spans="9:151">
      <c r="I542" s="137"/>
      <c r="J542" s="138"/>
      <c r="K542" s="1"/>
      <c r="L542" s="1"/>
      <c r="S542" s="55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06"/>
      <c r="AQ542" s="1"/>
      <c r="AR542" s="106"/>
      <c r="AS542" s="106"/>
      <c r="AT542" s="106"/>
      <c r="AU542" s="106"/>
      <c r="AV542" s="31"/>
      <c r="AW542" s="31"/>
      <c r="AX542" s="31"/>
      <c r="AY542" s="154"/>
      <c r="AZ542" s="154"/>
      <c r="BA542" s="106"/>
      <c r="BB542" s="106"/>
      <c r="BC542" s="106"/>
      <c r="BD542" s="106"/>
      <c r="BE542" s="106"/>
      <c r="BF542" s="107"/>
      <c r="BG542" s="107"/>
      <c r="BH542" s="105"/>
      <c r="BI542" s="107"/>
      <c r="BJ542" s="106"/>
      <c r="BK542" s="108"/>
      <c r="BL542" s="160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7"/>
      <c r="CC542" s="107"/>
      <c r="CD542" s="107"/>
      <c r="CE542" s="107"/>
      <c r="CF542" s="107"/>
      <c r="CG542" s="107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38"/>
      <c r="DH542" s="138"/>
      <c r="DI542" s="1"/>
      <c r="DJ542" s="55"/>
      <c r="DK542" s="53"/>
      <c r="DL542" s="54"/>
      <c r="DM542" s="54"/>
      <c r="DN542" s="54"/>
      <c r="DO542" s="54"/>
      <c r="DP542" s="54"/>
      <c r="DQ542" s="54"/>
      <c r="DR542" s="54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L542" s="55"/>
      <c r="EM542" s="1"/>
      <c r="EN542" s="105"/>
      <c r="EO542" s="106"/>
      <c r="EP542" s="1"/>
      <c r="EQ542" s="106"/>
      <c r="ER542" s="1"/>
      <c r="ES542" s="1"/>
      <c r="ET542" s="1"/>
      <c r="EU542" s="105"/>
    </row>
    <row r="543" spans="9:151">
      <c r="I543" s="137"/>
      <c r="J543" s="138"/>
      <c r="K543" s="1"/>
      <c r="L543" s="1"/>
      <c r="S543" s="55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06"/>
      <c r="AQ543" s="1"/>
      <c r="AR543" s="106"/>
      <c r="AS543" s="106"/>
      <c r="AT543" s="106"/>
      <c r="AU543" s="106"/>
      <c r="AV543" s="31"/>
      <c r="AW543" s="31"/>
      <c r="AX543" s="31"/>
      <c r="AY543" s="154"/>
      <c r="AZ543" s="154"/>
      <c r="BA543" s="106"/>
      <c r="BB543" s="106"/>
      <c r="BC543" s="106"/>
      <c r="BD543" s="106"/>
      <c r="BE543" s="106"/>
      <c r="BF543" s="107"/>
      <c r="BG543" s="107"/>
      <c r="BH543" s="105"/>
      <c r="BI543" s="107"/>
      <c r="BJ543" s="106"/>
      <c r="BK543" s="108"/>
      <c r="BL543" s="160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7"/>
      <c r="CC543" s="107"/>
      <c r="CD543" s="107"/>
      <c r="CE543" s="107"/>
      <c r="CF543" s="107"/>
      <c r="CG543" s="107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38"/>
      <c r="DH543" s="138"/>
      <c r="DI543" s="1"/>
      <c r="DJ543" s="55"/>
      <c r="DK543" s="53"/>
      <c r="DL543" s="54"/>
      <c r="DM543" s="54"/>
      <c r="DN543" s="54"/>
      <c r="DO543" s="54"/>
      <c r="DP543" s="54"/>
      <c r="DQ543" s="54"/>
      <c r="DR543" s="54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L543" s="55"/>
      <c r="EM543" s="1"/>
      <c r="EN543" s="105"/>
      <c r="EO543" s="106"/>
      <c r="EP543" s="1"/>
      <c r="EQ543" s="106"/>
      <c r="ER543" s="1"/>
      <c r="ES543" s="1"/>
      <c r="ET543" s="1"/>
      <c r="EU543" s="105"/>
    </row>
    <row r="544" spans="9:151">
      <c r="I544" s="137"/>
      <c r="J544" s="138"/>
      <c r="K544" s="1"/>
      <c r="L544" s="1"/>
      <c r="S544" s="55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06"/>
      <c r="AQ544" s="1"/>
      <c r="AR544" s="106"/>
      <c r="AS544" s="106"/>
      <c r="AT544" s="106"/>
      <c r="AU544" s="106"/>
      <c r="AV544" s="31"/>
      <c r="AW544" s="31"/>
      <c r="AX544" s="31"/>
      <c r="AY544" s="154"/>
      <c r="AZ544" s="154"/>
      <c r="BA544" s="106"/>
      <c r="BB544" s="106"/>
      <c r="BC544" s="106"/>
      <c r="BD544" s="106"/>
      <c r="BE544" s="106"/>
      <c r="BF544" s="107"/>
      <c r="BG544" s="107"/>
      <c r="BH544" s="105"/>
      <c r="BI544" s="107"/>
      <c r="BJ544" s="106"/>
      <c r="BK544" s="108"/>
      <c r="BL544" s="160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7"/>
      <c r="CC544" s="107"/>
      <c r="CD544" s="107"/>
      <c r="CE544" s="107"/>
      <c r="CF544" s="107"/>
      <c r="CG544" s="107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38"/>
      <c r="DH544" s="138"/>
      <c r="DI544" s="1"/>
      <c r="DJ544" s="55"/>
      <c r="DK544" s="53"/>
      <c r="DL544" s="54"/>
      <c r="DM544" s="54"/>
      <c r="DN544" s="54"/>
      <c r="DO544" s="54"/>
      <c r="DP544" s="54"/>
      <c r="DQ544" s="54"/>
      <c r="DR544" s="54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L544" s="55"/>
      <c r="EM544" s="1"/>
      <c r="EN544" s="105"/>
      <c r="EO544" s="106"/>
      <c r="EP544" s="1"/>
      <c r="EQ544" s="106"/>
      <c r="ER544" s="1"/>
      <c r="ES544" s="1"/>
      <c r="ET544" s="1"/>
      <c r="EU544" s="105"/>
    </row>
    <row r="545" spans="9:151">
      <c r="I545" s="137"/>
      <c r="J545" s="138"/>
      <c r="K545" s="1"/>
      <c r="L545" s="1"/>
      <c r="S545" s="55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06"/>
      <c r="AQ545" s="1"/>
      <c r="AR545" s="106"/>
      <c r="AS545" s="106"/>
      <c r="AT545" s="106"/>
      <c r="AU545" s="106"/>
      <c r="AV545" s="31"/>
      <c r="AW545" s="31"/>
      <c r="AX545" s="31"/>
      <c r="AY545" s="154"/>
      <c r="AZ545" s="154"/>
      <c r="BA545" s="106"/>
      <c r="BB545" s="106"/>
      <c r="BC545" s="106"/>
      <c r="BD545" s="106"/>
      <c r="BE545" s="106"/>
      <c r="BF545" s="107"/>
      <c r="BG545" s="107"/>
      <c r="BH545" s="105"/>
      <c r="BI545" s="107"/>
      <c r="BJ545" s="106"/>
      <c r="BK545" s="108"/>
      <c r="BL545" s="160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7"/>
      <c r="CC545" s="107"/>
      <c r="CD545" s="107"/>
      <c r="CE545" s="107"/>
      <c r="CF545" s="107"/>
      <c r="CG545" s="107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38"/>
      <c r="DH545" s="138"/>
      <c r="DI545" s="1"/>
      <c r="DJ545" s="55"/>
      <c r="DK545" s="53"/>
      <c r="DL545" s="54"/>
      <c r="DM545" s="54"/>
      <c r="DN545" s="54"/>
      <c r="DO545" s="54"/>
      <c r="DP545" s="54"/>
      <c r="DQ545" s="54"/>
      <c r="DR545" s="54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L545" s="55"/>
      <c r="EM545" s="1"/>
      <c r="EN545" s="105"/>
      <c r="EO545" s="106"/>
      <c r="EP545" s="1"/>
      <c r="EQ545" s="106"/>
      <c r="ER545" s="1"/>
      <c r="ES545" s="1"/>
      <c r="ET545" s="1"/>
      <c r="EU545" s="105"/>
    </row>
    <row r="546" spans="9:151">
      <c r="I546" s="137"/>
      <c r="J546" s="138"/>
      <c r="K546" s="1"/>
      <c r="L546" s="1"/>
      <c r="S546" s="55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06"/>
      <c r="AQ546" s="1"/>
      <c r="AR546" s="106"/>
      <c r="AS546" s="106"/>
      <c r="AT546" s="106"/>
      <c r="AU546" s="106"/>
      <c r="AV546" s="31"/>
      <c r="AW546" s="31"/>
      <c r="AX546" s="31"/>
      <c r="AY546" s="154"/>
      <c r="AZ546" s="154"/>
      <c r="BA546" s="106"/>
      <c r="BB546" s="106"/>
      <c r="BC546" s="106"/>
      <c r="BD546" s="106"/>
      <c r="BE546" s="106"/>
      <c r="BF546" s="107"/>
      <c r="BG546" s="107"/>
      <c r="BH546" s="105"/>
      <c r="BI546" s="107"/>
      <c r="BJ546" s="106"/>
      <c r="BK546" s="108"/>
      <c r="BL546" s="160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7"/>
      <c r="CC546" s="107"/>
      <c r="CD546" s="107"/>
      <c r="CE546" s="107"/>
      <c r="CF546" s="107"/>
      <c r="CG546" s="107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38"/>
      <c r="DH546" s="138"/>
      <c r="DI546" s="1"/>
      <c r="DJ546" s="55"/>
      <c r="DK546" s="53"/>
      <c r="DL546" s="54"/>
      <c r="DM546" s="54"/>
      <c r="DN546" s="54"/>
      <c r="DO546" s="54"/>
      <c r="DP546" s="54"/>
      <c r="DQ546" s="54"/>
      <c r="DR546" s="54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L546" s="55"/>
      <c r="EM546" s="1"/>
      <c r="EN546" s="105"/>
      <c r="EO546" s="106"/>
      <c r="EP546" s="1"/>
      <c r="EQ546" s="106"/>
      <c r="ER546" s="1"/>
      <c r="ES546" s="1"/>
      <c r="ET546" s="1"/>
      <c r="EU546" s="105"/>
    </row>
    <row r="547" spans="9:151">
      <c r="I547" s="137"/>
      <c r="J547" s="138"/>
      <c r="K547" s="1"/>
      <c r="L547" s="1"/>
      <c r="S547" s="55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06"/>
      <c r="AQ547" s="1"/>
      <c r="AR547" s="106"/>
      <c r="AS547" s="106"/>
      <c r="AT547" s="106"/>
      <c r="AU547" s="106"/>
      <c r="AV547" s="31"/>
      <c r="AW547" s="31"/>
      <c r="AX547" s="31"/>
      <c r="AY547" s="154"/>
      <c r="AZ547" s="154"/>
      <c r="BA547" s="106"/>
      <c r="BB547" s="106"/>
      <c r="BC547" s="106"/>
      <c r="BD547" s="106"/>
      <c r="BE547" s="106"/>
      <c r="BF547" s="107"/>
      <c r="BG547" s="107"/>
      <c r="BH547" s="105"/>
      <c r="BI547" s="107"/>
      <c r="BJ547" s="106"/>
      <c r="BK547" s="108"/>
      <c r="BL547" s="160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7"/>
      <c r="CC547" s="107"/>
      <c r="CD547" s="107"/>
      <c r="CE547" s="107"/>
      <c r="CF547" s="107"/>
      <c r="CG547" s="107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38"/>
      <c r="DH547" s="138"/>
      <c r="DI547" s="1"/>
      <c r="DJ547" s="55"/>
      <c r="DK547" s="53"/>
      <c r="DL547" s="54"/>
      <c r="DM547" s="54"/>
      <c r="DN547" s="54"/>
      <c r="DO547" s="54"/>
      <c r="DP547" s="54"/>
      <c r="DQ547" s="54"/>
      <c r="DR547" s="54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L547" s="55"/>
      <c r="EM547" s="1"/>
      <c r="EN547" s="105"/>
      <c r="EO547" s="106"/>
      <c r="EP547" s="1"/>
      <c r="EQ547" s="106"/>
      <c r="ER547" s="1"/>
      <c r="ES547" s="1"/>
      <c r="ET547" s="1"/>
      <c r="EU547" s="105"/>
    </row>
    <row r="548" spans="9:151">
      <c r="I548" s="137"/>
      <c r="J548" s="138"/>
      <c r="K548" s="1"/>
      <c r="L548" s="1"/>
      <c r="S548" s="55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06"/>
      <c r="AQ548" s="1"/>
      <c r="AR548" s="106"/>
      <c r="AS548" s="106"/>
      <c r="AT548" s="106"/>
      <c r="AU548" s="106"/>
      <c r="AV548" s="31"/>
      <c r="AW548" s="31"/>
      <c r="AX548" s="31"/>
      <c r="AY548" s="154"/>
      <c r="AZ548" s="154"/>
      <c r="BA548" s="106"/>
      <c r="BB548" s="106"/>
      <c r="BC548" s="106"/>
      <c r="BD548" s="106"/>
      <c r="BE548" s="106"/>
      <c r="BF548" s="107"/>
      <c r="BG548" s="107"/>
      <c r="BH548" s="105"/>
      <c r="BI548" s="107"/>
      <c r="BJ548" s="106"/>
      <c r="BK548" s="108"/>
      <c r="BL548" s="160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7"/>
      <c r="CC548" s="107"/>
      <c r="CD548" s="107"/>
      <c r="CE548" s="107"/>
      <c r="CF548" s="107"/>
      <c r="CG548" s="107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38"/>
      <c r="DH548" s="138"/>
      <c r="DI548" s="1"/>
      <c r="DJ548" s="55"/>
      <c r="DK548" s="53"/>
      <c r="DL548" s="54"/>
      <c r="DM548" s="54"/>
      <c r="DN548" s="54"/>
      <c r="DO548" s="54"/>
      <c r="DP548" s="54"/>
      <c r="DQ548" s="54"/>
      <c r="DR548" s="54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L548" s="55"/>
      <c r="EM548" s="1"/>
      <c r="EN548" s="105"/>
      <c r="EO548" s="106"/>
      <c r="EP548" s="1"/>
      <c r="EQ548" s="106"/>
      <c r="ER548" s="1"/>
      <c r="ES548" s="1"/>
      <c r="ET548" s="1"/>
      <c r="EU548" s="105"/>
    </row>
    <row r="549" spans="9:151">
      <c r="I549" s="137"/>
      <c r="J549" s="138"/>
      <c r="K549" s="1"/>
      <c r="L549" s="1"/>
      <c r="S549" s="55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06"/>
      <c r="AQ549" s="1"/>
      <c r="AR549" s="106"/>
      <c r="AS549" s="106"/>
      <c r="AT549" s="106"/>
      <c r="AU549" s="106"/>
      <c r="AV549" s="31"/>
      <c r="AW549" s="31"/>
      <c r="AX549" s="31"/>
      <c r="AY549" s="154"/>
      <c r="AZ549" s="154"/>
      <c r="BA549" s="106"/>
      <c r="BB549" s="106"/>
      <c r="BC549" s="106"/>
      <c r="BD549" s="106"/>
      <c r="BE549" s="106"/>
      <c r="BF549" s="107"/>
      <c r="BG549" s="107"/>
      <c r="BH549" s="105"/>
      <c r="BI549" s="107"/>
      <c r="BJ549" s="106"/>
      <c r="BK549" s="108"/>
      <c r="BL549" s="160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7"/>
      <c r="CC549" s="107"/>
      <c r="CD549" s="107"/>
      <c r="CE549" s="107"/>
      <c r="CF549" s="107"/>
      <c r="CG549" s="107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38"/>
      <c r="DH549" s="138"/>
      <c r="DI549" s="1"/>
      <c r="DJ549" s="55"/>
      <c r="DK549" s="53"/>
      <c r="DL549" s="54"/>
      <c r="DM549" s="54"/>
      <c r="DN549" s="54"/>
      <c r="DO549" s="54"/>
      <c r="DP549" s="54"/>
      <c r="DQ549" s="54"/>
      <c r="DR549" s="54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L549" s="55"/>
      <c r="EM549" s="1"/>
      <c r="EN549" s="105"/>
      <c r="EO549" s="106"/>
      <c r="EP549" s="1"/>
      <c r="EQ549" s="106"/>
      <c r="ER549" s="1"/>
      <c r="ES549" s="1"/>
      <c r="ET549" s="1"/>
      <c r="EU549" s="105"/>
    </row>
    <row r="550" spans="9:151">
      <c r="I550" s="137"/>
      <c r="J550" s="138"/>
      <c r="K550" s="1"/>
      <c r="L550" s="1"/>
      <c r="S550" s="55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06"/>
      <c r="AQ550" s="1"/>
      <c r="AR550" s="106"/>
      <c r="AS550" s="106"/>
      <c r="AT550" s="106"/>
      <c r="AU550" s="106"/>
      <c r="AV550" s="31"/>
      <c r="AW550" s="31"/>
      <c r="AX550" s="31"/>
      <c r="AY550" s="154"/>
      <c r="AZ550" s="154"/>
      <c r="BA550" s="106"/>
      <c r="BB550" s="106"/>
      <c r="BC550" s="106"/>
      <c r="BD550" s="106"/>
      <c r="BE550" s="106"/>
      <c r="BF550" s="107"/>
      <c r="BG550" s="107"/>
      <c r="BH550" s="105"/>
      <c r="BI550" s="107"/>
      <c r="BJ550" s="106"/>
      <c r="BK550" s="108"/>
      <c r="BL550" s="160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7"/>
      <c r="CC550" s="107"/>
      <c r="CD550" s="107"/>
      <c r="CE550" s="107"/>
      <c r="CF550" s="107"/>
      <c r="CG550" s="107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38"/>
      <c r="DH550" s="138"/>
      <c r="DI550" s="1"/>
      <c r="DJ550" s="55"/>
      <c r="DK550" s="53"/>
      <c r="DL550" s="54"/>
      <c r="DM550" s="54"/>
      <c r="DN550" s="54"/>
      <c r="DO550" s="54"/>
      <c r="DP550" s="54"/>
      <c r="DQ550" s="54"/>
      <c r="DR550" s="54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L550" s="55"/>
      <c r="EM550" s="1"/>
      <c r="EN550" s="105"/>
      <c r="EO550" s="106"/>
      <c r="EP550" s="1"/>
      <c r="EQ550" s="106"/>
      <c r="ER550" s="1"/>
      <c r="ES550" s="1"/>
      <c r="ET550" s="1"/>
      <c r="EU550" s="105"/>
    </row>
    <row r="551" spans="9:151">
      <c r="I551" s="137"/>
      <c r="J551" s="138"/>
      <c r="K551" s="1"/>
      <c r="L551" s="1"/>
      <c r="S551" s="55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06"/>
      <c r="AQ551" s="1"/>
      <c r="AR551" s="106"/>
      <c r="AS551" s="106"/>
      <c r="AT551" s="106"/>
      <c r="AU551" s="106"/>
      <c r="AV551" s="31"/>
      <c r="AW551" s="31"/>
      <c r="AX551" s="31"/>
      <c r="AY551" s="154"/>
      <c r="AZ551" s="154"/>
      <c r="BA551" s="106"/>
      <c r="BB551" s="106"/>
      <c r="BC551" s="106"/>
      <c r="BD551" s="106"/>
      <c r="BE551" s="106"/>
      <c r="BF551" s="107"/>
      <c r="BG551" s="107"/>
      <c r="BH551" s="105"/>
      <c r="BI551" s="107"/>
      <c r="BJ551" s="106"/>
      <c r="BK551" s="108"/>
      <c r="BL551" s="160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7"/>
      <c r="CC551" s="107"/>
      <c r="CD551" s="107"/>
      <c r="CE551" s="107"/>
      <c r="CF551" s="107"/>
      <c r="CG551" s="107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38"/>
      <c r="DH551" s="138"/>
      <c r="DI551" s="1"/>
      <c r="DJ551" s="55"/>
      <c r="DK551" s="53"/>
      <c r="DL551" s="54"/>
      <c r="DM551" s="54"/>
      <c r="DN551" s="54"/>
      <c r="DO551" s="54"/>
      <c r="DP551" s="54"/>
      <c r="DQ551" s="54"/>
      <c r="DR551" s="54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L551" s="55"/>
      <c r="EM551" s="1"/>
      <c r="EN551" s="105"/>
      <c r="EO551" s="106"/>
      <c r="EP551" s="1"/>
      <c r="EQ551" s="106"/>
      <c r="ER551" s="1"/>
      <c r="ES551" s="1"/>
      <c r="ET551" s="1"/>
      <c r="EU551" s="105"/>
    </row>
    <row r="552" spans="9:151">
      <c r="I552" s="137"/>
      <c r="J552" s="138"/>
      <c r="K552" s="1"/>
      <c r="L552" s="1"/>
      <c r="S552" s="55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06"/>
      <c r="AQ552" s="1"/>
      <c r="AR552" s="106"/>
      <c r="AS552" s="106"/>
      <c r="AT552" s="106"/>
      <c r="AU552" s="106"/>
      <c r="AV552" s="31"/>
      <c r="AW552" s="31"/>
      <c r="AX552" s="31"/>
      <c r="AY552" s="154"/>
      <c r="AZ552" s="154"/>
      <c r="BA552" s="106"/>
      <c r="BB552" s="106"/>
      <c r="BC552" s="106"/>
      <c r="BD552" s="106"/>
      <c r="BE552" s="106"/>
      <c r="BF552" s="107"/>
      <c r="BG552" s="107"/>
      <c r="BH552" s="105"/>
      <c r="BI552" s="107"/>
      <c r="BJ552" s="106"/>
      <c r="BK552" s="108"/>
      <c r="BL552" s="160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7"/>
      <c r="CC552" s="107"/>
      <c r="CD552" s="107"/>
      <c r="CE552" s="107"/>
      <c r="CF552" s="107"/>
      <c r="CG552" s="107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38"/>
      <c r="DH552" s="138"/>
      <c r="DI552" s="1"/>
      <c r="DJ552" s="55"/>
      <c r="DK552" s="53"/>
      <c r="DL552" s="54"/>
      <c r="DM552" s="54"/>
      <c r="DN552" s="54"/>
      <c r="DO552" s="54"/>
      <c r="DP552" s="54"/>
      <c r="DQ552" s="54"/>
      <c r="DR552" s="54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L552" s="55"/>
      <c r="EM552" s="1"/>
      <c r="EN552" s="105"/>
      <c r="EO552" s="106"/>
      <c r="EP552" s="1"/>
      <c r="EQ552" s="106"/>
      <c r="ER552" s="1"/>
      <c r="ES552" s="1"/>
      <c r="ET552" s="1"/>
      <c r="EU552" s="105"/>
    </row>
    <row r="553" spans="9:151">
      <c r="I553" s="137"/>
      <c r="J553" s="138"/>
      <c r="K553" s="1"/>
      <c r="L553" s="1"/>
      <c r="S553" s="55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06"/>
      <c r="AQ553" s="1"/>
      <c r="AR553" s="106"/>
      <c r="AS553" s="106"/>
      <c r="AT553" s="106"/>
      <c r="AU553" s="106"/>
      <c r="AV553" s="31"/>
      <c r="AW553" s="31"/>
      <c r="AX553" s="31"/>
      <c r="AY553" s="154"/>
      <c r="AZ553" s="154"/>
      <c r="BA553" s="106"/>
      <c r="BB553" s="106"/>
      <c r="BC553" s="106"/>
      <c r="BD553" s="106"/>
      <c r="BE553" s="106"/>
      <c r="BF553" s="107"/>
      <c r="BG553" s="107"/>
      <c r="BH553" s="105"/>
      <c r="BI553" s="107"/>
      <c r="BJ553" s="106"/>
      <c r="BK553" s="108"/>
      <c r="BL553" s="160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7"/>
      <c r="CC553" s="107"/>
      <c r="CD553" s="107"/>
      <c r="CE553" s="107"/>
      <c r="CF553" s="107"/>
      <c r="CG553" s="107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38"/>
      <c r="DH553" s="138"/>
      <c r="DI553" s="1"/>
      <c r="DJ553" s="55"/>
      <c r="DK553" s="53"/>
      <c r="DL553" s="54"/>
      <c r="DM553" s="54"/>
      <c r="DN553" s="54"/>
      <c r="DO553" s="54"/>
      <c r="DP553" s="54"/>
      <c r="DQ553" s="54"/>
      <c r="DR553" s="54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L553" s="55"/>
      <c r="EM553" s="1"/>
      <c r="EN553" s="105"/>
      <c r="EO553" s="106"/>
      <c r="EP553" s="1"/>
      <c r="EQ553" s="106"/>
      <c r="ER553" s="1"/>
      <c r="ES553" s="1"/>
      <c r="ET553" s="1"/>
      <c r="EU553" s="105"/>
    </row>
    <row r="554" spans="9:151">
      <c r="I554" s="137"/>
      <c r="J554" s="138"/>
      <c r="K554" s="1"/>
      <c r="L554" s="1"/>
      <c r="S554" s="55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06"/>
      <c r="AQ554" s="1"/>
      <c r="AR554" s="106"/>
      <c r="AS554" s="106"/>
      <c r="AT554" s="106"/>
      <c r="AU554" s="106"/>
      <c r="AV554" s="31"/>
      <c r="AW554" s="31"/>
      <c r="AX554" s="31"/>
      <c r="AY554" s="154"/>
      <c r="AZ554" s="154"/>
      <c r="BA554" s="106"/>
      <c r="BB554" s="106"/>
      <c r="BC554" s="106"/>
      <c r="BD554" s="106"/>
      <c r="BE554" s="106"/>
      <c r="BF554" s="107"/>
      <c r="BG554" s="107"/>
      <c r="BH554" s="105"/>
      <c r="BI554" s="107"/>
      <c r="BJ554" s="106"/>
      <c r="BK554" s="108"/>
      <c r="BL554" s="160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7"/>
      <c r="CC554" s="107"/>
      <c r="CD554" s="107"/>
      <c r="CE554" s="107"/>
      <c r="CF554" s="107"/>
      <c r="CG554" s="107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38"/>
      <c r="DH554" s="138"/>
      <c r="DI554" s="1"/>
      <c r="DJ554" s="55"/>
      <c r="DK554" s="53"/>
      <c r="DL554" s="54"/>
      <c r="DM554" s="54"/>
      <c r="DN554" s="54"/>
      <c r="DO554" s="54"/>
      <c r="DP554" s="54"/>
      <c r="DQ554" s="54"/>
      <c r="DR554" s="54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L554" s="55"/>
      <c r="EM554" s="1"/>
      <c r="EN554" s="105"/>
      <c r="EO554" s="106"/>
      <c r="EP554" s="1"/>
      <c r="EQ554" s="106"/>
      <c r="ER554" s="1"/>
      <c r="ES554" s="1"/>
      <c r="ET554" s="1"/>
      <c r="EU554" s="105"/>
    </row>
    <row r="555" spans="9:151">
      <c r="I555" s="137"/>
      <c r="J555" s="138"/>
      <c r="K555" s="1"/>
      <c r="L555" s="1"/>
      <c r="S555" s="55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06"/>
      <c r="AQ555" s="1"/>
      <c r="AR555" s="106"/>
      <c r="AS555" s="106"/>
      <c r="AT555" s="106"/>
      <c r="AU555" s="106"/>
      <c r="AV555" s="31"/>
      <c r="AW555" s="31"/>
      <c r="AX555" s="31"/>
      <c r="AY555" s="154"/>
      <c r="AZ555" s="154"/>
      <c r="BA555" s="106"/>
      <c r="BB555" s="106"/>
      <c r="BC555" s="106"/>
      <c r="BD555" s="106"/>
      <c r="BE555" s="106"/>
      <c r="BF555" s="107"/>
      <c r="BG555" s="107"/>
      <c r="BH555" s="105"/>
      <c r="BI555" s="107"/>
      <c r="BJ555" s="106"/>
      <c r="BK555" s="108"/>
      <c r="BL555" s="160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7"/>
      <c r="CC555" s="107"/>
      <c r="CD555" s="107"/>
      <c r="CE555" s="107"/>
      <c r="CF555" s="107"/>
      <c r="CG555" s="107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38"/>
      <c r="DH555" s="138"/>
      <c r="DI555" s="1"/>
      <c r="DJ555" s="55"/>
      <c r="DK555" s="53"/>
      <c r="DL555" s="54"/>
      <c r="DM555" s="54"/>
      <c r="DN555" s="54"/>
      <c r="DO555" s="54"/>
      <c r="DP555" s="54"/>
      <c r="DQ555" s="54"/>
      <c r="DR555" s="54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L555" s="55"/>
      <c r="EM555" s="1"/>
      <c r="EN555" s="105"/>
      <c r="EO555" s="106"/>
      <c r="EP555" s="1"/>
      <c r="EQ555" s="106"/>
      <c r="ER555" s="1"/>
      <c r="ES555" s="1"/>
      <c r="ET555" s="1"/>
      <c r="EU555" s="105"/>
    </row>
    <row r="556" spans="9:151">
      <c r="I556" s="137"/>
      <c r="J556" s="138"/>
      <c r="K556" s="1"/>
      <c r="L556" s="1"/>
      <c r="S556" s="55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06"/>
      <c r="AQ556" s="1"/>
      <c r="AR556" s="106"/>
      <c r="AS556" s="106"/>
      <c r="AT556" s="106"/>
      <c r="AU556" s="106"/>
      <c r="AV556" s="31"/>
      <c r="AW556" s="31"/>
      <c r="AX556" s="31"/>
      <c r="AY556" s="154"/>
      <c r="AZ556" s="154"/>
      <c r="BA556" s="106"/>
      <c r="BB556" s="106"/>
      <c r="BC556" s="106"/>
      <c r="BD556" s="106"/>
      <c r="BE556" s="106"/>
      <c r="BF556" s="107"/>
      <c r="BG556" s="107"/>
      <c r="BH556" s="105"/>
      <c r="BI556" s="107"/>
      <c r="BJ556" s="106"/>
      <c r="BK556" s="108"/>
      <c r="BL556" s="160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7"/>
      <c r="CC556" s="107"/>
      <c r="CD556" s="107"/>
      <c r="CE556" s="107"/>
      <c r="CF556" s="107"/>
      <c r="CG556" s="107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38"/>
      <c r="DH556" s="138"/>
      <c r="DI556" s="1"/>
      <c r="DJ556" s="55"/>
      <c r="DK556" s="53"/>
      <c r="DL556" s="54"/>
      <c r="DM556" s="54"/>
      <c r="DN556" s="54"/>
      <c r="DO556" s="54"/>
      <c r="DP556" s="54"/>
      <c r="DQ556" s="54"/>
      <c r="DR556" s="54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L556" s="55"/>
      <c r="EM556" s="1"/>
      <c r="EN556" s="105"/>
      <c r="EO556" s="106"/>
      <c r="EP556" s="1"/>
      <c r="EQ556" s="106"/>
      <c r="ER556" s="1"/>
      <c r="ES556" s="1"/>
      <c r="ET556" s="1"/>
      <c r="EU556" s="105"/>
    </row>
    <row r="557" spans="9:151">
      <c r="I557" s="137"/>
      <c r="J557" s="138"/>
      <c r="K557" s="1"/>
      <c r="L557" s="1"/>
      <c r="S557" s="55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06"/>
      <c r="AQ557" s="1"/>
      <c r="AR557" s="106"/>
      <c r="AS557" s="106"/>
      <c r="AT557" s="106"/>
      <c r="AU557" s="106"/>
      <c r="AV557" s="31"/>
      <c r="AW557" s="31"/>
      <c r="AX557" s="31"/>
      <c r="AY557" s="154"/>
      <c r="AZ557" s="154"/>
      <c r="BA557" s="106"/>
      <c r="BB557" s="106"/>
      <c r="BC557" s="106"/>
      <c r="BD557" s="106"/>
      <c r="BE557" s="106"/>
      <c r="BF557" s="107"/>
      <c r="BG557" s="107"/>
      <c r="BH557" s="105"/>
      <c r="BI557" s="107"/>
      <c r="BJ557" s="106"/>
      <c r="BK557" s="108"/>
      <c r="BL557" s="160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7"/>
      <c r="CC557" s="107"/>
      <c r="CD557" s="107"/>
      <c r="CE557" s="107"/>
      <c r="CF557" s="107"/>
      <c r="CG557" s="107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38"/>
      <c r="DH557" s="138"/>
      <c r="DI557" s="1"/>
      <c r="DJ557" s="55"/>
      <c r="DK557" s="53"/>
      <c r="DL557" s="54"/>
      <c r="DM557" s="54"/>
      <c r="DN557" s="54"/>
      <c r="DO557" s="54"/>
      <c r="DP557" s="54"/>
      <c r="DQ557" s="54"/>
      <c r="DR557" s="54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L557" s="55"/>
      <c r="EM557" s="1"/>
      <c r="EN557" s="105"/>
      <c r="EO557" s="106"/>
      <c r="EP557" s="1"/>
      <c r="EQ557" s="106"/>
      <c r="ER557" s="1"/>
      <c r="ES557" s="1"/>
      <c r="ET557" s="1"/>
      <c r="EU557" s="105"/>
    </row>
    <row r="558" spans="9:151">
      <c r="I558" s="137"/>
      <c r="J558" s="138"/>
      <c r="K558" s="1"/>
      <c r="L558" s="1"/>
      <c r="S558" s="55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06"/>
      <c r="AQ558" s="1"/>
      <c r="AR558" s="106"/>
      <c r="AS558" s="106"/>
      <c r="AT558" s="106"/>
      <c r="AU558" s="106"/>
      <c r="AV558" s="31"/>
      <c r="AW558" s="31"/>
      <c r="AX558" s="31"/>
      <c r="AY558" s="154"/>
      <c r="AZ558" s="154"/>
      <c r="BA558" s="106"/>
      <c r="BB558" s="106"/>
      <c r="BC558" s="106"/>
      <c r="BD558" s="106"/>
      <c r="BE558" s="106"/>
      <c r="BF558" s="107"/>
      <c r="BG558" s="107"/>
      <c r="BH558" s="105"/>
      <c r="BI558" s="107"/>
      <c r="BJ558" s="106"/>
      <c r="BK558" s="108"/>
      <c r="BL558" s="160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7"/>
      <c r="CC558" s="107"/>
      <c r="CD558" s="107"/>
      <c r="CE558" s="107"/>
      <c r="CF558" s="107"/>
      <c r="CG558" s="107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38"/>
      <c r="DH558" s="138"/>
      <c r="DI558" s="1"/>
      <c r="DJ558" s="55"/>
      <c r="DK558" s="53"/>
      <c r="DL558" s="54"/>
      <c r="DM558" s="54"/>
      <c r="DN558" s="54"/>
      <c r="DO558" s="54"/>
      <c r="DP558" s="54"/>
      <c r="DQ558" s="54"/>
      <c r="DR558" s="54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L558" s="55"/>
      <c r="EM558" s="1"/>
      <c r="EN558" s="105"/>
      <c r="EO558" s="106"/>
      <c r="EP558" s="1"/>
      <c r="EQ558" s="106"/>
      <c r="ER558" s="1"/>
      <c r="ES558" s="1"/>
      <c r="ET558" s="1"/>
      <c r="EU558" s="105"/>
    </row>
    <row r="559" spans="9:151">
      <c r="I559" s="137"/>
      <c r="J559" s="138"/>
      <c r="K559" s="1"/>
      <c r="L559" s="1"/>
      <c r="S559" s="55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06"/>
      <c r="AQ559" s="1"/>
      <c r="AR559" s="106"/>
      <c r="AS559" s="106"/>
      <c r="AT559" s="106"/>
      <c r="AU559" s="106"/>
      <c r="AV559" s="31"/>
      <c r="AW559" s="31"/>
      <c r="AX559" s="31"/>
      <c r="AY559" s="154"/>
      <c r="AZ559" s="154"/>
      <c r="BA559" s="106"/>
      <c r="BB559" s="106"/>
      <c r="BC559" s="106"/>
      <c r="BD559" s="106"/>
      <c r="BE559" s="106"/>
      <c r="BF559" s="107"/>
      <c r="BG559" s="107"/>
      <c r="BH559" s="105"/>
      <c r="BI559" s="107"/>
      <c r="BJ559" s="106"/>
      <c r="BK559" s="108"/>
      <c r="BL559" s="160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7"/>
      <c r="CC559" s="107"/>
      <c r="CD559" s="107"/>
      <c r="CE559" s="107"/>
      <c r="CF559" s="107"/>
      <c r="CG559" s="107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38"/>
      <c r="DH559" s="138"/>
      <c r="DI559" s="1"/>
      <c r="DJ559" s="55"/>
      <c r="DK559" s="53"/>
      <c r="DL559" s="54"/>
      <c r="DM559" s="54"/>
      <c r="DN559" s="54"/>
      <c r="DO559" s="54"/>
      <c r="DP559" s="54"/>
      <c r="DQ559" s="54"/>
      <c r="DR559" s="54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L559" s="55"/>
      <c r="EM559" s="1"/>
      <c r="EN559" s="105"/>
      <c r="EO559" s="106"/>
      <c r="EP559" s="1"/>
      <c r="EQ559" s="106"/>
      <c r="ER559" s="1"/>
      <c r="ES559" s="1"/>
      <c r="ET559" s="1"/>
      <c r="EU559" s="105"/>
    </row>
    <row r="560" spans="9:151">
      <c r="I560" s="137"/>
      <c r="J560" s="138"/>
      <c r="K560" s="1"/>
      <c r="L560" s="1"/>
      <c r="S560" s="55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06"/>
      <c r="AQ560" s="1"/>
      <c r="AR560" s="106"/>
      <c r="AS560" s="106"/>
      <c r="AT560" s="106"/>
      <c r="AU560" s="106"/>
      <c r="AV560" s="31"/>
      <c r="AW560" s="31"/>
      <c r="AX560" s="31"/>
      <c r="AY560" s="154"/>
      <c r="AZ560" s="154"/>
      <c r="BA560" s="106"/>
      <c r="BB560" s="106"/>
      <c r="BC560" s="106"/>
      <c r="BD560" s="106"/>
      <c r="BE560" s="106"/>
      <c r="BF560" s="107"/>
      <c r="BG560" s="107"/>
      <c r="BH560" s="105"/>
      <c r="BI560" s="107"/>
      <c r="BJ560" s="106"/>
      <c r="BK560" s="108"/>
      <c r="BL560" s="160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7"/>
      <c r="CC560" s="107"/>
      <c r="CD560" s="107"/>
      <c r="CE560" s="107"/>
      <c r="CF560" s="107"/>
      <c r="CG560" s="107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38"/>
      <c r="DH560" s="138"/>
      <c r="DI560" s="1"/>
      <c r="DJ560" s="55"/>
      <c r="DK560" s="53"/>
      <c r="DL560" s="54"/>
      <c r="DM560" s="54"/>
      <c r="DN560" s="54"/>
      <c r="DO560" s="54"/>
      <c r="DP560" s="54"/>
      <c r="DQ560" s="54"/>
      <c r="DR560" s="54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L560" s="55"/>
      <c r="EM560" s="1"/>
      <c r="EN560" s="105"/>
      <c r="EO560" s="106"/>
      <c r="EP560" s="1"/>
      <c r="EQ560" s="106"/>
      <c r="ER560" s="1"/>
      <c r="ES560" s="1"/>
      <c r="ET560" s="1"/>
      <c r="EU560" s="105"/>
    </row>
    <row r="561" spans="9:151">
      <c r="I561" s="137"/>
      <c r="J561" s="138"/>
      <c r="K561" s="1"/>
      <c r="L561" s="1"/>
      <c r="S561" s="55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06"/>
      <c r="AQ561" s="1"/>
      <c r="AR561" s="106"/>
      <c r="AS561" s="106"/>
      <c r="AT561" s="106"/>
      <c r="AU561" s="106"/>
      <c r="AV561" s="31"/>
      <c r="AW561" s="31"/>
      <c r="AX561" s="31"/>
      <c r="AY561" s="154"/>
      <c r="AZ561" s="154"/>
      <c r="BA561" s="106"/>
      <c r="BB561" s="106"/>
      <c r="BC561" s="106"/>
      <c r="BD561" s="106"/>
      <c r="BE561" s="106"/>
      <c r="BF561" s="107"/>
      <c r="BG561" s="107"/>
      <c r="BH561" s="105"/>
      <c r="BI561" s="107"/>
      <c r="BJ561" s="106"/>
      <c r="BK561" s="108"/>
      <c r="BL561" s="160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7"/>
      <c r="CC561" s="107"/>
      <c r="CD561" s="107"/>
      <c r="CE561" s="107"/>
      <c r="CF561" s="107"/>
      <c r="CG561" s="107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38"/>
      <c r="DH561" s="138"/>
      <c r="DI561" s="1"/>
      <c r="DJ561" s="55"/>
      <c r="DK561" s="53"/>
      <c r="DL561" s="54"/>
      <c r="DM561" s="54"/>
      <c r="DN561" s="54"/>
      <c r="DO561" s="54"/>
      <c r="DP561" s="54"/>
      <c r="DQ561" s="54"/>
      <c r="DR561" s="54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L561" s="55"/>
      <c r="EM561" s="1"/>
      <c r="EN561" s="105"/>
      <c r="EO561" s="106"/>
      <c r="EP561" s="1"/>
      <c r="EQ561" s="106"/>
      <c r="ER561" s="1"/>
      <c r="ES561" s="1"/>
      <c r="ET561" s="1"/>
      <c r="EU561" s="105"/>
    </row>
    <row r="562" spans="9:151">
      <c r="I562" s="137"/>
      <c r="J562" s="138"/>
      <c r="K562" s="1"/>
      <c r="L562" s="1"/>
      <c r="S562" s="55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06"/>
      <c r="AQ562" s="1"/>
      <c r="AR562" s="106"/>
      <c r="AS562" s="106"/>
      <c r="AT562" s="106"/>
      <c r="AU562" s="106"/>
      <c r="AV562" s="31"/>
      <c r="AW562" s="31"/>
      <c r="AX562" s="31"/>
      <c r="AY562" s="154"/>
      <c r="AZ562" s="154"/>
      <c r="BA562" s="106"/>
      <c r="BB562" s="106"/>
      <c r="BC562" s="106"/>
      <c r="BD562" s="106"/>
      <c r="BE562" s="106"/>
      <c r="BF562" s="107"/>
      <c r="BG562" s="107"/>
      <c r="BH562" s="105"/>
      <c r="BI562" s="107"/>
      <c r="BJ562" s="106"/>
      <c r="BK562" s="108"/>
      <c r="BL562" s="160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7"/>
      <c r="CC562" s="107"/>
      <c r="CD562" s="107"/>
      <c r="CE562" s="107"/>
      <c r="CF562" s="107"/>
      <c r="CG562" s="107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38"/>
      <c r="DH562" s="138"/>
      <c r="DI562" s="1"/>
      <c r="DJ562" s="55"/>
      <c r="DK562" s="53"/>
      <c r="DL562" s="54"/>
      <c r="DM562" s="54"/>
      <c r="DN562" s="54"/>
      <c r="DO562" s="54"/>
      <c r="DP562" s="54"/>
      <c r="DQ562" s="54"/>
      <c r="DR562" s="54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L562" s="55"/>
      <c r="EM562" s="1"/>
      <c r="EN562" s="105"/>
      <c r="EO562" s="106"/>
      <c r="EP562" s="1"/>
      <c r="EQ562" s="106"/>
      <c r="ER562" s="1"/>
      <c r="ES562" s="1"/>
      <c r="ET562" s="1"/>
      <c r="EU562" s="105"/>
    </row>
    <row r="563" spans="9:151">
      <c r="I563" s="137"/>
      <c r="J563" s="138"/>
      <c r="K563" s="1"/>
      <c r="L563" s="1"/>
      <c r="S563" s="55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06"/>
      <c r="AQ563" s="1"/>
      <c r="AR563" s="106"/>
      <c r="AS563" s="106"/>
      <c r="AT563" s="106"/>
      <c r="AU563" s="106"/>
      <c r="AV563" s="31"/>
      <c r="AW563" s="31"/>
      <c r="AX563" s="31"/>
      <c r="AY563" s="154"/>
      <c r="AZ563" s="154"/>
      <c r="BA563" s="106"/>
      <c r="BB563" s="106"/>
      <c r="BC563" s="106"/>
      <c r="BD563" s="106"/>
      <c r="BE563" s="106"/>
      <c r="BF563" s="107"/>
      <c r="BG563" s="107"/>
      <c r="BH563" s="105"/>
      <c r="BI563" s="107"/>
      <c r="BJ563" s="106"/>
      <c r="BK563" s="108"/>
      <c r="BL563" s="160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7"/>
      <c r="CC563" s="107"/>
      <c r="CD563" s="107"/>
      <c r="CE563" s="107"/>
      <c r="CF563" s="107"/>
      <c r="CG563" s="107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38"/>
      <c r="DH563" s="138"/>
      <c r="DI563" s="1"/>
      <c r="DJ563" s="55"/>
      <c r="DK563" s="53"/>
      <c r="DL563" s="54"/>
      <c r="DM563" s="54"/>
      <c r="DN563" s="54"/>
      <c r="DO563" s="54"/>
      <c r="DP563" s="54"/>
      <c r="DQ563" s="54"/>
      <c r="DR563" s="54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L563" s="55"/>
      <c r="EM563" s="1"/>
      <c r="EN563" s="105"/>
      <c r="EO563" s="106"/>
      <c r="EP563" s="1"/>
      <c r="EQ563" s="106"/>
      <c r="ER563" s="1"/>
      <c r="ES563" s="1"/>
      <c r="ET563" s="1"/>
      <c r="EU563" s="105"/>
    </row>
    <row r="564" spans="9:151">
      <c r="I564" s="137"/>
      <c r="J564" s="138"/>
      <c r="K564" s="1"/>
      <c r="L564" s="1"/>
      <c r="S564" s="55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06"/>
      <c r="AQ564" s="1"/>
      <c r="AR564" s="106"/>
      <c r="AS564" s="106"/>
      <c r="AT564" s="106"/>
      <c r="AU564" s="106"/>
      <c r="AV564" s="31"/>
      <c r="AW564" s="31"/>
      <c r="AX564" s="31"/>
      <c r="AY564" s="154"/>
      <c r="AZ564" s="154"/>
      <c r="BA564" s="106"/>
      <c r="BB564" s="106"/>
      <c r="BC564" s="106"/>
      <c r="BD564" s="106"/>
      <c r="BE564" s="106"/>
      <c r="BF564" s="107"/>
      <c r="BG564" s="107"/>
      <c r="BH564" s="105"/>
      <c r="BI564" s="107"/>
      <c r="BJ564" s="106"/>
      <c r="BK564" s="108"/>
      <c r="BL564" s="160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7"/>
      <c r="CC564" s="107"/>
      <c r="CD564" s="107"/>
      <c r="CE564" s="107"/>
      <c r="CF564" s="107"/>
      <c r="CG564" s="107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38"/>
      <c r="DH564" s="138"/>
      <c r="DI564" s="1"/>
      <c r="DJ564" s="55"/>
      <c r="DK564" s="53"/>
      <c r="DL564" s="54"/>
      <c r="DM564" s="54"/>
      <c r="DN564" s="54"/>
      <c r="DO564" s="54"/>
      <c r="DP564" s="54"/>
      <c r="DQ564" s="54"/>
      <c r="DR564" s="54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L564" s="55"/>
      <c r="EM564" s="1"/>
      <c r="EN564" s="105"/>
      <c r="EO564" s="106"/>
      <c r="EP564" s="1"/>
      <c r="EQ564" s="106"/>
      <c r="ER564" s="1"/>
      <c r="ES564" s="1"/>
      <c r="ET564" s="1"/>
      <c r="EU564" s="105"/>
    </row>
    <row r="565" spans="9:151">
      <c r="I565" s="137"/>
      <c r="J565" s="138"/>
      <c r="K565" s="1"/>
      <c r="L565" s="1"/>
      <c r="S565" s="55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06"/>
      <c r="AQ565" s="1"/>
      <c r="AR565" s="106"/>
      <c r="AS565" s="106"/>
      <c r="AT565" s="106"/>
      <c r="AU565" s="106"/>
      <c r="AV565" s="31"/>
      <c r="AW565" s="31"/>
      <c r="AX565" s="31"/>
      <c r="AY565" s="154"/>
      <c r="AZ565" s="154"/>
      <c r="BA565" s="106"/>
      <c r="BB565" s="106"/>
      <c r="BC565" s="106"/>
      <c r="BD565" s="106"/>
      <c r="BE565" s="106"/>
      <c r="BF565" s="107"/>
      <c r="BG565" s="107"/>
      <c r="BH565" s="105"/>
      <c r="BI565" s="107"/>
      <c r="BJ565" s="106"/>
      <c r="BK565" s="108"/>
      <c r="BL565" s="160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7"/>
      <c r="CC565" s="107"/>
      <c r="CD565" s="107"/>
      <c r="CE565" s="107"/>
      <c r="CF565" s="107"/>
      <c r="CG565" s="107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38"/>
      <c r="DH565" s="138"/>
      <c r="DI565" s="1"/>
      <c r="DJ565" s="55"/>
      <c r="DK565" s="53"/>
      <c r="DL565" s="54"/>
      <c r="DM565" s="54"/>
      <c r="DN565" s="54"/>
      <c r="DO565" s="54"/>
      <c r="DP565" s="54"/>
      <c r="DQ565" s="54"/>
      <c r="DR565" s="54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L565" s="55"/>
      <c r="EM565" s="1"/>
      <c r="EN565" s="105"/>
      <c r="EO565" s="106"/>
      <c r="EP565" s="1"/>
      <c r="EQ565" s="106"/>
      <c r="ER565" s="1"/>
      <c r="ES565" s="1"/>
      <c r="ET565" s="1"/>
      <c r="EU565" s="105"/>
    </row>
    <row r="566" spans="9:151">
      <c r="I566" s="137"/>
      <c r="J566" s="138"/>
      <c r="K566" s="1"/>
      <c r="L566" s="1"/>
      <c r="S566" s="55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06"/>
      <c r="AQ566" s="1"/>
      <c r="AR566" s="106"/>
      <c r="AS566" s="106"/>
      <c r="AT566" s="106"/>
      <c r="AU566" s="106"/>
      <c r="AV566" s="31"/>
      <c r="AW566" s="31"/>
      <c r="AX566" s="31"/>
      <c r="AY566" s="154"/>
      <c r="AZ566" s="154"/>
      <c r="BA566" s="106"/>
      <c r="BB566" s="106"/>
      <c r="BC566" s="106"/>
      <c r="BD566" s="106"/>
      <c r="BE566" s="106"/>
      <c r="BF566" s="107"/>
      <c r="BG566" s="107"/>
      <c r="BH566" s="105"/>
      <c r="BI566" s="107"/>
      <c r="BJ566" s="106"/>
      <c r="BK566" s="108"/>
      <c r="BL566" s="160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7"/>
      <c r="CC566" s="107"/>
      <c r="CD566" s="107"/>
      <c r="CE566" s="107"/>
      <c r="CF566" s="107"/>
      <c r="CG566" s="107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38"/>
      <c r="DH566" s="138"/>
      <c r="DI566" s="1"/>
      <c r="DJ566" s="55"/>
      <c r="DK566" s="53"/>
      <c r="DL566" s="54"/>
      <c r="DM566" s="54"/>
      <c r="DN566" s="54"/>
      <c r="DO566" s="54"/>
      <c r="DP566" s="54"/>
      <c r="DQ566" s="54"/>
      <c r="DR566" s="54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L566" s="55"/>
      <c r="EM566" s="1"/>
      <c r="EN566" s="105"/>
      <c r="EO566" s="106"/>
      <c r="EP566" s="1"/>
      <c r="EQ566" s="106"/>
      <c r="ER566" s="1"/>
      <c r="ES566" s="1"/>
      <c r="ET566" s="1"/>
      <c r="EU566" s="105"/>
    </row>
    <row r="567" spans="9:151">
      <c r="I567" s="137"/>
      <c r="J567" s="138"/>
      <c r="K567" s="1"/>
      <c r="L567" s="1"/>
      <c r="S567" s="55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06"/>
      <c r="AQ567" s="1"/>
      <c r="AR567" s="106"/>
      <c r="AS567" s="106"/>
      <c r="AT567" s="106"/>
      <c r="AU567" s="106"/>
      <c r="AV567" s="31"/>
      <c r="AW567" s="31"/>
      <c r="AX567" s="31"/>
      <c r="AY567" s="154"/>
      <c r="AZ567" s="154"/>
      <c r="BA567" s="106"/>
      <c r="BB567" s="106"/>
      <c r="BC567" s="106"/>
      <c r="BD567" s="106"/>
      <c r="BE567" s="106"/>
      <c r="BF567" s="107"/>
      <c r="BG567" s="107"/>
      <c r="BH567" s="105"/>
      <c r="BI567" s="107"/>
      <c r="BJ567" s="106"/>
      <c r="BK567" s="108"/>
      <c r="BL567" s="160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7"/>
      <c r="CC567" s="107"/>
      <c r="CD567" s="107"/>
      <c r="CE567" s="107"/>
      <c r="CF567" s="107"/>
      <c r="CG567" s="107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38"/>
      <c r="DH567" s="138"/>
      <c r="DI567" s="1"/>
      <c r="DJ567" s="55"/>
      <c r="DK567" s="53"/>
      <c r="DL567" s="54"/>
      <c r="DM567" s="54"/>
      <c r="DN567" s="54"/>
      <c r="DO567" s="54"/>
      <c r="DP567" s="54"/>
      <c r="DQ567" s="54"/>
      <c r="DR567" s="54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L567" s="55"/>
      <c r="EM567" s="1"/>
      <c r="EN567" s="105"/>
      <c r="EO567" s="106"/>
      <c r="EP567" s="1"/>
      <c r="EQ567" s="106"/>
      <c r="ER567" s="1"/>
      <c r="ES567" s="1"/>
      <c r="ET567" s="1"/>
      <c r="EU567" s="105"/>
    </row>
    <row r="568" spans="9:151">
      <c r="I568" s="137"/>
      <c r="J568" s="138"/>
      <c r="K568" s="1"/>
      <c r="L568" s="1"/>
      <c r="S568" s="55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06"/>
      <c r="AQ568" s="1"/>
      <c r="AR568" s="106"/>
      <c r="AS568" s="106"/>
      <c r="AT568" s="106"/>
      <c r="AU568" s="106"/>
      <c r="AV568" s="31"/>
      <c r="AW568" s="31"/>
      <c r="AX568" s="31"/>
      <c r="AY568" s="154"/>
      <c r="AZ568" s="154"/>
      <c r="BA568" s="106"/>
      <c r="BB568" s="106"/>
      <c r="BC568" s="106"/>
      <c r="BD568" s="106"/>
      <c r="BE568" s="106"/>
      <c r="BF568" s="107"/>
      <c r="BG568" s="107"/>
      <c r="BH568" s="105"/>
      <c r="BI568" s="107"/>
      <c r="BJ568" s="106"/>
      <c r="BK568" s="108"/>
      <c r="BL568" s="160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7"/>
      <c r="CC568" s="107"/>
      <c r="CD568" s="107"/>
      <c r="CE568" s="107"/>
      <c r="CF568" s="107"/>
      <c r="CG568" s="107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38"/>
      <c r="DH568" s="138"/>
      <c r="DI568" s="1"/>
      <c r="DJ568" s="55"/>
      <c r="DK568" s="53"/>
      <c r="DL568" s="54"/>
      <c r="DM568" s="54"/>
      <c r="DN568" s="54"/>
      <c r="DO568" s="54"/>
      <c r="DP568" s="54"/>
      <c r="DQ568" s="54"/>
      <c r="DR568" s="54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L568" s="55"/>
      <c r="EM568" s="1"/>
      <c r="EN568" s="105"/>
      <c r="EO568" s="106"/>
      <c r="EP568" s="1"/>
      <c r="EQ568" s="106"/>
      <c r="ER568" s="1"/>
      <c r="ES568" s="1"/>
      <c r="ET568" s="1"/>
      <c r="EU568" s="105"/>
    </row>
    <row r="569" spans="9:151">
      <c r="I569" s="137"/>
      <c r="J569" s="138"/>
      <c r="K569" s="1"/>
      <c r="L569" s="1"/>
      <c r="S569" s="55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06"/>
      <c r="AQ569" s="1"/>
      <c r="AR569" s="106"/>
      <c r="AS569" s="106"/>
      <c r="AT569" s="106"/>
      <c r="AU569" s="106"/>
      <c r="AV569" s="31"/>
      <c r="AW569" s="31"/>
      <c r="AX569" s="31"/>
      <c r="AY569" s="154"/>
      <c r="AZ569" s="154"/>
      <c r="BA569" s="106"/>
      <c r="BB569" s="106"/>
      <c r="BC569" s="106"/>
      <c r="BD569" s="106"/>
      <c r="BE569" s="106"/>
      <c r="BF569" s="107"/>
      <c r="BG569" s="107"/>
      <c r="BH569" s="105"/>
      <c r="BI569" s="107"/>
      <c r="BJ569" s="106"/>
      <c r="BK569" s="108"/>
      <c r="BL569" s="160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7"/>
      <c r="CC569" s="107"/>
      <c r="CD569" s="107"/>
      <c r="CE569" s="107"/>
      <c r="CF569" s="107"/>
      <c r="CG569" s="107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38"/>
      <c r="DH569" s="138"/>
      <c r="DI569" s="1"/>
      <c r="DJ569" s="55"/>
      <c r="DK569" s="53"/>
      <c r="DL569" s="54"/>
      <c r="DM569" s="54"/>
      <c r="DN569" s="54"/>
      <c r="DO569" s="54"/>
      <c r="DP569" s="54"/>
      <c r="DQ569" s="54"/>
      <c r="DR569" s="54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L569" s="55"/>
      <c r="EM569" s="1"/>
      <c r="EN569" s="105"/>
      <c r="EO569" s="106"/>
      <c r="EP569" s="1"/>
      <c r="EQ569" s="106"/>
      <c r="ER569" s="1"/>
      <c r="ES569" s="1"/>
      <c r="ET569" s="1"/>
      <c r="EU569" s="105"/>
    </row>
    <row r="570" spans="9:151">
      <c r="I570" s="137"/>
      <c r="J570" s="138"/>
      <c r="K570" s="1"/>
      <c r="L570" s="1"/>
      <c r="S570" s="55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06"/>
      <c r="AQ570" s="1"/>
      <c r="AR570" s="106"/>
      <c r="AS570" s="106"/>
      <c r="AT570" s="106"/>
      <c r="AU570" s="106"/>
      <c r="AV570" s="31"/>
      <c r="AW570" s="31"/>
      <c r="AX570" s="31"/>
      <c r="AY570" s="154"/>
      <c r="AZ570" s="154"/>
      <c r="BA570" s="106"/>
      <c r="BB570" s="106"/>
      <c r="BC570" s="106"/>
      <c r="BD570" s="106"/>
      <c r="BE570" s="106"/>
      <c r="BF570" s="107"/>
      <c r="BG570" s="107"/>
      <c r="BH570" s="105"/>
      <c r="BI570" s="107"/>
      <c r="BJ570" s="106"/>
      <c r="BK570" s="108"/>
      <c r="BL570" s="160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7"/>
      <c r="CC570" s="107"/>
      <c r="CD570" s="107"/>
      <c r="CE570" s="107"/>
      <c r="CF570" s="107"/>
      <c r="CG570" s="107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38"/>
      <c r="DH570" s="138"/>
      <c r="DI570" s="1"/>
      <c r="DJ570" s="55"/>
      <c r="DK570" s="53"/>
      <c r="DL570" s="54"/>
      <c r="DM570" s="54"/>
      <c r="DN570" s="54"/>
      <c r="DO570" s="54"/>
      <c r="DP570" s="54"/>
      <c r="DQ570" s="54"/>
      <c r="DR570" s="54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L570" s="55"/>
      <c r="EM570" s="1"/>
      <c r="EN570" s="105"/>
      <c r="EO570" s="106"/>
      <c r="EP570" s="1"/>
      <c r="EQ570" s="106"/>
      <c r="ER570" s="1"/>
      <c r="ES570" s="1"/>
      <c r="ET570" s="1"/>
      <c r="EU570" s="105"/>
    </row>
    <row r="571" spans="9:151">
      <c r="I571" s="137"/>
      <c r="J571" s="138"/>
      <c r="K571" s="1"/>
      <c r="L571" s="1"/>
      <c r="S571" s="55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06"/>
      <c r="AQ571" s="1"/>
      <c r="AR571" s="106"/>
      <c r="AS571" s="106"/>
      <c r="AT571" s="106"/>
      <c r="AU571" s="106"/>
      <c r="AV571" s="31"/>
      <c r="AW571" s="31"/>
      <c r="AX571" s="31"/>
      <c r="AY571" s="154"/>
      <c r="AZ571" s="154"/>
      <c r="BA571" s="106"/>
      <c r="BB571" s="106"/>
      <c r="BC571" s="106"/>
      <c r="BD571" s="106"/>
      <c r="BE571" s="106"/>
      <c r="BF571" s="107"/>
      <c r="BG571" s="107"/>
      <c r="BH571" s="105"/>
      <c r="BI571" s="107"/>
      <c r="BJ571" s="106"/>
      <c r="BK571" s="108"/>
      <c r="BL571" s="160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7"/>
      <c r="CC571" s="107"/>
      <c r="CD571" s="107"/>
      <c r="CE571" s="107"/>
      <c r="CF571" s="107"/>
      <c r="CG571" s="107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38"/>
      <c r="DH571" s="138"/>
      <c r="DI571" s="1"/>
      <c r="DJ571" s="55"/>
      <c r="DK571" s="53"/>
      <c r="DL571" s="54"/>
      <c r="DM571" s="54"/>
      <c r="DN571" s="54"/>
      <c r="DO571" s="54"/>
      <c r="DP571" s="54"/>
      <c r="DQ571" s="54"/>
      <c r="DR571" s="54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L571" s="55"/>
      <c r="EM571" s="1"/>
      <c r="EN571" s="105"/>
      <c r="EO571" s="106"/>
      <c r="EP571" s="1"/>
      <c r="EQ571" s="106"/>
      <c r="ER571" s="1"/>
      <c r="ES571" s="1"/>
      <c r="ET571" s="1"/>
      <c r="EU571" s="105"/>
    </row>
    <row r="572" spans="9:151">
      <c r="I572" s="137"/>
      <c r="J572" s="138"/>
      <c r="K572" s="1"/>
      <c r="L572" s="1"/>
      <c r="S572" s="55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06"/>
      <c r="AQ572" s="1"/>
      <c r="AR572" s="106"/>
      <c r="AS572" s="106"/>
      <c r="AT572" s="106"/>
      <c r="AU572" s="106"/>
      <c r="AV572" s="31"/>
      <c r="AW572" s="31"/>
      <c r="AX572" s="31"/>
      <c r="AY572" s="154"/>
      <c r="AZ572" s="154"/>
      <c r="BA572" s="106"/>
      <c r="BB572" s="106"/>
      <c r="BC572" s="106"/>
      <c r="BD572" s="106"/>
      <c r="BE572" s="106"/>
      <c r="BF572" s="107"/>
      <c r="BG572" s="107"/>
      <c r="BH572" s="105"/>
      <c r="BI572" s="107"/>
      <c r="BJ572" s="106"/>
      <c r="BK572" s="108"/>
      <c r="BL572" s="160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7"/>
      <c r="CC572" s="107"/>
      <c r="CD572" s="107"/>
      <c r="CE572" s="107"/>
      <c r="CF572" s="107"/>
      <c r="CG572" s="107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38"/>
      <c r="DH572" s="138"/>
      <c r="DI572" s="1"/>
      <c r="DJ572" s="55"/>
      <c r="DK572" s="53"/>
      <c r="DL572" s="54"/>
      <c r="DM572" s="54"/>
      <c r="DN572" s="54"/>
      <c r="DO572" s="54"/>
      <c r="DP572" s="54"/>
      <c r="DQ572" s="54"/>
      <c r="DR572" s="54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L572" s="55"/>
      <c r="EM572" s="1"/>
      <c r="EN572" s="105"/>
      <c r="EO572" s="106"/>
      <c r="EP572" s="1"/>
      <c r="EQ572" s="106"/>
      <c r="ER572" s="1"/>
      <c r="ES572" s="1"/>
      <c r="ET572" s="1"/>
      <c r="EU572" s="105"/>
    </row>
    <row r="573" spans="9:151">
      <c r="I573" s="137"/>
      <c r="J573" s="138"/>
      <c r="K573" s="1"/>
      <c r="L573" s="1"/>
      <c r="S573" s="55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06"/>
      <c r="AQ573" s="1"/>
      <c r="AR573" s="106"/>
      <c r="AS573" s="106"/>
      <c r="AT573" s="106"/>
      <c r="AU573" s="106"/>
      <c r="AV573" s="31"/>
      <c r="AW573" s="31"/>
      <c r="AX573" s="31"/>
      <c r="AY573" s="154"/>
      <c r="AZ573" s="154"/>
      <c r="BA573" s="106"/>
      <c r="BB573" s="106"/>
      <c r="BC573" s="106"/>
      <c r="BD573" s="106"/>
      <c r="BE573" s="106"/>
      <c r="BF573" s="107"/>
      <c r="BG573" s="107"/>
      <c r="BH573" s="105"/>
      <c r="BI573" s="107"/>
      <c r="BJ573" s="106"/>
      <c r="BK573" s="108"/>
      <c r="BL573" s="160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7"/>
      <c r="CC573" s="107"/>
      <c r="CD573" s="107"/>
      <c r="CE573" s="107"/>
      <c r="CF573" s="107"/>
      <c r="CG573" s="107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38"/>
      <c r="DH573" s="138"/>
      <c r="DI573" s="1"/>
      <c r="DJ573" s="55"/>
      <c r="DK573" s="53"/>
      <c r="DL573" s="54"/>
      <c r="DM573" s="54"/>
      <c r="DN573" s="54"/>
      <c r="DO573" s="54"/>
      <c r="DP573" s="54"/>
      <c r="DQ573" s="54"/>
      <c r="DR573" s="54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L573" s="55"/>
      <c r="EM573" s="1"/>
      <c r="EN573" s="105"/>
      <c r="EO573" s="106"/>
      <c r="EP573" s="1"/>
      <c r="EQ573" s="106"/>
      <c r="ER573" s="1"/>
      <c r="ES573" s="1"/>
      <c r="ET573" s="1"/>
      <c r="EU573" s="105"/>
    </row>
    <row r="574" spans="9:151">
      <c r="I574" s="137"/>
      <c r="J574" s="138"/>
      <c r="K574" s="1"/>
      <c r="L574" s="1"/>
      <c r="S574" s="55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06"/>
      <c r="AQ574" s="1"/>
      <c r="AR574" s="106"/>
      <c r="AS574" s="106"/>
      <c r="AT574" s="106"/>
      <c r="AU574" s="106"/>
      <c r="AV574" s="31"/>
      <c r="AW574" s="31"/>
      <c r="AX574" s="31"/>
      <c r="AY574" s="154"/>
      <c r="AZ574" s="154"/>
      <c r="BA574" s="106"/>
      <c r="BB574" s="106"/>
      <c r="BC574" s="106"/>
      <c r="BD574" s="106"/>
      <c r="BE574" s="106"/>
      <c r="BF574" s="107"/>
      <c r="BG574" s="107"/>
      <c r="BH574" s="105"/>
      <c r="BI574" s="107"/>
      <c r="BJ574" s="106"/>
      <c r="BK574" s="108"/>
      <c r="BL574" s="160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7"/>
      <c r="CC574" s="107"/>
      <c r="CD574" s="107"/>
      <c r="CE574" s="107"/>
      <c r="CF574" s="107"/>
      <c r="CG574" s="107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38"/>
      <c r="DH574" s="138"/>
      <c r="DI574" s="1"/>
      <c r="DJ574" s="55"/>
      <c r="DK574" s="53"/>
      <c r="DL574" s="54"/>
      <c r="DM574" s="54"/>
      <c r="DN574" s="54"/>
      <c r="DO574" s="54"/>
      <c r="DP574" s="54"/>
      <c r="DQ574" s="54"/>
      <c r="DR574" s="54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L574" s="55"/>
      <c r="EM574" s="1"/>
      <c r="EN574" s="105"/>
      <c r="EO574" s="106"/>
      <c r="EP574" s="1"/>
      <c r="EQ574" s="106"/>
      <c r="ER574" s="1"/>
      <c r="ES574" s="1"/>
      <c r="ET574" s="1"/>
      <c r="EU574" s="105"/>
    </row>
    <row r="575" spans="9:151">
      <c r="I575" s="137"/>
      <c r="J575" s="138"/>
      <c r="K575" s="1"/>
      <c r="L575" s="1"/>
      <c r="S575" s="55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06"/>
      <c r="AQ575" s="1"/>
      <c r="AR575" s="106"/>
      <c r="AS575" s="106"/>
      <c r="AT575" s="106"/>
      <c r="AU575" s="106"/>
      <c r="AV575" s="31"/>
      <c r="AW575" s="31"/>
      <c r="AX575" s="31"/>
      <c r="AY575" s="154"/>
      <c r="AZ575" s="154"/>
      <c r="BA575" s="106"/>
      <c r="BB575" s="106"/>
      <c r="BC575" s="106"/>
      <c r="BD575" s="106"/>
      <c r="BE575" s="106"/>
      <c r="BF575" s="107"/>
      <c r="BG575" s="107"/>
      <c r="BH575" s="105"/>
      <c r="BI575" s="107"/>
      <c r="BJ575" s="106"/>
      <c r="BK575" s="108"/>
      <c r="BL575" s="160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7"/>
      <c r="CC575" s="107"/>
      <c r="CD575" s="107"/>
      <c r="CE575" s="107"/>
      <c r="CF575" s="107"/>
      <c r="CG575" s="107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38"/>
      <c r="DH575" s="138"/>
      <c r="DI575" s="1"/>
      <c r="DJ575" s="55"/>
      <c r="DK575" s="53"/>
      <c r="DL575" s="54"/>
      <c r="DM575" s="54"/>
      <c r="DN575" s="54"/>
      <c r="DO575" s="54"/>
      <c r="DP575" s="54"/>
      <c r="DQ575" s="54"/>
      <c r="DR575" s="54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L575" s="55"/>
      <c r="EM575" s="1"/>
      <c r="EN575" s="105"/>
      <c r="EO575" s="106"/>
      <c r="EP575" s="1"/>
      <c r="EQ575" s="106"/>
      <c r="ER575" s="1"/>
      <c r="ES575" s="1"/>
      <c r="ET575" s="1"/>
      <c r="EU575" s="105"/>
    </row>
    <row r="576" spans="9:151">
      <c r="I576" s="137"/>
      <c r="J576" s="138"/>
      <c r="K576" s="1"/>
      <c r="L576" s="1"/>
      <c r="S576" s="55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06"/>
      <c r="AQ576" s="1"/>
      <c r="AR576" s="106"/>
      <c r="AS576" s="106"/>
      <c r="AT576" s="106"/>
      <c r="AU576" s="106"/>
      <c r="AV576" s="31"/>
      <c r="AW576" s="31"/>
      <c r="AX576" s="31"/>
      <c r="AY576" s="154"/>
      <c r="AZ576" s="154"/>
      <c r="BA576" s="106"/>
      <c r="BB576" s="106"/>
      <c r="BC576" s="106"/>
      <c r="BD576" s="106"/>
      <c r="BE576" s="106"/>
      <c r="BF576" s="107"/>
      <c r="BG576" s="107"/>
      <c r="BH576" s="105"/>
      <c r="BI576" s="107"/>
      <c r="BJ576" s="106"/>
      <c r="BK576" s="108"/>
      <c r="BL576" s="160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7"/>
      <c r="CC576" s="107"/>
      <c r="CD576" s="107"/>
      <c r="CE576" s="107"/>
      <c r="CF576" s="107"/>
      <c r="CG576" s="107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38"/>
      <c r="DH576" s="138"/>
      <c r="DI576" s="1"/>
      <c r="DJ576" s="55"/>
      <c r="DK576" s="53"/>
      <c r="DL576" s="54"/>
      <c r="DM576" s="54"/>
      <c r="DN576" s="54"/>
      <c r="DO576" s="54"/>
      <c r="DP576" s="54"/>
      <c r="DQ576" s="54"/>
      <c r="DR576" s="54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L576" s="55"/>
      <c r="EM576" s="1"/>
      <c r="EN576" s="105"/>
      <c r="EO576" s="106"/>
      <c r="EP576" s="1"/>
      <c r="EQ576" s="106"/>
      <c r="ER576" s="1"/>
      <c r="ES576" s="1"/>
      <c r="ET576" s="1"/>
      <c r="EU576" s="105"/>
    </row>
    <row r="577" spans="9:151">
      <c r="I577" s="137"/>
      <c r="J577" s="138"/>
      <c r="K577" s="1"/>
      <c r="L577" s="1"/>
      <c r="S577" s="55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06"/>
      <c r="AQ577" s="1"/>
      <c r="AR577" s="106"/>
      <c r="AS577" s="106"/>
      <c r="AT577" s="106"/>
      <c r="AU577" s="106"/>
      <c r="AV577" s="31"/>
      <c r="AW577" s="31"/>
      <c r="AX577" s="31"/>
      <c r="AY577" s="154"/>
      <c r="AZ577" s="154"/>
      <c r="BA577" s="106"/>
      <c r="BB577" s="106"/>
      <c r="BC577" s="106"/>
      <c r="BD577" s="106"/>
      <c r="BE577" s="106"/>
      <c r="BF577" s="107"/>
      <c r="BG577" s="107"/>
      <c r="BH577" s="105"/>
      <c r="BI577" s="107"/>
      <c r="BJ577" s="106"/>
      <c r="BK577" s="108"/>
      <c r="BL577" s="160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7"/>
      <c r="CC577" s="107"/>
      <c r="CD577" s="107"/>
      <c r="CE577" s="107"/>
      <c r="CF577" s="107"/>
      <c r="CG577" s="107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38"/>
      <c r="DH577" s="138"/>
      <c r="DI577" s="1"/>
      <c r="DJ577" s="55"/>
      <c r="DK577" s="53"/>
      <c r="DL577" s="54"/>
      <c r="DM577" s="54"/>
      <c r="DN577" s="54"/>
      <c r="DO577" s="54"/>
      <c r="DP577" s="54"/>
      <c r="DQ577" s="54"/>
      <c r="DR577" s="54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L577" s="55"/>
      <c r="EM577" s="1"/>
      <c r="EN577" s="105"/>
      <c r="EO577" s="106"/>
      <c r="EP577" s="1"/>
      <c r="EQ577" s="106"/>
      <c r="ER577" s="1"/>
      <c r="ES577" s="1"/>
      <c r="ET577" s="1"/>
      <c r="EU577" s="105"/>
    </row>
    <row r="578" spans="9:151">
      <c r="I578" s="137"/>
      <c r="J578" s="138"/>
      <c r="K578" s="1"/>
      <c r="L578" s="1"/>
      <c r="S578" s="55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06"/>
      <c r="AQ578" s="1"/>
      <c r="AR578" s="106"/>
      <c r="AS578" s="106"/>
      <c r="AT578" s="106"/>
      <c r="AU578" s="106"/>
      <c r="AV578" s="31"/>
      <c r="AW578" s="31"/>
      <c r="AX578" s="31"/>
      <c r="AY578" s="154"/>
      <c r="AZ578" s="154"/>
      <c r="BA578" s="106"/>
      <c r="BB578" s="106"/>
      <c r="BC578" s="106"/>
      <c r="BD578" s="106"/>
      <c r="BE578" s="106"/>
      <c r="BF578" s="107"/>
      <c r="BG578" s="107"/>
      <c r="BH578" s="105"/>
      <c r="BI578" s="107"/>
      <c r="BJ578" s="106"/>
      <c r="BK578" s="108"/>
      <c r="BL578" s="160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7"/>
      <c r="CC578" s="107"/>
      <c r="CD578" s="107"/>
      <c r="CE578" s="107"/>
      <c r="CF578" s="107"/>
      <c r="CG578" s="107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38"/>
      <c r="DH578" s="138"/>
      <c r="DI578" s="1"/>
      <c r="DJ578" s="55"/>
      <c r="DK578" s="53"/>
      <c r="DL578" s="54"/>
      <c r="DM578" s="54"/>
      <c r="DN578" s="54"/>
      <c r="DO578" s="54"/>
      <c r="DP578" s="54"/>
      <c r="DQ578" s="54"/>
      <c r="DR578" s="54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L578" s="55"/>
      <c r="EM578" s="1"/>
      <c r="EN578" s="105"/>
      <c r="EO578" s="106"/>
      <c r="EP578" s="1"/>
      <c r="EQ578" s="106"/>
      <c r="ER578" s="1"/>
      <c r="ES578" s="1"/>
      <c r="ET578" s="1"/>
      <c r="EU578" s="105"/>
    </row>
    <row r="579" spans="9:151">
      <c r="I579" s="137"/>
      <c r="J579" s="138"/>
      <c r="K579" s="1"/>
      <c r="L579" s="1"/>
      <c r="S579" s="55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06"/>
      <c r="AQ579" s="1"/>
      <c r="AR579" s="106"/>
      <c r="AS579" s="106"/>
      <c r="AT579" s="106"/>
      <c r="AU579" s="106"/>
      <c r="AV579" s="31"/>
      <c r="AW579" s="31"/>
      <c r="AX579" s="31"/>
      <c r="AY579" s="154"/>
      <c r="AZ579" s="154"/>
      <c r="BA579" s="106"/>
      <c r="BB579" s="106"/>
      <c r="BC579" s="106"/>
      <c r="BD579" s="106"/>
      <c r="BE579" s="106"/>
      <c r="BF579" s="107"/>
      <c r="BG579" s="107"/>
      <c r="BH579" s="105"/>
      <c r="BI579" s="107"/>
      <c r="BJ579" s="106"/>
      <c r="BK579" s="108"/>
      <c r="BL579" s="160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7"/>
      <c r="CC579" s="107"/>
      <c r="CD579" s="107"/>
      <c r="CE579" s="107"/>
      <c r="CF579" s="107"/>
      <c r="CG579" s="107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38"/>
      <c r="DH579" s="138"/>
      <c r="DI579" s="1"/>
      <c r="DJ579" s="55"/>
      <c r="DK579" s="53"/>
      <c r="DL579" s="54"/>
      <c r="DM579" s="54"/>
      <c r="DN579" s="54"/>
      <c r="DO579" s="54"/>
      <c r="DP579" s="54"/>
      <c r="DQ579" s="54"/>
      <c r="DR579" s="54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L579" s="55"/>
      <c r="EM579" s="1"/>
      <c r="EN579" s="105"/>
      <c r="EO579" s="106"/>
      <c r="EP579" s="1"/>
      <c r="EQ579" s="106"/>
      <c r="ER579" s="1"/>
      <c r="ES579" s="1"/>
      <c r="ET579" s="1"/>
      <c r="EU579" s="105"/>
    </row>
    <row r="580" spans="9:151">
      <c r="I580" s="137"/>
      <c r="J580" s="138"/>
      <c r="K580" s="1"/>
      <c r="L580" s="1"/>
      <c r="S580" s="55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06"/>
      <c r="AQ580" s="1"/>
      <c r="AR580" s="106"/>
      <c r="AS580" s="106"/>
      <c r="AT580" s="106"/>
      <c r="AU580" s="106"/>
      <c r="AV580" s="31"/>
      <c r="AW580" s="31"/>
      <c r="AX580" s="31"/>
      <c r="AY580" s="154"/>
      <c r="AZ580" s="154"/>
      <c r="BA580" s="106"/>
      <c r="BB580" s="106"/>
      <c r="BC580" s="106"/>
      <c r="BD580" s="106"/>
      <c r="BE580" s="106"/>
      <c r="BF580" s="107"/>
      <c r="BG580" s="107"/>
      <c r="BH580" s="105"/>
      <c r="BI580" s="107"/>
      <c r="BJ580" s="106"/>
      <c r="BK580" s="108"/>
      <c r="BL580" s="160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7"/>
      <c r="CC580" s="107"/>
      <c r="CD580" s="107"/>
      <c r="CE580" s="107"/>
      <c r="CF580" s="107"/>
      <c r="CG580" s="107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38"/>
      <c r="DH580" s="138"/>
      <c r="DI580" s="1"/>
      <c r="DJ580" s="55"/>
      <c r="DK580" s="53"/>
      <c r="DL580" s="54"/>
      <c r="DM580" s="54"/>
      <c r="DN580" s="54"/>
      <c r="DO580" s="54"/>
      <c r="DP580" s="54"/>
      <c r="DQ580" s="54"/>
      <c r="DR580" s="54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L580" s="55"/>
      <c r="EM580" s="1"/>
      <c r="EN580" s="105"/>
      <c r="EO580" s="106"/>
      <c r="EP580" s="1"/>
      <c r="EQ580" s="106"/>
      <c r="ER580" s="1"/>
      <c r="ES580" s="1"/>
      <c r="ET580" s="1"/>
      <c r="EU580" s="105"/>
    </row>
    <row r="581" spans="9:151">
      <c r="I581" s="137"/>
      <c r="J581" s="138"/>
      <c r="K581" s="1"/>
      <c r="L581" s="1"/>
      <c r="S581" s="55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06"/>
      <c r="AQ581" s="1"/>
      <c r="AR581" s="106"/>
      <c r="AS581" s="106"/>
      <c r="AT581" s="106"/>
      <c r="AU581" s="106"/>
      <c r="AV581" s="31"/>
      <c r="AW581" s="31"/>
      <c r="AX581" s="31"/>
      <c r="AY581" s="154"/>
      <c r="AZ581" s="154"/>
      <c r="BA581" s="106"/>
      <c r="BB581" s="106"/>
      <c r="BC581" s="106"/>
      <c r="BD581" s="106"/>
      <c r="BE581" s="106"/>
      <c r="BF581" s="107"/>
      <c r="BG581" s="107"/>
      <c r="BH581" s="105"/>
      <c r="BI581" s="107"/>
      <c r="BJ581" s="106"/>
      <c r="BK581" s="108"/>
      <c r="BL581" s="160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7"/>
      <c r="CC581" s="107"/>
      <c r="CD581" s="107"/>
      <c r="CE581" s="107"/>
      <c r="CF581" s="107"/>
      <c r="CG581" s="107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38"/>
      <c r="DH581" s="138"/>
      <c r="DI581" s="1"/>
      <c r="DJ581" s="55"/>
      <c r="DK581" s="53"/>
      <c r="DL581" s="54"/>
      <c r="DM581" s="54"/>
      <c r="DN581" s="54"/>
      <c r="DO581" s="54"/>
      <c r="DP581" s="54"/>
      <c r="DQ581" s="54"/>
      <c r="DR581" s="54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L581" s="55"/>
      <c r="EM581" s="1"/>
      <c r="EN581" s="105"/>
      <c r="EO581" s="106"/>
      <c r="EP581" s="1"/>
      <c r="EQ581" s="106"/>
      <c r="ER581" s="1"/>
      <c r="ES581" s="1"/>
      <c r="ET581" s="1"/>
      <c r="EU581" s="105"/>
    </row>
    <row r="582" spans="9:151">
      <c r="I582" s="137"/>
      <c r="J582" s="138"/>
      <c r="K582" s="1"/>
      <c r="L582" s="1"/>
      <c r="S582" s="55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06"/>
      <c r="AQ582" s="1"/>
      <c r="AR582" s="106"/>
      <c r="AS582" s="106"/>
      <c r="AT582" s="106"/>
      <c r="AU582" s="106"/>
      <c r="AV582" s="31"/>
      <c r="AW582" s="31"/>
      <c r="AX582" s="31"/>
      <c r="AY582" s="154"/>
      <c r="AZ582" s="154"/>
      <c r="BA582" s="106"/>
      <c r="BB582" s="106"/>
      <c r="BC582" s="106"/>
      <c r="BD582" s="106"/>
      <c r="BE582" s="106"/>
      <c r="BF582" s="107"/>
      <c r="BG582" s="107"/>
      <c r="BH582" s="105"/>
      <c r="BI582" s="107"/>
      <c r="BJ582" s="106"/>
      <c r="BK582" s="108"/>
      <c r="BL582" s="160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7"/>
      <c r="CC582" s="107"/>
      <c r="CD582" s="107"/>
      <c r="CE582" s="107"/>
      <c r="CF582" s="107"/>
      <c r="CG582" s="107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38"/>
      <c r="DH582" s="138"/>
      <c r="DI582" s="1"/>
      <c r="DJ582" s="55"/>
      <c r="DK582" s="53"/>
      <c r="DL582" s="54"/>
      <c r="DM582" s="54"/>
      <c r="DN582" s="54"/>
      <c r="DO582" s="54"/>
      <c r="DP582" s="54"/>
      <c r="DQ582" s="54"/>
      <c r="DR582" s="54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L582" s="55"/>
      <c r="EM582" s="1"/>
      <c r="EN582" s="105"/>
      <c r="EO582" s="106"/>
      <c r="EP582" s="1"/>
      <c r="EQ582" s="106"/>
      <c r="ER582" s="1"/>
      <c r="ES582" s="1"/>
      <c r="ET582" s="1"/>
      <c r="EU582" s="105"/>
    </row>
    <row r="583" spans="9:151">
      <c r="I583" s="137"/>
      <c r="J583" s="138"/>
      <c r="K583" s="1"/>
      <c r="L583" s="1"/>
      <c r="S583" s="55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06"/>
      <c r="AQ583" s="1"/>
      <c r="AR583" s="106"/>
      <c r="AS583" s="106"/>
      <c r="AT583" s="106"/>
      <c r="AU583" s="106"/>
      <c r="AV583" s="31"/>
      <c r="AW583" s="31"/>
      <c r="AX583" s="31"/>
      <c r="AY583" s="154"/>
      <c r="AZ583" s="154"/>
      <c r="BA583" s="106"/>
      <c r="BB583" s="106"/>
      <c r="BC583" s="106"/>
      <c r="BD583" s="106"/>
      <c r="BE583" s="106"/>
      <c r="BF583" s="107"/>
      <c r="BG583" s="107"/>
      <c r="BH583" s="105"/>
      <c r="BI583" s="107"/>
      <c r="BJ583" s="106"/>
      <c r="BK583" s="108"/>
      <c r="BL583" s="160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7"/>
      <c r="CC583" s="107"/>
      <c r="CD583" s="107"/>
      <c r="CE583" s="107"/>
      <c r="CF583" s="107"/>
      <c r="CG583" s="107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38"/>
      <c r="DH583" s="138"/>
      <c r="DI583" s="1"/>
      <c r="DJ583" s="55"/>
      <c r="DK583" s="53"/>
      <c r="DL583" s="54"/>
      <c r="DM583" s="54"/>
      <c r="DN583" s="54"/>
      <c r="DO583" s="54"/>
      <c r="DP583" s="54"/>
      <c r="DQ583" s="54"/>
      <c r="DR583" s="54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L583" s="55"/>
      <c r="EM583" s="1"/>
      <c r="EN583" s="105"/>
      <c r="EO583" s="106"/>
      <c r="EP583" s="1"/>
      <c r="EQ583" s="106"/>
      <c r="ER583" s="1"/>
      <c r="ES583" s="1"/>
      <c r="ET583" s="1"/>
      <c r="EU583" s="105"/>
    </row>
    <row r="584" spans="9:151">
      <c r="I584" s="137"/>
      <c r="J584" s="138"/>
      <c r="K584" s="1"/>
      <c r="L584" s="1"/>
      <c r="S584" s="55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06"/>
      <c r="AQ584" s="1"/>
      <c r="AR584" s="106"/>
      <c r="AS584" s="106"/>
      <c r="AT584" s="106"/>
      <c r="AU584" s="106"/>
      <c r="AV584" s="31"/>
      <c r="AW584" s="31"/>
      <c r="AX584" s="31"/>
      <c r="AY584" s="154"/>
      <c r="AZ584" s="154"/>
      <c r="BA584" s="106"/>
      <c r="BB584" s="106"/>
      <c r="BC584" s="106"/>
      <c r="BD584" s="106"/>
      <c r="BE584" s="106"/>
      <c r="BF584" s="107"/>
      <c r="BG584" s="107"/>
      <c r="BH584" s="105"/>
      <c r="BI584" s="107"/>
      <c r="BJ584" s="106"/>
      <c r="BK584" s="108"/>
      <c r="BL584" s="160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7"/>
      <c r="CC584" s="107"/>
      <c r="CD584" s="107"/>
      <c r="CE584" s="107"/>
      <c r="CF584" s="107"/>
      <c r="CG584" s="107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38"/>
      <c r="DH584" s="138"/>
      <c r="DI584" s="1"/>
      <c r="DJ584" s="55"/>
      <c r="DK584" s="53"/>
      <c r="DL584" s="54"/>
      <c r="DM584" s="54"/>
      <c r="DN584" s="54"/>
      <c r="DO584" s="54"/>
      <c r="DP584" s="54"/>
      <c r="DQ584" s="54"/>
      <c r="DR584" s="54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L584" s="55"/>
      <c r="EM584" s="1"/>
      <c r="EN584" s="105"/>
      <c r="EO584" s="106"/>
      <c r="EP584" s="1"/>
      <c r="EQ584" s="106"/>
      <c r="ER584" s="1"/>
      <c r="ES584" s="1"/>
      <c r="ET584" s="1"/>
      <c r="EU584" s="105"/>
    </row>
    <row r="585" spans="9:151">
      <c r="I585" s="137"/>
      <c r="J585" s="138"/>
      <c r="K585" s="1"/>
      <c r="L585" s="1"/>
      <c r="S585" s="55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06"/>
      <c r="AQ585" s="1"/>
      <c r="AR585" s="106"/>
      <c r="AS585" s="106"/>
      <c r="AT585" s="106"/>
      <c r="AU585" s="106"/>
      <c r="AV585" s="31"/>
      <c r="AW585" s="31"/>
      <c r="AX585" s="31"/>
      <c r="AY585" s="154"/>
      <c r="AZ585" s="154"/>
      <c r="BA585" s="106"/>
      <c r="BB585" s="106"/>
      <c r="BC585" s="106"/>
      <c r="BD585" s="106"/>
      <c r="BE585" s="106"/>
      <c r="BF585" s="107"/>
      <c r="BG585" s="107"/>
      <c r="BH585" s="105"/>
      <c r="BI585" s="107"/>
      <c r="BJ585" s="106"/>
      <c r="BK585" s="108"/>
      <c r="BL585" s="160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7"/>
      <c r="CC585" s="107"/>
      <c r="CD585" s="107"/>
      <c r="CE585" s="107"/>
      <c r="CF585" s="107"/>
      <c r="CG585" s="107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38"/>
      <c r="DH585" s="138"/>
      <c r="DI585" s="1"/>
      <c r="DJ585" s="55"/>
      <c r="DK585" s="53"/>
      <c r="DL585" s="54"/>
      <c r="DM585" s="54"/>
      <c r="DN585" s="54"/>
      <c r="DO585" s="54"/>
      <c r="DP585" s="54"/>
      <c r="DQ585" s="54"/>
      <c r="DR585" s="54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L585" s="55"/>
      <c r="EM585" s="1"/>
      <c r="EN585" s="105"/>
      <c r="EO585" s="106"/>
      <c r="EP585" s="1"/>
      <c r="EQ585" s="106"/>
      <c r="ER585" s="1"/>
      <c r="ES585" s="1"/>
      <c r="ET585" s="1"/>
      <c r="EU585" s="105"/>
    </row>
    <row r="586" spans="9:151">
      <c r="I586" s="137"/>
      <c r="J586" s="138"/>
      <c r="K586" s="1"/>
      <c r="L586" s="1"/>
      <c r="S586" s="55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06"/>
      <c r="AQ586" s="1"/>
      <c r="AR586" s="106"/>
      <c r="AS586" s="106"/>
      <c r="AT586" s="106"/>
      <c r="AU586" s="106"/>
      <c r="AV586" s="31"/>
      <c r="AW586" s="31"/>
      <c r="AX586" s="31"/>
      <c r="AY586" s="154"/>
      <c r="AZ586" s="154"/>
      <c r="BA586" s="106"/>
      <c r="BB586" s="106"/>
      <c r="BC586" s="106"/>
      <c r="BD586" s="106"/>
      <c r="BE586" s="106"/>
      <c r="BF586" s="107"/>
      <c r="BG586" s="107"/>
      <c r="BH586" s="105"/>
      <c r="BI586" s="107"/>
      <c r="BJ586" s="106"/>
      <c r="BK586" s="108"/>
      <c r="BL586" s="160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7"/>
      <c r="CC586" s="107"/>
      <c r="CD586" s="107"/>
      <c r="CE586" s="107"/>
      <c r="CF586" s="107"/>
      <c r="CG586" s="107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38"/>
      <c r="DH586" s="138"/>
      <c r="DI586" s="1"/>
      <c r="DJ586" s="55"/>
      <c r="DK586" s="53"/>
      <c r="DL586" s="54"/>
      <c r="DM586" s="54"/>
      <c r="DN586" s="54"/>
      <c r="DO586" s="54"/>
      <c r="DP586" s="54"/>
      <c r="DQ586" s="54"/>
      <c r="DR586" s="54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L586" s="55"/>
      <c r="EM586" s="1"/>
      <c r="EN586" s="105"/>
      <c r="EO586" s="106"/>
      <c r="EP586" s="1"/>
      <c r="EQ586" s="106"/>
      <c r="ER586" s="1"/>
      <c r="ES586" s="1"/>
      <c r="ET586" s="1"/>
      <c r="EU586" s="105"/>
    </row>
    <row r="587" spans="9:151">
      <c r="I587" s="137"/>
      <c r="J587" s="138"/>
      <c r="K587" s="1"/>
      <c r="L587" s="1"/>
      <c r="S587" s="55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06"/>
      <c r="AQ587" s="1"/>
      <c r="AR587" s="106"/>
      <c r="AS587" s="106"/>
      <c r="AT587" s="106"/>
      <c r="AU587" s="106"/>
      <c r="AV587" s="31"/>
      <c r="AW587" s="31"/>
      <c r="AX587" s="31"/>
      <c r="AY587" s="154"/>
      <c r="AZ587" s="154"/>
      <c r="BA587" s="106"/>
      <c r="BB587" s="106"/>
      <c r="BC587" s="106"/>
      <c r="BD587" s="106"/>
      <c r="BE587" s="106"/>
      <c r="BF587" s="107"/>
      <c r="BG587" s="107"/>
      <c r="BH587" s="105"/>
      <c r="BI587" s="107"/>
      <c r="BJ587" s="106"/>
      <c r="BK587" s="108"/>
      <c r="BL587" s="160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7"/>
      <c r="CC587" s="107"/>
      <c r="CD587" s="107"/>
      <c r="CE587" s="107"/>
      <c r="CF587" s="107"/>
      <c r="CG587" s="107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38"/>
      <c r="DH587" s="138"/>
      <c r="DI587" s="1"/>
      <c r="DJ587" s="55"/>
      <c r="DK587" s="53"/>
      <c r="DL587" s="54"/>
      <c r="DM587" s="54"/>
      <c r="DN587" s="54"/>
      <c r="DO587" s="54"/>
      <c r="DP587" s="54"/>
      <c r="DQ587" s="54"/>
      <c r="DR587" s="54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L587" s="55"/>
      <c r="EM587" s="1"/>
      <c r="EN587" s="105"/>
      <c r="EO587" s="106"/>
      <c r="EP587" s="1"/>
      <c r="EQ587" s="106"/>
      <c r="ER587" s="1"/>
      <c r="ES587" s="1"/>
      <c r="ET587" s="1"/>
      <c r="EU587" s="105"/>
    </row>
    <row r="588" spans="9:151">
      <c r="I588" s="137"/>
      <c r="J588" s="138"/>
      <c r="K588" s="1"/>
      <c r="L588" s="1"/>
      <c r="S588" s="55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06"/>
      <c r="AQ588" s="1"/>
      <c r="AR588" s="106"/>
      <c r="AS588" s="106"/>
      <c r="AT588" s="106"/>
      <c r="AU588" s="106"/>
      <c r="AV588" s="31"/>
      <c r="AW588" s="31"/>
      <c r="AX588" s="31"/>
      <c r="AY588" s="154"/>
      <c r="AZ588" s="154"/>
      <c r="BA588" s="106"/>
      <c r="BB588" s="106"/>
      <c r="BC588" s="106"/>
      <c r="BD588" s="106"/>
      <c r="BE588" s="106"/>
      <c r="BF588" s="107"/>
      <c r="BG588" s="107"/>
      <c r="BH588" s="105"/>
      <c r="BI588" s="107"/>
      <c r="BJ588" s="106"/>
      <c r="BK588" s="108"/>
      <c r="BL588" s="160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7"/>
      <c r="CC588" s="107"/>
      <c r="CD588" s="107"/>
      <c r="CE588" s="107"/>
      <c r="CF588" s="107"/>
      <c r="CG588" s="107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38"/>
      <c r="DH588" s="138"/>
      <c r="DI588" s="1"/>
      <c r="DJ588" s="55"/>
      <c r="DK588" s="53"/>
      <c r="DL588" s="54"/>
      <c r="DM588" s="54"/>
      <c r="DN588" s="54"/>
      <c r="DO588" s="54"/>
      <c r="DP588" s="54"/>
      <c r="DQ588" s="54"/>
      <c r="DR588" s="54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L588" s="55"/>
      <c r="EM588" s="1"/>
      <c r="EN588" s="105"/>
      <c r="EO588" s="106"/>
      <c r="EP588" s="1"/>
      <c r="EQ588" s="106"/>
      <c r="ER588" s="1"/>
      <c r="ES588" s="1"/>
      <c r="ET588" s="1"/>
      <c r="EU588" s="105"/>
    </row>
    <row r="589" spans="9:151">
      <c r="I589" s="137"/>
      <c r="J589" s="138"/>
      <c r="K589" s="1"/>
      <c r="L589" s="1"/>
      <c r="S589" s="55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06"/>
      <c r="AQ589" s="1"/>
      <c r="AR589" s="106"/>
      <c r="AS589" s="106"/>
      <c r="AT589" s="106"/>
      <c r="AU589" s="106"/>
      <c r="AV589" s="31"/>
      <c r="AW589" s="31"/>
      <c r="AX589" s="31"/>
      <c r="AY589" s="154"/>
      <c r="AZ589" s="154"/>
      <c r="BA589" s="106"/>
      <c r="BB589" s="106"/>
      <c r="BC589" s="106"/>
      <c r="BD589" s="106"/>
      <c r="BE589" s="106"/>
      <c r="BF589" s="107"/>
      <c r="BG589" s="107"/>
      <c r="BH589" s="105"/>
      <c r="BI589" s="107"/>
      <c r="BJ589" s="106"/>
      <c r="BK589" s="108"/>
      <c r="BL589" s="160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7"/>
      <c r="CC589" s="107"/>
      <c r="CD589" s="107"/>
      <c r="CE589" s="107"/>
      <c r="CF589" s="107"/>
      <c r="CG589" s="107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38"/>
      <c r="DH589" s="138"/>
      <c r="DI589" s="1"/>
      <c r="DJ589" s="55"/>
      <c r="DK589" s="53"/>
      <c r="DL589" s="54"/>
      <c r="DM589" s="54"/>
      <c r="DN589" s="54"/>
      <c r="DO589" s="54"/>
      <c r="DP589" s="54"/>
      <c r="DQ589" s="54"/>
      <c r="DR589" s="54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L589" s="55"/>
      <c r="EM589" s="1"/>
      <c r="EN589" s="105"/>
      <c r="EO589" s="106"/>
      <c r="EP589" s="1"/>
      <c r="EQ589" s="106"/>
      <c r="ER589" s="1"/>
      <c r="ES589" s="1"/>
      <c r="ET589" s="1"/>
      <c r="EU589" s="105"/>
    </row>
    <row r="590" spans="9:151">
      <c r="I590" s="137"/>
      <c r="J590" s="138"/>
      <c r="K590" s="1"/>
      <c r="L590" s="1"/>
      <c r="S590" s="55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06"/>
      <c r="AQ590" s="1"/>
      <c r="AR590" s="106"/>
      <c r="AS590" s="106"/>
      <c r="AT590" s="106"/>
      <c r="AU590" s="106"/>
      <c r="AV590" s="31"/>
      <c r="AW590" s="31"/>
      <c r="AX590" s="31"/>
      <c r="AY590" s="154"/>
      <c r="AZ590" s="154"/>
      <c r="BA590" s="106"/>
      <c r="BB590" s="106"/>
      <c r="BC590" s="106"/>
      <c r="BD590" s="106"/>
      <c r="BE590" s="106"/>
      <c r="BF590" s="107"/>
      <c r="BG590" s="107"/>
      <c r="BH590" s="105"/>
      <c r="BI590" s="107"/>
      <c r="BJ590" s="106"/>
      <c r="BK590" s="108"/>
      <c r="BL590" s="160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7"/>
      <c r="CC590" s="107"/>
      <c r="CD590" s="107"/>
      <c r="CE590" s="107"/>
      <c r="CF590" s="107"/>
      <c r="CG590" s="107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38"/>
      <c r="DH590" s="138"/>
      <c r="DI590" s="1"/>
      <c r="DJ590" s="55"/>
      <c r="DK590" s="53"/>
      <c r="DL590" s="54"/>
      <c r="DM590" s="54"/>
      <c r="DN590" s="54"/>
      <c r="DO590" s="54"/>
      <c r="DP590" s="54"/>
      <c r="DQ590" s="54"/>
      <c r="DR590" s="54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L590" s="55"/>
      <c r="EM590" s="1"/>
      <c r="EN590" s="105"/>
      <c r="EO590" s="106"/>
      <c r="EP590" s="1"/>
      <c r="EQ590" s="106"/>
      <c r="ER590" s="1"/>
      <c r="ES590" s="1"/>
      <c r="ET590" s="1"/>
      <c r="EU590" s="105"/>
    </row>
    <row r="591" spans="9:151">
      <c r="I591" s="137"/>
      <c r="J591" s="138"/>
      <c r="K591" s="1"/>
      <c r="L591" s="1"/>
      <c r="S591" s="55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06"/>
      <c r="AQ591" s="1"/>
      <c r="AR591" s="106"/>
      <c r="AS591" s="106"/>
      <c r="AT591" s="106"/>
      <c r="AU591" s="106"/>
      <c r="AV591" s="31"/>
      <c r="AW591" s="31"/>
      <c r="AX591" s="31"/>
      <c r="AY591" s="154"/>
      <c r="AZ591" s="154"/>
      <c r="BA591" s="106"/>
      <c r="BB591" s="106"/>
      <c r="BC591" s="106"/>
      <c r="BD591" s="106"/>
      <c r="BE591" s="106"/>
      <c r="BF591" s="107"/>
      <c r="BG591" s="107"/>
      <c r="BH591" s="105"/>
      <c r="BI591" s="107"/>
      <c r="BJ591" s="106"/>
      <c r="BK591" s="108"/>
      <c r="BL591" s="160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7"/>
      <c r="CC591" s="107"/>
      <c r="CD591" s="107"/>
      <c r="CE591" s="107"/>
      <c r="CF591" s="107"/>
      <c r="CG591" s="107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38"/>
      <c r="DH591" s="138"/>
      <c r="DI591" s="1"/>
      <c r="DJ591" s="55"/>
      <c r="DK591" s="53"/>
      <c r="DL591" s="54"/>
      <c r="DM591" s="54"/>
      <c r="DN591" s="54"/>
      <c r="DO591" s="54"/>
      <c r="DP591" s="54"/>
      <c r="DQ591" s="54"/>
      <c r="DR591" s="54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L591" s="55"/>
      <c r="EM591" s="1"/>
      <c r="EN591" s="105"/>
      <c r="EO591" s="106"/>
      <c r="EP591" s="1"/>
      <c r="EQ591" s="106"/>
      <c r="ER591" s="1"/>
      <c r="ES591" s="1"/>
      <c r="ET591" s="1"/>
      <c r="EU591" s="105"/>
    </row>
    <row r="592" spans="9:151">
      <c r="I592" s="137"/>
      <c r="J592" s="138"/>
      <c r="K592" s="1"/>
      <c r="L592" s="1"/>
      <c r="S592" s="55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06"/>
      <c r="AQ592" s="1"/>
      <c r="AR592" s="106"/>
      <c r="AS592" s="106"/>
      <c r="AT592" s="106"/>
      <c r="AU592" s="106"/>
      <c r="AV592" s="31"/>
      <c r="AW592" s="31"/>
      <c r="AX592" s="31"/>
      <c r="AY592" s="154"/>
      <c r="AZ592" s="154"/>
      <c r="BA592" s="106"/>
      <c r="BB592" s="106"/>
      <c r="BC592" s="106"/>
      <c r="BD592" s="106"/>
      <c r="BE592" s="106"/>
      <c r="BF592" s="107"/>
      <c r="BG592" s="107"/>
      <c r="BH592" s="105"/>
      <c r="BI592" s="107"/>
      <c r="BJ592" s="106"/>
      <c r="BK592" s="108"/>
      <c r="BL592" s="160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7"/>
      <c r="CC592" s="107"/>
      <c r="CD592" s="107"/>
      <c r="CE592" s="107"/>
      <c r="CF592" s="107"/>
      <c r="CG592" s="107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38"/>
      <c r="DH592" s="138"/>
      <c r="DI592" s="1"/>
      <c r="DJ592" s="55"/>
      <c r="DK592" s="53"/>
      <c r="DL592" s="54"/>
      <c r="DM592" s="54"/>
      <c r="DN592" s="54"/>
      <c r="DO592" s="54"/>
      <c r="DP592" s="54"/>
      <c r="DQ592" s="54"/>
      <c r="DR592" s="54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L592" s="55"/>
      <c r="EM592" s="1"/>
      <c r="EN592" s="105"/>
      <c r="EO592" s="106"/>
      <c r="EP592" s="1"/>
      <c r="EQ592" s="106"/>
      <c r="ER592" s="1"/>
      <c r="ES592" s="1"/>
      <c r="ET592" s="1"/>
      <c r="EU592" s="105"/>
    </row>
    <row r="593" spans="9:151">
      <c r="I593" s="137"/>
      <c r="J593" s="138"/>
      <c r="K593" s="1"/>
      <c r="L593" s="1"/>
      <c r="S593" s="55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06"/>
      <c r="AQ593" s="1"/>
      <c r="AR593" s="106"/>
      <c r="AS593" s="106"/>
      <c r="AT593" s="106"/>
      <c r="AU593" s="106"/>
      <c r="AV593" s="31"/>
      <c r="AW593" s="31"/>
      <c r="AX593" s="31"/>
      <c r="AY593" s="154"/>
      <c r="AZ593" s="154"/>
      <c r="BA593" s="106"/>
      <c r="BB593" s="106"/>
      <c r="BC593" s="106"/>
      <c r="BD593" s="106"/>
      <c r="BE593" s="106"/>
      <c r="BF593" s="107"/>
      <c r="BG593" s="107"/>
      <c r="BH593" s="105"/>
      <c r="BI593" s="107"/>
      <c r="BJ593" s="106"/>
      <c r="BK593" s="108"/>
      <c r="BL593" s="160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7"/>
      <c r="CC593" s="107"/>
      <c r="CD593" s="107"/>
      <c r="CE593" s="107"/>
      <c r="CF593" s="107"/>
      <c r="CG593" s="107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38"/>
      <c r="DH593" s="138"/>
      <c r="DI593" s="1"/>
      <c r="DJ593" s="55"/>
      <c r="DK593" s="53"/>
      <c r="DL593" s="54"/>
      <c r="DM593" s="54"/>
      <c r="DN593" s="54"/>
      <c r="DO593" s="54"/>
      <c r="DP593" s="54"/>
      <c r="DQ593" s="54"/>
      <c r="DR593" s="54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L593" s="55"/>
      <c r="EM593" s="1"/>
      <c r="EN593" s="105"/>
      <c r="EO593" s="106"/>
      <c r="EP593" s="1"/>
      <c r="EQ593" s="106"/>
      <c r="ER593" s="1"/>
      <c r="ES593" s="1"/>
      <c r="ET593" s="1"/>
      <c r="EU593" s="105"/>
    </row>
    <row r="594" spans="9:151">
      <c r="I594" s="137"/>
      <c r="J594" s="138"/>
      <c r="K594" s="1"/>
      <c r="L594" s="1"/>
      <c r="Q594" s="1"/>
      <c r="R594" s="1"/>
      <c r="S594" s="106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55"/>
      <c r="AO594" s="106"/>
      <c r="AP594" s="106"/>
      <c r="AQ594" s="106"/>
      <c r="AR594" s="106"/>
      <c r="AS594" s="106"/>
      <c r="AT594" s="31"/>
      <c r="AU594" s="31"/>
      <c r="AV594" s="31"/>
      <c r="AW594" s="154"/>
      <c r="AX594" s="154"/>
      <c r="AY594" s="106"/>
      <c r="AZ594" s="106"/>
      <c r="BA594" s="106"/>
      <c r="BB594" s="106"/>
      <c r="BC594" s="106"/>
      <c r="BD594" s="106"/>
      <c r="BE594" s="107"/>
      <c r="BF594" s="105"/>
      <c r="BG594" s="105"/>
      <c r="BH594" s="105"/>
      <c r="BI594" s="108"/>
      <c r="BJ594" s="160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7"/>
      <c r="BY594" s="106"/>
      <c r="BZ594" s="107"/>
      <c r="CA594" s="107"/>
      <c r="CB594" s="107"/>
      <c r="CC594" s="107"/>
      <c r="CD594" s="107"/>
      <c r="CE594" s="107"/>
      <c r="CF594" s="107"/>
      <c r="CG594" s="107"/>
      <c r="CH594" s="106"/>
      <c r="CI594" s="106"/>
      <c r="CJ594" s="106"/>
      <c r="CK594" s="106"/>
      <c r="CL594" s="106"/>
      <c r="CM594" s="138"/>
      <c r="CN594" s="138"/>
      <c r="CO594" s="138"/>
      <c r="CP594" s="138"/>
      <c r="CQ594" s="138"/>
      <c r="CR594" s="138"/>
      <c r="CS594" s="138"/>
      <c r="CT594" s="138"/>
      <c r="CU594" s="138"/>
      <c r="CV594" s="138"/>
      <c r="CW594" s="138"/>
      <c r="CX594" s="138"/>
      <c r="CY594" s="138"/>
      <c r="CZ594" s="138"/>
      <c r="DA594" s="138"/>
      <c r="DB594" s="138"/>
      <c r="DC594" s="138"/>
      <c r="DD594" s="138"/>
      <c r="DE594" s="138"/>
      <c r="DF594" s="138"/>
      <c r="DG594" s="1"/>
      <c r="DH594" s="55"/>
      <c r="DI594" s="53"/>
      <c r="DL594" s="54"/>
      <c r="DM594" s="54"/>
      <c r="DN594" s="54"/>
      <c r="DO594" s="54"/>
      <c r="DP594" s="54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L594" s="55"/>
      <c r="EM594" s="1"/>
      <c r="EN594" s="106"/>
      <c r="EO594" s="106"/>
      <c r="EP594" s="1"/>
      <c r="EQ594" s="106"/>
      <c r="ER594" s="1"/>
      <c r="ES594" s="1"/>
      <c r="ET594" s="1"/>
      <c r="EU594" s="107"/>
    </row>
    <row r="595" spans="9:151">
      <c r="I595" s="137"/>
      <c r="J595" s="138"/>
      <c r="K595" s="1"/>
      <c r="L595" s="1"/>
      <c r="Q595" s="1"/>
      <c r="R595" s="1"/>
      <c r="S595" s="106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55"/>
      <c r="AO595" s="106"/>
      <c r="AP595" s="106"/>
      <c r="AQ595" s="106"/>
      <c r="AR595" s="106"/>
      <c r="AS595" s="106"/>
      <c r="AT595" s="31"/>
      <c r="AU595" s="31"/>
      <c r="AV595" s="31"/>
      <c r="AW595" s="154"/>
      <c r="AX595" s="154"/>
      <c r="AY595" s="106"/>
      <c r="AZ595" s="106"/>
      <c r="BA595" s="106"/>
      <c r="BB595" s="106"/>
      <c r="BC595" s="106"/>
      <c r="BD595" s="106"/>
      <c r="BE595" s="107"/>
      <c r="BF595" s="105"/>
      <c r="BG595" s="105"/>
      <c r="BH595" s="105"/>
      <c r="BI595" s="108"/>
      <c r="BJ595" s="160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7"/>
      <c r="BY595" s="106"/>
      <c r="BZ595" s="107"/>
      <c r="CA595" s="107"/>
      <c r="CB595" s="107"/>
      <c r="CC595" s="107"/>
      <c r="CD595" s="107"/>
      <c r="CE595" s="107"/>
      <c r="CF595" s="107"/>
      <c r="CG595" s="107"/>
      <c r="CH595" s="106"/>
      <c r="CI595" s="106"/>
      <c r="CJ595" s="106"/>
      <c r="CK595" s="106"/>
      <c r="CL595" s="106"/>
      <c r="CM595" s="138"/>
      <c r="CN595" s="138"/>
      <c r="CO595" s="138"/>
      <c r="CP595" s="138"/>
      <c r="CQ595" s="138"/>
      <c r="CR595" s="138"/>
      <c r="CS595" s="138"/>
      <c r="CT595" s="138"/>
      <c r="CU595" s="138"/>
      <c r="CV595" s="138"/>
      <c r="CW595" s="138"/>
      <c r="CX595" s="138"/>
      <c r="CY595" s="138"/>
      <c r="CZ595" s="138"/>
      <c r="DA595" s="138"/>
      <c r="DB595" s="138"/>
      <c r="DC595" s="138"/>
      <c r="DD595" s="138"/>
      <c r="DE595" s="138"/>
      <c r="DF595" s="138"/>
      <c r="DG595" s="1"/>
      <c r="DH595" s="55"/>
      <c r="DI595" s="53"/>
      <c r="DL595" s="54"/>
      <c r="DM595" s="54"/>
      <c r="DN595" s="54"/>
      <c r="DO595" s="54"/>
      <c r="DP595" s="54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L595" s="55"/>
      <c r="EM595" s="1"/>
      <c r="EN595" s="106"/>
      <c r="EO595" s="106"/>
      <c r="EP595" s="1"/>
      <c r="EQ595" s="106"/>
      <c r="ER595" s="1"/>
      <c r="ES595" s="1"/>
      <c r="ET595" s="1"/>
      <c r="EU595" s="107"/>
    </row>
    <row r="596" spans="9:151">
      <c r="I596" s="137"/>
      <c r="J596" s="138"/>
      <c r="K596" s="1"/>
      <c r="L596" s="1"/>
      <c r="Q596" s="1"/>
      <c r="R596" s="1"/>
      <c r="S596" s="106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55"/>
      <c r="AO596" s="106"/>
      <c r="AP596" s="106"/>
      <c r="AQ596" s="106"/>
      <c r="AR596" s="106"/>
      <c r="AS596" s="106"/>
      <c r="AT596" s="31"/>
      <c r="AU596" s="31"/>
      <c r="AV596" s="31"/>
      <c r="AW596" s="154"/>
      <c r="AX596" s="154"/>
      <c r="AY596" s="106"/>
      <c r="AZ596" s="106"/>
      <c r="BA596" s="106"/>
      <c r="BB596" s="106"/>
      <c r="BC596" s="106"/>
      <c r="BD596" s="106"/>
      <c r="BE596" s="107"/>
      <c r="BF596" s="105"/>
      <c r="BG596" s="105"/>
      <c r="BH596" s="105"/>
      <c r="BI596" s="108"/>
      <c r="BJ596" s="160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7"/>
      <c r="BY596" s="106"/>
      <c r="BZ596" s="107"/>
      <c r="CA596" s="107"/>
      <c r="CB596" s="107"/>
      <c r="CC596" s="107"/>
      <c r="CD596" s="107"/>
      <c r="CE596" s="107"/>
      <c r="CF596" s="107"/>
      <c r="CG596" s="107"/>
      <c r="CH596" s="106"/>
      <c r="CI596" s="106"/>
      <c r="CJ596" s="106"/>
      <c r="CK596" s="106"/>
      <c r="CL596" s="106"/>
      <c r="CM596" s="138"/>
      <c r="CN596" s="138"/>
      <c r="CO596" s="138"/>
      <c r="CP596" s="138"/>
      <c r="CQ596" s="138"/>
      <c r="CR596" s="138"/>
      <c r="CS596" s="138"/>
      <c r="CT596" s="138"/>
      <c r="CU596" s="138"/>
      <c r="CV596" s="138"/>
      <c r="CW596" s="138"/>
      <c r="CX596" s="138"/>
      <c r="CY596" s="138"/>
      <c r="CZ596" s="138"/>
      <c r="DA596" s="138"/>
      <c r="DB596" s="138"/>
      <c r="DC596" s="138"/>
      <c r="DD596" s="138"/>
      <c r="DE596" s="138"/>
      <c r="DF596" s="138"/>
      <c r="DG596" s="1"/>
      <c r="DH596" s="55"/>
      <c r="DI596" s="53"/>
      <c r="DL596" s="54"/>
      <c r="DM596" s="54"/>
      <c r="DN596" s="54"/>
      <c r="DO596" s="54"/>
      <c r="DP596" s="54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L596" s="55"/>
      <c r="EM596" s="1"/>
      <c r="EN596" s="106"/>
      <c r="EO596" s="106"/>
      <c r="EP596" s="1"/>
      <c r="EQ596" s="106"/>
      <c r="ER596" s="1"/>
      <c r="ES596" s="1"/>
      <c r="ET596" s="1"/>
      <c r="EU596" s="107"/>
    </row>
    <row r="597" spans="9:151">
      <c r="I597" s="137"/>
      <c r="J597" s="138"/>
      <c r="K597" s="1"/>
      <c r="L597" s="1"/>
      <c r="Q597" s="1"/>
      <c r="R597" s="1"/>
      <c r="S597" s="106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55"/>
      <c r="AO597" s="106"/>
      <c r="AP597" s="106"/>
      <c r="AQ597" s="106"/>
      <c r="AR597" s="106"/>
      <c r="AS597" s="106"/>
      <c r="AT597" s="31"/>
      <c r="AU597" s="31"/>
      <c r="AV597" s="31"/>
      <c r="AW597" s="154"/>
      <c r="AX597" s="154"/>
      <c r="AY597" s="106"/>
      <c r="AZ597" s="106"/>
      <c r="BA597" s="106"/>
      <c r="BB597" s="106"/>
      <c r="BC597" s="106"/>
      <c r="BD597" s="106"/>
      <c r="BE597" s="107"/>
      <c r="BF597" s="105"/>
      <c r="BG597" s="105"/>
      <c r="BH597" s="105"/>
      <c r="BI597" s="108"/>
      <c r="BJ597" s="160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7"/>
      <c r="BY597" s="106"/>
      <c r="BZ597" s="107"/>
      <c r="CA597" s="107"/>
      <c r="CB597" s="107"/>
      <c r="CC597" s="107"/>
      <c r="CD597" s="107"/>
      <c r="CE597" s="107"/>
      <c r="CF597" s="107"/>
      <c r="CG597" s="107"/>
      <c r="CH597" s="106"/>
      <c r="CI597" s="106"/>
      <c r="CJ597" s="106"/>
      <c r="CK597" s="106"/>
      <c r="CL597" s="106"/>
      <c r="CM597" s="138"/>
      <c r="CN597" s="138"/>
      <c r="CO597" s="138"/>
      <c r="CP597" s="138"/>
      <c r="CQ597" s="138"/>
      <c r="CR597" s="138"/>
      <c r="CS597" s="138"/>
      <c r="CT597" s="138"/>
      <c r="CU597" s="138"/>
      <c r="CV597" s="138"/>
      <c r="CW597" s="138"/>
      <c r="CX597" s="138"/>
      <c r="CY597" s="138"/>
      <c r="CZ597" s="138"/>
      <c r="DA597" s="138"/>
      <c r="DB597" s="138"/>
      <c r="DC597" s="138"/>
      <c r="DD597" s="138"/>
      <c r="DE597" s="138"/>
      <c r="DF597" s="138"/>
      <c r="DG597" s="1"/>
      <c r="DH597" s="55"/>
      <c r="DI597" s="53"/>
      <c r="DL597" s="54"/>
      <c r="DM597" s="54"/>
      <c r="DN597" s="54"/>
      <c r="DO597" s="54"/>
      <c r="DP597" s="54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L597" s="55"/>
      <c r="EM597" s="1"/>
      <c r="EN597" s="106"/>
      <c r="EO597" s="106"/>
      <c r="EP597" s="1"/>
      <c r="EQ597" s="106"/>
      <c r="ER597" s="1"/>
      <c r="ES597" s="1"/>
      <c r="ET597" s="1"/>
      <c r="EU597" s="107"/>
    </row>
    <row r="598" spans="9:151">
      <c r="I598" s="137"/>
      <c r="J598" s="138"/>
      <c r="K598" s="1"/>
      <c r="L598" s="1"/>
      <c r="Q598" s="1"/>
      <c r="R598" s="1"/>
      <c r="S598" s="106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55"/>
      <c r="AO598" s="106"/>
      <c r="AP598" s="106"/>
      <c r="AQ598" s="106"/>
      <c r="AR598" s="106"/>
      <c r="AS598" s="106"/>
      <c r="AT598" s="31"/>
      <c r="AU598" s="31"/>
      <c r="AV598" s="31"/>
      <c r="AW598" s="154"/>
      <c r="AX598" s="154"/>
      <c r="AY598" s="106"/>
      <c r="AZ598" s="106"/>
      <c r="BA598" s="106"/>
      <c r="BB598" s="106"/>
      <c r="BC598" s="106"/>
      <c r="BD598" s="106"/>
      <c r="BE598" s="107"/>
      <c r="BF598" s="105"/>
      <c r="BG598" s="105"/>
      <c r="BH598" s="105"/>
      <c r="BI598" s="108"/>
      <c r="BJ598" s="160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7"/>
      <c r="BY598" s="106"/>
      <c r="BZ598" s="107"/>
      <c r="CA598" s="107"/>
      <c r="CB598" s="107"/>
      <c r="CC598" s="107"/>
      <c r="CD598" s="107"/>
      <c r="CE598" s="107"/>
      <c r="CF598" s="107"/>
      <c r="CG598" s="107"/>
      <c r="CH598" s="106"/>
      <c r="CI598" s="106"/>
      <c r="CJ598" s="106"/>
      <c r="CK598" s="106"/>
      <c r="CL598" s="106"/>
      <c r="CM598" s="138"/>
      <c r="CN598" s="138"/>
      <c r="CO598" s="138"/>
      <c r="CP598" s="138"/>
      <c r="CQ598" s="138"/>
      <c r="CR598" s="138"/>
      <c r="CS598" s="138"/>
      <c r="CT598" s="138"/>
      <c r="CU598" s="138"/>
      <c r="CV598" s="138"/>
      <c r="CW598" s="138"/>
      <c r="CX598" s="138"/>
      <c r="CY598" s="138"/>
      <c r="CZ598" s="138"/>
      <c r="DA598" s="138"/>
      <c r="DB598" s="138"/>
      <c r="DC598" s="138"/>
      <c r="DD598" s="138"/>
      <c r="DE598" s="138"/>
      <c r="DF598" s="138"/>
      <c r="DG598" s="1"/>
      <c r="DH598" s="55"/>
      <c r="DI598" s="53"/>
      <c r="DL598" s="54"/>
      <c r="DM598" s="54"/>
      <c r="DN598" s="54"/>
      <c r="DO598" s="54"/>
      <c r="DP598" s="54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L598" s="55"/>
      <c r="EM598" s="1"/>
      <c r="EN598" s="106"/>
      <c r="EO598" s="106"/>
      <c r="EP598" s="1"/>
      <c r="EQ598" s="106"/>
      <c r="ER598" s="1"/>
      <c r="ES598" s="1"/>
      <c r="ET598" s="1"/>
      <c r="EU598" s="107"/>
    </row>
    <row r="599" spans="9:151">
      <c r="I599" s="137"/>
      <c r="J599" s="138"/>
      <c r="K599" s="1"/>
      <c r="L599" s="1"/>
      <c r="Q599" s="1"/>
      <c r="R599" s="1"/>
      <c r="S599" s="106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55"/>
      <c r="AO599" s="106"/>
      <c r="AP599" s="106"/>
      <c r="AQ599" s="106"/>
      <c r="AR599" s="106"/>
      <c r="AS599" s="106"/>
      <c r="AT599" s="31"/>
      <c r="AU599" s="31"/>
      <c r="AV599" s="31"/>
      <c r="AW599" s="154"/>
      <c r="AX599" s="154"/>
      <c r="AY599" s="106"/>
      <c r="AZ599" s="106"/>
      <c r="BA599" s="106"/>
      <c r="BB599" s="106"/>
      <c r="BC599" s="106"/>
      <c r="BD599" s="106"/>
      <c r="BE599" s="107"/>
      <c r="BF599" s="105"/>
      <c r="BG599" s="105"/>
      <c r="BH599" s="105"/>
      <c r="BI599" s="108"/>
      <c r="BJ599" s="160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7"/>
      <c r="BY599" s="106"/>
      <c r="BZ599" s="107"/>
      <c r="CA599" s="107"/>
      <c r="CB599" s="107"/>
      <c r="CC599" s="107"/>
      <c r="CD599" s="107"/>
      <c r="CE599" s="107"/>
      <c r="CF599" s="107"/>
      <c r="CG599" s="107"/>
      <c r="CH599" s="106"/>
      <c r="CI599" s="106"/>
      <c r="CJ599" s="106"/>
      <c r="CK599" s="106"/>
      <c r="CL599" s="106"/>
      <c r="CM599" s="138"/>
      <c r="CN599" s="138"/>
      <c r="CO599" s="138"/>
      <c r="CP599" s="138"/>
      <c r="CQ599" s="138"/>
      <c r="CR599" s="138"/>
      <c r="CS599" s="138"/>
      <c r="CT599" s="138"/>
      <c r="CU599" s="138"/>
      <c r="CV599" s="138"/>
      <c r="CW599" s="138"/>
      <c r="CX599" s="138"/>
      <c r="CY599" s="138"/>
      <c r="CZ599" s="138"/>
      <c r="DA599" s="138"/>
      <c r="DB599" s="138"/>
      <c r="DC599" s="138"/>
      <c r="DD599" s="138"/>
      <c r="DE599" s="138"/>
      <c r="DF599" s="138"/>
      <c r="DG599" s="1"/>
      <c r="DH599" s="55"/>
      <c r="DI599" s="53"/>
      <c r="DL599" s="54"/>
      <c r="DM599" s="54"/>
      <c r="DN599" s="54"/>
      <c r="DO599" s="54"/>
      <c r="DP599" s="54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L599" s="55"/>
      <c r="EM599" s="1"/>
      <c r="EN599" s="106"/>
      <c r="EO599" s="106"/>
      <c r="EP599" s="1"/>
      <c r="EQ599" s="106"/>
      <c r="ER599" s="1"/>
      <c r="ES599" s="1"/>
      <c r="ET599" s="1"/>
      <c r="EU599" s="107"/>
    </row>
    <row r="600" spans="9:151">
      <c r="I600" s="137"/>
      <c r="J600" s="138"/>
      <c r="K600" s="1"/>
      <c r="L600" s="1"/>
      <c r="Q600" s="1"/>
      <c r="R600" s="1"/>
      <c r="S600" s="106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55"/>
      <c r="AO600" s="106"/>
      <c r="AP600" s="106"/>
      <c r="AQ600" s="106"/>
      <c r="AR600" s="106"/>
      <c r="AS600" s="106"/>
      <c r="AT600" s="31"/>
      <c r="AU600" s="31"/>
      <c r="AV600" s="31"/>
      <c r="AW600" s="154"/>
      <c r="AX600" s="154"/>
      <c r="AY600" s="106"/>
      <c r="AZ600" s="106"/>
      <c r="BA600" s="106"/>
      <c r="BB600" s="106"/>
      <c r="BC600" s="106"/>
      <c r="BD600" s="106"/>
      <c r="BE600" s="107"/>
      <c r="BF600" s="105"/>
      <c r="BG600" s="105"/>
      <c r="BH600" s="105"/>
      <c r="BI600" s="108"/>
      <c r="BJ600" s="160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7"/>
      <c r="BY600" s="106"/>
      <c r="BZ600" s="107"/>
      <c r="CA600" s="107"/>
      <c r="CB600" s="107"/>
      <c r="CC600" s="107"/>
      <c r="CD600" s="107"/>
      <c r="CE600" s="107"/>
      <c r="CF600" s="107"/>
      <c r="CG600" s="107"/>
      <c r="CH600" s="106"/>
      <c r="CI600" s="106"/>
      <c r="CJ600" s="106"/>
      <c r="CK600" s="106"/>
      <c r="CL600" s="106"/>
      <c r="CM600" s="138"/>
      <c r="CN600" s="138"/>
      <c r="CO600" s="138"/>
      <c r="CP600" s="138"/>
      <c r="CQ600" s="138"/>
      <c r="CR600" s="138"/>
      <c r="CS600" s="138"/>
      <c r="CT600" s="138"/>
      <c r="CU600" s="138"/>
      <c r="CV600" s="138"/>
      <c r="CW600" s="138"/>
      <c r="CX600" s="138"/>
      <c r="CY600" s="138"/>
      <c r="CZ600" s="138"/>
      <c r="DA600" s="138"/>
      <c r="DB600" s="138"/>
      <c r="DC600" s="138"/>
      <c r="DD600" s="138"/>
      <c r="DE600" s="138"/>
      <c r="DF600" s="138"/>
      <c r="DG600" s="1"/>
      <c r="DH600" s="55"/>
      <c r="DI600" s="53"/>
      <c r="DL600" s="54"/>
      <c r="DM600" s="54"/>
      <c r="DN600" s="54"/>
      <c r="DO600" s="54"/>
      <c r="DP600" s="54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L600" s="55"/>
      <c r="EM600" s="1"/>
      <c r="EN600" s="106"/>
      <c r="EO600" s="106"/>
      <c r="EP600" s="1"/>
      <c r="EQ600" s="106"/>
      <c r="ER600" s="1"/>
      <c r="ES600" s="1"/>
      <c r="ET600" s="1"/>
      <c r="EU600" s="107"/>
    </row>
    <row r="601" spans="9:151">
      <c r="I601" s="137"/>
      <c r="J601" s="138"/>
      <c r="K601" s="1"/>
      <c r="L601" s="1"/>
      <c r="Q601" s="1"/>
      <c r="R601" s="1"/>
      <c r="S601" s="106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55"/>
      <c r="AO601" s="106"/>
      <c r="AP601" s="106"/>
      <c r="AQ601" s="106"/>
      <c r="AR601" s="106"/>
      <c r="AS601" s="106"/>
      <c r="AT601" s="31"/>
      <c r="AU601" s="31"/>
      <c r="AV601" s="31"/>
      <c r="AW601" s="154"/>
      <c r="AX601" s="154"/>
      <c r="AY601" s="106"/>
      <c r="AZ601" s="106"/>
      <c r="BA601" s="106"/>
      <c r="BB601" s="106"/>
      <c r="BC601" s="106"/>
      <c r="BD601" s="106"/>
      <c r="BE601" s="107"/>
      <c r="BF601" s="105"/>
      <c r="BG601" s="105"/>
      <c r="BH601" s="105"/>
      <c r="BI601" s="108"/>
      <c r="BJ601" s="160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7"/>
      <c r="BY601" s="106"/>
      <c r="BZ601" s="107"/>
      <c r="CA601" s="107"/>
      <c r="CB601" s="107"/>
      <c r="CC601" s="107"/>
      <c r="CD601" s="107"/>
      <c r="CE601" s="107"/>
      <c r="CF601" s="107"/>
      <c r="CG601" s="107"/>
      <c r="CH601" s="106"/>
      <c r="CI601" s="106"/>
      <c r="CJ601" s="106"/>
      <c r="CK601" s="106"/>
      <c r="CL601" s="106"/>
      <c r="CM601" s="138"/>
      <c r="CN601" s="138"/>
      <c r="CO601" s="138"/>
      <c r="CP601" s="138"/>
      <c r="CQ601" s="138"/>
      <c r="CR601" s="138"/>
      <c r="CS601" s="138"/>
      <c r="CT601" s="138"/>
      <c r="CU601" s="138"/>
      <c r="CV601" s="138"/>
      <c r="CW601" s="138"/>
      <c r="CX601" s="138"/>
      <c r="CY601" s="138"/>
      <c r="CZ601" s="138"/>
      <c r="DA601" s="138"/>
      <c r="DB601" s="138"/>
      <c r="DC601" s="138"/>
      <c r="DD601" s="138"/>
      <c r="DE601" s="138"/>
      <c r="DF601" s="138"/>
      <c r="DG601" s="1"/>
      <c r="DH601" s="55"/>
      <c r="DI601" s="53"/>
      <c r="DL601" s="54"/>
      <c r="DM601" s="54"/>
      <c r="DN601" s="54"/>
      <c r="DO601" s="54"/>
      <c r="DP601" s="54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L601" s="55"/>
      <c r="EM601" s="1"/>
      <c r="EN601" s="106"/>
      <c r="EO601" s="106"/>
      <c r="EP601" s="1"/>
      <c r="EQ601" s="106"/>
      <c r="ER601" s="1"/>
      <c r="ES601" s="1"/>
      <c r="ET601" s="1"/>
      <c r="EU601" s="107"/>
    </row>
    <row r="602" spans="9:151">
      <c r="I602" s="137"/>
      <c r="J602" s="138"/>
      <c r="K602" s="1"/>
      <c r="L602" s="1"/>
      <c r="Q602" s="1"/>
      <c r="R602" s="1"/>
      <c r="S602" s="106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55"/>
      <c r="AO602" s="106"/>
      <c r="AP602" s="106"/>
      <c r="AQ602" s="106"/>
      <c r="AR602" s="106"/>
      <c r="AS602" s="106"/>
      <c r="AT602" s="31"/>
      <c r="AU602" s="31"/>
      <c r="AV602" s="31"/>
      <c r="AW602" s="154"/>
      <c r="AX602" s="154"/>
      <c r="AY602" s="106"/>
      <c r="AZ602" s="106"/>
      <c r="BA602" s="106"/>
      <c r="BB602" s="106"/>
      <c r="BC602" s="106"/>
      <c r="BD602" s="106"/>
      <c r="BE602" s="107"/>
      <c r="BF602" s="105"/>
      <c r="BG602" s="105"/>
      <c r="BH602" s="105"/>
      <c r="BI602" s="108"/>
      <c r="BJ602" s="160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7"/>
      <c r="BY602" s="106"/>
      <c r="BZ602" s="107"/>
      <c r="CA602" s="107"/>
      <c r="CB602" s="107"/>
      <c r="CC602" s="107"/>
      <c r="CD602" s="107"/>
      <c r="CE602" s="107"/>
      <c r="CF602" s="107"/>
      <c r="CG602" s="107"/>
      <c r="CH602" s="106"/>
      <c r="CI602" s="106"/>
      <c r="CJ602" s="106"/>
      <c r="CK602" s="106"/>
      <c r="CL602" s="106"/>
      <c r="CM602" s="138"/>
      <c r="CN602" s="138"/>
      <c r="CO602" s="138"/>
      <c r="CP602" s="138"/>
      <c r="CQ602" s="138"/>
      <c r="CR602" s="138"/>
      <c r="CS602" s="138"/>
      <c r="CT602" s="138"/>
      <c r="CU602" s="138"/>
      <c r="CV602" s="138"/>
      <c r="CW602" s="138"/>
      <c r="CX602" s="138"/>
      <c r="CY602" s="138"/>
      <c r="CZ602" s="138"/>
      <c r="DA602" s="138"/>
      <c r="DB602" s="138"/>
      <c r="DC602" s="138"/>
      <c r="DD602" s="138"/>
      <c r="DE602" s="138"/>
      <c r="DF602" s="138"/>
      <c r="DG602" s="1"/>
      <c r="DH602" s="55"/>
      <c r="DI602" s="53"/>
      <c r="DL602" s="54"/>
      <c r="DM602" s="54"/>
      <c r="DN602" s="54"/>
      <c r="DO602" s="54"/>
      <c r="DP602" s="54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L602" s="55"/>
      <c r="EM602" s="1"/>
      <c r="EN602" s="106"/>
      <c r="EO602" s="106"/>
      <c r="EP602" s="1"/>
      <c r="EQ602" s="106"/>
      <c r="ER602" s="1"/>
      <c r="ES602" s="1"/>
      <c r="ET602" s="1"/>
      <c r="EU602" s="107"/>
    </row>
    <row r="603" spans="9:151">
      <c r="I603" s="137"/>
      <c r="J603" s="138"/>
      <c r="K603" s="1"/>
      <c r="L603" s="1"/>
      <c r="Q603" s="1"/>
      <c r="R603" s="1"/>
      <c r="S603" s="106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55"/>
      <c r="AO603" s="106"/>
      <c r="AP603" s="106"/>
      <c r="AQ603" s="106"/>
      <c r="AR603" s="106"/>
      <c r="AS603" s="106"/>
      <c r="AT603" s="31"/>
      <c r="AU603" s="31"/>
      <c r="AV603" s="31"/>
      <c r="AW603" s="154"/>
      <c r="AX603" s="154"/>
      <c r="AY603" s="106"/>
      <c r="AZ603" s="106"/>
      <c r="BA603" s="106"/>
      <c r="BB603" s="106"/>
      <c r="BC603" s="106"/>
      <c r="BD603" s="106"/>
      <c r="BE603" s="107"/>
      <c r="BF603" s="105"/>
      <c r="BG603" s="105"/>
      <c r="BH603" s="105"/>
      <c r="BI603" s="108"/>
      <c r="BJ603" s="160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7"/>
      <c r="BY603" s="106"/>
      <c r="BZ603" s="107"/>
      <c r="CA603" s="107"/>
      <c r="CB603" s="107"/>
      <c r="CC603" s="107"/>
      <c r="CD603" s="107"/>
      <c r="CE603" s="107"/>
      <c r="CF603" s="107"/>
      <c r="CG603" s="107"/>
      <c r="CH603" s="106"/>
      <c r="CI603" s="106"/>
      <c r="CJ603" s="106"/>
      <c r="CK603" s="106"/>
      <c r="CL603" s="106"/>
      <c r="CM603" s="138"/>
      <c r="CN603" s="138"/>
      <c r="CO603" s="138"/>
      <c r="CP603" s="138"/>
      <c r="CQ603" s="138"/>
      <c r="CR603" s="138"/>
      <c r="CS603" s="138"/>
      <c r="CT603" s="138"/>
      <c r="CU603" s="138"/>
      <c r="CV603" s="138"/>
      <c r="CW603" s="138"/>
      <c r="CX603" s="138"/>
      <c r="CY603" s="138"/>
      <c r="CZ603" s="138"/>
      <c r="DA603" s="138"/>
      <c r="DB603" s="138"/>
      <c r="DC603" s="138"/>
      <c r="DD603" s="138"/>
      <c r="DE603" s="138"/>
      <c r="DF603" s="138"/>
      <c r="DG603" s="1"/>
      <c r="DH603" s="55"/>
      <c r="DI603" s="53"/>
      <c r="DL603" s="54"/>
      <c r="DM603" s="54"/>
      <c r="DN603" s="54"/>
      <c r="DO603" s="54"/>
      <c r="DP603" s="54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L603" s="55"/>
      <c r="EM603" s="1"/>
      <c r="EN603" s="106"/>
      <c r="EO603" s="106"/>
      <c r="EP603" s="1"/>
      <c r="EQ603" s="106"/>
      <c r="ER603" s="1"/>
      <c r="ES603" s="1"/>
      <c r="ET603" s="1"/>
      <c r="EU603" s="107"/>
    </row>
    <row r="604" spans="9:151">
      <c r="I604" s="137"/>
      <c r="J604" s="138"/>
      <c r="K604" s="1"/>
      <c r="L604" s="1"/>
      <c r="Q604" s="1"/>
      <c r="R604" s="1"/>
      <c r="S604" s="106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55"/>
      <c r="AO604" s="106"/>
      <c r="AP604" s="106"/>
      <c r="AQ604" s="106"/>
      <c r="AR604" s="106"/>
      <c r="AS604" s="106"/>
      <c r="AT604" s="31"/>
      <c r="AU604" s="31"/>
      <c r="AV604" s="31"/>
      <c r="AW604" s="154"/>
      <c r="AX604" s="154"/>
      <c r="AY604" s="106"/>
      <c r="AZ604" s="106"/>
      <c r="BA604" s="106"/>
      <c r="BB604" s="106"/>
      <c r="BC604" s="106"/>
      <c r="BD604" s="106"/>
      <c r="BE604" s="107"/>
      <c r="BF604" s="105"/>
      <c r="BG604" s="105"/>
      <c r="BH604" s="105"/>
      <c r="BI604" s="108"/>
      <c r="BJ604" s="160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7"/>
      <c r="BY604" s="106"/>
      <c r="BZ604" s="107"/>
      <c r="CA604" s="107"/>
      <c r="CB604" s="107"/>
      <c r="CC604" s="107"/>
      <c r="CD604" s="107"/>
      <c r="CE604" s="107"/>
      <c r="CF604" s="107"/>
      <c r="CG604" s="107"/>
      <c r="CH604" s="106"/>
      <c r="CI604" s="106"/>
      <c r="CJ604" s="106"/>
      <c r="CK604" s="106"/>
      <c r="CL604" s="106"/>
      <c r="CM604" s="138"/>
      <c r="CN604" s="138"/>
      <c r="CO604" s="138"/>
      <c r="CP604" s="138"/>
      <c r="CQ604" s="138"/>
      <c r="CR604" s="138"/>
      <c r="CS604" s="138"/>
      <c r="CT604" s="138"/>
      <c r="CU604" s="138"/>
      <c r="CV604" s="138"/>
      <c r="CW604" s="138"/>
      <c r="CX604" s="138"/>
      <c r="CY604" s="138"/>
      <c r="CZ604" s="138"/>
      <c r="DA604" s="138"/>
      <c r="DB604" s="138"/>
      <c r="DC604" s="138"/>
      <c r="DD604" s="138"/>
      <c r="DE604" s="138"/>
      <c r="DF604" s="138"/>
      <c r="DG604" s="1"/>
      <c r="DH604" s="55"/>
      <c r="DI604" s="53"/>
      <c r="DL604" s="54"/>
      <c r="DM604" s="54"/>
      <c r="DN604" s="54"/>
      <c r="DO604" s="54"/>
      <c r="DP604" s="54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L604" s="55"/>
      <c r="EM604" s="1"/>
      <c r="EN604" s="106"/>
      <c r="EO604" s="106"/>
      <c r="EP604" s="1"/>
      <c r="EQ604" s="106"/>
      <c r="ER604" s="1"/>
      <c r="ES604" s="1"/>
      <c r="ET604" s="1"/>
      <c r="EU604" s="107"/>
    </row>
    <row r="605" spans="9:151">
      <c r="I605" s="137"/>
      <c r="J605" s="138"/>
      <c r="K605" s="1"/>
      <c r="L605" s="1"/>
      <c r="Q605" s="1"/>
      <c r="R605" s="1"/>
      <c r="S605" s="106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55"/>
      <c r="AO605" s="106"/>
      <c r="AP605" s="106"/>
      <c r="AQ605" s="106"/>
      <c r="AR605" s="106"/>
      <c r="AS605" s="106"/>
      <c r="AT605" s="31"/>
      <c r="AU605" s="31"/>
      <c r="AV605" s="31"/>
      <c r="AW605" s="154"/>
      <c r="AX605" s="154"/>
      <c r="AY605" s="106"/>
      <c r="AZ605" s="106"/>
      <c r="BA605" s="106"/>
      <c r="BB605" s="106"/>
      <c r="BC605" s="106"/>
      <c r="BD605" s="106"/>
      <c r="BE605" s="107"/>
      <c r="BF605" s="105"/>
      <c r="BG605" s="105"/>
      <c r="BH605" s="105"/>
      <c r="BI605" s="108"/>
      <c r="BJ605" s="160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7"/>
      <c r="BY605" s="106"/>
      <c r="BZ605" s="107"/>
      <c r="CA605" s="107"/>
      <c r="CB605" s="107"/>
      <c r="CC605" s="107"/>
      <c r="CD605" s="107"/>
      <c r="CE605" s="107"/>
      <c r="CF605" s="107"/>
      <c r="CG605" s="107"/>
      <c r="CH605" s="106"/>
      <c r="CI605" s="106"/>
      <c r="CJ605" s="106"/>
      <c r="CK605" s="106"/>
      <c r="CL605" s="106"/>
      <c r="CM605" s="138"/>
      <c r="CN605" s="138"/>
      <c r="CO605" s="138"/>
      <c r="CP605" s="138"/>
      <c r="CQ605" s="138"/>
      <c r="CR605" s="138"/>
      <c r="CS605" s="138"/>
      <c r="CT605" s="138"/>
      <c r="CU605" s="138"/>
      <c r="CV605" s="138"/>
      <c r="CW605" s="138"/>
      <c r="CX605" s="138"/>
      <c r="CY605" s="138"/>
      <c r="CZ605" s="138"/>
      <c r="DA605" s="138"/>
      <c r="DB605" s="138"/>
      <c r="DC605" s="138"/>
      <c r="DD605" s="138"/>
      <c r="DE605" s="138"/>
      <c r="DF605" s="138"/>
      <c r="DG605" s="1"/>
      <c r="DH605" s="55"/>
      <c r="DI605" s="53"/>
      <c r="DL605" s="54"/>
      <c r="DM605" s="54"/>
      <c r="DN605" s="54"/>
      <c r="DO605" s="54"/>
      <c r="DP605" s="54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L605" s="55"/>
      <c r="EM605" s="1"/>
      <c r="EN605" s="106"/>
      <c r="EO605" s="106"/>
      <c r="EP605" s="1"/>
      <c r="EQ605" s="106"/>
      <c r="ER605" s="1"/>
      <c r="ES605" s="1"/>
      <c r="ET605" s="1"/>
      <c r="EU605" s="107"/>
    </row>
    <row r="606" spans="9:151">
      <c r="I606" s="137"/>
      <c r="J606" s="138"/>
      <c r="K606" s="1"/>
      <c r="L606" s="1"/>
      <c r="Q606" s="1"/>
      <c r="R606" s="1"/>
      <c r="S606" s="106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55"/>
      <c r="AO606" s="106"/>
      <c r="AP606" s="106"/>
      <c r="AQ606" s="106"/>
      <c r="AR606" s="106"/>
      <c r="AS606" s="106"/>
      <c r="AT606" s="31"/>
      <c r="AU606" s="31"/>
      <c r="AV606" s="31"/>
      <c r="AW606" s="154"/>
      <c r="AX606" s="154"/>
      <c r="AY606" s="106"/>
      <c r="AZ606" s="106"/>
      <c r="BA606" s="106"/>
      <c r="BB606" s="106"/>
      <c r="BC606" s="106"/>
      <c r="BD606" s="106"/>
      <c r="BE606" s="107"/>
      <c r="BF606" s="105"/>
      <c r="BG606" s="105"/>
      <c r="BH606" s="105"/>
      <c r="BI606" s="108"/>
      <c r="BJ606" s="160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7"/>
      <c r="BY606" s="106"/>
      <c r="BZ606" s="107"/>
      <c r="CA606" s="107"/>
      <c r="CB606" s="107"/>
      <c r="CC606" s="107"/>
      <c r="CD606" s="107"/>
      <c r="CE606" s="107"/>
      <c r="CF606" s="107"/>
      <c r="CG606" s="107"/>
      <c r="CH606" s="106"/>
      <c r="CI606" s="106"/>
      <c r="CJ606" s="106"/>
      <c r="CK606" s="106"/>
      <c r="CL606" s="106"/>
      <c r="CM606" s="138"/>
      <c r="CN606" s="138"/>
      <c r="CO606" s="138"/>
      <c r="CP606" s="138"/>
      <c r="CQ606" s="138"/>
      <c r="CR606" s="138"/>
      <c r="CS606" s="138"/>
      <c r="CT606" s="138"/>
      <c r="CU606" s="138"/>
      <c r="CV606" s="138"/>
      <c r="CW606" s="138"/>
      <c r="CX606" s="138"/>
      <c r="CY606" s="138"/>
      <c r="CZ606" s="138"/>
      <c r="DA606" s="138"/>
      <c r="DB606" s="138"/>
      <c r="DC606" s="138"/>
      <c r="DD606" s="138"/>
      <c r="DE606" s="138"/>
      <c r="DF606" s="138"/>
      <c r="DG606" s="1"/>
      <c r="DH606" s="55"/>
      <c r="DI606" s="53"/>
      <c r="DL606" s="54"/>
      <c r="DM606" s="54"/>
      <c r="DN606" s="54"/>
      <c r="DO606" s="54"/>
      <c r="DP606" s="54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L606" s="55"/>
      <c r="EM606" s="1"/>
      <c r="EN606" s="106"/>
      <c r="EO606" s="106"/>
      <c r="EP606" s="1"/>
      <c r="EQ606" s="106"/>
      <c r="ER606" s="1"/>
      <c r="ES606" s="1"/>
      <c r="ET606" s="1"/>
      <c r="EU606" s="107"/>
    </row>
    <row r="607" spans="9:151">
      <c r="I607" s="137"/>
      <c r="J607" s="138"/>
      <c r="K607" s="1"/>
      <c r="L607" s="1"/>
      <c r="Q607" s="1"/>
      <c r="R607" s="1"/>
      <c r="S607" s="106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55"/>
      <c r="AO607" s="106"/>
      <c r="AP607" s="106"/>
      <c r="AQ607" s="106"/>
      <c r="AR607" s="106"/>
      <c r="AS607" s="106"/>
      <c r="AT607" s="31"/>
      <c r="AU607" s="31"/>
      <c r="AV607" s="31"/>
      <c r="AW607" s="154"/>
      <c r="AX607" s="154"/>
      <c r="AY607" s="106"/>
      <c r="AZ607" s="106"/>
      <c r="BA607" s="106"/>
      <c r="BB607" s="106"/>
      <c r="BC607" s="106"/>
      <c r="BD607" s="106"/>
      <c r="BE607" s="107"/>
      <c r="BF607" s="105"/>
      <c r="BG607" s="105"/>
      <c r="BH607" s="105"/>
      <c r="BI607" s="108"/>
      <c r="BJ607" s="160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7"/>
      <c r="BY607" s="106"/>
      <c r="BZ607" s="107"/>
      <c r="CA607" s="107"/>
      <c r="CB607" s="107"/>
      <c r="CC607" s="107"/>
      <c r="CD607" s="107"/>
      <c r="CE607" s="107"/>
      <c r="CF607" s="107"/>
      <c r="CG607" s="107"/>
      <c r="CH607" s="106"/>
      <c r="CI607" s="106"/>
      <c r="CJ607" s="106"/>
      <c r="CK607" s="106"/>
      <c r="CL607" s="106"/>
      <c r="CM607" s="138"/>
      <c r="CN607" s="138"/>
      <c r="CO607" s="138"/>
      <c r="CP607" s="138"/>
      <c r="CQ607" s="138"/>
      <c r="CR607" s="138"/>
      <c r="CS607" s="138"/>
      <c r="CT607" s="138"/>
      <c r="CU607" s="138"/>
      <c r="CV607" s="138"/>
      <c r="CW607" s="138"/>
      <c r="CX607" s="138"/>
      <c r="CY607" s="138"/>
      <c r="CZ607" s="138"/>
      <c r="DA607" s="138"/>
      <c r="DB607" s="138"/>
      <c r="DC607" s="138"/>
      <c r="DD607" s="138"/>
      <c r="DE607" s="138"/>
      <c r="DF607" s="138"/>
      <c r="DG607" s="1"/>
      <c r="DH607" s="55"/>
      <c r="DI607" s="53"/>
      <c r="DL607" s="54"/>
      <c r="DM607" s="54"/>
      <c r="DN607" s="54"/>
      <c r="DO607" s="54"/>
      <c r="DP607" s="54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L607" s="55"/>
      <c r="EM607" s="1"/>
      <c r="EN607" s="106"/>
      <c r="EO607" s="106"/>
      <c r="EP607" s="1"/>
      <c r="EQ607" s="106"/>
      <c r="ER607" s="1"/>
      <c r="ES607" s="1"/>
      <c r="ET607" s="1"/>
      <c r="EU607" s="107"/>
    </row>
    <row r="608" spans="9:151">
      <c r="I608" s="137"/>
      <c r="J608" s="138"/>
      <c r="K608" s="1"/>
      <c r="L608" s="1"/>
      <c r="Q608" s="1"/>
      <c r="R608" s="1"/>
      <c r="S608" s="106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55"/>
      <c r="AO608" s="106"/>
      <c r="AP608" s="106"/>
      <c r="AQ608" s="106"/>
      <c r="AR608" s="106"/>
      <c r="AS608" s="106"/>
      <c r="AT608" s="31"/>
      <c r="AU608" s="31"/>
      <c r="AV608" s="31"/>
      <c r="AW608" s="154"/>
      <c r="AX608" s="154"/>
      <c r="AY608" s="106"/>
      <c r="AZ608" s="106"/>
      <c r="BA608" s="106"/>
      <c r="BB608" s="106"/>
      <c r="BC608" s="106"/>
      <c r="BD608" s="106"/>
      <c r="BE608" s="107"/>
      <c r="BF608" s="105"/>
      <c r="BG608" s="105"/>
      <c r="BH608" s="105"/>
      <c r="BI608" s="108"/>
      <c r="BJ608" s="160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7"/>
      <c r="BY608" s="106"/>
      <c r="BZ608" s="107"/>
      <c r="CA608" s="107"/>
      <c r="CB608" s="107"/>
      <c r="CC608" s="107"/>
      <c r="CD608" s="107"/>
      <c r="CE608" s="107"/>
      <c r="CF608" s="107"/>
      <c r="CG608" s="107"/>
      <c r="CH608" s="106"/>
      <c r="CI608" s="106"/>
      <c r="CJ608" s="106"/>
      <c r="CK608" s="106"/>
      <c r="CL608" s="106"/>
      <c r="CM608" s="138"/>
      <c r="CN608" s="138"/>
      <c r="CO608" s="138"/>
      <c r="CP608" s="138"/>
      <c r="CQ608" s="138"/>
      <c r="CR608" s="138"/>
      <c r="CS608" s="138"/>
      <c r="CT608" s="138"/>
      <c r="CU608" s="138"/>
      <c r="CV608" s="138"/>
      <c r="CW608" s="138"/>
      <c r="CX608" s="138"/>
      <c r="CY608" s="138"/>
      <c r="CZ608" s="138"/>
      <c r="DA608" s="138"/>
      <c r="DB608" s="138"/>
      <c r="DC608" s="138"/>
      <c r="DD608" s="138"/>
      <c r="DE608" s="138"/>
      <c r="DF608" s="138"/>
      <c r="DG608" s="1"/>
      <c r="DH608" s="55"/>
      <c r="DI608" s="53"/>
      <c r="DL608" s="54"/>
      <c r="DM608" s="54"/>
      <c r="DN608" s="54"/>
      <c r="DO608" s="54"/>
      <c r="DP608" s="54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L608" s="55"/>
      <c r="EM608" s="1"/>
      <c r="EN608" s="106"/>
      <c r="EO608" s="106"/>
      <c r="EP608" s="1"/>
      <c r="EQ608" s="106"/>
      <c r="ER608" s="1"/>
      <c r="ES608" s="1"/>
      <c r="ET608" s="1"/>
      <c r="EU608" s="107"/>
    </row>
    <row r="609" spans="9:151">
      <c r="I609" s="137"/>
      <c r="J609" s="138"/>
      <c r="K609" s="1"/>
      <c r="L609" s="1"/>
      <c r="Q609" s="1"/>
      <c r="R609" s="1"/>
      <c r="S609" s="106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55"/>
      <c r="AO609" s="106"/>
      <c r="AP609" s="106"/>
      <c r="AQ609" s="106"/>
      <c r="AR609" s="106"/>
      <c r="AS609" s="106"/>
      <c r="AT609" s="31"/>
      <c r="AU609" s="31"/>
      <c r="AV609" s="31"/>
      <c r="AW609" s="154"/>
      <c r="AX609" s="154"/>
      <c r="AY609" s="106"/>
      <c r="AZ609" s="106"/>
      <c r="BA609" s="106"/>
      <c r="BB609" s="106"/>
      <c r="BC609" s="106"/>
      <c r="BD609" s="106"/>
      <c r="BE609" s="107"/>
      <c r="BF609" s="105"/>
      <c r="BG609" s="105"/>
      <c r="BH609" s="105"/>
      <c r="BI609" s="108"/>
      <c r="BJ609" s="160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7"/>
      <c r="BY609" s="106"/>
      <c r="BZ609" s="107"/>
      <c r="CA609" s="107"/>
      <c r="CB609" s="107"/>
      <c r="CC609" s="107"/>
      <c r="CD609" s="107"/>
      <c r="CE609" s="107"/>
      <c r="CF609" s="107"/>
      <c r="CG609" s="107"/>
      <c r="CH609" s="106"/>
      <c r="CI609" s="106"/>
      <c r="CJ609" s="106"/>
      <c r="CK609" s="106"/>
      <c r="CL609" s="106"/>
      <c r="CM609" s="138"/>
      <c r="CN609" s="138"/>
      <c r="CO609" s="138"/>
      <c r="CP609" s="138"/>
      <c r="CQ609" s="138"/>
      <c r="CR609" s="138"/>
      <c r="CS609" s="138"/>
      <c r="CT609" s="138"/>
      <c r="CU609" s="138"/>
      <c r="CV609" s="138"/>
      <c r="CW609" s="138"/>
      <c r="CX609" s="138"/>
      <c r="CY609" s="138"/>
      <c r="CZ609" s="138"/>
      <c r="DA609" s="138"/>
      <c r="DB609" s="138"/>
      <c r="DC609" s="138"/>
      <c r="DD609" s="138"/>
      <c r="DE609" s="138"/>
      <c r="DF609" s="138"/>
      <c r="DG609" s="1"/>
      <c r="DH609" s="55"/>
      <c r="DI609" s="53"/>
      <c r="DL609" s="54"/>
      <c r="DM609" s="54"/>
      <c r="DN609" s="54"/>
      <c r="DO609" s="54"/>
      <c r="DP609" s="54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L609" s="55"/>
      <c r="EM609" s="1"/>
      <c r="EN609" s="106"/>
      <c r="EO609" s="106"/>
      <c r="EP609" s="1"/>
      <c r="EQ609" s="106"/>
      <c r="ER609" s="1"/>
      <c r="ES609" s="1"/>
      <c r="ET609" s="1"/>
      <c r="EU609" s="107"/>
    </row>
    <row r="610" spans="9:151">
      <c r="I610" s="137"/>
      <c r="J610" s="138"/>
      <c r="K610" s="1"/>
      <c r="L610" s="1"/>
      <c r="Q610" s="1"/>
      <c r="R610" s="1"/>
      <c r="S610" s="106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55"/>
      <c r="AO610" s="106"/>
      <c r="AP610" s="106"/>
      <c r="AQ610" s="106"/>
      <c r="AR610" s="106"/>
      <c r="AS610" s="106"/>
      <c r="AT610" s="31"/>
      <c r="AU610" s="31"/>
      <c r="AV610" s="31"/>
      <c r="AW610" s="154"/>
      <c r="AX610" s="154"/>
      <c r="AY610" s="106"/>
      <c r="AZ610" s="106"/>
      <c r="BA610" s="106"/>
      <c r="BB610" s="106"/>
      <c r="BC610" s="106"/>
      <c r="BD610" s="106"/>
      <c r="BE610" s="107"/>
      <c r="BF610" s="105"/>
      <c r="BG610" s="105"/>
      <c r="BH610" s="105"/>
      <c r="BI610" s="108"/>
      <c r="BJ610" s="160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7"/>
      <c r="BY610" s="106"/>
      <c r="BZ610" s="107"/>
      <c r="CA610" s="107"/>
      <c r="CB610" s="107"/>
      <c r="CC610" s="107"/>
      <c r="CD610" s="107"/>
      <c r="CE610" s="107"/>
      <c r="CF610" s="107"/>
      <c r="CG610" s="107"/>
      <c r="CH610" s="106"/>
      <c r="CI610" s="106"/>
      <c r="CJ610" s="106"/>
      <c r="CK610" s="106"/>
      <c r="CL610" s="106"/>
      <c r="CM610" s="138"/>
      <c r="CN610" s="138"/>
      <c r="CO610" s="138"/>
      <c r="CP610" s="138"/>
      <c r="CQ610" s="138"/>
      <c r="CR610" s="138"/>
      <c r="CS610" s="138"/>
      <c r="CT610" s="138"/>
      <c r="CU610" s="138"/>
      <c r="CV610" s="138"/>
      <c r="CW610" s="138"/>
      <c r="CX610" s="138"/>
      <c r="CY610" s="138"/>
      <c r="CZ610" s="138"/>
      <c r="DA610" s="138"/>
      <c r="DB610" s="138"/>
      <c r="DC610" s="138"/>
      <c r="DD610" s="138"/>
      <c r="DE610" s="138"/>
      <c r="DF610" s="138"/>
      <c r="DG610" s="1"/>
      <c r="DH610" s="55"/>
      <c r="DI610" s="53"/>
      <c r="DL610" s="54"/>
      <c r="DM610" s="54"/>
      <c r="DN610" s="54"/>
      <c r="DO610" s="54"/>
      <c r="DP610" s="54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L610" s="55"/>
      <c r="EM610" s="1"/>
      <c r="EN610" s="106"/>
      <c r="EO610" s="106"/>
      <c r="EP610" s="1"/>
      <c r="EQ610" s="106"/>
      <c r="ER610" s="1"/>
      <c r="ES610" s="1"/>
      <c r="ET610" s="1"/>
      <c r="EU610" s="107"/>
    </row>
    <row r="611" spans="9:151">
      <c r="I611" s="137"/>
      <c r="J611" s="138"/>
      <c r="K611" s="1"/>
      <c r="L611" s="1"/>
      <c r="Q611" s="1"/>
      <c r="R611" s="1"/>
      <c r="S611" s="106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55"/>
      <c r="AO611" s="106"/>
      <c r="AP611" s="106"/>
      <c r="AQ611" s="106"/>
      <c r="AR611" s="106"/>
      <c r="AS611" s="106"/>
      <c r="AT611" s="31"/>
      <c r="AU611" s="31"/>
      <c r="AV611" s="31"/>
      <c r="AW611" s="154"/>
      <c r="AX611" s="154"/>
      <c r="AY611" s="106"/>
      <c r="AZ611" s="106"/>
      <c r="BA611" s="106"/>
      <c r="BB611" s="106"/>
      <c r="BC611" s="106"/>
      <c r="BD611" s="106"/>
      <c r="BE611" s="107"/>
      <c r="BF611" s="105"/>
      <c r="BG611" s="105"/>
      <c r="BH611" s="105"/>
      <c r="BI611" s="108"/>
      <c r="BJ611" s="160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7"/>
      <c r="BY611" s="106"/>
      <c r="BZ611" s="107"/>
      <c r="CA611" s="107"/>
      <c r="CB611" s="107"/>
      <c r="CC611" s="107"/>
      <c r="CD611" s="107"/>
      <c r="CE611" s="107"/>
      <c r="CF611" s="107"/>
      <c r="CG611" s="107"/>
      <c r="CH611" s="106"/>
      <c r="CI611" s="106"/>
      <c r="CJ611" s="106"/>
      <c r="CK611" s="106"/>
      <c r="CL611" s="106"/>
      <c r="CM611" s="138"/>
      <c r="CN611" s="138"/>
      <c r="CO611" s="138"/>
      <c r="CP611" s="138"/>
      <c r="CQ611" s="138"/>
      <c r="CR611" s="138"/>
      <c r="CS611" s="138"/>
      <c r="CT611" s="138"/>
      <c r="CU611" s="138"/>
      <c r="CV611" s="138"/>
      <c r="CW611" s="138"/>
      <c r="CX611" s="138"/>
      <c r="CY611" s="138"/>
      <c r="CZ611" s="138"/>
      <c r="DA611" s="138"/>
      <c r="DB611" s="138"/>
      <c r="DC611" s="138"/>
      <c r="DD611" s="138"/>
      <c r="DE611" s="138"/>
      <c r="DF611" s="138"/>
      <c r="DG611" s="1"/>
      <c r="DH611" s="55"/>
      <c r="DI611" s="53"/>
      <c r="DL611" s="54"/>
      <c r="DM611" s="54"/>
      <c r="DN611" s="54"/>
      <c r="DO611" s="54"/>
      <c r="DP611" s="54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L611" s="55"/>
      <c r="EM611" s="1"/>
      <c r="EN611" s="106"/>
      <c r="EO611" s="106"/>
      <c r="EP611" s="1"/>
      <c r="EQ611" s="106"/>
      <c r="ER611" s="1"/>
      <c r="ES611" s="1"/>
      <c r="ET611" s="1"/>
      <c r="EU611" s="107"/>
    </row>
    <row r="612" spans="9:151">
      <c r="I612" s="137"/>
      <c r="J612" s="138"/>
      <c r="K612" s="1"/>
      <c r="L612" s="1"/>
      <c r="Q612" s="1"/>
      <c r="R612" s="1"/>
      <c r="S612" s="106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55"/>
      <c r="AO612" s="106"/>
      <c r="AP612" s="106"/>
      <c r="AQ612" s="106"/>
      <c r="AR612" s="106"/>
      <c r="AS612" s="106"/>
      <c r="AT612" s="31"/>
      <c r="AU612" s="31"/>
      <c r="AV612" s="31"/>
      <c r="AW612" s="154"/>
      <c r="AX612" s="154"/>
      <c r="AY612" s="106"/>
      <c r="AZ612" s="106"/>
      <c r="BA612" s="106"/>
      <c r="BB612" s="106"/>
      <c r="BC612" s="106"/>
      <c r="BD612" s="106"/>
      <c r="BE612" s="107"/>
      <c r="BF612" s="105"/>
      <c r="BG612" s="105"/>
      <c r="BH612" s="105"/>
      <c r="BI612" s="108"/>
      <c r="BJ612" s="160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7"/>
      <c r="BY612" s="106"/>
      <c r="BZ612" s="107"/>
      <c r="CA612" s="107"/>
      <c r="CB612" s="107"/>
      <c r="CC612" s="107"/>
      <c r="CD612" s="107"/>
      <c r="CE612" s="107"/>
      <c r="CF612" s="107"/>
      <c r="CG612" s="107"/>
      <c r="CH612" s="106"/>
      <c r="CI612" s="106"/>
      <c r="CJ612" s="106"/>
      <c r="CK612" s="106"/>
      <c r="CL612" s="106"/>
      <c r="CM612" s="138"/>
      <c r="CN612" s="138"/>
      <c r="CO612" s="138"/>
      <c r="CP612" s="138"/>
      <c r="CQ612" s="138"/>
      <c r="CR612" s="138"/>
      <c r="CS612" s="138"/>
      <c r="CT612" s="138"/>
      <c r="CU612" s="138"/>
      <c r="CV612" s="138"/>
      <c r="CW612" s="138"/>
      <c r="CX612" s="138"/>
      <c r="CY612" s="138"/>
      <c r="CZ612" s="138"/>
      <c r="DA612" s="138"/>
      <c r="DB612" s="138"/>
      <c r="DC612" s="138"/>
      <c r="DD612" s="138"/>
      <c r="DE612" s="138"/>
      <c r="DF612" s="138"/>
      <c r="DG612" s="1"/>
      <c r="DH612" s="55"/>
      <c r="DI612" s="53"/>
      <c r="DL612" s="54"/>
      <c r="DM612" s="54"/>
      <c r="DN612" s="54"/>
      <c r="DO612" s="54"/>
      <c r="DP612" s="54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L612" s="55"/>
      <c r="EM612" s="1"/>
      <c r="EN612" s="106"/>
      <c r="EO612" s="106"/>
      <c r="EP612" s="1"/>
      <c r="EQ612" s="106"/>
      <c r="ER612" s="1"/>
      <c r="ES612" s="1"/>
      <c r="ET612" s="1"/>
      <c r="EU612" s="107"/>
    </row>
    <row r="613" spans="9:151">
      <c r="I613" s="137"/>
      <c r="J613" s="138"/>
      <c r="K613" s="1"/>
      <c r="L613" s="1"/>
      <c r="Q613" s="1"/>
      <c r="R613" s="1"/>
      <c r="S613" s="106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55"/>
      <c r="AO613" s="106"/>
      <c r="AP613" s="106"/>
      <c r="AQ613" s="106"/>
      <c r="AR613" s="106"/>
      <c r="AS613" s="106"/>
      <c r="AT613" s="31"/>
      <c r="AU613" s="31"/>
      <c r="AV613" s="31"/>
      <c r="AW613" s="154"/>
      <c r="AX613" s="154"/>
      <c r="AY613" s="106"/>
      <c r="AZ613" s="106"/>
      <c r="BA613" s="106"/>
      <c r="BB613" s="106"/>
      <c r="BC613" s="106"/>
      <c r="BD613" s="106"/>
      <c r="BE613" s="107"/>
      <c r="BF613" s="105"/>
      <c r="BG613" s="105"/>
      <c r="BH613" s="105"/>
      <c r="BI613" s="108"/>
      <c r="BJ613" s="160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7"/>
      <c r="BY613" s="106"/>
      <c r="BZ613" s="107"/>
      <c r="CA613" s="107"/>
      <c r="CB613" s="107"/>
      <c r="CC613" s="107"/>
      <c r="CD613" s="107"/>
      <c r="CE613" s="107"/>
      <c r="CF613" s="107"/>
      <c r="CG613" s="107"/>
      <c r="CH613" s="106"/>
      <c r="CI613" s="106"/>
      <c r="CJ613" s="106"/>
      <c r="CK613" s="106"/>
      <c r="CL613" s="106"/>
      <c r="CM613" s="138"/>
      <c r="CN613" s="138"/>
      <c r="CO613" s="138"/>
      <c r="CP613" s="138"/>
      <c r="CQ613" s="138"/>
      <c r="CR613" s="138"/>
      <c r="CS613" s="138"/>
      <c r="CT613" s="138"/>
      <c r="CU613" s="138"/>
      <c r="CV613" s="138"/>
      <c r="CW613" s="138"/>
      <c r="CX613" s="138"/>
      <c r="CY613" s="138"/>
      <c r="CZ613" s="138"/>
      <c r="DA613" s="138"/>
      <c r="DB613" s="138"/>
      <c r="DC613" s="138"/>
      <c r="DD613" s="138"/>
      <c r="DE613" s="138"/>
      <c r="DF613" s="138"/>
      <c r="DG613" s="1"/>
      <c r="DH613" s="55"/>
      <c r="DI613" s="53"/>
      <c r="DL613" s="54"/>
      <c r="DM613" s="54"/>
      <c r="DN613" s="54"/>
      <c r="DO613" s="54"/>
      <c r="DP613" s="54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L613" s="55"/>
      <c r="EM613" s="1"/>
      <c r="EN613" s="106"/>
      <c r="EO613" s="106"/>
      <c r="EP613" s="1"/>
      <c r="EQ613" s="106"/>
      <c r="ER613" s="1"/>
      <c r="ES613" s="1"/>
      <c r="ET613" s="1"/>
      <c r="EU613" s="107"/>
    </row>
    <row r="614" spans="9:151">
      <c r="I614" s="137"/>
      <c r="J614" s="138"/>
      <c r="K614" s="1"/>
      <c r="L614" s="1"/>
      <c r="Q614" s="1"/>
      <c r="R614" s="1"/>
      <c r="S614" s="106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55"/>
      <c r="AO614" s="106"/>
      <c r="AP614" s="106"/>
      <c r="AQ614" s="106"/>
      <c r="AR614" s="106"/>
      <c r="AS614" s="106"/>
      <c r="AT614" s="31"/>
      <c r="AU614" s="31"/>
      <c r="AV614" s="31"/>
      <c r="AW614" s="154"/>
      <c r="AX614" s="154"/>
      <c r="AY614" s="106"/>
      <c r="AZ614" s="106"/>
      <c r="BA614" s="106"/>
      <c r="BB614" s="106"/>
      <c r="BC614" s="106"/>
      <c r="BD614" s="106"/>
      <c r="BE614" s="107"/>
      <c r="BF614" s="105"/>
      <c r="BG614" s="105"/>
      <c r="BH614" s="105"/>
      <c r="BI614" s="108"/>
      <c r="BJ614" s="160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7"/>
      <c r="BY614" s="106"/>
      <c r="BZ614" s="107"/>
      <c r="CA614" s="107"/>
      <c r="CB614" s="107"/>
      <c r="CC614" s="107"/>
      <c r="CD614" s="107"/>
      <c r="CE614" s="107"/>
      <c r="CF614" s="107"/>
      <c r="CG614" s="107"/>
      <c r="CH614" s="106"/>
      <c r="CI614" s="106"/>
      <c r="CJ614" s="106"/>
      <c r="CK614" s="106"/>
      <c r="CL614" s="106"/>
      <c r="CM614" s="138"/>
      <c r="CN614" s="138"/>
      <c r="CO614" s="138"/>
      <c r="CP614" s="138"/>
      <c r="CQ614" s="138"/>
      <c r="CR614" s="138"/>
      <c r="CS614" s="138"/>
      <c r="CT614" s="138"/>
      <c r="CU614" s="138"/>
      <c r="CV614" s="138"/>
      <c r="CW614" s="138"/>
      <c r="CX614" s="138"/>
      <c r="CY614" s="138"/>
      <c r="CZ614" s="138"/>
      <c r="DA614" s="138"/>
      <c r="DB614" s="138"/>
      <c r="DC614" s="138"/>
      <c r="DD614" s="138"/>
      <c r="DE614" s="138"/>
      <c r="DF614" s="138"/>
      <c r="DG614" s="1"/>
      <c r="DH614" s="55"/>
      <c r="DI614" s="53"/>
      <c r="DL614" s="54"/>
      <c r="DM614" s="54"/>
      <c r="DN614" s="54"/>
      <c r="DO614" s="54"/>
      <c r="DP614" s="54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L614" s="55"/>
      <c r="EM614" s="1"/>
      <c r="EN614" s="106"/>
      <c r="EO614" s="106"/>
      <c r="EP614" s="1"/>
      <c r="EQ614" s="106"/>
      <c r="ER614" s="1"/>
      <c r="ES614" s="1"/>
      <c r="ET614" s="1"/>
      <c r="EU614" s="107"/>
    </row>
    <row r="615" spans="9:151">
      <c r="I615" s="137"/>
      <c r="J615" s="138"/>
      <c r="K615" s="1"/>
      <c r="L615" s="1"/>
      <c r="Q615" s="1"/>
      <c r="R615" s="1"/>
      <c r="S615" s="106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55"/>
      <c r="AO615" s="106"/>
      <c r="AP615" s="106"/>
      <c r="AQ615" s="106"/>
      <c r="AR615" s="106"/>
      <c r="AS615" s="106"/>
      <c r="AT615" s="31"/>
      <c r="AU615" s="31"/>
      <c r="AV615" s="31"/>
      <c r="AW615" s="154"/>
      <c r="AX615" s="154"/>
      <c r="AY615" s="106"/>
      <c r="AZ615" s="106"/>
      <c r="BA615" s="106"/>
      <c r="BB615" s="106"/>
      <c r="BC615" s="106"/>
      <c r="BD615" s="106"/>
      <c r="BE615" s="107"/>
      <c r="BF615" s="105"/>
      <c r="BG615" s="105"/>
      <c r="BH615" s="105"/>
      <c r="BI615" s="108"/>
      <c r="BJ615" s="160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7"/>
      <c r="BY615" s="106"/>
      <c r="BZ615" s="107"/>
      <c r="CA615" s="107"/>
      <c r="CB615" s="107"/>
      <c r="CC615" s="107"/>
      <c r="CD615" s="107"/>
      <c r="CE615" s="107"/>
      <c r="CF615" s="107"/>
      <c r="CG615" s="107"/>
      <c r="CH615" s="106"/>
      <c r="CI615" s="106"/>
      <c r="CJ615" s="106"/>
      <c r="CK615" s="106"/>
      <c r="CL615" s="106"/>
      <c r="CM615" s="138"/>
      <c r="CN615" s="138"/>
      <c r="CO615" s="138"/>
      <c r="CP615" s="138"/>
      <c r="CQ615" s="138"/>
      <c r="CR615" s="138"/>
      <c r="CS615" s="138"/>
      <c r="CT615" s="138"/>
      <c r="CU615" s="138"/>
      <c r="CV615" s="138"/>
      <c r="CW615" s="138"/>
      <c r="CX615" s="138"/>
      <c r="CY615" s="138"/>
      <c r="CZ615" s="138"/>
      <c r="DA615" s="138"/>
      <c r="DB615" s="138"/>
      <c r="DC615" s="138"/>
      <c r="DD615" s="138"/>
      <c r="DE615" s="138"/>
      <c r="DF615" s="138"/>
      <c r="DG615" s="1"/>
      <c r="DH615" s="55"/>
      <c r="DI615" s="53"/>
      <c r="DL615" s="54"/>
      <c r="DM615" s="54"/>
      <c r="DN615" s="54"/>
      <c r="DO615" s="54"/>
      <c r="DP615" s="54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L615" s="55"/>
      <c r="EM615" s="1"/>
      <c r="EN615" s="106"/>
      <c r="EO615" s="106"/>
      <c r="EP615" s="1"/>
      <c r="EQ615" s="106"/>
      <c r="ER615" s="1"/>
      <c r="ES615" s="1"/>
      <c r="ET615" s="1"/>
      <c r="EU615" s="107"/>
    </row>
    <row r="616" spans="9:151">
      <c r="I616" s="137"/>
      <c r="J616" s="138"/>
      <c r="K616" s="1"/>
      <c r="L616" s="1"/>
      <c r="Q616" s="1"/>
      <c r="R616" s="1"/>
      <c r="S616" s="106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55"/>
      <c r="AO616" s="106"/>
      <c r="AP616" s="106"/>
      <c r="AQ616" s="106"/>
      <c r="AR616" s="106"/>
      <c r="AS616" s="106"/>
      <c r="AT616" s="31"/>
      <c r="AU616" s="31"/>
      <c r="AV616" s="31"/>
      <c r="AW616" s="154"/>
      <c r="AX616" s="154"/>
      <c r="AY616" s="106"/>
      <c r="AZ616" s="106"/>
      <c r="BA616" s="106"/>
      <c r="BB616" s="106"/>
      <c r="BC616" s="106"/>
      <c r="BD616" s="106"/>
      <c r="BE616" s="107"/>
      <c r="BF616" s="105"/>
      <c r="BG616" s="105"/>
      <c r="BH616" s="105"/>
      <c r="BI616" s="108"/>
      <c r="BJ616" s="160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7"/>
      <c r="BY616" s="106"/>
      <c r="BZ616" s="107"/>
      <c r="CA616" s="107"/>
      <c r="CB616" s="107"/>
      <c r="CC616" s="107"/>
      <c r="CD616" s="107"/>
      <c r="CE616" s="107"/>
      <c r="CF616" s="107"/>
      <c r="CG616" s="107"/>
      <c r="CH616" s="106"/>
      <c r="CI616" s="106"/>
      <c r="CJ616" s="106"/>
      <c r="CK616" s="106"/>
      <c r="CL616" s="106"/>
      <c r="CM616" s="138"/>
      <c r="CN616" s="138"/>
      <c r="CO616" s="138"/>
      <c r="CP616" s="138"/>
      <c r="CQ616" s="138"/>
      <c r="CR616" s="138"/>
      <c r="CS616" s="138"/>
      <c r="CT616" s="138"/>
      <c r="CU616" s="138"/>
      <c r="CV616" s="138"/>
      <c r="CW616" s="138"/>
      <c r="CX616" s="138"/>
      <c r="CY616" s="138"/>
      <c r="CZ616" s="138"/>
      <c r="DA616" s="138"/>
      <c r="DB616" s="138"/>
      <c r="DC616" s="138"/>
      <c r="DD616" s="138"/>
      <c r="DE616" s="138"/>
      <c r="DF616" s="138"/>
      <c r="DG616" s="1"/>
      <c r="DH616" s="55"/>
      <c r="DI616" s="53"/>
      <c r="DL616" s="54"/>
      <c r="DM616" s="54"/>
      <c r="DN616" s="54"/>
      <c r="DO616" s="54"/>
      <c r="DP616" s="54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L616" s="55"/>
      <c r="EM616" s="1"/>
      <c r="EN616" s="106"/>
      <c r="EO616" s="106"/>
      <c r="EP616" s="1"/>
      <c r="EQ616" s="106"/>
      <c r="ER616" s="1"/>
      <c r="ES616" s="1"/>
      <c r="ET616" s="1"/>
      <c r="EU616" s="107"/>
    </row>
    <row r="617" spans="9:151">
      <c r="I617" s="137"/>
      <c r="J617" s="138"/>
      <c r="K617" s="1"/>
      <c r="L617" s="1"/>
      <c r="Q617" s="1"/>
      <c r="R617" s="1"/>
      <c r="S617" s="106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55"/>
      <c r="AO617" s="106"/>
      <c r="AP617" s="106"/>
      <c r="AQ617" s="106"/>
      <c r="AR617" s="106"/>
      <c r="AS617" s="106"/>
      <c r="AT617" s="31"/>
      <c r="AU617" s="31"/>
      <c r="AV617" s="31"/>
      <c r="AW617" s="154"/>
      <c r="AX617" s="154"/>
      <c r="AY617" s="106"/>
      <c r="AZ617" s="106"/>
      <c r="BA617" s="106"/>
      <c r="BB617" s="106"/>
      <c r="BC617" s="106"/>
      <c r="BD617" s="106"/>
      <c r="BE617" s="107"/>
      <c r="BF617" s="105"/>
      <c r="BG617" s="105"/>
      <c r="BH617" s="105"/>
      <c r="BI617" s="108"/>
      <c r="BJ617" s="160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7"/>
      <c r="BY617" s="106"/>
      <c r="BZ617" s="107"/>
      <c r="CA617" s="107"/>
      <c r="CB617" s="107"/>
      <c r="CC617" s="107"/>
      <c r="CD617" s="107"/>
      <c r="CE617" s="107"/>
      <c r="CF617" s="107"/>
      <c r="CG617" s="107"/>
      <c r="CH617" s="106"/>
      <c r="CI617" s="106"/>
      <c r="CJ617" s="106"/>
      <c r="CK617" s="106"/>
      <c r="CL617" s="106"/>
      <c r="CM617" s="138"/>
      <c r="CN617" s="138"/>
      <c r="CO617" s="138"/>
      <c r="CP617" s="138"/>
      <c r="CQ617" s="138"/>
      <c r="CR617" s="138"/>
      <c r="CS617" s="138"/>
      <c r="CT617" s="138"/>
      <c r="CU617" s="138"/>
      <c r="CV617" s="138"/>
      <c r="CW617" s="138"/>
      <c r="CX617" s="138"/>
      <c r="CY617" s="138"/>
      <c r="CZ617" s="138"/>
      <c r="DA617" s="138"/>
      <c r="DB617" s="138"/>
      <c r="DC617" s="138"/>
      <c r="DD617" s="138"/>
      <c r="DE617" s="138"/>
      <c r="DF617" s="138"/>
      <c r="DG617" s="1"/>
      <c r="DH617" s="55"/>
      <c r="DI617" s="53"/>
      <c r="DL617" s="54"/>
      <c r="DM617" s="54"/>
      <c r="DN617" s="54"/>
      <c r="DO617" s="54"/>
      <c r="DP617" s="54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L617" s="55"/>
      <c r="EM617" s="1"/>
      <c r="EN617" s="106"/>
      <c r="EO617" s="106"/>
      <c r="EP617" s="1"/>
      <c r="EQ617" s="106"/>
      <c r="ER617" s="1"/>
      <c r="ES617" s="1"/>
      <c r="ET617" s="1"/>
      <c r="EU617" s="107"/>
    </row>
    <row r="618" spans="9:151">
      <c r="I618" s="137"/>
      <c r="J618" s="138"/>
      <c r="K618" s="1"/>
      <c r="L618" s="1"/>
      <c r="Q618" s="1"/>
      <c r="R618" s="1"/>
      <c r="S618" s="106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55"/>
      <c r="AO618" s="106"/>
      <c r="AP618" s="106"/>
      <c r="AQ618" s="106"/>
      <c r="AR618" s="106"/>
      <c r="AS618" s="106"/>
      <c r="AT618" s="31"/>
      <c r="AU618" s="31"/>
      <c r="AV618" s="31"/>
      <c r="AW618" s="154"/>
      <c r="AX618" s="154"/>
      <c r="AY618" s="106"/>
      <c r="AZ618" s="106"/>
      <c r="BA618" s="106"/>
      <c r="BB618" s="106"/>
      <c r="BC618" s="106"/>
      <c r="BD618" s="106"/>
      <c r="BE618" s="107"/>
      <c r="BF618" s="105"/>
      <c r="BG618" s="105"/>
      <c r="BH618" s="105"/>
      <c r="BI618" s="108"/>
      <c r="BJ618" s="160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7"/>
      <c r="BY618" s="106"/>
      <c r="BZ618" s="107"/>
      <c r="CA618" s="107"/>
      <c r="CB618" s="107"/>
      <c r="CC618" s="107"/>
      <c r="CD618" s="107"/>
      <c r="CE618" s="107"/>
      <c r="CF618" s="107"/>
      <c r="CG618" s="107"/>
      <c r="CH618" s="106"/>
      <c r="CI618" s="106"/>
      <c r="CJ618" s="106"/>
      <c r="CK618" s="106"/>
      <c r="CL618" s="106"/>
      <c r="CM618" s="138"/>
      <c r="CN618" s="138"/>
      <c r="CO618" s="138"/>
      <c r="CP618" s="138"/>
      <c r="CQ618" s="138"/>
      <c r="CR618" s="138"/>
      <c r="CS618" s="138"/>
      <c r="CT618" s="138"/>
      <c r="CU618" s="138"/>
      <c r="CV618" s="138"/>
      <c r="CW618" s="138"/>
      <c r="CX618" s="138"/>
      <c r="CY618" s="138"/>
      <c r="CZ618" s="138"/>
      <c r="DA618" s="138"/>
      <c r="DB618" s="138"/>
      <c r="DC618" s="138"/>
      <c r="DD618" s="138"/>
      <c r="DE618" s="138"/>
      <c r="DF618" s="138"/>
      <c r="DG618" s="1"/>
      <c r="DH618" s="55"/>
      <c r="DI618" s="53"/>
      <c r="DL618" s="54"/>
      <c r="DM618" s="54"/>
      <c r="DN618" s="54"/>
      <c r="DO618" s="54"/>
      <c r="DP618" s="54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L618" s="55"/>
      <c r="EM618" s="1"/>
      <c r="EN618" s="106"/>
      <c r="EO618" s="106"/>
      <c r="EP618" s="1"/>
      <c r="EQ618" s="106"/>
      <c r="ER618" s="1"/>
      <c r="ES618" s="1"/>
      <c r="ET618" s="1"/>
      <c r="EU618" s="107"/>
    </row>
    <row r="619" spans="9:151">
      <c r="I619" s="137"/>
      <c r="J619" s="138"/>
      <c r="K619" s="1"/>
      <c r="L619" s="1"/>
      <c r="Q619" s="1"/>
      <c r="R619" s="1"/>
      <c r="S619" s="106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55"/>
      <c r="AO619" s="106"/>
      <c r="AP619" s="106"/>
      <c r="AQ619" s="106"/>
      <c r="AR619" s="106"/>
      <c r="AS619" s="106"/>
      <c r="AT619" s="31"/>
      <c r="AU619" s="31"/>
      <c r="AV619" s="31"/>
      <c r="AW619" s="154"/>
      <c r="AX619" s="154"/>
      <c r="AY619" s="106"/>
      <c r="AZ619" s="106"/>
      <c r="BA619" s="106"/>
      <c r="BB619" s="106"/>
      <c r="BC619" s="106"/>
      <c r="BD619" s="106"/>
      <c r="BE619" s="107"/>
      <c r="BF619" s="105"/>
      <c r="BG619" s="105"/>
      <c r="BH619" s="105"/>
      <c r="BI619" s="108"/>
      <c r="BJ619" s="160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7"/>
      <c r="BY619" s="106"/>
      <c r="BZ619" s="107"/>
      <c r="CA619" s="107"/>
      <c r="CB619" s="107"/>
      <c r="CC619" s="107"/>
      <c r="CD619" s="107"/>
      <c r="CE619" s="107"/>
      <c r="CF619" s="107"/>
      <c r="CG619" s="107"/>
      <c r="CH619" s="106"/>
      <c r="CI619" s="106"/>
      <c r="CJ619" s="106"/>
      <c r="CK619" s="106"/>
      <c r="CL619" s="106"/>
      <c r="CM619" s="138"/>
      <c r="CN619" s="138"/>
      <c r="CO619" s="138"/>
      <c r="CP619" s="138"/>
      <c r="CQ619" s="138"/>
      <c r="CR619" s="138"/>
      <c r="CS619" s="138"/>
      <c r="CT619" s="138"/>
      <c r="CU619" s="138"/>
      <c r="CV619" s="138"/>
      <c r="CW619" s="138"/>
      <c r="CX619" s="138"/>
      <c r="CY619" s="138"/>
      <c r="CZ619" s="138"/>
      <c r="DA619" s="138"/>
      <c r="DB619" s="138"/>
      <c r="DC619" s="138"/>
      <c r="DD619" s="138"/>
      <c r="DE619" s="138"/>
      <c r="DF619" s="138"/>
      <c r="DG619" s="1"/>
      <c r="DH619" s="55"/>
      <c r="DI619" s="53"/>
      <c r="DL619" s="54"/>
      <c r="DM619" s="54"/>
      <c r="DN619" s="54"/>
      <c r="DO619" s="54"/>
      <c r="DP619" s="54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L619" s="55"/>
      <c r="EM619" s="1"/>
      <c r="EN619" s="106"/>
      <c r="EO619" s="106"/>
      <c r="EP619" s="1"/>
      <c r="EQ619" s="106"/>
      <c r="ER619" s="1"/>
      <c r="ES619" s="1"/>
      <c r="ET619" s="1"/>
      <c r="EU619" s="107"/>
    </row>
    <row r="620" spans="9:151">
      <c r="I620" s="137"/>
      <c r="J620" s="138"/>
      <c r="K620" s="1"/>
      <c r="L620" s="1"/>
      <c r="Q620" s="1"/>
      <c r="R620" s="1"/>
      <c r="S620" s="106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55"/>
      <c r="AO620" s="106"/>
      <c r="AP620" s="106"/>
      <c r="AQ620" s="106"/>
      <c r="AR620" s="106"/>
      <c r="AS620" s="106"/>
      <c r="AT620" s="31"/>
      <c r="AU620" s="31"/>
      <c r="AV620" s="31"/>
      <c r="AW620" s="154"/>
      <c r="AX620" s="154"/>
      <c r="AY620" s="106"/>
      <c r="AZ620" s="106"/>
      <c r="BA620" s="106"/>
      <c r="BB620" s="106"/>
      <c r="BC620" s="106"/>
      <c r="BD620" s="106"/>
      <c r="BE620" s="107"/>
      <c r="BF620" s="105"/>
      <c r="BG620" s="105"/>
      <c r="BH620" s="105"/>
      <c r="BI620" s="108"/>
      <c r="BJ620" s="160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7"/>
      <c r="BY620" s="106"/>
      <c r="BZ620" s="107"/>
      <c r="CA620" s="107"/>
      <c r="CB620" s="107"/>
      <c r="CC620" s="107"/>
      <c r="CD620" s="107"/>
      <c r="CE620" s="107"/>
      <c r="CF620" s="107"/>
      <c r="CG620" s="107"/>
      <c r="CH620" s="106"/>
      <c r="CI620" s="106"/>
      <c r="CJ620" s="106"/>
      <c r="CK620" s="106"/>
      <c r="CL620" s="106"/>
      <c r="CM620" s="138"/>
      <c r="CN620" s="138"/>
      <c r="CO620" s="138"/>
      <c r="CP620" s="138"/>
      <c r="CQ620" s="138"/>
      <c r="CR620" s="138"/>
      <c r="CS620" s="138"/>
      <c r="CT620" s="138"/>
      <c r="CU620" s="138"/>
      <c r="CV620" s="138"/>
      <c r="CW620" s="138"/>
      <c r="CX620" s="138"/>
      <c r="CY620" s="138"/>
      <c r="CZ620" s="138"/>
      <c r="DA620" s="138"/>
      <c r="DB620" s="138"/>
      <c r="DC620" s="138"/>
      <c r="DD620" s="138"/>
      <c r="DE620" s="138"/>
      <c r="DF620" s="138"/>
      <c r="DG620" s="1"/>
      <c r="DH620" s="55"/>
      <c r="DI620" s="53"/>
      <c r="DL620" s="54"/>
      <c r="DM620" s="54"/>
      <c r="DN620" s="54"/>
      <c r="DO620" s="54"/>
      <c r="DP620" s="54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L620" s="55"/>
      <c r="EM620" s="1"/>
      <c r="EN620" s="106"/>
      <c r="EO620" s="106"/>
      <c r="EP620" s="1"/>
      <c r="EQ620" s="106"/>
      <c r="ER620" s="1"/>
      <c r="ES620" s="1"/>
      <c r="ET620" s="1"/>
      <c r="EU620" s="107"/>
    </row>
    <row r="621" spans="9:151">
      <c r="I621" s="137"/>
      <c r="J621" s="138"/>
      <c r="K621" s="1"/>
      <c r="L621" s="1"/>
      <c r="Q621" s="1"/>
      <c r="R621" s="1"/>
      <c r="S621" s="106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55"/>
      <c r="AO621" s="106"/>
      <c r="AP621" s="106"/>
      <c r="AQ621" s="106"/>
      <c r="AR621" s="106"/>
      <c r="AS621" s="106"/>
      <c r="AT621" s="31"/>
      <c r="AU621" s="31"/>
      <c r="AV621" s="31"/>
      <c r="AW621" s="154"/>
      <c r="AX621" s="154"/>
      <c r="AY621" s="106"/>
      <c r="AZ621" s="106"/>
      <c r="BA621" s="106"/>
      <c r="BB621" s="106"/>
      <c r="BC621" s="106"/>
      <c r="BD621" s="106"/>
      <c r="BE621" s="107"/>
      <c r="BF621" s="105"/>
      <c r="BG621" s="105"/>
      <c r="BH621" s="105"/>
      <c r="BI621" s="108"/>
      <c r="BJ621" s="160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7"/>
      <c r="BY621" s="106"/>
      <c r="BZ621" s="107"/>
      <c r="CA621" s="107"/>
      <c r="CB621" s="107"/>
      <c r="CC621" s="107"/>
      <c r="CD621" s="107"/>
      <c r="CE621" s="107"/>
      <c r="CF621" s="107"/>
      <c r="CG621" s="107"/>
      <c r="CH621" s="106"/>
      <c r="CI621" s="106"/>
      <c r="CJ621" s="106"/>
      <c r="CK621" s="106"/>
      <c r="CL621" s="106"/>
      <c r="CM621" s="138"/>
      <c r="CN621" s="138"/>
      <c r="CO621" s="138"/>
      <c r="CP621" s="138"/>
      <c r="CQ621" s="138"/>
      <c r="CR621" s="138"/>
      <c r="CS621" s="138"/>
      <c r="CT621" s="138"/>
      <c r="CU621" s="138"/>
      <c r="CV621" s="138"/>
      <c r="CW621" s="138"/>
      <c r="CX621" s="138"/>
      <c r="CY621" s="138"/>
      <c r="CZ621" s="138"/>
      <c r="DA621" s="138"/>
      <c r="DB621" s="138"/>
      <c r="DC621" s="138"/>
      <c r="DD621" s="138"/>
      <c r="DE621" s="138"/>
      <c r="DF621" s="138"/>
      <c r="DG621" s="1"/>
      <c r="DH621" s="55"/>
      <c r="DI621" s="53"/>
      <c r="DL621" s="54"/>
      <c r="DM621" s="54"/>
      <c r="DN621" s="54"/>
      <c r="DO621" s="54"/>
      <c r="DP621" s="54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L621" s="55"/>
      <c r="EM621" s="1"/>
      <c r="EN621" s="106"/>
      <c r="EO621" s="106"/>
      <c r="EP621" s="1"/>
      <c r="EQ621" s="106"/>
      <c r="ER621" s="1"/>
      <c r="ES621" s="1"/>
      <c r="ET621" s="1"/>
      <c r="EU621" s="107"/>
    </row>
    <row r="622" spans="9:151">
      <c r="I622" s="137"/>
      <c r="J622" s="138"/>
      <c r="K622" s="1"/>
      <c r="L622" s="1"/>
      <c r="Q622" s="1"/>
      <c r="R622" s="1"/>
      <c r="S622" s="106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55"/>
      <c r="AO622" s="106"/>
      <c r="AP622" s="106"/>
      <c r="AQ622" s="106"/>
      <c r="AR622" s="106"/>
      <c r="AS622" s="106"/>
      <c r="AT622" s="31"/>
      <c r="AU622" s="31"/>
      <c r="AV622" s="31"/>
      <c r="AW622" s="154"/>
      <c r="AX622" s="154"/>
      <c r="AY622" s="106"/>
      <c r="AZ622" s="106"/>
      <c r="BA622" s="106"/>
      <c r="BB622" s="106"/>
      <c r="BC622" s="106"/>
      <c r="BD622" s="106"/>
      <c r="BE622" s="107"/>
      <c r="BF622" s="105"/>
      <c r="BG622" s="105"/>
      <c r="BH622" s="105"/>
      <c r="BI622" s="108"/>
      <c r="BJ622" s="160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7"/>
      <c r="BY622" s="106"/>
      <c r="BZ622" s="107"/>
      <c r="CA622" s="107"/>
      <c r="CB622" s="107"/>
      <c r="CC622" s="107"/>
      <c r="CD622" s="107"/>
      <c r="CE622" s="107"/>
      <c r="CF622" s="107"/>
      <c r="CG622" s="107"/>
      <c r="CH622" s="106"/>
      <c r="CI622" s="106"/>
      <c r="CJ622" s="106"/>
      <c r="CK622" s="106"/>
      <c r="CL622" s="106"/>
      <c r="CM622" s="138"/>
      <c r="CN622" s="138"/>
      <c r="CO622" s="138"/>
      <c r="CP622" s="138"/>
      <c r="CQ622" s="138"/>
      <c r="CR622" s="138"/>
      <c r="CS622" s="138"/>
      <c r="CT622" s="138"/>
      <c r="CU622" s="138"/>
      <c r="CV622" s="138"/>
      <c r="CW622" s="138"/>
      <c r="CX622" s="138"/>
      <c r="CY622" s="138"/>
      <c r="CZ622" s="138"/>
      <c r="DA622" s="138"/>
      <c r="DB622" s="138"/>
      <c r="DC622" s="138"/>
      <c r="DD622" s="138"/>
      <c r="DE622" s="138"/>
      <c r="DF622" s="138"/>
      <c r="DG622" s="1"/>
      <c r="DH622" s="55"/>
      <c r="DI622" s="53"/>
      <c r="DL622" s="54"/>
      <c r="DM622" s="54"/>
      <c r="DN622" s="54"/>
      <c r="DO622" s="54"/>
      <c r="DP622" s="54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L622" s="55"/>
      <c r="EM622" s="1"/>
      <c r="EN622" s="106"/>
      <c r="EO622" s="106"/>
      <c r="EP622" s="1"/>
      <c r="EQ622" s="106"/>
      <c r="ER622" s="1"/>
      <c r="ES622" s="1"/>
      <c r="ET622" s="1"/>
      <c r="EU622" s="107"/>
    </row>
    <row r="623" spans="9:151">
      <c r="I623" s="137"/>
      <c r="J623" s="138"/>
      <c r="K623" s="1"/>
      <c r="L623" s="1"/>
      <c r="Q623" s="1"/>
      <c r="R623" s="1"/>
      <c r="S623" s="106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55"/>
      <c r="AO623" s="106"/>
      <c r="AP623" s="106"/>
      <c r="AQ623" s="106"/>
      <c r="AR623" s="106"/>
      <c r="AS623" s="106"/>
      <c r="AT623" s="31"/>
      <c r="AU623" s="31"/>
      <c r="AV623" s="31"/>
      <c r="AW623" s="154"/>
      <c r="AX623" s="154"/>
      <c r="AY623" s="106"/>
      <c r="AZ623" s="106"/>
      <c r="BA623" s="106"/>
      <c r="BB623" s="106"/>
      <c r="BC623" s="106"/>
      <c r="BD623" s="106"/>
      <c r="BE623" s="107"/>
      <c r="BF623" s="105"/>
      <c r="BG623" s="105"/>
      <c r="BH623" s="105"/>
      <c r="BI623" s="108"/>
      <c r="BJ623" s="160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7"/>
      <c r="BY623" s="106"/>
      <c r="BZ623" s="107"/>
      <c r="CA623" s="107"/>
      <c r="CB623" s="107"/>
      <c r="CC623" s="107"/>
      <c r="CD623" s="107"/>
      <c r="CE623" s="107"/>
      <c r="CF623" s="107"/>
      <c r="CG623" s="107"/>
      <c r="CH623" s="106"/>
      <c r="CI623" s="106"/>
      <c r="CJ623" s="106"/>
      <c r="CK623" s="106"/>
      <c r="CL623" s="106"/>
      <c r="CM623" s="138"/>
      <c r="CN623" s="138"/>
      <c r="CO623" s="138"/>
      <c r="CP623" s="138"/>
      <c r="CQ623" s="138"/>
      <c r="CR623" s="138"/>
      <c r="CS623" s="138"/>
      <c r="CT623" s="138"/>
      <c r="CU623" s="138"/>
      <c r="CV623" s="138"/>
      <c r="CW623" s="138"/>
      <c r="CX623" s="138"/>
      <c r="CY623" s="138"/>
      <c r="CZ623" s="138"/>
      <c r="DA623" s="138"/>
      <c r="DB623" s="138"/>
      <c r="DC623" s="138"/>
      <c r="DD623" s="138"/>
      <c r="DE623" s="138"/>
      <c r="DF623" s="138"/>
      <c r="DG623" s="1"/>
      <c r="DH623" s="55"/>
      <c r="DI623" s="53"/>
      <c r="DL623" s="54"/>
      <c r="DM623" s="54"/>
      <c r="DN623" s="54"/>
      <c r="DO623" s="54"/>
      <c r="DP623" s="54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L623" s="55"/>
      <c r="EM623" s="1"/>
      <c r="EN623" s="106"/>
      <c r="EO623" s="106"/>
      <c r="EP623" s="1"/>
      <c r="EQ623" s="106"/>
      <c r="ER623" s="1"/>
      <c r="ES623" s="1"/>
      <c r="ET623" s="1"/>
      <c r="EU623" s="107"/>
    </row>
    <row r="624" spans="9:151">
      <c r="I624" s="137"/>
      <c r="J624" s="138"/>
      <c r="K624" s="1"/>
      <c r="L624" s="1"/>
      <c r="Q624" s="1"/>
      <c r="R624" s="1"/>
      <c r="S624" s="106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55"/>
      <c r="AO624" s="106"/>
      <c r="AP624" s="106"/>
      <c r="AQ624" s="106"/>
      <c r="AR624" s="106"/>
      <c r="AS624" s="106"/>
      <c r="AT624" s="31"/>
      <c r="AU624" s="31"/>
      <c r="AV624" s="31"/>
      <c r="AW624" s="154"/>
      <c r="AX624" s="154"/>
      <c r="AY624" s="106"/>
      <c r="AZ624" s="106"/>
      <c r="BA624" s="106"/>
      <c r="BB624" s="106"/>
      <c r="BC624" s="106"/>
      <c r="BD624" s="106"/>
      <c r="BE624" s="107"/>
      <c r="BF624" s="105"/>
      <c r="BG624" s="105"/>
      <c r="BH624" s="105"/>
      <c r="BI624" s="108"/>
      <c r="BJ624" s="160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7"/>
      <c r="BY624" s="106"/>
      <c r="BZ624" s="107"/>
      <c r="CA624" s="107"/>
      <c r="CB624" s="107"/>
      <c r="CC624" s="107"/>
      <c r="CD624" s="107"/>
      <c r="CE624" s="107"/>
      <c r="CF624" s="107"/>
      <c r="CG624" s="107"/>
      <c r="CH624" s="106"/>
      <c r="CI624" s="106"/>
      <c r="CJ624" s="106"/>
      <c r="CK624" s="106"/>
      <c r="CL624" s="106"/>
      <c r="CM624" s="138"/>
      <c r="CN624" s="138"/>
      <c r="CO624" s="138"/>
      <c r="CP624" s="138"/>
      <c r="CQ624" s="138"/>
      <c r="CR624" s="138"/>
      <c r="CS624" s="138"/>
      <c r="CT624" s="138"/>
      <c r="CU624" s="138"/>
      <c r="CV624" s="138"/>
      <c r="CW624" s="138"/>
      <c r="CX624" s="138"/>
      <c r="CY624" s="138"/>
      <c r="CZ624" s="138"/>
      <c r="DA624" s="138"/>
      <c r="DB624" s="138"/>
      <c r="DC624" s="138"/>
      <c r="DD624" s="138"/>
      <c r="DE624" s="138"/>
      <c r="DF624" s="138"/>
      <c r="DG624" s="1"/>
      <c r="DH624" s="55"/>
      <c r="DI624" s="53"/>
      <c r="DL624" s="54"/>
      <c r="DM624" s="54"/>
      <c r="DN624" s="54"/>
      <c r="DO624" s="54"/>
      <c r="DP624" s="54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L624" s="55"/>
      <c r="EM624" s="1"/>
      <c r="EN624" s="106"/>
      <c r="EO624" s="106"/>
      <c r="EP624" s="1"/>
      <c r="EQ624" s="106"/>
      <c r="ER624" s="1"/>
      <c r="ES624" s="1"/>
      <c r="ET624" s="1"/>
      <c r="EU624" s="107"/>
    </row>
    <row r="625" spans="9:151">
      <c r="I625" s="137"/>
      <c r="J625" s="138"/>
      <c r="K625" s="1"/>
      <c r="L625" s="1"/>
      <c r="Q625" s="1"/>
      <c r="R625" s="1"/>
      <c r="S625" s="106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55"/>
      <c r="AO625" s="106"/>
      <c r="AP625" s="106"/>
      <c r="AQ625" s="106"/>
      <c r="AR625" s="106"/>
      <c r="AS625" s="106"/>
      <c r="AT625" s="31"/>
      <c r="AU625" s="31"/>
      <c r="AV625" s="31"/>
      <c r="AW625" s="154"/>
      <c r="AX625" s="154"/>
      <c r="AY625" s="106"/>
      <c r="AZ625" s="106"/>
      <c r="BA625" s="106"/>
      <c r="BB625" s="106"/>
      <c r="BC625" s="106"/>
      <c r="BD625" s="106"/>
      <c r="BE625" s="107"/>
      <c r="BF625" s="105"/>
      <c r="BG625" s="105"/>
      <c r="BH625" s="105"/>
      <c r="BI625" s="108"/>
      <c r="BJ625" s="160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7"/>
      <c r="BY625" s="106"/>
      <c r="BZ625" s="107"/>
      <c r="CA625" s="107"/>
      <c r="CB625" s="107"/>
      <c r="CC625" s="107"/>
      <c r="CD625" s="107"/>
      <c r="CE625" s="107"/>
      <c r="CF625" s="107"/>
      <c r="CG625" s="107"/>
      <c r="CH625" s="106"/>
      <c r="CI625" s="106"/>
      <c r="CJ625" s="106"/>
      <c r="CK625" s="106"/>
      <c r="CL625" s="106"/>
      <c r="CM625" s="138"/>
      <c r="CN625" s="138"/>
      <c r="CO625" s="138"/>
      <c r="CP625" s="138"/>
      <c r="CQ625" s="138"/>
      <c r="CR625" s="138"/>
      <c r="CS625" s="138"/>
      <c r="CT625" s="138"/>
      <c r="CU625" s="138"/>
      <c r="CV625" s="138"/>
      <c r="CW625" s="138"/>
      <c r="CX625" s="138"/>
      <c r="CY625" s="138"/>
      <c r="CZ625" s="138"/>
      <c r="DA625" s="138"/>
      <c r="DB625" s="138"/>
      <c r="DC625" s="138"/>
      <c r="DD625" s="138"/>
      <c r="DE625" s="138"/>
      <c r="DF625" s="138"/>
      <c r="DG625" s="1"/>
      <c r="DH625" s="55"/>
      <c r="DI625" s="53"/>
      <c r="DL625" s="54"/>
      <c r="DM625" s="54"/>
      <c r="DN625" s="54"/>
      <c r="DO625" s="54"/>
      <c r="DP625" s="54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L625" s="55"/>
      <c r="EM625" s="1"/>
      <c r="EN625" s="106"/>
      <c r="EO625" s="106"/>
      <c r="EP625" s="1"/>
      <c r="EQ625" s="106"/>
      <c r="ER625" s="1"/>
      <c r="ES625" s="1"/>
      <c r="ET625" s="1"/>
      <c r="EU625" s="107"/>
    </row>
    <row r="626" spans="9:151">
      <c r="I626" s="137"/>
      <c r="J626" s="138"/>
      <c r="K626" s="1"/>
      <c r="L626" s="1"/>
      <c r="Q626" s="1"/>
      <c r="R626" s="1"/>
      <c r="S626" s="106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55"/>
      <c r="AO626" s="106"/>
      <c r="AP626" s="106"/>
      <c r="AQ626" s="106"/>
      <c r="AR626" s="106"/>
      <c r="AS626" s="106"/>
      <c r="AT626" s="31"/>
      <c r="AU626" s="31"/>
      <c r="AV626" s="31"/>
      <c r="AW626" s="154"/>
      <c r="AX626" s="154"/>
      <c r="AY626" s="106"/>
      <c r="AZ626" s="106"/>
      <c r="BA626" s="106"/>
      <c r="BB626" s="106"/>
      <c r="BC626" s="106"/>
      <c r="BD626" s="106"/>
      <c r="BE626" s="107"/>
      <c r="BF626" s="105"/>
      <c r="BG626" s="105"/>
      <c r="BH626" s="105"/>
      <c r="BI626" s="108"/>
      <c r="BJ626" s="160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7"/>
      <c r="BY626" s="106"/>
      <c r="BZ626" s="107"/>
      <c r="CA626" s="107"/>
      <c r="CB626" s="107"/>
      <c r="CC626" s="107"/>
      <c r="CD626" s="107"/>
      <c r="CE626" s="107"/>
      <c r="CF626" s="107"/>
      <c r="CG626" s="107"/>
      <c r="CH626" s="106"/>
      <c r="CI626" s="106"/>
      <c r="CJ626" s="106"/>
      <c r="CK626" s="106"/>
      <c r="CL626" s="106"/>
      <c r="CM626" s="138"/>
      <c r="CN626" s="138"/>
      <c r="CO626" s="138"/>
      <c r="CP626" s="138"/>
      <c r="CQ626" s="138"/>
      <c r="CR626" s="138"/>
      <c r="CS626" s="138"/>
      <c r="CT626" s="138"/>
      <c r="CU626" s="138"/>
      <c r="CV626" s="138"/>
      <c r="CW626" s="138"/>
      <c r="CX626" s="138"/>
      <c r="CY626" s="138"/>
      <c r="CZ626" s="138"/>
      <c r="DA626" s="138"/>
      <c r="DB626" s="138"/>
      <c r="DC626" s="138"/>
      <c r="DD626" s="138"/>
      <c r="DE626" s="138"/>
      <c r="DF626" s="138"/>
      <c r="DG626" s="1"/>
      <c r="DH626" s="55"/>
      <c r="DI626" s="53"/>
      <c r="DL626" s="54"/>
      <c r="DM626" s="54"/>
      <c r="DN626" s="54"/>
      <c r="DO626" s="54"/>
      <c r="DP626" s="54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L626" s="55"/>
      <c r="EM626" s="1"/>
      <c r="EN626" s="106"/>
      <c r="EO626" s="106"/>
      <c r="EP626" s="1"/>
      <c r="EQ626" s="106"/>
      <c r="ER626" s="1"/>
      <c r="ES626" s="1"/>
      <c r="ET626" s="1"/>
      <c r="EU626" s="107"/>
    </row>
    <row r="627" spans="9:151">
      <c r="I627" s="137"/>
      <c r="J627" s="138"/>
      <c r="K627" s="1"/>
      <c r="L627" s="1"/>
      <c r="Q627" s="1"/>
      <c r="R627" s="1"/>
      <c r="S627" s="106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55"/>
      <c r="AO627" s="106"/>
      <c r="AP627" s="106"/>
      <c r="AQ627" s="106"/>
      <c r="AR627" s="106"/>
      <c r="AS627" s="106"/>
      <c r="AT627" s="31"/>
      <c r="AU627" s="31"/>
      <c r="AV627" s="31"/>
      <c r="AW627" s="154"/>
      <c r="AX627" s="154"/>
      <c r="AY627" s="106"/>
      <c r="AZ627" s="106"/>
      <c r="BA627" s="106"/>
      <c r="BB627" s="106"/>
      <c r="BC627" s="106"/>
      <c r="BD627" s="106"/>
      <c r="BE627" s="107"/>
      <c r="BF627" s="105"/>
      <c r="BG627" s="105"/>
      <c r="BH627" s="105"/>
      <c r="BI627" s="108"/>
      <c r="BJ627" s="160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7"/>
      <c r="BY627" s="106"/>
      <c r="BZ627" s="107"/>
      <c r="CA627" s="107"/>
      <c r="CB627" s="107"/>
      <c r="CC627" s="107"/>
      <c r="CD627" s="107"/>
      <c r="CE627" s="107"/>
      <c r="CF627" s="107"/>
      <c r="CG627" s="107"/>
      <c r="CH627" s="106"/>
      <c r="CI627" s="106"/>
      <c r="CJ627" s="106"/>
      <c r="CK627" s="106"/>
      <c r="CL627" s="106"/>
      <c r="CM627" s="138"/>
      <c r="CN627" s="138"/>
      <c r="CO627" s="138"/>
      <c r="CP627" s="138"/>
      <c r="CQ627" s="138"/>
      <c r="CR627" s="138"/>
      <c r="CS627" s="138"/>
      <c r="CT627" s="138"/>
      <c r="CU627" s="138"/>
      <c r="CV627" s="138"/>
      <c r="CW627" s="138"/>
      <c r="CX627" s="138"/>
      <c r="CY627" s="138"/>
      <c r="CZ627" s="138"/>
      <c r="DA627" s="138"/>
      <c r="DB627" s="138"/>
      <c r="DC627" s="138"/>
      <c r="DD627" s="138"/>
      <c r="DE627" s="138"/>
      <c r="DF627" s="138"/>
      <c r="DG627" s="1"/>
      <c r="DH627" s="55"/>
      <c r="DI627" s="53"/>
      <c r="DL627" s="54"/>
      <c r="DM627" s="54"/>
      <c r="DN627" s="54"/>
      <c r="DO627" s="54"/>
      <c r="DP627" s="54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L627" s="55"/>
      <c r="EM627" s="1"/>
      <c r="EN627" s="106"/>
      <c r="EO627" s="106"/>
      <c r="EP627" s="1"/>
      <c r="EQ627" s="106"/>
      <c r="ER627" s="1"/>
      <c r="ES627" s="1"/>
      <c r="ET627" s="1"/>
      <c r="EU627" s="107"/>
    </row>
    <row r="628" spans="9:151">
      <c r="I628" s="137"/>
      <c r="J628" s="138"/>
      <c r="K628" s="1"/>
      <c r="L628" s="1"/>
      <c r="Q628" s="1"/>
      <c r="R628" s="1"/>
      <c r="S628" s="106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55"/>
      <c r="AO628" s="106"/>
      <c r="AP628" s="106"/>
      <c r="AQ628" s="106"/>
      <c r="AR628" s="106"/>
      <c r="AS628" s="106"/>
      <c r="AT628" s="31"/>
      <c r="AU628" s="31"/>
      <c r="AV628" s="31"/>
      <c r="AW628" s="154"/>
      <c r="AX628" s="154"/>
      <c r="AY628" s="106"/>
      <c r="AZ628" s="106"/>
      <c r="BA628" s="106"/>
      <c r="BB628" s="106"/>
      <c r="BC628" s="106"/>
      <c r="BD628" s="106"/>
      <c r="BE628" s="107"/>
      <c r="BF628" s="105"/>
      <c r="BG628" s="105"/>
      <c r="BH628" s="105"/>
      <c r="BI628" s="108"/>
      <c r="BJ628" s="160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7"/>
      <c r="BY628" s="106"/>
      <c r="BZ628" s="107"/>
      <c r="CA628" s="107"/>
      <c r="CB628" s="107"/>
      <c r="CC628" s="107"/>
      <c r="CD628" s="107"/>
      <c r="CE628" s="107"/>
      <c r="CF628" s="107"/>
      <c r="CG628" s="107"/>
      <c r="CH628" s="106"/>
      <c r="CI628" s="106"/>
      <c r="CJ628" s="106"/>
      <c r="CK628" s="106"/>
      <c r="CL628" s="106"/>
      <c r="CM628" s="138"/>
      <c r="CN628" s="138"/>
      <c r="CO628" s="138"/>
      <c r="CP628" s="138"/>
      <c r="CQ628" s="138"/>
      <c r="CR628" s="138"/>
      <c r="CS628" s="138"/>
      <c r="CT628" s="138"/>
      <c r="CU628" s="138"/>
      <c r="CV628" s="138"/>
      <c r="CW628" s="138"/>
      <c r="CX628" s="138"/>
      <c r="CY628" s="138"/>
      <c r="CZ628" s="138"/>
      <c r="DA628" s="138"/>
      <c r="DB628" s="138"/>
      <c r="DC628" s="138"/>
      <c r="DD628" s="138"/>
      <c r="DE628" s="138"/>
      <c r="DF628" s="138"/>
      <c r="DG628" s="1"/>
      <c r="DH628" s="55"/>
      <c r="DI628" s="53"/>
      <c r="DL628" s="54"/>
      <c r="DM628" s="54"/>
      <c r="DN628" s="54"/>
      <c r="DO628" s="54"/>
      <c r="DP628" s="54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L628" s="55"/>
      <c r="EM628" s="1"/>
      <c r="EN628" s="106"/>
      <c r="EO628" s="106"/>
      <c r="EP628" s="1"/>
      <c r="EQ628" s="106"/>
      <c r="ER628" s="1"/>
      <c r="ES628" s="1"/>
      <c r="ET628" s="1"/>
      <c r="EU628" s="107"/>
    </row>
    <row r="629" spans="9:151">
      <c r="I629" s="137"/>
      <c r="J629" s="138"/>
      <c r="K629" s="1"/>
      <c r="L629" s="1"/>
      <c r="Q629" s="1"/>
      <c r="R629" s="1"/>
      <c r="S629" s="106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55"/>
      <c r="AO629" s="106"/>
      <c r="AP629" s="106"/>
      <c r="AQ629" s="106"/>
      <c r="AR629" s="106"/>
      <c r="AS629" s="106"/>
      <c r="AT629" s="31"/>
      <c r="AU629" s="31"/>
      <c r="AV629" s="31"/>
      <c r="AW629" s="154"/>
      <c r="AX629" s="154"/>
      <c r="AY629" s="106"/>
      <c r="AZ629" s="106"/>
      <c r="BA629" s="106"/>
      <c r="BB629" s="106"/>
      <c r="BC629" s="106"/>
      <c r="BD629" s="106"/>
      <c r="BE629" s="107"/>
      <c r="BF629" s="105"/>
      <c r="BG629" s="105"/>
      <c r="BH629" s="105"/>
      <c r="BI629" s="108"/>
      <c r="BJ629" s="160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7"/>
      <c r="BY629" s="106"/>
      <c r="BZ629" s="107"/>
      <c r="CA629" s="107"/>
      <c r="CB629" s="107"/>
      <c r="CC629" s="107"/>
      <c r="CD629" s="107"/>
      <c r="CE629" s="107"/>
      <c r="CF629" s="107"/>
      <c r="CG629" s="107"/>
      <c r="CH629" s="106"/>
      <c r="CI629" s="106"/>
      <c r="CJ629" s="106"/>
      <c r="CK629" s="106"/>
      <c r="CL629" s="106"/>
      <c r="CM629" s="138"/>
      <c r="CN629" s="138"/>
      <c r="CO629" s="138"/>
      <c r="CP629" s="138"/>
      <c r="CQ629" s="138"/>
      <c r="CR629" s="138"/>
      <c r="CS629" s="138"/>
      <c r="CT629" s="138"/>
      <c r="CU629" s="138"/>
      <c r="CV629" s="138"/>
      <c r="CW629" s="138"/>
      <c r="CX629" s="138"/>
      <c r="CY629" s="138"/>
      <c r="CZ629" s="138"/>
      <c r="DA629" s="138"/>
      <c r="DB629" s="138"/>
      <c r="DC629" s="138"/>
      <c r="DD629" s="138"/>
      <c r="DE629" s="138"/>
      <c r="DF629" s="138"/>
      <c r="DG629" s="1"/>
      <c r="DH629" s="55"/>
      <c r="DI629" s="53"/>
      <c r="DL629" s="54"/>
      <c r="DM629" s="54"/>
      <c r="DN629" s="54"/>
      <c r="DO629" s="54"/>
      <c r="DP629" s="54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L629" s="55"/>
      <c r="EM629" s="1"/>
      <c r="EN629" s="106"/>
      <c r="EO629" s="106"/>
      <c r="EP629" s="1"/>
      <c r="EQ629" s="106"/>
      <c r="ER629" s="1"/>
      <c r="ES629" s="1"/>
      <c r="ET629" s="1"/>
      <c r="EU629" s="107"/>
    </row>
    <row r="630" spans="9:151">
      <c r="I630" s="137"/>
      <c r="J630" s="138"/>
      <c r="K630" s="1"/>
      <c r="L630" s="1"/>
      <c r="Q630" s="1"/>
      <c r="R630" s="1"/>
      <c r="S630" s="106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55"/>
      <c r="AO630" s="106"/>
      <c r="AP630" s="106"/>
      <c r="AQ630" s="106"/>
      <c r="AR630" s="106"/>
      <c r="AS630" s="106"/>
      <c r="AT630" s="31"/>
      <c r="AU630" s="31"/>
      <c r="AV630" s="31"/>
      <c r="AW630" s="154"/>
      <c r="AX630" s="154"/>
      <c r="AY630" s="106"/>
      <c r="AZ630" s="106"/>
      <c r="BA630" s="106"/>
      <c r="BB630" s="106"/>
      <c r="BC630" s="106"/>
      <c r="BD630" s="106"/>
      <c r="BE630" s="107"/>
      <c r="BF630" s="105"/>
      <c r="BG630" s="105"/>
      <c r="BH630" s="105"/>
      <c r="BI630" s="108"/>
      <c r="BJ630" s="160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7"/>
      <c r="BY630" s="106"/>
      <c r="BZ630" s="107"/>
      <c r="CA630" s="107"/>
      <c r="CB630" s="107"/>
      <c r="CC630" s="107"/>
      <c r="CD630" s="107"/>
      <c r="CE630" s="107"/>
      <c r="CF630" s="107"/>
      <c r="CG630" s="107"/>
      <c r="CH630" s="106"/>
      <c r="CI630" s="106"/>
      <c r="CJ630" s="106"/>
      <c r="CK630" s="106"/>
      <c r="CL630" s="106"/>
      <c r="CM630" s="138"/>
      <c r="CN630" s="138"/>
      <c r="CO630" s="138"/>
      <c r="CP630" s="138"/>
      <c r="CQ630" s="138"/>
      <c r="CR630" s="138"/>
      <c r="CS630" s="138"/>
      <c r="CT630" s="138"/>
      <c r="CU630" s="138"/>
      <c r="CV630" s="138"/>
      <c r="CW630" s="138"/>
      <c r="CX630" s="138"/>
      <c r="CY630" s="138"/>
      <c r="CZ630" s="138"/>
      <c r="DA630" s="138"/>
      <c r="DB630" s="138"/>
      <c r="DC630" s="138"/>
      <c r="DD630" s="138"/>
      <c r="DE630" s="138"/>
      <c r="DF630" s="138"/>
      <c r="DG630" s="1"/>
      <c r="DH630" s="55"/>
      <c r="DI630" s="53"/>
      <c r="DL630" s="54"/>
      <c r="DM630" s="54"/>
      <c r="DN630" s="54"/>
      <c r="DO630" s="54"/>
      <c r="DP630" s="54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L630" s="55"/>
      <c r="EM630" s="1"/>
      <c r="EN630" s="106"/>
      <c r="EO630" s="106"/>
      <c r="EP630" s="1"/>
      <c r="EQ630" s="106"/>
      <c r="ER630" s="1"/>
      <c r="ES630" s="1"/>
      <c r="ET630" s="1"/>
      <c r="EU630" s="107"/>
    </row>
    <row r="631" spans="9:151">
      <c r="I631" s="137"/>
      <c r="J631" s="138"/>
      <c r="K631" s="1"/>
      <c r="L631" s="1"/>
      <c r="Q631" s="1"/>
      <c r="R631" s="1"/>
      <c r="S631" s="106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55"/>
      <c r="AO631" s="106"/>
      <c r="AP631" s="106"/>
      <c r="AQ631" s="106"/>
      <c r="AR631" s="106"/>
      <c r="AS631" s="106"/>
      <c r="AT631" s="31"/>
      <c r="AU631" s="31"/>
      <c r="AV631" s="31"/>
      <c r="AW631" s="154"/>
      <c r="AX631" s="154"/>
      <c r="AY631" s="106"/>
      <c r="AZ631" s="106"/>
      <c r="BA631" s="106"/>
      <c r="BB631" s="106"/>
      <c r="BC631" s="106"/>
      <c r="BD631" s="106"/>
      <c r="BE631" s="107"/>
      <c r="BF631" s="105"/>
      <c r="BG631" s="105"/>
      <c r="BH631" s="105"/>
      <c r="BI631" s="108"/>
      <c r="BJ631" s="160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7"/>
      <c r="BY631" s="106"/>
      <c r="BZ631" s="107"/>
      <c r="CA631" s="107"/>
      <c r="CB631" s="107"/>
      <c r="CC631" s="107"/>
      <c r="CD631" s="107"/>
      <c r="CE631" s="107"/>
      <c r="CF631" s="107"/>
      <c r="CG631" s="107"/>
      <c r="CH631" s="106"/>
      <c r="CI631" s="106"/>
      <c r="CJ631" s="106"/>
      <c r="CK631" s="106"/>
      <c r="CL631" s="106"/>
      <c r="CM631" s="138"/>
      <c r="CN631" s="138"/>
      <c r="CO631" s="138"/>
      <c r="CP631" s="138"/>
      <c r="CQ631" s="138"/>
      <c r="CR631" s="138"/>
      <c r="CS631" s="138"/>
      <c r="CT631" s="138"/>
      <c r="CU631" s="138"/>
      <c r="CV631" s="138"/>
      <c r="CW631" s="138"/>
      <c r="CX631" s="138"/>
      <c r="CY631" s="138"/>
      <c r="CZ631" s="138"/>
      <c r="DA631" s="138"/>
      <c r="DB631" s="138"/>
      <c r="DC631" s="138"/>
      <c r="DD631" s="138"/>
      <c r="DE631" s="138"/>
      <c r="DF631" s="138"/>
      <c r="DG631" s="1"/>
      <c r="DH631" s="55"/>
      <c r="DI631" s="53"/>
      <c r="DL631" s="54"/>
      <c r="DM631" s="54"/>
      <c r="DN631" s="54"/>
      <c r="DO631" s="54"/>
      <c r="DP631" s="54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L631" s="55"/>
      <c r="EM631" s="1"/>
      <c r="EN631" s="106"/>
      <c r="EO631" s="106"/>
      <c r="EP631" s="1"/>
      <c r="EQ631" s="106"/>
      <c r="ER631" s="1"/>
      <c r="ES631" s="1"/>
      <c r="ET631" s="1"/>
      <c r="EU631" s="107"/>
    </row>
    <row r="632" spans="9:151">
      <c r="I632" s="137"/>
      <c r="J632" s="138"/>
      <c r="K632" s="1"/>
      <c r="L632" s="1"/>
      <c r="Q632" s="1"/>
      <c r="R632" s="1"/>
      <c r="S632" s="106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55"/>
      <c r="AO632" s="106"/>
      <c r="AP632" s="106"/>
      <c r="AQ632" s="106"/>
      <c r="AR632" s="106"/>
      <c r="AS632" s="106"/>
      <c r="AT632" s="31"/>
      <c r="AU632" s="31"/>
      <c r="AV632" s="31"/>
      <c r="AW632" s="154"/>
      <c r="AX632" s="154"/>
      <c r="AY632" s="106"/>
      <c r="AZ632" s="106"/>
      <c r="BA632" s="106"/>
      <c r="BB632" s="106"/>
      <c r="BC632" s="106"/>
      <c r="BD632" s="106"/>
      <c r="BE632" s="107"/>
      <c r="BF632" s="105"/>
      <c r="BG632" s="105"/>
      <c r="BH632" s="105"/>
      <c r="BI632" s="108"/>
      <c r="BJ632" s="160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7"/>
      <c r="BY632" s="106"/>
      <c r="BZ632" s="107"/>
      <c r="CA632" s="107"/>
      <c r="CB632" s="107"/>
      <c r="CC632" s="107"/>
      <c r="CD632" s="107"/>
      <c r="CE632" s="107"/>
      <c r="CF632" s="107"/>
      <c r="CG632" s="107"/>
      <c r="CH632" s="106"/>
      <c r="CI632" s="106"/>
      <c r="CJ632" s="106"/>
      <c r="CK632" s="106"/>
      <c r="CL632" s="106"/>
      <c r="CM632" s="138"/>
      <c r="CN632" s="138"/>
      <c r="CO632" s="138"/>
      <c r="CP632" s="138"/>
      <c r="CQ632" s="138"/>
      <c r="CR632" s="138"/>
      <c r="CS632" s="138"/>
      <c r="CT632" s="138"/>
      <c r="CU632" s="138"/>
      <c r="CV632" s="138"/>
      <c r="CW632" s="138"/>
      <c r="CX632" s="138"/>
      <c r="CY632" s="138"/>
      <c r="CZ632" s="138"/>
      <c r="DA632" s="138"/>
      <c r="DB632" s="138"/>
      <c r="DC632" s="138"/>
      <c r="DD632" s="138"/>
      <c r="DE632" s="138"/>
      <c r="DF632" s="138"/>
      <c r="DG632" s="1"/>
      <c r="DH632" s="55"/>
      <c r="DI632" s="53"/>
      <c r="DL632" s="54"/>
      <c r="DM632" s="54"/>
      <c r="DN632" s="54"/>
      <c r="DO632" s="54"/>
      <c r="DP632" s="54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L632" s="55"/>
      <c r="EM632" s="1"/>
      <c r="EN632" s="106"/>
      <c r="EO632" s="106"/>
      <c r="EP632" s="1"/>
      <c r="EQ632" s="106"/>
      <c r="ER632" s="1"/>
      <c r="ES632" s="1"/>
      <c r="ET632" s="1"/>
      <c r="EU632" s="107"/>
    </row>
    <row r="633" spans="9:151">
      <c r="I633" s="137"/>
      <c r="J633" s="138"/>
      <c r="K633" s="1"/>
      <c r="L633" s="1"/>
      <c r="Q633" s="1"/>
      <c r="R633" s="1"/>
      <c r="S633" s="106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55"/>
      <c r="AO633" s="106"/>
      <c r="AP633" s="106"/>
      <c r="AQ633" s="106"/>
      <c r="AR633" s="106"/>
      <c r="AS633" s="106"/>
      <c r="AT633" s="31"/>
      <c r="AU633" s="31"/>
      <c r="AV633" s="31"/>
      <c r="AW633" s="154"/>
      <c r="AX633" s="154"/>
      <c r="AY633" s="106"/>
      <c r="AZ633" s="106"/>
      <c r="BA633" s="106"/>
      <c r="BB633" s="106"/>
      <c r="BC633" s="106"/>
      <c r="BD633" s="106"/>
      <c r="BE633" s="107"/>
      <c r="BF633" s="105"/>
      <c r="BG633" s="105"/>
      <c r="BH633" s="105"/>
      <c r="BI633" s="108"/>
      <c r="BJ633" s="160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7"/>
      <c r="BY633" s="106"/>
      <c r="BZ633" s="107"/>
      <c r="CA633" s="107"/>
      <c r="CB633" s="107"/>
      <c r="CC633" s="107"/>
      <c r="CD633" s="107"/>
      <c r="CE633" s="107"/>
      <c r="CF633" s="107"/>
      <c r="CG633" s="107"/>
      <c r="CH633" s="106"/>
      <c r="CI633" s="106"/>
      <c r="CJ633" s="106"/>
      <c r="CK633" s="106"/>
      <c r="CL633" s="106"/>
      <c r="CM633" s="138"/>
      <c r="CN633" s="138"/>
      <c r="CO633" s="138"/>
      <c r="CP633" s="138"/>
      <c r="CQ633" s="138"/>
      <c r="CR633" s="138"/>
      <c r="CS633" s="138"/>
      <c r="CT633" s="138"/>
      <c r="CU633" s="138"/>
      <c r="CV633" s="138"/>
      <c r="CW633" s="138"/>
      <c r="CX633" s="138"/>
      <c r="CY633" s="138"/>
      <c r="CZ633" s="138"/>
      <c r="DA633" s="138"/>
      <c r="DB633" s="138"/>
      <c r="DC633" s="138"/>
      <c r="DD633" s="138"/>
      <c r="DE633" s="138"/>
      <c r="DF633" s="138"/>
      <c r="DG633" s="1"/>
      <c r="DH633" s="55"/>
      <c r="DI633" s="53"/>
      <c r="DL633" s="54"/>
      <c r="DM633" s="54"/>
      <c r="DN633" s="54"/>
      <c r="DO633" s="54"/>
      <c r="DP633" s="54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L633" s="55"/>
      <c r="EM633" s="1"/>
      <c r="EN633" s="106"/>
      <c r="EO633" s="106"/>
      <c r="EP633" s="1"/>
      <c r="EQ633" s="106"/>
      <c r="ER633" s="1"/>
      <c r="ES633" s="1"/>
      <c r="ET633" s="1"/>
      <c r="EU633" s="107"/>
    </row>
    <row r="634" spans="9:151">
      <c r="I634" s="137"/>
      <c r="J634" s="138"/>
      <c r="K634" s="1"/>
      <c r="L634" s="1"/>
      <c r="Q634" s="1"/>
      <c r="R634" s="1"/>
      <c r="S634" s="106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55"/>
      <c r="AO634" s="106"/>
      <c r="AP634" s="106"/>
      <c r="AQ634" s="106"/>
      <c r="AR634" s="106"/>
      <c r="AS634" s="106"/>
      <c r="AT634" s="31"/>
      <c r="AU634" s="31"/>
      <c r="AV634" s="31"/>
      <c r="AW634" s="154"/>
      <c r="AX634" s="154"/>
      <c r="AY634" s="106"/>
      <c r="AZ634" s="106"/>
      <c r="BA634" s="106"/>
      <c r="BB634" s="106"/>
      <c r="BC634" s="106"/>
      <c r="BD634" s="106"/>
      <c r="BE634" s="107"/>
      <c r="BF634" s="105"/>
      <c r="BG634" s="105"/>
      <c r="BH634" s="105"/>
      <c r="BI634" s="108"/>
      <c r="BJ634" s="160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7"/>
      <c r="BY634" s="106"/>
      <c r="BZ634" s="107"/>
      <c r="CA634" s="107"/>
      <c r="CB634" s="107"/>
      <c r="CC634" s="107"/>
      <c r="CD634" s="107"/>
      <c r="CE634" s="107"/>
      <c r="CF634" s="107"/>
      <c r="CG634" s="107"/>
      <c r="CH634" s="106"/>
      <c r="CI634" s="106"/>
      <c r="CJ634" s="106"/>
      <c r="CK634" s="106"/>
      <c r="CL634" s="106"/>
      <c r="CM634" s="138"/>
      <c r="CN634" s="138"/>
      <c r="CO634" s="138"/>
      <c r="CP634" s="138"/>
      <c r="CQ634" s="138"/>
      <c r="CR634" s="138"/>
      <c r="CS634" s="138"/>
      <c r="CT634" s="138"/>
      <c r="CU634" s="138"/>
      <c r="CV634" s="138"/>
      <c r="CW634" s="138"/>
      <c r="CX634" s="138"/>
      <c r="CY634" s="138"/>
      <c r="CZ634" s="138"/>
      <c r="DA634" s="138"/>
      <c r="DB634" s="138"/>
      <c r="DC634" s="138"/>
      <c r="DD634" s="138"/>
      <c r="DE634" s="138"/>
      <c r="DF634" s="138"/>
      <c r="DG634" s="1"/>
      <c r="DH634" s="55"/>
      <c r="DI634" s="53"/>
      <c r="DL634" s="54"/>
      <c r="DM634" s="54"/>
      <c r="DN634" s="54"/>
      <c r="DO634" s="54"/>
      <c r="DP634" s="54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L634" s="55"/>
      <c r="EM634" s="1"/>
      <c r="EN634" s="106"/>
      <c r="EO634" s="106"/>
      <c r="EP634" s="1"/>
      <c r="EQ634" s="106"/>
      <c r="ER634" s="1"/>
      <c r="ES634" s="1"/>
      <c r="ET634" s="1"/>
      <c r="EU634" s="107"/>
    </row>
    <row r="635" spans="9:151">
      <c r="I635" s="137"/>
      <c r="J635" s="138"/>
      <c r="K635" s="1"/>
      <c r="L635" s="1"/>
      <c r="Q635" s="1"/>
      <c r="R635" s="1"/>
      <c r="S635" s="106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55"/>
      <c r="AO635" s="106"/>
      <c r="AP635" s="106"/>
      <c r="AQ635" s="106"/>
      <c r="AR635" s="106"/>
      <c r="AS635" s="106"/>
      <c r="AT635" s="31"/>
      <c r="AU635" s="31"/>
      <c r="AV635" s="31"/>
      <c r="AW635" s="154"/>
      <c r="AX635" s="154"/>
      <c r="AY635" s="106"/>
      <c r="AZ635" s="106"/>
      <c r="BA635" s="106"/>
      <c r="BB635" s="106"/>
      <c r="BC635" s="106"/>
      <c r="BD635" s="106"/>
      <c r="BE635" s="107"/>
      <c r="BF635" s="105"/>
      <c r="BG635" s="105"/>
      <c r="BH635" s="105"/>
      <c r="BI635" s="108"/>
      <c r="BJ635" s="160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7"/>
      <c r="BY635" s="106"/>
      <c r="BZ635" s="107"/>
      <c r="CA635" s="107"/>
      <c r="CB635" s="107"/>
      <c r="CC635" s="107"/>
      <c r="CD635" s="107"/>
      <c r="CE635" s="107"/>
      <c r="CF635" s="107"/>
      <c r="CG635" s="107"/>
      <c r="CH635" s="106"/>
      <c r="CI635" s="106"/>
      <c r="CJ635" s="106"/>
      <c r="CK635" s="106"/>
      <c r="CL635" s="106"/>
      <c r="CM635" s="138"/>
      <c r="CN635" s="138"/>
      <c r="CO635" s="138"/>
      <c r="CP635" s="138"/>
      <c r="CQ635" s="138"/>
      <c r="CR635" s="138"/>
      <c r="CS635" s="138"/>
      <c r="CT635" s="138"/>
      <c r="CU635" s="138"/>
      <c r="CV635" s="138"/>
      <c r="CW635" s="138"/>
      <c r="CX635" s="138"/>
      <c r="CY635" s="138"/>
      <c r="CZ635" s="138"/>
      <c r="DA635" s="138"/>
      <c r="DB635" s="138"/>
      <c r="DC635" s="138"/>
      <c r="DD635" s="138"/>
      <c r="DE635" s="138"/>
      <c r="DF635" s="138"/>
      <c r="DG635" s="1"/>
      <c r="DH635" s="55"/>
      <c r="DI635" s="53"/>
      <c r="DL635" s="54"/>
      <c r="DM635" s="54"/>
      <c r="DN635" s="54"/>
      <c r="DO635" s="54"/>
      <c r="DP635" s="54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L635" s="55"/>
      <c r="EM635" s="1"/>
      <c r="EN635" s="106"/>
      <c r="EO635" s="106"/>
      <c r="EP635" s="1"/>
      <c r="EQ635" s="106"/>
      <c r="ER635" s="1"/>
      <c r="ES635" s="1"/>
      <c r="ET635" s="1"/>
      <c r="EU635" s="107"/>
    </row>
    <row r="636" spans="9:151">
      <c r="I636" s="137"/>
      <c r="J636" s="138"/>
      <c r="K636" s="1"/>
      <c r="L636" s="1"/>
      <c r="Q636" s="1"/>
      <c r="R636" s="1"/>
      <c r="S636" s="106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55"/>
      <c r="AO636" s="106"/>
      <c r="AP636" s="106"/>
      <c r="AQ636" s="106"/>
      <c r="AR636" s="106"/>
      <c r="AS636" s="106"/>
      <c r="AT636" s="31"/>
      <c r="AU636" s="31"/>
      <c r="AV636" s="31"/>
      <c r="AW636" s="154"/>
      <c r="AX636" s="154"/>
      <c r="AY636" s="106"/>
      <c r="AZ636" s="106"/>
      <c r="BA636" s="106"/>
      <c r="BB636" s="106"/>
      <c r="BC636" s="106"/>
      <c r="BD636" s="106"/>
      <c r="BE636" s="107"/>
      <c r="BF636" s="105"/>
      <c r="BG636" s="105"/>
      <c r="BH636" s="105"/>
      <c r="BI636" s="108"/>
      <c r="BJ636" s="160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7"/>
      <c r="BY636" s="106"/>
      <c r="BZ636" s="107"/>
      <c r="CA636" s="107"/>
      <c r="CB636" s="107"/>
      <c r="CC636" s="107"/>
      <c r="CD636" s="107"/>
      <c r="CE636" s="107"/>
      <c r="CF636" s="107"/>
      <c r="CG636" s="107"/>
      <c r="CH636" s="106"/>
      <c r="CI636" s="106"/>
      <c r="CJ636" s="106"/>
      <c r="CK636" s="106"/>
      <c r="CL636" s="106"/>
      <c r="CM636" s="138"/>
      <c r="CN636" s="138"/>
      <c r="CO636" s="138"/>
      <c r="CP636" s="138"/>
      <c r="CQ636" s="138"/>
      <c r="CR636" s="138"/>
      <c r="CS636" s="138"/>
      <c r="CT636" s="138"/>
      <c r="CU636" s="138"/>
      <c r="CV636" s="138"/>
      <c r="CW636" s="138"/>
      <c r="CX636" s="138"/>
      <c r="CY636" s="138"/>
      <c r="CZ636" s="138"/>
      <c r="DA636" s="138"/>
      <c r="DB636" s="138"/>
      <c r="DC636" s="138"/>
      <c r="DD636" s="138"/>
      <c r="DE636" s="138"/>
      <c r="DF636" s="138"/>
      <c r="DG636" s="1"/>
      <c r="DH636" s="55"/>
      <c r="DI636" s="53"/>
      <c r="DL636" s="54"/>
      <c r="DM636" s="54"/>
      <c r="DN636" s="54"/>
      <c r="DO636" s="54"/>
      <c r="DP636" s="54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L636" s="55"/>
      <c r="EM636" s="1"/>
      <c r="EN636" s="106"/>
      <c r="EO636" s="106"/>
      <c r="EP636" s="1"/>
      <c r="EQ636" s="106"/>
      <c r="ER636" s="1"/>
      <c r="ES636" s="1"/>
      <c r="ET636" s="1"/>
      <c r="EU636" s="107"/>
    </row>
    <row r="637" spans="9:151">
      <c r="I637" s="137"/>
      <c r="J637" s="138"/>
      <c r="K637" s="1"/>
      <c r="L637" s="1"/>
      <c r="Q637" s="1"/>
      <c r="R637" s="1"/>
      <c r="S637" s="106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55"/>
      <c r="AO637" s="106"/>
      <c r="AP637" s="106"/>
      <c r="AQ637" s="106"/>
      <c r="AR637" s="106"/>
      <c r="AS637" s="106"/>
      <c r="AT637" s="31"/>
      <c r="AU637" s="31"/>
      <c r="AV637" s="31"/>
      <c r="AW637" s="154"/>
      <c r="AX637" s="154"/>
      <c r="AY637" s="106"/>
      <c r="AZ637" s="106"/>
      <c r="BA637" s="106"/>
      <c r="BB637" s="106"/>
      <c r="BC637" s="106"/>
      <c r="BD637" s="106"/>
      <c r="BE637" s="107"/>
      <c r="BF637" s="105"/>
      <c r="BG637" s="105"/>
      <c r="BH637" s="105"/>
      <c r="BI637" s="108"/>
      <c r="BJ637" s="160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7"/>
      <c r="BY637" s="106"/>
      <c r="BZ637" s="107"/>
      <c r="CA637" s="107"/>
      <c r="CB637" s="107"/>
      <c r="CC637" s="107"/>
      <c r="CD637" s="107"/>
      <c r="CE637" s="107"/>
      <c r="CF637" s="107"/>
      <c r="CG637" s="107"/>
      <c r="CH637" s="106"/>
      <c r="CI637" s="106"/>
      <c r="CJ637" s="106"/>
      <c r="CK637" s="106"/>
      <c r="CL637" s="106"/>
      <c r="CM637" s="138"/>
      <c r="CN637" s="138"/>
      <c r="CO637" s="138"/>
      <c r="CP637" s="138"/>
      <c r="CQ637" s="138"/>
      <c r="CR637" s="138"/>
      <c r="CS637" s="138"/>
      <c r="CT637" s="138"/>
      <c r="CU637" s="138"/>
      <c r="CV637" s="138"/>
      <c r="CW637" s="138"/>
      <c r="CX637" s="138"/>
      <c r="CY637" s="138"/>
      <c r="CZ637" s="138"/>
      <c r="DA637" s="138"/>
      <c r="DB637" s="138"/>
      <c r="DC637" s="138"/>
      <c r="DD637" s="138"/>
      <c r="DE637" s="138"/>
      <c r="DF637" s="138"/>
      <c r="DG637" s="1"/>
      <c r="DH637" s="55"/>
      <c r="DI637" s="53"/>
      <c r="DL637" s="54"/>
      <c r="DM637" s="54"/>
      <c r="DN637" s="54"/>
      <c r="DO637" s="54"/>
      <c r="DP637" s="54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L637" s="55"/>
      <c r="EM637" s="1"/>
      <c r="EN637" s="106"/>
      <c r="EO637" s="106"/>
      <c r="EP637" s="1"/>
      <c r="EQ637" s="106"/>
      <c r="ER637" s="1"/>
      <c r="ES637" s="1"/>
      <c r="ET637" s="1"/>
      <c r="EU637" s="107"/>
    </row>
    <row r="638" spans="9:151">
      <c r="I638" s="137"/>
      <c r="J638" s="138"/>
      <c r="K638" s="1"/>
      <c r="L638" s="1"/>
      <c r="Q638" s="1"/>
      <c r="R638" s="1"/>
      <c r="S638" s="106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55"/>
      <c r="AO638" s="106"/>
      <c r="AP638" s="106"/>
      <c r="AQ638" s="106"/>
      <c r="AR638" s="106"/>
      <c r="AS638" s="106"/>
      <c r="AT638" s="31"/>
      <c r="AU638" s="31"/>
      <c r="AV638" s="31"/>
      <c r="AW638" s="154"/>
      <c r="AX638" s="154"/>
      <c r="AY638" s="106"/>
      <c r="AZ638" s="106"/>
      <c r="BA638" s="106"/>
      <c r="BB638" s="106"/>
      <c r="BC638" s="106"/>
      <c r="BD638" s="106"/>
      <c r="BE638" s="107"/>
      <c r="BF638" s="105"/>
      <c r="BG638" s="105"/>
      <c r="BH638" s="105"/>
      <c r="BI638" s="108"/>
      <c r="BJ638" s="160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7"/>
      <c r="BY638" s="106"/>
      <c r="BZ638" s="107"/>
      <c r="CA638" s="107"/>
      <c r="CB638" s="107"/>
      <c r="CC638" s="107"/>
      <c r="CD638" s="107"/>
      <c r="CE638" s="107"/>
      <c r="CF638" s="107"/>
      <c r="CG638" s="107"/>
      <c r="CH638" s="106"/>
      <c r="CI638" s="106"/>
      <c r="CJ638" s="106"/>
      <c r="CK638" s="106"/>
      <c r="CL638" s="106"/>
      <c r="CM638" s="138"/>
      <c r="CN638" s="138"/>
      <c r="CO638" s="138"/>
      <c r="CP638" s="138"/>
      <c r="CQ638" s="138"/>
      <c r="CR638" s="138"/>
      <c r="CS638" s="138"/>
      <c r="CT638" s="138"/>
      <c r="CU638" s="138"/>
      <c r="CV638" s="138"/>
      <c r="CW638" s="138"/>
      <c r="CX638" s="138"/>
      <c r="CY638" s="138"/>
      <c r="CZ638" s="138"/>
      <c r="DA638" s="138"/>
      <c r="DB638" s="138"/>
      <c r="DC638" s="138"/>
      <c r="DD638" s="138"/>
      <c r="DE638" s="138"/>
      <c r="DF638" s="138"/>
      <c r="DG638" s="1"/>
      <c r="DH638" s="55"/>
      <c r="DI638" s="53"/>
      <c r="DL638" s="54"/>
      <c r="DM638" s="54"/>
      <c r="DN638" s="54"/>
      <c r="DO638" s="54"/>
      <c r="DP638" s="54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L638" s="55"/>
      <c r="EM638" s="1"/>
      <c r="EN638" s="106"/>
      <c r="EO638" s="106"/>
      <c r="EP638" s="1"/>
      <c r="EQ638" s="106"/>
      <c r="ER638" s="1"/>
      <c r="ES638" s="1"/>
      <c r="ET638" s="1"/>
      <c r="EU638" s="107"/>
    </row>
    <row r="639" spans="9:151">
      <c r="I639" s="137"/>
      <c r="J639" s="138"/>
      <c r="K639" s="1"/>
      <c r="L639" s="1"/>
      <c r="Q639" s="1"/>
      <c r="R639" s="1"/>
      <c r="S639" s="106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55"/>
      <c r="AO639" s="106"/>
      <c r="AP639" s="106"/>
      <c r="AQ639" s="106"/>
      <c r="AR639" s="106"/>
      <c r="AS639" s="106"/>
      <c r="AT639" s="31"/>
      <c r="AU639" s="31"/>
      <c r="AV639" s="31"/>
      <c r="AW639" s="154"/>
      <c r="AX639" s="154"/>
      <c r="AY639" s="106"/>
      <c r="AZ639" s="106"/>
      <c r="BA639" s="106"/>
      <c r="BB639" s="106"/>
      <c r="BC639" s="106"/>
      <c r="BD639" s="106"/>
      <c r="BE639" s="107"/>
      <c r="BF639" s="105"/>
      <c r="BG639" s="105"/>
      <c r="BH639" s="105"/>
      <c r="BI639" s="108"/>
      <c r="BJ639" s="160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7"/>
      <c r="BY639" s="106"/>
      <c r="BZ639" s="107"/>
      <c r="CA639" s="107"/>
      <c r="CB639" s="107"/>
      <c r="CC639" s="107"/>
      <c r="CD639" s="107"/>
      <c r="CE639" s="107"/>
      <c r="CF639" s="107"/>
      <c r="CG639" s="107"/>
      <c r="CH639" s="106"/>
      <c r="CI639" s="106"/>
      <c r="CJ639" s="106"/>
      <c r="CK639" s="106"/>
      <c r="CL639" s="106"/>
      <c r="CM639" s="138"/>
      <c r="CN639" s="138"/>
      <c r="CO639" s="138"/>
      <c r="CP639" s="138"/>
      <c r="CQ639" s="138"/>
      <c r="CR639" s="138"/>
      <c r="CS639" s="138"/>
      <c r="CT639" s="138"/>
      <c r="CU639" s="138"/>
      <c r="CV639" s="138"/>
      <c r="CW639" s="138"/>
      <c r="CX639" s="138"/>
      <c r="CY639" s="138"/>
      <c r="CZ639" s="138"/>
      <c r="DA639" s="138"/>
      <c r="DB639" s="138"/>
      <c r="DC639" s="138"/>
      <c r="DD639" s="138"/>
      <c r="DE639" s="138"/>
      <c r="DF639" s="138"/>
      <c r="DG639" s="1"/>
      <c r="DH639" s="55"/>
      <c r="DI639" s="53"/>
      <c r="DL639" s="54"/>
      <c r="DM639" s="54"/>
      <c r="DN639" s="54"/>
      <c r="DO639" s="54"/>
      <c r="DP639" s="54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L639" s="55"/>
      <c r="EM639" s="1"/>
      <c r="EN639" s="106"/>
      <c r="EO639" s="106"/>
      <c r="EP639" s="1"/>
      <c r="EQ639" s="106"/>
      <c r="ER639" s="1"/>
      <c r="ES639" s="1"/>
      <c r="ET639" s="1"/>
      <c r="EU639" s="107"/>
    </row>
    <row r="640" spans="9:151">
      <c r="I640" s="137"/>
      <c r="J640" s="138"/>
      <c r="K640" s="1"/>
      <c r="L640" s="1"/>
      <c r="Q640" s="1"/>
      <c r="R640" s="1"/>
      <c r="S640" s="106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55"/>
      <c r="AO640" s="106"/>
      <c r="AP640" s="106"/>
      <c r="AQ640" s="106"/>
      <c r="AR640" s="106"/>
      <c r="AS640" s="106"/>
      <c r="AT640" s="31"/>
      <c r="AU640" s="31"/>
      <c r="AV640" s="31"/>
      <c r="AW640" s="154"/>
      <c r="AX640" s="154"/>
      <c r="AY640" s="106"/>
      <c r="AZ640" s="106"/>
      <c r="BA640" s="106"/>
      <c r="BB640" s="106"/>
      <c r="BC640" s="106"/>
      <c r="BD640" s="106"/>
      <c r="BE640" s="107"/>
      <c r="BF640" s="105"/>
      <c r="BG640" s="105"/>
      <c r="BH640" s="105"/>
      <c r="BI640" s="108"/>
      <c r="BJ640" s="160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7"/>
      <c r="BY640" s="106"/>
      <c r="BZ640" s="107"/>
      <c r="CA640" s="107"/>
      <c r="CB640" s="107"/>
      <c r="CC640" s="107"/>
      <c r="CD640" s="107"/>
      <c r="CE640" s="107"/>
      <c r="CF640" s="107"/>
      <c r="CG640" s="107"/>
      <c r="CH640" s="106"/>
      <c r="CI640" s="106"/>
      <c r="CJ640" s="106"/>
      <c r="CK640" s="106"/>
      <c r="CL640" s="106"/>
      <c r="CM640" s="138"/>
      <c r="CN640" s="138"/>
      <c r="CO640" s="138"/>
      <c r="CP640" s="138"/>
      <c r="CQ640" s="138"/>
      <c r="CR640" s="138"/>
      <c r="CS640" s="138"/>
      <c r="CT640" s="138"/>
      <c r="CU640" s="138"/>
      <c r="CV640" s="138"/>
      <c r="CW640" s="138"/>
      <c r="CX640" s="138"/>
      <c r="CY640" s="138"/>
      <c r="CZ640" s="138"/>
      <c r="DA640" s="138"/>
      <c r="DB640" s="138"/>
      <c r="DC640" s="138"/>
      <c r="DD640" s="138"/>
      <c r="DE640" s="138"/>
      <c r="DF640" s="138"/>
      <c r="DG640" s="1"/>
      <c r="DH640" s="55"/>
      <c r="DI640" s="53"/>
      <c r="DL640" s="54"/>
      <c r="DM640" s="54"/>
      <c r="DN640" s="54"/>
      <c r="DO640" s="54"/>
      <c r="DP640" s="54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L640" s="55"/>
      <c r="EM640" s="1"/>
      <c r="EN640" s="106"/>
      <c r="EO640" s="106"/>
      <c r="EP640" s="1"/>
      <c r="EQ640" s="106"/>
      <c r="ER640" s="1"/>
      <c r="ES640" s="1"/>
      <c r="ET640" s="1"/>
      <c r="EU640" s="107"/>
    </row>
    <row r="641" spans="9:151">
      <c r="I641" s="137"/>
      <c r="J641" s="138"/>
      <c r="K641" s="1"/>
      <c r="L641" s="1"/>
      <c r="Q641" s="1"/>
      <c r="R641" s="1"/>
      <c r="S641" s="106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55"/>
      <c r="AO641" s="106"/>
      <c r="AP641" s="106"/>
      <c r="AQ641" s="106"/>
      <c r="AR641" s="106"/>
      <c r="AS641" s="106"/>
      <c r="AT641" s="31"/>
      <c r="AU641" s="31"/>
      <c r="AV641" s="31"/>
      <c r="AW641" s="154"/>
      <c r="AX641" s="154"/>
      <c r="AY641" s="106"/>
      <c r="AZ641" s="106"/>
      <c r="BA641" s="106"/>
      <c r="BB641" s="106"/>
      <c r="BC641" s="106"/>
      <c r="BD641" s="106"/>
      <c r="BE641" s="107"/>
      <c r="BF641" s="105"/>
      <c r="BG641" s="105"/>
      <c r="BH641" s="105"/>
      <c r="BI641" s="108"/>
      <c r="BJ641" s="160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7"/>
      <c r="BY641" s="106"/>
      <c r="BZ641" s="107"/>
      <c r="CA641" s="107"/>
      <c r="CB641" s="107"/>
      <c r="CC641" s="107"/>
      <c r="CD641" s="107"/>
      <c r="CE641" s="107"/>
      <c r="CF641" s="107"/>
      <c r="CG641" s="107"/>
      <c r="CH641" s="106"/>
      <c r="CI641" s="106"/>
      <c r="CJ641" s="106"/>
      <c r="CK641" s="106"/>
      <c r="CL641" s="106"/>
      <c r="CM641" s="138"/>
      <c r="CN641" s="138"/>
      <c r="CO641" s="138"/>
      <c r="CP641" s="138"/>
      <c r="CQ641" s="138"/>
      <c r="CR641" s="138"/>
      <c r="CS641" s="138"/>
      <c r="CT641" s="138"/>
      <c r="CU641" s="138"/>
      <c r="CV641" s="138"/>
      <c r="CW641" s="138"/>
      <c r="CX641" s="138"/>
      <c r="CY641" s="138"/>
      <c r="CZ641" s="138"/>
      <c r="DA641" s="138"/>
      <c r="DB641" s="138"/>
      <c r="DC641" s="138"/>
      <c r="DD641" s="138"/>
      <c r="DE641" s="138"/>
      <c r="DF641" s="138"/>
      <c r="DG641" s="1"/>
      <c r="DH641" s="55"/>
      <c r="DI641" s="53"/>
      <c r="DL641" s="54"/>
      <c r="DM641" s="54"/>
      <c r="DN641" s="54"/>
      <c r="DO641" s="54"/>
      <c r="DP641" s="54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L641" s="55"/>
      <c r="EM641" s="1"/>
      <c r="EN641" s="106"/>
      <c r="EO641" s="106"/>
      <c r="EP641" s="1"/>
      <c r="EQ641" s="106"/>
      <c r="ER641" s="1"/>
      <c r="ES641" s="1"/>
      <c r="ET641" s="1"/>
      <c r="EU641" s="107"/>
    </row>
    <row r="642" spans="9:151">
      <c r="I642" s="137"/>
      <c r="J642" s="138"/>
      <c r="K642" s="1"/>
      <c r="L642" s="1"/>
      <c r="Q642" s="1"/>
      <c r="R642" s="1"/>
      <c r="S642" s="106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55"/>
      <c r="AO642" s="106"/>
      <c r="AP642" s="106"/>
      <c r="AQ642" s="106"/>
      <c r="AR642" s="106"/>
      <c r="AS642" s="106"/>
      <c r="AT642" s="31"/>
      <c r="AU642" s="31"/>
      <c r="AV642" s="31"/>
      <c r="AW642" s="154"/>
      <c r="AX642" s="154"/>
      <c r="AY642" s="106"/>
      <c r="AZ642" s="106"/>
      <c r="BA642" s="106"/>
      <c r="BB642" s="106"/>
      <c r="BC642" s="106"/>
      <c r="BD642" s="106"/>
      <c r="BE642" s="107"/>
      <c r="BF642" s="105"/>
      <c r="BG642" s="105"/>
      <c r="BH642" s="105"/>
      <c r="BI642" s="108"/>
      <c r="BJ642" s="160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7"/>
      <c r="BY642" s="106"/>
      <c r="BZ642" s="107"/>
      <c r="CA642" s="107"/>
      <c r="CB642" s="107"/>
      <c r="CC642" s="107"/>
      <c r="CD642" s="107"/>
      <c r="CE642" s="107"/>
      <c r="CF642" s="107"/>
      <c r="CG642" s="107"/>
      <c r="CH642" s="106"/>
      <c r="CI642" s="106"/>
      <c r="CJ642" s="106"/>
      <c r="CK642" s="106"/>
      <c r="CL642" s="106"/>
      <c r="CM642" s="138"/>
      <c r="CN642" s="138"/>
      <c r="CO642" s="138"/>
      <c r="CP642" s="138"/>
      <c r="CQ642" s="138"/>
      <c r="CR642" s="138"/>
      <c r="CS642" s="138"/>
      <c r="CT642" s="138"/>
      <c r="CU642" s="138"/>
      <c r="CV642" s="138"/>
      <c r="CW642" s="138"/>
      <c r="CX642" s="138"/>
      <c r="CY642" s="138"/>
      <c r="CZ642" s="138"/>
      <c r="DA642" s="138"/>
      <c r="DB642" s="138"/>
      <c r="DC642" s="138"/>
      <c r="DD642" s="138"/>
      <c r="DE642" s="138"/>
      <c r="DF642" s="138"/>
      <c r="DG642" s="1"/>
      <c r="DH642" s="55"/>
      <c r="DI642" s="53"/>
      <c r="DL642" s="54"/>
      <c r="DM642" s="54"/>
      <c r="DN642" s="54"/>
      <c r="DO642" s="54"/>
      <c r="DP642" s="54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L642" s="55"/>
      <c r="EM642" s="1"/>
      <c r="EN642" s="106"/>
      <c r="EO642" s="106"/>
      <c r="EP642" s="1"/>
      <c r="EQ642" s="106"/>
      <c r="ER642" s="1"/>
      <c r="ES642" s="1"/>
      <c r="ET642" s="1"/>
      <c r="EU642" s="107"/>
    </row>
    <row r="643" spans="9:151">
      <c r="I643" s="137"/>
      <c r="J643" s="138"/>
      <c r="K643" s="1"/>
      <c r="L643" s="1"/>
      <c r="Q643" s="1"/>
      <c r="R643" s="1"/>
      <c r="S643" s="106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55"/>
      <c r="AO643" s="106"/>
      <c r="AP643" s="106"/>
      <c r="AQ643" s="106"/>
      <c r="AR643" s="106"/>
      <c r="AS643" s="106"/>
      <c r="AT643" s="31"/>
      <c r="AU643" s="31"/>
      <c r="AV643" s="31"/>
      <c r="AW643" s="154"/>
      <c r="AX643" s="154"/>
      <c r="AY643" s="106"/>
      <c r="AZ643" s="106"/>
      <c r="BA643" s="106"/>
      <c r="BB643" s="106"/>
      <c r="BC643" s="106"/>
      <c r="BD643" s="106"/>
      <c r="BE643" s="107"/>
      <c r="BF643" s="105"/>
      <c r="BG643" s="105"/>
      <c r="BH643" s="105"/>
      <c r="BI643" s="108"/>
      <c r="BJ643" s="160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7"/>
      <c r="BY643" s="106"/>
      <c r="BZ643" s="107"/>
      <c r="CA643" s="107"/>
      <c r="CB643" s="107"/>
      <c r="CC643" s="107"/>
      <c r="CD643" s="107"/>
      <c r="CE643" s="107"/>
      <c r="CF643" s="107"/>
      <c r="CG643" s="107"/>
      <c r="CH643" s="106"/>
      <c r="CI643" s="106"/>
      <c r="CJ643" s="106"/>
      <c r="CK643" s="106"/>
      <c r="CL643" s="106"/>
      <c r="CM643" s="138"/>
      <c r="CN643" s="138"/>
      <c r="CO643" s="138"/>
      <c r="CP643" s="138"/>
      <c r="CQ643" s="138"/>
      <c r="CR643" s="138"/>
      <c r="CS643" s="138"/>
      <c r="CT643" s="138"/>
      <c r="CU643" s="138"/>
      <c r="CV643" s="138"/>
      <c r="CW643" s="138"/>
      <c r="CX643" s="138"/>
      <c r="CY643" s="138"/>
      <c r="CZ643" s="138"/>
      <c r="DA643" s="138"/>
      <c r="DB643" s="138"/>
      <c r="DC643" s="138"/>
      <c r="DD643" s="138"/>
      <c r="DE643" s="138"/>
      <c r="DF643" s="138"/>
      <c r="DG643" s="1"/>
      <c r="DH643" s="55"/>
      <c r="DI643" s="53"/>
      <c r="DL643" s="54"/>
      <c r="DM643" s="54"/>
      <c r="DN643" s="54"/>
      <c r="DO643" s="54"/>
      <c r="DP643" s="54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L643" s="55"/>
      <c r="EM643" s="1"/>
      <c r="EN643" s="106"/>
      <c r="EO643" s="106"/>
      <c r="EP643" s="1"/>
      <c r="EQ643" s="106"/>
      <c r="ER643" s="1"/>
      <c r="ES643" s="1"/>
      <c r="ET643" s="1"/>
      <c r="EU643" s="107"/>
    </row>
    <row r="644" spans="9:151">
      <c r="I644" s="137"/>
      <c r="J644" s="138"/>
      <c r="K644" s="1"/>
      <c r="L644" s="1"/>
      <c r="Q644" s="1"/>
      <c r="R644" s="1"/>
      <c r="S644" s="106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55"/>
      <c r="AO644" s="106"/>
      <c r="AP644" s="106"/>
      <c r="AQ644" s="106"/>
      <c r="AR644" s="106"/>
      <c r="AS644" s="106"/>
      <c r="AT644" s="31"/>
      <c r="AU644" s="31"/>
      <c r="AV644" s="31"/>
      <c r="AW644" s="154"/>
      <c r="AX644" s="154"/>
      <c r="AY644" s="106"/>
      <c r="AZ644" s="106"/>
      <c r="BA644" s="106"/>
      <c r="BB644" s="106"/>
      <c r="BC644" s="106"/>
      <c r="BD644" s="106"/>
      <c r="BE644" s="107"/>
      <c r="BF644" s="105"/>
      <c r="BG644" s="105"/>
      <c r="BH644" s="105"/>
      <c r="BI644" s="108"/>
      <c r="BJ644" s="160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7"/>
      <c r="BY644" s="106"/>
      <c r="BZ644" s="107"/>
      <c r="CA644" s="107"/>
      <c r="CB644" s="107"/>
      <c r="CC644" s="107"/>
      <c r="CD644" s="107"/>
      <c r="CE644" s="107"/>
      <c r="CF644" s="107"/>
      <c r="CG644" s="107"/>
      <c r="CH644" s="106"/>
      <c r="CI644" s="106"/>
      <c r="CJ644" s="106"/>
      <c r="CK644" s="106"/>
      <c r="CL644" s="106"/>
      <c r="CM644" s="138"/>
      <c r="CN644" s="138"/>
      <c r="CO644" s="138"/>
      <c r="CP644" s="138"/>
      <c r="CQ644" s="138"/>
      <c r="CR644" s="138"/>
      <c r="CS644" s="138"/>
      <c r="CT644" s="138"/>
      <c r="CU644" s="138"/>
      <c r="CV644" s="138"/>
      <c r="CW644" s="138"/>
      <c r="CX644" s="138"/>
      <c r="CY644" s="138"/>
      <c r="CZ644" s="138"/>
      <c r="DA644" s="138"/>
      <c r="DB644" s="138"/>
      <c r="DC644" s="138"/>
      <c r="DD644" s="138"/>
      <c r="DE644" s="138"/>
      <c r="DF644" s="138"/>
      <c r="DG644" s="1"/>
      <c r="DH644" s="55"/>
      <c r="DI644" s="53"/>
      <c r="DL644" s="54"/>
      <c r="DM644" s="54"/>
      <c r="DN644" s="54"/>
      <c r="DO644" s="54"/>
      <c r="DP644" s="54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L644" s="55"/>
      <c r="EM644" s="1"/>
      <c r="EN644" s="106"/>
      <c r="EO644" s="106"/>
      <c r="EP644" s="1"/>
      <c r="EQ644" s="106"/>
      <c r="ER644" s="1"/>
      <c r="ES644" s="1"/>
      <c r="ET644" s="1"/>
      <c r="EU644" s="107"/>
    </row>
    <row r="645" spans="9:151">
      <c r="I645" s="137"/>
      <c r="J645" s="138"/>
      <c r="K645" s="1"/>
      <c r="L645" s="1"/>
      <c r="Q645" s="1"/>
      <c r="R645" s="1"/>
      <c r="S645" s="106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55"/>
      <c r="AO645" s="106"/>
      <c r="AP645" s="106"/>
      <c r="AQ645" s="106"/>
      <c r="AR645" s="106"/>
      <c r="AS645" s="106"/>
      <c r="AT645" s="31"/>
      <c r="AU645" s="31"/>
      <c r="AV645" s="31"/>
      <c r="AW645" s="154"/>
      <c r="AX645" s="154"/>
      <c r="AY645" s="106"/>
      <c r="AZ645" s="106"/>
      <c r="BA645" s="106"/>
      <c r="BB645" s="106"/>
      <c r="BC645" s="106"/>
      <c r="BD645" s="106"/>
      <c r="BE645" s="107"/>
      <c r="BF645" s="105"/>
      <c r="BG645" s="105"/>
      <c r="BH645" s="105"/>
      <c r="BI645" s="108"/>
      <c r="BJ645" s="160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7"/>
      <c r="BY645" s="106"/>
      <c r="BZ645" s="107"/>
      <c r="CA645" s="107"/>
      <c r="CB645" s="107"/>
      <c r="CC645" s="107"/>
      <c r="CD645" s="107"/>
      <c r="CE645" s="107"/>
      <c r="CF645" s="107"/>
      <c r="CG645" s="107"/>
      <c r="CH645" s="106"/>
      <c r="CI645" s="106"/>
      <c r="CJ645" s="106"/>
      <c r="CK645" s="106"/>
      <c r="CL645" s="106"/>
      <c r="CM645" s="138"/>
      <c r="CN645" s="138"/>
      <c r="CO645" s="138"/>
      <c r="CP645" s="138"/>
      <c r="CQ645" s="138"/>
      <c r="CR645" s="138"/>
      <c r="CS645" s="138"/>
      <c r="CT645" s="138"/>
      <c r="CU645" s="138"/>
      <c r="CV645" s="138"/>
      <c r="CW645" s="138"/>
      <c r="CX645" s="138"/>
      <c r="CY645" s="138"/>
      <c r="CZ645" s="138"/>
      <c r="DA645" s="138"/>
      <c r="DB645" s="138"/>
      <c r="DC645" s="138"/>
      <c r="DD645" s="138"/>
      <c r="DE645" s="138"/>
      <c r="DF645" s="138"/>
      <c r="DG645" s="1"/>
      <c r="DH645" s="55"/>
      <c r="DI645" s="53"/>
      <c r="DL645" s="54"/>
      <c r="DM645" s="54"/>
      <c r="DN645" s="54"/>
      <c r="DO645" s="54"/>
      <c r="DP645" s="54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L645" s="55"/>
      <c r="EM645" s="1"/>
      <c r="EN645" s="106"/>
      <c r="EO645" s="106"/>
      <c r="EP645" s="1"/>
      <c r="EQ645" s="106"/>
      <c r="ER645" s="1"/>
      <c r="ES645" s="1"/>
      <c r="ET645" s="1"/>
      <c r="EU645" s="107"/>
    </row>
    <row r="646" spans="9:151">
      <c r="I646" s="137"/>
      <c r="J646" s="138"/>
      <c r="K646" s="1"/>
      <c r="L646" s="1"/>
      <c r="Q646" s="1"/>
      <c r="R646" s="1"/>
      <c r="S646" s="106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55"/>
      <c r="AO646" s="106"/>
      <c r="AP646" s="106"/>
      <c r="AQ646" s="106"/>
      <c r="AR646" s="106"/>
      <c r="AS646" s="106"/>
      <c r="AT646" s="31"/>
      <c r="AU646" s="31"/>
      <c r="AV646" s="31"/>
      <c r="AW646" s="154"/>
      <c r="AX646" s="154"/>
      <c r="AY646" s="106"/>
      <c r="AZ646" s="106"/>
      <c r="BA646" s="106"/>
      <c r="BB646" s="106"/>
      <c r="BC646" s="106"/>
      <c r="BD646" s="106"/>
      <c r="BE646" s="107"/>
      <c r="BF646" s="105"/>
      <c r="BG646" s="105"/>
      <c r="BH646" s="105"/>
      <c r="BI646" s="108"/>
      <c r="BJ646" s="160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7"/>
      <c r="BY646" s="106"/>
      <c r="BZ646" s="107"/>
      <c r="CA646" s="107"/>
      <c r="CB646" s="107"/>
      <c r="CC646" s="107"/>
      <c r="CD646" s="107"/>
      <c r="CE646" s="107"/>
      <c r="CF646" s="107"/>
      <c r="CG646" s="107"/>
      <c r="CH646" s="106"/>
      <c r="CI646" s="106"/>
      <c r="CJ646" s="106"/>
      <c r="CK646" s="106"/>
      <c r="CL646" s="106"/>
      <c r="CM646" s="138"/>
      <c r="CN646" s="138"/>
      <c r="CO646" s="138"/>
      <c r="CP646" s="138"/>
      <c r="CQ646" s="138"/>
      <c r="CR646" s="138"/>
      <c r="CS646" s="138"/>
      <c r="CT646" s="138"/>
      <c r="CU646" s="138"/>
      <c r="CV646" s="138"/>
      <c r="CW646" s="138"/>
      <c r="CX646" s="138"/>
      <c r="CY646" s="138"/>
      <c r="CZ646" s="138"/>
      <c r="DA646" s="138"/>
      <c r="DB646" s="138"/>
      <c r="DC646" s="138"/>
      <c r="DD646" s="138"/>
      <c r="DE646" s="138"/>
      <c r="DF646" s="138"/>
      <c r="DG646" s="1"/>
      <c r="DH646" s="55"/>
      <c r="DI646" s="53"/>
      <c r="DL646" s="54"/>
      <c r="DM646" s="54"/>
      <c r="DN646" s="54"/>
      <c r="DO646" s="54"/>
      <c r="DP646" s="54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L646" s="55"/>
      <c r="EM646" s="1"/>
      <c r="EN646" s="106"/>
      <c r="EO646" s="106"/>
      <c r="EP646" s="1"/>
      <c r="EQ646" s="106"/>
      <c r="ER646" s="1"/>
      <c r="ES646" s="1"/>
      <c r="ET646" s="1"/>
      <c r="EU646" s="107"/>
    </row>
    <row r="647" spans="9:151">
      <c r="I647" s="137"/>
      <c r="J647" s="138"/>
      <c r="K647" s="1"/>
      <c r="L647" s="1"/>
      <c r="Q647" s="1"/>
      <c r="R647" s="1"/>
      <c r="S647" s="106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55"/>
      <c r="AO647" s="106"/>
      <c r="AP647" s="106"/>
      <c r="AQ647" s="106"/>
      <c r="AR647" s="106"/>
      <c r="AS647" s="106"/>
      <c r="AT647" s="31"/>
      <c r="AU647" s="31"/>
      <c r="AV647" s="31"/>
      <c r="AW647" s="154"/>
      <c r="AX647" s="154"/>
      <c r="AY647" s="106"/>
      <c r="AZ647" s="106"/>
      <c r="BA647" s="106"/>
      <c r="BB647" s="106"/>
      <c r="BC647" s="106"/>
      <c r="BD647" s="106"/>
      <c r="BE647" s="107"/>
      <c r="BF647" s="105"/>
      <c r="BG647" s="105"/>
      <c r="BH647" s="105"/>
      <c r="BI647" s="108"/>
      <c r="BJ647" s="160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7"/>
      <c r="BY647" s="106"/>
      <c r="BZ647" s="107"/>
      <c r="CA647" s="107"/>
      <c r="CB647" s="107"/>
      <c r="CC647" s="107"/>
      <c r="CD647" s="107"/>
      <c r="CE647" s="107"/>
      <c r="CF647" s="107"/>
      <c r="CG647" s="107"/>
      <c r="CH647" s="106"/>
      <c r="CI647" s="106"/>
      <c r="CJ647" s="106"/>
      <c r="CK647" s="106"/>
      <c r="CL647" s="106"/>
      <c r="CM647" s="138"/>
      <c r="CN647" s="138"/>
      <c r="CO647" s="138"/>
      <c r="CP647" s="138"/>
      <c r="CQ647" s="138"/>
      <c r="CR647" s="138"/>
      <c r="CS647" s="138"/>
      <c r="CT647" s="138"/>
      <c r="CU647" s="138"/>
      <c r="CV647" s="138"/>
      <c r="CW647" s="138"/>
      <c r="CX647" s="138"/>
      <c r="CY647" s="138"/>
      <c r="CZ647" s="138"/>
      <c r="DA647" s="138"/>
      <c r="DB647" s="138"/>
      <c r="DC647" s="138"/>
      <c r="DD647" s="138"/>
      <c r="DE647" s="138"/>
      <c r="DF647" s="138"/>
      <c r="DG647" s="1"/>
      <c r="DH647" s="55"/>
      <c r="DI647" s="53"/>
      <c r="DL647" s="54"/>
      <c r="DM647" s="54"/>
      <c r="DN647" s="54"/>
      <c r="DO647" s="54"/>
      <c r="DP647" s="54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L647" s="55"/>
      <c r="EM647" s="1"/>
      <c r="EN647" s="106"/>
      <c r="EO647" s="106"/>
      <c r="EP647" s="1"/>
      <c r="EQ647" s="106"/>
      <c r="ER647" s="1"/>
      <c r="ES647" s="1"/>
      <c r="ET647" s="1"/>
      <c r="EU647" s="107"/>
    </row>
    <row r="648" spans="9:151">
      <c r="I648" s="137"/>
      <c r="J648" s="138"/>
      <c r="K648" s="1"/>
      <c r="L648" s="1"/>
      <c r="Q648" s="1"/>
      <c r="R648" s="1"/>
      <c r="S648" s="106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55"/>
      <c r="AO648" s="106"/>
      <c r="AP648" s="106"/>
      <c r="AQ648" s="106"/>
      <c r="AR648" s="106"/>
      <c r="AS648" s="106"/>
      <c r="AT648" s="31"/>
      <c r="AU648" s="31"/>
      <c r="AV648" s="31"/>
      <c r="AW648" s="154"/>
      <c r="AX648" s="154"/>
      <c r="AY648" s="106"/>
      <c r="AZ648" s="106"/>
      <c r="BA648" s="106"/>
      <c r="BB648" s="106"/>
      <c r="BC648" s="106"/>
      <c r="BD648" s="106"/>
      <c r="BE648" s="107"/>
      <c r="BF648" s="105"/>
      <c r="BG648" s="105"/>
      <c r="BH648" s="105"/>
      <c r="BI648" s="108"/>
      <c r="BJ648" s="160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7"/>
      <c r="BY648" s="106"/>
      <c r="BZ648" s="107"/>
      <c r="CA648" s="107"/>
      <c r="CB648" s="107"/>
      <c r="CC648" s="107"/>
      <c r="CD648" s="107"/>
      <c r="CE648" s="107"/>
      <c r="CF648" s="107"/>
      <c r="CG648" s="107"/>
      <c r="CH648" s="106"/>
      <c r="CI648" s="106"/>
      <c r="CJ648" s="106"/>
      <c r="CK648" s="106"/>
      <c r="CL648" s="106"/>
      <c r="CM648" s="138"/>
      <c r="CN648" s="138"/>
      <c r="CO648" s="138"/>
      <c r="CP648" s="138"/>
      <c r="CQ648" s="138"/>
      <c r="CR648" s="138"/>
      <c r="CS648" s="138"/>
      <c r="CT648" s="138"/>
      <c r="CU648" s="138"/>
      <c r="CV648" s="138"/>
      <c r="CW648" s="138"/>
      <c r="CX648" s="138"/>
      <c r="CY648" s="138"/>
      <c r="CZ648" s="138"/>
      <c r="DA648" s="138"/>
      <c r="DB648" s="138"/>
      <c r="DC648" s="138"/>
      <c r="DD648" s="138"/>
      <c r="DE648" s="138"/>
      <c r="DF648" s="138"/>
      <c r="DG648" s="1"/>
      <c r="DH648" s="55"/>
      <c r="DI648" s="53"/>
      <c r="DL648" s="54"/>
      <c r="DM648" s="54"/>
      <c r="DN648" s="54"/>
      <c r="DO648" s="54"/>
      <c r="DP648" s="54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L648" s="55"/>
      <c r="EM648" s="1"/>
      <c r="EN648" s="106"/>
      <c r="EO648" s="106"/>
      <c r="EP648" s="1"/>
      <c r="EQ648" s="106"/>
      <c r="ER648" s="1"/>
      <c r="ES648" s="1"/>
      <c r="ET648" s="1"/>
      <c r="EU648" s="107"/>
    </row>
    <row r="649" spans="9:151">
      <c r="I649" s="137"/>
      <c r="J649" s="138"/>
      <c r="K649" s="1"/>
      <c r="L649" s="1"/>
      <c r="Q649" s="1"/>
      <c r="R649" s="1"/>
      <c r="S649" s="106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55"/>
      <c r="AO649" s="106"/>
      <c r="AP649" s="106"/>
      <c r="AQ649" s="106"/>
      <c r="AR649" s="106"/>
      <c r="AS649" s="106"/>
      <c r="AT649" s="31"/>
      <c r="AU649" s="31"/>
      <c r="AV649" s="31"/>
      <c r="AW649" s="154"/>
      <c r="AX649" s="154"/>
      <c r="AY649" s="106"/>
      <c r="AZ649" s="106"/>
      <c r="BA649" s="106"/>
      <c r="BB649" s="106"/>
      <c r="BC649" s="106"/>
      <c r="BD649" s="106"/>
      <c r="BE649" s="107"/>
      <c r="BF649" s="105"/>
      <c r="BG649" s="105"/>
      <c r="BH649" s="105"/>
      <c r="BI649" s="108"/>
      <c r="BJ649" s="160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7"/>
      <c r="BY649" s="106"/>
      <c r="BZ649" s="107"/>
      <c r="CA649" s="107"/>
      <c r="CB649" s="107"/>
      <c r="CC649" s="107"/>
      <c r="CD649" s="107"/>
      <c r="CE649" s="107"/>
      <c r="CF649" s="107"/>
      <c r="CG649" s="107"/>
      <c r="CH649" s="106"/>
      <c r="CI649" s="106"/>
      <c r="CJ649" s="106"/>
      <c r="CK649" s="106"/>
      <c r="CL649" s="106"/>
      <c r="CM649" s="138"/>
      <c r="CN649" s="138"/>
      <c r="CO649" s="138"/>
      <c r="CP649" s="138"/>
      <c r="CQ649" s="138"/>
      <c r="CR649" s="138"/>
      <c r="CS649" s="138"/>
      <c r="CT649" s="138"/>
      <c r="CU649" s="138"/>
      <c r="CV649" s="138"/>
      <c r="CW649" s="138"/>
      <c r="CX649" s="138"/>
      <c r="CY649" s="138"/>
      <c r="CZ649" s="138"/>
      <c r="DA649" s="138"/>
      <c r="DB649" s="138"/>
      <c r="DC649" s="138"/>
      <c r="DD649" s="138"/>
      <c r="DE649" s="138"/>
      <c r="DF649" s="138"/>
      <c r="DG649" s="1"/>
      <c r="DH649" s="55"/>
      <c r="DI649" s="53"/>
      <c r="DL649" s="54"/>
      <c r="DM649" s="54"/>
      <c r="DN649" s="54"/>
      <c r="DO649" s="54"/>
      <c r="DP649" s="54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L649" s="55"/>
      <c r="EM649" s="1"/>
      <c r="EN649" s="106"/>
      <c r="EO649" s="106"/>
      <c r="EP649" s="1"/>
      <c r="EQ649" s="106"/>
      <c r="ER649" s="1"/>
      <c r="ES649" s="1"/>
      <c r="ET649" s="1"/>
      <c r="EU649" s="107"/>
    </row>
    <row r="650" spans="9:151">
      <c r="I650" s="137"/>
      <c r="J650" s="138"/>
      <c r="K650" s="1"/>
      <c r="L650" s="1"/>
      <c r="Q650" s="1"/>
      <c r="R650" s="1"/>
      <c r="S650" s="106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55"/>
      <c r="AO650" s="106"/>
      <c r="AP650" s="106"/>
      <c r="AQ650" s="106"/>
      <c r="AR650" s="106"/>
      <c r="AS650" s="106"/>
      <c r="AT650" s="31"/>
      <c r="AU650" s="31"/>
      <c r="AV650" s="31"/>
      <c r="AW650" s="154"/>
      <c r="AX650" s="154"/>
      <c r="AY650" s="106"/>
      <c r="AZ650" s="106"/>
      <c r="BA650" s="106"/>
      <c r="BB650" s="106"/>
      <c r="BC650" s="106"/>
      <c r="BD650" s="106"/>
      <c r="BE650" s="107"/>
      <c r="BF650" s="105"/>
      <c r="BG650" s="105"/>
      <c r="BH650" s="105"/>
      <c r="BI650" s="108"/>
      <c r="BJ650" s="160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7"/>
      <c r="BY650" s="106"/>
      <c r="BZ650" s="107"/>
      <c r="CA650" s="107"/>
      <c r="CB650" s="107"/>
      <c r="CC650" s="107"/>
      <c r="CD650" s="107"/>
      <c r="CE650" s="107"/>
      <c r="CF650" s="107"/>
      <c r="CG650" s="107"/>
      <c r="CH650" s="106"/>
      <c r="CI650" s="106"/>
      <c r="CJ650" s="106"/>
      <c r="CK650" s="106"/>
      <c r="CL650" s="106"/>
      <c r="CM650" s="138"/>
      <c r="CN650" s="138"/>
      <c r="CO650" s="138"/>
      <c r="CP650" s="138"/>
      <c r="CQ650" s="138"/>
      <c r="CR650" s="138"/>
      <c r="CS650" s="138"/>
      <c r="CT650" s="138"/>
      <c r="CU650" s="138"/>
      <c r="CV650" s="138"/>
      <c r="CW650" s="138"/>
      <c r="CX650" s="138"/>
      <c r="CY650" s="138"/>
      <c r="CZ650" s="138"/>
      <c r="DA650" s="138"/>
      <c r="DB650" s="138"/>
      <c r="DC650" s="138"/>
      <c r="DD650" s="138"/>
      <c r="DE650" s="138"/>
      <c r="DF650" s="138"/>
      <c r="DG650" s="1"/>
      <c r="DH650" s="55"/>
      <c r="DI650" s="53"/>
      <c r="DL650" s="54"/>
      <c r="DM650" s="54"/>
      <c r="DN650" s="54"/>
      <c r="DO650" s="54"/>
      <c r="DP650" s="54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L650" s="55"/>
      <c r="EM650" s="1"/>
      <c r="EN650" s="106"/>
      <c r="EO650" s="106"/>
      <c r="EP650" s="1"/>
      <c r="EQ650" s="106"/>
      <c r="ER650" s="1"/>
      <c r="ES650" s="1"/>
      <c r="ET650" s="1"/>
      <c r="EU650" s="107"/>
    </row>
    <row r="651" spans="9:151">
      <c r="I651" s="137"/>
      <c r="J651" s="138"/>
      <c r="K651" s="1"/>
      <c r="L651" s="1"/>
      <c r="Q651" s="1"/>
      <c r="R651" s="1"/>
      <c r="S651" s="106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55"/>
      <c r="AO651" s="106"/>
      <c r="AP651" s="106"/>
      <c r="AQ651" s="106"/>
      <c r="AR651" s="106"/>
      <c r="AS651" s="106"/>
      <c r="AT651" s="31"/>
      <c r="AU651" s="31"/>
      <c r="AV651" s="31"/>
      <c r="AW651" s="154"/>
      <c r="AX651" s="154"/>
      <c r="AY651" s="106"/>
      <c r="AZ651" s="106"/>
      <c r="BA651" s="106"/>
      <c r="BB651" s="106"/>
      <c r="BC651" s="106"/>
      <c r="BD651" s="106"/>
      <c r="BE651" s="107"/>
      <c r="BF651" s="105"/>
      <c r="BG651" s="105"/>
      <c r="BH651" s="105"/>
      <c r="BI651" s="108"/>
      <c r="BJ651" s="160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7"/>
      <c r="BY651" s="106"/>
      <c r="BZ651" s="107"/>
      <c r="CA651" s="107"/>
      <c r="CB651" s="107"/>
      <c r="CC651" s="107"/>
      <c r="CD651" s="107"/>
      <c r="CE651" s="107"/>
      <c r="CF651" s="107"/>
      <c r="CG651" s="107"/>
      <c r="CH651" s="106"/>
      <c r="CI651" s="106"/>
      <c r="CJ651" s="106"/>
      <c r="CK651" s="106"/>
      <c r="CL651" s="106"/>
      <c r="CM651" s="138"/>
      <c r="CN651" s="138"/>
      <c r="CO651" s="138"/>
      <c r="CP651" s="138"/>
      <c r="CQ651" s="138"/>
      <c r="CR651" s="138"/>
      <c r="CS651" s="138"/>
      <c r="CT651" s="138"/>
      <c r="CU651" s="138"/>
      <c r="CV651" s="138"/>
      <c r="CW651" s="138"/>
      <c r="CX651" s="138"/>
      <c r="CY651" s="138"/>
      <c r="CZ651" s="138"/>
      <c r="DA651" s="138"/>
      <c r="DB651" s="138"/>
      <c r="DC651" s="138"/>
      <c r="DD651" s="138"/>
      <c r="DE651" s="138"/>
      <c r="DF651" s="138"/>
      <c r="DG651" s="1"/>
      <c r="DH651" s="55"/>
      <c r="DI651" s="53"/>
      <c r="DL651" s="54"/>
      <c r="DM651" s="54"/>
      <c r="DN651" s="54"/>
      <c r="DO651" s="54"/>
      <c r="DP651" s="54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L651" s="55"/>
      <c r="EM651" s="1"/>
      <c r="EN651" s="106"/>
      <c r="EO651" s="106"/>
      <c r="EP651" s="1"/>
      <c r="EQ651" s="106"/>
      <c r="ER651" s="1"/>
      <c r="ES651" s="1"/>
      <c r="ET651" s="1"/>
      <c r="EU651" s="107"/>
    </row>
    <row r="652" spans="9:151">
      <c r="I652" s="137"/>
      <c r="J652" s="138"/>
      <c r="K652" s="1"/>
      <c r="L652" s="1"/>
      <c r="Q652" s="1"/>
      <c r="R652" s="1"/>
      <c r="S652" s="106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55"/>
      <c r="AO652" s="106"/>
      <c r="AP652" s="106"/>
      <c r="AQ652" s="106"/>
      <c r="AR652" s="106"/>
      <c r="AS652" s="106"/>
      <c r="AT652" s="31"/>
      <c r="AU652" s="31"/>
      <c r="AV652" s="31"/>
      <c r="AW652" s="154"/>
      <c r="AX652" s="154"/>
      <c r="AY652" s="106"/>
      <c r="AZ652" s="106"/>
      <c r="BA652" s="106"/>
      <c r="BB652" s="106"/>
      <c r="BC652" s="106"/>
      <c r="BD652" s="106"/>
      <c r="BE652" s="107"/>
      <c r="BF652" s="105"/>
      <c r="BG652" s="105"/>
      <c r="BH652" s="105"/>
      <c r="BI652" s="108"/>
      <c r="BJ652" s="160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7"/>
      <c r="BY652" s="106"/>
      <c r="BZ652" s="107"/>
      <c r="CA652" s="107"/>
      <c r="CB652" s="107"/>
      <c r="CC652" s="107"/>
      <c r="CD652" s="107"/>
      <c r="CE652" s="107"/>
      <c r="CF652" s="107"/>
      <c r="CG652" s="107"/>
      <c r="CH652" s="106"/>
      <c r="CI652" s="106"/>
      <c r="CJ652" s="106"/>
      <c r="CK652" s="106"/>
      <c r="CL652" s="106"/>
      <c r="CM652" s="138"/>
      <c r="CN652" s="138"/>
      <c r="CO652" s="138"/>
      <c r="CP652" s="138"/>
      <c r="CQ652" s="138"/>
      <c r="CR652" s="138"/>
      <c r="CS652" s="138"/>
      <c r="CT652" s="138"/>
      <c r="CU652" s="138"/>
      <c r="CV652" s="138"/>
      <c r="CW652" s="138"/>
      <c r="CX652" s="138"/>
      <c r="CY652" s="138"/>
      <c r="CZ652" s="138"/>
      <c r="DA652" s="138"/>
      <c r="DB652" s="138"/>
      <c r="DC652" s="138"/>
      <c r="DD652" s="138"/>
      <c r="DE652" s="138"/>
      <c r="DF652" s="138"/>
      <c r="DG652" s="1"/>
      <c r="DH652" s="55"/>
      <c r="DI652" s="53"/>
      <c r="DL652" s="54"/>
      <c r="DM652" s="54"/>
      <c r="DN652" s="54"/>
      <c r="DO652" s="54"/>
      <c r="DP652" s="54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L652" s="55"/>
      <c r="EM652" s="1"/>
      <c r="EN652" s="106"/>
      <c r="EO652" s="106"/>
      <c r="EP652" s="1"/>
      <c r="EQ652" s="106"/>
      <c r="ER652" s="1"/>
      <c r="ES652" s="1"/>
      <c r="ET652" s="1"/>
      <c r="EU652" s="107"/>
    </row>
    <row r="653" spans="9:151">
      <c r="I653" s="137"/>
      <c r="J653" s="138"/>
      <c r="K653" s="1"/>
      <c r="L653" s="1"/>
      <c r="Q653" s="1"/>
      <c r="R653" s="1"/>
      <c r="S653" s="106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55"/>
      <c r="AO653" s="106"/>
      <c r="AP653" s="106"/>
      <c r="AQ653" s="106"/>
      <c r="AR653" s="106"/>
      <c r="AS653" s="106"/>
      <c r="AT653" s="31"/>
      <c r="AU653" s="31"/>
      <c r="AV653" s="31"/>
      <c r="AW653" s="154"/>
      <c r="AX653" s="154"/>
      <c r="AY653" s="106"/>
      <c r="AZ653" s="106"/>
      <c r="BA653" s="106"/>
      <c r="BB653" s="106"/>
      <c r="BC653" s="106"/>
      <c r="BD653" s="106"/>
      <c r="BE653" s="107"/>
      <c r="BF653" s="105"/>
      <c r="BG653" s="105"/>
      <c r="BH653" s="105"/>
      <c r="BI653" s="108"/>
      <c r="BJ653" s="160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7"/>
      <c r="BY653" s="106"/>
      <c r="BZ653" s="107"/>
      <c r="CA653" s="107"/>
      <c r="CB653" s="107"/>
      <c r="CC653" s="107"/>
      <c r="CD653" s="107"/>
      <c r="CE653" s="107"/>
      <c r="CF653" s="107"/>
      <c r="CG653" s="107"/>
      <c r="CH653" s="106"/>
      <c r="CI653" s="106"/>
      <c r="CJ653" s="106"/>
      <c r="CK653" s="106"/>
      <c r="CL653" s="106"/>
      <c r="CM653" s="138"/>
      <c r="CN653" s="138"/>
      <c r="CO653" s="138"/>
      <c r="CP653" s="138"/>
      <c r="CQ653" s="138"/>
      <c r="CR653" s="138"/>
      <c r="CS653" s="138"/>
      <c r="CT653" s="138"/>
      <c r="CU653" s="138"/>
      <c r="CV653" s="138"/>
      <c r="CW653" s="138"/>
      <c r="CX653" s="138"/>
      <c r="CY653" s="138"/>
      <c r="CZ653" s="138"/>
      <c r="DA653" s="138"/>
      <c r="DB653" s="138"/>
      <c r="DC653" s="138"/>
      <c r="DD653" s="138"/>
      <c r="DE653" s="138"/>
      <c r="DF653" s="138"/>
      <c r="DG653" s="1"/>
      <c r="DH653" s="55"/>
      <c r="DI653" s="53"/>
      <c r="DL653" s="54"/>
      <c r="DM653" s="54"/>
      <c r="DN653" s="54"/>
      <c r="DO653" s="54"/>
      <c r="DP653" s="54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L653" s="55"/>
      <c r="EM653" s="1"/>
      <c r="EN653" s="106"/>
      <c r="EO653" s="106"/>
      <c r="EP653" s="1"/>
      <c r="EQ653" s="106"/>
      <c r="ER653" s="1"/>
      <c r="ES653" s="1"/>
      <c r="ET653" s="1"/>
      <c r="EU653" s="107"/>
    </row>
    <row r="654" spans="9:151">
      <c r="I654" s="137"/>
      <c r="J654" s="138"/>
      <c r="K654" s="1"/>
      <c r="L654" s="1"/>
      <c r="Q654" s="1"/>
      <c r="R654" s="1"/>
      <c r="S654" s="106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55"/>
      <c r="AO654" s="106"/>
      <c r="AP654" s="106"/>
      <c r="AQ654" s="106"/>
      <c r="AR654" s="106"/>
      <c r="AS654" s="106"/>
      <c r="AT654" s="31"/>
      <c r="AU654" s="31"/>
      <c r="AV654" s="31"/>
      <c r="AW654" s="154"/>
      <c r="AX654" s="154"/>
      <c r="AY654" s="106"/>
      <c r="AZ654" s="106"/>
      <c r="BA654" s="106"/>
      <c r="BB654" s="106"/>
      <c r="BC654" s="106"/>
      <c r="BD654" s="106"/>
      <c r="BE654" s="107"/>
      <c r="BF654" s="105"/>
      <c r="BG654" s="105"/>
      <c r="BH654" s="105"/>
      <c r="BI654" s="108"/>
      <c r="BJ654" s="160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7"/>
      <c r="BY654" s="106"/>
      <c r="BZ654" s="107"/>
      <c r="CA654" s="107"/>
      <c r="CB654" s="107"/>
      <c r="CC654" s="107"/>
      <c r="CD654" s="107"/>
      <c r="CE654" s="107"/>
      <c r="CF654" s="107"/>
      <c r="CG654" s="107"/>
      <c r="CH654" s="106"/>
      <c r="CI654" s="106"/>
      <c r="CJ654" s="106"/>
      <c r="CK654" s="106"/>
      <c r="CL654" s="106"/>
      <c r="CM654" s="138"/>
      <c r="CN654" s="138"/>
      <c r="CO654" s="138"/>
      <c r="CP654" s="138"/>
      <c r="CQ654" s="138"/>
      <c r="CR654" s="138"/>
      <c r="CS654" s="138"/>
      <c r="CT654" s="138"/>
      <c r="CU654" s="138"/>
      <c r="CV654" s="138"/>
      <c r="CW654" s="138"/>
      <c r="CX654" s="138"/>
      <c r="CY654" s="138"/>
      <c r="CZ654" s="138"/>
      <c r="DA654" s="138"/>
      <c r="DB654" s="138"/>
      <c r="DC654" s="138"/>
      <c r="DD654" s="138"/>
      <c r="DE654" s="138"/>
      <c r="DF654" s="138"/>
      <c r="DG654" s="1"/>
      <c r="DH654" s="55"/>
      <c r="DI654" s="53"/>
      <c r="DL654" s="54"/>
      <c r="DM654" s="54"/>
      <c r="DN654" s="54"/>
      <c r="DO654" s="54"/>
      <c r="DP654" s="54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L654" s="55"/>
      <c r="EM654" s="1"/>
      <c r="EN654" s="106"/>
      <c r="EO654" s="106"/>
      <c r="EP654" s="1"/>
      <c r="EQ654" s="106"/>
      <c r="ER654" s="1"/>
      <c r="ES654" s="1"/>
      <c r="ET654" s="1"/>
      <c r="EU654" s="107"/>
    </row>
    <row r="655" spans="9:151">
      <c r="I655" s="137"/>
      <c r="J655" s="138"/>
      <c r="K655" s="1"/>
      <c r="L655" s="1"/>
      <c r="Q655" s="1"/>
      <c r="R655" s="1"/>
      <c r="S655" s="106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55"/>
      <c r="AO655" s="106"/>
      <c r="AP655" s="106"/>
      <c r="AQ655" s="106"/>
      <c r="AR655" s="106"/>
      <c r="AS655" s="106"/>
      <c r="AT655" s="31"/>
      <c r="AU655" s="31"/>
      <c r="AV655" s="31"/>
      <c r="AW655" s="154"/>
      <c r="AX655" s="154"/>
      <c r="AY655" s="106"/>
      <c r="AZ655" s="106"/>
      <c r="BA655" s="106"/>
      <c r="BB655" s="106"/>
      <c r="BC655" s="106"/>
      <c r="BD655" s="106"/>
      <c r="BE655" s="107"/>
      <c r="BF655" s="105"/>
      <c r="BG655" s="105"/>
      <c r="BH655" s="105"/>
      <c r="BI655" s="108"/>
      <c r="BJ655" s="160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7"/>
      <c r="BY655" s="106"/>
      <c r="BZ655" s="107"/>
      <c r="CA655" s="107"/>
      <c r="CB655" s="107"/>
      <c r="CC655" s="107"/>
      <c r="CD655" s="107"/>
      <c r="CE655" s="107"/>
      <c r="CF655" s="107"/>
      <c r="CG655" s="107"/>
      <c r="CH655" s="106"/>
      <c r="CI655" s="106"/>
      <c r="CJ655" s="106"/>
      <c r="CK655" s="106"/>
      <c r="CL655" s="106"/>
      <c r="CM655" s="138"/>
      <c r="CN655" s="138"/>
      <c r="CO655" s="138"/>
      <c r="CP655" s="138"/>
      <c r="CQ655" s="138"/>
      <c r="CR655" s="138"/>
      <c r="CS655" s="138"/>
      <c r="CT655" s="138"/>
      <c r="CU655" s="138"/>
      <c r="CV655" s="138"/>
      <c r="CW655" s="138"/>
      <c r="CX655" s="138"/>
      <c r="CY655" s="138"/>
      <c r="CZ655" s="138"/>
      <c r="DA655" s="138"/>
      <c r="DB655" s="138"/>
      <c r="DC655" s="138"/>
      <c r="DD655" s="138"/>
      <c r="DE655" s="138"/>
      <c r="DF655" s="138"/>
      <c r="DG655" s="1"/>
      <c r="DH655" s="55"/>
      <c r="DI655" s="53"/>
      <c r="DL655" s="54"/>
      <c r="DM655" s="54"/>
      <c r="DN655" s="54"/>
      <c r="DO655" s="54"/>
      <c r="DP655" s="54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L655" s="55"/>
      <c r="EM655" s="1"/>
      <c r="EN655" s="106"/>
      <c r="EO655" s="106"/>
      <c r="EP655" s="1"/>
      <c r="EQ655" s="106"/>
      <c r="ER655" s="1"/>
      <c r="ES655" s="1"/>
      <c r="ET655" s="1"/>
      <c r="EU655" s="107"/>
    </row>
    <row r="656" spans="9:151">
      <c r="I656" s="137"/>
      <c r="J656" s="138"/>
      <c r="K656" s="1"/>
      <c r="L656" s="1"/>
      <c r="Q656" s="1"/>
      <c r="R656" s="1"/>
      <c r="S656" s="106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55"/>
      <c r="AO656" s="106"/>
      <c r="AP656" s="106"/>
      <c r="AQ656" s="106"/>
      <c r="AR656" s="106"/>
      <c r="AS656" s="106"/>
      <c r="AT656" s="31"/>
      <c r="AU656" s="31"/>
      <c r="AV656" s="31"/>
      <c r="AW656" s="154"/>
      <c r="AX656" s="154"/>
      <c r="AY656" s="106"/>
      <c r="AZ656" s="106"/>
      <c r="BA656" s="106"/>
      <c r="BB656" s="106"/>
      <c r="BC656" s="106"/>
      <c r="BD656" s="106"/>
      <c r="BE656" s="107"/>
      <c r="BF656" s="105"/>
      <c r="BG656" s="105"/>
      <c r="BH656" s="105"/>
      <c r="BI656" s="108"/>
      <c r="BJ656" s="160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7"/>
      <c r="BY656" s="106"/>
      <c r="BZ656" s="107"/>
      <c r="CA656" s="107"/>
      <c r="CB656" s="107"/>
      <c r="CC656" s="107"/>
      <c r="CD656" s="107"/>
      <c r="CE656" s="107"/>
      <c r="CF656" s="107"/>
      <c r="CG656" s="107"/>
      <c r="CH656" s="106"/>
      <c r="CI656" s="106"/>
      <c r="CJ656" s="106"/>
      <c r="CK656" s="106"/>
      <c r="CL656" s="106"/>
      <c r="CM656" s="138"/>
      <c r="CN656" s="138"/>
      <c r="CO656" s="138"/>
      <c r="CP656" s="138"/>
      <c r="CQ656" s="138"/>
      <c r="CR656" s="138"/>
      <c r="CS656" s="138"/>
      <c r="CT656" s="138"/>
      <c r="CU656" s="138"/>
      <c r="CV656" s="138"/>
      <c r="CW656" s="138"/>
      <c r="CX656" s="138"/>
      <c r="CY656" s="138"/>
      <c r="CZ656" s="138"/>
      <c r="DA656" s="138"/>
      <c r="DB656" s="138"/>
      <c r="DC656" s="138"/>
      <c r="DD656" s="138"/>
      <c r="DE656" s="138"/>
      <c r="DF656" s="138"/>
      <c r="DG656" s="1"/>
      <c r="DH656" s="55"/>
      <c r="DI656" s="53"/>
      <c r="DL656" s="54"/>
      <c r="DM656" s="54"/>
      <c r="DN656" s="54"/>
      <c r="DO656" s="54"/>
      <c r="DP656" s="54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L656" s="55"/>
      <c r="EM656" s="1"/>
      <c r="EN656" s="106"/>
      <c r="EO656" s="106"/>
      <c r="EP656" s="1"/>
      <c r="EQ656" s="106"/>
      <c r="ER656" s="1"/>
      <c r="ES656" s="1"/>
      <c r="ET656" s="1"/>
      <c r="EU656" s="107"/>
    </row>
    <row r="657" spans="9:151">
      <c r="I657" s="137"/>
      <c r="J657" s="138"/>
      <c r="K657" s="1"/>
      <c r="L657" s="1"/>
      <c r="Q657" s="1"/>
      <c r="R657" s="1"/>
      <c r="S657" s="106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55"/>
      <c r="AO657" s="106"/>
      <c r="AP657" s="106"/>
      <c r="AQ657" s="106"/>
      <c r="AR657" s="106"/>
      <c r="AS657" s="106"/>
      <c r="AT657" s="31"/>
      <c r="AU657" s="31"/>
      <c r="AV657" s="31"/>
      <c r="AW657" s="154"/>
      <c r="AX657" s="154"/>
      <c r="AY657" s="106"/>
      <c r="AZ657" s="106"/>
      <c r="BA657" s="106"/>
      <c r="BB657" s="106"/>
      <c r="BC657" s="106"/>
      <c r="BD657" s="106"/>
      <c r="BE657" s="107"/>
      <c r="BF657" s="105"/>
      <c r="BG657" s="105"/>
      <c r="BH657" s="105"/>
      <c r="BI657" s="108"/>
      <c r="BJ657" s="160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7"/>
      <c r="BY657" s="106"/>
      <c r="BZ657" s="107"/>
      <c r="CA657" s="107"/>
      <c r="CB657" s="107"/>
      <c r="CC657" s="107"/>
      <c r="CD657" s="107"/>
      <c r="CE657" s="107"/>
      <c r="CF657" s="107"/>
      <c r="CG657" s="107"/>
      <c r="CH657" s="106"/>
      <c r="CI657" s="106"/>
      <c r="CJ657" s="106"/>
      <c r="CK657" s="106"/>
      <c r="CL657" s="106"/>
      <c r="CM657" s="138"/>
      <c r="CN657" s="138"/>
      <c r="CO657" s="138"/>
      <c r="CP657" s="138"/>
      <c r="CQ657" s="138"/>
      <c r="CR657" s="138"/>
      <c r="CS657" s="138"/>
      <c r="CT657" s="138"/>
      <c r="CU657" s="138"/>
      <c r="CV657" s="138"/>
      <c r="CW657" s="138"/>
      <c r="CX657" s="138"/>
      <c r="CY657" s="138"/>
      <c r="CZ657" s="138"/>
      <c r="DA657" s="138"/>
      <c r="DB657" s="138"/>
      <c r="DC657" s="138"/>
      <c r="DD657" s="138"/>
      <c r="DE657" s="138"/>
      <c r="DF657" s="138"/>
      <c r="DG657" s="1"/>
      <c r="DH657" s="55"/>
      <c r="DI657" s="53"/>
      <c r="DL657" s="54"/>
      <c r="DM657" s="54"/>
      <c r="DN657" s="54"/>
      <c r="DO657" s="54"/>
      <c r="DP657" s="54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L657" s="55"/>
      <c r="EM657" s="1"/>
      <c r="EN657" s="106"/>
      <c r="EO657" s="106"/>
      <c r="EP657" s="1"/>
      <c r="EQ657" s="106"/>
      <c r="ER657" s="1"/>
      <c r="ES657" s="1"/>
      <c r="ET657" s="1"/>
      <c r="EU657" s="107"/>
    </row>
    <row r="658" spans="9:151">
      <c r="I658" s="137"/>
      <c r="J658" s="138"/>
      <c r="K658" s="1"/>
      <c r="L658" s="1"/>
      <c r="Q658" s="1"/>
      <c r="R658" s="1"/>
      <c r="S658" s="106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55"/>
      <c r="AO658" s="106"/>
      <c r="AP658" s="106"/>
      <c r="AQ658" s="106"/>
      <c r="AR658" s="106"/>
      <c r="AS658" s="106"/>
      <c r="AT658" s="31"/>
      <c r="AU658" s="31"/>
      <c r="AV658" s="31"/>
      <c r="AW658" s="154"/>
      <c r="AX658" s="154"/>
      <c r="AY658" s="106"/>
      <c r="AZ658" s="106"/>
      <c r="BA658" s="106"/>
      <c r="BB658" s="106"/>
      <c r="BC658" s="106"/>
      <c r="BD658" s="106"/>
      <c r="BE658" s="107"/>
      <c r="BF658" s="105"/>
      <c r="BG658" s="105"/>
      <c r="BH658" s="105"/>
      <c r="BI658" s="108"/>
      <c r="BJ658" s="160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7"/>
      <c r="BY658" s="106"/>
      <c r="BZ658" s="107"/>
      <c r="CA658" s="107"/>
      <c r="CB658" s="107"/>
      <c r="CC658" s="107"/>
      <c r="CD658" s="107"/>
      <c r="CE658" s="107"/>
      <c r="CF658" s="107"/>
      <c r="CG658" s="107"/>
      <c r="CH658" s="106"/>
      <c r="CI658" s="106"/>
      <c r="CJ658" s="106"/>
      <c r="CK658" s="106"/>
      <c r="CL658" s="106"/>
      <c r="CM658" s="138"/>
      <c r="CN658" s="138"/>
      <c r="CO658" s="138"/>
      <c r="CP658" s="138"/>
      <c r="CQ658" s="138"/>
      <c r="CR658" s="138"/>
      <c r="CS658" s="138"/>
      <c r="CT658" s="138"/>
      <c r="CU658" s="138"/>
      <c r="CV658" s="138"/>
      <c r="CW658" s="138"/>
      <c r="CX658" s="138"/>
      <c r="CY658" s="138"/>
      <c r="CZ658" s="138"/>
      <c r="DA658" s="138"/>
      <c r="DB658" s="138"/>
      <c r="DC658" s="138"/>
      <c r="DD658" s="138"/>
      <c r="DE658" s="138"/>
      <c r="DF658" s="138"/>
      <c r="DG658" s="1"/>
      <c r="DH658" s="55"/>
      <c r="DI658" s="53"/>
      <c r="DL658" s="54"/>
      <c r="DM658" s="54"/>
      <c r="DN658" s="54"/>
      <c r="DO658" s="54"/>
      <c r="DP658" s="54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L658" s="55"/>
      <c r="EM658" s="1"/>
      <c r="EN658" s="106"/>
      <c r="EO658" s="106"/>
      <c r="EP658" s="1"/>
      <c r="EQ658" s="106"/>
      <c r="ER658" s="1"/>
      <c r="ES658" s="1"/>
      <c r="ET658" s="1"/>
      <c r="EU658" s="107"/>
    </row>
    <row r="659" spans="9:151">
      <c r="I659" s="137"/>
      <c r="J659" s="138"/>
      <c r="K659" s="1"/>
      <c r="L659" s="1"/>
      <c r="Q659" s="1"/>
      <c r="R659" s="1"/>
      <c r="S659" s="106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55"/>
      <c r="AO659" s="106"/>
      <c r="AP659" s="106"/>
      <c r="AQ659" s="106"/>
      <c r="AR659" s="106"/>
      <c r="AS659" s="106"/>
      <c r="AT659" s="31"/>
      <c r="AU659" s="31"/>
      <c r="AV659" s="31"/>
      <c r="AW659" s="154"/>
      <c r="AX659" s="154"/>
      <c r="AY659" s="106"/>
      <c r="AZ659" s="106"/>
      <c r="BA659" s="106"/>
      <c r="BB659" s="106"/>
      <c r="BC659" s="106"/>
      <c r="BD659" s="106"/>
      <c r="BE659" s="107"/>
      <c r="BF659" s="105"/>
      <c r="BG659" s="105"/>
      <c r="BH659" s="105"/>
      <c r="BI659" s="108"/>
      <c r="BJ659" s="160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7"/>
      <c r="BY659" s="106"/>
      <c r="BZ659" s="107"/>
      <c r="CA659" s="107"/>
      <c r="CB659" s="107"/>
      <c r="CC659" s="107"/>
      <c r="CD659" s="107"/>
      <c r="CE659" s="107"/>
      <c r="CF659" s="107"/>
      <c r="CG659" s="107"/>
      <c r="CH659" s="106"/>
      <c r="CI659" s="106"/>
      <c r="CJ659" s="106"/>
      <c r="CK659" s="106"/>
      <c r="CL659" s="106"/>
      <c r="CM659" s="138"/>
      <c r="CN659" s="138"/>
      <c r="CO659" s="138"/>
      <c r="CP659" s="138"/>
      <c r="CQ659" s="138"/>
      <c r="CR659" s="138"/>
      <c r="CS659" s="138"/>
      <c r="CT659" s="138"/>
      <c r="CU659" s="138"/>
      <c r="CV659" s="138"/>
      <c r="CW659" s="138"/>
      <c r="CX659" s="138"/>
      <c r="CY659" s="138"/>
      <c r="CZ659" s="138"/>
      <c r="DA659" s="138"/>
      <c r="DB659" s="138"/>
      <c r="DC659" s="138"/>
      <c r="DD659" s="138"/>
      <c r="DE659" s="138"/>
      <c r="DF659" s="138"/>
      <c r="DG659" s="1"/>
      <c r="DH659" s="55"/>
      <c r="DI659" s="53"/>
      <c r="DL659" s="54"/>
      <c r="DM659" s="54"/>
      <c r="DN659" s="54"/>
      <c r="DO659" s="54"/>
      <c r="DP659" s="54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L659" s="55"/>
      <c r="EM659" s="1"/>
      <c r="EN659" s="106"/>
      <c r="EO659" s="106"/>
      <c r="EP659" s="1"/>
      <c r="EQ659" s="106"/>
      <c r="ER659" s="1"/>
      <c r="ES659" s="1"/>
      <c r="ET659" s="1"/>
      <c r="EU659" s="107"/>
    </row>
    <row r="660" spans="9:151">
      <c r="I660" s="137"/>
      <c r="J660" s="138"/>
      <c r="K660" s="1"/>
      <c r="L660" s="1"/>
      <c r="Q660" s="1"/>
      <c r="R660" s="1"/>
      <c r="S660" s="106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55"/>
      <c r="AO660" s="106"/>
      <c r="AP660" s="106"/>
      <c r="AQ660" s="106"/>
      <c r="AR660" s="106"/>
      <c r="AS660" s="106"/>
      <c r="AT660" s="31"/>
      <c r="AU660" s="31"/>
      <c r="AV660" s="31"/>
      <c r="AW660" s="154"/>
      <c r="AX660" s="154"/>
      <c r="AY660" s="106"/>
      <c r="AZ660" s="106"/>
      <c r="BA660" s="106"/>
      <c r="BB660" s="106"/>
      <c r="BC660" s="106"/>
      <c r="BD660" s="106"/>
      <c r="BE660" s="107"/>
      <c r="BF660" s="105"/>
      <c r="BG660" s="105"/>
      <c r="BH660" s="105"/>
      <c r="BI660" s="108"/>
      <c r="BJ660" s="160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7"/>
      <c r="BY660" s="106"/>
      <c r="BZ660" s="107"/>
      <c r="CA660" s="107"/>
      <c r="CB660" s="107"/>
      <c r="CC660" s="107"/>
      <c r="CD660" s="107"/>
      <c r="CE660" s="107"/>
      <c r="CF660" s="107"/>
      <c r="CG660" s="107"/>
      <c r="CH660" s="106"/>
      <c r="CI660" s="106"/>
      <c r="CJ660" s="106"/>
      <c r="CK660" s="106"/>
      <c r="CL660" s="106"/>
      <c r="CM660" s="138"/>
      <c r="CN660" s="138"/>
      <c r="CO660" s="138"/>
      <c r="CP660" s="138"/>
      <c r="CQ660" s="138"/>
      <c r="CR660" s="138"/>
      <c r="CS660" s="138"/>
      <c r="CT660" s="138"/>
      <c r="CU660" s="138"/>
      <c r="CV660" s="138"/>
      <c r="CW660" s="138"/>
      <c r="CX660" s="138"/>
      <c r="CY660" s="138"/>
      <c r="CZ660" s="138"/>
      <c r="DA660" s="138"/>
      <c r="DB660" s="138"/>
      <c r="DC660" s="138"/>
      <c r="DD660" s="138"/>
      <c r="DE660" s="138"/>
      <c r="DF660" s="138"/>
      <c r="DG660" s="1"/>
      <c r="DH660" s="55"/>
      <c r="DI660" s="53"/>
      <c r="DL660" s="54"/>
      <c r="DM660" s="54"/>
      <c r="DN660" s="54"/>
      <c r="DO660" s="54"/>
      <c r="DP660" s="54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L660" s="55"/>
      <c r="EM660" s="1"/>
      <c r="EN660" s="106"/>
      <c r="EO660" s="106"/>
      <c r="EP660" s="1"/>
      <c r="EQ660" s="106"/>
      <c r="ER660" s="1"/>
      <c r="ES660" s="1"/>
      <c r="ET660" s="1"/>
      <c r="EU660" s="107"/>
    </row>
    <row r="661" spans="9:151">
      <c r="I661" s="137"/>
      <c r="J661" s="138"/>
      <c r="K661" s="1"/>
      <c r="L661" s="1"/>
      <c r="Q661" s="1"/>
      <c r="R661" s="1"/>
      <c r="S661" s="106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55"/>
      <c r="AO661" s="106"/>
      <c r="AP661" s="106"/>
      <c r="AQ661" s="106"/>
      <c r="AR661" s="106"/>
      <c r="AS661" s="106"/>
      <c r="AT661" s="31"/>
      <c r="AU661" s="31"/>
      <c r="AV661" s="31"/>
      <c r="AW661" s="154"/>
      <c r="AX661" s="154"/>
      <c r="AY661" s="106"/>
      <c r="AZ661" s="106"/>
      <c r="BA661" s="106"/>
      <c r="BB661" s="106"/>
      <c r="BC661" s="106"/>
      <c r="BD661" s="106"/>
      <c r="BE661" s="107"/>
      <c r="BF661" s="105"/>
      <c r="BG661" s="105"/>
      <c r="BH661" s="105"/>
      <c r="BI661" s="108"/>
      <c r="BJ661" s="160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7"/>
      <c r="BY661" s="106"/>
      <c r="BZ661" s="107"/>
      <c r="CA661" s="107"/>
      <c r="CB661" s="107"/>
      <c r="CC661" s="107"/>
      <c r="CD661" s="107"/>
      <c r="CE661" s="107"/>
      <c r="CF661" s="107"/>
      <c r="CG661" s="107"/>
      <c r="CH661" s="106"/>
      <c r="CI661" s="106"/>
      <c r="CJ661" s="106"/>
      <c r="CK661" s="106"/>
      <c r="CL661" s="106"/>
      <c r="CM661" s="138"/>
      <c r="CN661" s="138"/>
      <c r="CO661" s="138"/>
      <c r="CP661" s="138"/>
      <c r="CQ661" s="138"/>
      <c r="CR661" s="138"/>
      <c r="CS661" s="138"/>
      <c r="CT661" s="138"/>
      <c r="CU661" s="138"/>
      <c r="CV661" s="138"/>
      <c r="CW661" s="138"/>
      <c r="CX661" s="138"/>
      <c r="CY661" s="138"/>
      <c r="CZ661" s="138"/>
      <c r="DA661" s="138"/>
      <c r="DB661" s="138"/>
      <c r="DC661" s="138"/>
      <c r="DD661" s="138"/>
      <c r="DE661" s="138"/>
      <c r="DF661" s="138"/>
      <c r="DG661" s="1"/>
      <c r="DH661" s="55"/>
      <c r="DI661" s="53"/>
      <c r="DL661" s="54"/>
      <c r="DM661" s="54"/>
      <c r="DN661" s="54"/>
      <c r="DO661" s="54"/>
      <c r="DP661" s="54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L661" s="55"/>
      <c r="EM661" s="1"/>
      <c r="EN661" s="106"/>
      <c r="EO661" s="106"/>
      <c r="EP661" s="1"/>
      <c r="EQ661" s="106"/>
      <c r="ER661" s="1"/>
      <c r="ES661" s="1"/>
      <c r="ET661" s="1"/>
      <c r="EU661" s="107"/>
    </row>
    <row r="662" spans="9:151">
      <c r="I662" s="137"/>
      <c r="J662" s="138"/>
      <c r="K662" s="1"/>
      <c r="L662" s="1"/>
      <c r="Q662" s="1"/>
      <c r="R662" s="1"/>
      <c r="S662" s="106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55"/>
      <c r="AO662" s="106"/>
      <c r="AP662" s="106"/>
      <c r="AQ662" s="106"/>
      <c r="AR662" s="106"/>
      <c r="AS662" s="106"/>
      <c r="AT662" s="31"/>
      <c r="AU662" s="31"/>
      <c r="AV662" s="31"/>
      <c r="AW662" s="154"/>
      <c r="AX662" s="154"/>
      <c r="AY662" s="106"/>
      <c r="AZ662" s="106"/>
      <c r="BA662" s="106"/>
      <c r="BB662" s="106"/>
      <c r="BC662" s="106"/>
      <c r="BD662" s="106"/>
      <c r="BE662" s="107"/>
      <c r="BF662" s="105"/>
      <c r="BG662" s="105"/>
      <c r="BH662" s="105"/>
      <c r="BI662" s="108"/>
      <c r="BJ662" s="160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7"/>
      <c r="BY662" s="106"/>
      <c r="BZ662" s="107"/>
      <c r="CA662" s="107"/>
      <c r="CB662" s="107"/>
      <c r="CC662" s="107"/>
      <c r="CD662" s="107"/>
      <c r="CE662" s="107"/>
      <c r="CF662" s="107"/>
      <c r="CG662" s="107"/>
      <c r="CH662" s="106"/>
      <c r="CI662" s="106"/>
      <c r="CJ662" s="106"/>
      <c r="CK662" s="106"/>
      <c r="CL662" s="106"/>
      <c r="CM662" s="138"/>
      <c r="CN662" s="138"/>
      <c r="CO662" s="138"/>
      <c r="CP662" s="138"/>
      <c r="CQ662" s="138"/>
      <c r="CR662" s="138"/>
      <c r="CS662" s="138"/>
      <c r="CT662" s="138"/>
      <c r="CU662" s="138"/>
      <c r="CV662" s="138"/>
      <c r="CW662" s="138"/>
      <c r="CX662" s="138"/>
      <c r="CY662" s="138"/>
      <c r="CZ662" s="138"/>
      <c r="DA662" s="138"/>
      <c r="DB662" s="138"/>
      <c r="DC662" s="138"/>
      <c r="DD662" s="138"/>
      <c r="DE662" s="138"/>
      <c r="DF662" s="138"/>
      <c r="DG662" s="1"/>
      <c r="DH662" s="55"/>
      <c r="DI662" s="53"/>
      <c r="DL662" s="54"/>
      <c r="DM662" s="54"/>
      <c r="DN662" s="54"/>
      <c r="DO662" s="54"/>
      <c r="DP662" s="54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L662" s="55"/>
      <c r="EM662" s="1"/>
      <c r="EN662" s="106"/>
      <c r="EO662" s="106"/>
      <c r="EP662" s="1"/>
      <c r="EQ662" s="106"/>
      <c r="ER662" s="1"/>
      <c r="ES662" s="1"/>
      <c r="ET662" s="1"/>
      <c r="EU662" s="107"/>
    </row>
    <row r="663" spans="9:151">
      <c r="I663" s="137"/>
      <c r="J663" s="138"/>
      <c r="K663" s="1"/>
      <c r="L663" s="1"/>
      <c r="Q663" s="1"/>
      <c r="R663" s="1"/>
      <c r="S663" s="106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55"/>
      <c r="AO663" s="106"/>
      <c r="AP663" s="106"/>
      <c r="AQ663" s="106"/>
      <c r="AR663" s="106"/>
      <c r="AS663" s="106"/>
      <c r="AT663" s="31"/>
      <c r="AU663" s="31"/>
      <c r="AV663" s="31"/>
      <c r="AW663" s="154"/>
      <c r="AX663" s="154"/>
      <c r="AY663" s="106"/>
      <c r="AZ663" s="106"/>
      <c r="BA663" s="106"/>
      <c r="BB663" s="106"/>
      <c r="BC663" s="106"/>
      <c r="BD663" s="106"/>
      <c r="BE663" s="107"/>
      <c r="BF663" s="105"/>
      <c r="BG663" s="105"/>
      <c r="BH663" s="105"/>
      <c r="BI663" s="108"/>
      <c r="BJ663" s="160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7"/>
      <c r="BY663" s="106"/>
      <c r="BZ663" s="107"/>
      <c r="CA663" s="107"/>
      <c r="CB663" s="107"/>
      <c r="CC663" s="107"/>
      <c r="CD663" s="107"/>
      <c r="CE663" s="107"/>
      <c r="CF663" s="107"/>
      <c r="CG663" s="107"/>
      <c r="CH663" s="106"/>
      <c r="CI663" s="106"/>
      <c r="CJ663" s="106"/>
      <c r="CK663" s="106"/>
      <c r="CL663" s="106"/>
      <c r="CM663" s="138"/>
      <c r="CN663" s="138"/>
      <c r="CO663" s="138"/>
      <c r="CP663" s="138"/>
      <c r="CQ663" s="138"/>
      <c r="CR663" s="138"/>
      <c r="CS663" s="138"/>
      <c r="CT663" s="138"/>
      <c r="CU663" s="138"/>
      <c r="CV663" s="138"/>
      <c r="CW663" s="138"/>
      <c r="CX663" s="138"/>
      <c r="CY663" s="138"/>
      <c r="CZ663" s="138"/>
      <c r="DA663" s="138"/>
      <c r="DB663" s="138"/>
      <c r="DC663" s="138"/>
      <c r="DD663" s="138"/>
      <c r="DE663" s="138"/>
      <c r="DF663" s="138"/>
      <c r="DG663" s="1"/>
      <c r="DH663" s="55"/>
      <c r="DI663" s="53"/>
      <c r="DL663" s="54"/>
      <c r="DM663" s="54"/>
      <c r="DN663" s="54"/>
      <c r="DO663" s="54"/>
      <c r="DP663" s="54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L663" s="55"/>
      <c r="EM663" s="1"/>
      <c r="EN663" s="106"/>
      <c r="EO663" s="106"/>
      <c r="EP663" s="1"/>
      <c r="EQ663" s="106"/>
      <c r="ER663" s="1"/>
      <c r="ES663" s="1"/>
      <c r="ET663" s="1"/>
      <c r="EU663" s="107"/>
    </row>
    <row r="664" spans="9:151">
      <c r="I664" s="137"/>
      <c r="J664" s="138"/>
      <c r="K664" s="1"/>
      <c r="L664" s="1"/>
      <c r="Q664" s="1"/>
      <c r="R664" s="1"/>
      <c r="S664" s="106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55"/>
      <c r="AO664" s="106"/>
      <c r="AP664" s="106"/>
      <c r="AQ664" s="106"/>
      <c r="AR664" s="106"/>
      <c r="AS664" s="106"/>
      <c r="AT664" s="31"/>
      <c r="AU664" s="31"/>
      <c r="AV664" s="31"/>
      <c r="AW664" s="154"/>
      <c r="AX664" s="154"/>
      <c r="AY664" s="106"/>
      <c r="AZ664" s="106"/>
      <c r="BA664" s="106"/>
      <c r="BB664" s="106"/>
      <c r="BC664" s="106"/>
      <c r="BD664" s="106"/>
      <c r="BE664" s="107"/>
      <c r="BF664" s="105"/>
      <c r="BG664" s="105"/>
      <c r="BH664" s="105"/>
      <c r="BI664" s="108"/>
      <c r="BJ664" s="160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7"/>
      <c r="BY664" s="106"/>
      <c r="BZ664" s="107"/>
      <c r="CA664" s="107"/>
      <c r="CB664" s="107"/>
      <c r="CC664" s="107"/>
      <c r="CD664" s="107"/>
      <c r="CE664" s="107"/>
      <c r="CF664" s="107"/>
      <c r="CG664" s="107"/>
      <c r="CH664" s="106"/>
      <c r="CI664" s="106"/>
      <c r="CJ664" s="106"/>
      <c r="CK664" s="106"/>
      <c r="CL664" s="106"/>
      <c r="CM664" s="138"/>
      <c r="CN664" s="138"/>
      <c r="CO664" s="138"/>
      <c r="CP664" s="138"/>
      <c r="CQ664" s="138"/>
      <c r="CR664" s="138"/>
      <c r="CS664" s="138"/>
      <c r="CT664" s="138"/>
      <c r="CU664" s="138"/>
      <c r="CV664" s="138"/>
      <c r="CW664" s="138"/>
      <c r="CX664" s="138"/>
      <c r="CY664" s="138"/>
      <c r="CZ664" s="138"/>
      <c r="DA664" s="138"/>
      <c r="DB664" s="138"/>
      <c r="DC664" s="138"/>
      <c r="DD664" s="138"/>
      <c r="DE664" s="138"/>
      <c r="DF664" s="138"/>
      <c r="DG664" s="1"/>
      <c r="DH664" s="55"/>
      <c r="DI664" s="53"/>
      <c r="DL664" s="54"/>
      <c r="DM664" s="54"/>
      <c r="DN664" s="54"/>
      <c r="DO664" s="54"/>
      <c r="DP664" s="54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L664" s="55"/>
      <c r="EM664" s="1"/>
      <c r="EN664" s="106"/>
      <c r="EO664" s="106"/>
      <c r="EP664" s="1"/>
      <c r="EQ664" s="106"/>
      <c r="ER664" s="1"/>
      <c r="ES664" s="1"/>
      <c r="ET664" s="1"/>
      <c r="EU664" s="107"/>
    </row>
    <row r="665" spans="9:151">
      <c r="I665" s="137"/>
      <c r="J665" s="138"/>
      <c r="K665" s="1"/>
      <c r="L665" s="1"/>
      <c r="Q665" s="1"/>
      <c r="R665" s="1"/>
      <c r="S665" s="106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55"/>
      <c r="AO665" s="106"/>
      <c r="AP665" s="106"/>
      <c r="AQ665" s="106"/>
      <c r="AR665" s="106"/>
      <c r="AS665" s="106"/>
      <c r="AT665" s="31"/>
      <c r="AU665" s="31"/>
      <c r="AV665" s="31"/>
      <c r="AW665" s="154"/>
      <c r="AX665" s="154"/>
      <c r="AY665" s="106"/>
      <c r="AZ665" s="106"/>
      <c r="BA665" s="106"/>
      <c r="BB665" s="106"/>
      <c r="BC665" s="106"/>
      <c r="BD665" s="106"/>
      <c r="BE665" s="107"/>
      <c r="BF665" s="105"/>
      <c r="BG665" s="105"/>
      <c r="BH665" s="105"/>
      <c r="BI665" s="108"/>
      <c r="BJ665" s="160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7"/>
      <c r="BY665" s="106"/>
      <c r="BZ665" s="107"/>
      <c r="CA665" s="107"/>
      <c r="CB665" s="107"/>
      <c r="CC665" s="107"/>
      <c r="CD665" s="107"/>
      <c r="CE665" s="107"/>
      <c r="CF665" s="107"/>
      <c r="CG665" s="107"/>
      <c r="CH665" s="106"/>
      <c r="CI665" s="106"/>
      <c r="CJ665" s="106"/>
      <c r="CK665" s="106"/>
      <c r="CL665" s="106"/>
      <c r="CM665" s="138"/>
      <c r="CN665" s="138"/>
      <c r="CO665" s="138"/>
      <c r="CP665" s="138"/>
      <c r="CQ665" s="138"/>
      <c r="CR665" s="138"/>
      <c r="CS665" s="138"/>
      <c r="CT665" s="138"/>
      <c r="CU665" s="138"/>
      <c r="CV665" s="138"/>
      <c r="CW665" s="138"/>
      <c r="CX665" s="138"/>
      <c r="CY665" s="138"/>
      <c r="CZ665" s="138"/>
      <c r="DA665" s="138"/>
      <c r="DB665" s="138"/>
      <c r="DC665" s="138"/>
      <c r="DD665" s="138"/>
      <c r="DE665" s="138"/>
      <c r="DF665" s="138"/>
      <c r="DG665" s="1"/>
      <c r="DH665" s="55"/>
      <c r="DI665" s="53"/>
      <c r="DL665" s="54"/>
      <c r="DM665" s="54"/>
      <c r="DN665" s="54"/>
      <c r="DO665" s="54"/>
      <c r="DP665" s="54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L665" s="55"/>
      <c r="EM665" s="1"/>
      <c r="EN665" s="106"/>
      <c r="EO665" s="106"/>
      <c r="EP665" s="1"/>
      <c r="EQ665" s="106"/>
      <c r="ER665" s="1"/>
      <c r="ES665" s="1"/>
      <c r="ET665" s="1"/>
      <c r="EU665" s="107"/>
    </row>
    <row r="666" spans="9:151">
      <c r="I666" s="137"/>
      <c r="J666" s="138"/>
      <c r="K666" s="1"/>
      <c r="L666" s="1"/>
      <c r="Q666" s="1"/>
      <c r="R666" s="1"/>
      <c r="S666" s="106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55"/>
      <c r="AO666" s="106"/>
      <c r="AP666" s="106"/>
      <c r="AQ666" s="106"/>
      <c r="AR666" s="106"/>
      <c r="AS666" s="106"/>
      <c r="AT666" s="31"/>
      <c r="AU666" s="31"/>
      <c r="AV666" s="31"/>
      <c r="AW666" s="154"/>
      <c r="AX666" s="154"/>
      <c r="AY666" s="106"/>
      <c r="AZ666" s="106"/>
      <c r="BA666" s="106"/>
      <c r="BB666" s="106"/>
      <c r="BC666" s="106"/>
      <c r="BD666" s="106"/>
      <c r="BE666" s="107"/>
      <c r="BF666" s="105"/>
      <c r="BG666" s="105"/>
      <c r="BH666" s="105"/>
      <c r="BI666" s="108"/>
      <c r="BJ666" s="160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7"/>
      <c r="BY666" s="106"/>
      <c r="BZ666" s="107"/>
      <c r="CA666" s="107"/>
      <c r="CB666" s="107"/>
      <c r="CC666" s="107"/>
      <c r="CD666" s="107"/>
      <c r="CE666" s="107"/>
      <c r="CF666" s="107"/>
      <c r="CG666" s="107"/>
      <c r="CH666" s="106"/>
      <c r="CI666" s="106"/>
      <c r="CJ666" s="106"/>
      <c r="CK666" s="106"/>
      <c r="CL666" s="106"/>
      <c r="CM666" s="138"/>
      <c r="CN666" s="138"/>
      <c r="CO666" s="138"/>
      <c r="CP666" s="138"/>
      <c r="CQ666" s="138"/>
      <c r="CR666" s="138"/>
      <c r="CS666" s="138"/>
      <c r="CT666" s="138"/>
      <c r="CU666" s="138"/>
      <c r="CV666" s="138"/>
      <c r="CW666" s="138"/>
      <c r="CX666" s="138"/>
      <c r="CY666" s="138"/>
      <c r="CZ666" s="138"/>
      <c r="DA666" s="138"/>
      <c r="DB666" s="138"/>
      <c r="DC666" s="138"/>
      <c r="DD666" s="138"/>
      <c r="DE666" s="138"/>
      <c r="DF666" s="138"/>
      <c r="DG666" s="1"/>
      <c r="DH666" s="55"/>
      <c r="DI666" s="53"/>
      <c r="DL666" s="54"/>
      <c r="DM666" s="54"/>
      <c r="DN666" s="54"/>
      <c r="DO666" s="54"/>
      <c r="DP666" s="54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L666" s="55"/>
      <c r="EM666" s="1"/>
      <c r="EN666" s="106"/>
      <c r="EO666" s="106"/>
      <c r="EP666" s="1"/>
      <c r="EQ666" s="106"/>
      <c r="ER666" s="1"/>
      <c r="ES666" s="1"/>
      <c r="ET666" s="1"/>
      <c r="EU666" s="107"/>
    </row>
    <row r="667" spans="9:151">
      <c r="I667" s="137"/>
      <c r="J667" s="138"/>
      <c r="K667" s="1"/>
      <c r="L667" s="1"/>
      <c r="Q667" s="1"/>
      <c r="R667" s="1"/>
      <c r="S667" s="106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55"/>
      <c r="AO667" s="106"/>
      <c r="AP667" s="106"/>
      <c r="AQ667" s="106"/>
      <c r="AR667" s="106"/>
      <c r="AS667" s="106"/>
      <c r="AT667" s="31"/>
      <c r="AU667" s="31"/>
      <c r="AV667" s="31"/>
      <c r="AW667" s="154"/>
      <c r="AX667" s="154"/>
      <c r="AY667" s="106"/>
      <c r="AZ667" s="106"/>
      <c r="BA667" s="106"/>
      <c r="BB667" s="106"/>
      <c r="BC667" s="106"/>
      <c r="BD667" s="106"/>
      <c r="BE667" s="107"/>
      <c r="BF667" s="105"/>
      <c r="BG667" s="105"/>
      <c r="BH667" s="105"/>
      <c r="BI667" s="108"/>
      <c r="BJ667" s="160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7"/>
      <c r="BY667" s="106"/>
      <c r="BZ667" s="107"/>
      <c r="CA667" s="107"/>
      <c r="CB667" s="107"/>
      <c r="CC667" s="107"/>
      <c r="CD667" s="107"/>
      <c r="CE667" s="107"/>
      <c r="CF667" s="107"/>
      <c r="CG667" s="107"/>
      <c r="CH667" s="106"/>
      <c r="CI667" s="106"/>
      <c r="CJ667" s="106"/>
      <c r="CK667" s="106"/>
      <c r="CL667" s="106"/>
      <c r="CM667" s="138"/>
      <c r="CN667" s="138"/>
      <c r="CO667" s="138"/>
      <c r="CP667" s="138"/>
      <c r="CQ667" s="138"/>
      <c r="CR667" s="138"/>
      <c r="CS667" s="138"/>
      <c r="CT667" s="138"/>
      <c r="CU667" s="138"/>
      <c r="CV667" s="138"/>
      <c r="CW667" s="138"/>
      <c r="CX667" s="138"/>
      <c r="CY667" s="138"/>
      <c r="CZ667" s="138"/>
      <c r="DA667" s="138"/>
      <c r="DB667" s="138"/>
      <c r="DC667" s="138"/>
      <c r="DD667" s="138"/>
      <c r="DE667" s="138"/>
      <c r="DF667" s="138"/>
      <c r="DG667" s="1"/>
      <c r="DH667" s="55"/>
      <c r="DI667" s="53"/>
      <c r="DL667" s="54"/>
      <c r="DM667" s="54"/>
      <c r="DN667" s="54"/>
      <c r="DO667" s="54"/>
      <c r="DP667" s="54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L667" s="55"/>
      <c r="EM667" s="1"/>
      <c r="EN667" s="106"/>
      <c r="EO667" s="106"/>
      <c r="EP667" s="1"/>
      <c r="EQ667" s="106"/>
      <c r="ER667" s="1"/>
      <c r="ES667" s="1"/>
      <c r="ET667" s="1"/>
      <c r="EU667" s="107"/>
    </row>
    <row r="668" spans="9:151">
      <c r="I668" s="137"/>
      <c r="J668" s="138"/>
      <c r="K668" s="1"/>
      <c r="L668" s="1"/>
      <c r="Q668" s="1"/>
      <c r="R668" s="1"/>
      <c r="S668" s="106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55"/>
      <c r="AO668" s="106"/>
      <c r="AP668" s="106"/>
      <c r="AQ668" s="106"/>
      <c r="AR668" s="106"/>
      <c r="AS668" s="106"/>
      <c r="AT668" s="31"/>
      <c r="AU668" s="31"/>
      <c r="AV668" s="31"/>
      <c r="AW668" s="154"/>
      <c r="AX668" s="154"/>
      <c r="AY668" s="106"/>
      <c r="AZ668" s="106"/>
      <c r="BA668" s="106"/>
      <c r="BB668" s="106"/>
      <c r="BC668" s="106"/>
      <c r="BD668" s="106"/>
      <c r="BE668" s="107"/>
      <c r="BF668" s="105"/>
      <c r="BG668" s="105"/>
      <c r="BH668" s="105"/>
      <c r="BI668" s="108"/>
      <c r="BJ668" s="160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7"/>
      <c r="BY668" s="106"/>
      <c r="BZ668" s="107"/>
      <c r="CA668" s="107"/>
      <c r="CB668" s="107"/>
      <c r="CC668" s="107"/>
      <c r="CD668" s="107"/>
      <c r="CE668" s="107"/>
      <c r="CF668" s="107"/>
      <c r="CG668" s="107"/>
      <c r="CH668" s="106"/>
      <c r="CI668" s="106"/>
      <c r="CJ668" s="106"/>
      <c r="CK668" s="106"/>
      <c r="CL668" s="106"/>
      <c r="CM668" s="138"/>
      <c r="CN668" s="138"/>
      <c r="CO668" s="138"/>
      <c r="CP668" s="138"/>
      <c r="CQ668" s="138"/>
      <c r="CR668" s="138"/>
      <c r="CS668" s="138"/>
      <c r="CT668" s="138"/>
      <c r="CU668" s="138"/>
      <c r="CV668" s="138"/>
      <c r="CW668" s="138"/>
      <c r="CX668" s="138"/>
      <c r="CY668" s="138"/>
      <c r="CZ668" s="138"/>
      <c r="DA668" s="138"/>
      <c r="DB668" s="138"/>
      <c r="DC668" s="138"/>
      <c r="DD668" s="138"/>
      <c r="DE668" s="138"/>
      <c r="DF668" s="138"/>
      <c r="DG668" s="1"/>
      <c r="DH668" s="55"/>
      <c r="DI668" s="53"/>
      <c r="DL668" s="54"/>
      <c r="DM668" s="54"/>
      <c r="DN668" s="54"/>
      <c r="DO668" s="54"/>
      <c r="DP668" s="54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L668" s="55"/>
      <c r="EM668" s="1"/>
      <c r="EN668" s="106"/>
      <c r="EO668" s="106"/>
      <c r="EP668" s="1"/>
      <c r="EQ668" s="106"/>
      <c r="ER668" s="1"/>
      <c r="ES668" s="1"/>
      <c r="ET668" s="1"/>
      <c r="EU668" s="107"/>
    </row>
    <row r="669" spans="9:151">
      <c r="I669" s="137"/>
      <c r="J669" s="138"/>
      <c r="K669" s="1"/>
      <c r="L669" s="1"/>
      <c r="Q669" s="1"/>
      <c r="R669" s="1"/>
      <c r="S669" s="106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55"/>
      <c r="AO669" s="106"/>
      <c r="AP669" s="106"/>
      <c r="AQ669" s="106"/>
      <c r="AR669" s="106"/>
      <c r="AS669" s="106"/>
      <c r="AT669" s="31"/>
      <c r="AU669" s="31"/>
      <c r="AV669" s="31"/>
      <c r="AW669" s="154"/>
      <c r="AX669" s="154"/>
      <c r="AY669" s="106"/>
      <c r="AZ669" s="106"/>
      <c r="BA669" s="106"/>
      <c r="BB669" s="106"/>
      <c r="BC669" s="106"/>
      <c r="BD669" s="106"/>
      <c r="BE669" s="107"/>
      <c r="BF669" s="105"/>
      <c r="BG669" s="105"/>
      <c r="BH669" s="105"/>
      <c r="BI669" s="108"/>
      <c r="BJ669" s="160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7"/>
      <c r="BY669" s="106"/>
      <c r="BZ669" s="107"/>
      <c r="CA669" s="107"/>
      <c r="CB669" s="107"/>
      <c r="CC669" s="107"/>
      <c r="CD669" s="107"/>
      <c r="CE669" s="107"/>
      <c r="CF669" s="107"/>
      <c r="CG669" s="107"/>
      <c r="CH669" s="106"/>
      <c r="CI669" s="106"/>
      <c r="CJ669" s="106"/>
      <c r="CK669" s="106"/>
      <c r="CL669" s="106"/>
      <c r="CM669" s="138"/>
      <c r="CN669" s="138"/>
      <c r="CO669" s="138"/>
      <c r="CP669" s="138"/>
      <c r="CQ669" s="138"/>
      <c r="CR669" s="138"/>
      <c r="CS669" s="138"/>
      <c r="CT669" s="138"/>
      <c r="CU669" s="138"/>
      <c r="CV669" s="138"/>
      <c r="CW669" s="138"/>
      <c r="CX669" s="138"/>
      <c r="CY669" s="138"/>
      <c r="CZ669" s="138"/>
      <c r="DA669" s="138"/>
      <c r="DB669" s="138"/>
      <c r="DC669" s="138"/>
      <c r="DD669" s="138"/>
      <c r="DE669" s="138"/>
      <c r="DF669" s="138"/>
      <c r="DG669" s="1"/>
      <c r="DH669" s="55"/>
      <c r="DI669" s="53"/>
      <c r="DL669" s="54"/>
      <c r="DM669" s="54"/>
      <c r="DN669" s="54"/>
      <c r="DO669" s="54"/>
      <c r="DP669" s="54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L669" s="55"/>
      <c r="EM669" s="1"/>
      <c r="EN669" s="106"/>
      <c r="EO669" s="106"/>
      <c r="EP669" s="1"/>
      <c r="EQ669" s="106"/>
      <c r="ER669" s="1"/>
      <c r="ES669" s="1"/>
      <c r="ET669" s="1"/>
      <c r="EU669" s="107"/>
    </row>
    <row r="670" spans="9:151">
      <c r="I670" s="137"/>
      <c r="J670" s="138"/>
      <c r="K670" s="1"/>
      <c r="L670" s="1"/>
      <c r="Q670" s="1"/>
      <c r="R670" s="1"/>
      <c r="S670" s="106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55"/>
      <c r="AO670" s="106"/>
      <c r="AP670" s="106"/>
      <c r="AQ670" s="106"/>
      <c r="AR670" s="106"/>
      <c r="AS670" s="106"/>
      <c r="AT670" s="31"/>
      <c r="AU670" s="31"/>
      <c r="AV670" s="31"/>
      <c r="AW670" s="154"/>
      <c r="AX670" s="154"/>
      <c r="AY670" s="106"/>
      <c r="AZ670" s="106"/>
      <c r="BA670" s="106"/>
      <c r="BB670" s="106"/>
      <c r="BC670" s="106"/>
      <c r="BD670" s="106"/>
      <c r="BE670" s="107"/>
      <c r="BF670" s="105"/>
      <c r="BG670" s="105"/>
      <c r="BH670" s="105"/>
      <c r="BI670" s="108"/>
      <c r="BJ670" s="160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7"/>
      <c r="BY670" s="106"/>
      <c r="BZ670" s="107"/>
      <c r="CA670" s="107"/>
      <c r="CB670" s="107"/>
      <c r="CC670" s="107"/>
      <c r="CD670" s="107"/>
      <c r="CE670" s="107"/>
      <c r="CF670" s="107"/>
      <c r="CG670" s="107"/>
      <c r="CH670" s="106"/>
      <c r="CI670" s="106"/>
      <c r="CJ670" s="106"/>
      <c r="CK670" s="106"/>
      <c r="CL670" s="106"/>
      <c r="CM670" s="138"/>
      <c r="CN670" s="138"/>
      <c r="CO670" s="138"/>
      <c r="CP670" s="138"/>
      <c r="CQ670" s="138"/>
      <c r="CR670" s="138"/>
      <c r="CS670" s="138"/>
      <c r="CT670" s="138"/>
      <c r="CU670" s="138"/>
      <c r="CV670" s="138"/>
      <c r="CW670" s="138"/>
      <c r="CX670" s="138"/>
      <c r="CY670" s="138"/>
      <c r="CZ670" s="138"/>
      <c r="DA670" s="138"/>
      <c r="DB670" s="138"/>
      <c r="DC670" s="138"/>
      <c r="DD670" s="138"/>
      <c r="DE670" s="138"/>
      <c r="DF670" s="138"/>
      <c r="DG670" s="1"/>
      <c r="DH670" s="55"/>
      <c r="DI670" s="53"/>
      <c r="DL670" s="54"/>
      <c r="DM670" s="54"/>
      <c r="DN670" s="54"/>
      <c r="DO670" s="54"/>
      <c r="DP670" s="54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L670" s="55"/>
      <c r="EM670" s="1"/>
      <c r="EN670" s="106"/>
      <c r="EO670" s="106"/>
      <c r="EP670" s="1"/>
      <c r="EQ670" s="106"/>
      <c r="ER670" s="1"/>
      <c r="ES670" s="1"/>
      <c r="ET670" s="1"/>
      <c r="EU670" s="107"/>
    </row>
    <row r="671" spans="9:151">
      <c r="I671" s="137"/>
      <c r="J671" s="138"/>
      <c r="K671" s="1"/>
      <c r="L671" s="1"/>
      <c r="Q671" s="1"/>
      <c r="R671" s="1"/>
      <c r="S671" s="106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55"/>
      <c r="AO671" s="106"/>
      <c r="AP671" s="106"/>
      <c r="AQ671" s="106"/>
      <c r="AR671" s="106"/>
      <c r="AS671" s="106"/>
      <c r="AT671" s="31"/>
      <c r="AU671" s="31"/>
      <c r="AV671" s="31"/>
      <c r="AW671" s="154"/>
      <c r="AX671" s="154"/>
      <c r="AY671" s="106"/>
      <c r="AZ671" s="106"/>
      <c r="BA671" s="106"/>
      <c r="BB671" s="106"/>
      <c r="BC671" s="106"/>
      <c r="BD671" s="106"/>
      <c r="BE671" s="107"/>
      <c r="BF671" s="105"/>
      <c r="BG671" s="105"/>
      <c r="BH671" s="105"/>
      <c r="BI671" s="108"/>
      <c r="BJ671" s="160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7"/>
      <c r="BY671" s="106"/>
      <c r="BZ671" s="107"/>
      <c r="CA671" s="107"/>
      <c r="CB671" s="107"/>
      <c r="CC671" s="107"/>
      <c r="CD671" s="107"/>
      <c r="CE671" s="107"/>
      <c r="CF671" s="107"/>
      <c r="CG671" s="107"/>
      <c r="CH671" s="106"/>
      <c r="CI671" s="106"/>
      <c r="CJ671" s="106"/>
      <c r="CK671" s="106"/>
      <c r="CL671" s="106"/>
      <c r="CM671" s="138"/>
      <c r="CN671" s="138"/>
      <c r="CO671" s="138"/>
      <c r="CP671" s="138"/>
      <c r="CQ671" s="138"/>
      <c r="CR671" s="138"/>
      <c r="CS671" s="138"/>
      <c r="CT671" s="138"/>
      <c r="CU671" s="138"/>
      <c r="CV671" s="138"/>
      <c r="CW671" s="138"/>
      <c r="CX671" s="138"/>
      <c r="CY671" s="138"/>
      <c r="CZ671" s="138"/>
      <c r="DA671" s="138"/>
      <c r="DB671" s="138"/>
      <c r="DC671" s="138"/>
      <c r="DD671" s="138"/>
      <c r="DE671" s="138"/>
      <c r="DF671" s="138"/>
      <c r="DG671" s="1"/>
      <c r="DH671" s="55"/>
      <c r="DI671" s="53"/>
      <c r="DL671" s="54"/>
      <c r="DM671" s="54"/>
      <c r="DN671" s="54"/>
      <c r="DO671" s="54"/>
      <c r="DP671" s="54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L671" s="55"/>
      <c r="EM671" s="1"/>
      <c r="EN671" s="106"/>
      <c r="EO671" s="106"/>
      <c r="EP671" s="1"/>
      <c r="EQ671" s="106"/>
      <c r="ER671" s="1"/>
      <c r="ES671" s="1"/>
      <c r="ET671" s="1"/>
      <c r="EU671" s="107"/>
    </row>
    <row r="672" spans="9:151">
      <c r="I672" s="137"/>
      <c r="J672" s="138"/>
      <c r="K672" s="1"/>
      <c r="L672" s="1"/>
      <c r="Q672" s="1"/>
      <c r="R672" s="1"/>
      <c r="S672" s="106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55"/>
      <c r="AO672" s="106"/>
      <c r="AP672" s="106"/>
      <c r="AQ672" s="106"/>
      <c r="AR672" s="106"/>
      <c r="AS672" s="106"/>
      <c r="AT672" s="31"/>
      <c r="AU672" s="31"/>
      <c r="AV672" s="31"/>
      <c r="AW672" s="154"/>
      <c r="AX672" s="154"/>
      <c r="AY672" s="106"/>
      <c r="AZ672" s="106"/>
      <c r="BA672" s="106"/>
      <c r="BB672" s="106"/>
      <c r="BC672" s="106"/>
      <c r="BD672" s="106"/>
      <c r="BE672" s="107"/>
      <c r="BF672" s="105"/>
      <c r="BG672" s="105"/>
      <c r="BH672" s="105"/>
      <c r="BI672" s="108"/>
      <c r="BJ672" s="160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7"/>
      <c r="BY672" s="106"/>
      <c r="BZ672" s="107"/>
      <c r="CA672" s="107"/>
      <c r="CB672" s="107"/>
      <c r="CC672" s="107"/>
      <c r="CD672" s="107"/>
      <c r="CE672" s="107"/>
      <c r="CF672" s="107"/>
      <c r="CG672" s="107"/>
      <c r="CH672" s="106"/>
      <c r="CI672" s="106"/>
      <c r="CJ672" s="106"/>
      <c r="CK672" s="106"/>
      <c r="CL672" s="106"/>
      <c r="CM672" s="138"/>
      <c r="CN672" s="138"/>
      <c r="CO672" s="138"/>
      <c r="CP672" s="138"/>
      <c r="CQ672" s="138"/>
      <c r="CR672" s="138"/>
      <c r="CS672" s="138"/>
      <c r="CT672" s="138"/>
      <c r="CU672" s="138"/>
      <c r="CV672" s="138"/>
      <c r="CW672" s="138"/>
      <c r="CX672" s="138"/>
      <c r="CY672" s="138"/>
      <c r="CZ672" s="138"/>
      <c r="DA672" s="138"/>
      <c r="DB672" s="138"/>
      <c r="DC672" s="138"/>
      <c r="DD672" s="138"/>
      <c r="DE672" s="138"/>
      <c r="DF672" s="138"/>
      <c r="DG672" s="1"/>
      <c r="DH672" s="55"/>
      <c r="DI672" s="53"/>
      <c r="DL672" s="54"/>
      <c r="DM672" s="54"/>
      <c r="DN672" s="54"/>
      <c r="DO672" s="54"/>
      <c r="DP672" s="54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L672" s="55"/>
      <c r="EM672" s="1"/>
      <c r="EN672" s="106"/>
      <c r="EO672" s="106"/>
      <c r="EP672" s="1"/>
      <c r="EQ672" s="106"/>
      <c r="ER672" s="1"/>
      <c r="ES672" s="1"/>
      <c r="ET672" s="1"/>
      <c r="EU672" s="107"/>
    </row>
    <row r="673" spans="9:151">
      <c r="I673" s="137"/>
      <c r="J673" s="138"/>
      <c r="K673" s="1"/>
      <c r="L673" s="1"/>
      <c r="Q673" s="1"/>
      <c r="R673" s="1"/>
      <c r="S673" s="106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55"/>
      <c r="AO673" s="106"/>
      <c r="AP673" s="106"/>
      <c r="AQ673" s="106"/>
      <c r="AR673" s="106"/>
      <c r="AS673" s="106"/>
      <c r="AT673" s="31"/>
      <c r="AU673" s="31"/>
      <c r="AV673" s="31"/>
      <c r="AW673" s="154"/>
      <c r="AX673" s="154"/>
      <c r="AY673" s="106"/>
      <c r="AZ673" s="106"/>
      <c r="BA673" s="106"/>
      <c r="BB673" s="106"/>
      <c r="BC673" s="106"/>
      <c r="BD673" s="106"/>
      <c r="BE673" s="107"/>
      <c r="BF673" s="105"/>
      <c r="BG673" s="105"/>
      <c r="BH673" s="105"/>
      <c r="BI673" s="108"/>
      <c r="BJ673" s="160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7"/>
      <c r="BY673" s="106"/>
      <c r="BZ673" s="107"/>
      <c r="CA673" s="107"/>
      <c r="CB673" s="107"/>
      <c r="CC673" s="107"/>
      <c r="CD673" s="107"/>
      <c r="CE673" s="107"/>
      <c r="CF673" s="107"/>
      <c r="CG673" s="107"/>
      <c r="CH673" s="106"/>
      <c r="CI673" s="106"/>
      <c r="CJ673" s="106"/>
      <c r="CK673" s="106"/>
      <c r="CL673" s="106"/>
      <c r="CM673" s="138"/>
      <c r="CN673" s="138"/>
      <c r="CO673" s="138"/>
      <c r="CP673" s="138"/>
      <c r="CQ673" s="138"/>
      <c r="CR673" s="138"/>
      <c r="CS673" s="138"/>
      <c r="CT673" s="138"/>
      <c r="CU673" s="138"/>
      <c r="CV673" s="138"/>
      <c r="CW673" s="138"/>
      <c r="CX673" s="138"/>
      <c r="CY673" s="138"/>
      <c r="CZ673" s="138"/>
      <c r="DA673" s="138"/>
      <c r="DB673" s="138"/>
      <c r="DC673" s="138"/>
      <c r="DD673" s="138"/>
      <c r="DE673" s="138"/>
      <c r="DF673" s="138"/>
      <c r="DG673" s="1"/>
      <c r="DH673" s="55"/>
      <c r="DI673" s="53"/>
      <c r="DL673" s="54"/>
      <c r="DM673" s="54"/>
      <c r="DN673" s="54"/>
      <c r="DO673" s="54"/>
      <c r="DP673" s="54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L673" s="55"/>
      <c r="EM673" s="1"/>
      <c r="EN673" s="106"/>
      <c r="EO673" s="106"/>
      <c r="EP673" s="1"/>
      <c r="EQ673" s="106"/>
      <c r="ER673" s="1"/>
      <c r="ES673" s="1"/>
      <c r="ET673" s="1"/>
      <c r="EU673" s="107"/>
    </row>
    <row r="674" spans="9:151">
      <c r="I674" s="137"/>
      <c r="J674" s="138"/>
      <c r="K674" s="1"/>
      <c r="L674" s="1"/>
      <c r="Q674" s="1"/>
      <c r="R674" s="1"/>
      <c r="S674" s="106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55"/>
      <c r="AO674" s="106"/>
      <c r="AP674" s="106"/>
      <c r="AQ674" s="106"/>
      <c r="AR674" s="106"/>
      <c r="AS674" s="106"/>
      <c r="AT674" s="31"/>
      <c r="AU674" s="31"/>
      <c r="AV674" s="31"/>
      <c r="AW674" s="154"/>
      <c r="AX674" s="154"/>
      <c r="AY674" s="106"/>
      <c r="AZ674" s="106"/>
      <c r="BA674" s="106"/>
      <c r="BB674" s="106"/>
      <c r="BC674" s="106"/>
      <c r="BD674" s="106"/>
      <c r="BE674" s="107"/>
      <c r="BF674" s="105"/>
      <c r="BG674" s="105"/>
      <c r="BH674" s="105"/>
      <c r="BI674" s="108"/>
      <c r="BJ674" s="160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7"/>
      <c r="BY674" s="106"/>
      <c r="BZ674" s="107"/>
      <c r="CA674" s="107"/>
      <c r="CB674" s="107"/>
      <c r="CC674" s="107"/>
      <c r="CD674" s="107"/>
      <c r="CE674" s="107"/>
      <c r="CF674" s="107"/>
      <c r="CG674" s="107"/>
      <c r="CH674" s="106"/>
      <c r="CI674" s="106"/>
      <c r="CJ674" s="106"/>
      <c r="CK674" s="106"/>
      <c r="CL674" s="106"/>
      <c r="CM674" s="138"/>
      <c r="CN674" s="138"/>
      <c r="CO674" s="138"/>
      <c r="CP674" s="138"/>
      <c r="CQ674" s="138"/>
      <c r="CR674" s="138"/>
      <c r="CS674" s="138"/>
      <c r="CT674" s="138"/>
      <c r="CU674" s="138"/>
      <c r="CV674" s="138"/>
      <c r="CW674" s="138"/>
      <c r="CX674" s="138"/>
      <c r="CY674" s="138"/>
      <c r="CZ674" s="138"/>
      <c r="DA674" s="138"/>
      <c r="DB674" s="138"/>
      <c r="DC674" s="138"/>
      <c r="DD674" s="138"/>
      <c r="DE674" s="138"/>
      <c r="DF674" s="138"/>
      <c r="DG674" s="1"/>
      <c r="DH674" s="55"/>
      <c r="DI674" s="53"/>
      <c r="DL674" s="54"/>
      <c r="DM674" s="54"/>
      <c r="DN674" s="54"/>
      <c r="DO674" s="54"/>
      <c r="DP674" s="54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L674" s="55"/>
      <c r="EM674" s="1"/>
      <c r="EN674" s="106"/>
      <c r="EO674" s="106"/>
      <c r="EP674" s="1"/>
      <c r="EQ674" s="106"/>
      <c r="ER674" s="1"/>
      <c r="ES674" s="1"/>
      <c r="ET674" s="1"/>
      <c r="EU674" s="107"/>
    </row>
    <row r="675" spans="9:151">
      <c r="I675" s="137"/>
      <c r="J675" s="138"/>
      <c r="K675" s="1"/>
      <c r="L675" s="1"/>
      <c r="Q675" s="1"/>
      <c r="R675" s="1"/>
      <c r="S675" s="106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55"/>
      <c r="AO675" s="106"/>
      <c r="AP675" s="106"/>
      <c r="AQ675" s="106"/>
      <c r="AR675" s="106"/>
      <c r="AS675" s="106"/>
      <c r="AT675" s="31"/>
      <c r="AU675" s="31"/>
      <c r="AV675" s="31"/>
      <c r="AW675" s="154"/>
      <c r="AX675" s="154"/>
      <c r="AY675" s="106"/>
      <c r="AZ675" s="106"/>
      <c r="BA675" s="106"/>
      <c r="BB675" s="106"/>
      <c r="BC675" s="106"/>
      <c r="BD675" s="106"/>
      <c r="BE675" s="107"/>
      <c r="BF675" s="105"/>
      <c r="BG675" s="105"/>
      <c r="BH675" s="105"/>
      <c r="BI675" s="108"/>
      <c r="BJ675" s="160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7"/>
      <c r="BY675" s="106"/>
      <c r="BZ675" s="107"/>
      <c r="CA675" s="107"/>
      <c r="CB675" s="107"/>
      <c r="CC675" s="107"/>
      <c r="CD675" s="107"/>
      <c r="CE675" s="107"/>
      <c r="CF675" s="107"/>
      <c r="CG675" s="107"/>
      <c r="CH675" s="106"/>
      <c r="CI675" s="106"/>
      <c r="CJ675" s="106"/>
      <c r="CK675" s="106"/>
      <c r="CL675" s="106"/>
      <c r="CM675" s="138"/>
      <c r="CN675" s="138"/>
      <c r="CO675" s="138"/>
      <c r="CP675" s="138"/>
      <c r="CQ675" s="138"/>
      <c r="CR675" s="138"/>
      <c r="CS675" s="138"/>
      <c r="CT675" s="138"/>
      <c r="CU675" s="138"/>
      <c r="CV675" s="138"/>
      <c r="CW675" s="138"/>
      <c r="CX675" s="138"/>
      <c r="CY675" s="138"/>
      <c r="CZ675" s="138"/>
      <c r="DA675" s="138"/>
      <c r="DB675" s="138"/>
      <c r="DC675" s="138"/>
      <c r="DD675" s="138"/>
      <c r="DE675" s="138"/>
      <c r="DF675" s="138"/>
      <c r="DG675" s="1"/>
      <c r="DH675" s="55"/>
      <c r="DI675" s="53"/>
      <c r="DL675" s="54"/>
      <c r="DM675" s="54"/>
      <c r="DN675" s="54"/>
      <c r="DO675" s="54"/>
      <c r="DP675" s="54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L675" s="55"/>
      <c r="EM675" s="1"/>
      <c r="EN675" s="106"/>
      <c r="EO675" s="106"/>
      <c r="EP675" s="1"/>
      <c r="EQ675" s="106"/>
      <c r="ER675" s="1"/>
      <c r="ES675" s="1"/>
      <c r="ET675" s="1"/>
      <c r="EU675" s="107"/>
    </row>
    <row r="676" spans="9:151">
      <c r="I676" s="137"/>
      <c r="J676" s="138"/>
      <c r="K676" s="1"/>
      <c r="L676" s="1"/>
      <c r="Q676" s="1"/>
      <c r="R676" s="1"/>
      <c r="S676" s="106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55"/>
      <c r="AO676" s="106"/>
      <c r="AP676" s="106"/>
      <c r="AQ676" s="106"/>
      <c r="AR676" s="106"/>
      <c r="AS676" s="106"/>
      <c r="AT676" s="31"/>
      <c r="AU676" s="31"/>
      <c r="AV676" s="31"/>
      <c r="AW676" s="154"/>
      <c r="AX676" s="154"/>
      <c r="AY676" s="106"/>
      <c r="AZ676" s="106"/>
      <c r="BA676" s="106"/>
      <c r="BB676" s="106"/>
      <c r="BC676" s="106"/>
      <c r="BD676" s="106"/>
      <c r="BE676" s="107"/>
      <c r="BF676" s="105"/>
      <c r="BG676" s="105"/>
      <c r="BH676" s="105"/>
      <c r="BI676" s="108"/>
      <c r="BJ676" s="160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7"/>
      <c r="BY676" s="106"/>
      <c r="BZ676" s="107"/>
      <c r="CA676" s="107"/>
      <c r="CB676" s="107"/>
      <c r="CC676" s="107"/>
      <c r="CD676" s="107"/>
      <c r="CE676" s="107"/>
      <c r="CF676" s="107"/>
      <c r="CG676" s="107"/>
      <c r="CH676" s="106"/>
      <c r="CI676" s="106"/>
      <c r="CJ676" s="106"/>
      <c r="CK676" s="106"/>
      <c r="CL676" s="106"/>
      <c r="CM676" s="138"/>
      <c r="CN676" s="138"/>
      <c r="CO676" s="138"/>
      <c r="CP676" s="138"/>
      <c r="CQ676" s="138"/>
      <c r="CR676" s="138"/>
      <c r="CS676" s="138"/>
      <c r="CT676" s="138"/>
      <c r="CU676" s="138"/>
      <c r="CV676" s="138"/>
      <c r="CW676" s="138"/>
      <c r="CX676" s="138"/>
      <c r="CY676" s="138"/>
      <c r="CZ676" s="138"/>
      <c r="DA676" s="138"/>
      <c r="DB676" s="138"/>
      <c r="DC676" s="138"/>
      <c r="DD676" s="138"/>
      <c r="DE676" s="138"/>
      <c r="DF676" s="138"/>
      <c r="DG676" s="1"/>
      <c r="DH676" s="55"/>
      <c r="DI676" s="53"/>
      <c r="DL676" s="54"/>
      <c r="DM676" s="54"/>
      <c r="DN676" s="54"/>
      <c r="DO676" s="54"/>
      <c r="DP676" s="54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L676" s="55"/>
      <c r="EM676" s="1"/>
      <c r="EN676" s="106"/>
      <c r="EO676" s="106"/>
      <c r="EP676" s="1"/>
      <c r="EQ676" s="106"/>
      <c r="ER676" s="1"/>
      <c r="ES676" s="1"/>
      <c r="ET676" s="1"/>
      <c r="EU676" s="107"/>
    </row>
    <row r="677" spans="9:151">
      <c r="I677" s="137"/>
      <c r="J677" s="138"/>
      <c r="K677" s="1"/>
      <c r="L677" s="1"/>
      <c r="Q677" s="1"/>
      <c r="R677" s="1"/>
      <c r="S677" s="106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55"/>
      <c r="AO677" s="106"/>
      <c r="AP677" s="106"/>
      <c r="AQ677" s="106"/>
      <c r="AR677" s="106"/>
      <c r="AS677" s="106"/>
      <c r="AT677" s="31"/>
      <c r="AU677" s="31"/>
      <c r="AV677" s="31"/>
      <c r="AW677" s="154"/>
      <c r="AX677" s="154"/>
      <c r="AY677" s="106"/>
      <c r="AZ677" s="106"/>
      <c r="BA677" s="106"/>
      <c r="BB677" s="106"/>
      <c r="BC677" s="106"/>
      <c r="BD677" s="106"/>
      <c r="BE677" s="107"/>
      <c r="BF677" s="105"/>
      <c r="BG677" s="105"/>
      <c r="BH677" s="105"/>
      <c r="BI677" s="108"/>
      <c r="BJ677" s="160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7"/>
      <c r="BY677" s="106"/>
      <c r="BZ677" s="107"/>
      <c r="CA677" s="107"/>
      <c r="CB677" s="107"/>
      <c r="CC677" s="107"/>
      <c r="CD677" s="107"/>
      <c r="CE677" s="107"/>
      <c r="CF677" s="107"/>
      <c r="CG677" s="107"/>
      <c r="CH677" s="106"/>
      <c r="CI677" s="106"/>
      <c r="CJ677" s="106"/>
      <c r="CK677" s="106"/>
      <c r="CL677" s="106"/>
      <c r="CM677" s="138"/>
      <c r="CN677" s="138"/>
      <c r="CO677" s="138"/>
      <c r="CP677" s="138"/>
      <c r="CQ677" s="138"/>
      <c r="CR677" s="138"/>
      <c r="CS677" s="138"/>
      <c r="CT677" s="138"/>
      <c r="CU677" s="138"/>
      <c r="CV677" s="138"/>
      <c r="CW677" s="138"/>
      <c r="CX677" s="138"/>
      <c r="CY677" s="138"/>
      <c r="CZ677" s="138"/>
      <c r="DA677" s="138"/>
      <c r="DB677" s="138"/>
      <c r="DC677" s="138"/>
      <c r="DD677" s="138"/>
      <c r="DE677" s="138"/>
      <c r="DF677" s="138"/>
      <c r="DG677" s="1"/>
      <c r="DH677" s="55"/>
      <c r="DI677" s="53"/>
      <c r="DL677" s="54"/>
      <c r="DM677" s="54"/>
      <c r="DN677" s="54"/>
      <c r="DO677" s="54"/>
      <c r="DP677" s="54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L677" s="55"/>
      <c r="EM677" s="1"/>
      <c r="EN677" s="106"/>
      <c r="EO677" s="106"/>
      <c r="EP677" s="1"/>
      <c r="EQ677" s="106"/>
      <c r="ER677" s="1"/>
      <c r="ES677" s="1"/>
      <c r="ET677" s="1"/>
      <c r="EU677" s="107"/>
    </row>
    <row r="678" spans="9:151">
      <c r="I678" s="137"/>
      <c r="J678" s="138"/>
      <c r="K678" s="1"/>
      <c r="L678" s="1"/>
      <c r="Q678" s="1"/>
      <c r="R678" s="1"/>
      <c r="S678" s="106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55"/>
      <c r="AO678" s="106"/>
      <c r="AP678" s="106"/>
      <c r="AQ678" s="106"/>
      <c r="AR678" s="106"/>
      <c r="AS678" s="106"/>
      <c r="AT678" s="31"/>
      <c r="AU678" s="31"/>
      <c r="AV678" s="31"/>
      <c r="AW678" s="154"/>
      <c r="AX678" s="154"/>
      <c r="AY678" s="106"/>
      <c r="AZ678" s="106"/>
      <c r="BA678" s="106"/>
      <c r="BB678" s="106"/>
      <c r="BC678" s="106"/>
      <c r="BD678" s="106"/>
      <c r="BE678" s="107"/>
      <c r="BF678" s="105"/>
      <c r="BG678" s="105"/>
      <c r="BH678" s="105"/>
      <c r="BI678" s="108"/>
      <c r="BJ678" s="160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7"/>
      <c r="BY678" s="106"/>
      <c r="BZ678" s="107"/>
      <c r="CA678" s="107"/>
      <c r="CB678" s="107"/>
      <c r="CC678" s="107"/>
      <c r="CD678" s="107"/>
      <c r="CE678" s="107"/>
      <c r="CF678" s="107"/>
      <c r="CG678" s="107"/>
      <c r="CH678" s="106"/>
      <c r="CI678" s="106"/>
      <c r="CJ678" s="106"/>
      <c r="CK678" s="106"/>
      <c r="CL678" s="106"/>
      <c r="CM678" s="138"/>
      <c r="CN678" s="138"/>
      <c r="CO678" s="138"/>
      <c r="CP678" s="138"/>
      <c r="CQ678" s="138"/>
      <c r="CR678" s="138"/>
      <c r="CS678" s="138"/>
      <c r="CT678" s="138"/>
      <c r="CU678" s="138"/>
      <c r="CV678" s="138"/>
      <c r="CW678" s="138"/>
      <c r="CX678" s="138"/>
      <c r="CY678" s="138"/>
      <c r="CZ678" s="138"/>
      <c r="DA678" s="138"/>
      <c r="DB678" s="138"/>
      <c r="DC678" s="138"/>
      <c r="DD678" s="138"/>
      <c r="DE678" s="138"/>
      <c r="DF678" s="138"/>
      <c r="DG678" s="1"/>
      <c r="DH678" s="55"/>
      <c r="DI678" s="53"/>
      <c r="DL678" s="54"/>
      <c r="DM678" s="54"/>
      <c r="DN678" s="54"/>
      <c r="DO678" s="54"/>
      <c r="DP678" s="54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L678" s="55"/>
      <c r="EM678" s="1"/>
      <c r="EN678" s="106"/>
      <c r="EO678" s="106"/>
      <c r="EP678" s="1"/>
      <c r="EQ678" s="106"/>
      <c r="ER678" s="1"/>
      <c r="ES678" s="1"/>
      <c r="ET678" s="1"/>
      <c r="EU678" s="107"/>
    </row>
    <row r="679" spans="9:151">
      <c r="I679" s="137"/>
      <c r="J679" s="138"/>
      <c r="K679" s="1"/>
      <c r="L679" s="1"/>
      <c r="Q679" s="1"/>
      <c r="R679" s="1"/>
      <c r="S679" s="106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55"/>
      <c r="AO679" s="106"/>
      <c r="AP679" s="106"/>
      <c r="AQ679" s="106"/>
      <c r="AR679" s="106"/>
      <c r="AS679" s="106"/>
      <c r="AT679" s="31"/>
      <c r="AU679" s="31"/>
      <c r="AV679" s="31"/>
      <c r="AW679" s="154"/>
      <c r="AX679" s="154"/>
      <c r="AY679" s="106"/>
      <c r="AZ679" s="106"/>
      <c r="BA679" s="106"/>
      <c r="BB679" s="106"/>
      <c r="BC679" s="106"/>
      <c r="BD679" s="106"/>
      <c r="BE679" s="107"/>
      <c r="BF679" s="105"/>
      <c r="BG679" s="105"/>
      <c r="BH679" s="105"/>
      <c r="BI679" s="108"/>
      <c r="BJ679" s="160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7"/>
      <c r="BY679" s="106"/>
      <c r="BZ679" s="107"/>
      <c r="CA679" s="107"/>
      <c r="CB679" s="107"/>
      <c r="CC679" s="107"/>
      <c r="CD679" s="107"/>
      <c r="CE679" s="107"/>
      <c r="CF679" s="107"/>
      <c r="CG679" s="107"/>
      <c r="CH679" s="106"/>
      <c r="CI679" s="106"/>
      <c r="CJ679" s="106"/>
      <c r="CK679" s="106"/>
      <c r="CL679" s="106"/>
      <c r="CM679" s="138"/>
      <c r="CN679" s="138"/>
      <c r="CO679" s="138"/>
      <c r="CP679" s="138"/>
      <c r="CQ679" s="138"/>
      <c r="CR679" s="138"/>
      <c r="CS679" s="138"/>
      <c r="CT679" s="138"/>
      <c r="CU679" s="138"/>
      <c r="CV679" s="138"/>
      <c r="CW679" s="138"/>
      <c r="CX679" s="138"/>
      <c r="CY679" s="138"/>
      <c r="CZ679" s="138"/>
      <c r="DA679" s="138"/>
      <c r="DB679" s="138"/>
      <c r="DC679" s="138"/>
      <c r="DD679" s="138"/>
      <c r="DE679" s="138"/>
      <c r="DF679" s="138"/>
      <c r="DG679" s="1"/>
      <c r="DH679" s="55"/>
      <c r="DI679" s="53"/>
      <c r="DL679" s="54"/>
      <c r="DM679" s="54"/>
      <c r="DN679" s="54"/>
      <c r="DO679" s="54"/>
      <c r="DP679" s="54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L679" s="55"/>
      <c r="EM679" s="1"/>
      <c r="EN679" s="106"/>
      <c r="EO679" s="106"/>
      <c r="EP679" s="1"/>
      <c r="EQ679" s="106"/>
      <c r="ER679" s="1"/>
      <c r="ES679" s="1"/>
      <c r="ET679" s="1"/>
      <c r="EU679" s="107"/>
    </row>
    <row r="680" spans="9:151">
      <c r="I680" s="137"/>
      <c r="J680" s="138"/>
      <c r="K680" s="1"/>
      <c r="L680" s="1"/>
      <c r="Q680" s="1"/>
      <c r="R680" s="1"/>
      <c r="S680" s="106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55"/>
      <c r="AO680" s="106"/>
      <c r="AP680" s="106"/>
      <c r="AQ680" s="106"/>
      <c r="AR680" s="106"/>
      <c r="AS680" s="106"/>
      <c r="AT680" s="31"/>
      <c r="AU680" s="31"/>
      <c r="AV680" s="31"/>
      <c r="AW680" s="154"/>
      <c r="AX680" s="154"/>
      <c r="AY680" s="106"/>
      <c r="AZ680" s="106"/>
      <c r="BA680" s="106"/>
      <c r="BB680" s="106"/>
      <c r="BC680" s="106"/>
      <c r="BD680" s="106"/>
      <c r="BE680" s="107"/>
      <c r="BF680" s="105"/>
      <c r="BG680" s="105"/>
      <c r="BH680" s="105"/>
      <c r="BI680" s="108"/>
      <c r="BJ680" s="160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7"/>
      <c r="BY680" s="106"/>
      <c r="BZ680" s="107"/>
      <c r="CA680" s="107"/>
      <c r="CB680" s="107"/>
      <c r="CC680" s="107"/>
      <c r="CD680" s="107"/>
      <c r="CE680" s="107"/>
      <c r="CF680" s="107"/>
      <c r="CG680" s="107"/>
      <c r="CH680" s="106"/>
      <c r="CI680" s="106"/>
      <c r="CJ680" s="106"/>
      <c r="CK680" s="106"/>
      <c r="CL680" s="106"/>
      <c r="CM680" s="138"/>
      <c r="CN680" s="138"/>
      <c r="CO680" s="138"/>
      <c r="CP680" s="138"/>
      <c r="CQ680" s="138"/>
      <c r="CR680" s="138"/>
      <c r="CS680" s="138"/>
      <c r="CT680" s="138"/>
      <c r="CU680" s="138"/>
      <c r="CV680" s="138"/>
      <c r="CW680" s="138"/>
      <c r="CX680" s="138"/>
      <c r="CY680" s="138"/>
      <c r="CZ680" s="138"/>
      <c r="DA680" s="138"/>
      <c r="DB680" s="138"/>
      <c r="DC680" s="138"/>
      <c r="DD680" s="138"/>
      <c r="DE680" s="138"/>
      <c r="DF680" s="138"/>
      <c r="DG680" s="1"/>
      <c r="DH680" s="55"/>
      <c r="DI680" s="53"/>
      <c r="DL680" s="54"/>
      <c r="DM680" s="54"/>
      <c r="DN680" s="54"/>
      <c r="DO680" s="54"/>
      <c r="DP680" s="54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L680" s="55"/>
      <c r="EM680" s="1"/>
      <c r="EN680" s="106"/>
      <c r="EO680" s="106"/>
      <c r="EP680" s="1"/>
      <c r="EQ680" s="106"/>
      <c r="ER680" s="1"/>
      <c r="ES680" s="1"/>
      <c r="ET680" s="1"/>
      <c r="EU680" s="107"/>
    </row>
    <row r="681" spans="9:151">
      <c r="I681" s="137"/>
      <c r="J681" s="138"/>
      <c r="K681" s="1"/>
      <c r="L681" s="1"/>
      <c r="Q681" s="1"/>
      <c r="R681" s="1"/>
      <c r="S681" s="106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55"/>
      <c r="AO681" s="106"/>
      <c r="AP681" s="106"/>
      <c r="AQ681" s="106"/>
      <c r="AR681" s="106"/>
      <c r="AS681" s="106"/>
      <c r="AT681" s="31"/>
      <c r="AU681" s="31"/>
      <c r="AV681" s="31"/>
      <c r="AW681" s="154"/>
      <c r="AX681" s="154"/>
      <c r="AY681" s="106"/>
      <c r="AZ681" s="106"/>
      <c r="BA681" s="106"/>
      <c r="BB681" s="106"/>
      <c r="BC681" s="106"/>
      <c r="BD681" s="106"/>
      <c r="BE681" s="107"/>
      <c r="BF681" s="105"/>
      <c r="BG681" s="105"/>
      <c r="BH681" s="105"/>
      <c r="BI681" s="108"/>
      <c r="BJ681" s="160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7"/>
      <c r="BY681" s="106"/>
      <c r="BZ681" s="107"/>
      <c r="CA681" s="107"/>
      <c r="CB681" s="107"/>
      <c r="CC681" s="107"/>
      <c r="CD681" s="107"/>
      <c r="CE681" s="107"/>
      <c r="CF681" s="107"/>
      <c r="CG681" s="107"/>
      <c r="CH681" s="106"/>
      <c r="CI681" s="106"/>
      <c r="CJ681" s="106"/>
      <c r="CK681" s="106"/>
      <c r="CL681" s="106"/>
      <c r="CM681" s="138"/>
      <c r="CN681" s="138"/>
      <c r="CO681" s="138"/>
      <c r="CP681" s="138"/>
      <c r="CQ681" s="138"/>
      <c r="CR681" s="138"/>
      <c r="CS681" s="138"/>
      <c r="CT681" s="138"/>
      <c r="CU681" s="138"/>
      <c r="CV681" s="138"/>
      <c r="CW681" s="138"/>
      <c r="CX681" s="138"/>
      <c r="CY681" s="138"/>
      <c r="CZ681" s="138"/>
      <c r="DA681" s="138"/>
      <c r="DB681" s="138"/>
      <c r="DC681" s="138"/>
      <c r="DD681" s="138"/>
      <c r="DE681" s="138"/>
      <c r="DF681" s="138"/>
      <c r="DG681" s="1"/>
      <c r="DH681" s="55"/>
      <c r="DI681" s="53"/>
      <c r="DL681" s="54"/>
      <c r="DM681" s="54"/>
      <c r="DN681" s="54"/>
      <c r="DO681" s="54"/>
      <c r="DP681" s="54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L681" s="55"/>
      <c r="EM681" s="1"/>
      <c r="EN681" s="106"/>
      <c r="EO681" s="106"/>
      <c r="EP681" s="1"/>
      <c r="EQ681" s="106"/>
      <c r="ER681" s="1"/>
      <c r="ES681" s="1"/>
      <c r="ET681" s="1"/>
      <c r="EU681" s="107"/>
    </row>
    <row r="682" spans="9:151">
      <c r="I682" s="137"/>
      <c r="J682" s="138"/>
      <c r="K682" s="1"/>
      <c r="L682" s="1"/>
      <c r="Q682" s="1"/>
      <c r="R682" s="1"/>
      <c r="S682" s="106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55"/>
      <c r="AO682" s="106"/>
      <c r="AP682" s="106"/>
      <c r="AQ682" s="106"/>
      <c r="AR682" s="106"/>
      <c r="AS682" s="106"/>
      <c r="AT682" s="31"/>
      <c r="AU682" s="31"/>
      <c r="AV682" s="31"/>
      <c r="AW682" s="154"/>
      <c r="AX682" s="154"/>
      <c r="AY682" s="106"/>
      <c r="AZ682" s="106"/>
      <c r="BA682" s="106"/>
      <c r="BB682" s="106"/>
      <c r="BC682" s="106"/>
      <c r="BD682" s="106"/>
      <c r="BE682" s="107"/>
      <c r="BF682" s="105"/>
      <c r="BG682" s="105"/>
      <c r="BH682" s="105"/>
      <c r="BI682" s="108"/>
      <c r="BJ682" s="160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7"/>
      <c r="BY682" s="106"/>
      <c r="BZ682" s="107"/>
      <c r="CA682" s="107"/>
      <c r="CB682" s="107"/>
      <c r="CC682" s="107"/>
      <c r="CD682" s="107"/>
      <c r="CE682" s="107"/>
      <c r="CF682" s="107"/>
      <c r="CG682" s="107"/>
      <c r="CH682" s="106"/>
      <c r="CI682" s="106"/>
      <c r="CJ682" s="106"/>
      <c r="CK682" s="106"/>
      <c r="CL682" s="106"/>
      <c r="CM682" s="138"/>
      <c r="CN682" s="138"/>
      <c r="CO682" s="138"/>
      <c r="CP682" s="138"/>
      <c r="CQ682" s="138"/>
      <c r="CR682" s="138"/>
      <c r="CS682" s="138"/>
      <c r="CT682" s="138"/>
      <c r="CU682" s="138"/>
      <c r="CV682" s="138"/>
      <c r="CW682" s="138"/>
      <c r="CX682" s="138"/>
      <c r="CY682" s="138"/>
      <c r="CZ682" s="138"/>
      <c r="DA682" s="138"/>
      <c r="DB682" s="138"/>
      <c r="DC682" s="138"/>
      <c r="DD682" s="138"/>
      <c r="DE682" s="138"/>
      <c r="DF682" s="138"/>
      <c r="DG682" s="1"/>
      <c r="DH682" s="55"/>
      <c r="DI682" s="53"/>
      <c r="DL682" s="54"/>
      <c r="DM682" s="54"/>
      <c r="DN682" s="54"/>
      <c r="DO682" s="54"/>
      <c r="DP682" s="54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L682" s="55"/>
      <c r="EM682" s="1"/>
      <c r="EN682" s="106"/>
      <c r="EO682" s="106"/>
      <c r="EP682" s="1"/>
      <c r="EQ682" s="106"/>
      <c r="ER682" s="1"/>
      <c r="ES682" s="1"/>
      <c r="ET682" s="1"/>
      <c r="EU682" s="107"/>
    </row>
    <row r="683" spans="9:151">
      <c r="I683" s="137"/>
      <c r="J683" s="138"/>
      <c r="K683" s="1"/>
      <c r="L683" s="1"/>
      <c r="Q683" s="1"/>
      <c r="R683" s="1"/>
      <c r="S683" s="106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55"/>
      <c r="AO683" s="106"/>
      <c r="AP683" s="106"/>
      <c r="AQ683" s="106"/>
      <c r="AR683" s="106"/>
      <c r="AS683" s="106"/>
      <c r="AT683" s="31"/>
      <c r="AU683" s="31"/>
      <c r="AV683" s="31"/>
      <c r="AW683" s="154"/>
      <c r="AX683" s="154"/>
      <c r="AY683" s="106"/>
      <c r="AZ683" s="106"/>
      <c r="BA683" s="106"/>
      <c r="BB683" s="106"/>
      <c r="BC683" s="106"/>
      <c r="BD683" s="106"/>
      <c r="BE683" s="107"/>
      <c r="BF683" s="105"/>
      <c r="BG683" s="105"/>
      <c r="BH683" s="105"/>
      <c r="BI683" s="108"/>
      <c r="BJ683" s="160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7"/>
      <c r="BY683" s="106"/>
      <c r="BZ683" s="107"/>
      <c r="CA683" s="107"/>
      <c r="CB683" s="107"/>
      <c r="CC683" s="107"/>
      <c r="CD683" s="107"/>
      <c r="CE683" s="107"/>
      <c r="CF683" s="107"/>
      <c r="CG683" s="107"/>
      <c r="CH683" s="106"/>
      <c r="CI683" s="106"/>
      <c r="CJ683" s="106"/>
      <c r="CK683" s="106"/>
      <c r="CL683" s="106"/>
      <c r="CM683" s="138"/>
      <c r="CN683" s="138"/>
      <c r="CO683" s="138"/>
      <c r="CP683" s="138"/>
      <c r="CQ683" s="138"/>
      <c r="CR683" s="138"/>
      <c r="CS683" s="138"/>
      <c r="CT683" s="138"/>
      <c r="CU683" s="138"/>
      <c r="CV683" s="138"/>
      <c r="CW683" s="138"/>
      <c r="CX683" s="138"/>
      <c r="CY683" s="138"/>
      <c r="CZ683" s="138"/>
      <c r="DA683" s="138"/>
      <c r="DB683" s="138"/>
      <c r="DC683" s="138"/>
      <c r="DD683" s="138"/>
      <c r="DE683" s="138"/>
      <c r="DF683" s="138"/>
      <c r="DG683" s="1"/>
      <c r="DH683" s="55"/>
      <c r="DI683" s="53"/>
      <c r="DL683" s="54"/>
      <c r="DM683" s="54"/>
      <c r="DN683" s="54"/>
      <c r="DO683" s="54"/>
      <c r="DP683" s="54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L683" s="55"/>
      <c r="EM683" s="1"/>
      <c r="EN683" s="106"/>
      <c r="EO683" s="106"/>
      <c r="EP683" s="1"/>
      <c r="EQ683" s="106"/>
      <c r="ER683" s="1"/>
      <c r="ES683" s="1"/>
      <c r="ET683" s="1"/>
      <c r="EU683" s="107"/>
    </row>
    <row r="684" spans="9:151">
      <c r="I684" s="137"/>
      <c r="J684" s="138"/>
      <c r="K684" s="1"/>
      <c r="L684" s="1"/>
      <c r="Q684" s="1"/>
      <c r="R684" s="1"/>
      <c r="S684" s="106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55"/>
      <c r="AO684" s="106"/>
      <c r="AP684" s="106"/>
      <c r="AQ684" s="106"/>
      <c r="AR684" s="106"/>
      <c r="AS684" s="106"/>
      <c r="AT684" s="31"/>
      <c r="AU684" s="31"/>
      <c r="AV684" s="31"/>
      <c r="AW684" s="154"/>
      <c r="AX684" s="154"/>
      <c r="AY684" s="106"/>
      <c r="AZ684" s="106"/>
      <c r="BA684" s="106"/>
      <c r="BB684" s="106"/>
      <c r="BC684" s="106"/>
      <c r="BD684" s="106"/>
      <c r="BE684" s="107"/>
      <c r="BF684" s="105"/>
      <c r="BG684" s="105"/>
      <c r="BH684" s="105"/>
      <c r="BI684" s="108"/>
      <c r="BJ684" s="160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7"/>
      <c r="BY684" s="106"/>
      <c r="BZ684" s="107"/>
      <c r="CA684" s="107"/>
      <c r="CB684" s="107"/>
      <c r="CC684" s="107"/>
      <c r="CD684" s="107"/>
      <c r="CE684" s="107"/>
      <c r="CF684" s="107"/>
      <c r="CG684" s="107"/>
      <c r="CH684" s="106"/>
      <c r="CI684" s="106"/>
      <c r="CJ684" s="106"/>
      <c r="CK684" s="106"/>
      <c r="CL684" s="106"/>
      <c r="CM684" s="138"/>
      <c r="CN684" s="138"/>
      <c r="CO684" s="138"/>
      <c r="CP684" s="138"/>
      <c r="CQ684" s="138"/>
      <c r="CR684" s="138"/>
      <c r="CS684" s="138"/>
      <c r="CT684" s="138"/>
      <c r="CU684" s="138"/>
      <c r="CV684" s="138"/>
      <c r="CW684" s="138"/>
      <c r="CX684" s="138"/>
      <c r="CY684" s="138"/>
      <c r="CZ684" s="138"/>
      <c r="DA684" s="138"/>
      <c r="DB684" s="138"/>
      <c r="DC684" s="138"/>
      <c r="DD684" s="138"/>
      <c r="DE684" s="138"/>
      <c r="DF684" s="138"/>
      <c r="DG684" s="1"/>
      <c r="DH684" s="55"/>
      <c r="DI684" s="53"/>
      <c r="DL684" s="54"/>
      <c r="DM684" s="54"/>
      <c r="DN684" s="54"/>
      <c r="DO684" s="54"/>
      <c r="DP684" s="54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L684" s="55"/>
      <c r="EM684" s="1"/>
      <c r="EN684" s="106"/>
      <c r="EO684" s="106"/>
      <c r="EP684" s="1"/>
      <c r="EQ684" s="106"/>
      <c r="ER684" s="1"/>
      <c r="ES684" s="1"/>
      <c r="ET684" s="1"/>
      <c r="EU684" s="107"/>
    </row>
    <row r="685" spans="9:151">
      <c r="I685" s="137"/>
      <c r="J685" s="138"/>
      <c r="K685" s="1"/>
      <c r="L685" s="1"/>
      <c r="Q685" s="1"/>
      <c r="R685" s="1"/>
      <c r="S685" s="106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55"/>
      <c r="AO685" s="106"/>
      <c r="AP685" s="106"/>
      <c r="AQ685" s="106"/>
      <c r="AR685" s="106"/>
      <c r="AS685" s="106"/>
      <c r="AT685" s="31"/>
      <c r="AU685" s="31"/>
      <c r="AV685" s="31"/>
      <c r="AW685" s="154"/>
      <c r="AX685" s="154"/>
      <c r="AY685" s="106"/>
      <c r="AZ685" s="106"/>
      <c r="BA685" s="106"/>
      <c r="BB685" s="106"/>
      <c r="BC685" s="106"/>
      <c r="BD685" s="106"/>
      <c r="BE685" s="107"/>
      <c r="BF685" s="105"/>
      <c r="BG685" s="105"/>
      <c r="BH685" s="105"/>
      <c r="BI685" s="108"/>
      <c r="BJ685" s="160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7"/>
      <c r="BY685" s="106"/>
      <c r="BZ685" s="107"/>
      <c r="CA685" s="107"/>
      <c r="CB685" s="107"/>
      <c r="CC685" s="107"/>
      <c r="CD685" s="107"/>
      <c r="CE685" s="107"/>
      <c r="CF685" s="107"/>
      <c r="CG685" s="107"/>
      <c r="CH685" s="106"/>
      <c r="CI685" s="106"/>
      <c r="CJ685" s="106"/>
      <c r="CK685" s="106"/>
      <c r="CL685" s="106"/>
      <c r="CM685" s="138"/>
      <c r="CN685" s="138"/>
      <c r="CO685" s="138"/>
      <c r="CP685" s="138"/>
      <c r="CQ685" s="138"/>
      <c r="CR685" s="138"/>
      <c r="CS685" s="138"/>
      <c r="CT685" s="138"/>
      <c r="CU685" s="138"/>
      <c r="CV685" s="138"/>
      <c r="CW685" s="138"/>
      <c r="CX685" s="138"/>
      <c r="CY685" s="138"/>
      <c r="CZ685" s="138"/>
      <c r="DA685" s="138"/>
      <c r="DB685" s="138"/>
      <c r="DC685" s="138"/>
      <c r="DD685" s="138"/>
      <c r="DE685" s="138"/>
      <c r="DF685" s="138"/>
      <c r="DG685" s="1"/>
      <c r="DH685" s="55"/>
      <c r="DI685" s="53"/>
      <c r="DL685" s="54"/>
      <c r="DM685" s="54"/>
      <c r="DN685" s="54"/>
      <c r="DO685" s="54"/>
      <c r="DP685" s="54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L685" s="55"/>
      <c r="EM685" s="1"/>
      <c r="EN685" s="106"/>
      <c r="EO685" s="106"/>
      <c r="EP685" s="1"/>
      <c r="EQ685" s="106"/>
      <c r="ER685" s="1"/>
      <c r="ES685" s="1"/>
      <c r="ET685" s="1"/>
      <c r="EU685" s="107"/>
    </row>
    <row r="686" spans="9:151">
      <c r="I686" s="137"/>
      <c r="J686" s="138"/>
      <c r="K686" s="1"/>
      <c r="L686" s="1"/>
      <c r="Q686" s="1"/>
      <c r="R686" s="1"/>
      <c r="S686" s="106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55"/>
      <c r="AO686" s="106"/>
      <c r="AP686" s="106"/>
      <c r="AQ686" s="106"/>
      <c r="AR686" s="106"/>
      <c r="AS686" s="106"/>
      <c r="AT686" s="31"/>
      <c r="AU686" s="31"/>
      <c r="AV686" s="31"/>
      <c r="AW686" s="154"/>
      <c r="AX686" s="154"/>
      <c r="AY686" s="106"/>
      <c r="AZ686" s="106"/>
      <c r="BA686" s="106"/>
      <c r="BB686" s="106"/>
      <c r="BC686" s="106"/>
      <c r="BD686" s="106"/>
      <c r="BE686" s="107"/>
      <c r="BF686" s="105"/>
      <c r="BG686" s="105"/>
      <c r="BH686" s="105"/>
      <c r="BI686" s="108"/>
      <c r="BJ686" s="160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7"/>
      <c r="BY686" s="106"/>
      <c r="BZ686" s="107"/>
      <c r="CA686" s="107"/>
      <c r="CB686" s="107"/>
      <c r="CC686" s="107"/>
      <c r="CD686" s="107"/>
      <c r="CE686" s="107"/>
      <c r="CF686" s="107"/>
      <c r="CG686" s="107"/>
      <c r="CH686" s="106"/>
      <c r="CI686" s="106"/>
      <c r="CJ686" s="106"/>
      <c r="CK686" s="106"/>
      <c r="CL686" s="106"/>
      <c r="CM686" s="138"/>
      <c r="CN686" s="138"/>
      <c r="CO686" s="138"/>
      <c r="CP686" s="138"/>
      <c r="CQ686" s="138"/>
      <c r="CR686" s="138"/>
      <c r="CS686" s="138"/>
      <c r="CT686" s="138"/>
      <c r="CU686" s="138"/>
      <c r="CV686" s="138"/>
      <c r="CW686" s="138"/>
      <c r="CX686" s="138"/>
      <c r="CY686" s="138"/>
      <c r="CZ686" s="138"/>
      <c r="DA686" s="138"/>
      <c r="DB686" s="138"/>
      <c r="DC686" s="138"/>
      <c r="DD686" s="138"/>
      <c r="DE686" s="138"/>
      <c r="DF686" s="138"/>
      <c r="DG686" s="1"/>
      <c r="DH686" s="55"/>
      <c r="DI686" s="53"/>
      <c r="DL686" s="54"/>
      <c r="DM686" s="54"/>
      <c r="DN686" s="54"/>
      <c r="DO686" s="54"/>
      <c r="DP686" s="54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L686" s="55"/>
      <c r="EM686" s="1"/>
      <c r="EN686" s="106"/>
      <c r="EO686" s="106"/>
      <c r="EP686" s="1"/>
      <c r="EQ686" s="106"/>
      <c r="ER686" s="1"/>
      <c r="ES686" s="1"/>
      <c r="ET686" s="1"/>
      <c r="EU686" s="107"/>
    </row>
    <row r="687" spans="9:151">
      <c r="I687" s="137"/>
      <c r="J687" s="138"/>
      <c r="K687" s="1"/>
      <c r="L687" s="1"/>
      <c r="Q687" s="1"/>
      <c r="R687" s="1"/>
      <c r="S687" s="106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55"/>
      <c r="AO687" s="106"/>
      <c r="AP687" s="106"/>
      <c r="AQ687" s="106"/>
      <c r="AR687" s="106"/>
      <c r="AS687" s="106"/>
      <c r="AT687" s="31"/>
      <c r="AU687" s="31"/>
      <c r="AV687" s="31"/>
      <c r="AW687" s="154"/>
      <c r="AX687" s="154"/>
      <c r="AY687" s="106"/>
      <c r="AZ687" s="106"/>
      <c r="BA687" s="106"/>
      <c r="BB687" s="106"/>
      <c r="BC687" s="106"/>
      <c r="BD687" s="106"/>
      <c r="BE687" s="107"/>
      <c r="BF687" s="105"/>
      <c r="BG687" s="105"/>
      <c r="BH687" s="105"/>
      <c r="BI687" s="108"/>
      <c r="BJ687" s="160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7"/>
      <c r="BY687" s="106"/>
      <c r="BZ687" s="107"/>
      <c r="CA687" s="107"/>
      <c r="CB687" s="107"/>
      <c r="CC687" s="107"/>
      <c r="CD687" s="107"/>
      <c r="CE687" s="107"/>
      <c r="CF687" s="107"/>
      <c r="CG687" s="107"/>
      <c r="CH687" s="106"/>
      <c r="CI687" s="106"/>
      <c r="CJ687" s="106"/>
      <c r="CK687" s="106"/>
      <c r="CL687" s="106"/>
      <c r="CM687" s="138"/>
      <c r="CN687" s="138"/>
      <c r="CO687" s="138"/>
      <c r="CP687" s="138"/>
      <c r="CQ687" s="138"/>
      <c r="CR687" s="138"/>
      <c r="CS687" s="138"/>
      <c r="CT687" s="138"/>
      <c r="CU687" s="138"/>
      <c r="CV687" s="138"/>
      <c r="CW687" s="138"/>
      <c r="CX687" s="138"/>
      <c r="CY687" s="138"/>
      <c r="CZ687" s="138"/>
      <c r="DA687" s="138"/>
      <c r="DB687" s="138"/>
      <c r="DC687" s="138"/>
      <c r="DD687" s="138"/>
      <c r="DE687" s="138"/>
      <c r="DF687" s="138"/>
      <c r="DG687" s="1"/>
      <c r="DH687" s="55"/>
      <c r="DI687" s="53"/>
      <c r="DL687" s="54"/>
      <c r="DM687" s="54"/>
      <c r="DN687" s="54"/>
      <c r="DO687" s="54"/>
      <c r="DP687" s="54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L687" s="55"/>
      <c r="EM687" s="1"/>
      <c r="EN687" s="106"/>
      <c r="EO687" s="106"/>
      <c r="EP687" s="1"/>
      <c r="EQ687" s="106"/>
      <c r="ER687" s="1"/>
      <c r="ES687" s="1"/>
      <c r="ET687" s="1"/>
      <c r="EU687" s="107"/>
    </row>
    <row r="688" spans="9:151">
      <c r="I688" s="137"/>
      <c r="J688" s="138"/>
      <c r="K688" s="1"/>
      <c r="L688" s="1"/>
      <c r="Q688" s="1"/>
      <c r="R688" s="1"/>
      <c r="S688" s="106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55"/>
      <c r="AO688" s="106"/>
      <c r="AP688" s="106"/>
      <c r="AQ688" s="106"/>
      <c r="AR688" s="106"/>
      <c r="AS688" s="106"/>
      <c r="AT688" s="31"/>
      <c r="AU688" s="31"/>
      <c r="AV688" s="31"/>
      <c r="AW688" s="154"/>
      <c r="AX688" s="154"/>
      <c r="AY688" s="106"/>
      <c r="AZ688" s="106"/>
      <c r="BA688" s="106"/>
      <c r="BB688" s="106"/>
      <c r="BC688" s="106"/>
      <c r="BD688" s="106"/>
      <c r="BE688" s="107"/>
      <c r="BF688" s="105"/>
      <c r="BG688" s="105"/>
      <c r="BH688" s="105"/>
      <c r="BI688" s="108"/>
      <c r="BJ688" s="160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7"/>
      <c r="BY688" s="106"/>
      <c r="BZ688" s="107"/>
      <c r="CA688" s="107"/>
      <c r="CB688" s="107"/>
      <c r="CC688" s="107"/>
      <c r="CD688" s="107"/>
      <c r="CE688" s="107"/>
      <c r="CF688" s="107"/>
      <c r="CG688" s="107"/>
      <c r="CH688" s="106"/>
      <c r="CI688" s="106"/>
      <c r="CJ688" s="106"/>
      <c r="CK688" s="106"/>
      <c r="CL688" s="106"/>
      <c r="CM688" s="138"/>
      <c r="CN688" s="138"/>
      <c r="CO688" s="138"/>
      <c r="CP688" s="138"/>
      <c r="CQ688" s="138"/>
      <c r="CR688" s="138"/>
      <c r="CS688" s="138"/>
      <c r="CT688" s="138"/>
      <c r="CU688" s="138"/>
      <c r="CV688" s="138"/>
      <c r="CW688" s="138"/>
      <c r="CX688" s="138"/>
      <c r="CY688" s="138"/>
      <c r="CZ688" s="138"/>
      <c r="DA688" s="138"/>
      <c r="DB688" s="138"/>
      <c r="DC688" s="138"/>
      <c r="DD688" s="138"/>
      <c r="DE688" s="138"/>
      <c r="DF688" s="138"/>
      <c r="DG688" s="1"/>
      <c r="DH688" s="55"/>
      <c r="DI688" s="53"/>
      <c r="DL688" s="54"/>
      <c r="DM688" s="54"/>
      <c r="DN688" s="54"/>
      <c r="DO688" s="54"/>
      <c r="DP688" s="54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L688" s="55"/>
      <c r="EM688" s="1"/>
      <c r="EN688" s="106"/>
      <c r="EO688" s="106"/>
      <c r="EP688" s="1"/>
      <c r="EQ688" s="106"/>
      <c r="ER688" s="1"/>
      <c r="ES688" s="1"/>
      <c r="ET688" s="1"/>
      <c r="EU688" s="107"/>
    </row>
    <row r="689" spans="9:151">
      <c r="I689" s="137"/>
      <c r="J689" s="138"/>
      <c r="K689" s="1"/>
      <c r="L689" s="1"/>
      <c r="Q689" s="1"/>
      <c r="R689" s="1"/>
      <c r="S689" s="106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55"/>
      <c r="AN689" s="106"/>
      <c r="AO689" s="106"/>
      <c r="AP689" s="106"/>
      <c r="AQ689" s="106"/>
      <c r="AR689" s="106"/>
      <c r="AS689" s="31"/>
      <c r="AT689" s="31"/>
      <c r="AU689" s="31"/>
      <c r="AV689" s="154"/>
      <c r="AW689" s="154"/>
      <c r="AX689" s="106"/>
      <c r="AY689" s="106"/>
      <c r="AZ689" s="106"/>
      <c r="BA689" s="106"/>
      <c r="BB689" s="106"/>
      <c r="BC689" s="106"/>
      <c r="BD689" s="107"/>
      <c r="BE689" s="105"/>
      <c r="BF689" s="105"/>
      <c r="BG689" s="105"/>
      <c r="BH689" s="107"/>
      <c r="BI689" s="160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7"/>
      <c r="BX689" s="107"/>
      <c r="BY689" s="107"/>
      <c r="BZ689" s="107"/>
      <c r="CA689" s="107"/>
      <c r="CB689" s="107"/>
      <c r="CC689" s="107"/>
      <c r="CD689" s="107"/>
      <c r="CE689" s="107"/>
      <c r="CF689" s="107"/>
      <c r="CG689" s="106"/>
      <c r="CH689" s="106"/>
      <c r="CI689" s="106"/>
      <c r="CJ689" s="106"/>
      <c r="CK689" s="106"/>
      <c r="CL689" s="138"/>
      <c r="CM689" s="138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55"/>
      <c r="DH689" s="53"/>
      <c r="DL689" s="54"/>
      <c r="DM689" s="54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L689" s="55"/>
      <c r="EM689" s="1"/>
      <c r="EN689" s="106"/>
      <c r="EO689" s="106"/>
      <c r="EP689" s="1"/>
      <c r="EQ689" s="106"/>
      <c r="ER689" s="1"/>
      <c r="ES689" s="1"/>
      <c r="ET689" s="1"/>
      <c r="EU689" s="108"/>
    </row>
    <row r="690" spans="9:151">
      <c r="I690" s="137"/>
      <c r="J690" s="138"/>
      <c r="K690" s="1"/>
      <c r="L690" s="1"/>
      <c r="Q690" s="1"/>
      <c r="R690" s="1"/>
      <c r="S690" s="106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55"/>
      <c r="AN690" s="106"/>
      <c r="AO690" s="106"/>
      <c r="AP690" s="106"/>
      <c r="AQ690" s="106"/>
      <c r="AR690" s="106"/>
      <c r="AS690" s="31"/>
      <c r="AT690" s="31"/>
      <c r="AU690" s="31"/>
      <c r="AV690" s="154"/>
      <c r="AW690" s="154"/>
      <c r="AX690" s="106"/>
      <c r="AY690" s="106"/>
      <c r="AZ690" s="106"/>
      <c r="BA690" s="106"/>
      <c r="BB690" s="106"/>
      <c r="BC690" s="106"/>
      <c r="BD690" s="107"/>
      <c r="BE690" s="105"/>
      <c r="BF690" s="105"/>
      <c r="BG690" s="105"/>
      <c r="BH690" s="107"/>
      <c r="BI690" s="160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7"/>
      <c r="BX690" s="107"/>
      <c r="BY690" s="107"/>
      <c r="BZ690" s="107"/>
      <c r="CA690" s="107"/>
      <c r="CB690" s="107"/>
      <c r="CC690" s="107"/>
      <c r="CD690" s="107"/>
      <c r="CE690" s="107"/>
      <c r="CF690" s="107"/>
      <c r="CG690" s="106"/>
      <c r="CH690" s="106"/>
      <c r="CI690" s="106"/>
      <c r="CJ690" s="106"/>
      <c r="CK690" s="106"/>
      <c r="CL690" s="138"/>
      <c r="CM690" s="138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55"/>
      <c r="DH690" s="53"/>
      <c r="DL690" s="54"/>
      <c r="DM690" s="54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L690" s="55"/>
      <c r="EM690" s="1"/>
      <c r="EN690" s="106"/>
      <c r="EO690" s="106"/>
      <c r="EP690" s="1"/>
      <c r="EQ690" s="106"/>
      <c r="ER690" s="1"/>
      <c r="ES690" s="1"/>
      <c r="ET690" s="1"/>
      <c r="EU690" s="108"/>
    </row>
    <row r="691" spans="9:151">
      <c r="I691" s="137"/>
      <c r="J691" s="138"/>
      <c r="K691" s="1"/>
      <c r="L691" s="1"/>
      <c r="Q691" s="1"/>
      <c r="R691" s="1"/>
      <c r="S691" s="106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55"/>
      <c r="AN691" s="106"/>
      <c r="AO691" s="106"/>
      <c r="AP691" s="106"/>
      <c r="AQ691" s="106"/>
      <c r="AR691" s="106"/>
      <c r="AS691" s="31"/>
      <c r="AT691" s="31"/>
      <c r="AU691" s="31"/>
      <c r="AV691" s="154"/>
      <c r="AW691" s="154"/>
      <c r="AX691" s="106"/>
      <c r="AY691" s="106"/>
      <c r="AZ691" s="106"/>
      <c r="BA691" s="106"/>
      <c r="BB691" s="106"/>
      <c r="BC691" s="106"/>
      <c r="BD691" s="107"/>
      <c r="BE691" s="105"/>
      <c r="BF691" s="105"/>
      <c r="BG691" s="105"/>
      <c r="BH691" s="107"/>
      <c r="BI691" s="160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7"/>
      <c r="BX691" s="107"/>
      <c r="BY691" s="107"/>
      <c r="BZ691" s="107"/>
      <c r="CA691" s="107"/>
      <c r="CB691" s="107"/>
      <c r="CC691" s="107"/>
      <c r="CD691" s="107"/>
      <c r="CE691" s="107"/>
      <c r="CF691" s="107"/>
      <c r="CG691" s="106"/>
      <c r="CH691" s="106"/>
      <c r="CI691" s="106"/>
      <c r="CJ691" s="106"/>
      <c r="CK691" s="106"/>
      <c r="CL691" s="138"/>
      <c r="CM691" s="138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55"/>
      <c r="DH691" s="53"/>
      <c r="DL691" s="54"/>
      <c r="DM691" s="54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L691" s="55"/>
      <c r="EM691" s="1"/>
      <c r="EN691" s="106"/>
      <c r="EO691" s="106"/>
      <c r="EP691" s="1"/>
      <c r="EQ691" s="106"/>
      <c r="ER691" s="1"/>
      <c r="ES691" s="1"/>
      <c r="ET691" s="1"/>
      <c r="EU691" s="108"/>
    </row>
    <row r="692" spans="9:151">
      <c r="I692" s="137"/>
      <c r="J692" s="138"/>
      <c r="K692" s="1"/>
      <c r="L692" s="1"/>
      <c r="Q692" s="1"/>
      <c r="R692" s="1"/>
      <c r="S692" s="106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55"/>
      <c r="AN692" s="106"/>
      <c r="AO692" s="106"/>
      <c r="AP692" s="106"/>
      <c r="AQ692" s="106"/>
      <c r="AR692" s="106"/>
      <c r="AS692" s="31"/>
      <c r="AT692" s="31"/>
      <c r="AU692" s="31"/>
      <c r="AV692" s="154"/>
      <c r="AW692" s="154"/>
      <c r="AX692" s="106"/>
      <c r="AY692" s="106"/>
      <c r="AZ692" s="106"/>
      <c r="BA692" s="106"/>
      <c r="BB692" s="106"/>
      <c r="BC692" s="106"/>
      <c r="BD692" s="107"/>
      <c r="BE692" s="105"/>
      <c r="BF692" s="105"/>
      <c r="BG692" s="105"/>
      <c r="BH692" s="107"/>
      <c r="BI692" s="160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7"/>
      <c r="BX692" s="107"/>
      <c r="BY692" s="107"/>
      <c r="BZ692" s="107"/>
      <c r="CA692" s="107"/>
      <c r="CB692" s="107"/>
      <c r="CC692" s="107"/>
      <c r="CD692" s="107"/>
      <c r="CE692" s="107"/>
      <c r="CF692" s="107"/>
      <c r="CG692" s="106"/>
      <c r="CH692" s="106"/>
      <c r="CI692" s="106"/>
      <c r="CJ692" s="106"/>
      <c r="CK692" s="106"/>
      <c r="CL692" s="138"/>
      <c r="CM692" s="138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55"/>
      <c r="DH692" s="53"/>
      <c r="DL692" s="54"/>
      <c r="DM692" s="54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L692" s="55"/>
      <c r="EM692" s="1"/>
      <c r="EN692" s="106"/>
      <c r="EO692" s="106"/>
      <c r="EP692" s="1"/>
      <c r="EQ692" s="106"/>
      <c r="ER692" s="1"/>
      <c r="ES692" s="1"/>
      <c r="ET692" s="1"/>
      <c r="EU692" s="108"/>
    </row>
    <row r="693" spans="9:151">
      <c r="I693" s="137"/>
      <c r="J693" s="138"/>
      <c r="K693" s="1"/>
      <c r="L693" s="1"/>
      <c r="Q693" s="1"/>
      <c r="R693" s="1"/>
      <c r="S693" s="106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55"/>
      <c r="AN693" s="106"/>
      <c r="AO693" s="106"/>
      <c r="AP693" s="106"/>
      <c r="AQ693" s="106"/>
      <c r="AR693" s="106"/>
      <c r="AS693" s="31"/>
      <c r="AT693" s="31"/>
      <c r="AU693" s="31"/>
      <c r="AV693" s="154"/>
      <c r="AW693" s="154"/>
      <c r="AX693" s="106"/>
      <c r="AY693" s="106"/>
      <c r="AZ693" s="106"/>
      <c r="BA693" s="106"/>
      <c r="BB693" s="106"/>
      <c r="BC693" s="106"/>
      <c r="BD693" s="107"/>
      <c r="BE693" s="105"/>
      <c r="BF693" s="105"/>
      <c r="BG693" s="105"/>
      <c r="BH693" s="107"/>
      <c r="BI693" s="160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7"/>
      <c r="BX693" s="107"/>
      <c r="BY693" s="107"/>
      <c r="BZ693" s="107"/>
      <c r="CA693" s="107"/>
      <c r="CB693" s="107"/>
      <c r="CC693" s="107"/>
      <c r="CD693" s="107"/>
      <c r="CE693" s="107"/>
      <c r="CF693" s="107"/>
      <c r="CG693" s="106"/>
      <c r="CH693" s="106"/>
      <c r="CI693" s="106"/>
      <c r="CJ693" s="106"/>
      <c r="CK693" s="106"/>
      <c r="CL693" s="138"/>
      <c r="CM693" s="138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55"/>
      <c r="DH693" s="53"/>
      <c r="DL693" s="54"/>
      <c r="DM693" s="54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L693" s="55"/>
      <c r="EM693" s="1"/>
      <c r="EN693" s="106"/>
      <c r="EO693" s="106"/>
      <c r="EP693" s="1"/>
      <c r="EQ693" s="106"/>
      <c r="ER693" s="1"/>
      <c r="ES693" s="1"/>
      <c r="ET693" s="1"/>
      <c r="EU693" s="108"/>
    </row>
    <row r="694" spans="9:151">
      <c r="I694" s="137"/>
      <c r="J694" s="138"/>
      <c r="K694" s="1"/>
      <c r="L694" s="1"/>
      <c r="Q694" s="1"/>
      <c r="R694" s="1"/>
      <c r="S694" s="106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55"/>
      <c r="AN694" s="106"/>
      <c r="AO694" s="106"/>
      <c r="AP694" s="106"/>
      <c r="AQ694" s="106"/>
      <c r="AR694" s="106"/>
      <c r="AS694" s="31"/>
      <c r="AT694" s="31"/>
      <c r="AU694" s="31"/>
      <c r="AV694" s="154"/>
      <c r="AW694" s="154"/>
      <c r="AX694" s="106"/>
      <c r="AY694" s="106"/>
      <c r="AZ694" s="106"/>
      <c r="BA694" s="106"/>
      <c r="BB694" s="106"/>
      <c r="BC694" s="106"/>
      <c r="BD694" s="107"/>
      <c r="BE694" s="105"/>
      <c r="BF694" s="105"/>
      <c r="BG694" s="105"/>
      <c r="BH694" s="107"/>
      <c r="BI694" s="160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7"/>
      <c r="BX694" s="107"/>
      <c r="BY694" s="107"/>
      <c r="BZ694" s="107"/>
      <c r="CA694" s="107"/>
      <c r="CB694" s="107"/>
      <c r="CC694" s="107"/>
      <c r="CD694" s="107"/>
      <c r="CE694" s="107"/>
      <c r="CF694" s="107"/>
      <c r="CG694" s="106"/>
      <c r="CH694" s="106"/>
      <c r="CI694" s="106"/>
      <c r="CJ694" s="106"/>
      <c r="CK694" s="106"/>
      <c r="CL694" s="138"/>
      <c r="CM694" s="138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55"/>
      <c r="DH694" s="53"/>
      <c r="DL694" s="54"/>
      <c r="DM694" s="54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L694" s="55"/>
      <c r="EM694" s="1"/>
      <c r="EN694" s="106"/>
      <c r="EO694" s="106"/>
      <c r="EP694" s="1"/>
      <c r="EQ694" s="106"/>
      <c r="ER694" s="1"/>
      <c r="ES694" s="1"/>
      <c r="ET694" s="1"/>
      <c r="EU694" s="108"/>
    </row>
    <row r="695" spans="9:151">
      <c r="I695" s="137"/>
      <c r="J695" s="138"/>
      <c r="K695" s="1"/>
      <c r="L695" s="1"/>
      <c r="Q695" s="1"/>
      <c r="R695" s="1"/>
      <c r="S695" s="106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55"/>
      <c r="AN695" s="106"/>
      <c r="AO695" s="106"/>
      <c r="AP695" s="106"/>
      <c r="AQ695" s="106"/>
      <c r="AR695" s="106"/>
      <c r="AS695" s="31"/>
      <c r="AT695" s="31"/>
      <c r="AU695" s="31"/>
      <c r="AV695" s="154"/>
      <c r="AW695" s="154"/>
      <c r="AX695" s="106"/>
      <c r="AY695" s="106"/>
      <c r="AZ695" s="106"/>
      <c r="BA695" s="106"/>
      <c r="BB695" s="106"/>
      <c r="BC695" s="106"/>
      <c r="BD695" s="107"/>
      <c r="BE695" s="105"/>
      <c r="BF695" s="105"/>
      <c r="BG695" s="105"/>
      <c r="BH695" s="107"/>
      <c r="BI695" s="160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7"/>
      <c r="BX695" s="107"/>
      <c r="BY695" s="107"/>
      <c r="BZ695" s="107"/>
      <c r="CA695" s="107"/>
      <c r="CB695" s="107"/>
      <c r="CC695" s="107"/>
      <c r="CD695" s="107"/>
      <c r="CE695" s="107"/>
      <c r="CF695" s="107"/>
      <c r="CG695" s="106"/>
      <c r="CH695" s="106"/>
      <c r="CI695" s="106"/>
      <c r="CJ695" s="106"/>
      <c r="CK695" s="106"/>
      <c r="CL695" s="138"/>
      <c r="CM695" s="138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55"/>
      <c r="DH695" s="53"/>
      <c r="DL695" s="54"/>
      <c r="DM695" s="54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L695" s="55"/>
      <c r="EM695" s="1"/>
      <c r="EN695" s="106"/>
      <c r="EO695" s="106"/>
      <c r="EP695" s="1"/>
      <c r="EQ695" s="106"/>
      <c r="ER695" s="1"/>
      <c r="ES695" s="1"/>
      <c r="ET695" s="1"/>
      <c r="EU695" s="108"/>
    </row>
    <row r="696" spans="9:151">
      <c r="I696" s="137"/>
      <c r="J696" s="138"/>
      <c r="K696" s="1"/>
      <c r="L696" s="1"/>
      <c r="Q696" s="1"/>
      <c r="R696" s="1"/>
      <c r="S696" s="106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55"/>
      <c r="AN696" s="106"/>
      <c r="AO696" s="106"/>
      <c r="AP696" s="106"/>
      <c r="AQ696" s="106"/>
      <c r="AR696" s="106"/>
      <c r="AS696" s="31"/>
      <c r="AT696" s="31"/>
      <c r="AU696" s="31"/>
      <c r="AV696" s="154"/>
      <c r="AW696" s="154"/>
      <c r="AX696" s="106"/>
      <c r="AY696" s="106"/>
      <c r="AZ696" s="106"/>
      <c r="BA696" s="106"/>
      <c r="BB696" s="106"/>
      <c r="BC696" s="106"/>
      <c r="BD696" s="107"/>
      <c r="BE696" s="105"/>
      <c r="BF696" s="105"/>
      <c r="BG696" s="105"/>
      <c r="BH696" s="107"/>
      <c r="BI696" s="160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7"/>
      <c r="BX696" s="107"/>
      <c r="BY696" s="107"/>
      <c r="BZ696" s="107"/>
      <c r="CA696" s="107"/>
      <c r="CB696" s="107"/>
      <c r="CC696" s="107"/>
      <c r="CD696" s="107"/>
      <c r="CE696" s="107"/>
      <c r="CF696" s="107"/>
      <c r="CG696" s="106"/>
      <c r="CH696" s="106"/>
      <c r="CI696" s="106"/>
      <c r="CJ696" s="106"/>
      <c r="CK696" s="106"/>
      <c r="CL696" s="138"/>
      <c r="CM696" s="138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55"/>
      <c r="DH696" s="53"/>
      <c r="DL696" s="54"/>
      <c r="DM696" s="54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L696" s="55"/>
      <c r="EM696" s="1"/>
      <c r="EN696" s="106"/>
      <c r="EO696" s="106"/>
      <c r="EP696" s="1"/>
      <c r="EQ696" s="106"/>
      <c r="ER696" s="1"/>
      <c r="ES696" s="1"/>
      <c r="ET696" s="1"/>
      <c r="EU696" s="108"/>
    </row>
    <row r="697" spans="9:151">
      <c r="I697" s="137"/>
      <c r="J697" s="138"/>
      <c r="K697" s="1"/>
      <c r="L697" s="1"/>
      <c r="Q697" s="1"/>
      <c r="R697" s="1"/>
      <c r="S697" s="106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55"/>
      <c r="AN697" s="106"/>
      <c r="AO697" s="106"/>
      <c r="AP697" s="106"/>
      <c r="AQ697" s="106"/>
      <c r="AR697" s="106"/>
      <c r="AS697" s="31"/>
      <c r="AT697" s="31"/>
      <c r="AU697" s="31"/>
      <c r="AV697" s="154"/>
      <c r="AW697" s="154"/>
      <c r="AX697" s="106"/>
      <c r="AY697" s="106"/>
      <c r="AZ697" s="106"/>
      <c r="BA697" s="106"/>
      <c r="BB697" s="106"/>
      <c r="BC697" s="106"/>
      <c r="BD697" s="107"/>
      <c r="BE697" s="105"/>
      <c r="BF697" s="105"/>
      <c r="BG697" s="105"/>
      <c r="BH697" s="107"/>
      <c r="BI697" s="160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7"/>
      <c r="BX697" s="107"/>
      <c r="BY697" s="107"/>
      <c r="BZ697" s="107"/>
      <c r="CA697" s="107"/>
      <c r="CB697" s="107"/>
      <c r="CC697" s="107"/>
      <c r="CD697" s="107"/>
      <c r="CE697" s="107"/>
      <c r="CF697" s="107"/>
      <c r="CG697" s="106"/>
      <c r="CH697" s="106"/>
      <c r="CI697" s="106"/>
      <c r="CJ697" s="106"/>
      <c r="CK697" s="106"/>
      <c r="CL697" s="138"/>
      <c r="CM697" s="138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55"/>
      <c r="DH697" s="53"/>
      <c r="DL697" s="54"/>
      <c r="DM697" s="54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L697" s="55"/>
      <c r="EM697" s="1"/>
      <c r="EN697" s="106"/>
      <c r="EO697" s="106"/>
      <c r="EP697" s="1"/>
      <c r="EQ697" s="106"/>
      <c r="ER697" s="1"/>
      <c r="ES697" s="1"/>
      <c r="ET697" s="1"/>
      <c r="EU697" s="108"/>
    </row>
    <row r="698" spans="9:151">
      <c r="I698" s="137"/>
      <c r="J698" s="138"/>
      <c r="K698" s="1"/>
      <c r="L698" s="1"/>
      <c r="Q698" s="1"/>
      <c r="R698" s="1"/>
      <c r="S698" s="106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55"/>
      <c r="AN698" s="106"/>
      <c r="AO698" s="106"/>
      <c r="AP698" s="106"/>
      <c r="AQ698" s="106"/>
      <c r="AR698" s="106"/>
      <c r="AS698" s="31"/>
      <c r="AT698" s="31"/>
      <c r="AU698" s="31"/>
      <c r="AV698" s="154"/>
      <c r="AW698" s="154"/>
      <c r="AX698" s="106"/>
      <c r="AY698" s="106"/>
      <c r="AZ698" s="106"/>
      <c r="BA698" s="106"/>
      <c r="BB698" s="106"/>
      <c r="BC698" s="106"/>
      <c r="BD698" s="107"/>
      <c r="BE698" s="105"/>
      <c r="BF698" s="105"/>
      <c r="BG698" s="105"/>
      <c r="BH698" s="107"/>
      <c r="BI698" s="160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7"/>
      <c r="BX698" s="107"/>
      <c r="BY698" s="107"/>
      <c r="BZ698" s="107"/>
      <c r="CA698" s="107"/>
      <c r="CB698" s="107"/>
      <c r="CC698" s="107"/>
      <c r="CD698" s="107"/>
      <c r="CE698" s="107"/>
      <c r="CF698" s="107"/>
      <c r="CG698" s="106"/>
      <c r="CH698" s="106"/>
      <c r="CI698" s="106"/>
      <c r="CJ698" s="106"/>
      <c r="CK698" s="106"/>
      <c r="CL698" s="138"/>
      <c r="CM698" s="138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55"/>
      <c r="DH698" s="53"/>
      <c r="DL698" s="54"/>
      <c r="DM698" s="54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L698" s="55"/>
      <c r="EM698" s="1"/>
      <c r="EN698" s="106"/>
      <c r="EO698" s="106"/>
      <c r="EP698" s="1"/>
      <c r="EQ698" s="106"/>
      <c r="ER698" s="1"/>
      <c r="ES698" s="1"/>
      <c r="ET698" s="1"/>
      <c r="EU698" s="108"/>
    </row>
    <row r="699" spans="9:151">
      <c r="I699" s="137"/>
      <c r="J699" s="138"/>
      <c r="K699" s="1"/>
      <c r="L699" s="1"/>
      <c r="Q699" s="1"/>
      <c r="R699" s="1"/>
      <c r="S699" s="106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55"/>
      <c r="AN699" s="106"/>
      <c r="AO699" s="106"/>
      <c r="AP699" s="106"/>
      <c r="AQ699" s="106"/>
      <c r="AR699" s="106"/>
      <c r="AS699" s="31"/>
      <c r="AT699" s="31"/>
      <c r="AU699" s="31"/>
      <c r="AV699" s="154"/>
      <c r="AW699" s="154"/>
      <c r="AX699" s="106"/>
      <c r="AY699" s="106"/>
      <c r="AZ699" s="106"/>
      <c r="BA699" s="106"/>
      <c r="BB699" s="106"/>
      <c r="BC699" s="106"/>
      <c r="BD699" s="107"/>
      <c r="BE699" s="105"/>
      <c r="BF699" s="105"/>
      <c r="BG699" s="105"/>
      <c r="BH699" s="107"/>
      <c r="BI699" s="160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7"/>
      <c r="BX699" s="107"/>
      <c r="BY699" s="107"/>
      <c r="BZ699" s="107"/>
      <c r="CA699" s="107"/>
      <c r="CB699" s="107"/>
      <c r="CC699" s="107"/>
      <c r="CD699" s="107"/>
      <c r="CE699" s="107"/>
      <c r="CF699" s="107"/>
      <c r="CG699" s="106"/>
      <c r="CH699" s="106"/>
      <c r="CI699" s="106"/>
      <c r="CJ699" s="106"/>
      <c r="CK699" s="106"/>
      <c r="CL699" s="138"/>
      <c r="CM699" s="138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55"/>
      <c r="DH699" s="53"/>
      <c r="DL699" s="54"/>
      <c r="DM699" s="54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L699" s="55"/>
      <c r="EM699" s="1"/>
      <c r="EN699" s="106"/>
      <c r="EO699" s="106"/>
      <c r="EP699" s="1"/>
      <c r="EQ699" s="106"/>
      <c r="ER699" s="1"/>
      <c r="ES699" s="1"/>
      <c r="ET699" s="1"/>
      <c r="EU699" s="108"/>
    </row>
    <row r="700" spans="9:151">
      <c r="I700" s="137"/>
      <c r="J700" s="138"/>
      <c r="K700" s="1"/>
      <c r="L700" s="1"/>
      <c r="Q700" s="1"/>
      <c r="R700" s="1"/>
      <c r="S700" s="106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55"/>
      <c r="AN700" s="106"/>
      <c r="AO700" s="106"/>
      <c r="AP700" s="106"/>
      <c r="AQ700" s="106"/>
      <c r="AR700" s="106"/>
      <c r="AS700" s="31"/>
      <c r="AT700" s="31"/>
      <c r="AU700" s="31"/>
      <c r="AV700" s="154"/>
      <c r="AW700" s="154"/>
      <c r="AX700" s="106"/>
      <c r="AY700" s="106"/>
      <c r="AZ700" s="106"/>
      <c r="BA700" s="106"/>
      <c r="BB700" s="106"/>
      <c r="BC700" s="106"/>
      <c r="BD700" s="107"/>
      <c r="BE700" s="105"/>
      <c r="BF700" s="105"/>
      <c r="BG700" s="105"/>
      <c r="BH700" s="107"/>
      <c r="BI700" s="160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7"/>
      <c r="BX700" s="107"/>
      <c r="BY700" s="107"/>
      <c r="BZ700" s="107"/>
      <c r="CA700" s="107"/>
      <c r="CB700" s="107"/>
      <c r="CC700" s="107"/>
      <c r="CD700" s="107"/>
      <c r="CE700" s="107"/>
      <c r="CF700" s="107"/>
      <c r="CG700" s="106"/>
      <c r="CH700" s="106"/>
      <c r="CI700" s="106"/>
      <c r="CJ700" s="106"/>
      <c r="CK700" s="106"/>
      <c r="CL700" s="138"/>
      <c r="CM700" s="138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55"/>
      <c r="DH700" s="53"/>
      <c r="DL700" s="54"/>
      <c r="DM700" s="54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L700" s="55"/>
      <c r="EM700" s="1"/>
      <c r="EN700" s="106"/>
      <c r="EO700" s="106"/>
      <c r="EP700" s="1"/>
      <c r="EQ700" s="106"/>
      <c r="ER700" s="1"/>
      <c r="ES700" s="1"/>
      <c r="ET700" s="1"/>
      <c r="EU700" s="108"/>
    </row>
    <row r="701" spans="9:151">
      <c r="I701" s="137"/>
      <c r="J701" s="138"/>
      <c r="K701" s="1"/>
      <c r="L701" s="1"/>
      <c r="Q701" s="1"/>
      <c r="R701" s="1"/>
      <c r="S701" s="106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55"/>
      <c r="AN701" s="106"/>
      <c r="AO701" s="106"/>
      <c r="AP701" s="106"/>
      <c r="AQ701" s="106"/>
      <c r="AR701" s="106"/>
      <c r="AS701" s="31"/>
      <c r="AT701" s="31"/>
      <c r="AU701" s="31"/>
      <c r="AV701" s="154"/>
      <c r="AW701" s="154"/>
      <c r="AX701" s="106"/>
      <c r="AY701" s="106"/>
      <c r="AZ701" s="106"/>
      <c r="BA701" s="106"/>
      <c r="BB701" s="106"/>
      <c r="BC701" s="106"/>
      <c r="BD701" s="107"/>
      <c r="BE701" s="105"/>
      <c r="BF701" s="105"/>
      <c r="BG701" s="105"/>
      <c r="BH701" s="107"/>
      <c r="BI701" s="160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7"/>
      <c r="BX701" s="107"/>
      <c r="BY701" s="107"/>
      <c r="BZ701" s="107"/>
      <c r="CA701" s="107"/>
      <c r="CB701" s="107"/>
      <c r="CC701" s="107"/>
      <c r="CD701" s="107"/>
      <c r="CE701" s="107"/>
      <c r="CF701" s="107"/>
      <c r="CG701" s="106"/>
      <c r="CH701" s="106"/>
      <c r="CI701" s="106"/>
      <c r="CJ701" s="106"/>
      <c r="CK701" s="106"/>
      <c r="CL701" s="138"/>
      <c r="CM701" s="138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55"/>
      <c r="DH701" s="53"/>
      <c r="DL701" s="54"/>
      <c r="DM701" s="54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L701" s="55"/>
      <c r="EM701" s="1"/>
      <c r="EN701" s="106"/>
      <c r="EO701" s="106"/>
      <c r="EP701" s="1"/>
      <c r="EQ701" s="106"/>
      <c r="ER701" s="1"/>
      <c r="ES701" s="1"/>
      <c r="ET701" s="1"/>
      <c r="EU701" s="108"/>
    </row>
    <row r="702" spans="9:151">
      <c r="I702" s="137"/>
      <c r="J702" s="138"/>
      <c r="K702" s="1"/>
      <c r="L702" s="1"/>
      <c r="Q702" s="1"/>
      <c r="R702" s="1"/>
      <c r="S702" s="106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55"/>
      <c r="AN702" s="106"/>
      <c r="AO702" s="106"/>
      <c r="AP702" s="106"/>
      <c r="AQ702" s="106"/>
      <c r="AR702" s="106"/>
      <c r="AS702" s="31"/>
      <c r="AT702" s="31"/>
      <c r="AU702" s="31"/>
      <c r="AV702" s="154"/>
      <c r="AW702" s="154"/>
      <c r="AX702" s="106"/>
      <c r="AY702" s="106"/>
      <c r="AZ702" s="106"/>
      <c r="BA702" s="106"/>
      <c r="BB702" s="106"/>
      <c r="BC702" s="106"/>
      <c r="BD702" s="107"/>
      <c r="BE702" s="105"/>
      <c r="BF702" s="105"/>
      <c r="BG702" s="105"/>
      <c r="BH702" s="107"/>
      <c r="BI702" s="160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7"/>
      <c r="BX702" s="107"/>
      <c r="BY702" s="107"/>
      <c r="BZ702" s="107"/>
      <c r="CA702" s="107"/>
      <c r="CB702" s="107"/>
      <c r="CC702" s="107"/>
      <c r="CD702" s="107"/>
      <c r="CE702" s="107"/>
      <c r="CF702" s="107"/>
      <c r="CG702" s="106"/>
      <c r="CH702" s="106"/>
      <c r="CI702" s="106"/>
      <c r="CJ702" s="106"/>
      <c r="CK702" s="106"/>
      <c r="CL702" s="138"/>
      <c r="CM702" s="138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55"/>
      <c r="DH702" s="53"/>
      <c r="DL702" s="54"/>
      <c r="DM702" s="54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L702" s="55"/>
      <c r="EM702" s="1"/>
      <c r="EN702" s="106"/>
      <c r="EO702" s="106"/>
      <c r="EP702" s="1"/>
      <c r="EQ702" s="106"/>
      <c r="ER702" s="1"/>
      <c r="ES702" s="1"/>
      <c r="ET702" s="1"/>
      <c r="EU702" s="108"/>
    </row>
    <row r="703" spans="9:151">
      <c r="I703" s="137"/>
      <c r="J703" s="138"/>
      <c r="K703" s="1"/>
      <c r="L703" s="1"/>
      <c r="Q703" s="1"/>
      <c r="R703" s="1"/>
      <c r="S703" s="106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55"/>
      <c r="AN703" s="106"/>
      <c r="AO703" s="106"/>
      <c r="AP703" s="106"/>
      <c r="AQ703" s="106"/>
      <c r="AR703" s="106"/>
      <c r="AS703" s="31"/>
      <c r="AT703" s="31"/>
      <c r="AU703" s="31"/>
      <c r="AV703" s="154"/>
      <c r="AW703" s="154"/>
      <c r="AX703" s="106"/>
      <c r="AY703" s="106"/>
      <c r="AZ703" s="106"/>
      <c r="BA703" s="106"/>
      <c r="BB703" s="106"/>
      <c r="BC703" s="106"/>
      <c r="BD703" s="107"/>
      <c r="BE703" s="105"/>
      <c r="BF703" s="105"/>
      <c r="BG703" s="105"/>
      <c r="BH703" s="107"/>
      <c r="BI703" s="160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7"/>
      <c r="BX703" s="107"/>
      <c r="BY703" s="107"/>
      <c r="BZ703" s="107"/>
      <c r="CA703" s="107"/>
      <c r="CB703" s="107"/>
      <c r="CC703" s="107"/>
      <c r="CD703" s="107"/>
      <c r="CE703" s="107"/>
      <c r="CF703" s="107"/>
      <c r="CG703" s="106"/>
      <c r="CH703" s="106"/>
      <c r="CI703" s="106"/>
      <c r="CJ703" s="106"/>
      <c r="CK703" s="106"/>
      <c r="CL703" s="138"/>
      <c r="CM703" s="138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55"/>
      <c r="DH703" s="53"/>
      <c r="DL703" s="54"/>
      <c r="DM703" s="54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L703" s="55"/>
      <c r="EM703" s="1"/>
      <c r="EN703" s="106"/>
      <c r="EO703" s="106"/>
      <c r="EP703" s="1"/>
      <c r="EQ703" s="106"/>
      <c r="ER703" s="1"/>
      <c r="ES703" s="1"/>
      <c r="ET703" s="1"/>
      <c r="EU703" s="108"/>
    </row>
    <row r="704" spans="9:151">
      <c r="I704" s="137"/>
      <c r="J704" s="138"/>
      <c r="K704" s="1"/>
      <c r="L704" s="1"/>
      <c r="Q704" s="1"/>
      <c r="R704" s="1"/>
      <c r="S704" s="106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55"/>
      <c r="AN704" s="106"/>
      <c r="AO704" s="106"/>
      <c r="AP704" s="106"/>
      <c r="AQ704" s="106"/>
      <c r="AR704" s="106"/>
      <c r="AS704" s="31"/>
      <c r="AT704" s="31"/>
      <c r="AU704" s="31"/>
      <c r="AV704" s="154"/>
      <c r="AW704" s="154"/>
      <c r="AX704" s="106"/>
      <c r="AY704" s="106"/>
      <c r="AZ704" s="106"/>
      <c r="BA704" s="106"/>
      <c r="BB704" s="106"/>
      <c r="BC704" s="106"/>
      <c r="BD704" s="107"/>
      <c r="BE704" s="105"/>
      <c r="BF704" s="105"/>
      <c r="BG704" s="105"/>
      <c r="BH704" s="107"/>
      <c r="BI704" s="160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7"/>
      <c r="BX704" s="107"/>
      <c r="BY704" s="107"/>
      <c r="BZ704" s="107"/>
      <c r="CA704" s="107"/>
      <c r="CB704" s="107"/>
      <c r="CC704" s="107"/>
      <c r="CD704" s="107"/>
      <c r="CE704" s="107"/>
      <c r="CF704" s="107"/>
      <c r="CG704" s="106"/>
      <c r="CH704" s="106"/>
      <c r="CI704" s="106"/>
      <c r="CJ704" s="106"/>
      <c r="CK704" s="106"/>
      <c r="CL704" s="138"/>
      <c r="CM704" s="138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55"/>
      <c r="DH704" s="53"/>
      <c r="DL704" s="54"/>
      <c r="DM704" s="54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L704" s="55"/>
      <c r="EM704" s="1"/>
      <c r="EN704" s="106"/>
      <c r="EO704" s="106"/>
      <c r="EP704" s="1"/>
      <c r="EQ704" s="106"/>
      <c r="ER704" s="1"/>
      <c r="ES704" s="1"/>
      <c r="ET704" s="1"/>
      <c r="EU704" s="108"/>
    </row>
    <row r="705" spans="9:151">
      <c r="I705" s="137"/>
      <c r="J705" s="138"/>
      <c r="K705" s="1"/>
      <c r="L705" s="1"/>
      <c r="Q705" s="1"/>
      <c r="R705" s="1"/>
      <c r="S705" s="106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55"/>
      <c r="AN705" s="106"/>
      <c r="AO705" s="106"/>
      <c r="AP705" s="106"/>
      <c r="AQ705" s="106"/>
      <c r="AR705" s="106"/>
      <c r="AS705" s="31"/>
      <c r="AT705" s="31"/>
      <c r="AU705" s="31"/>
      <c r="AV705" s="154"/>
      <c r="AW705" s="154"/>
      <c r="AX705" s="106"/>
      <c r="AY705" s="106"/>
      <c r="AZ705" s="106"/>
      <c r="BA705" s="106"/>
      <c r="BB705" s="106"/>
      <c r="BC705" s="106"/>
      <c r="BD705" s="107"/>
      <c r="BE705" s="105"/>
      <c r="BF705" s="105"/>
      <c r="BG705" s="105"/>
      <c r="BH705" s="107"/>
      <c r="BI705" s="160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7"/>
      <c r="BX705" s="107"/>
      <c r="BY705" s="107"/>
      <c r="BZ705" s="107"/>
      <c r="CA705" s="107"/>
      <c r="CB705" s="107"/>
      <c r="CC705" s="107"/>
      <c r="CD705" s="107"/>
      <c r="CE705" s="107"/>
      <c r="CF705" s="107"/>
      <c r="CG705" s="106"/>
      <c r="CH705" s="106"/>
      <c r="CI705" s="106"/>
      <c r="CJ705" s="106"/>
      <c r="CK705" s="106"/>
      <c r="CL705" s="138"/>
      <c r="CM705" s="138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55"/>
      <c r="DH705" s="53"/>
      <c r="DL705" s="54"/>
      <c r="DM705" s="54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L705" s="55"/>
      <c r="EM705" s="1"/>
      <c r="EN705" s="106"/>
      <c r="EO705" s="106"/>
      <c r="EP705" s="1"/>
      <c r="EQ705" s="106"/>
      <c r="ER705" s="1"/>
      <c r="ES705" s="1"/>
      <c r="ET705" s="1"/>
      <c r="EU705" s="108"/>
    </row>
    <row r="706" spans="9:151">
      <c r="I706" s="137"/>
      <c r="J706" s="138"/>
      <c r="K706" s="1"/>
      <c r="L706" s="1"/>
      <c r="Q706" s="1"/>
      <c r="R706" s="1"/>
      <c r="S706" s="106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55"/>
      <c r="AN706" s="106"/>
      <c r="AO706" s="106"/>
      <c r="AP706" s="106"/>
      <c r="AQ706" s="106"/>
      <c r="AR706" s="106"/>
      <c r="AS706" s="31"/>
      <c r="AT706" s="31"/>
      <c r="AU706" s="31"/>
      <c r="AV706" s="154"/>
      <c r="AW706" s="154"/>
      <c r="AX706" s="106"/>
      <c r="AY706" s="106"/>
      <c r="AZ706" s="106"/>
      <c r="BA706" s="106"/>
      <c r="BB706" s="106"/>
      <c r="BC706" s="106"/>
      <c r="BD706" s="107"/>
      <c r="BE706" s="105"/>
      <c r="BF706" s="105"/>
      <c r="BG706" s="105"/>
      <c r="BH706" s="107"/>
      <c r="BI706" s="160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7"/>
      <c r="BX706" s="107"/>
      <c r="BY706" s="107"/>
      <c r="BZ706" s="107"/>
      <c r="CA706" s="107"/>
      <c r="CB706" s="107"/>
      <c r="CC706" s="107"/>
      <c r="CD706" s="107"/>
      <c r="CE706" s="107"/>
      <c r="CF706" s="107"/>
      <c r="CG706" s="106"/>
      <c r="CH706" s="106"/>
      <c r="CI706" s="106"/>
      <c r="CJ706" s="106"/>
      <c r="CK706" s="106"/>
      <c r="CL706" s="138"/>
      <c r="CM706" s="138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55"/>
      <c r="DH706" s="53"/>
      <c r="DL706" s="54"/>
      <c r="DM706" s="54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L706" s="55"/>
      <c r="EM706" s="1"/>
      <c r="EN706" s="106"/>
      <c r="EO706" s="106"/>
      <c r="EP706" s="1"/>
      <c r="EQ706" s="106"/>
      <c r="ER706" s="1"/>
      <c r="ES706" s="1"/>
      <c r="ET706" s="1"/>
      <c r="EU706" s="108"/>
    </row>
    <row r="707" spans="9:151">
      <c r="I707" s="137"/>
      <c r="J707" s="138"/>
      <c r="K707" s="1"/>
      <c r="L707" s="1"/>
      <c r="Q707" s="1"/>
      <c r="R707" s="1"/>
      <c r="S707" s="106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55"/>
      <c r="AN707" s="106"/>
      <c r="AO707" s="106"/>
      <c r="AP707" s="106"/>
      <c r="AQ707" s="106"/>
      <c r="AR707" s="106"/>
      <c r="AS707" s="31"/>
      <c r="AT707" s="31"/>
      <c r="AU707" s="31"/>
      <c r="AV707" s="30"/>
      <c r="AW707" s="30"/>
      <c r="AX707" s="106"/>
      <c r="AY707" s="106"/>
      <c r="AZ707" s="106"/>
      <c r="BA707" s="106"/>
      <c r="BB707" s="106"/>
      <c r="BC707" s="106"/>
      <c r="BD707" s="107"/>
      <c r="BE707" s="105"/>
      <c r="BF707" s="105"/>
      <c r="BG707" s="105"/>
      <c r="BH707" s="107"/>
      <c r="BI707" s="160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7"/>
      <c r="BX707" s="107"/>
      <c r="BY707" s="107"/>
      <c r="BZ707" s="107"/>
      <c r="CA707" s="107"/>
      <c r="CB707" s="107"/>
      <c r="CC707" s="107"/>
      <c r="CD707" s="107"/>
      <c r="CE707" s="107"/>
      <c r="CF707" s="107"/>
      <c r="CG707" s="106"/>
      <c r="CH707" s="106"/>
      <c r="CI707" s="106"/>
      <c r="CJ707" s="106"/>
      <c r="CK707" s="106"/>
      <c r="CL707" s="138"/>
      <c r="CM707" s="138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55"/>
      <c r="DH707" s="53"/>
      <c r="DL707" s="54"/>
      <c r="DM707" s="54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L707" s="55"/>
      <c r="EM707" s="1"/>
      <c r="EN707" s="106"/>
      <c r="EO707" s="106"/>
      <c r="EP707" s="1"/>
      <c r="EQ707" s="106"/>
      <c r="ER707" s="1"/>
      <c r="ES707" s="1"/>
      <c r="ET707" s="1"/>
      <c r="EU707" s="108"/>
    </row>
    <row r="708" spans="9:151">
      <c r="I708" s="137"/>
      <c r="J708" s="138"/>
      <c r="K708" s="1"/>
      <c r="L708" s="1"/>
      <c r="Q708" s="1"/>
      <c r="R708" s="1"/>
      <c r="S708" s="106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55"/>
      <c r="AN708" s="106"/>
      <c r="AO708" s="106"/>
      <c r="AP708" s="106"/>
      <c r="AQ708" s="106"/>
      <c r="AR708" s="106"/>
      <c r="AS708" s="31"/>
      <c r="AT708" s="31"/>
      <c r="AU708" s="31"/>
      <c r="AV708" s="30"/>
      <c r="AW708" s="30"/>
      <c r="AX708" s="106"/>
      <c r="AY708" s="106"/>
      <c r="AZ708" s="106"/>
      <c r="BA708" s="106"/>
      <c r="BB708" s="106"/>
      <c r="BC708" s="106"/>
      <c r="BD708" s="107"/>
      <c r="BE708" s="105"/>
      <c r="BF708" s="105"/>
      <c r="BG708" s="105"/>
      <c r="BH708" s="107"/>
      <c r="BI708" s="160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7"/>
      <c r="BX708" s="107"/>
      <c r="BY708" s="107"/>
      <c r="BZ708" s="107"/>
      <c r="CA708" s="107"/>
      <c r="CB708" s="107"/>
      <c r="CC708" s="107"/>
      <c r="CD708" s="107"/>
      <c r="CE708" s="107"/>
      <c r="CF708" s="107"/>
      <c r="CG708" s="106"/>
      <c r="CH708" s="106"/>
      <c r="CI708" s="106"/>
      <c r="CJ708" s="106"/>
      <c r="CK708" s="106"/>
      <c r="CL708" s="138"/>
      <c r="CM708" s="138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55"/>
      <c r="DH708" s="53"/>
      <c r="DL708" s="54"/>
      <c r="DM708" s="54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L708" s="55"/>
      <c r="EM708" s="1"/>
      <c r="EN708" s="106"/>
      <c r="EO708" s="106"/>
      <c r="EP708" s="1"/>
      <c r="EQ708" s="106"/>
      <c r="ER708" s="1"/>
      <c r="ES708" s="1"/>
      <c r="ET708" s="1"/>
      <c r="EU708" s="108"/>
    </row>
    <row r="709" spans="9:151">
      <c r="I709" s="137"/>
      <c r="J709" s="138"/>
      <c r="K709" s="1"/>
      <c r="L709" s="1"/>
      <c r="Q709" s="1"/>
      <c r="R709" s="1"/>
      <c r="S709" s="106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55"/>
      <c r="AN709" s="106"/>
      <c r="AO709" s="106"/>
      <c r="AP709" s="106"/>
      <c r="AQ709" s="106"/>
      <c r="AR709" s="106"/>
      <c r="AS709" s="31"/>
      <c r="AT709" s="31"/>
      <c r="AU709" s="31"/>
      <c r="AV709" s="30"/>
      <c r="AW709" s="30"/>
      <c r="AX709" s="106"/>
      <c r="AY709" s="106"/>
      <c r="AZ709" s="106"/>
      <c r="BA709" s="106"/>
      <c r="BB709" s="106"/>
      <c r="BC709" s="106"/>
      <c r="BD709" s="107"/>
      <c r="BE709" s="105"/>
      <c r="BF709" s="105"/>
      <c r="BG709" s="105"/>
      <c r="BH709" s="107"/>
      <c r="BI709" s="160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7"/>
      <c r="BX709" s="107"/>
      <c r="BY709" s="107"/>
      <c r="BZ709" s="107"/>
      <c r="CA709" s="107"/>
      <c r="CB709" s="107"/>
      <c r="CC709" s="107"/>
      <c r="CD709" s="107"/>
      <c r="CE709" s="107"/>
      <c r="CF709" s="107"/>
      <c r="CG709" s="106"/>
      <c r="CH709" s="106"/>
      <c r="CI709" s="106"/>
      <c r="CJ709" s="106"/>
      <c r="CK709" s="106"/>
      <c r="CL709" s="138"/>
      <c r="CM709" s="138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55"/>
      <c r="DH709" s="53"/>
      <c r="DL709" s="54"/>
      <c r="DM709" s="54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L709" s="55"/>
      <c r="EM709" s="1"/>
      <c r="EN709" s="106"/>
      <c r="EO709" s="106"/>
      <c r="EP709" s="1"/>
      <c r="EQ709" s="106"/>
      <c r="ER709" s="1"/>
      <c r="ES709" s="1"/>
      <c r="ET709" s="1"/>
      <c r="EU709" s="108"/>
    </row>
    <row r="710" spans="9:151">
      <c r="I710" s="137"/>
      <c r="J710" s="138"/>
      <c r="K710" s="1"/>
      <c r="L710" s="1"/>
      <c r="Q710" s="1"/>
      <c r="R710" s="1"/>
      <c r="S710" s="106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55"/>
      <c r="AN710" s="106"/>
      <c r="AO710" s="106"/>
      <c r="AP710" s="106"/>
      <c r="AQ710" s="106"/>
      <c r="AR710" s="106"/>
      <c r="AS710" s="31"/>
      <c r="AT710" s="31"/>
      <c r="AU710" s="31"/>
      <c r="AV710" s="30"/>
      <c r="AW710" s="30"/>
      <c r="AX710" s="106"/>
      <c r="AY710" s="106"/>
      <c r="AZ710" s="106"/>
      <c r="BA710" s="106"/>
      <c r="BB710" s="106"/>
      <c r="BC710" s="106"/>
      <c r="BD710" s="107"/>
      <c r="BE710" s="105"/>
      <c r="BF710" s="105"/>
      <c r="BG710" s="105"/>
      <c r="BH710" s="107"/>
      <c r="BI710" s="160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7"/>
      <c r="BX710" s="107"/>
      <c r="BY710" s="107"/>
      <c r="BZ710" s="107"/>
      <c r="CA710" s="107"/>
      <c r="CB710" s="107"/>
      <c r="CC710" s="107"/>
      <c r="CD710" s="107"/>
      <c r="CE710" s="107"/>
      <c r="CF710" s="107"/>
      <c r="CG710" s="106"/>
      <c r="CH710" s="106"/>
      <c r="CI710" s="106"/>
      <c r="CJ710" s="106"/>
      <c r="CK710" s="106"/>
      <c r="CL710" s="138"/>
      <c r="CM710" s="138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55"/>
      <c r="DH710" s="53"/>
      <c r="DL710" s="54"/>
      <c r="DM710" s="54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L710" s="55"/>
      <c r="EM710" s="1"/>
      <c r="EN710" s="106"/>
      <c r="EO710" s="106"/>
      <c r="EP710" s="1"/>
      <c r="EQ710" s="106"/>
      <c r="ER710" s="1"/>
      <c r="ES710" s="1"/>
      <c r="ET710" s="1"/>
      <c r="EU710" s="108"/>
    </row>
    <row r="711" spans="9:151">
      <c r="I711" s="137"/>
      <c r="J711" s="138"/>
      <c r="K711" s="1"/>
      <c r="L711" s="1"/>
      <c r="Q711" s="1"/>
      <c r="R711" s="1"/>
      <c r="S711" s="106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55"/>
      <c r="AN711" s="106"/>
      <c r="AO711" s="106"/>
      <c r="AP711" s="106"/>
      <c r="AQ711" s="106"/>
      <c r="AR711" s="106"/>
      <c r="AS711" s="31"/>
      <c r="AT711" s="31"/>
      <c r="AU711" s="31"/>
      <c r="AV711" s="30"/>
      <c r="AW711" s="30"/>
      <c r="AX711" s="106"/>
      <c r="AY711" s="106"/>
      <c r="AZ711" s="106"/>
      <c r="BA711" s="106"/>
      <c r="BB711" s="106"/>
      <c r="BC711" s="106"/>
      <c r="BD711" s="107"/>
      <c r="BE711" s="105"/>
      <c r="BF711" s="105"/>
      <c r="BG711" s="105"/>
      <c r="BH711" s="107"/>
      <c r="BI711" s="160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7"/>
      <c r="BX711" s="107"/>
      <c r="BY711" s="107"/>
      <c r="BZ711" s="107"/>
      <c r="CA711" s="107"/>
      <c r="CB711" s="107"/>
      <c r="CC711" s="107"/>
      <c r="CD711" s="107"/>
      <c r="CE711" s="107"/>
      <c r="CF711" s="107"/>
      <c r="CG711" s="106"/>
      <c r="CH711" s="106"/>
      <c r="CI711" s="106"/>
      <c r="CJ711" s="106"/>
      <c r="CK711" s="106"/>
      <c r="CL711" s="138"/>
      <c r="CM711" s="138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55"/>
      <c r="DH711" s="53"/>
      <c r="DL711" s="54"/>
      <c r="DM711" s="54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L711" s="55"/>
      <c r="EM711" s="1"/>
      <c r="EN711" s="106"/>
      <c r="EO711" s="106"/>
      <c r="EP711" s="1"/>
      <c r="EQ711" s="106"/>
      <c r="ER711" s="1"/>
      <c r="ES711" s="1"/>
      <c r="ET711" s="1"/>
      <c r="EU711" s="108"/>
    </row>
    <row r="712" spans="9:151">
      <c r="I712" s="137"/>
      <c r="J712" s="138"/>
      <c r="K712" s="1"/>
      <c r="L712" s="1"/>
      <c r="Q712" s="1"/>
      <c r="R712" s="1"/>
      <c r="S712" s="106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55"/>
      <c r="AN712" s="106"/>
      <c r="AO712" s="106"/>
      <c r="AP712" s="106"/>
      <c r="AQ712" s="106"/>
      <c r="AR712" s="106"/>
      <c r="AS712" s="31"/>
      <c r="AT712" s="31"/>
      <c r="AU712" s="31"/>
      <c r="AV712" s="30"/>
      <c r="AW712" s="30"/>
      <c r="AX712" s="106"/>
      <c r="AY712" s="106"/>
      <c r="AZ712" s="106"/>
      <c r="BA712" s="106"/>
      <c r="BB712" s="106"/>
      <c r="BC712" s="106"/>
      <c r="BD712" s="107"/>
      <c r="BE712" s="105"/>
      <c r="BF712" s="105"/>
      <c r="BG712" s="105"/>
      <c r="BH712" s="107"/>
      <c r="BI712" s="160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7"/>
      <c r="BX712" s="107"/>
      <c r="BY712" s="107"/>
      <c r="BZ712" s="107"/>
      <c r="CA712" s="107"/>
      <c r="CB712" s="107"/>
      <c r="CC712" s="107"/>
      <c r="CD712" s="107"/>
      <c r="CE712" s="107"/>
      <c r="CF712" s="107"/>
      <c r="CG712" s="106"/>
      <c r="CH712" s="106"/>
      <c r="CI712" s="106"/>
      <c r="CJ712" s="106"/>
      <c r="CK712" s="106"/>
      <c r="CL712" s="138"/>
      <c r="CM712" s="138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55"/>
      <c r="DH712" s="53"/>
      <c r="DL712" s="54"/>
      <c r="DM712" s="54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L712" s="55"/>
      <c r="EM712" s="1"/>
      <c r="EN712" s="106"/>
      <c r="EO712" s="106"/>
      <c r="EP712" s="1"/>
      <c r="EQ712" s="106"/>
      <c r="ER712" s="1"/>
      <c r="ES712" s="1"/>
      <c r="ET712" s="1"/>
      <c r="EU712" s="108"/>
    </row>
    <row r="713" spans="9:151">
      <c r="I713" s="137"/>
      <c r="J713" s="138"/>
      <c r="K713" s="1"/>
      <c r="L713" s="1"/>
      <c r="Q713" s="1"/>
      <c r="R713" s="1"/>
      <c r="S713" s="106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55"/>
      <c r="AN713" s="106"/>
      <c r="AO713" s="106"/>
      <c r="AP713" s="106"/>
      <c r="AQ713" s="106"/>
      <c r="AR713" s="106"/>
      <c r="AS713" s="31"/>
      <c r="AT713" s="31"/>
      <c r="AU713" s="31"/>
      <c r="AV713" s="30"/>
      <c r="AW713" s="30"/>
      <c r="AX713" s="106"/>
      <c r="AY713" s="106"/>
      <c r="AZ713" s="106"/>
      <c r="BA713" s="106"/>
      <c r="BB713" s="106"/>
      <c r="BC713" s="106"/>
      <c r="BD713" s="107"/>
      <c r="BE713" s="105"/>
      <c r="BF713" s="105"/>
      <c r="BG713" s="105"/>
      <c r="BH713" s="107"/>
      <c r="BI713" s="160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7"/>
      <c r="BX713" s="107"/>
      <c r="BY713" s="107"/>
      <c r="BZ713" s="107"/>
      <c r="CA713" s="107"/>
      <c r="CB713" s="107"/>
      <c r="CC713" s="107"/>
      <c r="CD713" s="107"/>
      <c r="CE713" s="107"/>
      <c r="CF713" s="107"/>
      <c r="CG713" s="106"/>
      <c r="CH713" s="106"/>
      <c r="CI713" s="106"/>
      <c r="CJ713" s="106"/>
      <c r="CK713" s="106"/>
      <c r="CL713" s="138"/>
      <c r="CM713" s="138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55"/>
      <c r="DH713" s="53"/>
      <c r="DL713" s="54"/>
      <c r="DM713" s="54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L713" s="55"/>
      <c r="EM713" s="1"/>
      <c r="EN713" s="106"/>
      <c r="EO713" s="106"/>
      <c r="EP713" s="1"/>
      <c r="EQ713" s="106"/>
      <c r="ER713" s="1"/>
      <c r="ES713" s="1"/>
      <c r="ET713" s="1"/>
      <c r="EU713" s="108"/>
    </row>
    <row r="714" spans="9:151">
      <c r="I714" s="137"/>
      <c r="J714" s="138"/>
      <c r="K714" s="1"/>
      <c r="L714" s="1"/>
      <c r="Q714" s="1"/>
      <c r="R714" s="1"/>
      <c r="S714" s="106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55"/>
      <c r="AN714" s="106"/>
      <c r="AO714" s="106"/>
      <c r="AP714" s="106"/>
      <c r="AQ714" s="106"/>
      <c r="AR714" s="106"/>
      <c r="AS714" s="31"/>
      <c r="AT714" s="31"/>
      <c r="AU714" s="31"/>
      <c r="AV714" s="30"/>
      <c r="AW714" s="30"/>
      <c r="AX714" s="106"/>
      <c r="AY714" s="106"/>
      <c r="AZ714" s="106"/>
      <c r="BA714" s="106"/>
      <c r="BB714" s="106"/>
      <c r="BC714" s="106"/>
      <c r="BD714" s="107"/>
      <c r="BE714" s="105"/>
      <c r="BF714" s="105"/>
      <c r="BG714" s="105"/>
      <c r="BH714" s="107"/>
      <c r="BI714" s="160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7"/>
      <c r="BX714" s="107"/>
      <c r="BY714" s="107"/>
      <c r="BZ714" s="107"/>
      <c r="CA714" s="107"/>
      <c r="CB714" s="107"/>
      <c r="CC714" s="107"/>
      <c r="CD714" s="107"/>
      <c r="CE714" s="107"/>
      <c r="CF714" s="107"/>
      <c r="CG714" s="106"/>
      <c r="CH714" s="106"/>
      <c r="CI714" s="106"/>
      <c r="CJ714" s="106"/>
      <c r="CK714" s="106"/>
      <c r="CL714" s="138"/>
      <c r="CM714" s="138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55"/>
      <c r="DH714" s="53"/>
      <c r="DL714" s="54"/>
      <c r="DM714" s="54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L714" s="55"/>
      <c r="EM714" s="1"/>
      <c r="EN714" s="106"/>
      <c r="EO714" s="106"/>
      <c r="EP714" s="1"/>
      <c r="EQ714" s="106"/>
      <c r="ER714" s="1"/>
      <c r="ES714" s="1"/>
      <c r="ET714" s="1"/>
      <c r="EU714" s="108"/>
    </row>
    <row r="715" spans="9:151">
      <c r="I715" s="137"/>
      <c r="J715" s="138"/>
      <c r="K715" s="1"/>
      <c r="L715" s="1"/>
      <c r="Q715" s="1"/>
      <c r="R715" s="1"/>
      <c r="S715" s="106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55"/>
      <c r="AN715" s="106"/>
      <c r="AO715" s="106"/>
      <c r="AP715" s="106"/>
      <c r="AQ715" s="106"/>
      <c r="AR715" s="106"/>
      <c r="AS715" s="31"/>
      <c r="AT715" s="31"/>
      <c r="AU715" s="31"/>
      <c r="AV715" s="30"/>
      <c r="AW715" s="30"/>
      <c r="AX715" s="106"/>
      <c r="AY715" s="106"/>
      <c r="AZ715" s="106"/>
      <c r="BA715" s="106"/>
      <c r="BB715" s="106"/>
      <c r="BC715" s="106"/>
      <c r="BD715" s="107"/>
      <c r="BE715" s="105"/>
      <c r="BF715" s="105"/>
      <c r="BG715" s="105"/>
      <c r="BH715" s="107"/>
      <c r="BI715" s="160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7"/>
      <c r="BX715" s="107"/>
      <c r="BY715" s="107"/>
      <c r="BZ715" s="107"/>
      <c r="CA715" s="107"/>
      <c r="CB715" s="107"/>
      <c r="CC715" s="107"/>
      <c r="CD715" s="107"/>
      <c r="CE715" s="107"/>
      <c r="CF715" s="107"/>
      <c r="CG715" s="106"/>
      <c r="CH715" s="106"/>
      <c r="CI715" s="106"/>
      <c r="CJ715" s="106"/>
      <c r="CK715" s="106"/>
      <c r="CL715" s="138"/>
      <c r="CM715" s="138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55"/>
      <c r="DH715" s="53"/>
      <c r="DL715" s="54"/>
      <c r="DM715" s="54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L715" s="55"/>
      <c r="EM715" s="1"/>
      <c r="EN715" s="106"/>
      <c r="EO715" s="106"/>
      <c r="EP715" s="1"/>
      <c r="EQ715" s="106"/>
      <c r="ER715" s="1"/>
      <c r="ES715" s="1"/>
      <c r="ET715" s="1"/>
      <c r="EU715" s="108"/>
    </row>
    <row r="716" spans="9:151">
      <c r="I716" s="137"/>
      <c r="J716" s="138"/>
      <c r="K716" s="1"/>
      <c r="L716" s="1"/>
      <c r="Q716" s="1"/>
      <c r="R716" s="1"/>
      <c r="S716" s="106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55"/>
      <c r="AN716" s="106"/>
      <c r="AO716" s="106"/>
      <c r="AP716" s="106"/>
      <c r="AQ716" s="106"/>
      <c r="AR716" s="106"/>
      <c r="AS716" s="31"/>
      <c r="AT716" s="31"/>
      <c r="AU716" s="31"/>
      <c r="AV716" s="30"/>
      <c r="AW716" s="30"/>
      <c r="AX716" s="106"/>
      <c r="AY716" s="106"/>
      <c r="AZ716" s="106"/>
      <c r="BA716" s="106"/>
      <c r="BB716" s="106"/>
      <c r="BC716" s="106"/>
      <c r="BD716" s="107"/>
      <c r="BE716" s="105"/>
      <c r="BF716" s="105"/>
      <c r="BG716" s="105"/>
      <c r="BH716" s="107"/>
      <c r="BI716" s="160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7"/>
      <c r="BX716" s="107"/>
      <c r="BY716" s="107"/>
      <c r="BZ716" s="107"/>
      <c r="CA716" s="107"/>
      <c r="CB716" s="107"/>
      <c r="CC716" s="107"/>
      <c r="CD716" s="107"/>
      <c r="CE716" s="107"/>
      <c r="CF716" s="107"/>
      <c r="CG716" s="106"/>
      <c r="CH716" s="106"/>
      <c r="CI716" s="106"/>
      <c r="CJ716" s="106"/>
      <c r="CK716" s="106"/>
      <c r="CL716" s="138"/>
      <c r="CM716" s="138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55"/>
      <c r="DH716" s="53"/>
      <c r="DL716" s="54"/>
      <c r="DM716" s="54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L716" s="55"/>
      <c r="EM716" s="1"/>
      <c r="EN716" s="106"/>
      <c r="EO716" s="106"/>
      <c r="EP716" s="1"/>
      <c r="EQ716" s="106"/>
      <c r="ER716" s="1"/>
      <c r="ES716" s="1"/>
      <c r="ET716" s="1"/>
      <c r="EU716" s="108"/>
    </row>
    <row r="717" spans="9:151">
      <c r="I717" s="137"/>
      <c r="J717" s="138"/>
      <c r="K717" s="1"/>
      <c r="L717" s="1"/>
      <c r="Q717" s="1"/>
      <c r="R717" s="1"/>
      <c r="S717" s="106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55"/>
      <c r="AN717" s="106"/>
      <c r="AO717" s="106"/>
      <c r="AP717" s="106"/>
      <c r="AQ717" s="106"/>
      <c r="AR717" s="106"/>
      <c r="AS717" s="31"/>
      <c r="AT717" s="31"/>
      <c r="AU717" s="31"/>
      <c r="AV717" s="30"/>
      <c r="AW717" s="30"/>
      <c r="AX717" s="106"/>
      <c r="AY717" s="106"/>
      <c r="AZ717" s="106"/>
      <c r="BA717" s="106"/>
      <c r="BB717" s="106"/>
      <c r="BC717" s="106"/>
      <c r="BD717" s="107"/>
      <c r="BE717" s="105"/>
      <c r="BF717" s="105"/>
      <c r="BG717" s="105"/>
      <c r="BH717" s="107"/>
      <c r="BI717" s="160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7"/>
      <c r="BX717" s="107"/>
      <c r="BY717" s="107"/>
      <c r="BZ717" s="107"/>
      <c r="CA717" s="107"/>
      <c r="CB717" s="107"/>
      <c r="CC717" s="107"/>
      <c r="CD717" s="107"/>
      <c r="CE717" s="107"/>
      <c r="CF717" s="107"/>
      <c r="CG717" s="106"/>
      <c r="CH717" s="106"/>
      <c r="CI717" s="106"/>
      <c r="CJ717" s="106"/>
      <c r="CK717" s="106"/>
      <c r="CL717" s="138"/>
      <c r="CM717" s="138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55"/>
      <c r="DH717" s="53"/>
      <c r="DL717" s="54"/>
      <c r="DM717" s="54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L717" s="55"/>
      <c r="EM717" s="1"/>
      <c r="EN717" s="106"/>
      <c r="EO717" s="106"/>
      <c r="EP717" s="1"/>
      <c r="EQ717" s="106"/>
      <c r="ER717" s="1"/>
      <c r="ES717" s="1"/>
      <c r="ET717" s="1"/>
      <c r="EU717" s="108"/>
    </row>
    <row r="718" spans="9:151">
      <c r="I718" s="137"/>
      <c r="J718" s="138"/>
      <c r="K718" s="1"/>
      <c r="L718" s="1"/>
      <c r="Q718" s="1"/>
      <c r="R718" s="1"/>
      <c r="S718" s="106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55"/>
      <c r="AN718" s="106"/>
      <c r="AO718" s="106"/>
      <c r="AP718" s="106"/>
      <c r="AQ718" s="106"/>
      <c r="AR718" s="106"/>
      <c r="AS718" s="31"/>
      <c r="AT718" s="31"/>
      <c r="AU718" s="31"/>
      <c r="AV718" s="30"/>
      <c r="AW718" s="30"/>
      <c r="AX718" s="106"/>
      <c r="AY718" s="106"/>
      <c r="AZ718" s="106"/>
      <c r="BA718" s="106"/>
      <c r="BB718" s="106"/>
      <c r="BC718" s="106"/>
      <c r="BD718" s="107"/>
      <c r="BE718" s="105"/>
      <c r="BF718" s="105"/>
      <c r="BG718" s="105"/>
      <c r="BH718" s="107"/>
      <c r="BI718" s="160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7"/>
      <c r="BX718" s="107"/>
      <c r="BY718" s="107"/>
      <c r="BZ718" s="107"/>
      <c r="CA718" s="107"/>
      <c r="CB718" s="107"/>
      <c r="CC718" s="107"/>
      <c r="CD718" s="107"/>
      <c r="CE718" s="107"/>
      <c r="CF718" s="107"/>
      <c r="CG718" s="106"/>
      <c r="CH718" s="106"/>
      <c r="CI718" s="106"/>
      <c r="CJ718" s="106"/>
      <c r="CK718" s="106"/>
      <c r="CL718" s="138"/>
      <c r="CM718" s="138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55"/>
      <c r="DH718" s="53"/>
      <c r="DL718" s="54"/>
      <c r="DM718" s="54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L718" s="55"/>
      <c r="EM718" s="1"/>
      <c r="EN718" s="106"/>
      <c r="EO718" s="106"/>
      <c r="EP718" s="1"/>
      <c r="EQ718" s="106"/>
      <c r="ER718" s="1"/>
      <c r="ES718" s="1"/>
      <c r="ET718" s="1"/>
      <c r="EU718" s="108"/>
    </row>
    <row r="719" spans="9:151">
      <c r="I719" s="137"/>
      <c r="J719" s="138"/>
      <c r="K719" s="1"/>
      <c r="L719" s="1"/>
      <c r="Q719" s="1"/>
      <c r="R719" s="1"/>
      <c r="S719" s="106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55"/>
      <c r="AN719" s="106"/>
      <c r="AO719" s="106"/>
      <c r="AP719" s="106"/>
      <c r="AQ719" s="106"/>
      <c r="AR719" s="106"/>
      <c r="AS719" s="31"/>
      <c r="AT719" s="31"/>
      <c r="AU719" s="31"/>
      <c r="AV719" s="30"/>
      <c r="AW719" s="30"/>
      <c r="AX719" s="106"/>
      <c r="AY719" s="106"/>
      <c r="AZ719" s="106"/>
      <c r="BA719" s="106"/>
      <c r="BB719" s="106"/>
      <c r="BC719" s="106"/>
      <c r="BD719" s="107"/>
      <c r="BE719" s="105"/>
      <c r="BF719" s="105"/>
      <c r="BG719" s="105"/>
      <c r="BH719" s="107"/>
      <c r="BI719" s="160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7"/>
      <c r="BX719" s="107"/>
      <c r="BY719" s="107"/>
      <c r="BZ719" s="107"/>
      <c r="CA719" s="107"/>
      <c r="CB719" s="107"/>
      <c r="CC719" s="107"/>
      <c r="CD719" s="107"/>
      <c r="CE719" s="107"/>
      <c r="CF719" s="107"/>
      <c r="CG719" s="106"/>
      <c r="CH719" s="106"/>
      <c r="CI719" s="106"/>
      <c r="CJ719" s="106"/>
      <c r="CK719" s="106"/>
      <c r="CL719" s="138"/>
      <c r="CM719" s="138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55"/>
      <c r="DH719" s="53"/>
      <c r="DL719" s="54"/>
      <c r="DM719" s="54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L719" s="55"/>
      <c r="EM719" s="1"/>
      <c r="EN719" s="106"/>
      <c r="EO719" s="106"/>
      <c r="EP719" s="1"/>
      <c r="EQ719" s="106"/>
      <c r="ER719" s="1"/>
      <c r="ES719" s="1"/>
      <c r="ET719" s="1"/>
      <c r="EU719" s="108"/>
    </row>
    <row r="720" spans="9:151">
      <c r="I720" s="137"/>
      <c r="J720" s="138"/>
      <c r="K720" s="1"/>
      <c r="L720" s="1"/>
      <c r="Q720" s="1"/>
      <c r="R720" s="1"/>
      <c r="S720" s="106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55"/>
      <c r="AN720" s="106"/>
      <c r="AO720" s="106"/>
      <c r="AP720" s="106"/>
      <c r="AQ720" s="106"/>
      <c r="AR720" s="106"/>
      <c r="AS720" s="31"/>
      <c r="AT720" s="31"/>
      <c r="AU720" s="31"/>
      <c r="AV720" s="30"/>
      <c r="AW720" s="30"/>
      <c r="AX720" s="106"/>
      <c r="AY720" s="106"/>
      <c r="AZ720" s="106"/>
      <c r="BA720" s="106"/>
      <c r="BB720" s="106"/>
      <c r="BC720" s="106"/>
      <c r="BD720" s="107"/>
      <c r="BE720" s="105"/>
      <c r="BF720" s="105"/>
      <c r="BG720" s="105"/>
      <c r="BH720" s="107"/>
      <c r="BI720" s="160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7"/>
      <c r="BX720" s="107"/>
      <c r="BY720" s="107"/>
      <c r="BZ720" s="107"/>
      <c r="CA720" s="107"/>
      <c r="CB720" s="107"/>
      <c r="CC720" s="107"/>
      <c r="CD720" s="107"/>
      <c r="CE720" s="107"/>
      <c r="CF720" s="107"/>
      <c r="CG720" s="106"/>
      <c r="CH720" s="106"/>
      <c r="CI720" s="106"/>
      <c r="CJ720" s="106"/>
      <c r="CK720" s="106"/>
      <c r="CL720" s="138"/>
      <c r="CM720" s="138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55"/>
      <c r="DH720" s="53"/>
      <c r="DL720" s="54"/>
      <c r="DM720" s="54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L720" s="55"/>
      <c r="EM720" s="1"/>
      <c r="EN720" s="106"/>
      <c r="EO720" s="106"/>
      <c r="EP720" s="1"/>
      <c r="EQ720" s="106"/>
      <c r="ER720" s="1"/>
      <c r="ES720" s="1"/>
      <c r="ET720" s="1"/>
      <c r="EU720" s="108"/>
    </row>
    <row r="721" spans="9:151">
      <c r="I721" s="137"/>
      <c r="J721" s="138"/>
      <c r="K721" s="1"/>
      <c r="L721" s="1"/>
      <c r="Q721" s="1"/>
      <c r="R721" s="1"/>
      <c r="S721" s="106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55"/>
      <c r="AN721" s="106"/>
      <c r="AO721" s="106"/>
      <c r="AP721" s="106"/>
      <c r="AQ721" s="106"/>
      <c r="AR721" s="106"/>
      <c r="AS721" s="31"/>
      <c r="AT721" s="31"/>
      <c r="AU721" s="31"/>
      <c r="AV721" s="30"/>
      <c r="AW721" s="30"/>
      <c r="AX721" s="106"/>
      <c r="AY721" s="106"/>
      <c r="AZ721" s="106"/>
      <c r="BA721" s="106"/>
      <c r="BB721" s="106"/>
      <c r="BC721" s="106"/>
      <c r="BD721" s="107"/>
      <c r="BE721" s="105"/>
      <c r="BF721" s="105"/>
      <c r="BG721" s="105"/>
      <c r="BH721" s="107"/>
      <c r="BI721" s="160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7"/>
      <c r="BX721" s="107"/>
      <c r="BY721" s="107"/>
      <c r="BZ721" s="107"/>
      <c r="CA721" s="107"/>
      <c r="CB721" s="107"/>
      <c r="CC721" s="107"/>
      <c r="CD721" s="107"/>
      <c r="CE721" s="107"/>
      <c r="CF721" s="107"/>
      <c r="CG721" s="106"/>
      <c r="CH721" s="106"/>
      <c r="CI721" s="106"/>
      <c r="CJ721" s="106"/>
      <c r="CK721" s="106"/>
      <c r="CL721" s="138"/>
      <c r="CM721" s="138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55"/>
      <c r="DH721" s="53"/>
      <c r="DL721" s="54"/>
      <c r="DM721" s="54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L721" s="55"/>
      <c r="EM721" s="1"/>
      <c r="EN721" s="106"/>
      <c r="EO721" s="106"/>
      <c r="EP721" s="1"/>
      <c r="EQ721" s="106"/>
      <c r="ER721" s="1"/>
      <c r="ES721" s="1"/>
      <c r="ET721" s="1"/>
      <c r="EU721" s="108"/>
    </row>
    <row r="722" spans="9:151">
      <c r="I722" s="137"/>
      <c r="J722" s="138"/>
      <c r="K722" s="1"/>
      <c r="L722" s="1"/>
      <c r="Q722" s="1"/>
      <c r="R722" s="1"/>
      <c r="S722" s="106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55"/>
      <c r="AN722" s="106"/>
      <c r="AO722" s="106"/>
      <c r="AP722" s="106"/>
      <c r="AQ722" s="106"/>
      <c r="AR722" s="106"/>
      <c r="AS722" s="31"/>
      <c r="AT722" s="31"/>
      <c r="AU722" s="31"/>
      <c r="AV722" s="30"/>
      <c r="AW722" s="30"/>
      <c r="AX722" s="106"/>
      <c r="AY722" s="106"/>
      <c r="AZ722" s="106"/>
      <c r="BA722" s="106"/>
      <c r="BB722" s="106"/>
      <c r="BC722" s="106"/>
      <c r="BD722" s="107"/>
      <c r="BE722" s="105"/>
      <c r="BF722" s="105"/>
      <c r="BG722" s="105"/>
      <c r="BH722" s="107"/>
      <c r="BI722" s="160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7"/>
      <c r="BX722" s="107"/>
      <c r="BY722" s="107"/>
      <c r="BZ722" s="107"/>
      <c r="CA722" s="107"/>
      <c r="CB722" s="107"/>
      <c r="CC722" s="107"/>
      <c r="CD722" s="107"/>
      <c r="CE722" s="107"/>
      <c r="CF722" s="107"/>
      <c r="CG722" s="106"/>
      <c r="CH722" s="106"/>
      <c r="CI722" s="106"/>
      <c r="CJ722" s="106"/>
      <c r="CK722" s="106"/>
      <c r="CL722" s="138"/>
      <c r="CM722" s="138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55"/>
      <c r="DH722" s="53"/>
      <c r="DL722" s="54"/>
      <c r="DM722" s="54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L722" s="55"/>
      <c r="EM722" s="1"/>
      <c r="EN722" s="106"/>
      <c r="EO722" s="106"/>
      <c r="EP722" s="1"/>
      <c r="EQ722" s="106"/>
      <c r="ER722" s="1"/>
      <c r="ES722" s="1"/>
      <c r="ET722" s="1"/>
      <c r="EU722" s="108"/>
    </row>
    <row r="723" spans="9:151">
      <c r="I723" s="137"/>
      <c r="J723" s="138"/>
      <c r="K723" s="1"/>
      <c r="L723" s="1"/>
      <c r="Q723" s="1"/>
      <c r="R723" s="1"/>
      <c r="S723" s="106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55"/>
      <c r="AN723" s="106"/>
      <c r="AO723" s="106"/>
      <c r="AP723" s="106"/>
      <c r="AQ723" s="106"/>
      <c r="AR723" s="106"/>
      <c r="AS723" s="31"/>
      <c r="AT723" s="31"/>
      <c r="AU723" s="31"/>
      <c r="AV723" s="30"/>
      <c r="AW723" s="30"/>
      <c r="AX723" s="106"/>
      <c r="AY723" s="106"/>
      <c r="AZ723" s="106"/>
      <c r="BA723" s="106"/>
      <c r="BB723" s="106"/>
      <c r="BC723" s="106"/>
      <c r="BD723" s="107"/>
      <c r="BE723" s="105"/>
      <c r="BF723" s="105"/>
      <c r="BG723" s="105"/>
      <c r="BH723" s="107"/>
      <c r="BI723" s="160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7"/>
      <c r="BX723" s="107"/>
      <c r="BY723" s="107"/>
      <c r="BZ723" s="107"/>
      <c r="CA723" s="107"/>
      <c r="CB723" s="107"/>
      <c r="CC723" s="107"/>
      <c r="CD723" s="107"/>
      <c r="CE723" s="107"/>
      <c r="CF723" s="107"/>
      <c r="CG723" s="106"/>
      <c r="CH723" s="106"/>
      <c r="CI723" s="106"/>
      <c r="CJ723" s="106"/>
      <c r="CK723" s="106"/>
      <c r="CL723" s="138"/>
      <c r="CM723" s="138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55"/>
      <c r="DH723" s="53"/>
      <c r="DL723" s="54"/>
      <c r="DM723" s="54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L723" s="55"/>
      <c r="EM723" s="1"/>
      <c r="EN723" s="106"/>
      <c r="EO723" s="106"/>
      <c r="EP723" s="1"/>
      <c r="EQ723" s="106"/>
      <c r="ER723" s="1"/>
      <c r="ES723" s="1"/>
      <c r="ET723" s="1"/>
      <c r="EU723" s="108"/>
    </row>
    <row r="724" spans="9:151">
      <c r="I724" s="137"/>
      <c r="J724" s="138"/>
      <c r="K724" s="1"/>
      <c r="L724" s="1"/>
      <c r="Q724" s="1"/>
      <c r="R724" s="1"/>
      <c r="S724" s="106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55"/>
      <c r="AN724" s="106"/>
      <c r="AO724" s="106"/>
      <c r="AP724" s="106"/>
      <c r="AQ724" s="106"/>
      <c r="AR724" s="106"/>
      <c r="AS724" s="31"/>
      <c r="AT724" s="31"/>
      <c r="AU724" s="31"/>
      <c r="AV724" s="30"/>
      <c r="AW724" s="30"/>
      <c r="AX724" s="106"/>
      <c r="AY724" s="106"/>
      <c r="AZ724" s="106"/>
      <c r="BA724" s="106"/>
      <c r="BB724" s="106"/>
      <c r="BC724" s="106"/>
      <c r="BD724" s="107"/>
      <c r="BE724" s="105"/>
      <c r="BF724" s="105"/>
      <c r="BG724" s="105"/>
      <c r="BH724" s="107"/>
      <c r="BI724" s="160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7"/>
      <c r="BX724" s="107"/>
      <c r="BY724" s="107"/>
      <c r="BZ724" s="107"/>
      <c r="CA724" s="107"/>
      <c r="CB724" s="107"/>
      <c r="CC724" s="107"/>
      <c r="CD724" s="107"/>
      <c r="CE724" s="107"/>
      <c r="CF724" s="107"/>
      <c r="CG724" s="106"/>
      <c r="CH724" s="106"/>
      <c r="CI724" s="106"/>
      <c r="CJ724" s="106"/>
      <c r="CK724" s="106"/>
      <c r="CL724" s="138"/>
      <c r="CM724" s="138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55"/>
      <c r="DH724" s="53"/>
      <c r="DL724" s="54"/>
      <c r="DM724" s="54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L724" s="55"/>
      <c r="EM724" s="1"/>
      <c r="EN724" s="106"/>
      <c r="EO724" s="106"/>
      <c r="EP724" s="1"/>
      <c r="EQ724" s="106"/>
      <c r="ER724" s="1"/>
      <c r="ES724" s="1"/>
      <c r="ET724" s="1"/>
      <c r="EU724" s="108"/>
    </row>
    <row r="725" spans="9:151">
      <c r="I725" s="137"/>
      <c r="J725" s="138"/>
      <c r="K725" s="1"/>
      <c r="L725" s="1"/>
      <c r="Q725" s="1"/>
      <c r="R725" s="1"/>
      <c r="S725" s="106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55"/>
      <c r="AN725" s="106"/>
      <c r="AO725" s="106"/>
      <c r="AP725" s="106"/>
      <c r="AQ725" s="106"/>
      <c r="AR725" s="106"/>
      <c r="AS725" s="31"/>
      <c r="AT725" s="31"/>
      <c r="AU725" s="31"/>
      <c r="AV725" s="30"/>
      <c r="AW725" s="30"/>
      <c r="AX725" s="106"/>
      <c r="AY725" s="106"/>
      <c r="AZ725" s="106"/>
      <c r="BA725" s="106"/>
      <c r="BB725" s="106"/>
      <c r="BC725" s="106"/>
      <c r="BD725" s="107"/>
      <c r="BE725" s="105"/>
      <c r="BF725" s="105"/>
      <c r="BG725" s="105"/>
      <c r="BH725" s="107"/>
      <c r="BI725" s="160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7"/>
      <c r="BX725" s="107"/>
      <c r="BY725" s="107"/>
      <c r="BZ725" s="107"/>
      <c r="CA725" s="107"/>
      <c r="CB725" s="107"/>
      <c r="CC725" s="107"/>
      <c r="CD725" s="107"/>
      <c r="CE725" s="107"/>
      <c r="CF725" s="107"/>
      <c r="CG725" s="106"/>
      <c r="CH725" s="106"/>
      <c r="CI725" s="106"/>
      <c r="CJ725" s="106"/>
      <c r="CK725" s="106"/>
      <c r="CL725" s="138"/>
      <c r="CM725" s="138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55"/>
      <c r="DH725" s="53"/>
      <c r="DL725" s="54"/>
      <c r="DM725" s="54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L725" s="55"/>
      <c r="EM725" s="1"/>
      <c r="EN725" s="106"/>
      <c r="EO725" s="106"/>
      <c r="EP725" s="1"/>
      <c r="EQ725" s="106"/>
      <c r="ER725" s="1"/>
      <c r="ES725" s="1"/>
      <c r="ET725" s="1"/>
      <c r="EU725" s="108"/>
    </row>
    <row r="726" spans="9:151">
      <c r="I726" s="137"/>
      <c r="J726" s="138"/>
      <c r="K726" s="1"/>
      <c r="L726" s="1"/>
      <c r="Q726" s="1"/>
      <c r="R726" s="1"/>
      <c r="S726" s="106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55"/>
      <c r="AN726" s="106"/>
      <c r="AO726" s="106"/>
      <c r="AP726" s="106"/>
      <c r="AQ726" s="106"/>
      <c r="AR726" s="106"/>
      <c r="AS726" s="31"/>
      <c r="AT726" s="31"/>
      <c r="AU726" s="31"/>
      <c r="AV726" s="30"/>
      <c r="AW726" s="30"/>
      <c r="AX726" s="106"/>
      <c r="AY726" s="106"/>
      <c r="AZ726" s="106"/>
      <c r="BA726" s="106"/>
      <c r="BB726" s="106"/>
      <c r="BC726" s="106"/>
      <c r="BD726" s="107"/>
      <c r="BE726" s="105"/>
      <c r="BF726" s="105"/>
      <c r="BG726" s="105"/>
      <c r="BH726" s="107"/>
      <c r="BI726" s="160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7"/>
      <c r="BX726" s="107"/>
      <c r="BY726" s="107"/>
      <c r="BZ726" s="107"/>
      <c r="CA726" s="107"/>
      <c r="CB726" s="107"/>
      <c r="CC726" s="107"/>
      <c r="CD726" s="107"/>
      <c r="CE726" s="107"/>
      <c r="CF726" s="107"/>
      <c r="CG726" s="106"/>
      <c r="CH726" s="106"/>
      <c r="CI726" s="106"/>
      <c r="CJ726" s="106"/>
      <c r="CK726" s="106"/>
      <c r="CL726" s="138"/>
      <c r="CM726" s="138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55"/>
      <c r="DH726" s="53"/>
      <c r="DL726" s="54"/>
      <c r="DM726" s="54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L726" s="55"/>
      <c r="EM726" s="1"/>
      <c r="EN726" s="106"/>
      <c r="EO726" s="106"/>
      <c r="EP726" s="1"/>
      <c r="EQ726" s="106"/>
      <c r="ER726" s="1"/>
      <c r="ES726" s="1"/>
      <c r="ET726" s="1"/>
      <c r="EU726" s="108"/>
    </row>
    <row r="727" spans="9:151">
      <c r="I727" s="137"/>
      <c r="J727" s="138"/>
      <c r="K727" s="1"/>
      <c r="L727" s="1"/>
      <c r="Q727" s="1"/>
      <c r="R727" s="1"/>
      <c r="S727" s="106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55"/>
      <c r="AN727" s="106"/>
      <c r="AO727" s="106"/>
      <c r="AP727" s="106"/>
      <c r="AQ727" s="106"/>
      <c r="AR727" s="106"/>
      <c r="AS727" s="31"/>
      <c r="AT727" s="31"/>
      <c r="AU727" s="31"/>
      <c r="AV727" s="30"/>
      <c r="AW727" s="30"/>
      <c r="AX727" s="106"/>
      <c r="AY727" s="106"/>
      <c r="AZ727" s="106"/>
      <c r="BA727" s="106"/>
      <c r="BB727" s="106"/>
      <c r="BC727" s="106"/>
      <c r="BD727" s="107"/>
      <c r="BE727" s="105"/>
      <c r="BF727" s="105"/>
      <c r="BG727" s="105"/>
      <c r="BH727" s="107"/>
      <c r="BI727" s="160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7"/>
      <c r="BX727" s="107"/>
      <c r="BY727" s="107"/>
      <c r="BZ727" s="107"/>
      <c r="CA727" s="107"/>
      <c r="CB727" s="107"/>
      <c r="CC727" s="107"/>
      <c r="CD727" s="107"/>
      <c r="CE727" s="107"/>
      <c r="CF727" s="107"/>
      <c r="CG727" s="106"/>
      <c r="CH727" s="106"/>
      <c r="CI727" s="106"/>
      <c r="CJ727" s="106"/>
      <c r="CK727" s="106"/>
      <c r="CL727" s="138"/>
      <c r="CM727" s="138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55"/>
      <c r="DH727" s="53"/>
      <c r="DL727" s="54"/>
      <c r="DM727" s="54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L727" s="55"/>
      <c r="EM727" s="1"/>
      <c r="EN727" s="106"/>
      <c r="EO727" s="106"/>
      <c r="EP727" s="1"/>
      <c r="EQ727" s="106"/>
      <c r="ER727" s="1"/>
      <c r="ES727" s="1"/>
      <c r="ET727" s="1"/>
      <c r="EU727" s="108"/>
    </row>
    <row r="728" spans="9:151">
      <c r="I728" s="137"/>
      <c r="J728" s="138"/>
      <c r="K728" s="1"/>
      <c r="L728" s="1"/>
      <c r="Q728" s="1"/>
      <c r="R728" s="1"/>
      <c r="S728" s="106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55"/>
      <c r="AN728" s="106"/>
      <c r="AO728" s="106"/>
      <c r="AP728" s="106"/>
      <c r="AQ728" s="106"/>
      <c r="AR728" s="106"/>
      <c r="AS728" s="31"/>
      <c r="AT728" s="31"/>
      <c r="AU728" s="31"/>
      <c r="AV728" s="30"/>
      <c r="AW728" s="30"/>
      <c r="AX728" s="106"/>
      <c r="AY728" s="106"/>
      <c r="AZ728" s="106"/>
      <c r="BA728" s="106"/>
      <c r="BB728" s="106"/>
      <c r="BC728" s="106"/>
      <c r="BD728" s="107"/>
      <c r="BE728" s="105"/>
      <c r="BF728" s="105"/>
      <c r="BG728" s="105"/>
      <c r="BH728" s="107"/>
      <c r="BI728" s="160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7"/>
      <c r="BX728" s="107"/>
      <c r="BY728" s="107"/>
      <c r="BZ728" s="107"/>
      <c r="CA728" s="107"/>
      <c r="CB728" s="107"/>
      <c r="CC728" s="107"/>
      <c r="CD728" s="107"/>
      <c r="CE728" s="107"/>
      <c r="CF728" s="107"/>
      <c r="CG728" s="106"/>
      <c r="CH728" s="106"/>
      <c r="CI728" s="106"/>
      <c r="CJ728" s="106"/>
      <c r="CK728" s="106"/>
      <c r="CL728" s="138"/>
      <c r="CM728" s="138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55"/>
      <c r="DH728" s="53"/>
      <c r="DL728" s="54"/>
      <c r="DM728" s="54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L728" s="55"/>
      <c r="EM728" s="1"/>
      <c r="EN728" s="106"/>
      <c r="EO728" s="106"/>
      <c r="EP728" s="1"/>
      <c r="EQ728" s="106"/>
      <c r="ER728" s="1"/>
      <c r="ES728" s="1"/>
      <c r="ET728" s="1"/>
      <c r="EU728" s="108"/>
    </row>
    <row r="729" spans="9:151">
      <c r="I729" s="137"/>
      <c r="J729" s="138"/>
      <c r="K729" s="1"/>
      <c r="L729" s="1"/>
      <c r="Q729" s="1"/>
      <c r="R729" s="1"/>
      <c r="S729" s="106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55"/>
      <c r="AN729" s="106"/>
      <c r="AO729" s="106"/>
      <c r="AP729" s="106"/>
      <c r="AQ729" s="106"/>
      <c r="AR729" s="106"/>
      <c r="AS729" s="31"/>
      <c r="AT729" s="31"/>
      <c r="AU729" s="31"/>
      <c r="AV729" s="30"/>
      <c r="AW729" s="30"/>
      <c r="AX729" s="106"/>
      <c r="AY729" s="106"/>
      <c r="AZ729" s="106"/>
      <c r="BA729" s="106"/>
      <c r="BB729" s="106"/>
      <c r="BC729" s="106"/>
      <c r="BD729" s="107"/>
      <c r="BE729" s="105"/>
      <c r="BF729" s="105"/>
      <c r="BG729" s="105"/>
      <c r="BH729" s="107"/>
      <c r="BI729" s="160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7"/>
      <c r="BX729" s="107"/>
      <c r="BY729" s="107"/>
      <c r="BZ729" s="107"/>
      <c r="CA729" s="107"/>
      <c r="CB729" s="107"/>
      <c r="CC729" s="107"/>
      <c r="CD729" s="107"/>
      <c r="CE729" s="107"/>
      <c r="CF729" s="107"/>
      <c r="CG729" s="106"/>
      <c r="CH729" s="106"/>
      <c r="CI729" s="106"/>
      <c r="CJ729" s="106"/>
      <c r="CK729" s="106"/>
      <c r="CL729" s="138"/>
      <c r="CM729" s="138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55"/>
      <c r="DH729" s="53"/>
      <c r="DL729" s="54"/>
      <c r="DM729" s="54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L729" s="55"/>
      <c r="EM729" s="1"/>
      <c r="EN729" s="106"/>
      <c r="EO729" s="106"/>
      <c r="EP729" s="1"/>
      <c r="EQ729" s="106"/>
      <c r="ER729" s="1"/>
      <c r="ES729" s="1"/>
      <c r="ET729" s="1"/>
      <c r="EU729" s="108"/>
    </row>
    <row r="730" spans="9:151">
      <c r="I730" s="137"/>
      <c r="J730" s="138"/>
      <c r="K730" s="1"/>
      <c r="L730" s="1"/>
      <c r="Q730" s="1"/>
      <c r="R730" s="1"/>
      <c r="S730" s="106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55"/>
      <c r="AN730" s="106"/>
      <c r="AO730" s="106"/>
      <c r="AP730" s="106"/>
      <c r="AQ730" s="106"/>
      <c r="AR730" s="106"/>
      <c r="AS730" s="31"/>
      <c r="AT730" s="31"/>
      <c r="AU730" s="31"/>
      <c r="AV730" s="30"/>
      <c r="AW730" s="30"/>
      <c r="AX730" s="106"/>
      <c r="AY730" s="106"/>
      <c r="AZ730" s="106"/>
      <c r="BA730" s="106"/>
      <c r="BB730" s="106"/>
      <c r="BC730" s="106"/>
      <c r="BD730" s="107"/>
      <c r="BE730" s="105"/>
      <c r="BF730" s="105"/>
      <c r="BG730" s="105"/>
      <c r="BH730" s="107"/>
      <c r="BI730" s="160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7"/>
      <c r="BX730" s="107"/>
      <c r="BY730" s="107"/>
      <c r="BZ730" s="107"/>
      <c r="CA730" s="107"/>
      <c r="CB730" s="107"/>
      <c r="CC730" s="107"/>
      <c r="CD730" s="107"/>
      <c r="CE730" s="107"/>
      <c r="CF730" s="107"/>
      <c r="CG730" s="106"/>
      <c r="CH730" s="106"/>
      <c r="CI730" s="106"/>
      <c r="CJ730" s="106"/>
      <c r="CK730" s="106"/>
      <c r="CL730" s="138"/>
      <c r="CM730" s="138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55"/>
      <c r="DH730" s="53"/>
      <c r="DL730" s="54"/>
      <c r="DM730" s="54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L730" s="55"/>
      <c r="EM730" s="1"/>
      <c r="EN730" s="106"/>
      <c r="EO730" s="106"/>
      <c r="EP730" s="1"/>
      <c r="EQ730" s="106"/>
      <c r="ER730" s="1"/>
      <c r="ES730" s="1"/>
      <c r="ET730" s="1"/>
      <c r="EU730" s="108"/>
    </row>
    <row r="731" spans="9:151">
      <c r="I731" s="137"/>
      <c r="J731" s="138"/>
      <c r="K731" s="1"/>
      <c r="L731" s="1"/>
      <c r="Q731" s="1"/>
      <c r="R731" s="1"/>
      <c r="S731" s="106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55"/>
      <c r="AN731" s="106"/>
      <c r="AO731" s="106"/>
      <c r="AP731" s="106"/>
      <c r="AQ731" s="106"/>
      <c r="AR731" s="106"/>
      <c r="AS731" s="31"/>
      <c r="AT731" s="31"/>
      <c r="AU731" s="31"/>
      <c r="AV731" s="30"/>
      <c r="AW731" s="30"/>
      <c r="AX731" s="106"/>
      <c r="AY731" s="106"/>
      <c r="AZ731" s="106"/>
      <c r="BA731" s="106"/>
      <c r="BB731" s="106"/>
      <c r="BC731" s="106"/>
      <c r="BD731" s="107"/>
      <c r="BE731" s="105"/>
      <c r="BF731" s="105"/>
      <c r="BG731" s="105"/>
      <c r="BH731" s="107"/>
      <c r="BI731" s="160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7"/>
      <c r="BX731" s="107"/>
      <c r="BY731" s="107"/>
      <c r="BZ731" s="107"/>
      <c r="CA731" s="107"/>
      <c r="CB731" s="107"/>
      <c r="CC731" s="107"/>
      <c r="CD731" s="107"/>
      <c r="CE731" s="107"/>
      <c r="CF731" s="107"/>
      <c r="CG731" s="106"/>
      <c r="CH731" s="106"/>
      <c r="CI731" s="106"/>
      <c r="CJ731" s="106"/>
      <c r="CK731" s="106"/>
      <c r="CL731" s="138"/>
      <c r="CM731" s="138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55"/>
      <c r="DH731" s="53"/>
      <c r="DL731" s="54"/>
      <c r="DM731" s="54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L731" s="55"/>
      <c r="EM731" s="1"/>
      <c r="EN731" s="106"/>
      <c r="EO731" s="106"/>
      <c r="EP731" s="1"/>
      <c r="EQ731" s="106"/>
      <c r="ER731" s="1"/>
      <c r="ES731" s="1"/>
      <c r="ET731" s="1"/>
      <c r="EU731" s="108"/>
    </row>
    <row r="732" spans="9:151">
      <c r="I732" s="137"/>
      <c r="J732" s="138"/>
      <c r="K732" s="1"/>
      <c r="L732" s="1"/>
      <c r="Q732" s="1"/>
      <c r="R732" s="1"/>
      <c r="S732" s="106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55"/>
      <c r="AN732" s="106"/>
      <c r="AO732" s="106"/>
      <c r="AP732" s="106"/>
      <c r="AQ732" s="106"/>
      <c r="AR732" s="106"/>
      <c r="AS732" s="31"/>
      <c r="AT732" s="31"/>
      <c r="AU732" s="31"/>
      <c r="AV732" s="30"/>
      <c r="AW732" s="30"/>
      <c r="AX732" s="106"/>
      <c r="AY732" s="106"/>
      <c r="AZ732" s="106"/>
      <c r="BA732" s="106"/>
      <c r="BB732" s="106"/>
      <c r="BC732" s="106"/>
      <c r="BD732" s="107"/>
      <c r="BE732" s="105"/>
      <c r="BF732" s="105"/>
      <c r="BG732" s="105"/>
      <c r="BH732" s="107"/>
      <c r="BI732" s="160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7"/>
      <c r="BX732" s="107"/>
      <c r="BY732" s="107"/>
      <c r="BZ732" s="107"/>
      <c r="CA732" s="107"/>
      <c r="CB732" s="107"/>
      <c r="CC732" s="107"/>
      <c r="CD732" s="107"/>
      <c r="CE732" s="107"/>
      <c r="CF732" s="107"/>
      <c r="CG732" s="106"/>
      <c r="CH732" s="106"/>
      <c r="CI732" s="106"/>
      <c r="CJ732" s="106"/>
      <c r="CK732" s="106"/>
      <c r="CL732" s="138"/>
      <c r="CM732" s="138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55"/>
      <c r="DH732" s="53"/>
      <c r="DL732" s="54"/>
      <c r="DM732" s="54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L732" s="55"/>
      <c r="EM732" s="1"/>
      <c r="EN732" s="106"/>
      <c r="EO732" s="106"/>
      <c r="EP732" s="1"/>
      <c r="EQ732" s="106"/>
      <c r="ER732" s="1"/>
      <c r="ES732" s="1"/>
      <c r="ET732" s="1"/>
      <c r="EU732" s="108"/>
    </row>
    <row r="733" spans="9:151">
      <c r="I733" s="137"/>
      <c r="J733" s="138"/>
      <c r="K733" s="1"/>
      <c r="L733" s="1"/>
      <c r="Q733" s="1"/>
      <c r="R733" s="1"/>
      <c r="S733" s="106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55"/>
      <c r="AN733" s="106"/>
      <c r="AO733" s="106"/>
      <c r="AP733" s="106"/>
      <c r="AQ733" s="106"/>
      <c r="AR733" s="106"/>
      <c r="AS733" s="31"/>
      <c r="AT733" s="31"/>
      <c r="AU733" s="31"/>
      <c r="AV733" s="30"/>
      <c r="AW733" s="30"/>
      <c r="AX733" s="106"/>
      <c r="AY733" s="106"/>
      <c r="AZ733" s="106"/>
      <c r="BA733" s="106"/>
      <c r="BB733" s="106"/>
      <c r="BC733" s="106"/>
      <c r="BD733" s="107"/>
      <c r="BE733" s="105"/>
      <c r="BF733" s="105"/>
      <c r="BG733" s="105"/>
      <c r="BH733" s="107"/>
      <c r="BI733" s="160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7"/>
      <c r="BX733" s="107"/>
      <c r="BY733" s="107"/>
      <c r="BZ733" s="107"/>
      <c r="CA733" s="107"/>
      <c r="CB733" s="107"/>
      <c r="CC733" s="107"/>
      <c r="CD733" s="107"/>
      <c r="CE733" s="107"/>
      <c r="CF733" s="107"/>
      <c r="CG733" s="106"/>
      <c r="CH733" s="106"/>
      <c r="CI733" s="106"/>
      <c r="CJ733" s="106"/>
      <c r="CK733" s="106"/>
      <c r="CL733" s="138"/>
      <c r="CM733" s="138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55"/>
      <c r="DH733" s="53"/>
      <c r="DL733" s="54"/>
      <c r="DM733" s="54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L733" s="55"/>
      <c r="EM733" s="1"/>
      <c r="EN733" s="106"/>
      <c r="EO733" s="106"/>
      <c r="EP733" s="1"/>
      <c r="EQ733" s="106"/>
      <c r="ER733" s="1"/>
      <c r="ES733" s="1"/>
      <c r="ET733" s="1"/>
      <c r="EU733" s="108"/>
    </row>
    <row r="734" spans="9:151">
      <c r="I734" s="137"/>
      <c r="J734" s="138"/>
      <c r="K734" s="1"/>
      <c r="L734" s="1"/>
      <c r="Q734" s="1"/>
      <c r="R734" s="1"/>
      <c r="S734" s="106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55"/>
      <c r="AN734" s="106"/>
      <c r="AO734" s="106"/>
      <c r="AP734" s="106"/>
      <c r="AQ734" s="106"/>
      <c r="AR734" s="106"/>
      <c r="AS734" s="31"/>
      <c r="AT734" s="31"/>
      <c r="AU734" s="31"/>
      <c r="AV734" s="30"/>
      <c r="AW734" s="30"/>
      <c r="AX734" s="106"/>
      <c r="AY734" s="106"/>
      <c r="AZ734" s="106"/>
      <c r="BA734" s="106"/>
      <c r="BB734" s="106"/>
      <c r="BC734" s="106"/>
      <c r="BD734" s="107"/>
      <c r="BE734" s="105"/>
      <c r="BF734" s="105"/>
      <c r="BG734" s="105"/>
      <c r="BH734" s="107"/>
      <c r="BI734" s="160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7"/>
      <c r="BX734" s="107"/>
      <c r="BY734" s="107"/>
      <c r="BZ734" s="107"/>
      <c r="CA734" s="107"/>
      <c r="CB734" s="107"/>
      <c r="CC734" s="107"/>
      <c r="CD734" s="107"/>
      <c r="CE734" s="107"/>
      <c r="CF734" s="107"/>
      <c r="CG734" s="106"/>
      <c r="CH734" s="106"/>
      <c r="CI734" s="106"/>
      <c r="CJ734" s="106"/>
      <c r="CK734" s="106"/>
      <c r="CL734" s="138"/>
      <c r="CM734" s="138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55"/>
      <c r="DH734" s="53"/>
      <c r="DL734" s="54"/>
      <c r="DM734" s="54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L734" s="55"/>
      <c r="EM734" s="1"/>
      <c r="EN734" s="106"/>
      <c r="EO734" s="106"/>
      <c r="EP734" s="1"/>
      <c r="EQ734" s="106"/>
      <c r="ER734" s="1"/>
      <c r="ES734" s="1"/>
      <c r="ET734" s="1"/>
      <c r="EU734" s="108"/>
    </row>
    <row r="735" spans="9:151">
      <c r="I735" s="137"/>
      <c r="J735" s="138"/>
      <c r="K735" s="1"/>
      <c r="L735" s="1"/>
      <c r="Q735" s="1"/>
      <c r="R735" s="1"/>
      <c r="S735" s="106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55"/>
      <c r="AN735" s="106"/>
      <c r="AO735" s="106"/>
      <c r="AP735" s="106"/>
      <c r="AQ735" s="106"/>
      <c r="AR735" s="106"/>
      <c r="AS735" s="31"/>
      <c r="AT735" s="31"/>
      <c r="AU735" s="31"/>
      <c r="AV735" s="30"/>
      <c r="AW735" s="30"/>
      <c r="AX735" s="106"/>
      <c r="AY735" s="106"/>
      <c r="AZ735" s="106"/>
      <c r="BA735" s="106"/>
      <c r="BB735" s="106"/>
      <c r="BC735" s="106"/>
      <c r="BD735" s="107"/>
      <c r="BE735" s="105"/>
      <c r="BF735" s="105"/>
      <c r="BG735" s="105"/>
      <c r="BH735" s="107"/>
      <c r="BI735" s="160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7"/>
      <c r="BX735" s="107"/>
      <c r="BY735" s="107"/>
      <c r="BZ735" s="107"/>
      <c r="CA735" s="107"/>
      <c r="CB735" s="107"/>
      <c r="CC735" s="107"/>
      <c r="CD735" s="107"/>
      <c r="CE735" s="107"/>
      <c r="CF735" s="107"/>
      <c r="CG735" s="106"/>
      <c r="CH735" s="106"/>
      <c r="CI735" s="106"/>
      <c r="CJ735" s="106"/>
      <c r="CK735" s="106"/>
      <c r="CL735" s="138"/>
      <c r="CM735" s="138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55"/>
      <c r="DH735" s="53"/>
      <c r="DL735" s="54"/>
      <c r="DM735" s="54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L735" s="55"/>
      <c r="EM735" s="1"/>
      <c r="EN735" s="106"/>
      <c r="EO735" s="106"/>
      <c r="EP735" s="1"/>
      <c r="EQ735" s="106"/>
      <c r="ER735" s="1"/>
      <c r="ES735" s="1"/>
      <c r="ET735" s="1"/>
      <c r="EU735" s="108"/>
    </row>
    <row r="736" spans="9:151">
      <c r="I736" s="137"/>
      <c r="J736" s="138"/>
      <c r="K736" s="1"/>
      <c r="L736" s="1"/>
      <c r="Q736" s="1"/>
      <c r="R736" s="1"/>
      <c r="S736" s="106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55"/>
      <c r="AN736" s="106"/>
      <c r="AO736" s="106"/>
      <c r="AP736" s="106"/>
      <c r="AQ736" s="106"/>
      <c r="AR736" s="106"/>
      <c r="AS736" s="31"/>
      <c r="AT736" s="31"/>
      <c r="AU736" s="31"/>
      <c r="AV736" s="30"/>
      <c r="AW736" s="30"/>
      <c r="AX736" s="106"/>
      <c r="AY736" s="106"/>
      <c r="AZ736" s="106"/>
      <c r="BA736" s="106"/>
      <c r="BB736" s="106"/>
      <c r="BC736" s="106"/>
      <c r="BD736" s="107"/>
      <c r="BE736" s="105"/>
      <c r="BF736" s="105"/>
      <c r="BG736" s="105"/>
      <c r="BH736" s="107"/>
      <c r="BI736" s="160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7"/>
      <c r="BX736" s="107"/>
      <c r="BY736" s="107"/>
      <c r="BZ736" s="107"/>
      <c r="CA736" s="107"/>
      <c r="CB736" s="107"/>
      <c r="CC736" s="107"/>
      <c r="CD736" s="107"/>
      <c r="CE736" s="107"/>
      <c r="CF736" s="107"/>
      <c r="CG736" s="106"/>
      <c r="CH736" s="106"/>
      <c r="CI736" s="106"/>
      <c r="CJ736" s="106"/>
      <c r="CK736" s="106"/>
      <c r="CL736" s="138"/>
      <c r="CM736" s="138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55"/>
      <c r="DH736" s="53"/>
      <c r="DL736" s="54"/>
      <c r="DM736" s="54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L736" s="55"/>
      <c r="EM736" s="1"/>
      <c r="EN736" s="106"/>
      <c r="EO736" s="106"/>
      <c r="EP736" s="1"/>
      <c r="EQ736" s="106"/>
      <c r="ER736" s="1"/>
      <c r="ES736" s="1"/>
      <c r="ET736" s="1"/>
      <c r="EU736" s="108"/>
    </row>
    <row r="737" spans="9:151">
      <c r="I737" s="137"/>
      <c r="J737" s="138"/>
      <c r="K737" s="1"/>
      <c r="L737" s="1"/>
      <c r="Q737" s="1"/>
      <c r="R737" s="1"/>
      <c r="S737" s="106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55"/>
      <c r="AN737" s="106"/>
      <c r="AO737" s="106"/>
      <c r="AP737" s="106"/>
      <c r="AQ737" s="106"/>
      <c r="AR737" s="106"/>
      <c r="AS737" s="31"/>
      <c r="AT737" s="31"/>
      <c r="AU737" s="31"/>
      <c r="AV737" s="30"/>
      <c r="AW737" s="30"/>
      <c r="AX737" s="106"/>
      <c r="AY737" s="106"/>
      <c r="AZ737" s="106"/>
      <c r="BA737" s="106"/>
      <c r="BB737" s="106"/>
      <c r="BC737" s="106"/>
      <c r="BD737" s="107"/>
      <c r="BE737" s="105"/>
      <c r="BF737" s="105"/>
      <c r="BG737" s="105"/>
      <c r="BH737" s="107"/>
      <c r="BI737" s="160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7"/>
      <c r="BX737" s="107"/>
      <c r="BY737" s="107"/>
      <c r="BZ737" s="107"/>
      <c r="CA737" s="107"/>
      <c r="CB737" s="107"/>
      <c r="CC737" s="107"/>
      <c r="CD737" s="107"/>
      <c r="CE737" s="107"/>
      <c r="CF737" s="107"/>
      <c r="CG737" s="106"/>
      <c r="CH737" s="106"/>
      <c r="CI737" s="106"/>
      <c r="CJ737" s="106"/>
      <c r="CK737" s="106"/>
      <c r="CL737" s="138"/>
      <c r="CM737" s="138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55"/>
      <c r="DH737" s="53"/>
      <c r="DL737" s="54"/>
      <c r="DM737" s="54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L737" s="55"/>
      <c r="EM737" s="1"/>
      <c r="EN737" s="106"/>
      <c r="EO737" s="106"/>
      <c r="EP737" s="1"/>
      <c r="EQ737" s="106"/>
      <c r="ER737" s="1"/>
      <c r="ES737" s="1"/>
      <c r="ET737" s="1"/>
      <c r="EU737" s="108"/>
    </row>
    <row r="738" spans="9:151">
      <c r="I738" s="137"/>
      <c r="J738" s="138"/>
      <c r="K738" s="1"/>
      <c r="L738" s="1"/>
      <c r="Q738" s="1"/>
      <c r="R738" s="1"/>
      <c r="S738" s="106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55"/>
      <c r="AN738" s="106"/>
      <c r="AO738" s="106"/>
      <c r="AP738" s="106"/>
      <c r="AQ738" s="106"/>
      <c r="AR738" s="106"/>
      <c r="AS738" s="31"/>
      <c r="AT738" s="31"/>
      <c r="AU738" s="31"/>
      <c r="AV738" s="30"/>
      <c r="AW738" s="30"/>
      <c r="AX738" s="106"/>
      <c r="AY738" s="106"/>
      <c r="AZ738" s="106"/>
      <c r="BA738" s="106"/>
      <c r="BB738" s="106"/>
      <c r="BC738" s="106"/>
      <c r="BD738" s="107"/>
      <c r="BE738" s="105"/>
      <c r="BF738" s="105"/>
      <c r="BG738" s="105"/>
      <c r="BH738" s="107"/>
      <c r="BI738" s="160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7"/>
      <c r="BX738" s="107"/>
      <c r="BY738" s="107"/>
      <c r="BZ738" s="107"/>
      <c r="CA738" s="107"/>
      <c r="CB738" s="107"/>
      <c r="CC738" s="107"/>
      <c r="CD738" s="107"/>
      <c r="CE738" s="107"/>
      <c r="CF738" s="107"/>
      <c r="CG738" s="106"/>
      <c r="CH738" s="106"/>
      <c r="CI738" s="106"/>
      <c r="CJ738" s="106"/>
      <c r="CK738" s="106"/>
      <c r="CL738" s="138"/>
      <c r="CM738" s="138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55"/>
      <c r="DH738" s="53"/>
      <c r="DL738" s="54"/>
      <c r="DM738" s="54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L738" s="55"/>
      <c r="EM738" s="1"/>
      <c r="EN738" s="106"/>
      <c r="EO738" s="106"/>
      <c r="EP738" s="1"/>
      <c r="EQ738" s="106"/>
      <c r="ER738" s="1"/>
      <c r="ES738" s="1"/>
      <c r="ET738" s="1"/>
      <c r="EU738" s="108"/>
    </row>
    <row r="739" spans="9:151">
      <c r="I739" s="137"/>
      <c r="J739" s="138"/>
      <c r="K739" s="1"/>
      <c r="L739" s="1"/>
      <c r="Q739" s="1"/>
      <c r="R739" s="1"/>
      <c r="S739" s="106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55"/>
      <c r="AN739" s="106"/>
      <c r="AO739" s="106"/>
      <c r="AP739" s="106"/>
      <c r="AQ739" s="106"/>
      <c r="AR739" s="106"/>
      <c r="AS739" s="31"/>
      <c r="AT739" s="31"/>
      <c r="AU739" s="31"/>
      <c r="AV739" s="30"/>
      <c r="AW739" s="30"/>
      <c r="AX739" s="106"/>
      <c r="AY739" s="106"/>
      <c r="AZ739" s="106"/>
      <c r="BA739" s="106"/>
      <c r="BB739" s="106"/>
      <c r="BC739" s="106"/>
      <c r="BD739" s="107"/>
      <c r="BE739" s="105"/>
      <c r="BF739" s="105"/>
      <c r="BG739" s="105"/>
      <c r="BH739" s="107"/>
      <c r="BI739" s="160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7"/>
      <c r="BX739" s="107"/>
      <c r="BY739" s="107"/>
      <c r="BZ739" s="107"/>
      <c r="CA739" s="107"/>
      <c r="CB739" s="107"/>
      <c r="CC739" s="107"/>
      <c r="CD739" s="107"/>
      <c r="CE739" s="107"/>
      <c r="CF739" s="107"/>
      <c r="CG739" s="106"/>
      <c r="CH739" s="106"/>
      <c r="CI739" s="106"/>
      <c r="CJ739" s="106"/>
      <c r="CK739" s="106"/>
      <c r="CL739" s="138"/>
      <c r="CM739" s="138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55"/>
      <c r="DH739" s="53"/>
      <c r="DL739" s="54"/>
      <c r="DM739" s="54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L739" s="55"/>
      <c r="EM739" s="1"/>
      <c r="EN739" s="106"/>
      <c r="EO739" s="106"/>
      <c r="EP739" s="1"/>
      <c r="EQ739" s="106"/>
      <c r="ER739" s="1"/>
      <c r="ES739" s="1"/>
      <c r="ET739" s="1"/>
      <c r="EU739" s="108"/>
    </row>
    <row r="740" spans="9:151">
      <c r="I740" s="137"/>
      <c r="J740" s="138"/>
      <c r="K740" s="1"/>
      <c r="L740" s="1"/>
      <c r="Q740" s="1"/>
      <c r="R740" s="1"/>
      <c r="S740" s="106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55"/>
      <c r="AN740" s="106"/>
      <c r="AO740" s="106"/>
      <c r="AP740" s="106"/>
      <c r="AQ740" s="106"/>
      <c r="AR740" s="106"/>
      <c r="AS740" s="31"/>
      <c r="AT740" s="31"/>
      <c r="AU740" s="31"/>
      <c r="AV740" s="30"/>
      <c r="AW740" s="30"/>
      <c r="AX740" s="106"/>
      <c r="AY740" s="106"/>
      <c r="AZ740" s="106"/>
      <c r="BA740" s="106"/>
      <c r="BB740" s="106"/>
      <c r="BC740" s="106"/>
      <c r="BD740" s="107"/>
      <c r="BE740" s="105"/>
      <c r="BF740" s="105"/>
      <c r="BG740" s="105"/>
      <c r="BH740" s="107"/>
      <c r="BI740" s="160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7"/>
      <c r="BX740" s="107"/>
      <c r="BY740" s="107"/>
      <c r="BZ740" s="107"/>
      <c r="CA740" s="107"/>
      <c r="CB740" s="107"/>
      <c r="CC740" s="107"/>
      <c r="CD740" s="107"/>
      <c r="CE740" s="107"/>
      <c r="CF740" s="107"/>
      <c r="CG740" s="106"/>
      <c r="CH740" s="106"/>
      <c r="CI740" s="106"/>
      <c r="CJ740" s="106"/>
      <c r="CK740" s="106"/>
      <c r="CL740" s="138"/>
      <c r="CM740" s="138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55"/>
      <c r="DH740" s="53"/>
      <c r="DL740" s="54"/>
      <c r="DM740" s="54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L740" s="55"/>
      <c r="EM740" s="1"/>
      <c r="EN740" s="106"/>
      <c r="EO740" s="106"/>
      <c r="EP740" s="1"/>
      <c r="EQ740" s="106"/>
      <c r="ER740" s="1"/>
      <c r="ES740" s="1"/>
      <c r="ET740" s="1"/>
      <c r="EU740" s="108"/>
    </row>
    <row r="741" spans="9:151">
      <c r="I741" s="137"/>
      <c r="J741" s="138"/>
      <c r="K741" s="1"/>
      <c r="L741" s="1"/>
      <c r="Q741" s="1"/>
      <c r="R741" s="1"/>
      <c r="S741" s="106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55"/>
      <c r="AN741" s="106"/>
      <c r="AO741" s="106"/>
      <c r="AP741" s="106"/>
      <c r="AQ741" s="106"/>
      <c r="AR741" s="106"/>
      <c r="AS741" s="31"/>
      <c r="AT741" s="31"/>
      <c r="AU741" s="31"/>
      <c r="AV741" s="30"/>
      <c r="AW741" s="30"/>
      <c r="AX741" s="106"/>
      <c r="AY741" s="106"/>
      <c r="AZ741" s="106"/>
      <c r="BA741" s="106"/>
      <c r="BB741" s="106"/>
      <c r="BC741" s="106"/>
      <c r="BD741" s="107"/>
      <c r="BE741" s="105"/>
      <c r="BF741" s="105"/>
      <c r="BG741" s="105"/>
      <c r="BH741" s="107"/>
      <c r="BI741" s="160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7"/>
      <c r="BX741" s="107"/>
      <c r="BY741" s="107"/>
      <c r="BZ741" s="107"/>
      <c r="CA741" s="107"/>
      <c r="CB741" s="107"/>
      <c r="CC741" s="107"/>
      <c r="CD741" s="107"/>
      <c r="CE741" s="107"/>
      <c r="CF741" s="107"/>
      <c r="CG741" s="106"/>
      <c r="CH741" s="106"/>
      <c r="CI741" s="106"/>
      <c r="CJ741" s="106"/>
      <c r="CK741" s="106"/>
      <c r="CL741" s="138"/>
      <c r="CM741" s="138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55"/>
      <c r="DH741" s="53"/>
      <c r="DL741" s="54"/>
      <c r="DM741" s="54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L741" s="55"/>
      <c r="EM741" s="1"/>
      <c r="EN741" s="106"/>
      <c r="EO741" s="106"/>
      <c r="EP741" s="1"/>
      <c r="EQ741" s="106"/>
      <c r="ER741" s="1"/>
      <c r="ES741" s="1"/>
      <c r="ET741" s="1"/>
      <c r="EU741" s="108"/>
    </row>
    <row r="742" spans="9:151">
      <c r="I742" s="137"/>
      <c r="J742" s="138"/>
      <c r="K742" s="1"/>
      <c r="L742" s="1"/>
      <c r="Q742" s="1"/>
      <c r="R742" s="1"/>
      <c r="S742" s="106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55"/>
      <c r="AN742" s="106"/>
      <c r="AO742" s="106"/>
      <c r="AP742" s="106"/>
      <c r="AQ742" s="106"/>
      <c r="AR742" s="106"/>
      <c r="AS742" s="31"/>
      <c r="AT742" s="31"/>
      <c r="AU742" s="31"/>
      <c r="AV742" s="30"/>
      <c r="AW742" s="30"/>
      <c r="AX742" s="106"/>
      <c r="AY742" s="106"/>
      <c r="AZ742" s="106"/>
      <c r="BA742" s="106"/>
      <c r="BB742" s="106"/>
      <c r="BC742" s="106"/>
      <c r="BD742" s="107"/>
      <c r="BE742" s="105"/>
      <c r="BF742" s="105"/>
      <c r="BG742" s="105"/>
      <c r="BH742" s="107"/>
      <c r="BI742" s="160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7"/>
      <c r="BX742" s="107"/>
      <c r="BY742" s="107"/>
      <c r="BZ742" s="107"/>
      <c r="CA742" s="107"/>
      <c r="CB742" s="107"/>
      <c r="CC742" s="107"/>
      <c r="CD742" s="107"/>
      <c r="CE742" s="107"/>
      <c r="CF742" s="107"/>
      <c r="CG742" s="106"/>
      <c r="CH742" s="106"/>
      <c r="CI742" s="106"/>
      <c r="CJ742" s="106"/>
      <c r="CK742" s="106"/>
      <c r="CL742" s="138"/>
      <c r="CM742" s="138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55"/>
      <c r="DH742" s="53"/>
      <c r="DL742" s="54"/>
      <c r="DM742" s="54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L742" s="55"/>
      <c r="EM742" s="1"/>
      <c r="EN742" s="106"/>
      <c r="EO742" s="106"/>
      <c r="EP742" s="1"/>
      <c r="EQ742" s="106"/>
      <c r="ER742" s="1"/>
      <c r="ES742" s="1"/>
      <c r="ET742" s="1"/>
      <c r="EU742" s="108"/>
    </row>
    <row r="743" spans="9:151">
      <c r="I743" s="137"/>
      <c r="J743" s="138"/>
      <c r="K743" s="1"/>
      <c r="L743" s="1"/>
      <c r="Q743" s="1"/>
      <c r="R743" s="1"/>
      <c r="S743" s="106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55"/>
      <c r="AN743" s="106"/>
      <c r="AO743" s="106"/>
      <c r="AP743" s="106"/>
      <c r="AQ743" s="106"/>
      <c r="AR743" s="106"/>
      <c r="AS743" s="31"/>
      <c r="AT743" s="31"/>
      <c r="AU743" s="31"/>
      <c r="AV743" s="30"/>
      <c r="AW743" s="30"/>
      <c r="AX743" s="106"/>
      <c r="AY743" s="106"/>
      <c r="AZ743" s="106"/>
      <c r="BA743" s="106"/>
      <c r="BB743" s="106"/>
      <c r="BC743" s="106"/>
      <c r="BD743" s="107"/>
      <c r="BE743" s="105"/>
      <c r="BF743" s="105"/>
      <c r="BG743" s="105"/>
      <c r="BH743" s="107"/>
      <c r="BI743" s="160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7"/>
      <c r="BX743" s="107"/>
      <c r="BY743" s="107"/>
      <c r="BZ743" s="107"/>
      <c r="CA743" s="107"/>
      <c r="CB743" s="107"/>
      <c r="CC743" s="107"/>
      <c r="CD743" s="107"/>
      <c r="CE743" s="107"/>
      <c r="CF743" s="107"/>
      <c r="CG743" s="106"/>
      <c r="CH743" s="106"/>
      <c r="CI743" s="106"/>
      <c r="CJ743" s="106"/>
      <c r="CK743" s="106"/>
      <c r="CL743" s="138"/>
      <c r="CM743" s="138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55"/>
      <c r="DH743" s="53"/>
      <c r="DL743" s="54"/>
      <c r="DM743" s="54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L743" s="55"/>
      <c r="EM743" s="1"/>
      <c r="EN743" s="106"/>
      <c r="EO743" s="106"/>
      <c r="EP743" s="1"/>
      <c r="EQ743" s="106"/>
      <c r="ER743" s="1"/>
      <c r="ES743" s="1"/>
      <c r="ET743" s="1"/>
      <c r="EU743" s="108"/>
    </row>
    <row r="744" spans="9:151">
      <c r="I744" s="137"/>
      <c r="J744" s="138"/>
      <c r="K744" s="1"/>
      <c r="L744" s="1"/>
      <c r="Q744" s="1"/>
      <c r="R744" s="1"/>
      <c r="S744" s="106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55"/>
      <c r="AN744" s="106"/>
      <c r="AO744" s="106"/>
      <c r="AP744" s="106"/>
      <c r="AQ744" s="106"/>
      <c r="AR744" s="106"/>
      <c r="AS744" s="31"/>
      <c r="AT744" s="31"/>
      <c r="AU744" s="31"/>
      <c r="AV744" s="30"/>
      <c r="AW744" s="30"/>
      <c r="AX744" s="106"/>
      <c r="AY744" s="106"/>
      <c r="AZ744" s="106"/>
      <c r="BA744" s="106"/>
      <c r="BB744" s="106"/>
      <c r="BC744" s="106"/>
      <c r="BD744" s="107"/>
      <c r="BE744" s="105"/>
      <c r="BF744" s="105"/>
      <c r="BG744" s="105"/>
      <c r="BH744" s="107"/>
      <c r="BI744" s="160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7"/>
      <c r="BX744" s="107"/>
      <c r="BY744" s="107"/>
      <c r="BZ744" s="107"/>
      <c r="CA744" s="107"/>
      <c r="CB744" s="107"/>
      <c r="CC744" s="107"/>
      <c r="CD744" s="107"/>
      <c r="CE744" s="107"/>
      <c r="CF744" s="107"/>
      <c r="CG744" s="106"/>
      <c r="CH744" s="106"/>
      <c r="CI744" s="106"/>
      <c r="CJ744" s="106"/>
      <c r="CK744" s="106"/>
      <c r="CL744" s="138"/>
      <c r="CM744" s="138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55"/>
      <c r="DH744" s="53"/>
      <c r="DL744" s="54"/>
      <c r="DM744" s="54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L744" s="55"/>
      <c r="EM744" s="1"/>
      <c r="EN744" s="106"/>
      <c r="EO744" s="106"/>
      <c r="EP744" s="1"/>
      <c r="EQ744" s="106"/>
      <c r="ER744" s="1"/>
      <c r="ES744" s="1"/>
      <c r="ET744" s="1"/>
      <c r="EU744" s="108"/>
    </row>
    <row r="745" spans="9:151">
      <c r="I745" s="137"/>
      <c r="J745" s="138"/>
      <c r="K745" s="1"/>
      <c r="L745" s="1"/>
      <c r="Q745" s="1"/>
      <c r="R745" s="1"/>
      <c r="S745" s="106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55"/>
      <c r="AN745" s="106"/>
      <c r="AO745" s="106"/>
      <c r="AP745" s="106"/>
      <c r="AQ745" s="106"/>
      <c r="AR745" s="106"/>
      <c r="AS745" s="31"/>
      <c r="AT745" s="31"/>
      <c r="AU745" s="31"/>
      <c r="AV745" s="30"/>
      <c r="AW745" s="30"/>
      <c r="AX745" s="106"/>
      <c r="AY745" s="106"/>
      <c r="AZ745" s="106"/>
      <c r="BA745" s="106"/>
      <c r="BB745" s="106"/>
      <c r="BC745" s="106"/>
      <c r="BD745" s="107"/>
      <c r="BE745" s="105"/>
      <c r="BF745" s="105"/>
      <c r="BG745" s="105"/>
      <c r="BH745" s="107"/>
      <c r="BI745" s="160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7"/>
      <c r="BX745" s="107"/>
      <c r="BY745" s="107"/>
      <c r="BZ745" s="107"/>
      <c r="CA745" s="107"/>
      <c r="CB745" s="107"/>
      <c r="CC745" s="107"/>
      <c r="CD745" s="107"/>
      <c r="CE745" s="107"/>
      <c r="CF745" s="107"/>
      <c r="CG745" s="106"/>
      <c r="CH745" s="106"/>
      <c r="CI745" s="106"/>
      <c r="CJ745" s="106"/>
      <c r="CK745" s="106"/>
      <c r="CL745" s="138"/>
      <c r="CM745" s="138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55"/>
      <c r="DH745" s="53"/>
      <c r="DL745" s="54"/>
      <c r="DM745" s="54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L745" s="55"/>
      <c r="EM745" s="1"/>
      <c r="EN745" s="106"/>
      <c r="EO745" s="106"/>
      <c r="EP745" s="1"/>
      <c r="EQ745" s="106"/>
      <c r="ER745" s="1"/>
      <c r="ES745" s="1"/>
      <c r="ET745" s="1"/>
      <c r="EU745" s="108"/>
    </row>
    <row r="746" spans="9:151">
      <c r="I746" s="137"/>
      <c r="J746" s="138"/>
      <c r="K746" s="1"/>
      <c r="L746" s="1"/>
      <c r="Q746" s="1"/>
      <c r="R746" s="1"/>
      <c r="S746" s="106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55"/>
      <c r="AN746" s="106"/>
      <c r="AO746" s="106"/>
      <c r="AP746" s="106"/>
      <c r="AQ746" s="106"/>
      <c r="AR746" s="106"/>
      <c r="AS746" s="31"/>
      <c r="AT746" s="31"/>
      <c r="AU746" s="31"/>
      <c r="AV746" s="30"/>
      <c r="AW746" s="30"/>
      <c r="AX746" s="106"/>
      <c r="AY746" s="106"/>
      <c r="AZ746" s="106"/>
      <c r="BA746" s="106"/>
      <c r="BB746" s="106"/>
      <c r="BC746" s="106"/>
      <c r="BD746" s="107"/>
      <c r="BE746" s="105"/>
      <c r="BF746" s="105"/>
      <c r="BG746" s="105"/>
      <c r="BH746" s="107"/>
      <c r="BI746" s="160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7"/>
      <c r="BX746" s="107"/>
      <c r="BY746" s="107"/>
      <c r="BZ746" s="107"/>
      <c r="CA746" s="107"/>
      <c r="CB746" s="107"/>
      <c r="CC746" s="107"/>
      <c r="CD746" s="107"/>
      <c r="CE746" s="107"/>
      <c r="CF746" s="107"/>
      <c r="CG746" s="106"/>
      <c r="CH746" s="106"/>
      <c r="CI746" s="106"/>
      <c r="CJ746" s="106"/>
      <c r="CK746" s="106"/>
      <c r="CL746" s="138"/>
      <c r="CM746" s="138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55"/>
      <c r="DH746" s="53"/>
      <c r="DL746" s="54"/>
      <c r="DM746" s="54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L746" s="55"/>
      <c r="EM746" s="1"/>
      <c r="EN746" s="106"/>
      <c r="EO746" s="106"/>
      <c r="EP746" s="1"/>
      <c r="EQ746" s="106"/>
      <c r="ER746" s="1"/>
      <c r="ES746" s="1"/>
      <c r="ET746" s="1"/>
      <c r="EU746" s="108"/>
    </row>
    <row r="747" spans="9:151">
      <c r="I747" s="137"/>
      <c r="J747" s="138"/>
      <c r="K747" s="1"/>
      <c r="L747" s="1"/>
      <c r="Q747" s="1"/>
      <c r="R747" s="1"/>
      <c r="S747" s="106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55"/>
      <c r="AN747" s="106"/>
      <c r="AO747" s="106"/>
      <c r="AP747" s="106"/>
      <c r="AQ747" s="106"/>
      <c r="AR747" s="106"/>
      <c r="AS747" s="31"/>
      <c r="AT747" s="31"/>
      <c r="AU747" s="31"/>
      <c r="AV747" s="30"/>
      <c r="AW747" s="30"/>
      <c r="AX747" s="106"/>
      <c r="AY747" s="106"/>
      <c r="AZ747" s="106"/>
      <c r="BA747" s="106"/>
      <c r="BB747" s="106"/>
      <c r="BC747" s="106"/>
      <c r="BD747" s="107"/>
      <c r="BE747" s="105"/>
      <c r="BF747" s="105"/>
      <c r="BG747" s="105"/>
      <c r="BH747" s="107"/>
      <c r="BI747" s="160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6"/>
      <c r="CH747" s="106"/>
      <c r="CI747" s="106"/>
      <c r="CJ747" s="106"/>
      <c r="CK747" s="106"/>
      <c r="CL747" s="138"/>
      <c r="CM747" s="138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55"/>
      <c r="DH747" s="53"/>
      <c r="DL747" s="54"/>
      <c r="DM747" s="54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L747" s="55"/>
      <c r="EM747" s="1"/>
      <c r="EN747" s="106"/>
      <c r="EO747" s="106"/>
      <c r="EP747" s="1"/>
      <c r="EQ747" s="106"/>
      <c r="ER747" s="1"/>
      <c r="ES747" s="1"/>
      <c r="ET747" s="1"/>
      <c r="EU747" s="108"/>
    </row>
    <row r="748" spans="9:151">
      <c r="I748" s="137"/>
      <c r="J748" s="138"/>
      <c r="K748" s="1"/>
      <c r="L748" s="1"/>
      <c r="Q748" s="1"/>
      <c r="R748" s="1"/>
      <c r="S748" s="106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55"/>
      <c r="AN748" s="106"/>
      <c r="AO748" s="106"/>
      <c r="AP748" s="106"/>
      <c r="AQ748" s="106"/>
      <c r="AR748" s="106"/>
      <c r="AS748" s="31"/>
      <c r="AT748" s="31"/>
      <c r="AU748" s="31"/>
      <c r="AV748" s="30"/>
      <c r="AW748" s="30"/>
      <c r="AX748" s="106"/>
      <c r="AY748" s="106"/>
      <c r="AZ748" s="106"/>
      <c r="BA748" s="106"/>
      <c r="BB748" s="106"/>
      <c r="BC748" s="106"/>
      <c r="BD748" s="107"/>
      <c r="BE748" s="105"/>
      <c r="BF748" s="105"/>
      <c r="BG748" s="105"/>
      <c r="BH748" s="107"/>
      <c r="BI748" s="160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7"/>
      <c r="BX748" s="107"/>
      <c r="BY748" s="107"/>
      <c r="BZ748" s="107"/>
      <c r="CA748" s="107"/>
      <c r="CB748" s="107"/>
      <c r="CC748" s="107"/>
      <c r="CD748" s="107"/>
      <c r="CE748" s="107"/>
      <c r="CF748" s="107"/>
      <c r="CG748" s="106"/>
      <c r="CH748" s="106"/>
      <c r="CI748" s="106"/>
      <c r="CJ748" s="106"/>
      <c r="CK748" s="106"/>
      <c r="CL748" s="138"/>
      <c r="CM748" s="138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55"/>
      <c r="DH748" s="53"/>
      <c r="DL748" s="54"/>
      <c r="DM748" s="54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L748" s="55"/>
      <c r="EM748" s="1"/>
      <c r="EN748" s="106"/>
      <c r="EO748" s="106"/>
      <c r="EP748" s="1"/>
      <c r="EQ748" s="106"/>
      <c r="ER748" s="1"/>
      <c r="ES748" s="1"/>
      <c r="ET748" s="1"/>
      <c r="EU748" s="108"/>
    </row>
    <row r="749" spans="9:151">
      <c r="I749" s="137"/>
      <c r="J749" s="138"/>
      <c r="K749" s="1"/>
      <c r="L749" s="1"/>
      <c r="Q749" s="1"/>
      <c r="R749" s="1"/>
      <c r="S749" s="106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55"/>
      <c r="AN749" s="106"/>
      <c r="AO749" s="106"/>
      <c r="AP749" s="106"/>
      <c r="AQ749" s="106"/>
      <c r="AR749" s="106"/>
      <c r="AS749" s="31"/>
      <c r="AT749" s="31"/>
      <c r="AU749" s="31"/>
      <c r="AV749" s="30"/>
      <c r="AW749" s="30"/>
      <c r="AX749" s="106"/>
      <c r="AY749" s="106"/>
      <c r="AZ749" s="106"/>
      <c r="BA749" s="106"/>
      <c r="BB749" s="106"/>
      <c r="BC749" s="106"/>
      <c r="BD749" s="107"/>
      <c r="BE749" s="105"/>
      <c r="BF749" s="105"/>
      <c r="BG749" s="105"/>
      <c r="BH749" s="107"/>
      <c r="BI749" s="160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7"/>
      <c r="BX749" s="107"/>
      <c r="BY749" s="107"/>
      <c r="BZ749" s="107"/>
      <c r="CA749" s="107"/>
      <c r="CB749" s="107"/>
      <c r="CC749" s="107"/>
      <c r="CD749" s="107"/>
      <c r="CE749" s="107"/>
      <c r="CF749" s="107"/>
      <c r="CG749" s="106"/>
      <c r="CH749" s="106"/>
      <c r="CI749" s="106"/>
      <c r="CJ749" s="106"/>
      <c r="CK749" s="106"/>
      <c r="CL749" s="138"/>
      <c r="CM749" s="138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55"/>
      <c r="DH749" s="53"/>
      <c r="DL749" s="54"/>
      <c r="DM749" s="54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L749" s="55"/>
      <c r="EM749" s="1"/>
      <c r="EN749" s="106"/>
      <c r="EO749" s="106"/>
      <c r="EP749" s="1"/>
      <c r="EQ749" s="106"/>
      <c r="ER749" s="1"/>
      <c r="ES749" s="1"/>
      <c r="ET749" s="1"/>
      <c r="EU749" s="108"/>
    </row>
    <row r="750" spans="9:151">
      <c r="I750" s="137"/>
      <c r="J750" s="138"/>
      <c r="K750" s="1"/>
      <c r="L750" s="1"/>
      <c r="Q750" s="1"/>
      <c r="R750" s="1"/>
      <c r="S750" s="106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55"/>
      <c r="AN750" s="106"/>
      <c r="AO750" s="106"/>
      <c r="AP750" s="106"/>
      <c r="AQ750" s="106"/>
      <c r="AR750" s="106"/>
      <c r="AS750" s="31"/>
      <c r="AT750" s="31"/>
      <c r="AU750" s="31"/>
      <c r="AV750" s="30"/>
      <c r="AW750" s="30"/>
      <c r="AX750" s="106"/>
      <c r="AY750" s="106"/>
      <c r="AZ750" s="106"/>
      <c r="BA750" s="106"/>
      <c r="BB750" s="106"/>
      <c r="BC750" s="106"/>
      <c r="BD750" s="107"/>
      <c r="BE750" s="105"/>
      <c r="BF750" s="105"/>
      <c r="BG750" s="105"/>
      <c r="BH750" s="107"/>
      <c r="BI750" s="160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7"/>
      <c r="BX750" s="107"/>
      <c r="BY750" s="107"/>
      <c r="BZ750" s="107"/>
      <c r="CA750" s="107"/>
      <c r="CB750" s="107"/>
      <c r="CC750" s="107"/>
      <c r="CD750" s="107"/>
      <c r="CE750" s="107"/>
      <c r="CF750" s="107"/>
      <c r="CG750" s="106"/>
      <c r="CH750" s="106"/>
      <c r="CI750" s="106"/>
      <c r="CJ750" s="106"/>
      <c r="CK750" s="106"/>
      <c r="CL750" s="138"/>
      <c r="CM750" s="138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55"/>
      <c r="DH750" s="53"/>
      <c r="DL750" s="54"/>
      <c r="DM750" s="54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L750" s="55"/>
      <c r="EM750" s="1"/>
      <c r="EN750" s="106"/>
      <c r="EO750" s="106"/>
      <c r="EP750" s="1"/>
      <c r="EQ750" s="106"/>
      <c r="ER750" s="1"/>
      <c r="ES750" s="1"/>
      <c r="ET750" s="1"/>
      <c r="EU750" s="108"/>
    </row>
    <row r="751" spans="9:151">
      <c r="I751" s="137"/>
      <c r="J751" s="138"/>
      <c r="K751" s="1"/>
      <c r="L751" s="1"/>
      <c r="Q751" s="1"/>
      <c r="R751" s="1"/>
      <c r="S751" s="106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55"/>
      <c r="AN751" s="106"/>
      <c r="AO751" s="106"/>
      <c r="AP751" s="106"/>
      <c r="AQ751" s="106"/>
      <c r="AR751" s="106"/>
      <c r="AS751" s="31"/>
      <c r="AT751" s="31"/>
      <c r="AU751" s="31"/>
      <c r="AV751" s="30"/>
      <c r="AW751" s="30"/>
      <c r="AX751" s="106"/>
      <c r="AY751" s="106"/>
      <c r="AZ751" s="106"/>
      <c r="BA751" s="106"/>
      <c r="BB751" s="106"/>
      <c r="BC751" s="106"/>
      <c r="BD751" s="107"/>
      <c r="BE751" s="105"/>
      <c r="BF751" s="105"/>
      <c r="BG751" s="105"/>
      <c r="BH751" s="107"/>
      <c r="BI751" s="160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7"/>
      <c r="BX751" s="107"/>
      <c r="BY751" s="107"/>
      <c r="BZ751" s="107"/>
      <c r="CA751" s="107"/>
      <c r="CB751" s="107"/>
      <c r="CC751" s="107"/>
      <c r="CD751" s="107"/>
      <c r="CE751" s="107"/>
      <c r="CF751" s="107"/>
      <c r="CG751" s="106"/>
      <c r="CH751" s="106"/>
      <c r="CI751" s="106"/>
      <c r="CJ751" s="106"/>
      <c r="CK751" s="106"/>
      <c r="CL751" s="138"/>
      <c r="CM751" s="138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55"/>
      <c r="DH751" s="53"/>
      <c r="DL751" s="54"/>
      <c r="DM751" s="54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L751" s="55"/>
      <c r="EM751" s="1"/>
      <c r="EN751" s="106"/>
      <c r="EO751" s="106"/>
      <c r="EP751" s="1"/>
      <c r="EQ751" s="106"/>
      <c r="ER751" s="1"/>
      <c r="ES751" s="1"/>
      <c r="ET751" s="1"/>
      <c r="EU751" s="108"/>
    </row>
    <row r="752" spans="9:151">
      <c r="I752" s="137"/>
      <c r="J752" s="138"/>
      <c r="K752" s="1"/>
      <c r="L752" s="1"/>
      <c r="Q752" s="1"/>
      <c r="R752" s="1"/>
      <c r="S752" s="106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55"/>
      <c r="AN752" s="106"/>
      <c r="AO752" s="106"/>
      <c r="AP752" s="106"/>
      <c r="AQ752" s="106"/>
      <c r="AR752" s="106"/>
      <c r="AS752" s="31"/>
      <c r="AT752" s="31"/>
      <c r="AU752" s="31"/>
      <c r="AV752" s="30"/>
      <c r="AW752" s="30"/>
      <c r="AX752" s="106"/>
      <c r="AY752" s="106"/>
      <c r="AZ752" s="106"/>
      <c r="BA752" s="106"/>
      <c r="BB752" s="106"/>
      <c r="BC752" s="106"/>
      <c r="BD752" s="107"/>
      <c r="BE752" s="105"/>
      <c r="BF752" s="105"/>
      <c r="BG752" s="105"/>
      <c r="BH752" s="107"/>
      <c r="BI752" s="160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7"/>
      <c r="BX752" s="107"/>
      <c r="BY752" s="107"/>
      <c r="BZ752" s="107"/>
      <c r="CA752" s="107"/>
      <c r="CB752" s="107"/>
      <c r="CC752" s="107"/>
      <c r="CD752" s="107"/>
      <c r="CE752" s="107"/>
      <c r="CF752" s="107"/>
      <c r="CG752" s="106"/>
      <c r="CH752" s="106"/>
      <c r="CI752" s="106"/>
      <c r="CJ752" s="106"/>
      <c r="CK752" s="106"/>
      <c r="CL752" s="138"/>
      <c r="CM752" s="138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55"/>
      <c r="DH752" s="53"/>
      <c r="DL752" s="54"/>
      <c r="DM752" s="54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L752" s="55"/>
      <c r="EM752" s="1"/>
      <c r="EN752" s="106"/>
      <c r="EO752" s="106"/>
      <c r="EP752" s="1"/>
      <c r="EQ752" s="106"/>
      <c r="ER752" s="1"/>
      <c r="ES752" s="1"/>
      <c r="ET752" s="1"/>
      <c r="EU752" s="108"/>
    </row>
    <row r="753" spans="9:151">
      <c r="I753" s="137"/>
      <c r="J753" s="138"/>
      <c r="K753" s="1"/>
      <c r="L753" s="1"/>
      <c r="Q753" s="1"/>
      <c r="R753" s="1"/>
      <c r="S753" s="106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55"/>
      <c r="AN753" s="106"/>
      <c r="AO753" s="106"/>
      <c r="AP753" s="106"/>
      <c r="AQ753" s="106"/>
      <c r="AR753" s="106"/>
      <c r="AS753" s="31"/>
      <c r="AT753" s="31"/>
      <c r="AU753" s="31"/>
      <c r="AV753" s="30"/>
      <c r="AW753" s="30"/>
      <c r="AX753" s="106"/>
      <c r="AY753" s="106"/>
      <c r="AZ753" s="106"/>
      <c r="BA753" s="106"/>
      <c r="BB753" s="106"/>
      <c r="BC753" s="106"/>
      <c r="BD753" s="107"/>
      <c r="BE753" s="105"/>
      <c r="BF753" s="105"/>
      <c r="BG753" s="105"/>
      <c r="BH753" s="107"/>
      <c r="BI753" s="160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7"/>
      <c r="BX753" s="107"/>
      <c r="BY753" s="107"/>
      <c r="BZ753" s="107"/>
      <c r="CA753" s="107"/>
      <c r="CB753" s="107"/>
      <c r="CC753" s="107"/>
      <c r="CD753" s="107"/>
      <c r="CE753" s="107"/>
      <c r="CF753" s="107"/>
      <c r="CG753" s="106"/>
      <c r="CH753" s="106"/>
      <c r="CI753" s="106"/>
      <c r="CJ753" s="106"/>
      <c r="CK753" s="106"/>
      <c r="CL753" s="138"/>
      <c r="CM753" s="138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55"/>
      <c r="DH753" s="53"/>
      <c r="DL753" s="54"/>
      <c r="DM753" s="54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L753" s="55"/>
      <c r="EM753" s="1"/>
      <c r="EN753" s="106"/>
      <c r="EO753" s="106"/>
      <c r="EP753" s="1"/>
      <c r="EQ753" s="106"/>
      <c r="ER753" s="1"/>
      <c r="ES753" s="1"/>
      <c r="ET753" s="1"/>
      <c r="EU753" s="108"/>
    </row>
    <row r="754" spans="9:151">
      <c r="I754" s="137"/>
      <c r="J754" s="138"/>
      <c r="K754" s="1"/>
      <c r="L754" s="1"/>
      <c r="Q754" s="1"/>
      <c r="R754" s="1"/>
      <c r="S754" s="106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55"/>
      <c r="AN754" s="106"/>
      <c r="AO754" s="106"/>
      <c r="AP754" s="106"/>
      <c r="AQ754" s="106"/>
      <c r="AR754" s="106"/>
      <c r="AS754" s="31"/>
      <c r="AT754" s="31"/>
      <c r="AU754" s="31"/>
      <c r="AV754" s="30"/>
      <c r="AW754" s="30"/>
      <c r="AX754" s="106"/>
      <c r="AY754" s="106"/>
      <c r="AZ754" s="106"/>
      <c r="BA754" s="106"/>
      <c r="BB754" s="106"/>
      <c r="BC754" s="106"/>
      <c r="BD754" s="107"/>
      <c r="BE754" s="105"/>
      <c r="BF754" s="105"/>
      <c r="BG754" s="105"/>
      <c r="BH754" s="107"/>
      <c r="BI754" s="160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7"/>
      <c r="BX754" s="107"/>
      <c r="BY754" s="107"/>
      <c r="BZ754" s="107"/>
      <c r="CA754" s="107"/>
      <c r="CB754" s="107"/>
      <c r="CC754" s="107"/>
      <c r="CD754" s="107"/>
      <c r="CE754" s="107"/>
      <c r="CF754" s="107"/>
      <c r="CG754" s="106"/>
      <c r="CH754" s="106"/>
      <c r="CI754" s="106"/>
      <c r="CJ754" s="106"/>
      <c r="CK754" s="106"/>
      <c r="CL754" s="138"/>
      <c r="CM754" s="138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55"/>
      <c r="DH754" s="53"/>
      <c r="DL754" s="54"/>
      <c r="DM754" s="54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L754" s="55"/>
      <c r="EM754" s="1"/>
      <c r="EN754" s="106"/>
      <c r="EO754" s="106"/>
      <c r="EP754" s="1"/>
      <c r="EQ754" s="106"/>
      <c r="ER754" s="1"/>
      <c r="ES754" s="1"/>
      <c r="ET754" s="1"/>
      <c r="EU754" s="108"/>
    </row>
    <row r="755" spans="9:151">
      <c r="I755" s="137"/>
      <c r="J755" s="138"/>
      <c r="K755" s="1"/>
      <c r="L755" s="1"/>
      <c r="Q755" s="1"/>
      <c r="R755" s="1"/>
      <c r="S755" s="106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55"/>
      <c r="AN755" s="106"/>
      <c r="AO755" s="106"/>
      <c r="AP755" s="106"/>
      <c r="AQ755" s="106"/>
      <c r="AR755" s="106"/>
      <c r="AS755" s="31"/>
      <c r="AT755" s="31"/>
      <c r="AU755" s="31"/>
      <c r="AV755" s="30"/>
      <c r="AW755" s="30"/>
      <c r="AX755" s="106"/>
      <c r="AY755" s="106"/>
      <c r="AZ755" s="106"/>
      <c r="BA755" s="106"/>
      <c r="BB755" s="106"/>
      <c r="BC755" s="106"/>
      <c r="BD755" s="107"/>
      <c r="BE755" s="105"/>
      <c r="BF755" s="105"/>
      <c r="BG755" s="105"/>
      <c r="BH755" s="107"/>
      <c r="BI755" s="160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7"/>
      <c r="BX755" s="107"/>
      <c r="BY755" s="107"/>
      <c r="BZ755" s="107"/>
      <c r="CA755" s="107"/>
      <c r="CB755" s="107"/>
      <c r="CC755" s="107"/>
      <c r="CD755" s="107"/>
      <c r="CE755" s="107"/>
      <c r="CF755" s="107"/>
      <c r="CG755" s="106"/>
      <c r="CH755" s="106"/>
      <c r="CI755" s="106"/>
      <c r="CJ755" s="106"/>
      <c r="CK755" s="106"/>
      <c r="CL755" s="138"/>
      <c r="CM755" s="138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55"/>
      <c r="DH755" s="53"/>
      <c r="DL755" s="54"/>
      <c r="DM755" s="54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L755" s="55"/>
      <c r="EM755" s="1"/>
      <c r="EN755" s="106"/>
      <c r="EO755" s="106"/>
      <c r="EP755" s="1"/>
      <c r="EQ755" s="106"/>
      <c r="ER755" s="1"/>
      <c r="ES755" s="1"/>
      <c r="ET755" s="1"/>
      <c r="EU755" s="108"/>
    </row>
    <row r="756" spans="9:151">
      <c r="I756" s="137"/>
      <c r="J756" s="138"/>
      <c r="K756" s="1"/>
      <c r="L756" s="1"/>
      <c r="Q756" s="1"/>
      <c r="R756" s="1"/>
      <c r="S756" s="106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55"/>
      <c r="AN756" s="106"/>
      <c r="AO756" s="106"/>
      <c r="AP756" s="106"/>
      <c r="AQ756" s="106"/>
      <c r="AR756" s="106"/>
      <c r="AS756" s="31"/>
      <c r="AT756" s="31"/>
      <c r="AU756" s="31"/>
      <c r="AV756" s="30"/>
      <c r="AW756" s="30"/>
      <c r="AX756" s="106"/>
      <c r="AY756" s="106"/>
      <c r="AZ756" s="106"/>
      <c r="BA756" s="106"/>
      <c r="BB756" s="106"/>
      <c r="BC756" s="106"/>
      <c r="BD756" s="107"/>
      <c r="BE756" s="105"/>
      <c r="BF756" s="105"/>
      <c r="BG756" s="105"/>
      <c r="BH756" s="107"/>
      <c r="BI756" s="160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7"/>
      <c r="BX756" s="107"/>
      <c r="BY756" s="107"/>
      <c r="BZ756" s="107"/>
      <c r="CA756" s="107"/>
      <c r="CB756" s="107"/>
      <c r="CC756" s="107"/>
      <c r="CD756" s="107"/>
      <c r="CE756" s="107"/>
      <c r="CF756" s="107"/>
      <c r="CG756" s="106"/>
      <c r="CH756" s="106"/>
      <c r="CI756" s="106"/>
      <c r="CJ756" s="106"/>
      <c r="CK756" s="106"/>
      <c r="CL756" s="138"/>
      <c r="CM756" s="138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55"/>
      <c r="DH756" s="53"/>
      <c r="DL756" s="54"/>
      <c r="DM756" s="54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L756" s="55"/>
      <c r="EM756" s="1"/>
      <c r="EN756" s="106"/>
      <c r="EO756" s="106"/>
      <c r="EP756" s="1"/>
      <c r="EQ756" s="106"/>
      <c r="ER756" s="1"/>
      <c r="ES756" s="1"/>
      <c r="ET756" s="1"/>
      <c r="EU756" s="108"/>
    </row>
    <row r="757" spans="9:151">
      <c r="I757" s="137"/>
      <c r="J757" s="138"/>
      <c r="K757" s="1"/>
      <c r="L757" s="1"/>
      <c r="Q757" s="1"/>
      <c r="R757" s="1"/>
      <c r="S757" s="106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55"/>
      <c r="AN757" s="106"/>
      <c r="AO757" s="106"/>
      <c r="AP757" s="106"/>
      <c r="AQ757" s="106"/>
      <c r="AR757" s="106"/>
      <c r="AS757" s="31"/>
      <c r="AT757" s="31"/>
      <c r="AU757" s="31"/>
      <c r="AV757" s="30"/>
      <c r="AW757" s="30"/>
      <c r="AX757" s="106"/>
      <c r="AY757" s="106"/>
      <c r="AZ757" s="106"/>
      <c r="BA757" s="106"/>
      <c r="BB757" s="106"/>
      <c r="BC757" s="106"/>
      <c r="BD757" s="107"/>
      <c r="BE757" s="105"/>
      <c r="BF757" s="105"/>
      <c r="BG757" s="105"/>
      <c r="BH757" s="107"/>
      <c r="BI757" s="160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7"/>
      <c r="BX757" s="107"/>
      <c r="BY757" s="107"/>
      <c r="BZ757" s="107"/>
      <c r="CA757" s="107"/>
      <c r="CB757" s="107"/>
      <c r="CC757" s="107"/>
      <c r="CD757" s="107"/>
      <c r="CE757" s="107"/>
      <c r="CF757" s="107"/>
      <c r="CG757" s="106"/>
      <c r="CH757" s="106"/>
      <c r="CI757" s="106"/>
      <c r="CJ757" s="106"/>
      <c r="CK757" s="106"/>
      <c r="CL757" s="138"/>
      <c r="CM757" s="138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55"/>
      <c r="DH757" s="53"/>
      <c r="DL757" s="54"/>
      <c r="DM757" s="54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L757" s="55"/>
      <c r="EM757" s="1"/>
      <c r="EN757" s="106"/>
      <c r="EO757" s="106"/>
      <c r="EP757" s="1"/>
      <c r="EQ757" s="106"/>
      <c r="ER757" s="1"/>
      <c r="ES757" s="1"/>
      <c r="ET757" s="1"/>
      <c r="EU757" s="108"/>
    </row>
    <row r="758" spans="9:151">
      <c r="I758" s="137"/>
      <c r="J758" s="138"/>
      <c r="K758" s="1"/>
      <c r="L758" s="1"/>
      <c r="Q758" s="1"/>
      <c r="R758" s="1"/>
      <c r="S758" s="106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55"/>
      <c r="AN758" s="106"/>
      <c r="AO758" s="106"/>
      <c r="AP758" s="106"/>
      <c r="AQ758" s="106"/>
      <c r="AR758" s="106"/>
      <c r="AS758" s="31"/>
      <c r="AT758" s="31"/>
      <c r="AU758" s="31"/>
      <c r="AV758" s="30"/>
      <c r="AW758" s="30"/>
      <c r="AX758" s="106"/>
      <c r="AY758" s="106"/>
      <c r="AZ758" s="106"/>
      <c r="BA758" s="106"/>
      <c r="BB758" s="106"/>
      <c r="BC758" s="106"/>
      <c r="BD758" s="107"/>
      <c r="BE758" s="105"/>
      <c r="BF758" s="105"/>
      <c r="BG758" s="105"/>
      <c r="BH758" s="107"/>
      <c r="BI758" s="160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7"/>
      <c r="BX758" s="107"/>
      <c r="BY758" s="107"/>
      <c r="BZ758" s="107"/>
      <c r="CA758" s="107"/>
      <c r="CB758" s="107"/>
      <c r="CC758" s="107"/>
      <c r="CD758" s="107"/>
      <c r="CE758" s="107"/>
      <c r="CF758" s="107"/>
      <c r="CG758" s="106"/>
      <c r="CH758" s="106"/>
      <c r="CI758" s="106"/>
      <c r="CJ758" s="106"/>
      <c r="CK758" s="106"/>
      <c r="CL758" s="138"/>
      <c r="CM758" s="138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55"/>
      <c r="DH758" s="53"/>
      <c r="DL758" s="54"/>
      <c r="DM758" s="54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L758" s="55"/>
      <c r="EM758" s="1"/>
      <c r="EN758" s="106"/>
      <c r="EO758" s="106"/>
      <c r="EP758" s="1"/>
      <c r="EQ758" s="106"/>
      <c r="ER758" s="1"/>
      <c r="ES758" s="1"/>
      <c r="ET758" s="1"/>
      <c r="EU758" s="108"/>
    </row>
    <row r="759" spans="9:151">
      <c r="I759" s="137"/>
      <c r="J759" s="138"/>
      <c r="K759" s="1"/>
      <c r="L759" s="1"/>
      <c r="Q759" s="1"/>
      <c r="R759" s="1"/>
      <c r="S759" s="106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55"/>
      <c r="AN759" s="106"/>
      <c r="AO759" s="106"/>
      <c r="AP759" s="106"/>
      <c r="AQ759" s="106"/>
      <c r="AR759" s="106"/>
      <c r="AS759" s="31"/>
      <c r="AT759" s="31"/>
      <c r="AU759" s="31"/>
      <c r="AV759" s="30"/>
      <c r="AW759" s="30"/>
      <c r="AX759" s="106"/>
      <c r="AY759" s="106"/>
      <c r="AZ759" s="106"/>
      <c r="BA759" s="106"/>
      <c r="BB759" s="106"/>
      <c r="BC759" s="106"/>
      <c r="BD759" s="107"/>
      <c r="BE759" s="105"/>
      <c r="BF759" s="105"/>
      <c r="BG759" s="105"/>
      <c r="BH759" s="107"/>
      <c r="BI759" s="160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7"/>
      <c r="BX759" s="107"/>
      <c r="BY759" s="107"/>
      <c r="BZ759" s="107"/>
      <c r="CA759" s="107"/>
      <c r="CB759" s="107"/>
      <c r="CC759" s="107"/>
      <c r="CD759" s="107"/>
      <c r="CE759" s="107"/>
      <c r="CF759" s="107"/>
      <c r="CG759" s="106"/>
      <c r="CH759" s="106"/>
      <c r="CI759" s="106"/>
      <c r="CJ759" s="106"/>
      <c r="CK759" s="106"/>
      <c r="CL759" s="138"/>
      <c r="CM759" s="138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55"/>
      <c r="DH759" s="53"/>
      <c r="DL759" s="54"/>
      <c r="DM759" s="54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L759" s="55"/>
      <c r="EM759" s="1"/>
      <c r="EN759" s="106"/>
      <c r="EO759" s="106"/>
      <c r="EP759" s="1"/>
      <c r="EQ759" s="106"/>
      <c r="ER759" s="1"/>
      <c r="ES759" s="1"/>
      <c r="ET759" s="1"/>
      <c r="EU759" s="108"/>
    </row>
    <row r="760" spans="9:151">
      <c r="I760" s="137"/>
      <c r="J760" s="138"/>
      <c r="K760" s="1"/>
      <c r="L760" s="1"/>
      <c r="Q760" s="1"/>
      <c r="R760" s="1"/>
      <c r="S760" s="106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55"/>
      <c r="AN760" s="106"/>
      <c r="AO760" s="106"/>
      <c r="AP760" s="106"/>
      <c r="AQ760" s="106"/>
      <c r="AR760" s="106"/>
      <c r="AS760" s="31"/>
      <c r="AT760" s="31"/>
      <c r="AU760" s="31"/>
      <c r="AV760" s="30"/>
      <c r="AW760" s="30"/>
      <c r="AX760" s="106"/>
      <c r="AY760" s="106"/>
      <c r="AZ760" s="106"/>
      <c r="BA760" s="106"/>
      <c r="BB760" s="106"/>
      <c r="BC760" s="106"/>
      <c r="BD760" s="107"/>
      <c r="BE760" s="105"/>
      <c r="BF760" s="105"/>
      <c r="BG760" s="105"/>
      <c r="BH760" s="107"/>
      <c r="BI760" s="160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7"/>
      <c r="BX760" s="107"/>
      <c r="BY760" s="107"/>
      <c r="BZ760" s="107"/>
      <c r="CA760" s="107"/>
      <c r="CB760" s="107"/>
      <c r="CC760" s="107"/>
      <c r="CD760" s="107"/>
      <c r="CE760" s="107"/>
      <c r="CF760" s="107"/>
      <c r="CG760" s="106"/>
      <c r="CH760" s="106"/>
      <c r="CI760" s="106"/>
      <c r="CJ760" s="106"/>
      <c r="CK760" s="106"/>
      <c r="CL760" s="138"/>
      <c r="CM760" s="138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55"/>
      <c r="DH760" s="53"/>
      <c r="DL760" s="54"/>
      <c r="DM760" s="54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L760" s="55"/>
      <c r="EM760" s="1"/>
      <c r="EN760" s="106"/>
      <c r="EO760" s="106"/>
      <c r="EP760" s="1"/>
      <c r="EQ760" s="106"/>
      <c r="ER760" s="1"/>
      <c r="ES760" s="1"/>
      <c r="ET760" s="1"/>
      <c r="EU760" s="108"/>
    </row>
    <row r="761" spans="9:151">
      <c r="I761" s="137"/>
      <c r="J761" s="138"/>
      <c r="K761" s="1"/>
      <c r="L761" s="1"/>
      <c r="Q761" s="1"/>
      <c r="R761" s="1"/>
      <c r="S761" s="106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55"/>
      <c r="AN761" s="106"/>
      <c r="AO761" s="106"/>
      <c r="AP761" s="106"/>
      <c r="AQ761" s="106"/>
      <c r="AR761" s="106"/>
      <c r="AS761" s="31"/>
      <c r="AT761" s="31"/>
      <c r="AU761" s="31"/>
      <c r="AV761" s="30"/>
      <c r="AW761" s="30"/>
      <c r="AX761" s="106"/>
      <c r="AY761" s="106"/>
      <c r="AZ761" s="106"/>
      <c r="BA761" s="106"/>
      <c r="BB761" s="106"/>
      <c r="BC761" s="106"/>
      <c r="BD761" s="107"/>
      <c r="BE761" s="105"/>
      <c r="BF761" s="105"/>
      <c r="BG761" s="105"/>
      <c r="BH761" s="107"/>
      <c r="BI761" s="160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7"/>
      <c r="BX761" s="107"/>
      <c r="BY761" s="107"/>
      <c r="BZ761" s="107"/>
      <c r="CA761" s="107"/>
      <c r="CB761" s="107"/>
      <c r="CC761" s="107"/>
      <c r="CD761" s="107"/>
      <c r="CE761" s="107"/>
      <c r="CF761" s="107"/>
      <c r="CG761" s="106"/>
      <c r="CH761" s="106"/>
      <c r="CI761" s="106"/>
      <c r="CJ761" s="106"/>
      <c r="CK761" s="106"/>
      <c r="CL761" s="138"/>
      <c r="CM761" s="138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55"/>
      <c r="DH761" s="53"/>
      <c r="DL761" s="54"/>
      <c r="DM761" s="54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L761" s="55"/>
      <c r="EM761" s="1"/>
      <c r="EN761" s="106"/>
      <c r="EO761" s="106"/>
      <c r="EP761" s="1"/>
      <c r="EQ761" s="106"/>
      <c r="ER761" s="1"/>
      <c r="ES761" s="1"/>
      <c r="ET761" s="1"/>
      <c r="EU761" s="108"/>
    </row>
    <row r="762" spans="9:151">
      <c r="I762" s="137"/>
      <c r="J762" s="138"/>
      <c r="K762" s="1"/>
      <c r="L762" s="1"/>
      <c r="Q762" s="1"/>
      <c r="R762" s="1"/>
      <c r="S762" s="106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55"/>
      <c r="AN762" s="106"/>
      <c r="AO762" s="106"/>
      <c r="AP762" s="106"/>
      <c r="AQ762" s="106"/>
      <c r="AR762" s="106"/>
      <c r="AS762" s="31"/>
      <c r="AT762" s="31"/>
      <c r="AU762" s="31"/>
      <c r="AV762" s="30"/>
      <c r="AW762" s="30"/>
      <c r="AX762" s="106"/>
      <c r="AY762" s="106"/>
      <c r="AZ762" s="106"/>
      <c r="BA762" s="106"/>
      <c r="BB762" s="106"/>
      <c r="BC762" s="106"/>
      <c r="BD762" s="107"/>
      <c r="BE762" s="105"/>
      <c r="BF762" s="105"/>
      <c r="BG762" s="105"/>
      <c r="BH762" s="107"/>
      <c r="BI762" s="160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7"/>
      <c r="BX762" s="107"/>
      <c r="BY762" s="107"/>
      <c r="BZ762" s="107"/>
      <c r="CA762" s="107"/>
      <c r="CB762" s="107"/>
      <c r="CC762" s="107"/>
      <c r="CD762" s="107"/>
      <c r="CE762" s="107"/>
      <c r="CF762" s="107"/>
      <c r="CG762" s="106"/>
      <c r="CH762" s="106"/>
      <c r="CI762" s="106"/>
      <c r="CJ762" s="106"/>
      <c r="CK762" s="106"/>
      <c r="CL762" s="138"/>
      <c r="CM762" s="138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55"/>
      <c r="DH762" s="53"/>
      <c r="DL762" s="54"/>
      <c r="DM762" s="54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L762" s="55"/>
      <c r="EM762" s="1"/>
      <c r="EN762" s="106"/>
      <c r="EO762" s="106"/>
      <c r="EP762" s="1"/>
      <c r="EQ762" s="106"/>
      <c r="ER762" s="1"/>
      <c r="ES762" s="1"/>
      <c r="ET762" s="1"/>
      <c r="EU762" s="108"/>
    </row>
    <row r="763" spans="9:151">
      <c r="I763" s="137"/>
      <c r="J763" s="138"/>
      <c r="K763" s="1"/>
      <c r="L763" s="1"/>
      <c r="Q763" s="1"/>
      <c r="R763" s="1"/>
      <c r="S763" s="106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55"/>
      <c r="AN763" s="106"/>
      <c r="AO763" s="106"/>
      <c r="AP763" s="106"/>
      <c r="AQ763" s="106"/>
      <c r="AR763" s="106"/>
      <c r="AS763" s="31"/>
      <c r="AT763" s="31"/>
      <c r="AU763" s="31"/>
      <c r="AV763" s="30"/>
      <c r="AW763" s="30"/>
      <c r="AX763" s="106"/>
      <c r="AY763" s="106"/>
      <c r="AZ763" s="106"/>
      <c r="BA763" s="106"/>
      <c r="BB763" s="106"/>
      <c r="BC763" s="106"/>
      <c r="BD763" s="107"/>
      <c r="BE763" s="105"/>
      <c r="BF763" s="105"/>
      <c r="BG763" s="105"/>
      <c r="BH763" s="107"/>
      <c r="BI763" s="160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7"/>
      <c r="BX763" s="107"/>
      <c r="BY763" s="107"/>
      <c r="BZ763" s="107"/>
      <c r="CA763" s="107"/>
      <c r="CB763" s="107"/>
      <c r="CC763" s="107"/>
      <c r="CD763" s="107"/>
      <c r="CE763" s="107"/>
      <c r="CF763" s="107"/>
      <c r="CG763" s="106"/>
      <c r="CH763" s="106"/>
      <c r="CI763" s="106"/>
      <c r="CJ763" s="106"/>
      <c r="CK763" s="106"/>
      <c r="CL763" s="138"/>
      <c r="CM763" s="138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55"/>
      <c r="DH763" s="53"/>
      <c r="DL763" s="54"/>
      <c r="DM763" s="54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L763" s="55"/>
      <c r="EM763" s="1"/>
      <c r="EN763" s="106"/>
      <c r="EO763" s="106"/>
      <c r="EP763" s="1"/>
      <c r="EQ763" s="106"/>
      <c r="ER763" s="1"/>
      <c r="ES763" s="1"/>
      <c r="ET763" s="1"/>
      <c r="EU763" s="108"/>
    </row>
    <row r="764" spans="9:151">
      <c r="I764" s="137"/>
      <c r="J764" s="138"/>
      <c r="K764" s="1"/>
      <c r="L764" s="1"/>
      <c r="Q764" s="1"/>
      <c r="R764" s="1"/>
      <c r="S764" s="106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55"/>
      <c r="AN764" s="106"/>
      <c r="AO764" s="106"/>
      <c r="AP764" s="106"/>
      <c r="AQ764" s="106"/>
      <c r="AR764" s="106"/>
      <c r="AS764" s="31"/>
      <c r="AT764" s="31"/>
      <c r="AU764" s="31"/>
      <c r="AV764" s="30"/>
      <c r="AW764" s="30"/>
      <c r="AX764" s="106"/>
      <c r="AY764" s="106"/>
      <c r="AZ764" s="106"/>
      <c r="BA764" s="106"/>
      <c r="BB764" s="106"/>
      <c r="BC764" s="106"/>
      <c r="BD764" s="107"/>
      <c r="BE764" s="105"/>
      <c r="BF764" s="105"/>
      <c r="BG764" s="105"/>
      <c r="BH764" s="107"/>
      <c r="BI764" s="160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7"/>
      <c r="BX764" s="107"/>
      <c r="BY764" s="107"/>
      <c r="BZ764" s="107"/>
      <c r="CA764" s="107"/>
      <c r="CB764" s="107"/>
      <c r="CC764" s="107"/>
      <c r="CD764" s="107"/>
      <c r="CE764" s="107"/>
      <c r="CF764" s="107"/>
      <c r="CG764" s="106"/>
      <c r="CH764" s="106"/>
      <c r="CI764" s="106"/>
      <c r="CJ764" s="106"/>
      <c r="CK764" s="106"/>
      <c r="CL764" s="138"/>
      <c r="CM764" s="138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55"/>
      <c r="DH764" s="53"/>
      <c r="DL764" s="54"/>
      <c r="DM764" s="54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L764" s="55"/>
      <c r="EM764" s="1"/>
      <c r="EN764" s="106"/>
      <c r="EO764" s="106"/>
      <c r="EP764" s="1"/>
      <c r="EQ764" s="106"/>
      <c r="ER764" s="1"/>
      <c r="ES764" s="1"/>
      <c r="ET764" s="1"/>
      <c r="EU764" s="108"/>
    </row>
    <row r="765" spans="9:151">
      <c r="I765" s="137"/>
      <c r="J765" s="138"/>
      <c r="K765" s="1"/>
      <c r="L765" s="1"/>
      <c r="Q765" s="1"/>
      <c r="R765" s="1"/>
      <c r="S765" s="106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55"/>
      <c r="AN765" s="106"/>
      <c r="AO765" s="106"/>
      <c r="AP765" s="106"/>
      <c r="AQ765" s="106"/>
      <c r="AR765" s="106"/>
      <c r="AS765" s="31"/>
      <c r="AT765" s="31"/>
      <c r="AU765" s="31"/>
      <c r="AV765" s="30"/>
      <c r="AW765" s="30"/>
      <c r="AX765" s="106"/>
      <c r="AY765" s="106"/>
      <c r="AZ765" s="106"/>
      <c r="BA765" s="106"/>
      <c r="BB765" s="106"/>
      <c r="BC765" s="106"/>
      <c r="BD765" s="107"/>
      <c r="BE765" s="105"/>
      <c r="BF765" s="105"/>
      <c r="BG765" s="105"/>
      <c r="BH765" s="107"/>
      <c r="BI765" s="160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7"/>
      <c r="BX765" s="107"/>
      <c r="BY765" s="107"/>
      <c r="BZ765" s="107"/>
      <c r="CA765" s="107"/>
      <c r="CB765" s="107"/>
      <c r="CC765" s="107"/>
      <c r="CD765" s="107"/>
      <c r="CE765" s="107"/>
      <c r="CF765" s="107"/>
      <c r="CG765" s="106"/>
      <c r="CH765" s="106"/>
      <c r="CI765" s="106"/>
      <c r="CJ765" s="106"/>
      <c r="CK765" s="106"/>
      <c r="CL765" s="138"/>
      <c r="CM765" s="138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55"/>
      <c r="DH765" s="53"/>
      <c r="DL765" s="54"/>
      <c r="DM765" s="54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L765" s="55"/>
      <c r="EM765" s="1"/>
      <c r="EN765" s="106"/>
      <c r="EO765" s="106"/>
      <c r="EP765" s="1"/>
      <c r="EQ765" s="106"/>
      <c r="ER765" s="1"/>
      <c r="ES765" s="1"/>
      <c r="ET765" s="1"/>
      <c r="EU765" s="108"/>
    </row>
    <row r="766" spans="9:151">
      <c r="I766" s="137"/>
      <c r="J766" s="138"/>
      <c r="K766" s="1"/>
      <c r="L766" s="1"/>
      <c r="Q766" s="1"/>
      <c r="R766" s="1"/>
      <c r="S766" s="106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55"/>
      <c r="AN766" s="106"/>
      <c r="AO766" s="106"/>
      <c r="AP766" s="106"/>
      <c r="AQ766" s="106"/>
      <c r="AR766" s="106"/>
      <c r="AS766" s="31"/>
      <c r="AT766" s="31"/>
      <c r="AU766" s="31"/>
      <c r="AV766" s="30"/>
      <c r="AW766" s="30"/>
      <c r="AX766" s="106"/>
      <c r="AY766" s="106"/>
      <c r="AZ766" s="106"/>
      <c r="BA766" s="106"/>
      <c r="BB766" s="106"/>
      <c r="BC766" s="106"/>
      <c r="BD766" s="107"/>
      <c r="BE766" s="105"/>
      <c r="BF766" s="105"/>
      <c r="BG766" s="105"/>
      <c r="BH766" s="107"/>
      <c r="BI766" s="160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7"/>
      <c r="BX766" s="107"/>
      <c r="BY766" s="107"/>
      <c r="BZ766" s="107"/>
      <c r="CA766" s="107"/>
      <c r="CB766" s="107"/>
      <c r="CC766" s="107"/>
      <c r="CD766" s="107"/>
      <c r="CE766" s="107"/>
      <c r="CF766" s="107"/>
      <c r="CG766" s="106"/>
      <c r="CH766" s="106"/>
      <c r="CI766" s="106"/>
      <c r="CJ766" s="106"/>
      <c r="CK766" s="106"/>
      <c r="CL766" s="138"/>
      <c r="CM766" s="138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55"/>
      <c r="DH766" s="53"/>
      <c r="DL766" s="54"/>
      <c r="DM766" s="54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L766" s="55"/>
      <c r="EM766" s="1"/>
      <c r="EN766" s="106"/>
      <c r="EO766" s="106"/>
      <c r="EP766" s="1"/>
      <c r="EQ766" s="106"/>
      <c r="ER766" s="1"/>
      <c r="ES766" s="1"/>
      <c r="ET766" s="1"/>
      <c r="EU766" s="108"/>
    </row>
    <row r="767" spans="9:151">
      <c r="I767" s="137"/>
      <c r="J767" s="138"/>
      <c r="K767" s="1"/>
      <c r="L767" s="1"/>
      <c r="Q767" s="1"/>
      <c r="R767" s="1"/>
      <c r="S767" s="106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55"/>
      <c r="AN767" s="106"/>
      <c r="AO767" s="106"/>
      <c r="AP767" s="106"/>
      <c r="AQ767" s="106"/>
      <c r="AR767" s="106"/>
      <c r="AS767" s="31"/>
      <c r="AT767" s="31"/>
      <c r="AU767" s="31"/>
      <c r="AV767" s="30"/>
      <c r="AW767" s="30"/>
      <c r="AX767" s="106"/>
      <c r="AY767" s="106"/>
      <c r="AZ767" s="106"/>
      <c r="BA767" s="106"/>
      <c r="BB767" s="106"/>
      <c r="BC767" s="106"/>
      <c r="BD767" s="107"/>
      <c r="BE767" s="105"/>
      <c r="BF767" s="105"/>
      <c r="BG767" s="105"/>
      <c r="BH767" s="107"/>
      <c r="BI767" s="160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7"/>
      <c r="BX767" s="107"/>
      <c r="BY767" s="107"/>
      <c r="BZ767" s="107"/>
      <c r="CA767" s="107"/>
      <c r="CB767" s="107"/>
      <c r="CC767" s="107"/>
      <c r="CD767" s="107"/>
      <c r="CE767" s="107"/>
      <c r="CF767" s="107"/>
      <c r="CG767" s="106"/>
      <c r="CH767" s="106"/>
      <c r="CI767" s="106"/>
      <c r="CJ767" s="106"/>
      <c r="CK767" s="106"/>
      <c r="CL767" s="138"/>
      <c r="CM767" s="138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55"/>
      <c r="DH767" s="53"/>
      <c r="DL767" s="54"/>
      <c r="DM767" s="54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L767" s="55"/>
      <c r="EM767" s="1"/>
      <c r="EN767" s="106"/>
      <c r="EO767" s="106"/>
      <c r="EP767" s="1"/>
      <c r="EQ767" s="106"/>
      <c r="ER767" s="1"/>
      <c r="ES767" s="1"/>
      <c r="ET767" s="1"/>
      <c r="EU767" s="108"/>
    </row>
    <row r="768" spans="9:151">
      <c r="I768" s="137"/>
      <c r="J768" s="138"/>
      <c r="K768" s="1"/>
      <c r="L768" s="1"/>
      <c r="Q768" s="1"/>
      <c r="R768" s="1"/>
      <c r="S768" s="106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55"/>
      <c r="AN768" s="106"/>
      <c r="AO768" s="106"/>
      <c r="AP768" s="106"/>
      <c r="AQ768" s="106"/>
      <c r="AR768" s="106"/>
      <c r="AS768" s="31"/>
      <c r="AT768" s="31"/>
      <c r="AU768" s="31"/>
      <c r="AV768" s="30"/>
      <c r="AW768" s="30"/>
      <c r="AX768" s="106"/>
      <c r="AY768" s="106"/>
      <c r="AZ768" s="106"/>
      <c r="BA768" s="106"/>
      <c r="BB768" s="106"/>
      <c r="BC768" s="106"/>
      <c r="BD768" s="107"/>
      <c r="BE768" s="105"/>
      <c r="BF768" s="105"/>
      <c r="BG768" s="105"/>
      <c r="BH768" s="107"/>
      <c r="BI768" s="160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7"/>
      <c r="BX768" s="107"/>
      <c r="BY768" s="107"/>
      <c r="BZ768" s="107"/>
      <c r="CA768" s="107"/>
      <c r="CB768" s="107"/>
      <c r="CC768" s="107"/>
      <c r="CD768" s="107"/>
      <c r="CE768" s="107"/>
      <c r="CF768" s="107"/>
      <c r="CG768" s="106"/>
      <c r="CH768" s="106"/>
      <c r="CI768" s="106"/>
      <c r="CJ768" s="106"/>
      <c r="CK768" s="106"/>
      <c r="CL768" s="138"/>
      <c r="CM768" s="138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55"/>
      <c r="DH768" s="53"/>
      <c r="DL768" s="54"/>
      <c r="DM768" s="54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L768" s="55"/>
      <c r="EM768" s="1"/>
      <c r="EN768" s="106"/>
      <c r="EO768" s="106"/>
      <c r="EP768" s="1"/>
      <c r="EQ768" s="106"/>
      <c r="ER768" s="1"/>
      <c r="ES768" s="1"/>
      <c r="ET768" s="1"/>
      <c r="EU768" s="108"/>
    </row>
    <row r="769" spans="9:151">
      <c r="I769" s="137"/>
      <c r="J769" s="138"/>
      <c r="K769" s="1"/>
      <c r="L769" s="1"/>
      <c r="Q769" s="1"/>
      <c r="R769" s="1"/>
      <c r="S769" s="106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55"/>
      <c r="AN769" s="106"/>
      <c r="AO769" s="106"/>
      <c r="AP769" s="106"/>
      <c r="AQ769" s="106"/>
      <c r="AR769" s="106"/>
      <c r="AS769" s="31"/>
      <c r="AT769" s="31"/>
      <c r="AU769" s="31"/>
      <c r="AV769" s="30"/>
      <c r="AW769" s="30"/>
      <c r="AX769" s="106"/>
      <c r="AY769" s="106"/>
      <c r="AZ769" s="106"/>
      <c r="BA769" s="106"/>
      <c r="BB769" s="106"/>
      <c r="BC769" s="106"/>
      <c r="BD769" s="107"/>
      <c r="BE769" s="105"/>
      <c r="BF769" s="105"/>
      <c r="BG769" s="105"/>
      <c r="BH769" s="107"/>
      <c r="BI769" s="160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7"/>
      <c r="BX769" s="107"/>
      <c r="BY769" s="107"/>
      <c r="BZ769" s="107"/>
      <c r="CA769" s="107"/>
      <c r="CB769" s="107"/>
      <c r="CC769" s="107"/>
      <c r="CD769" s="107"/>
      <c r="CE769" s="107"/>
      <c r="CF769" s="107"/>
      <c r="CG769" s="106"/>
      <c r="CH769" s="106"/>
      <c r="CI769" s="106"/>
      <c r="CJ769" s="106"/>
      <c r="CK769" s="106"/>
      <c r="CL769" s="138"/>
      <c r="CM769" s="138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55"/>
      <c r="DH769" s="53"/>
      <c r="DL769" s="54"/>
      <c r="DM769" s="54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L769" s="55"/>
      <c r="EM769" s="1"/>
      <c r="EN769" s="106"/>
      <c r="EO769" s="106"/>
      <c r="EP769" s="1"/>
      <c r="EQ769" s="106"/>
      <c r="ER769" s="1"/>
      <c r="ES769" s="1"/>
      <c r="ET769" s="1"/>
      <c r="EU769" s="108"/>
    </row>
    <row r="770" spans="9:151">
      <c r="I770" s="137"/>
      <c r="J770" s="138"/>
      <c r="K770" s="1"/>
      <c r="L770" s="1"/>
      <c r="Q770" s="1"/>
      <c r="R770" s="1"/>
      <c r="S770" s="106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55"/>
      <c r="AN770" s="106"/>
      <c r="AO770" s="106"/>
      <c r="AP770" s="106"/>
      <c r="AQ770" s="106"/>
      <c r="AR770" s="106"/>
      <c r="AS770" s="31"/>
      <c r="AT770" s="31"/>
      <c r="AU770" s="31"/>
      <c r="AV770" s="30"/>
      <c r="AW770" s="30"/>
      <c r="AX770" s="106"/>
      <c r="AY770" s="106"/>
      <c r="AZ770" s="106"/>
      <c r="BA770" s="106"/>
      <c r="BB770" s="106"/>
      <c r="BC770" s="106"/>
      <c r="BD770" s="107"/>
      <c r="BE770" s="105"/>
      <c r="BF770" s="105"/>
      <c r="BG770" s="105"/>
      <c r="BH770" s="107"/>
      <c r="BI770" s="160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7"/>
      <c r="BX770" s="107"/>
      <c r="BY770" s="107"/>
      <c r="BZ770" s="107"/>
      <c r="CA770" s="107"/>
      <c r="CB770" s="107"/>
      <c r="CC770" s="107"/>
      <c r="CD770" s="107"/>
      <c r="CE770" s="107"/>
      <c r="CF770" s="107"/>
      <c r="CG770" s="106"/>
      <c r="CH770" s="106"/>
      <c r="CI770" s="106"/>
      <c r="CJ770" s="106"/>
      <c r="CK770" s="106"/>
      <c r="CL770" s="138"/>
      <c r="CM770" s="138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55"/>
      <c r="DH770" s="53"/>
      <c r="DL770" s="54"/>
      <c r="DM770" s="54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L770" s="55"/>
      <c r="EM770" s="1"/>
      <c r="EN770" s="106"/>
      <c r="EO770" s="106"/>
      <c r="EP770" s="1"/>
      <c r="EQ770" s="106"/>
      <c r="ER770" s="1"/>
      <c r="ES770" s="1"/>
      <c r="ET770" s="1"/>
      <c r="EU770" s="108"/>
    </row>
    <row r="771" spans="9:151">
      <c r="I771" s="137"/>
      <c r="J771" s="138"/>
      <c r="K771" s="1"/>
      <c r="L771" s="1"/>
      <c r="Q771" s="1"/>
      <c r="R771" s="1"/>
      <c r="S771" s="106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55"/>
      <c r="AN771" s="106"/>
      <c r="AO771" s="106"/>
      <c r="AP771" s="106"/>
      <c r="AQ771" s="106"/>
      <c r="AR771" s="106"/>
      <c r="AS771" s="31"/>
      <c r="AT771" s="31"/>
      <c r="AU771" s="31"/>
      <c r="AV771" s="30"/>
      <c r="AW771" s="30"/>
      <c r="AX771" s="106"/>
      <c r="AY771" s="106"/>
      <c r="AZ771" s="106"/>
      <c r="BA771" s="106"/>
      <c r="BB771" s="106"/>
      <c r="BC771" s="106"/>
      <c r="BD771" s="107"/>
      <c r="BE771" s="105"/>
      <c r="BF771" s="105"/>
      <c r="BG771" s="105"/>
      <c r="BH771" s="107"/>
      <c r="BI771" s="160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7"/>
      <c r="BX771" s="107"/>
      <c r="BY771" s="107"/>
      <c r="BZ771" s="107"/>
      <c r="CA771" s="107"/>
      <c r="CB771" s="107"/>
      <c r="CC771" s="107"/>
      <c r="CD771" s="107"/>
      <c r="CE771" s="107"/>
      <c r="CF771" s="107"/>
      <c r="CG771" s="106"/>
      <c r="CH771" s="106"/>
      <c r="CI771" s="106"/>
      <c r="CJ771" s="106"/>
      <c r="CK771" s="106"/>
      <c r="CL771" s="138"/>
      <c r="CM771" s="138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55"/>
      <c r="DH771" s="53"/>
      <c r="DL771" s="54"/>
      <c r="DM771" s="54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L771" s="55"/>
      <c r="EM771" s="1"/>
      <c r="EN771" s="106"/>
      <c r="EO771" s="106"/>
      <c r="EP771" s="1"/>
      <c r="EQ771" s="106"/>
      <c r="ER771" s="1"/>
      <c r="ES771" s="1"/>
      <c r="ET771" s="1"/>
      <c r="EU771" s="108"/>
    </row>
    <row r="772" spans="9:151">
      <c r="I772" s="137"/>
      <c r="J772" s="138"/>
      <c r="K772" s="1"/>
      <c r="L772" s="1"/>
      <c r="Q772" s="1"/>
      <c r="R772" s="1"/>
      <c r="S772" s="106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55"/>
      <c r="AN772" s="106"/>
      <c r="AO772" s="106"/>
      <c r="AP772" s="106"/>
      <c r="AQ772" s="106"/>
      <c r="AR772" s="106"/>
      <c r="AS772" s="31"/>
      <c r="AT772" s="31"/>
      <c r="AU772" s="31"/>
      <c r="AV772" s="30"/>
      <c r="AW772" s="30"/>
      <c r="AX772" s="106"/>
      <c r="AY772" s="106"/>
      <c r="AZ772" s="106"/>
      <c r="BA772" s="106"/>
      <c r="BB772" s="106"/>
      <c r="BC772" s="106"/>
      <c r="BD772" s="107"/>
      <c r="BE772" s="105"/>
      <c r="BF772" s="105"/>
      <c r="BG772" s="105"/>
      <c r="BH772" s="107"/>
      <c r="BI772" s="160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7"/>
      <c r="BX772" s="107"/>
      <c r="BY772" s="107"/>
      <c r="BZ772" s="107"/>
      <c r="CA772" s="107"/>
      <c r="CB772" s="107"/>
      <c r="CC772" s="107"/>
      <c r="CD772" s="107"/>
      <c r="CE772" s="107"/>
      <c r="CF772" s="107"/>
      <c r="CG772" s="106"/>
      <c r="CH772" s="106"/>
      <c r="CI772" s="106"/>
      <c r="CJ772" s="106"/>
      <c r="CK772" s="106"/>
      <c r="CL772" s="138"/>
      <c r="CM772" s="138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55"/>
      <c r="DH772" s="53"/>
      <c r="DL772" s="54"/>
      <c r="DM772" s="54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L772" s="55"/>
      <c r="EM772" s="1"/>
      <c r="EN772" s="106"/>
      <c r="EO772" s="106"/>
      <c r="EP772" s="1"/>
      <c r="EQ772" s="106"/>
      <c r="ER772" s="1"/>
      <c r="ES772" s="1"/>
      <c r="ET772" s="1"/>
      <c r="EU772" s="108"/>
    </row>
    <row r="773" spans="9:151">
      <c r="I773" s="137"/>
      <c r="J773" s="138"/>
      <c r="K773" s="1"/>
      <c r="L773" s="1"/>
      <c r="Q773" s="1"/>
      <c r="R773" s="1"/>
      <c r="S773" s="106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55"/>
      <c r="AN773" s="106"/>
      <c r="AO773" s="106"/>
      <c r="AP773" s="106"/>
      <c r="AQ773" s="106"/>
      <c r="AR773" s="106"/>
      <c r="AS773" s="31"/>
      <c r="AT773" s="31"/>
      <c r="AU773" s="31"/>
      <c r="AV773" s="30"/>
      <c r="AW773" s="30"/>
      <c r="AX773" s="106"/>
      <c r="AY773" s="106"/>
      <c r="AZ773" s="106"/>
      <c r="BA773" s="106"/>
      <c r="BB773" s="106"/>
      <c r="BC773" s="106"/>
      <c r="BD773" s="107"/>
      <c r="BE773" s="105"/>
      <c r="BF773" s="105"/>
      <c r="BG773" s="105"/>
      <c r="BH773" s="107"/>
      <c r="BI773" s="160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7"/>
      <c r="BX773" s="107"/>
      <c r="BY773" s="107"/>
      <c r="BZ773" s="107"/>
      <c r="CA773" s="107"/>
      <c r="CB773" s="107"/>
      <c r="CC773" s="107"/>
      <c r="CD773" s="107"/>
      <c r="CE773" s="107"/>
      <c r="CF773" s="107"/>
      <c r="CG773" s="106"/>
      <c r="CH773" s="106"/>
      <c r="CI773" s="106"/>
      <c r="CJ773" s="106"/>
      <c r="CK773" s="106"/>
      <c r="CL773" s="138"/>
      <c r="CM773" s="138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55"/>
      <c r="DH773" s="53"/>
      <c r="DL773" s="54"/>
      <c r="DM773" s="54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L773" s="55"/>
      <c r="EM773" s="1"/>
      <c r="EN773" s="106"/>
      <c r="EO773" s="106"/>
      <c r="EP773" s="1"/>
      <c r="EQ773" s="106"/>
      <c r="ER773" s="1"/>
      <c r="ES773" s="1"/>
      <c r="ET773" s="1"/>
      <c r="EU773" s="108"/>
    </row>
    <row r="774" spans="9:151">
      <c r="I774" s="137"/>
      <c r="J774" s="138"/>
      <c r="K774" s="1"/>
      <c r="L774" s="1"/>
      <c r="Q774" s="1"/>
      <c r="R774" s="1"/>
      <c r="S774" s="106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55"/>
      <c r="AN774" s="106"/>
      <c r="AO774" s="106"/>
      <c r="AP774" s="106"/>
      <c r="AQ774" s="106"/>
      <c r="AR774" s="106"/>
      <c r="AS774" s="31"/>
      <c r="AT774" s="31"/>
      <c r="AU774" s="31"/>
      <c r="AV774" s="30"/>
      <c r="AW774" s="30"/>
      <c r="AX774" s="106"/>
      <c r="AY774" s="106"/>
      <c r="AZ774" s="106"/>
      <c r="BA774" s="106"/>
      <c r="BB774" s="106"/>
      <c r="BC774" s="106"/>
      <c r="BD774" s="107"/>
      <c r="BE774" s="105"/>
      <c r="BF774" s="105"/>
      <c r="BG774" s="105"/>
      <c r="BH774" s="107"/>
      <c r="BI774" s="160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7"/>
      <c r="BX774" s="107"/>
      <c r="BY774" s="107"/>
      <c r="BZ774" s="107"/>
      <c r="CA774" s="107"/>
      <c r="CB774" s="107"/>
      <c r="CC774" s="107"/>
      <c r="CD774" s="107"/>
      <c r="CE774" s="107"/>
      <c r="CF774" s="107"/>
      <c r="CG774" s="106"/>
      <c r="CH774" s="106"/>
      <c r="CI774" s="106"/>
      <c r="CJ774" s="106"/>
      <c r="CK774" s="106"/>
      <c r="CL774" s="138"/>
      <c r="CM774" s="138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55"/>
      <c r="DH774" s="53"/>
      <c r="DL774" s="54"/>
      <c r="DM774" s="54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L774" s="55"/>
      <c r="EM774" s="1"/>
      <c r="EN774" s="106"/>
      <c r="EO774" s="106"/>
      <c r="EP774" s="1"/>
      <c r="EQ774" s="106"/>
      <c r="ER774" s="1"/>
      <c r="ES774" s="1"/>
      <c r="ET774" s="1"/>
      <c r="EU774" s="108"/>
    </row>
    <row r="775" spans="9:151">
      <c r="I775" s="137"/>
      <c r="J775" s="138"/>
      <c r="K775" s="1"/>
      <c r="L775" s="1"/>
      <c r="Q775" s="1"/>
      <c r="R775" s="1"/>
      <c r="S775" s="106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55"/>
      <c r="AN775" s="106"/>
      <c r="AO775" s="106"/>
      <c r="AP775" s="106"/>
      <c r="AQ775" s="106"/>
      <c r="AR775" s="106"/>
      <c r="AS775" s="31"/>
      <c r="AT775" s="31"/>
      <c r="AU775" s="31"/>
      <c r="AV775" s="30"/>
      <c r="AW775" s="30"/>
      <c r="AX775" s="106"/>
      <c r="AY775" s="106"/>
      <c r="AZ775" s="106"/>
      <c r="BA775" s="106"/>
      <c r="BB775" s="106"/>
      <c r="BC775" s="106"/>
      <c r="BD775" s="107"/>
      <c r="BE775" s="105"/>
      <c r="BF775" s="105"/>
      <c r="BG775" s="105"/>
      <c r="BH775" s="107"/>
      <c r="BI775" s="160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7"/>
      <c r="BX775" s="107"/>
      <c r="BY775" s="107"/>
      <c r="BZ775" s="107"/>
      <c r="CA775" s="107"/>
      <c r="CB775" s="107"/>
      <c r="CC775" s="107"/>
      <c r="CD775" s="107"/>
      <c r="CE775" s="107"/>
      <c r="CF775" s="107"/>
      <c r="CG775" s="106"/>
      <c r="CH775" s="106"/>
      <c r="CI775" s="106"/>
      <c r="CJ775" s="106"/>
      <c r="CK775" s="106"/>
      <c r="CL775" s="138"/>
      <c r="CM775" s="138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55"/>
      <c r="DH775" s="53"/>
      <c r="DL775" s="54"/>
      <c r="DM775" s="54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L775" s="55"/>
      <c r="EM775" s="1"/>
      <c r="EN775" s="106"/>
      <c r="EO775" s="106"/>
      <c r="EP775" s="1"/>
      <c r="EQ775" s="106"/>
      <c r="ER775" s="1"/>
      <c r="ES775" s="1"/>
      <c r="ET775" s="1"/>
      <c r="EU775" s="108"/>
    </row>
    <row r="776" spans="9:151">
      <c r="I776" s="137"/>
      <c r="J776" s="138"/>
      <c r="K776" s="1"/>
      <c r="L776" s="1"/>
      <c r="Q776" s="1"/>
      <c r="R776" s="1"/>
      <c r="S776" s="106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55"/>
      <c r="AN776" s="106"/>
      <c r="AO776" s="106"/>
      <c r="AP776" s="106"/>
      <c r="AQ776" s="106"/>
      <c r="AR776" s="106"/>
      <c r="AS776" s="31"/>
      <c r="AT776" s="31"/>
      <c r="AU776" s="31"/>
      <c r="AV776" s="30"/>
      <c r="AW776" s="30"/>
      <c r="AX776" s="106"/>
      <c r="AY776" s="106"/>
      <c r="AZ776" s="106"/>
      <c r="BA776" s="106"/>
      <c r="BB776" s="106"/>
      <c r="BC776" s="106"/>
      <c r="BD776" s="107"/>
      <c r="BE776" s="105"/>
      <c r="BF776" s="105"/>
      <c r="BG776" s="105"/>
      <c r="BH776" s="107"/>
      <c r="BI776" s="160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7"/>
      <c r="BX776" s="107"/>
      <c r="BY776" s="107"/>
      <c r="BZ776" s="107"/>
      <c r="CA776" s="107"/>
      <c r="CB776" s="107"/>
      <c r="CC776" s="107"/>
      <c r="CD776" s="107"/>
      <c r="CE776" s="107"/>
      <c r="CF776" s="107"/>
      <c r="CG776" s="106"/>
      <c r="CH776" s="106"/>
      <c r="CI776" s="106"/>
      <c r="CJ776" s="106"/>
      <c r="CK776" s="106"/>
      <c r="CL776" s="138"/>
      <c r="CM776" s="138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55"/>
      <c r="DH776" s="53"/>
      <c r="DL776" s="54"/>
      <c r="DM776" s="54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L776" s="55"/>
      <c r="EM776" s="1"/>
      <c r="EN776" s="106"/>
      <c r="EO776" s="106"/>
      <c r="EP776" s="1"/>
      <c r="EQ776" s="106"/>
      <c r="ER776" s="1"/>
      <c r="ES776" s="1"/>
      <c r="ET776" s="1"/>
      <c r="EU776" s="108"/>
    </row>
    <row r="777" spans="9:151">
      <c r="I777" s="137"/>
      <c r="J777" s="138"/>
      <c r="K777" s="1"/>
      <c r="L777" s="1"/>
      <c r="Q777" s="1"/>
      <c r="R777" s="1"/>
      <c r="S777" s="106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55"/>
      <c r="AN777" s="106"/>
      <c r="AO777" s="106"/>
      <c r="AP777" s="106"/>
      <c r="AQ777" s="106"/>
      <c r="AR777" s="106"/>
      <c r="AS777" s="31"/>
      <c r="AT777" s="31"/>
      <c r="AU777" s="31"/>
      <c r="AV777" s="30"/>
      <c r="AW777" s="30"/>
      <c r="AX777" s="106"/>
      <c r="AY777" s="106"/>
      <c r="AZ777" s="106"/>
      <c r="BA777" s="106"/>
      <c r="BB777" s="106"/>
      <c r="BC777" s="106"/>
      <c r="BD777" s="107"/>
      <c r="BE777" s="105"/>
      <c r="BF777" s="105"/>
      <c r="BG777" s="105"/>
      <c r="BH777" s="107"/>
      <c r="BI777" s="160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7"/>
      <c r="BX777" s="107"/>
      <c r="BY777" s="107"/>
      <c r="BZ777" s="107"/>
      <c r="CA777" s="107"/>
      <c r="CB777" s="107"/>
      <c r="CC777" s="107"/>
      <c r="CD777" s="107"/>
      <c r="CE777" s="107"/>
      <c r="CF777" s="107"/>
      <c r="CG777" s="106"/>
      <c r="CH777" s="106"/>
      <c r="CI777" s="106"/>
      <c r="CJ777" s="106"/>
      <c r="CK777" s="106"/>
      <c r="CL777" s="138"/>
      <c r="CM777" s="138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55"/>
      <c r="DH777" s="53"/>
      <c r="DL777" s="54"/>
      <c r="DM777" s="54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L777" s="55"/>
      <c r="EM777" s="1"/>
      <c r="EN777" s="106"/>
      <c r="EO777" s="106"/>
      <c r="EP777" s="1"/>
      <c r="EQ777" s="106"/>
      <c r="ER777" s="1"/>
      <c r="ES777" s="1"/>
      <c r="ET777" s="1"/>
      <c r="EU777" s="108"/>
    </row>
    <row r="778" spans="9:151">
      <c r="I778" s="137"/>
      <c r="J778" s="138"/>
      <c r="K778" s="1"/>
      <c r="L778" s="1"/>
      <c r="Q778" s="1"/>
      <c r="R778" s="1"/>
      <c r="S778" s="106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55"/>
      <c r="AN778" s="106"/>
      <c r="AO778" s="106"/>
      <c r="AP778" s="106"/>
      <c r="AQ778" s="106"/>
      <c r="AR778" s="106"/>
      <c r="AS778" s="31"/>
      <c r="AT778" s="31"/>
      <c r="AU778" s="31"/>
      <c r="AV778" s="30"/>
      <c r="AW778" s="30"/>
      <c r="AX778" s="106"/>
      <c r="AY778" s="106"/>
      <c r="AZ778" s="106"/>
      <c r="BA778" s="106"/>
      <c r="BB778" s="106"/>
      <c r="BC778" s="106"/>
      <c r="BD778" s="107"/>
      <c r="BE778" s="105"/>
      <c r="BF778" s="105"/>
      <c r="BG778" s="105"/>
      <c r="BH778" s="107"/>
      <c r="BI778" s="160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7"/>
      <c r="BX778" s="107"/>
      <c r="BY778" s="107"/>
      <c r="BZ778" s="107"/>
      <c r="CA778" s="107"/>
      <c r="CB778" s="107"/>
      <c r="CC778" s="107"/>
      <c r="CD778" s="107"/>
      <c r="CE778" s="107"/>
      <c r="CF778" s="107"/>
      <c r="CG778" s="106"/>
      <c r="CH778" s="106"/>
      <c r="CI778" s="106"/>
      <c r="CJ778" s="106"/>
      <c r="CK778" s="106"/>
      <c r="CL778" s="138"/>
      <c r="CM778" s="138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55"/>
      <c r="DH778" s="53"/>
      <c r="DL778" s="54"/>
      <c r="DM778" s="54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L778" s="55"/>
      <c r="EM778" s="1"/>
      <c r="EN778" s="106"/>
      <c r="EO778" s="106"/>
      <c r="EP778" s="1"/>
      <c r="EQ778" s="106"/>
      <c r="ER778" s="1"/>
      <c r="ES778" s="1"/>
      <c r="ET778" s="1"/>
      <c r="EU778" s="108"/>
    </row>
    <row r="779" spans="9:151">
      <c r="I779" s="137"/>
      <c r="J779" s="138"/>
      <c r="K779" s="1"/>
      <c r="L779" s="1"/>
      <c r="Q779" s="1"/>
      <c r="R779" s="1"/>
      <c r="S779" s="106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55"/>
      <c r="AN779" s="106"/>
      <c r="AO779" s="106"/>
      <c r="AP779" s="106"/>
      <c r="AQ779" s="106"/>
      <c r="AR779" s="106"/>
      <c r="AS779" s="31"/>
      <c r="AT779" s="31"/>
      <c r="AU779" s="31"/>
      <c r="AV779" s="30"/>
      <c r="AW779" s="30"/>
      <c r="AX779" s="106"/>
      <c r="AY779" s="106"/>
      <c r="AZ779" s="106"/>
      <c r="BA779" s="106"/>
      <c r="BB779" s="106"/>
      <c r="BC779" s="106"/>
      <c r="BD779" s="107"/>
      <c r="BE779" s="105"/>
      <c r="BF779" s="105"/>
      <c r="BG779" s="105"/>
      <c r="BH779" s="107"/>
      <c r="BI779" s="160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7"/>
      <c r="BX779" s="107"/>
      <c r="BY779" s="107"/>
      <c r="BZ779" s="107"/>
      <c r="CA779" s="107"/>
      <c r="CB779" s="107"/>
      <c r="CC779" s="107"/>
      <c r="CD779" s="107"/>
      <c r="CE779" s="107"/>
      <c r="CF779" s="107"/>
      <c r="CG779" s="106"/>
      <c r="CH779" s="106"/>
      <c r="CI779" s="106"/>
      <c r="CJ779" s="106"/>
      <c r="CK779" s="106"/>
      <c r="CL779" s="138"/>
      <c r="CM779" s="138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55"/>
      <c r="DH779" s="53"/>
      <c r="DL779" s="54"/>
      <c r="DM779" s="54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L779" s="55"/>
      <c r="EM779" s="1"/>
      <c r="EN779" s="106"/>
      <c r="EO779" s="106"/>
      <c r="EP779" s="1"/>
      <c r="EQ779" s="106"/>
      <c r="ER779" s="1"/>
      <c r="ES779" s="1"/>
      <c r="ET779" s="1"/>
      <c r="EU779" s="108"/>
    </row>
    <row r="780" spans="9:151">
      <c r="I780" s="137"/>
      <c r="J780" s="138"/>
      <c r="K780" s="1"/>
      <c r="L780" s="1"/>
      <c r="Q780" s="1"/>
      <c r="R780" s="1"/>
      <c r="S780" s="106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55"/>
      <c r="AN780" s="106"/>
      <c r="AO780" s="106"/>
      <c r="AP780" s="106"/>
      <c r="AQ780" s="106"/>
      <c r="AR780" s="106"/>
      <c r="AS780" s="31"/>
      <c r="AT780" s="31"/>
      <c r="AU780" s="31"/>
      <c r="AV780" s="30"/>
      <c r="AW780" s="30"/>
      <c r="AX780" s="106"/>
      <c r="AY780" s="106"/>
      <c r="AZ780" s="106"/>
      <c r="BA780" s="106"/>
      <c r="BB780" s="106"/>
      <c r="BC780" s="106"/>
      <c r="BD780" s="107"/>
      <c r="BE780" s="105"/>
      <c r="BF780" s="105"/>
      <c r="BG780" s="105"/>
      <c r="BH780" s="107"/>
      <c r="BI780" s="160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7"/>
      <c r="BX780" s="107"/>
      <c r="BY780" s="107"/>
      <c r="BZ780" s="107"/>
      <c r="CA780" s="107"/>
      <c r="CB780" s="107"/>
      <c r="CC780" s="107"/>
      <c r="CD780" s="107"/>
      <c r="CE780" s="107"/>
      <c r="CF780" s="107"/>
      <c r="CG780" s="106"/>
      <c r="CH780" s="106"/>
      <c r="CI780" s="106"/>
      <c r="CJ780" s="106"/>
      <c r="CK780" s="106"/>
      <c r="CL780" s="138"/>
      <c r="CM780" s="138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55"/>
      <c r="DH780" s="53"/>
      <c r="DL780" s="54"/>
      <c r="DM780" s="54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L780" s="55"/>
      <c r="EM780" s="1"/>
      <c r="EN780" s="106"/>
      <c r="EO780" s="106"/>
      <c r="EP780" s="1"/>
      <c r="EQ780" s="106"/>
      <c r="ER780" s="1"/>
      <c r="ES780" s="1"/>
      <c r="ET780" s="1"/>
      <c r="EU780" s="108"/>
    </row>
    <row r="781" spans="9:151">
      <c r="I781" s="137"/>
      <c r="J781" s="138"/>
      <c r="K781" s="1"/>
      <c r="L781" s="1"/>
      <c r="Q781" s="1"/>
      <c r="R781" s="1"/>
      <c r="S781" s="106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55"/>
      <c r="AN781" s="106"/>
      <c r="AO781" s="106"/>
      <c r="AP781" s="106"/>
      <c r="AQ781" s="106"/>
      <c r="AR781" s="106"/>
      <c r="AS781" s="31"/>
      <c r="AT781" s="31"/>
      <c r="AU781" s="31"/>
      <c r="AV781" s="30"/>
      <c r="AW781" s="30"/>
      <c r="AX781" s="106"/>
      <c r="AY781" s="106"/>
      <c r="AZ781" s="106"/>
      <c r="BA781" s="106"/>
      <c r="BB781" s="106"/>
      <c r="BC781" s="106"/>
      <c r="BD781" s="107"/>
      <c r="BE781" s="105"/>
      <c r="BF781" s="105"/>
      <c r="BG781" s="105"/>
      <c r="BH781" s="107"/>
      <c r="BI781" s="160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7"/>
      <c r="BX781" s="107"/>
      <c r="BY781" s="107"/>
      <c r="BZ781" s="107"/>
      <c r="CA781" s="107"/>
      <c r="CB781" s="107"/>
      <c r="CC781" s="107"/>
      <c r="CD781" s="107"/>
      <c r="CE781" s="107"/>
      <c r="CF781" s="107"/>
      <c r="CG781" s="106"/>
      <c r="CH781" s="106"/>
      <c r="CI781" s="106"/>
      <c r="CJ781" s="106"/>
      <c r="CK781" s="106"/>
      <c r="CL781" s="138"/>
      <c r="CM781" s="138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55"/>
      <c r="DH781" s="53"/>
      <c r="DL781" s="54"/>
      <c r="DM781" s="54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L781" s="55"/>
      <c r="EM781" s="1"/>
      <c r="EN781" s="106"/>
      <c r="EO781" s="106"/>
      <c r="EP781" s="1"/>
      <c r="EQ781" s="106"/>
      <c r="ER781" s="1"/>
      <c r="ES781" s="1"/>
      <c r="ET781" s="1"/>
      <c r="EU781" s="108"/>
    </row>
    <row r="782" spans="9:151">
      <c r="I782" s="137"/>
      <c r="J782" s="138"/>
      <c r="K782" s="1"/>
      <c r="L782" s="1"/>
      <c r="Q782" s="1"/>
      <c r="R782" s="1"/>
      <c r="S782" s="106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55"/>
      <c r="AN782" s="106"/>
      <c r="AO782" s="106"/>
      <c r="AP782" s="106"/>
      <c r="AQ782" s="106"/>
      <c r="AR782" s="106"/>
      <c r="AS782" s="31"/>
      <c r="AT782" s="31"/>
      <c r="AU782" s="31"/>
      <c r="AV782" s="30"/>
      <c r="AW782" s="30"/>
      <c r="AX782" s="106"/>
      <c r="AY782" s="106"/>
      <c r="AZ782" s="106"/>
      <c r="BA782" s="106"/>
      <c r="BB782" s="106"/>
      <c r="BC782" s="106"/>
      <c r="BD782" s="107"/>
      <c r="BE782" s="105"/>
      <c r="BF782" s="105"/>
      <c r="BG782" s="105"/>
      <c r="BH782" s="107"/>
      <c r="BI782" s="160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7"/>
      <c r="BX782" s="107"/>
      <c r="BY782" s="107"/>
      <c r="BZ782" s="107"/>
      <c r="CA782" s="107"/>
      <c r="CB782" s="107"/>
      <c r="CC782" s="107"/>
      <c r="CD782" s="107"/>
      <c r="CE782" s="107"/>
      <c r="CF782" s="107"/>
      <c r="CG782" s="106"/>
      <c r="CH782" s="106"/>
      <c r="CI782" s="106"/>
      <c r="CJ782" s="106"/>
      <c r="CK782" s="106"/>
      <c r="CL782" s="138"/>
      <c r="CM782" s="138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55"/>
      <c r="DH782" s="53"/>
      <c r="DL782" s="54"/>
      <c r="DM782" s="54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L782" s="55"/>
      <c r="EM782" s="1"/>
      <c r="EN782" s="106"/>
      <c r="EO782" s="106"/>
      <c r="EP782" s="1"/>
      <c r="EQ782" s="106"/>
      <c r="ER782" s="1"/>
      <c r="ES782" s="1"/>
      <c r="ET782" s="1"/>
      <c r="EU782" s="108"/>
    </row>
    <row r="783" spans="9:151">
      <c r="I783" s="137"/>
      <c r="J783" s="138"/>
      <c r="K783" s="1"/>
      <c r="L783" s="1"/>
      <c r="Q783" s="1"/>
      <c r="R783" s="1"/>
      <c r="S783" s="106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55"/>
      <c r="AN783" s="106"/>
      <c r="AO783" s="106"/>
      <c r="AP783" s="106"/>
      <c r="AQ783" s="106"/>
      <c r="AR783" s="106"/>
      <c r="AS783" s="31"/>
      <c r="AT783" s="31"/>
      <c r="AU783" s="31"/>
      <c r="AV783" s="30"/>
      <c r="AW783" s="30"/>
      <c r="AX783" s="106"/>
      <c r="AY783" s="106"/>
      <c r="AZ783" s="106"/>
      <c r="BA783" s="106"/>
      <c r="BB783" s="106"/>
      <c r="BC783" s="106"/>
      <c r="BD783" s="107"/>
      <c r="BE783" s="105"/>
      <c r="BF783" s="105"/>
      <c r="BG783" s="105"/>
      <c r="BH783" s="107"/>
      <c r="BI783" s="160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7"/>
      <c r="BX783" s="107"/>
      <c r="BY783" s="107"/>
      <c r="BZ783" s="107"/>
      <c r="CA783" s="107"/>
      <c r="CB783" s="107"/>
      <c r="CC783" s="107"/>
      <c r="CD783" s="107"/>
      <c r="CE783" s="107"/>
      <c r="CF783" s="107"/>
      <c r="CG783" s="106"/>
      <c r="CH783" s="106"/>
      <c r="CI783" s="106"/>
      <c r="CJ783" s="106"/>
      <c r="CK783" s="106"/>
      <c r="CL783" s="138"/>
      <c r="CM783" s="138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55"/>
      <c r="DH783" s="53"/>
      <c r="DL783" s="54"/>
      <c r="DM783" s="54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L783" s="55"/>
      <c r="EM783" s="1"/>
      <c r="EN783" s="106"/>
      <c r="EO783" s="106"/>
      <c r="EP783" s="1"/>
      <c r="EQ783" s="106"/>
      <c r="ER783" s="1"/>
      <c r="ES783" s="1"/>
      <c r="ET783" s="1"/>
      <c r="EU783" s="108"/>
    </row>
    <row r="784" spans="9:151">
      <c r="I784" s="137"/>
      <c r="J784" s="138"/>
      <c r="K784" s="1"/>
      <c r="L784" s="1"/>
      <c r="Q784" s="1"/>
      <c r="R784" s="1"/>
      <c r="S784" s="106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55"/>
      <c r="AN784" s="106"/>
      <c r="AO784" s="106"/>
      <c r="AP784" s="106"/>
      <c r="AQ784" s="106"/>
      <c r="AR784" s="106"/>
      <c r="AS784" s="31"/>
      <c r="AT784" s="31"/>
      <c r="AU784" s="31"/>
      <c r="AV784" s="30"/>
      <c r="AW784" s="30"/>
      <c r="AX784" s="106"/>
      <c r="AY784" s="106"/>
      <c r="AZ784" s="106"/>
      <c r="BA784" s="106"/>
      <c r="BB784" s="106"/>
      <c r="BC784" s="106"/>
      <c r="BD784" s="107"/>
      <c r="BE784" s="105"/>
      <c r="BF784" s="105"/>
      <c r="BG784" s="105"/>
      <c r="BH784" s="107"/>
      <c r="BI784" s="160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7"/>
      <c r="BX784" s="107"/>
      <c r="BY784" s="107"/>
      <c r="BZ784" s="107"/>
      <c r="CA784" s="107"/>
      <c r="CB784" s="107"/>
      <c r="CC784" s="107"/>
      <c r="CD784" s="107"/>
      <c r="CE784" s="107"/>
      <c r="CF784" s="107"/>
      <c r="CG784" s="106"/>
      <c r="CH784" s="106"/>
      <c r="CI784" s="106"/>
      <c r="CJ784" s="106"/>
      <c r="CK784" s="106"/>
      <c r="CL784" s="138"/>
      <c r="CM784" s="138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55"/>
      <c r="DH784" s="53"/>
      <c r="DL784" s="54"/>
      <c r="DM784" s="54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L784" s="55"/>
      <c r="EM784" s="1"/>
      <c r="EN784" s="106"/>
      <c r="EO784" s="106"/>
      <c r="EP784" s="1"/>
      <c r="EQ784" s="106"/>
      <c r="ER784" s="1"/>
      <c r="ES784" s="1"/>
      <c r="ET784" s="1"/>
      <c r="EU784" s="108"/>
    </row>
    <row r="785" spans="9:151">
      <c r="I785" s="137"/>
      <c r="J785" s="138"/>
      <c r="K785" s="1"/>
      <c r="L785" s="1"/>
      <c r="Q785" s="1"/>
      <c r="R785" s="1"/>
      <c r="S785" s="106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55"/>
      <c r="AN785" s="106"/>
      <c r="AO785" s="106"/>
      <c r="AP785" s="106"/>
      <c r="AQ785" s="106"/>
      <c r="AR785" s="106"/>
      <c r="AS785" s="31"/>
      <c r="AT785" s="31"/>
      <c r="AU785" s="31"/>
      <c r="AV785" s="30"/>
      <c r="AW785" s="30"/>
      <c r="AX785" s="106"/>
      <c r="AY785" s="106"/>
      <c r="AZ785" s="106"/>
      <c r="BA785" s="106"/>
      <c r="BB785" s="106"/>
      <c r="BC785" s="106"/>
      <c r="BD785" s="107"/>
      <c r="BE785" s="105"/>
      <c r="BF785" s="105"/>
      <c r="BG785" s="105"/>
      <c r="BH785" s="107"/>
      <c r="BI785" s="160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7"/>
      <c r="BX785" s="107"/>
      <c r="BY785" s="107"/>
      <c r="BZ785" s="107"/>
      <c r="CA785" s="107"/>
      <c r="CB785" s="107"/>
      <c r="CC785" s="107"/>
      <c r="CD785" s="107"/>
      <c r="CE785" s="107"/>
      <c r="CF785" s="107"/>
      <c r="CG785" s="106"/>
      <c r="CH785" s="106"/>
      <c r="CI785" s="106"/>
      <c r="CJ785" s="106"/>
      <c r="CK785" s="106"/>
      <c r="CL785" s="138"/>
      <c r="CM785" s="138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55"/>
      <c r="DH785" s="53"/>
      <c r="DL785" s="54"/>
      <c r="DM785" s="54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L785" s="55"/>
      <c r="EM785" s="1"/>
      <c r="EN785" s="106"/>
      <c r="EO785" s="106"/>
      <c r="EP785" s="1"/>
      <c r="EQ785" s="106"/>
      <c r="ER785" s="1"/>
      <c r="ES785" s="1"/>
      <c r="ET785" s="1"/>
      <c r="EU785" s="108"/>
    </row>
    <row r="786" spans="9:151">
      <c r="I786" s="137"/>
      <c r="J786" s="138"/>
      <c r="K786" s="1"/>
      <c r="L786" s="1"/>
      <c r="Q786" s="1"/>
      <c r="R786" s="1"/>
      <c r="S786" s="106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55"/>
      <c r="AN786" s="106"/>
      <c r="AO786" s="106"/>
      <c r="AP786" s="106"/>
      <c r="AQ786" s="106"/>
      <c r="AR786" s="106"/>
      <c r="AS786" s="31"/>
      <c r="AT786" s="31"/>
      <c r="AU786" s="31"/>
      <c r="AV786" s="30"/>
      <c r="AW786" s="30"/>
      <c r="AX786" s="106"/>
      <c r="AY786" s="106"/>
      <c r="AZ786" s="106"/>
      <c r="BA786" s="106"/>
      <c r="BB786" s="106"/>
      <c r="BC786" s="106"/>
      <c r="BD786" s="107"/>
      <c r="BE786" s="105"/>
      <c r="BF786" s="105"/>
      <c r="BG786" s="105"/>
      <c r="BH786" s="107"/>
      <c r="BI786" s="160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7"/>
      <c r="BX786" s="107"/>
      <c r="BY786" s="107"/>
      <c r="BZ786" s="107"/>
      <c r="CA786" s="107"/>
      <c r="CB786" s="107"/>
      <c r="CC786" s="107"/>
      <c r="CD786" s="107"/>
      <c r="CE786" s="107"/>
      <c r="CF786" s="107"/>
      <c r="CG786" s="106"/>
      <c r="CH786" s="106"/>
      <c r="CI786" s="106"/>
      <c r="CJ786" s="106"/>
      <c r="CK786" s="106"/>
      <c r="CL786" s="138"/>
      <c r="CM786" s="138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55"/>
      <c r="DH786" s="53"/>
      <c r="DL786" s="54"/>
      <c r="DM786" s="54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L786" s="55"/>
      <c r="EM786" s="1"/>
      <c r="EN786" s="106"/>
      <c r="EO786" s="106"/>
      <c r="EP786" s="1"/>
      <c r="EQ786" s="106"/>
      <c r="ER786" s="1"/>
      <c r="ES786" s="1"/>
      <c r="ET786" s="1"/>
      <c r="EU786" s="108"/>
    </row>
    <row r="787" spans="9:151">
      <c r="I787" s="137"/>
      <c r="J787" s="138"/>
      <c r="K787" s="1"/>
      <c r="L787" s="1"/>
      <c r="Q787" s="1"/>
      <c r="R787" s="1"/>
      <c r="S787" s="106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55"/>
      <c r="AN787" s="106"/>
      <c r="AO787" s="106"/>
      <c r="AP787" s="106"/>
      <c r="AQ787" s="106"/>
      <c r="AR787" s="106"/>
      <c r="AS787" s="31"/>
      <c r="AT787" s="31"/>
      <c r="AU787" s="31"/>
      <c r="AV787" s="30"/>
      <c r="AW787" s="30"/>
      <c r="AX787" s="106"/>
      <c r="AY787" s="106"/>
      <c r="AZ787" s="106"/>
      <c r="BA787" s="106"/>
      <c r="BB787" s="106"/>
      <c r="BC787" s="106"/>
      <c r="BD787" s="107"/>
      <c r="BE787" s="105"/>
      <c r="BF787" s="105"/>
      <c r="BG787" s="105"/>
      <c r="BH787" s="107"/>
      <c r="BI787" s="160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7"/>
      <c r="BX787" s="107"/>
      <c r="BY787" s="107"/>
      <c r="BZ787" s="107"/>
      <c r="CA787" s="107"/>
      <c r="CB787" s="107"/>
      <c r="CC787" s="107"/>
      <c r="CD787" s="107"/>
      <c r="CE787" s="107"/>
      <c r="CF787" s="107"/>
      <c r="CG787" s="106"/>
      <c r="CH787" s="106"/>
      <c r="CI787" s="106"/>
      <c r="CJ787" s="106"/>
      <c r="CK787" s="106"/>
      <c r="CL787" s="138"/>
      <c r="CM787" s="138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55"/>
      <c r="DH787" s="53"/>
      <c r="DL787" s="54"/>
      <c r="DM787" s="54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L787" s="55"/>
      <c r="EM787" s="1"/>
      <c r="EN787" s="106"/>
      <c r="EO787" s="106"/>
      <c r="EP787" s="1"/>
      <c r="EQ787" s="106"/>
      <c r="ER787" s="1"/>
      <c r="ES787" s="1"/>
      <c r="ET787" s="1"/>
      <c r="EU787" s="108"/>
    </row>
    <row r="788" spans="9:151">
      <c r="I788" s="137"/>
      <c r="J788" s="138"/>
      <c r="K788" s="1"/>
      <c r="L788" s="1"/>
      <c r="Q788" s="1"/>
      <c r="R788" s="1"/>
      <c r="S788" s="106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55"/>
      <c r="AN788" s="106"/>
      <c r="AO788" s="106"/>
      <c r="AP788" s="106"/>
      <c r="AQ788" s="106"/>
      <c r="AR788" s="106"/>
      <c r="AS788" s="31"/>
      <c r="AT788" s="31"/>
      <c r="AU788" s="31"/>
      <c r="AV788" s="30"/>
      <c r="AW788" s="30"/>
      <c r="AX788" s="106"/>
      <c r="AY788" s="106"/>
      <c r="AZ788" s="106"/>
      <c r="BA788" s="106"/>
      <c r="BB788" s="106"/>
      <c r="BC788" s="106"/>
      <c r="BD788" s="107"/>
      <c r="BE788" s="105"/>
      <c r="BF788" s="105"/>
      <c r="BG788" s="105"/>
      <c r="BH788" s="107"/>
      <c r="BI788" s="160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7"/>
      <c r="BX788" s="107"/>
      <c r="BY788" s="107"/>
      <c r="BZ788" s="107"/>
      <c r="CA788" s="107"/>
      <c r="CB788" s="107"/>
      <c r="CC788" s="107"/>
      <c r="CD788" s="107"/>
      <c r="CE788" s="107"/>
      <c r="CF788" s="107"/>
      <c r="CG788" s="106"/>
      <c r="CH788" s="106"/>
      <c r="CI788" s="106"/>
      <c r="CJ788" s="106"/>
      <c r="CK788" s="106"/>
      <c r="CL788" s="138"/>
      <c r="CM788" s="138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55"/>
      <c r="DH788" s="53"/>
      <c r="DL788" s="54"/>
      <c r="DM788" s="54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L788" s="55"/>
      <c r="EM788" s="1"/>
      <c r="EN788" s="106"/>
      <c r="EO788" s="106"/>
      <c r="EP788" s="1"/>
      <c r="EQ788" s="106"/>
      <c r="ER788" s="1"/>
      <c r="ES788" s="1"/>
      <c r="ET788" s="1"/>
      <c r="EU788" s="108"/>
    </row>
    <row r="789" spans="9:151">
      <c r="I789" s="137"/>
      <c r="J789" s="138"/>
      <c r="K789" s="1"/>
      <c r="L789" s="1"/>
      <c r="Q789" s="1"/>
      <c r="R789" s="1"/>
      <c r="S789" s="106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55"/>
      <c r="AN789" s="106"/>
      <c r="AO789" s="106"/>
      <c r="AP789" s="106"/>
      <c r="AQ789" s="106"/>
      <c r="AR789" s="106"/>
      <c r="AS789" s="31"/>
      <c r="AT789" s="31"/>
      <c r="AU789" s="31"/>
      <c r="AV789" s="30"/>
      <c r="AW789" s="30"/>
      <c r="AX789" s="106"/>
      <c r="AY789" s="106"/>
      <c r="AZ789" s="106"/>
      <c r="BA789" s="106"/>
      <c r="BB789" s="106"/>
      <c r="BC789" s="106"/>
      <c r="BD789" s="107"/>
      <c r="BE789" s="105"/>
      <c r="BF789" s="105"/>
      <c r="BG789" s="105"/>
      <c r="BH789" s="107"/>
      <c r="BI789" s="160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7"/>
      <c r="BX789" s="107"/>
      <c r="BY789" s="107"/>
      <c r="BZ789" s="107"/>
      <c r="CA789" s="107"/>
      <c r="CB789" s="107"/>
      <c r="CC789" s="107"/>
      <c r="CD789" s="107"/>
      <c r="CE789" s="107"/>
      <c r="CF789" s="107"/>
      <c r="CG789" s="106"/>
      <c r="CH789" s="106"/>
      <c r="CI789" s="106"/>
      <c r="CJ789" s="106"/>
      <c r="CK789" s="106"/>
      <c r="CL789" s="138"/>
      <c r="CM789" s="138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55"/>
      <c r="DH789" s="53"/>
      <c r="DL789" s="54"/>
      <c r="DM789" s="54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L789" s="55"/>
      <c r="EM789" s="1"/>
      <c r="EN789" s="106"/>
      <c r="EO789" s="106"/>
      <c r="EP789" s="1"/>
      <c r="EQ789" s="106"/>
      <c r="ER789" s="1"/>
      <c r="ES789" s="1"/>
      <c r="ET789" s="1"/>
      <c r="EU789" s="108"/>
    </row>
    <row r="790" spans="9:151">
      <c r="I790" s="137"/>
      <c r="J790" s="138"/>
      <c r="K790" s="1"/>
      <c r="L790" s="1"/>
      <c r="Q790" s="1"/>
      <c r="R790" s="1"/>
      <c r="S790" s="106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55"/>
      <c r="AN790" s="106"/>
      <c r="AO790" s="106"/>
      <c r="AP790" s="106"/>
      <c r="AQ790" s="106"/>
      <c r="AR790" s="106"/>
      <c r="AS790" s="31"/>
      <c r="AT790" s="31"/>
      <c r="AU790" s="31"/>
      <c r="AV790" s="30"/>
      <c r="AW790" s="30"/>
      <c r="AX790" s="106"/>
      <c r="AY790" s="106"/>
      <c r="AZ790" s="106"/>
      <c r="BA790" s="106"/>
      <c r="BB790" s="106"/>
      <c r="BC790" s="106"/>
      <c r="BD790" s="107"/>
      <c r="BE790" s="105"/>
      <c r="BF790" s="105"/>
      <c r="BG790" s="105"/>
      <c r="BH790" s="107"/>
      <c r="BI790" s="160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7"/>
      <c r="BX790" s="107"/>
      <c r="BY790" s="107"/>
      <c r="BZ790" s="107"/>
      <c r="CA790" s="107"/>
      <c r="CB790" s="107"/>
      <c r="CC790" s="107"/>
      <c r="CD790" s="107"/>
      <c r="CE790" s="107"/>
      <c r="CF790" s="107"/>
      <c r="CG790" s="106"/>
      <c r="CH790" s="106"/>
      <c r="CI790" s="106"/>
      <c r="CJ790" s="106"/>
      <c r="CK790" s="106"/>
      <c r="CL790" s="138"/>
      <c r="CM790" s="138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55"/>
      <c r="DH790" s="53"/>
      <c r="DL790" s="54"/>
      <c r="DM790" s="54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L790" s="55"/>
      <c r="EM790" s="1"/>
      <c r="EN790" s="106"/>
      <c r="EO790" s="106"/>
      <c r="EP790" s="1"/>
      <c r="EQ790" s="106"/>
      <c r="ER790" s="1"/>
      <c r="ES790" s="1"/>
      <c r="ET790" s="1"/>
      <c r="EU790" s="108"/>
    </row>
    <row r="791" spans="9:151">
      <c r="I791" s="137"/>
      <c r="J791" s="138"/>
      <c r="K791" s="1"/>
      <c r="L791" s="1"/>
      <c r="Q791" s="1"/>
      <c r="R791" s="1"/>
      <c r="S791" s="106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55"/>
      <c r="AN791" s="106"/>
      <c r="AO791" s="106"/>
      <c r="AP791" s="106"/>
      <c r="AQ791" s="106"/>
      <c r="AR791" s="106"/>
      <c r="AS791" s="31"/>
      <c r="AT791" s="31"/>
      <c r="AU791" s="31"/>
      <c r="AV791" s="30"/>
      <c r="AW791" s="30"/>
      <c r="AX791" s="106"/>
      <c r="AY791" s="106"/>
      <c r="AZ791" s="106"/>
      <c r="BA791" s="106"/>
      <c r="BB791" s="106"/>
      <c r="BC791" s="106"/>
      <c r="BD791" s="107"/>
      <c r="BE791" s="105"/>
      <c r="BF791" s="105"/>
      <c r="BG791" s="105"/>
      <c r="BH791" s="107"/>
      <c r="BI791" s="160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7"/>
      <c r="BX791" s="107"/>
      <c r="BY791" s="107"/>
      <c r="BZ791" s="107"/>
      <c r="CA791" s="107"/>
      <c r="CB791" s="107"/>
      <c r="CC791" s="107"/>
      <c r="CD791" s="107"/>
      <c r="CE791" s="107"/>
      <c r="CF791" s="107"/>
      <c r="CG791" s="106"/>
      <c r="CH791" s="106"/>
      <c r="CI791" s="106"/>
      <c r="CJ791" s="106"/>
      <c r="CK791" s="106"/>
      <c r="CL791" s="138"/>
      <c r="CM791" s="138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55"/>
      <c r="DH791" s="53"/>
      <c r="DL791" s="54"/>
      <c r="DM791" s="54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L791" s="55"/>
      <c r="EM791" s="1"/>
      <c r="EN791" s="106"/>
      <c r="EO791" s="106"/>
      <c r="EP791" s="1"/>
      <c r="EQ791" s="106"/>
      <c r="ER791" s="1"/>
      <c r="ES791" s="1"/>
      <c r="ET791" s="1"/>
      <c r="EU791" s="108"/>
    </row>
    <row r="792" spans="9:151">
      <c r="I792" s="137"/>
      <c r="J792" s="138"/>
      <c r="K792" s="1"/>
      <c r="L792" s="1"/>
      <c r="Q792" s="1"/>
      <c r="R792" s="1"/>
      <c r="S792" s="106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55"/>
      <c r="AN792" s="106"/>
      <c r="AO792" s="106"/>
      <c r="AP792" s="106"/>
      <c r="AQ792" s="106"/>
      <c r="AR792" s="106"/>
      <c r="AS792" s="31"/>
      <c r="AT792" s="31"/>
      <c r="AU792" s="31"/>
      <c r="AV792" s="30"/>
      <c r="AW792" s="30"/>
      <c r="AX792" s="106"/>
      <c r="AY792" s="106"/>
      <c r="AZ792" s="106"/>
      <c r="BA792" s="106"/>
      <c r="BB792" s="106"/>
      <c r="BC792" s="106"/>
      <c r="BD792" s="107"/>
      <c r="BE792" s="105"/>
      <c r="BF792" s="105"/>
      <c r="BG792" s="105"/>
      <c r="BH792" s="107"/>
      <c r="BI792" s="160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7"/>
      <c r="BX792" s="107"/>
      <c r="BY792" s="107"/>
      <c r="BZ792" s="107"/>
      <c r="CA792" s="107"/>
      <c r="CB792" s="107"/>
      <c r="CC792" s="107"/>
      <c r="CD792" s="107"/>
      <c r="CE792" s="107"/>
      <c r="CF792" s="107"/>
      <c r="CG792" s="106"/>
      <c r="CH792" s="106"/>
      <c r="CI792" s="106"/>
      <c r="CJ792" s="106"/>
      <c r="CK792" s="106"/>
      <c r="CL792" s="138"/>
      <c r="CM792" s="138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55"/>
      <c r="DH792" s="53"/>
      <c r="DL792" s="54"/>
      <c r="DM792" s="54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L792" s="55"/>
      <c r="EM792" s="1"/>
      <c r="EN792" s="106"/>
      <c r="EO792" s="106"/>
      <c r="EP792" s="1"/>
      <c r="EQ792" s="106"/>
      <c r="ER792" s="1"/>
      <c r="ES792" s="1"/>
      <c r="ET792" s="1"/>
      <c r="EU792" s="108"/>
    </row>
    <row r="793" spans="9:151">
      <c r="I793" s="137"/>
      <c r="J793" s="138"/>
      <c r="K793" s="1"/>
      <c r="L793" s="1"/>
      <c r="Q793" s="1"/>
      <c r="R793" s="1"/>
      <c r="S793" s="106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55"/>
      <c r="AN793" s="106"/>
      <c r="AO793" s="106"/>
      <c r="AP793" s="106"/>
      <c r="AQ793" s="106"/>
      <c r="AR793" s="106"/>
      <c r="AS793" s="31"/>
      <c r="AT793" s="31"/>
      <c r="AU793" s="31"/>
      <c r="AV793" s="30"/>
      <c r="AW793" s="30"/>
      <c r="AX793" s="106"/>
      <c r="AY793" s="106"/>
      <c r="AZ793" s="106"/>
      <c r="BA793" s="106"/>
      <c r="BB793" s="106"/>
      <c r="BC793" s="106"/>
      <c r="BD793" s="107"/>
      <c r="BE793" s="105"/>
      <c r="BF793" s="105"/>
      <c r="BG793" s="105"/>
      <c r="BH793" s="107"/>
      <c r="BI793" s="160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7"/>
      <c r="BX793" s="107"/>
      <c r="BY793" s="107"/>
      <c r="BZ793" s="107"/>
      <c r="CA793" s="107"/>
      <c r="CB793" s="107"/>
      <c r="CC793" s="107"/>
      <c r="CD793" s="107"/>
      <c r="CE793" s="107"/>
      <c r="CF793" s="107"/>
      <c r="CG793" s="106"/>
      <c r="CH793" s="106"/>
      <c r="CI793" s="106"/>
      <c r="CJ793" s="106"/>
      <c r="CK793" s="106"/>
      <c r="CL793" s="138"/>
      <c r="CM793" s="138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55"/>
      <c r="DH793" s="53"/>
      <c r="DL793" s="54"/>
      <c r="DM793" s="54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L793" s="55"/>
      <c r="EM793" s="1"/>
      <c r="EN793" s="106"/>
      <c r="EO793" s="106"/>
      <c r="EP793" s="1"/>
      <c r="EQ793" s="106"/>
      <c r="ER793" s="1"/>
      <c r="ES793" s="1"/>
      <c r="ET793" s="1"/>
      <c r="EU793" s="108"/>
    </row>
    <row r="794" spans="9:151">
      <c r="I794" s="137"/>
      <c r="J794" s="138"/>
      <c r="K794" s="1"/>
      <c r="L794" s="1"/>
      <c r="Q794" s="1"/>
      <c r="R794" s="1"/>
      <c r="S794" s="106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55"/>
      <c r="AN794" s="106"/>
      <c r="AO794" s="106"/>
      <c r="AP794" s="106"/>
      <c r="AQ794" s="106"/>
      <c r="AR794" s="106"/>
      <c r="AS794" s="31"/>
      <c r="AT794" s="31"/>
      <c r="AU794" s="31"/>
      <c r="AV794" s="30"/>
      <c r="AW794" s="30"/>
      <c r="AX794" s="106"/>
      <c r="AY794" s="106"/>
      <c r="AZ794" s="106"/>
      <c r="BA794" s="106"/>
      <c r="BB794" s="106"/>
      <c r="BC794" s="106"/>
      <c r="BD794" s="107"/>
      <c r="BE794" s="105"/>
      <c r="BF794" s="105"/>
      <c r="BG794" s="105"/>
      <c r="BH794" s="107"/>
      <c r="BI794" s="160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7"/>
      <c r="BX794" s="107"/>
      <c r="BY794" s="107"/>
      <c r="BZ794" s="107"/>
      <c r="CA794" s="107"/>
      <c r="CB794" s="107"/>
      <c r="CC794" s="107"/>
      <c r="CD794" s="107"/>
      <c r="CE794" s="107"/>
      <c r="CF794" s="107"/>
      <c r="CG794" s="106"/>
      <c r="CH794" s="106"/>
      <c r="CI794" s="106"/>
      <c r="CJ794" s="106"/>
      <c r="CK794" s="106"/>
      <c r="CL794" s="138"/>
      <c r="CM794" s="138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55"/>
      <c r="DH794" s="53"/>
      <c r="DL794" s="54"/>
      <c r="DM794" s="54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L794" s="55"/>
      <c r="EM794" s="1"/>
      <c r="EN794" s="106"/>
      <c r="EO794" s="106"/>
      <c r="EP794" s="1"/>
      <c r="EQ794" s="106"/>
      <c r="ER794" s="1"/>
      <c r="ES794" s="1"/>
      <c r="ET794" s="1"/>
      <c r="EU794" s="108"/>
    </row>
    <row r="795" spans="9:151">
      <c r="I795" s="137"/>
      <c r="J795" s="138"/>
      <c r="K795" s="1"/>
      <c r="L795" s="1"/>
      <c r="Q795" s="1"/>
      <c r="R795" s="1"/>
      <c r="S795" s="106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55"/>
      <c r="AN795" s="106"/>
      <c r="AO795" s="106"/>
      <c r="AP795" s="106"/>
      <c r="AQ795" s="106"/>
      <c r="AR795" s="106"/>
      <c r="AS795" s="31"/>
      <c r="AT795" s="31"/>
      <c r="AU795" s="31"/>
      <c r="AV795" s="30"/>
      <c r="AW795" s="30"/>
      <c r="AX795" s="106"/>
      <c r="AY795" s="106"/>
      <c r="AZ795" s="106"/>
      <c r="BA795" s="106"/>
      <c r="BB795" s="106"/>
      <c r="BC795" s="106"/>
      <c r="BD795" s="107"/>
      <c r="BE795" s="105"/>
      <c r="BF795" s="105"/>
      <c r="BG795" s="105"/>
      <c r="BH795" s="107"/>
      <c r="BI795" s="160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7"/>
      <c r="BX795" s="107"/>
      <c r="BY795" s="107"/>
      <c r="BZ795" s="107"/>
      <c r="CA795" s="107"/>
      <c r="CB795" s="107"/>
      <c r="CC795" s="107"/>
      <c r="CD795" s="107"/>
      <c r="CE795" s="107"/>
      <c r="CF795" s="107"/>
      <c r="CG795" s="106"/>
      <c r="CH795" s="106"/>
      <c r="CI795" s="106"/>
      <c r="CJ795" s="106"/>
      <c r="CK795" s="106"/>
      <c r="CL795" s="138"/>
      <c r="CM795" s="138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55"/>
      <c r="DH795" s="53"/>
      <c r="DL795" s="54"/>
      <c r="DM795" s="54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L795" s="55"/>
      <c r="EM795" s="1"/>
      <c r="EN795" s="106"/>
      <c r="EO795" s="106"/>
      <c r="EP795" s="1"/>
      <c r="EQ795" s="106"/>
      <c r="ER795" s="1"/>
      <c r="ES795" s="1"/>
      <c r="ET795" s="1"/>
      <c r="EU795" s="108"/>
    </row>
    <row r="796" spans="9:151">
      <c r="I796" s="137"/>
      <c r="J796" s="138"/>
      <c r="K796" s="1"/>
      <c r="L796" s="1"/>
      <c r="Q796" s="1"/>
      <c r="R796" s="1"/>
      <c r="S796" s="106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55"/>
      <c r="AN796" s="106"/>
      <c r="AO796" s="106"/>
      <c r="AP796" s="106"/>
      <c r="AQ796" s="106"/>
      <c r="AR796" s="106"/>
      <c r="AS796" s="31"/>
      <c r="AT796" s="31"/>
      <c r="AU796" s="31"/>
      <c r="AV796" s="30"/>
      <c r="AW796" s="30"/>
      <c r="AX796" s="106"/>
      <c r="AY796" s="106"/>
      <c r="AZ796" s="106"/>
      <c r="BA796" s="106"/>
      <c r="BB796" s="106"/>
      <c r="BC796" s="106"/>
      <c r="BD796" s="107"/>
      <c r="BE796" s="105"/>
      <c r="BF796" s="105"/>
      <c r="BG796" s="105"/>
      <c r="BH796" s="107"/>
      <c r="BI796" s="160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7"/>
      <c r="BX796" s="107"/>
      <c r="BY796" s="107"/>
      <c r="BZ796" s="107"/>
      <c r="CA796" s="107"/>
      <c r="CB796" s="107"/>
      <c r="CC796" s="107"/>
      <c r="CD796" s="107"/>
      <c r="CE796" s="107"/>
      <c r="CF796" s="107"/>
      <c r="CG796" s="106"/>
      <c r="CH796" s="106"/>
      <c r="CI796" s="106"/>
      <c r="CJ796" s="106"/>
      <c r="CK796" s="106"/>
      <c r="CL796" s="138"/>
      <c r="CM796" s="138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55"/>
      <c r="DH796" s="53"/>
      <c r="DL796" s="54"/>
      <c r="DM796" s="54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L796" s="55"/>
      <c r="EM796" s="1"/>
      <c r="EN796" s="106"/>
      <c r="EO796" s="106"/>
      <c r="EP796" s="1"/>
      <c r="EQ796" s="106"/>
      <c r="ER796" s="1"/>
      <c r="ES796" s="1"/>
      <c r="ET796" s="1"/>
      <c r="EU796" s="108"/>
    </row>
    <row r="797" spans="9:151">
      <c r="I797" s="137"/>
      <c r="J797" s="138"/>
      <c r="K797" s="1"/>
      <c r="L797" s="1"/>
      <c r="Q797" s="1"/>
      <c r="R797" s="1"/>
      <c r="S797" s="106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55"/>
      <c r="AN797" s="106"/>
      <c r="AO797" s="106"/>
      <c r="AP797" s="106"/>
      <c r="AQ797" s="106"/>
      <c r="AR797" s="106"/>
      <c r="AS797" s="31"/>
      <c r="AT797" s="31"/>
      <c r="AU797" s="31"/>
      <c r="AV797" s="30"/>
      <c r="AW797" s="30"/>
      <c r="AX797" s="106"/>
      <c r="AY797" s="106"/>
      <c r="AZ797" s="106"/>
      <c r="BA797" s="106"/>
      <c r="BB797" s="106"/>
      <c r="BC797" s="106"/>
      <c r="BD797" s="107"/>
      <c r="BE797" s="105"/>
      <c r="BF797" s="105"/>
      <c r="BG797" s="105"/>
      <c r="BH797" s="107"/>
      <c r="BI797" s="160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7"/>
      <c r="BX797" s="107"/>
      <c r="BY797" s="107"/>
      <c r="BZ797" s="107"/>
      <c r="CA797" s="107"/>
      <c r="CB797" s="107"/>
      <c r="CC797" s="107"/>
      <c r="CD797" s="107"/>
      <c r="CE797" s="107"/>
      <c r="CF797" s="107"/>
      <c r="CG797" s="106"/>
      <c r="CH797" s="106"/>
      <c r="CI797" s="106"/>
      <c r="CJ797" s="106"/>
      <c r="CK797" s="106"/>
      <c r="CL797" s="138"/>
      <c r="CM797" s="138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55"/>
      <c r="DH797" s="53"/>
      <c r="DL797" s="54"/>
      <c r="DM797" s="54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L797" s="55"/>
      <c r="EM797" s="1"/>
      <c r="EN797" s="106"/>
      <c r="EO797" s="106"/>
      <c r="EP797" s="1"/>
      <c r="EQ797" s="106"/>
      <c r="ER797" s="1"/>
      <c r="ES797" s="1"/>
      <c r="ET797" s="1"/>
      <c r="EU797" s="108"/>
    </row>
    <row r="798" spans="9:151">
      <c r="I798" s="137"/>
      <c r="J798" s="138"/>
      <c r="K798" s="1"/>
      <c r="L798" s="1"/>
      <c r="Q798" s="1"/>
      <c r="R798" s="1"/>
      <c r="S798" s="106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55"/>
      <c r="AN798" s="106"/>
      <c r="AO798" s="106"/>
      <c r="AP798" s="106"/>
      <c r="AQ798" s="106"/>
      <c r="AR798" s="106"/>
      <c r="AS798" s="31"/>
      <c r="AT798" s="31"/>
      <c r="AU798" s="31"/>
      <c r="AV798" s="30"/>
      <c r="AW798" s="30"/>
      <c r="AX798" s="106"/>
      <c r="AY798" s="106"/>
      <c r="AZ798" s="106"/>
      <c r="BA798" s="106"/>
      <c r="BB798" s="106"/>
      <c r="BC798" s="106"/>
      <c r="BD798" s="107"/>
      <c r="BE798" s="105"/>
      <c r="BF798" s="105"/>
      <c r="BG798" s="105"/>
      <c r="BH798" s="107"/>
      <c r="BI798" s="160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7"/>
      <c r="BX798" s="107"/>
      <c r="BY798" s="107"/>
      <c r="BZ798" s="107"/>
      <c r="CA798" s="107"/>
      <c r="CB798" s="107"/>
      <c r="CC798" s="107"/>
      <c r="CD798" s="107"/>
      <c r="CE798" s="107"/>
      <c r="CF798" s="107"/>
      <c r="CG798" s="106"/>
      <c r="CH798" s="106"/>
      <c r="CI798" s="106"/>
      <c r="CJ798" s="106"/>
      <c r="CK798" s="106"/>
      <c r="CL798" s="138"/>
      <c r="CM798" s="138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55"/>
      <c r="DH798" s="53"/>
      <c r="DL798" s="54"/>
      <c r="DM798" s="54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L798" s="55"/>
      <c r="EM798" s="1"/>
      <c r="EN798" s="106"/>
      <c r="EO798" s="106"/>
      <c r="EP798" s="1"/>
      <c r="EQ798" s="106"/>
      <c r="ER798" s="1"/>
      <c r="ES798" s="1"/>
      <c r="ET798" s="1"/>
      <c r="EU798" s="108"/>
    </row>
    <row r="799" spans="9:151">
      <c r="I799" s="137"/>
      <c r="J799" s="138"/>
      <c r="K799" s="1"/>
      <c r="L799" s="1"/>
      <c r="Q799" s="1"/>
      <c r="R799" s="1"/>
      <c r="S799" s="106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55"/>
      <c r="AN799" s="106"/>
      <c r="AO799" s="106"/>
      <c r="AP799" s="106"/>
      <c r="AQ799" s="106"/>
      <c r="AR799" s="106"/>
      <c r="AS799" s="31"/>
      <c r="AT799" s="31"/>
      <c r="AU799" s="31"/>
      <c r="AV799" s="30"/>
      <c r="AW799" s="30"/>
      <c r="AX799" s="106"/>
      <c r="AY799" s="106"/>
      <c r="AZ799" s="106"/>
      <c r="BA799" s="106"/>
      <c r="BB799" s="106"/>
      <c r="BC799" s="106"/>
      <c r="BD799" s="107"/>
      <c r="BE799" s="105"/>
      <c r="BF799" s="105"/>
      <c r="BG799" s="105"/>
      <c r="BH799" s="107"/>
      <c r="BI799" s="160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7"/>
      <c r="BX799" s="107"/>
      <c r="BY799" s="107"/>
      <c r="BZ799" s="107"/>
      <c r="CA799" s="107"/>
      <c r="CB799" s="107"/>
      <c r="CC799" s="107"/>
      <c r="CD799" s="107"/>
      <c r="CE799" s="107"/>
      <c r="CF799" s="107"/>
      <c r="CG799" s="106"/>
      <c r="CH799" s="106"/>
      <c r="CI799" s="106"/>
      <c r="CJ799" s="106"/>
      <c r="CK799" s="106"/>
      <c r="CL799" s="138"/>
      <c r="CM799" s="138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55"/>
      <c r="DH799" s="53"/>
      <c r="DL799" s="54"/>
      <c r="DM799" s="54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L799" s="55"/>
      <c r="EM799" s="1"/>
      <c r="EN799" s="106"/>
      <c r="EO799" s="106"/>
      <c r="EP799" s="1"/>
      <c r="EQ799" s="106"/>
      <c r="ER799" s="1"/>
      <c r="ES799" s="1"/>
      <c r="ET799" s="1"/>
      <c r="EU799" s="108"/>
    </row>
    <row r="800" spans="9:151">
      <c r="I800" s="137"/>
      <c r="J800" s="138"/>
      <c r="K800" s="1"/>
      <c r="L800" s="1"/>
      <c r="Q800" s="1"/>
      <c r="R800" s="1"/>
      <c r="S800" s="106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55"/>
      <c r="AN800" s="106"/>
      <c r="AO800" s="106"/>
      <c r="AP800" s="106"/>
      <c r="AQ800" s="106"/>
      <c r="AR800" s="106"/>
      <c r="AS800" s="31"/>
      <c r="AT800" s="31"/>
      <c r="AU800" s="31"/>
      <c r="AV800" s="30"/>
      <c r="AW800" s="30"/>
      <c r="AX800" s="106"/>
      <c r="AY800" s="106"/>
      <c r="AZ800" s="106"/>
      <c r="BA800" s="106"/>
      <c r="BB800" s="106"/>
      <c r="BC800" s="106"/>
      <c r="BD800" s="107"/>
      <c r="BE800" s="105"/>
      <c r="BF800" s="105"/>
      <c r="BG800" s="105"/>
      <c r="BH800" s="107"/>
      <c r="BI800" s="160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7"/>
      <c r="BX800" s="107"/>
      <c r="BY800" s="107"/>
      <c r="BZ800" s="107"/>
      <c r="CA800" s="107"/>
      <c r="CB800" s="107"/>
      <c r="CC800" s="107"/>
      <c r="CD800" s="107"/>
      <c r="CE800" s="107"/>
      <c r="CF800" s="107"/>
      <c r="CG800" s="106"/>
      <c r="CH800" s="106"/>
      <c r="CI800" s="106"/>
      <c r="CJ800" s="106"/>
      <c r="CK800" s="106"/>
      <c r="CL800" s="138"/>
      <c r="CM800" s="138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55"/>
      <c r="DH800" s="53"/>
      <c r="DL800" s="54"/>
      <c r="DM800" s="54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L800" s="55"/>
      <c r="EM800" s="1"/>
      <c r="EN800" s="106"/>
      <c r="EO800" s="106"/>
      <c r="EP800" s="1"/>
      <c r="EQ800" s="106"/>
      <c r="ER800" s="1"/>
      <c r="ES800" s="1"/>
      <c r="ET800" s="1"/>
      <c r="EU800" s="108"/>
    </row>
    <row r="801" spans="9:149">
      <c r="I801" s="137"/>
      <c r="J801" s="138"/>
      <c r="K801" s="1"/>
      <c r="L801" s="1"/>
      <c r="Q801" s="1"/>
      <c r="R801" s="1"/>
      <c r="S801" s="106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55"/>
      <c r="AN801" s="106"/>
      <c r="AO801" s="106"/>
      <c r="AP801" s="106"/>
      <c r="AQ801" s="31"/>
      <c r="AR801" s="31"/>
      <c r="AS801" s="31"/>
      <c r="AT801" s="30"/>
      <c r="AU801" s="30"/>
      <c r="AV801" s="106"/>
      <c r="AW801" s="106"/>
      <c r="AX801" s="106"/>
      <c r="AY801" s="106"/>
      <c r="AZ801" s="106"/>
      <c r="BA801" s="106"/>
      <c r="BB801" s="107"/>
      <c r="BC801" s="105"/>
      <c r="BD801" s="105"/>
      <c r="BE801" s="105"/>
      <c r="BF801" s="107"/>
      <c r="BG801" s="160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7"/>
      <c r="BV801" s="107"/>
      <c r="BW801" s="107"/>
      <c r="BX801" s="107"/>
      <c r="BY801" s="107"/>
      <c r="BZ801" s="107"/>
      <c r="CA801" s="107"/>
      <c r="CB801" s="107"/>
      <c r="CC801" s="107"/>
      <c r="CD801" s="107"/>
      <c r="CE801" s="106"/>
      <c r="CF801" s="106"/>
      <c r="CG801" s="106"/>
      <c r="CH801" s="106"/>
      <c r="CI801" s="106"/>
      <c r="CJ801" s="138"/>
      <c r="CK801" s="138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K801" s="1"/>
      <c r="EL801" s="106"/>
      <c r="EM801" s="106"/>
      <c r="EN801" s="1"/>
      <c r="EO801" s="106"/>
      <c r="EP801" s="1"/>
      <c r="EQ801" s="1"/>
      <c r="ER801" s="1"/>
      <c r="ES801" s="108"/>
    </row>
    <row r="802" spans="9:149">
      <c r="I802" s="137"/>
      <c r="J802" s="138"/>
      <c r="K802" s="1"/>
      <c r="L802" s="1"/>
      <c r="Q802" s="1"/>
      <c r="R802" s="1"/>
      <c r="S802" s="106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55"/>
      <c r="AN802" s="106"/>
      <c r="AO802" s="106"/>
      <c r="AP802" s="106"/>
      <c r="AQ802" s="31"/>
      <c r="AR802" s="31"/>
      <c r="AS802" s="31"/>
      <c r="AT802" s="30"/>
      <c r="AU802" s="30"/>
      <c r="AV802" s="106"/>
      <c r="AW802" s="106"/>
      <c r="AX802" s="106"/>
      <c r="AY802" s="106"/>
      <c r="AZ802" s="106"/>
      <c r="BA802" s="106"/>
      <c r="BB802" s="107"/>
      <c r="BC802" s="105"/>
      <c r="BD802" s="105"/>
      <c r="BE802" s="105"/>
      <c r="BF802" s="107"/>
      <c r="BG802" s="160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7"/>
      <c r="BV802" s="107"/>
      <c r="BW802" s="107"/>
      <c r="BX802" s="107"/>
      <c r="BY802" s="107"/>
      <c r="BZ802" s="107"/>
      <c r="CA802" s="107"/>
      <c r="CB802" s="107"/>
      <c r="CC802" s="107"/>
      <c r="CD802" s="107"/>
      <c r="CE802" s="106"/>
      <c r="CF802" s="106"/>
      <c r="CG802" s="106"/>
      <c r="CH802" s="106"/>
      <c r="CI802" s="106"/>
      <c r="CJ802" s="138"/>
      <c r="CK802" s="138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K802" s="1"/>
      <c r="EL802" s="106"/>
      <c r="EM802" s="106"/>
      <c r="EN802" s="1"/>
      <c r="EO802" s="106"/>
      <c r="EP802" s="1"/>
      <c r="EQ802" s="1"/>
      <c r="ER802" s="1"/>
      <c r="ES802" s="108"/>
    </row>
    <row r="803" spans="9:149">
      <c r="I803" s="137"/>
      <c r="J803" s="138"/>
      <c r="K803" s="1"/>
      <c r="L803" s="1"/>
      <c r="Q803" s="1"/>
      <c r="R803" s="1"/>
      <c r="S803" s="106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55"/>
      <c r="AN803" s="106"/>
      <c r="AO803" s="106"/>
      <c r="AP803" s="106"/>
      <c r="AQ803" s="31"/>
      <c r="AR803" s="31"/>
      <c r="AS803" s="31"/>
      <c r="AT803" s="30"/>
      <c r="AU803" s="30"/>
      <c r="AV803" s="106"/>
      <c r="AW803" s="106"/>
      <c r="AX803" s="106"/>
      <c r="AY803" s="106"/>
      <c r="AZ803" s="106"/>
      <c r="BA803" s="106"/>
      <c r="BB803" s="107"/>
      <c r="BC803" s="105"/>
      <c r="BD803" s="105"/>
      <c r="BE803" s="105"/>
      <c r="BF803" s="107"/>
      <c r="BG803" s="160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7"/>
      <c r="BV803" s="107"/>
      <c r="BW803" s="107"/>
      <c r="BX803" s="107"/>
      <c r="BY803" s="107"/>
      <c r="BZ803" s="107"/>
      <c r="CA803" s="107"/>
      <c r="CB803" s="107"/>
      <c r="CC803" s="107"/>
      <c r="CD803" s="107"/>
      <c r="CE803" s="106"/>
      <c r="CF803" s="106"/>
      <c r="CG803" s="106"/>
      <c r="CH803" s="106"/>
      <c r="CI803" s="106"/>
      <c r="CJ803" s="138"/>
      <c r="CK803" s="138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K803" s="1"/>
      <c r="EL803" s="106"/>
      <c r="EM803" s="106"/>
      <c r="EN803" s="1"/>
      <c r="EO803" s="106"/>
      <c r="EP803" s="1"/>
      <c r="EQ803" s="1"/>
      <c r="ER803" s="1"/>
      <c r="ES803" s="108"/>
    </row>
    <row r="804" spans="9:149">
      <c r="I804" s="137"/>
      <c r="J804" s="138"/>
      <c r="K804" s="1"/>
      <c r="L804" s="1"/>
      <c r="Q804" s="1"/>
      <c r="R804" s="1"/>
      <c r="S804" s="106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55"/>
      <c r="AN804" s="106"/>
      <c r="AO804" s="106"/>
      <c r="AP804" s="106"/>
      <c r="AQ804" s="31"/>
      <c r="AR804" s="31"/>
      <c r="AS804" s="31"/>
      <c r="AT804" s="30"/>
      <c r="AU804" s="30"/>
      <c r="AV804" s="106"/>
      <c r="AW804" s="106"/>
      <c r="AX804" s="106"/>
      <c r="AY804" s="106"/>
      <c r="AZ804" s="106"/>
      <c r="BA804" s="106"/>
      <c r="BB804" s="107"/>
      <c r="BC804" s="105"/>
      <c r="BD804" s="105"/>
      <c r="BE804" s="105"/>
      <c r="BF804" s="107"/>
      <c r="BG804" s="160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7"/>
      <c r="BV804" s="107"/>
      <c r="BW804" s="107"/>
      <c r="BX804" s="107"/>
      <c r="BY804" s="107"/>
      <c r="BZ804" s="107"/>
      <c r="CA804" s="107"/>
      <c r="CB804" s="107"/>
      <c r="CC804" s="107"/>
      <c r="CD804" s="107"/>
      <c r="CE804" s="106"/>
      <c r="CF804" s="106"/>
      <c r="CG804" s="106"/>
      <c r="CH804" s="106"/>
      <c r="CI804" s="106"/>
      <c r="CJ804" s="138"/>
      <c r="CK804" s="138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K804" s="1"/>
      <c r="EL804" s="106"/>
      <c r="EM804" s="106"/>
      <c r="EN804" s="1"/>
      <c r="EO804" s="106"/>
      <c r="EP804" s="1"/>
      <c r="EQ804" s="1"/>
      <c r="ER804" s="1"/>
      <c r="ES804" s="108"/>
    </row>
    <row r="805" spans="9:149">
      <c r="I805" s="137"/>
      <c r="J805" s="138"/>
      <c r="K805" s="1"/>
      <c r="L805" s="1"/>
      <c r="Q805" s="1"/>
      <c r="R805" s="1"/>
      <c r="S805" s="106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55"/>
      <c r="AN805" s="106"/>
      <c r="AO805" s="106"/>
      <c r="AP805" s="106"/>
      <c r="AQ805" s="31"/>
      <c r="AR805" s="31"/>
      <c r="AS805" s="31"/>
      <c r="AT805" s="30"/>
      <c r="AU805" s="30"/>
      <c r="AV805" s="106"/>
      <c r="AW805" s="106"/>
      <c r="AX805" s="106"/>
      <c r="AY805" s="106"/>
      <c r="AZ805" s="106"/>
      <c r="BA805" s="106"/>
      <c r="BB805" s="107"/>
      <c r="BC805" s="105"/>
      <c r="BD805" s="105"/>
      <c r="BE805" s="105"/>
      <c r="BF805" s="107"/>
      <c r="BG805" s="160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7"/>
      <c r="BV805" s="107"/>
      <c r="BW805" s="107"/>
      <c r="BX805" s="107"/>
      <c r="BY805" s="107"/>
      <c r="BZ805" s="107"/>
      <c r="CA805" s="107"/>
      <c r="CB805" s="107"/>
      <c r="CC805" s="107"/>
      <c r="CD805" s="107"/>
      <c r="CE805" s="106"/>
      <c r="CF805" s="106"/>
      <c r="CG805" s="106"/>
      <c r="CH805" s="106"/>
      <c r="CI805" s="106"/>
      <c r="CJ805" s="138"/>
      <c r="CK805" s="138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K805" s="1"/>
      <c r="EL805" s="106"/>
      <c r="EM805" s="106"/>
      <c r="EN805" s="1"/>
      <c r="EO805" s="106"/>
      <c r="EP805" s="1"/>
      <c r="EQ805" s="1"/>
      <c r="ER805" s="1"/>
      <c r="ES805" s="108"/>
    </row>
    <row r="806" spans="9:149">
      <c r="I806" s="137"/>
      <c r="J806" s="138"/>
      <c r="K806" s="1"/>
      <c r="L806" s="1"/>
      <c r="Q806" s="1"/>
      <c r="R806" s="1"/>
      <c r="S806" s="106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55"/>
      <c r="AN806" s="106"/>
      <c r="AO806" s="106"/>
      <c r="AP806" s="106"/>
      <c r="AQ806" s="31"/>
      <c r="AR806" s="31"/>
      <c r="AS806" s="31"/>
      <c r="AT806" s="30"/>
      <c r="AU806" s="30"/>
      <c r="AV806" s="106"/>
      <c r="AW806" s="106"/>
      <c r="AX806" s="106"/>
      <c r="AY806" s="106"/>
      <c r="AZ806" s="106"/>
      <c r="BA806" s="106"/>
      <c r="BB806" s="107"/>
      <c r="BC806" s="105"/>
      <c r="BD806" s="105"/>
      <c r="BE806" s="105"/>
      <c r="BF806" s="107"/>
      <c r="BG806" s="160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7"/>
      <c r="BV806" s="107"/>
      <c r="BW806" s="107"/>
      <c r="BX806" s="107"/>
      <c r="BY806" s="107"/>
      <c r="BZ806" s="107"/>
      <c r="CA806" s="107"/>
      <c r="CB806" s="107"/>
      <c r="CC806" s="107"/>
      <c r="CD806" s="107"/>
      <c r="CE806" s="106"/>
      <c r="CF806" s="106"/>
      <c r="CG806" s="106"/>
      <c r="CH806" s="106"/>
      <c r="CI806" s="106"/>
      <c r="CJ806" s="138"/>
      <c r="CK806" s="138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K806" s="1"/>
      <c r="EL806" s="106"/>
      <c r="EM806" s="106"/>
      <c r="EN806" s="1"/>
      <c r="EO806" s="106"/>
      <c r="EP806" s="1"/>
      <c r="EQ806" s="1"/>
      <c r="ER806" s="1"/>
      <c r="ES806" s="108"/>
    </row>
    <row r="807" spans="9:149">
      <c r="I807" s="137"/>
      <c r="J807" s="138"/>
      <c r="K807" s="1"/>
      <c r="L807" s="1"/>
      <c r="Q807" s="1"/>
      <c r="R807" s="1"/>
      <c r="S807" s="106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55"/>
      <c r="AN807" s="106"/>
      <c r="AO807" s="106"/>
      <c r="AP807" s="106"/>
      <c r="AQ807" s="31"/>
      <c r="AR807" s="31"/>
      <c r="AS807" s="31"/>
      <c r="AT807" s="30"/>
      <c r="AU807" s="30"/>
      <c r="AV807" s="106"/>
      <c r="AW807" s="106"/>
      <c r="AX807" s="106"/>
      <c r="AY807" s="106"/>
      <c r="AZ807" s="106"/>
      <c r="BA807" s="106"/>
      <c r="BB807" s="107"/>
      <c r="BC807" s="105"/>
      <c r="BD807" s="105"/>
      <c r="BE807" s="105"/>
      <c r="BF807" s="107"/>
      <c r="BG807" s="160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7"/>
      <c r="BV807" s="107"/>
      <c r="BW807" s="107"/>
      <c r="BX807" s="107"/>
      <c r="BY807" s="107"/>
      <c r="BZ807" s="107"/>
      <c r="CA807" s="107"/>
      <c r="CB807" s="107"/>
      <c r="CC807" s="107"/>
      <c r="CD807" s="107"/>
      <c r="CE807" s="106"/>
      <c r="CF807" s="106"/>
      <c r="CG807" s="106"/>
      <c r="CH807" s="106"/>
      <c r="CI807" s="106"/>
      <c r="CJ807" s="138"/>
      <c r="CK807" s="138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K807" s="1"/>
      <c r="EL807" s="106"/>
      <c r="EM807" s="106"/>
      <c r="EN807" s="1"/>
      <c r="EO807" s="106"/>
      <c r="EP807" s="1"/>
      <c r="EQ807" s="1"/>
      <c r="ER807" s="1"/>
      <c r="ES807" s="108"/>
    </row>
    <row r="808" spans="9:149">
      <c r="I808" s="137"/>
      <c r="J808" s="138"/>
      <c r="K808" s="1"/>
      <c r="L808" s="1"/>
      <c r="Q808" s="1"/>
      <c r="R808" s="1"/>
      <c r="S808" s="106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55"/>
      <c r="AN808" s="106"/>
      <c r="AO808" s="106"/>
      <c r="AP808" s="106"/>
      <c r="AQ808" s="31"/>
      <c r="AR808" s="31"/>
      <c r="AS808" s="31"/>
      <c r="AT808" s="30"/>
      <c r="AU808" s="30"/>
      <c r="AV808" s="106"/>
      <c r="AW808" s="106"/>
      <c r="AX808" s="106"/>
      <c r="AY808" s="106"/>
      <c r="AZ808" s="106"/>
      <c r="BA808" s="106"/>
      <c r="BB808" s="107"/>
      <c r="BC808" s="105"/>
      <c r="BD808" s="105"/>
      <c r="BE808" s="105"/>
      <c r="BF808" s="107"/>
      <c r="BG808" s="160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7"/>
      <c r="BV808" s="107"/>
      <c r="BW808" s="107"/>
      <c r="BX808" s="107"/>
      <c r="BY808" s="107"/>
      <c r="BZ808" s="107"/>
      <c r="CA808" s="107"/>
      <c r="CB808" s="107"/>
      <c r="CC808" s="107"/>
      <c r="CD808" s="107"/>
      <c r="CE808" s="106"/>
      <c r="CF808" s="106"/>
      <c r="CG808" s="106"/>
      <c r="CH808" s="106"/>
      <c r="CI808" s="106"/>
      <c r="CJ808" s="138"/>
      <c r="CK808" s="138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K808" s="1"/>
      <c r="EL808" s="106"/>
      <c r="EM808" s="106"/>
      <c r="EN808" s="1"/>
      <c r="EO808" s="106"/>
      <c r="EP808" s="1"/>
      <c r="EQ808" s="1"/>
      <c r="ER808" s="1"/>
      <c r="ES808" s="108"/>
    </row>
    <row r="809" spans="9:149">
      <c r="I809" s="137"/>
      <c r="J809" s="138"/>
      <c r="K809" s="1"/>
      <c r="L809" s="1"/>
      <c r="Q809" s="1"/>
      <c r="R809" s="1"/>
      <c r="S809" s="106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55"/>
      <c r="AN809" s="106"/>
      <c r="AO809" s="106"/>
      <c r="AP809" s="106"/>
      <c r="AQ809" s="31"/>
      <c r="AR809" s="31"/>
      <c r="AS809" s="31"/>
      <c r="AT809" s="30"/>
      <c r="AU809" s="30"/>
      <c r="AV809" s="106"/>
      <c r="AW809" s="106"/>
      <c r="AX809" s="106"/>
      <c r="AY809" s="106"/>
      <c r="AZ809" s="106"/>
      <c r="BA809" s="106"/>
      <c r="BB809" s="107"/>
      <c r="BC809" s="105"/>
      <c r="BD809" s="105"/>
      <c r="BE809" s="105"/>
      <c r="BF809" s="107"/>
      <c r="BG809" s="160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7"/>
      <c r="BV809" s="107"/>
      <c r="BW809" s="107"/>
      <c r="BX809" s="107"/>
      <c r="BY809" s="107"/>
      <c r="BZ809" s="107"/>
      <c r="CA809" s="107"/>
      <c r="CB809" s="107"/>
      <c r="CC809" s="107"/>
      <c r="CD809" s="107"/>
      <c r="CE809" s="106"/>
      <c r="CF809" s="106"/>
      <c r="CG809" s="106"/>
      <c r="CH809" s="106"/>
      <c r="CI809" s="106"/>
      <c r="CJ809" s="138"/>
      <c r="CK809" s="138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K809" s="1"/>
      <c r="EL809" s="106"/>
      <c r="EM809" s="106"/>
      <c r="EN809" s="1"/>
      <c r="EO809" s="106"/>
      <c r="EP809" s="1"/>
      <c r="EQ809" s="1"/>
      <c r="ER809" s="1"/>
      <c r="ES809" s="108"/>
    </row>
    <row r="810" spans="9:149">
      <c r="I810" s="137"/>
      <c r="J810" s="138"/>
      <c r="K810" s="1"/>
      <c r="L810" s="1"/>
      <c r="Q810" s="1"/>
      <c r="R810" s="1"/>
      <c r="S810" s="106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55"/>
      <c r="AN810" s="106"/>
      <c r="AO810" s="106"/>
      <c r="AP810" s="106"/>
      <c r="AQ810" s="31"/>
      <c r="AR810" s="31"/>
      <c r="AS810" s="31"/>
      <c r="AT810" s="30"/>
      <c r="AU810" s="30"/>
      <c r="AV810" s="106"/>
      <c r="AW810" s="106"/>
      <c r="AX810" s="106"/>
      <c r="AY810" s="106"/>
      <c r="AZ810" s="106"/>
      <c r="BA810" s="106"/>
      <c r="BB810" s="107"/>
      <c r="BC810" s="105"/>
      <c r="BD810" s="105"/>
      <c r="BE810" s="105"/>
      <c r="BF810" s="107"/>
      <c r="BG810" s="160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7"/>
      <c r="BV810" s="107"/>
      <c r="BW810" s="107"/>
      <c r="BX810" s="107"/>
      <c r="BY810" s="107"/>
      <c r="BZ810" s="107"/>
      <c r="CA810" s="107"/>
      <c r="CB810" s="107"/>
      <c r="CC810" s="107"/>
      <c r="CD810" s="107"/>
      <c r="CE810" s="106"/>
      <c r="CF810" s="106"/>
      <c r="CG810" s="106"/>
      <c r="CH810" s="106"/>
      <c r="CI810" s="106"/>
      <c r="CJ810" s="138"/>
      <c r="CK810" s="138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K810" s="1"/>
      <c r="EL810" s="106"/>
      <c r="EM810" s="106"/>
      <c r="EN810" s="1"/>
      <c r="EO810" s="106"/>
      <c r="EP810" s="1"/>
      <c r="EQ810" s="1"/>
      <c r="ER810" s="1"/>
      <c r="ES810" s="108"/>
    </row>
    <row r="811" spans="9:149">
      <c r="I811" s="137"/>
      <c r="J811" s="138"/>
      <c r="K811" s="1"/>
      <c r="L811" s="1"/>
      <c r="Q811" s="1"/>
      <c r="R811" s="1"/>
      <c r="S811" s="106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55"/>
      <c r="AN811" s="106"/>
      <c r="AO811" s="106"/>
      <c r="AP811" s="106"/>
      <c r="AQ811" s="31"/>
      <c r="AR811" s="31"/>
      <c r="AS811" s="31"/>
      <c r="AT811" s="30"/>
      <c r="AU811" s="30"/>
      <c r="AV811" s="106"/>
      <c r="AW811" s="106"/>
      <c r="AX811" s="106"/>
      <c r="AY811" s="106"/>
      <c r="AZ811" s="106"/>
      <c r="BA811" s="106"/>
      <c r="BB811" s="107"/>
      <c r="BC811" s="105"/>
      <c r="BD811" s="105"/>
      <c r="BE811" s="105"/>
      <c r="BF811" s="107"/>
      <c r="BG811" s="160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7"/>
      <c r="BV811" s="107"/>
      <c r="BW811" s="107"/>
      <c r="BX811" s="107"/>
      <c r="BY811" s="107"/>
      <c r="BZ811" s="107"/>
      <c r="CA811" s="107"/>
      <c r="CB811" s="107"/>
      <c r="CC811" s="107"/>
      <c r="CD811" s="107"/>
      <c r="CE811" s="106"/>
      <c r="CF811" s="106"/>
      <c r="CG811" s="106"/>
      <c r="CH811" s="106"/>
      <c r="CI811" s="106"/>
      <c r="CJ811" s="138"/>
      <c r="CK811" s="138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K811" s="1"/>
      <c r="EL811" s="106"/>
      <c r="EM811" s="106"/>
      <c r="EN811" s="1"/>
      <c r="EO811" s="106"/>
      <c r="EP811" s="1"/>
      <c r="EQ811" s="1"/>
      <c r="ER811" s="1"/>
      <c r="ES811" s="108"/>
    </row>
    <row r="812" spans="9:149">
      <c r="I812" s="137"/>
      <c r="J812" s="138"/>
      <c r="K812" s="1"/>
      <c r="L812" s="1"/>
      <c r="Q812" s="1"/>
      <c r="R812" s="1"/>
      <c r="S812" s="106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55"/>
      <c r="AN812" s="106"/>
      <c r="AO812" s="106"/>
      <c r="AP812" s="106"/>
      <c r="AQ812" s="31"/>
      <c r="AR812" s="31"/>
      <c r="AS812" s="31"/>
      <c r="AT812" s="30"/>
      <c r="AU812" s="30"/>
      <c r="AV812" s="106"/>
      <c r="AW812" s="106"/>
      <c r="AX812" s="106"/>
      <c r="AY812" s="106"/>
      <c r="AZ812" s="106"/>
      <c r="BA812" s="106"/>
      <c r="BB812" s="107"/>
      <c r="BC812" s="105"/>
      <c r="BD812" s="105"/>
      <c r="BE812" s="105"/>
      <c r="BF812" s="107"/>
      <c r="BG812" s="160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7"/>
      <c r="BV812" s="107"/>
      <c r="BW812" s="107"/>
      <c r="BX812" s="107"/>
      <c r="BY812" s="107"/>
      <c r="BZ812" s="107"/>
      <c r="CA812" s="107"/>
      <c r="CB812" s="107"/>
      <c r="CC812" s="107"/>
      <c r="CD812" s="107"/>
      <c r="CE812" s="106"/>
      <c r="CF812" s="106"/>
      <c r="CG812" s="106"/>
      <c r="CH812" s="106"/>
      <c r="CI812" s="106"/>
      <c r="CJ812" s="138"/>
      <c r="CK812" s="138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K812" s="1"/>
      <c r="EL812" s="106"/>
      <c r="EM812" s="106"/>
      <c r="EN812" s="1"/>
      <c r="EO812" s="106"/>
      <c r="EP812" s="1"/>
      <c r="EQ812" s="1"/>
      <c r="ER812" s="1"/>
      <c r="ES812" s="108"/>
    </row>
    <row r="813" spans="9:149">
      <c r="I813" s="137"/>
      <c r="J813" s="138"/>
      <c r="K813" s="1"/>
      <c r="L813" s="1"/>
      <c r="Q813" s="1"/>
      <c r="R813" s="1"/>
      <c r="S813" s="106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55"/>
      <c r="AN813" s="106"/>
      <c r="AO813" s="106"/>
      <c r="AP813" s="106"/>
      <c r="AQ813" s="31"/>
      <c r="AR813" s="31"/>
      <c r="AS813" s="31"/>
      <c r="AT813" s="30"/>
      <c r="AU813" s="30"/>
      <c r="AV813" s="106"/>
      <c r="AW813" s="106"/>
      <c r="AX813" s="106"/>
      <c r="AY813" s="106"/>
      <c r="AZ813" s="106"/>
      <c r="BA813" s="106"/>
      <c r="BB813" s="107"/>
      <c r="BC813" s="105"/>
      <c r="BD813" s="105"/>
      <c r="BE813" s="105"/>
      <c r="BF813" s="107"/>
      <c r="BG813" s="160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7"/>
      <c r="BV813" s="107"/>
      <c r="BW813" s="107"/>
      <c r="BX813" s="107"/>
      <c r="BY813" s="107"/>
      <c r="BZ813" s="107"/>
      <c r="CA813" s="107"/>
      <c r="CB813" s="107"/>
      <c r="CC813" s="107"/>
      <c r="CD813" s="107"/>
      <c r="CE813" s="106"/>
      <c r="CF813" s="106"/>
      <c r="CG813" s="106"/>
      <c r="CH813" s="106"/>
      <c r="CI813" s="106"/>
      <c r="CJ813" s="138"/>
      <c r="CK813" s="138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K813" s="1"/>
      <c r="EL813" s="106"/>
      <c r="EM813" s="106"/>
      <c r="EN813" s="1"/>
      <c r="EO813" s="106"/>
      <c r="EP813" s="1"/>
      <c r="EQ813" s="1"/>
      <c r="ER813" s="1"/>
      <c r="ES813" s="108"/>
    </row>
    <row r="814" spans="9:149">
      <c r="I814" s="137"/>
      <c r="J814" s="138"/>
      <c r="K814" s="1"/>
      <c r="L814" s="1"/>
      <c r="Q814" s="1"/>
      <c r="R814" s="1"/>
      <c r="S814" s="106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55"/>
      <c r="AN814" s="106"/>
      <c r="AO814" s="106"/>
      <c r="AP814" s="106"/>
      <c r="AQ814" s="31"/>
      <c r="AR814" s="31"/>
      <c r="AS814" s="31"/>
      <c r="AT814" s="30"/>
      <c r="AU814" s="30"/>
      <c r="AV814" s="106"/>
      <c r="AW814" s="106"/>
      <c r="AX814" s="106"/>
      <c r="AY814" s="106"/>
      <c r="AZ814" s="106"/>
      <c r="BA814" s="106"/>
      <c r="BB814" s="107"/>
      <c r="BC814" s="105"/>
      <c r="BD814" s="105"/>
      <c r="BE814" s="105"/>
      <c r="BF814" s="107"/>
      <c r="BG814" s="160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7"/>
      <c r="BV814" s="107"/>
      <c r="BW814" s="107"/>
      <c r="BX814" s="107"/>
      <c r="BY814" s="107"/>
      <c r="BZ814" s="107"/>
      <c r="CA814" s="107"/>
      <c r="CB814" s="107"/>
      <c r="CC814" s="107"/>
      <c r="CD814" s="107"/>
      <c r="CE814" s="106"/>
      <c r="CF814" s="106"/>
      <c r="CG814" s="106"/>
      <c r="CH814" s="106"/>
      <c r="CI814" s="106"/>
      <c r="CJ814" s="138"/>
      <c r="CK814" s="138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K814" s="1"/>
      <c r="EL814" s="106"/>
      <c r="EM814" s="106"/>
      <c r="EN814" s="1"/>
      <c r="EO814" s="106"/>
      <c r="EP814" s="1"/>
      <c r="EQ814" s="1"/>
      <c r="ER814" s="1"/>
      <c r="ES814" s="108"/>
    </row>
    <row r="815" spans="9:149">
      <c r="I815" s="137"/>
      <c r="J815" s="138"/>
      <c r="K815" s="1"/>
      <c r="L815" s="1"/>
      <c r="Q815" s="1"/>
      <c r="R815" s="1"/>
      <c r="S815" s="106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55"/>
      <c r="AN815" s="106"/>
      <c r="AO815" s="106"/>
      <c r="AP815" s="106"/>
      <c r="AQ815" s="31"/>
      <c r="AR815" s="31"/>
      <c r="AS815" s="31"/>
      <c r="AT815" s="30"/>
      <c r="AU815" s="30"/>
      <c r="AV815" s="106"/>
      <c r="AW815" s="106"/>
      <c r="AX815" s="106"/>
      <c r="AY815" s="106"/>
      <c r="AZ815" s="106"/>
      <c r="BA815" s="106"/>
      <c r="BB815" s="107"/>
      <c r="BC815" s="105"/>
      <c r="BD815" s="105"/>
      <c r="BE815" s="105"/>
      <c r="BF815" s="107"/>
      <c r="BG815" s="160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7"/>
      <c r="BV815" s="107"/>
      <c r="BW815" s="107"/>
      <c r="BX815" s="107"/>
      <c r="BY815" s="107"/>
      <c r="BZ815" s="107"/>
      <c r="CA815" s="107"/>
      <c r="CB815" s="107"/>
      <c r="CC815" s="107"/>
      <c r="CD815" s="107"/>
      <c r="CE815" s="106"/>
      <c r="CF815" s="106"/>
      <c r="CG815" s="106"/>
      <c r="CH815" s="106"/>
      <c r="CI815" s="106"/>
      <c r="CJ815" s="138"/>
      <c r="CK815" s="138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K815" s="1"/>
      <c r="EL815" s="106"/>
      <c r="EM815" s="106"/>
      <c r="EN815" s="1"/>
      <c r="EO815" s="106"/>
      <c r="EP815" s="1"/>
      <c r="EQ815" s="1"/>
      <c r="ER815" s="1"/>
      <c r="ES815" s="108"/>
    </row>
    <row r="816" spans="9:149">
      <c r="I816" s="137"/>
      <c r="J816" s="138"/>
      <c r="K816" s="1"/>
      <c r="L816" s="1"/>
      <c r="Q816" s="1"/>
      <c r="R816" s="1"/>
      <c r="S816" s="106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55"/>
      <c r="AN816" s="106"/>
      <c r="AO816" s="106"/>
      <c r="AP816" s="106"/>
      <c r="AQ816" s="31"/>
      <c r="AR816" s="31"/>
      <c r="AS816" s="31"/>
      <c r="AT816" s="30"/>
      <c r="AU816" s="30"/>
      <c r="AV816" s="106"/>
      <c r="AW816" s="106"/>
      <c r="AX816" s="106"/>
      <c r="AY816" s="106"/>
      <c r="AZ816" s="106"/>
      <c r="BA816" s="106"/>
      <c r="BB816" s="107"/>
      <c r="BC816" s="105"/>
      <c r="BD816" s="105"/>
      <c r="BE816" s="105"/>
      <c r="BF816" s="107"/>
      <c r="BG816" s="160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7"/>
      <c r="BV816" s="107"/>
      <c r="BW816" s="107"/>
      <c r="BX816" s="107"/>
      <c r="BY816" s="107"/>
      <c r="BZ816" s="107"/>
      <c r="CA816" s="107"/>
      <c r="CB816" s="107"/>
      <c r="CC816" s="107"/>
      <c r="CD816" s="107"/>
      <c r="CE816" s="106"/>
      <c r="CF816" s="106"/>
      <c r="CG816" s="106"/>
      <c r="CH816" s="106"/>
      <c r="CI816" s="106"/>
      <c r="CJ816" s="138"/>
      <c r="CK816" s="138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K816" s="1"/>
      <c r="EL816" s="106"/>
      <c r="EM816" s="106"/>
      <c r="EN816" s="1"/>
      <c r="EO816" s="106"/>
      <c r="EP816" s="1"/>
      <c r="EQ816" s="1"/>
      <c r="ER816" s="1"/>
      <c r="ES816" s="108"/>
    </row>
    <row r="817" spans="9:149">
      <c r="I817" s="137"/>
      <c r="J817" s="138"/>
      <c r="K817" s="1"/>
      <c r="L817" s="1"/>
      <c r="Q817" s="1"/>
      <c r="R817" s="1"/>
      <c r="S817" s="106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55"/>
      <c r="AN817" s="106"/>
      <c r="AO817" s="106"/>
      <c r="AP817" s="106"/>
      <c r="AQ817" s="31"/>
      <c r="AR817" s="31"/>
      <c r="AS817" s="31"/>
      <c r="AT817" s="30"/>
      <c r="AU817" s="30"/>
      <c r="AV817" s="106"/>
      <c r="AW817" s="106"/>
      <c r="AX817" s="106"/>
      <c r="AY817" s="106"/>
      <c r="AZ817" s="106"/>
      <c r="BA817" s="106"/>
      <c r="BB817" s="107"/>
      <c r="BC817" s="105"/>
      <c r="BD817" s="105"/>
      <c r="BE817" s="105"/>
      <c r="BF817" s="107"/>
      <c r="BG817" s="160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7"/>
      <c r="BV817" s="107"/>
      <c r="BW817" s="107"/>
      <c r="BX817" s="107"/>
      <c r="BY817" s="107"/>
      <c r="BZ817" s="107"/>
      <c r="CA817" s="107"/>
      <c r="CB817" s="107"/>
      <c r="CC817" s="107"/>
      <c r="CD817" s="107"/>
      <c r="CE817" s="106"/>
      <c r="CF817" s="106"/>
      <c r="CG817" s="106"/>
      <c r="CH817" s="106"/>
      <c r="CI817" s="106"/>
      <c r="CJ817" s="138"/>
      <c r="CK817" s="138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K817" s="1"/>
      <c r="EL817" s="106"/>
      <c r="EM817" s="106"/>
      <c r="EN817" s="1"/>
      <c r="EO817" s="106"/>
      <c r="EP817" s="1"/>
      <c r="EQ817" s="1"/>
      <c r="ER817" s="1"/>
      <c r="ES817" s="108"/>
    </row>
    <row r="818" spans="9:149">
      <c r="I818" s="137"/>
      <c r="J818" s="138"/>
      <c r="K818" s="1"/>
      <c r="L818" s="1"/>
      <c r="Q818" s="1"/>
      <c r="R818" s="1"/>
      <c r="S818" s="106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55"/>
      <c r="AN818" s="106"/>
      <c r="AO818" s="106"/>
      <c r="AP818" s="106"/>
      <c r="AQ818" s="31"/>
      <c r="AR818" s="31"/>
      <c r="AS818" s="31"/>
      <c r="AT818" s="30"/>
      <c r="AU818" s="30"/>
      <c r="AV818" s="106"/>
      <c r="AW818" s="106"/>
      <c r="AX818" s="106"/>
      <c r="AY818" s="106"/>
      <c r="AZ818" s="106"/>
      <c r="BA818" s="106"/>
      <c r="BB818" s="107"/>
      <c r="BC818" s="105"/>
      <c r="BD818" s="105"/>
      <c r="BE818" s="105"/>
      <c r="BF818" s="107"/>
      <c r="BG818" s="160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7"/>
      <c r="BV818" s="107"/>
      <c r="BW818" s="107"/>
      <c r="BX818" s="107"/>
      <c r="BY818" s="107"/>
      <c r="BZ818" s="107"/>
      <c r="CA818" s="107"/>
      <c r="CB818" s="107"/>
      <c r="CC818" s="107"/>
      <c r="CD818" s="107"/>
      <c r="CE818" s="106"/>
      <c r="CF818" s="106"/>
      <c r="CG818" s="106"/>
      <c r="CH818" s="106"/>
      <c r="CI818" s="106"/>
      <c r="CJ818" s="138"/>
      <c r="CK818" s="138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K818" s="1"/>
      <c r="EL818" s="106"/>
      <c r="EM818" s="106"/>
      <c r="EN818" s="1"/>
      <c r="EO818" s="106"/>
      <c r="EP818" s="1"/>
      <c r="EQ818" s="1"/>
      <c r="ER818" s="1"/>
      <c r="ES818" s="108"/>
    </row>
    <row r="819" spans="9:149">
      <c r="I819" s="137"/>
      <c r="J819" s="138"/>
      <c r="K819" s="1"/>
      <c r="L819" s="1"/>
      <c r="Q819" s="1"/>
      <c r="R819" s="1"/>
      <c r="S819" s="106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55"/>
      <c r="AN819" s="106"/>
      <c r="AO819" s="106"/>
      <c r="AP819" s="106"/>
      <c r="AQ819" s="31"/>
      <c r="AR819" s="31"/>
      <c r="AS819" s="31"/>
      <c r="AT819" s="30"/>
      <c r="AU819" s="30"/>
      <c r="AV819" s="106"/>
      <c r="AW819" s="106"/>
      <c r="AX819" s="106"/>
      <c r="AY819" s="106"/>
      <c r="AZ819" s="106"/>
      <c r="BA819" s="106"/>
      <c r="BB819" s="107"/>
      <c r="BC819" s="105"/>
      <c r="BD819" s="105"/>
      <c r="BE819" s="105"/>
      <c r="BF819" s="107"/>
      <c r="BG819" s="160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7"/>
      <c r="BV819" s="107"/>
      <c r="BW819" s="107"/>
      <c r="BX819" s="107"/>
      <c r="BY819" s="107"/>
      <c r="BZ819" s="107"/>
      <c r="CA819" s="107"/>
      <c r="CB819" s="107"/>
      <c r="CC819" s="107"/>
      <c r="CD819" s="107"/>
      <c r="CE819" s="106"/>
      <c r="CF819" s="106"/>
      <c r="CG819" s="106"/>
      <c r="CH819" s="106"/>
      <c r="CI819" s="106"/>
      <c r="CJ819" s="138"/>
      <c r="CK819" s="138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K819" s="1"/>
      <c r="EL819" s="106"/>
      <c r="EM819" s="106"/>
      <c r="EN819" s="1"/>
      <c r="EO819" s="106"/>
      <c r="EP819" s="1"/>
      <c r="EQ819" s="1"/>
      <c r="ER819" s="1"/>
      <c r="ES819" s="108"/>
    </row>
    <row r="820" spans="9:149">
      <c r="I820" s="137"/>
      <c r="J820" s="138"/>
      <c r="K820" s="1"/>
      <c r="L820" s="1"/>
      <c r="Q820" s="1"/>
      <c r="R820" s="1"/>
      <c r="S820" s="106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55"/>
      <c r="AN820" s="106"/>
      <c r="AO820" s="106"/>
      <c r="AP820" s="106"/>
      <c r="AQ820" s="31"/>
      <c r="AR820" s="31"/>
      <c r="AS820" s="31"/>
      <c r="AT820" s="30"/>
      <c r="AU820" s="30"/>
      <c r="AV820" s="106"/>
      <c r="AW820" s="106"/>
      <c r="AX820" s="106"/>
      <c r="AY820" s="106"/>
      <c r="AZ820" s="106"/>
      <c r="BA820" s="106"/>
      <c r="BB820" s="107"/>
      <c r="BC820" s="105"/>
      <c r="BD820" s="105"/>
      <c r="BE820" s="105"/>
      <c r="BF820" s="107"/>
      <c r="BG820" s="160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7"/>
      <c r="BV820" s="107"/>
      <c r="BW820" s="107"/>
      <c r="BX820" s="107"/>
      <c r="BY820" s="107"/>
      <c r="BZ820" s="107"/>
      <c r="CA820" s="107"/>
      <c r="CB820" s="107"/>
      <c r="CC820" s="107"/>
      <c r="CD820" s="107"/>
      <c r="CE820" s="106"/>
      <c r="CF820" s="106"/>
      <c r="CG820" s="106"/>
      <c r="CH820" s="106"/>
      <c r="CI820" s="106"/>
      <c r="CJ820" s="138"/>
      <c r="CK820" s="138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K820" s="1"/>
      <c r="EL820" s="106"/>
      <c r="EM820" s="106"/>
      <c r="EN820" s="1"/>
      <c r="EO820" s="106"/>
      <c r="EP820" s="1"/>
      <c r="EQ820" s="1"/>
      <c r="ER820" s="1"/>
      <c r="ES820" s="108"/>
    </row>
    <row r="821" spans="9:149">
      <c r="I821" s="137"/>
      <c r="J821" s="138"/>
      <c r="K821" s="1"/>
      <c r="L821" s="1"/>
      <c r="Q821" s="1"/>
      <c r="R821" s="1"/>
      <c r="S821" s="106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55"/>
      <c r="AN821" s="106"/>
      <c r="AO821" s="106"/>
      <c r="AP821" s="106"/>
      <c r="AQ821" s="31"/>
      <c r="AR821" s="31"/>
      <c r="AS821" s="31"/>
      <c r="AT821" s="30"/>
      <c r="AU821" s="30"/>
      <c r="AV821" s="106"/>
      <c r="AW821" s="106"/>
      <c r="AX821" s="106"/>
      <c r="AY821" s="106"/>
      <c r="AZ821" s="106"/>
      <c r="BA821" s="106"/>
      <c r="BB821" s="107"/>
      <c r="BC821" s="105"/>
      <c r="BD821" s="105"/>
      <c r="BE821" s="105"/>
      <c r="BF821" s="107"/>
      <c r="BG821" s="160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7"/>
      <c r="BV821" s="107"/>
      <c r="BW821" s="107"/>
      <c r="BX821" s="107"/>
      <c r="BY821" s="107"/>
      <c r="BZ821" s="107"/>
      <c r="CA821" s="107"/>
      <c r="CB821" s="107"/>
      <c r="CC821" s="107"/>
      <c r="CD821" s="107"/>
      <c r="CE821" s="106"/>
      <c r="CF821" s="106"/>
      <c r="CG821" s="106"/>
      <c r="CH821" s="106"/>
      <c r="CI821" s="106"/>
      <c r="CJ821" s="138"/>
      <c r="CK821" s="138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K821" s="1"/>
      <c r="EL821" s="106"/>
      <c r="EM821" s="106"/>
      <c r="EN821" s="1"/>
      <c r="EO821" s="106"/>
      <c r="EP821" s="1"/>
      <c r="EQ821" s="1"/>
      <c r="ER821" s="1"/>
      <c r="ES821" s="108"/>
    </row>
    <row r="822" spans="9:149">
      <c r="I822" s="137"/>
      <c r="J822" s="138"/>
      <c r="K822" s="1"/>
      <c r="L822" s="1"/>
      <c r="Q822" s="1"/>
      <c r="R822" s="1"/>
      <c r="S822" s="106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55"/>
      <c r="AN822" s="106"/>
      <c r="AO822" s="106"/>
      <c r="AP822" s="106"/>
      <c r="AQ822" s="31"/>
      <c r="AR822" s="31"/>
      <c r="AS822" s="31"/>
      <c r="AT822" s="30"/>
      <c r="AU822" s="30"/>
      <c r="AV822" s="106"/>
      <c r="AW822" s="106"/>
      <c r="AX822" s="106"/>
      <c r="AY822" s="106"/>
      <c r="AZ822" s="106"/>
      <c r="BA822" s="106"/>
      <c r="BB822" s="107"/>
      <c r="BC822" s="105"/>
      <c r="BD822" s="105"/>
      <c r="BE822" s="105"/>
      <c r="BF822" s="107"/>
      <c r="BG822" s="160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7"/>
      <c r="BV822" s="107"/>
      <c r="BW822" s="107"/>
      <c r="BX822" s="107"/>
      <c r="BY822" s="107"/>
      <c r="BZ822" s="107"/>
      <c r="CA822" s="107"/>
      <c r="CB822" s="107"/>
      <c r="CC822" s="107"/>
      <c r="CD822" s="107"/>
      <c r="CE822" s="106"/>
      <c r="CF822" s="106"/>
      <c r="CG822" s="106"/>
      <c r="CH822" s="106"/>
      <c r="CI822" s="106"/>
      <c r="CJ822" s="138"/>
      <c r="CK822" s="138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K822" s="1"/>
      <c r="EL822" s="106"/>
      <c r="EM822" s="106"/>
      <c r="EN822" s="1"/>
      <c r="EO822" s="106"/>
      <c r="EP822" s="1"/>
      <c r="EQ822" s="1"/>
      <c r="ER822" s="1"/>
      <c r="ES822" s="108"/>
    </row>
    <row r="823" spans="9:149">
      <c r="I823" s="137"/>
      <c r="J823" s="138"/>
      <c r="K823" s="1"/>
      <c r="L823" s="1"/>
      <c r="Q823" s="1"/>
      <c r="R823" s="1"/>
      <c r="S823" s="106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55"/>
      <c r="AN823" s="106"/>
      <c r="AO823" s="106"/>
      <c r="AP823" s="106"/>
      <c r="AQ823" s="31"/>
      <c r="AR823" s="31"/>
      <c r="AS823" s="31"/>
      <c r="AT823" s="30"/>
      <c r="AU823" s="30"/>
      <c r="AV823" s="106"/>
      <c r="AW823" s="106"/>
      <c r="AX823" s="106"/>
      <c r="AY823" s="106"/>
      <c r="AZ823" s="106"/>
      <c r="BA823" s="106"/>
      <c r="BB823" s="107"/>
      <c r="BC823" s="105"/>
      <c r="BD823" s="105"/>
      <c r="BE823" s="105"/>
      <c r="BF823" s="107"/>
      <c r="BG823" s="160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7"/>
      <c r="BV823" s="107"/>
      <c r="BW823" s="107"/>
      <c r="BX823" s="107"/>
      <c r="BY823" s="107"/>
      <c r="BZ823" s="107"/>
      <c r="CA823" s="107"/>
      <c r="CB823" s="107"/>
      <c r="CC823" s="107"/>
      <c r="CD823" s="107"/>
      <c r="CE823" s="106"/>
      <c r="CF823" s="106"/>
      <c r="CG823" s="106"/>
      <c r="CH823" s="106"/>
      <c r="CI823" s="106"/>
      <c r="CJ823" s="138"/>
      <c r="CK823" s="138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K823" s="1"/>
      <c r="EL823" s="106"/>
      <c r="EM823" s="106"/>
      <c r="EN823" s="1"/>
      <c r="EO823" s="106"/>
      <c r="EP823" s="1"/>
      <c r="EQ823" s="1"/>
      <c r="ER823" s="1"/>
      <c r="ES823" s="108"/>
    </row>
    <row r="824" spans="9:149">
      <c r="I824" s="137"/>
      <c r="J824" s="138"/>
      <c r="K824" s="1"/>
      <c r="L824" s="1"/>
      <c r="Q824" s="1"/>
      <c r="R824" s="1"/>
      <c r="S824" s="106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55"/>
      <c r="AN824" s="106"/>
      <c r="AO824" s="106"/>
      <c r="AP824" s="106"/>
      <c r="AQ824" s="31"/>
      <c r="AR824" s="31"/>
      <c r="AS824" s="31"/>
      <c r="AT824" s="30"/>
      <c r="AU824" s="30"/>
      <c r="AV824" s="106"/>
      <c r="AW824" s="106"/>
      <c r="AX824" s="106"/>
      <c r="AY824" s="106"/>
      <c r="AZ824" s="106"/>
      <c r="BA824" s="106"/>
      <c r="BB824" s="107"/>
      <c r="BC824" s="105"/>
      <c r="BD824" s="105"/>
      <c r="BE824" s="105"/>
      <c r="BF824" s="107"/>
      <c r="BG824" s="160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7"/>
      <c r="BV824" s="107"/>
      <c r="BW824" s="107"/>
      <c r="BX824" s="107"/>
      <c r="BY824" s="107"/>
      <c r="BZ824" s="107"/>
      <c r="CA824" s="107"/>
      <c r="CB824" s="107"/>
      <c r="CC824" s="107"/>
      <c r="CD824" s="107"/>
      <c r="CE824" s="106"/>
      <c r="CF824" s="106"/>
      <c r="CG824" s="106"/>
      <c r="CH824" s="106"/>
      <c r="CI824" s="106"/>
      <c r="CJ824" s="138"/>
      <c r="CK824" s="138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K824" s="1"/>
      <c r="EL824" s="106"/>
      <c r="EM824" s="106"/>
      <c r="EN824" s="1"/>
      <c r="EO824" s="106"/>
      <c r="EP824" s="1"/>
      <c r="EQ824" s="1"/>
      <c r="ER824" s="1"/>
      <c r="ES824" s="108"/>
    </row>
    <row r="825" spans="9:149">
      <c r="I825" s="137"/>
      <c r="J825" s="138"/>
      <c r="K825" s="1"/>
      <c r="L825" s="1"/>
      <c r="Q825" s="1"/>
      <c r="R825" s="1"/>
      <c r="S825" s="106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55"/>
      <c r="AN825" s="106"/>
      <c r="AO825" s="106"/>
      <c r="AP825" s="106"/>
      <c r="AQ825" s="31"/>
      <c r="AR825" s="31"/>
      <c r="AS825" s="31"/>
      <c r="AT825" s="30"/>
      <c r="AU825" s="30"/>
      <c r="AV825" s="106"/>
      <c r="AW825" s="106"/>
      <c r="AX825" s="106"/>
      <c r="AY825" s="106"/>
      <c r="AZ825" s="106"/>
      <c r="BA825" s="106"/>
      <c r="BB825" s="107"/>
      <c r="BC825" s="105"/>
      <c r="BD825" s="105"/>
      <c r="BE825" s="105"/>
      <c r="BF825" s="107"/>
      <c r="BG825" s="160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7"/>
      <c r="BV825" s="107"/>
      <c r="BW825" s="107"/>
      <c r="BX825" s="107"/>
      <c r="BY825" s="107"/>
      <c r="BZ825" s="107"/>
      <c r="CA825" s="107"/>
      <c r="CB825" s="107"/>
      <c r="CC825" s="107"/>
      <c r="CD825" s="107"/>
      <c r="CE825" s="106"/>
      <c r="CF825" s="106"/>
      <c r="CG825" s="106"/>
      <c r="CH825" s="106"/>
      <c r="CI825" s="106"/>
      <c r="CJ825" s="138"/>
      <c r="CK825" s="138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K825" s="1"/>
      <c r="EL825" s="106"/>
      <c r="EM825" s="106"/>
      <c r="EN825" s="1"/>
      <c r="EO825" s="106"/>
      <c r="EP825" s="1"/>
      <c r="EQ825" s="1"/>
      <c r="ER825" s="1"/>
      <c r="ES825" s="108"/>
    </row>
    <row r="826" spans="9:149">
      <c r="I826" s="137"/>
      <c r="J826" s="138"/>
      <c r="K826" s="1"/>
      <c r="L826" s="1"/>
      <c r="Q826" s="1"/>
      <c r="R826" s="1"/>
      <c r="S826" s="106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55"/>
      <c r="AN826" s="106"/>
      <c r="AO826" s="106"/>
      <c r="AP826" s="106"/>
      <c r="AQ826" s="31"/>
      <c r="AR826" s="31"/>
      <c r="AS826" s="31"/>
      <c r="AT826" s="30"/>
      <c r="AU826" s="30"/>
      <c r="AV826" s="106"/>
      <c r="AW826" s="106"/>
      <c r="AX826" s="106"/>
      <c r="AY826" s="106"/>
      <c r="AZ826" s="106"/>
      <c r="BA826" s="106"/>
      <c r="BB826" s="107"/>
      <c r="BC826" s="105"/>
      <c r="BD826" s="105"/>
      <c r="BE826" s="105"/>
      <c r="BF826" s="107"/>
      <c r="BG826" s="160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7"/>
      <c r="BV826" s="107"/>
      <c r="BW826" s="107"/>
      <c r="BX826" s="107"/>
      <c r="BY826" s="107"/>
      <c r="BZ826" s="107"/>
      <c r="CA826" s="107"/>
      <c r="CB826" s="107"/>
      <c r="CC826" s="107"/>
      <c r="CD826" s="107"/>
      <c r="CE826" s="106"/>
      <c r="CF826" s="106"/>
      <c r="CG826" s="106"/>
      <c r="CH826" s="106"/>
      <c r="CI826" s="106"/>
      <c r="CJ826" s="138"/>
      <c r="CK826" s="138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K826" s="1"/>
      <c r="EL826" s="106"/>
      <c r="EM826" s="106"/>
      <c r="EN826" s="1"/>
      <c r="EO826" s="106"/>
      <c r="EP826" s="1"/>
      <c r="EQ826" s="1"/>
      <c r="ER826" s="1"/>
      <c r="ES826" s="108"/>
    </row>
    <row r="827" spans="9:149">
      <c r="I827" s="137"/>
      <c r="J827" s="138"/>
      <c r="K827" s="1"/>
      <c r="L827" s="1"/>
      <c r="Q827" s="1"/>
      <c r="R827" s="1"/>
      <c r="S827" s="106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55"/>
      <c r="AN827" s="106"/>
      <c r="AO827" s="106"/>
      <c r="AP827" s="106"/>
      <c r="AQ827" s="31"/>
      <c r="AR827" s="31"/>
      <c r="AS827" s="31"/>
      <c r="AT827" s="30"/>
      <c r="AU827" s="30"/>
      <c r="AV827" s="106"/>
      <c r="AW827" s="106"/>
      <c r="AX827" s="106"/>
      <c r="AY827" s="106"/>
      <c r="AZ827" s="106"/>
      <c r="BA827" s="106"/>
      <c r="BB827" s="107"/>
      <c r="BC827" s="105"/>
      <c r="BD827" s="105"/>
      <c r="BE827" s="105"/>
      <c r="BF827" s="107"/>
      <c r="BG827" s="160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7"/>
      <c r="BV827" s="107"/>
      <c r="BW827" s="107"/>
      <c r="BX827" s="107"/>
      <c r="BY827" s="107"/>
      <c r="BZ827" s="107"/>
      <c r="CA827" s="107"/>
      <c r="CB827" s="107"/>
      <c r="CC827" s="107"/>
      <c r="CD827" s="107"/>
      <c r="CE827" s="106"/>
      <c r="CF827" s="106"/>
      <c r="CG827" s="106"/>
      <c r="CH827" s="106"/>
      <c r="CI827" s="106"/>
      <c r="CJ827" s="138"/>
      <c r="CK827" s="138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K827" s="1"/>
      <c r="EL827" s="106"/>
      <c r="EM827" s="106"/>
      <c r="EN827" s="1"/>
      <c r="EO827" s="106"/>
      <c r="EP827" s="1"/>
      <c r="EQ827" s="1"/>
      <c r="ER827" s="1"/>
      <c r="ES827" s="108"/>
    </row>
    <row r="828" spans="9:149">
      <c r="I828" s="137"/>
      <c r="J828" s="138"/>
      <c r="K828" s="1"/>
      <c r="L828" s="1"/>
      <c r="Q828" s="1"/>
      <c r="R828" s="1"/>
      <c r="S828" s="106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55"/>
      <c r="AN828" s="106"/>
      <c r="AO828" s="106"/>
      <c r="AP828" s="106"/>
      <c r="AQ828" s="31"/>
      <c r="AR828" s="31"/>
      <c r="AS828" s="31"/>
      <c r="AT828" s="30"/>
      <c r="AU828" s="30"/>
      <c r="AV828" s="106"/>
      <c r="AW828" s="106"/>
      <c r="AX828" s="106"/>
      <c r="AY828" s="106"/>
      <c r="AZ828" s="106"/>
      <c r="BA828" s="106"/>
      <c r="BB828" s="107"/>
      <c r="BC828" s="105"/>
      <c r="BD828" s="105"/>
      <c r="BE828" s="105"/>
      <c r="BF828" s="107"/>
      <c r="BG828" s="160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7"/>
      <c r="BV828" s="107"/>
      <c r="BW828" s="107"/>
      <c r="BX828" s="107"/>
      <c r="BY828" s="107"/>
      <c r="BZ828" s="107"/>
      <c r="CA828" s="107"/>
      <c r="CB828" s="107"/>
      <c r="CC828" s="107"/>
      <c r="CD828" s="107"/>
      <c r="CE828" s="106"/>
      <c r="CF828" s="106"/>
      <c r="CG828" s="106"/>
      <c r="CH828" s="106"/>
      <c r="CI828" s="106"/>
      <c r="CJ828" s="138"/>
      <c r="CK828" s="138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K828" s="1"/>
      <c r="EL828" s="106"/>
      <c r="EM828" s="106"/>
      <c r="EN828" s="1"/>
      <c r="EO828" s="106"/>
      <c r="EP828" s="1"/>
      <c r="EQ828" s="1"/>
      <c r="ER828" s="1"/>
      <c r="ES828" s="108"/>
    </row>
    <row r="829" spans="9:149">
      <c r="I829" s="137"/>
      <c r="J829" s="138"/>
      <c r="K829" s="1"/>
      <c r="L829" s="1"/>
      <c r="Q829" s="1"/>
      <c r="R829" s="1"/>
      <c r="S829" s="106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55"/>
      <c r="AN829" s="106"/>
      <c r="AO829" s="106"/>
      <c r="AP829" s="106"/>
      <c r="AQ829" s="31"/>
      <c r="AR829" s="31"/>
      <c r="AS829" s="31"/>
      <c r="AT829" s="30"/>
      <c r="AU829" s="30"/>
      <c r="AV829" s="106"/>
      <c r="AW829" s="106"/>
      <c r="AX829" s="106"/>
      <c r="AY829" s="106"/>
      <c r="AZ829" s="106"/>
      <c r="BA829" s="106"/>
      <c r="BB829" s="107"/>
      <c r="BC829" s="105"/>
      <c r="BD829" s="105"/>
      <c r="BE829" s="105"/>
      <c r="BF829" s="107"/>
      <c r="BG829" s="160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7"/>
      <c r="BV829" s="107"/>
      <c r="BW829" s="107"/>
      <c r="BX829" s="107"/>
      <c r="BY829" s="107"/>
      <c r="BZ829" s="107"/>
      <c r="CA829" s="107"/>
      <c r="CB829" s="107"/>
      <c r="CC829" s="107"/>
      <c r="CD829" s="107"/>
      <c r="CE829" s="106"/>
      <c r="CF829" s="106"/>
      <c r="CG829" s="106"/>
      <c r="CH829" s="106"/>
      <c r="CI829" s="106"/>
      <c r="CJ829" s="138"/>
      <c r="CK829" s="138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K829" s="1"/>
      <c r="EL829" s="106"/>
      <c r="EM829" s="106"/>
      <c r="EN829" s="1"/>
      <c r="EO829" s="106"/>
      <c r="EP829" s="1"/>
      <c r="EQ829" s="1"/>
      <c r="ER829" s="1"/>
      <c r="ES829" s="108"/>
    </row>
    <row r="830" spans="9:149">
      <c r="I830" s="137"/>
      <c r="J830" s="138"/>
      <c r="K830" s="1"/>
      <c r="L830" s="1"/>
      <c r="Q830" s="1"/>
      <c r="R830" s="1"/>
      <c r="S830" s="106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55"/>
      <c r="AN830" s="106"/>
      <c r="AO830" s="106"/>
      <c r="AP830" s="106"/>
      <c r="AQ830" s="31"/>
      <c r="AR830" s="31"/>
      <c r="AS830" s="31"/>
      <c r="AT830" s="30"/>
      <c r="AU830" s="30"/>
      <c r="AV830" s="106"/>
      <c r="AW830" s="106"/>
      <c r="AX830" s="106"/>
      <c r="AY830" s="106"/>
      <c r="AZ830" s="106"/>
      <c r="BA830" s="106"/>
      <c r="BB830" s="107"/>
      <c r="BC830" s="105"/>
      <c r="BD830" s="105"/>
      <c r="BE830" s="105"/>
      <c r="BF830" s="107"/>
      <c r="BG830" s="160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7"/>
      <c r="BV830" s="107"/>
      <c r="BW830" s="107"/>
      <c r="BX830" s="107"/>
      <c r="BY830" s="107"/>
      <c r="BZ830" s="107"/>
      <c r="CA830" s="107"/>
      <c r="CB830" s="107"/>
      <c r="CC830" s="107"/>
      <c r="CD830" s="107"/>
      <c r="CE830" s="106"/>
      <c r="CF830" s="106"/>
      <c r="CG830" s="106"/>
      <c r="CH830" s="106"/>
      <c r="CI830" s="106"/>
      <c r="CJ830" s="138"/>
      <c r="CK830" s="138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K830" s="1"/>
      <c r="EL830" s="106"/>
      <c r="EM830" s="106"/>
      <c r="EN830" s="1"/>
      <c r="EO830" s="106"/>
      <c r="EP830" s="1"/>
      <c r="EQ830" s="1"/>
      <c r="ER830" s="1"/>
      <c r="ES830" s="108"/>
    </row>
    <row r="831" spans="9:149">
      <c r="I831" s="137"/>
      <c r="J831" s="138"/>
      <c r="K831" s="1"/>
      <c r="L831" s="1"/>
      <c r="Q831" s="1"/>
      <c r="R831" s="1"/>
      <c r="S831" s="106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55"/>
      <c r="AN831" s="106"/>
      <c r="AO831" s="106"/>
      <c r="AP831" s="106"/>
      <c r="AQ831" s="31"/>
      <c r="AR831" s="31"/>
      <c r="AS831" s="31"/>
      <c r="AT831" s="30"/>
      <c r="AU831" s="30"/>
      <c r="AV831" s="106"/>
      <c r="AW831" s="106"/>
      <c r="AX831" s="106"/>
      <c r="AY831" s="106"/>
      <c r="AZ831" s="106"/>
      <c r="BA831" s="106"/>
      <c r="BB831" s="107"/>
      <c r="BC831" s="105"/>
      <c r="BD831" s="105"/>
      <c r="BE831" s="105"/>
      <c r="BF831" s="107"/>
      <c r="BG831" s="160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7"/>
      <c r="BV831" s="107"/>
      <c r="BW831" s="107"/>
      <c r="BX831" s="107"/>
      <c r="BY831" s="107"/>
      <c r="BZ831" s="107"/>
      <c r="CA831" s="107"/>
      <c r="CB831" s="107"/>
      <c r="CC831" s="107"/>
      <c r="CD831" s="107"/>
      <c r="CE831" s="106"/>
      <c r="CF831" s="106"/>
      <c r="CG831" s="106"/>
      <c r="CH831" s="106"/>
      <c r="CI831" s="106"/>
      <c r="CJ831" s="138"/>
      <c r="CK831" s="138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K831" s="1"/>
      <c r="EL831" s="106"/>
      <c r="EM831" s="106"/>
      <c r="EN831" s="1"/>
      <c r="EO831" s="106"/>
      <c r="EP831" s="1"/>
      <c r="EQ831" s="1"/>
      <c r="ER831" s="1"/>
      <c r="ES831" s="108"/>
    </row>
    <row r="832" spans="9:149">
      <c r="I832" s="137"/>
      <c r="J832" s="138"/>
      <c r="K832" s="1"/>
      <c r="L832" s="1"/>
      <c r="Q832" s="1"/>
      <c r="R832" s="1"/>
      <c r="S832" s="106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55"/>
      <c r="AN832" s="106"/>
      <c r="AO832" s="106"/>
      <c r="AP832" s="106"/>
      <c r="AQ832" s="31"/>
      <c r="AR832" s="31"/>
      <c r="AS832" s="31"/>
      <c r="AT832" s="30"/>
      <c r="AU832" s="30"/>
      <c r="AV832" s="106"/>
      <c r="AW832" s="106"/>
      <c r="AX832" s="106"/>
      <c r="AY832" s="106"/>
      <c r="AZ832" s="106"/>
      <c r="BA832" s="106"/>
      <c r="BB832" s="107"/>
      <c r="BC832" s="105"/>
      <c r="BD832" s="105"/>
      <c r="BE832" s="105"/>
      <c r="BF832" s="107"/>
      <c r="BG832" s="160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7"/>
      <c r="BV832" s="107"/>
      <c r="BW832" s="107"/>
      <c r="BX832" s="107"/>
      <c r="BY832" s="107"/>
      <c r="BZ832" s="107"/>
      <c r="CA832" s="107"/>
      <c r="CB832" s="107"/>
      <c r="CC832" s="107"/>
      <c r="CD832" s="107"/>
      <c r="CE832" s="106"/>
      <c r="CF832" s="106"/>
      <c r="CG832" s="106"/>
      <c r="CH832" s="106"/>
      <c r="CI832" s="106"/>
      <c r="CJ832" s="138"/>
      <c r="CK832" s="138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K832" s="1"/>
      <c r="EL832" s="106"/>
      <c r="EM832" s="106"/>
      <c r="EN832" s="1"/>
      <c r="EO832" s="106"/>
      <c r="EP832" s="1"/>
      <c r="EQ832" s="1"/>
      <c r="ER832" s="1"/>
      <c r="ES832" s="108"/>
    </row>
    <row r="833" spans="9:149">
      <c r="I833" s="137"/>
      <c r="J833" s="138"/>
      <c r="K833" s="1"/>
      <c r="L833" s="1"/>
      <c r="Q833" s="1"/>
      <c r="R833" s="1"/>
      <c r="S833" s="106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55"/>
      <c r="AN833" s="106"/>
      <c r="AO833" s="106"/>
      <c r="AP833" s="106"/>
      <c r="AQ833" s="31"/>
      <c r="AR833" s="31"/>
      <c r="AS833" s="31"/>
      <c r="AT833" s="30"/>
      <c r="AU833" s="30"/>
      <c r="AV833" s="106"/>
      <c r="AW833" s="106"/>
      <c r="AX833" s="106"/>
      <c r="AY833" s="106"/>
      <c r="AZ833" s="106"/>
      <c r="BA833" s="106"/>
      <c r="BB833" s="107"/>
      <c r="BC833" s="105"/>
      <c r="BD833" s="105"/>
      <c r="BE833" s="105"/>
      <c r="BF833" s="107"/>
      <c r="BG833" s="160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7"/>
      <c r="BV833" s="107"/>
      <c r="BW833" s="107"/>
      <c r="BX833" s="107"/>
      <c r="BY833" s="107"/>
      <c r="BZ833" s="107"/>
      <c r="CA833" s="107"/>
      <c r="CB833" s="107"/>
      <c r="CC833" s="107"/>
      <c r="CD833" s="107"/>
      <c r="CE833" s="106"/>
      <c r="CF833" s="106"/>
      <c r="CG833" s="106"/>
      <c r="CH833" s="106"/>
      <c r="CI833" s="106"/>
      <c r="CJ833" s="138"/>
      <c r="CK833" s="138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K833" s="1"/>
      <c r="EL833" s="106"/>
      <c r="EM833" s="106"/>
      <c r="EN833" s="1"/>
      <c r="EO833" s="106"/>
      <c r="EP833" s="1"/>
      <c r="EQ833" s="1"/>
      <c r="ER833" s="1"/>
      <c r="ES833" s="108"/>
    </row>
    <row r="834" spans="9:149">
      <c r="I834" s="137"/>
      <c r="J834" s="138"/>
      <c r="K834" s="1"/>
      <c r="L834" s="1"/>
      <c r="Q834" s="1"/>
      <c r="R834" s="1"/>
      <c r="S834" s="106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55"/>
      <c r="AN834" s="106"/>
      <c r="AO834" s="106"/>
      <c r="AP834" s="106"/>
      <c r="AQ834" s="31"/>
      <c r="AR834" s="31"/>
      <c r="AS834" s="31"/>
      <c r="AT834" s="30"/>
      <c r="AU834" s="30"/>
      <c r="AV834" s="106"/>
      <c r="AW834" s="106"/>
      <c r="AX834" s="106"/>
      <c r="AY834" s="106"/>
      <c r="AZ834" s="106"/>
      <c r="BA834" s="106"/>
      <c r="BB834" s="107"/>
      <c r="BC834" s="105"/>
      <c r="BD834" s="105"/>
      <c r="BE834" s="105"/>
      <c r="BF834" s="107"/>
      <c r="BG834" s="160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7"/>
      <c r="BV834" s="107"/>
      <c r="BW834" s="107"/>
      <c r="BX834" s="107"/>
      <c r="BY834" s="107"/>
      <c r="BZ834" s="107"/>
      <c r="CA834" s="107"/>
      <c r="CB834" s="107"/>
      <c r="CC834" s="107"/>
      <c r="CD834" s="107"/>
      <c r="CE834" s="106"/>
      <c r="CF834" s="106"/>
      <c r="CG834" s="106"/>
      <c r="CH834" s="106"/>
      <c r="CI834" s="106"/>
      <c r="CJ834" s="138"/>
      <c r="CK834" s="138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K834" s="1"/>
      <c r="EL834" s="106"/>
      <c r="EM834" s="106"/>
      <c r="EN834" s="1"/>
      <c r="EO834" s="106"/>
      <c r="EP834" s="1"/>
      <c r="EQ834" s="1"/>
      <c r="ER834" s="1"/>
      <c r="ES834" s="108"/>
    </row>
    <row r="835" spans="9:149">
      <c r="I835" s="137"/>
      <c r="J835" s="138"/>
      <c r="K835" s="1"/>
      <c r="L835" s="1"/>
      <c r="Q835" s="1"/>
      <c r="R835" s="1"/>
      <c r="S835" s="106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55"/>
      <c r="AN835" s="106"/>
      <c r="AO835" s="106"/>
      <c r="AP835" s="106"/>
      <c r="AQ835" s="31"/>
      <c r="AR835" s="31"/>
      <c r="AS835" s="31"/>
      <c r="AT835" s="30"/>
      <c r="AU835" s="30"/>
      <c r="AV835" s="106"/>
      <c r="AW835" s="106"/>
      <c r="AX835" s="106"/>
      <c r="AY835" s="106"/>
      <c r="AZ835" s="106"/>
      <c r="BA835" s="106"/>
      <c r="BB835" s="107"/>
      <c r="BC835" s="105"/>
      <c r="BD835" s="105"/>
      <c r="BE835" s="105"/>
      <c r="BF835" s="107"/>
      <c r="BG835" s="160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7"/>
      <c r="BV835" s="107"/>
      <c r="BW835" s="107"/>
      <c r="BX835" s="107"/>
      <c r="BY835" s="107"/>
      <c r="BZ835" s="107"/>
      <c r="CA835" s="107"/>
      <c r="CB835" s="107"/>
      <c r="CC835" s="107"/>
      <c r="CD835" s="107"/>
      <c r="CE835" s="106"/>
      <c r="CF835" s="106"/>
      <c r="CG835" s="106"/>
      <c r="CH835" s="106"/>
      <c r="CI835" s="106"/>
      <c r="CJ835" s="138"/>
      <c r="CK835" s="138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K835" s="1"/>
      <c r="EL835" s="106"/>
      <c r="EM835" s="106"/>
      <c r="EN835" s="1"/>
      <c r="EO835" s="106"/>
      <c r="EP835" s="1"/>
      <c r="EQ835" s="1"/>
      <c r="ER835" s="1"/>
      <c r="ES835" s="108"/>
    </row>
    <row r="836" spans="9:149">
      <c r="I836" s="137"/>
      <c r="J836" s="138"/>
      <c r="K836" s="1"/>
      <c r="L836" s="1"/>
      <c r="Q836" s="1"/>
      <c r="R836" s="1"/>
      <c r="S836" s="106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55"/>
      <c r="AN836" s="106"/>
      <c r="AO836" s="106"/>
      <c r="AP836" s="106"/>
      <c r="AQ836" s="31"/>
      <c r="AR836" s="31"/>
      <c r="AS836" s="31"/>
      <c r="AT836" s="30"/>
      <c r="AU836" s="30"/>
      <c r="AV836" s="106"/>
      <c r="AW836" s="106"/>
      <c r="AX836" s="106"/>
      <c r="AY836" s="106"/>
      <c r="AZ836" s="106"/>
      <c r="BA836" s="106"/>
      <c r="BB836" s="107"/>
      <c r="BC836" s="105"/>
      <c r="BD836" s="105"/>
      <c r="BE836" s="105"/>
      <c r="BF836" s="107"/>
      <c r="BG836" s="160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7"/>
      <c r="BV836" s="107"/>
      <c r="BW836" s="107"/>
      <c r="BX836" s="107"/>
      <c r="BY836" s="107"/>
      <c r="BZ836" s="107"/>
      <c r="CA836" s="107"/>
      <c r="CB836" s="107"/>
      <c r="CC836" s="107"/>
      <c r="CD836" s="107"/>
      <c r="CE836" s="106"/>
      <c r="CF836" s="106"/>
      <c r="CG836" s="106"/>
      <c r="CH836" s="106"/>
      <c r="CI836" s="106"/>
      <c r="CJ836" s="138"/>
      <c r="CK836" s="138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K836" s="1"/>
      <c r="EL836" s="106"/>
      <c r="EM836" s="106"/>
      <c r="EN836" s="1"/>
      <c r="EO836" s="106"/>
      <c r="EP836" s="1"/>
      <c r="EQ836" s="1"/>
      <c r="ER836" s="1"/>
      <c r="ES836" s="108"/>
    </row>
    <row r="837" spans="9:149">
      <c r="I837" s="137"/>
      <c r="J837" s="138"/>
      <c r="K837" s="1"/>
      <c r="L837" s="1"/>
      <c r="Q837" s="1"/>
      <c r="R837" s="1"/>
      <c r="S837" s="106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55"/>
      <c r="AN837" s="106"/>
      <c r="AO837" s="106"/>
      <c r="AP837" s="106"/>
      <c r="AQ837" s="31"/>
      <c r="AR837" s="31"/>
      <c r="AS837" s="31"/>
      <c r="AT837" s="30"/>
      <c r="AU837" s="30"/>
      <c r="AV837" s="106"/>
      <c r="AW837" s="106"/>
      <c r="AX837" s="106"/>
      <c r="AY837" s="106"/>
      <c r="AZ837" s="106"/>
      <c r="BA837" s="106"/>
      <c r="BB837" s="107"/>
      <c r="BC837" s="105"/>
      <c r="BD837" s="105"/>
      <c r="BE837" s="105"/>
      <c r="BF837" s="107"/>
      <c r="BG837" s="160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7"/>
      <c r="BV837" s="107"/>
      <c r="BW837" s="107"/>
      <c r="BX837" s="107"/>
      <c r="BY837" s="107"/>
      <c r="BZ837" s="107"/>
      <c r="CA837" s="107"/>
      <c r="CB837" s="107"/>
      <c r="CC837" s="107"/>
      <c r="CD837" s="107"/>
      <c r="CE837" s="106"/>
      <c r="CF837" s="106"/>
      <c r="CG837" s="106"/>
      <c r="CH837" s="106"/>
      <c r="CI837" s="106"/>
      <c r="CJ837" s="138"/>
      <c r="CK837" s="138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K837" s="1"/>
      <c r="EL837" s="106"/>
      <c r="EM837" s="106"/>
      <c r="EN837" s="1"/>
      <c r="EO837" s="106"/>
      <c r="EP837" s="1"/>
      <c r="EQ837" s="1"/>
      <c r="ER837" s="1"/>
      <c r="ES837" s="108"/>
    </row>
    <row r="838" spans="9:149">
      <c r="I838" s="137"/>
      <c r="J838" s="138"/>
      <c r="K838" s="1"/>
      <c r="L838" s="1"/>
      <c r="Q838" s="1"/>
      <c r="R838" s="1"/>
      <c r="S838" s="106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55"/>
      <c r="AN838" s="106"/>
      <c r="AO838" s="106"/>
      <c r="AP838" s="106"/>
      <c r="AQ838" s="31"/>
      <c r="AR838" s="31"/>
      <c r="AS838" s="31"/>
      <c r="AT838" s="30"/>
      <c r="AU838" s="30"/>
      <c r="AV838" s="106"/>
      <c r="AW838" s="106"/>
      <c r="AX838" s="106"/>
      <c r="AY838" s="106"/>
      <c r="AZ838" s="106"/>
      <c r="BA838" s="106"/>
      <c r="BB838" s="107"/>
      <c r="BC838" s="105"/>
      <c r="BD838" s="105"/>
      <c r="BE838" s="105"/>
      <c r="BF838" s="107"/>
      <c r="BG838" s="160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7"/>
      <c r="BV838" s="107"/>
      <c r="BW838" s="107"/>
      <c r="BX838" s="107"/>
      <c r="BY838" s="107"/>
      <c r="BZ838" s="107"/>
      <c r="CA838" s="107"/>
      <c r="CB838" s="107"/>
      <c r="CC838" s="107"/>
      <c r="CD838" s="107"/>
      <c r="CE838" s="106"/>
      <c r="CF838" s="106"/>
      <c r="CG838" s="106"/>
      <c r="CH838" s="106"/>
      <c r="CI838" s="106"/>
      <c r="CJ838" s="138"/>
      <c r="CK838" s="138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K838" s="1"/>
      <c r="EL838" s="106"/>
      <c r="EM838" s="106"/>
      <c r="EN838" s="1"/>
      <c r="EO838" s="106"/>
      <c r="EP838" s="1"/>
      <c r="EQ838" s="1"/>
      <c r="ER838" s="1"/>
      <c r="ES838" s="108"/>
    </row>
    <row r="839" spans="9:149">
      <c r="I839" s="137"/>
      <c r="J839" s="138"/>
      <c r="K839" s="1"/>
      <c r="L839" s="1"/>
      <c r="Q839" s="1"/>
      <c r="R839" s="1"/>
      <c r="S839" s="106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55"/>
      <c r="AN839" s="106"/>
      <c r="AO839" s="106"/>
      <c r="AP839" s="106"/>
      <c r="AQ839" s="31"/>
      <c r="AR839" s="31"/>
      <c r="AS839" s="31"/>
      <c r="AT839" s="30"/>
      <c r="AU839" s="30"/>
      <c r="AV839" s="106"/>
      <c r="AW839" s="106"/>
      <c r="AX839" s="106"/>
      <c r="AY839" s="106"/>
      <c r="AZ839" s="106"/>
      <c r="BA839" s="106"/>
      <c r="BB839" s="107"/>
      <c r="BC839" s="105"/>
      <c r="BD839" s="105"/>
      <c r="BE839" s="105"/>
      <c r="BF839" s="107"/>
      <c r="BG839" s="160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7"/>
      <c r="BV839" s="107"/>
      <c r="BW839" s="107"/>
      <c r="BX839" s="107"/>
      <c r="BY839" s="107"/>
      <c r="BZ839" s="107"/>
      <c r="CA839" s="107"/>
      <c r="CB839" s="107"/>
      <c r="CC839" s="107"/>
      <c r="CD839" s="107"/>
      <c r="CE839" s="106"/>
      <c r="CF839" s="106"/>
      <c r="CG839" s="106"/>
      <c r="CH839" s="106"/>
      <c r="CI839" s="106"/>
      <c r="CJ839" s="138"/>
      <c r="CK839" s="138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K839" s="1"/>
      <c r="EL839" s="106"/>
      <c r="EM839" s="106"/>
      <c r="EN839" s="1"/>
      <c r="EO839" s="106"/>
      <c r="EP839" s="1"/>
      <c r="EQ839" s="1"/>
      <c r="ER839" s="1"/>
      <c r="ES839" s="108"/>
    </row>
    <row r="840" spans="9:149">
      <c r="I840" s="137"/>
      <c r="J840" s="138"/>
      <c r="K840" s="1"/>
      <c r="L840" s="1"/>
      <c r="Q840" s="1"/>
      <c r="R840" s="1"/>
      <c r="S840" s="106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55"/>
      <c r="AN840" s="106"/>
      <c r="AO840" s="106"/>
      <c r="AP840" s="106"/>
      <c r="AQ840" s="31"/>
      <c r="AR840" s="31"/>
      <c r="AS840" s="31"/>
      <c r="AT840" s="30"/>
      <c r="AU840" s="30"/>
      <c r="AV840" s="106"/>
      <c r="AW840" s="106"/>
      <c r="AX840" s="106"/>
      <c r="AY840" s="106"/>
      <c r="AZ840" s="106"/>
      <c r="BA840" s="106"/>
      <c r="BB840" s="107"/>
      <c r="BC840" s="105"/>
      <c r="BD840" s="105"/>
      <c r="BE840" s="105"/>
      <c r="BF840" s="107"/>
      <c r="BG840" s="160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7"/>
      <c r="BV840" s="107"/>
      <c r="BW840" s="107"/>
      <c r="BX840" s="107"/>
      <c r="BY840" s="107"/>
      <c r="BZ840" s="107"/>
      <c r="CA840" s="107"/>
      <c r="CB840" s="107"/>
      <c r="CC840" s="107"/>
      <c r="CD840" s="107"/>
      <c r="CE840" s="106"/>
      <c r="CF840" s="106"/>
      <c r="CG840" s="106"/>
      <c r="CH840" s="106"/>
      <c r="CI840" s="106"/>
      <c r="CJ840" s="138"/>
      <c r="CK840" s="138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K840" s="1"/>
      <c r="EL840" s="106"/>
      <c r="EM840" s="106"/>
      <c r="EN840" s="1"/>
      <c r="EO840" s="106"/>
      <c r="EP840" s="1"/>
      <c r="EQ840" s="1"/>
      <c r="ER840" s="1"/>
      <c r="ES840" s="108"/>
    </row>
    <row r="841" spans="9:149">
      <c r="I841" s="137"/>
      <c r="J841" s="138"/>
      <c r="K841" s="1"/>
      <c r="L841" s="1"/>
      <c r="Q841" s="1"/>
      <c r="R841" s="1"/>
      <c r="S841" s="106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55"/>
      <c r="AN841" s="106"/>
      <c r="AO841" s="106"/>
      <c r="AP841" s="106"/>
      <c r="AQ841" s="31"/>
      <c r="AR841" s="31"/>
      <c r="AS841" s="31"/>
      <c r="AT841" s="30"/>
      <c r="AU841" s="30"/>
      <c r="AV841" s="106"/>
      <c r="AW841" s="106"/>
      <c r="AX841" s="106"/>
      <c r="AY841" s="106"/>
      <c r="AZ841" s="106"/>
      <c r="BA841" s="106"/>
      <c r="BB841" s="107"/>
      <c r="BC841" s="105"/>
      <c r="BD841" s="105"/>
      <c r="BE841" s="105"/>
      <c r="BF841" s="107"/>
      <c r="BG841" s="160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7"/>
      <c r="BV841" s="107"/>
      <c r="BW841" s="107"/>
      <c r="BX841" s="107"/>
      <c r="BY841" s="107"/>
      <c r="BZ841" s="107"/>
      <c r="CA841" s="107"/>
      <c r="CB841" s="107"/>
      <c r="CC841" s="107"/>
      <c r="CD841" s="107"/>
      <c r="CE841" s="106"/>
      <c r="CF841" s="106"/>
      <c r="CG841" s="106"/>
      <c r="CH841" s="106"/>
      <c r="CI841" s="106"/>
      <c r="CJ841" s="138"/>
      <c r="CK841" s="138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K841" s="1"/>
      <c r="EL841" s="106"/>
      <c r="EM841" s="106"/>
      <c r="EN841" s="1"/>
      <c r="EO841" s="106"/>
      <c r="EP841" s="1"/>
      <c r="EQ841" s="1"/>
      <c r="ER841" s="1"/>
      <c r="ES841" s="108"/>
    </row>
    <row r="842" spans="9:149">
      <c r="I842" s="137"/>
      <c r="J842" s="138"/>
      <c r="K842" s="1"/>
      <c r="L842" s="1"/>
      <c r="Q842" s="1"/>
      <c r="R842" s="1"/>
      <c r="S842" s="106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55"/>
      <c r="AN842" s="106"/>
      <c r="AO842" s="106"/>
      <c r="AP842" s="106"/>
      <c r="AQ842" s="31"/>
      <c r="AR842" s="31"/>
      <c r="AS842" s="31"/>
      <c r="AT842" s="30"/>
      <c r="AU842" s="30"/>
      <c r="AV842" s="106"/>
      <c r="AW842" s="106"/>
      <c r="AX842" s="106"/>
      <c r="AY842" s="106"/>
      <c r="AZ842" s="106"/>
      <c r="BA842" s="106"/>
      <c r="BB842" s="107"/>
      <c r="BC842" s="105"/>
      <c r="BD842" s="105"/>
      <c r="BE842" s="105"/>
      <c r="BF842" s="107"/>
      <c r="BG842" s="160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7"/>
      <c r="BV842" s="107"/>
      <c r="BW842" s="107"/>
      <c r="BX842" s="107"/>
      <c r="BY842" s="107"/>
      <c r="BZ842" s="107"/>
      <c r="CA842" s="107"/>
      <c r="CB842" s="107"/>
      <c r="CC842" s="107"/>
      <c r="CD842" s="107"/>
      <c r="CE842" s="106"/>
      <c r="CF842" s="106"/>
      <c r="CG842" s="106"/>
      <c r="CH842" s="106"/>
      <c r="CI842" s="106"/>
      <c r="CJ842" s="138"/>
      <c r="CK842" s="138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K842" s="1"/>
      <c r="EL842" s="106"/>
      <c r="EM842" s="106"/>
      <c r="EN842" s="1"/>
      <c r="EO842" s="106"/>
      <c r="EP842" s="1"/>
      <c r="EQ842" s="1"/>
      <c r="ER842" s="1"/>
      <c r="ES842" s="108"/>
    </row>
    <row r="843" spans="9:149">
      <c r="I843" s="137"/>
      <c r="J843" s="138"/>
      <c r="K843" s="1"/>
      <c r="L843" s="1"/>
      <c r="Q843" s="1"/>
      <c r="R843" s="1"/>
      <c r="S843" s="106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55"/>
      <c r="AN843" s="106"/>
      <c r="AO843" s="106"/>
      <c r="AP843" s="106"/>
      <c r="AQ843" s="31"/>
      <c r="AR843" s="31"/>
      <c r="AS843" s="31"/>
      <c r="AT843" s="30"/>
      <c r="AU843" s="30"/>
      <c r="AV843" s="106"/>
      <c r="AW843" s="106"/>
      <c r="AX843" s="106"/>
      <c r="AY843" s="106"/>
      <c r="AZ843" s="106"/>
      <c r="BA843" s="106"/>
      <c r="BB843" s="107"/>
      <c r="BC843" s="105"/>
      <c r="BD843" s="105"/>
      <c r="BE843" s="105"/>
      <c r="BF843" s="107"/>
      <c r="BG843" s="160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7"/>
      <c r="BV843" s="107"/>
      <c r="BW843" s="107"/>
      <c r="BX843" s="107"/>
      <c r="BY843" s="107"/>
      <c r="BZ843" s="107"/>
      <c r="CA843" s="107"/>
      <c r="CB843" s="107"/>
      <c r="CC843" s="107"/>
      <c r="CD843" s="107"/>
      <c r="CE843" s="106"/>
      <c r="CF843" s="106"/>
      <c r="CG843" s="106"/>
      <c r="CH843" s="106"/>
      <c r="CI843" s="106"/>
      <c r="CJ843" s="138"/>
      <c r="CK843" s="138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K843" s="1"/>
      <c r="EL843" s="106"/>
      <c r="EM843" s="106"/>
      <c r="EN843" s="1"/>
      <c r="EO843" s="106"/>
      <c r="EP843" s="1"/>
      <c r="EQ843" s="1"/>
      <c r="ER843" s="1"/>
      <c r="ES843" s="108"/>
    </row>
    <row r="844" spans="9:149">
      <c r="I844" s="137"/>
      <c r="J844" s="138"/>
      <c r="K844" s="1"/>
      <c r="L844" s="1"/>
      <c r="Q844" s="1"/>
      <c r="R844" s="1"/>
      <c r="S844" s="106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55"/>
      <c r="AN844" s="106"/>
      <c r="AO844" s="106"/>
      <c r="AP844" s="106"/>
      <c r="AQ844" s="31"/>
      <c r="AR844" s="31"/>
      <c r="AS844" s="31"/>
      <c r="AT844" s="30"/>
      <c r="AU844" s="30"/>
      <c r="AV844" s="106"/>
      <c r="AW844" s="106"/>
      <c r="AX844" s="106"/>
      <c r="AY844" s="106"/>
      <c r="AZ844" s="106"/>
      <c r="BA844" s="106"/>
      <c r="BB844" s="107"/>
      <c r="BC844" s="105"/>
      <c r="BD844" s="105"/>
      <c r="BE844" s="105"/>
      <c r="BF844" s="107"/>
      <c r="BG844" s="160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7"/>
      <c r="BV844" s="107"/>
      <c r="BW844" s="107"/>
      <c r="BX844" s="107"/>
      <c r="BY844" s="107"/>
      <c r="BZ844" s="107"/>
      <c r="CA844" s="107"/>
      <c r="CB844" s="107"/>
      <c r="CC844" s="107"/>
      <c r="CD844" s="107"/>
      <c r="CE844" s="106"/>
      <c r="CF844" s="106"/>
      <c r="CG844" s="106"/>
      <c r="CH844" s="106"/>
      <c r="CI844" s="106"/>
      <c r="CJ844" s="138"/>
      <c r="CK844" s="138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K844" s="1"/>
      <c r="EL844" s="106"/>
      <c r="EM844" s="106"/>
      <c r="EN844" s="1"/>
      <c r="EO844" s="106"/>
      <c r="EP844" s="1"/>
      <c r="EQ844" s="1"/>
      <c r="ER844" s="1"/>
      <c r="ES844" s="108"/>
    </row>
    <row r="845" spans="9:149">
      <c r="I845" s="137"/>
      <c r="J845" s="138"/>
      <c r="K845" s="1"/>
      <c r="L845" s="1"/>
      <c r="Q845" s="1"/>
      <c r="R845" s="1"/>
      <c r="S845" s="106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55"/>
      <c r="AN845" s="106"/>
      <c r="AO845" s="106"/>
      <c r="AP845" s="106"/>
      <c r="AQ845" s="31"/>
      <c r="AR845" s="31"/>
      <c r="AS845" s="31"/>
      <c r="AT845" s="30"/>
      <c r="AU845" s="30"/>
      <c r="AV845" s="106"/>
      <c r="AW845" s="106"/>
      <c r="AX845" s="106"/>
      <c r="AY845" s="106"/>
      <c r="AZ845" s="106"/>
      <c r="BA845" s="106"/>
      <c r="BB845" s="107"/>
      <c r="BC845" s="105"/>
      <c r="BD845" s="105"/>
      <c r="BE845" s="105"/>
      <c r="BF845" s="107"/>
      <c r="BG845" s="160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7"/>
      <c r="BV845" s="107"/>
      <c r="BW845" s="107"/>
      <c r="BX845" s="107"/>
      <c r="BY845" s="107"/>
      <c r="BZ845" s="107"/>
      <c r="CA845" s="107"/>
      <c r="CB845" s="107"/>
      <c r="CC845" s="107"/>
      <c r="CD845" s="107"/>
      <c r="CE845" s="106"/>
      <c r="CF845" s="106"/>
      <c r="CG845" s="106"/>
      <c r="CH845" s="106"/>
      <c r="CI845" s="106"/>
      <c r="CJ845" s="138"/>
      <c r="CK845" s="138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K845" s="1"/>
      <c r="EL845" s="106"/>
      <c r="EM845" s="106"/>
      <c r="EN845" s="1"/>
      <c r="EO845" s="106"/>
      <c r="EP845" s="1"/>
      <c r="EQ845" s="1"/>
      <c r="ER845" s="1"/>
      <c r="ES845" s="108"/>
    </row>
    <row r="846" spans="9:149">
      <c r="I846" s="137"/>
      <c r="J846" s="138"/>
      <c r="K846" s="1"/>
      <c r="L846" s="1"/>
      <c r="Q846" s="1"/>
      <c r="R846" s="1"/>
      <c r="S846" s="106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55"/>
      <c r="AN846" s="106"/>
      <c r="AO846" s="106"/>
      <c r="AP846" s="106"/>
      <c r="AQ846" s="31"/>
      <c r="AR846" s="31"/>
      <c r="AS846" s="31"/>
      <c r="AT846" s="30"/>
      <c r="AU846" s="30"/>
      <c r="AV846" s="106"/>
      <c r="AW846" s="106"/>
      <c r="AX846" s="106"/>
      <c r="AY846" s="106"/>
      <c r="AZ846" s="106"/>
      <c r="BA846" s="106"/>
      <c r="BB846" s="107"/>
      <c r="BC846" s="105"/>
      <c r="BD846" s="105"/>
      <c r="BE846" s="105"/>
      <c r="BF846" s="107"/>
      <c r="BG846" s="160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7"/>
      <c r="BV846" s="107"/>
      <c r="BW846" s="107"/>
      <c r="BX846" s="107"/>
      <c r="BY846" s="107"/>
      <c r="BZ846" s="107"/>
      <c r="CA846" s="107"/>
      <c r="CB846" s="107"/>
      <c r="CC846" s="107"/>
      <c r="CD846" s="107"/>
      <c r="CE846" s="106"/>
      <c r="CF846" s="106"/>
      <c r="CG846" s="106"/>
      <c r="CH846" s="106"/>
      <c r="CI846" s="106"/>
      <c r="CJ846" s="138"/>
      <c r="CK846" s="138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K846" s="1"/>
      <c r="EL846" s="106"/>
      <c r="EM846" s="106"/>
      <c r="EN846" s="1"/>
      <c r="EO846" s="106"/>
      <c r="EP846" s="1"/>
      <c r="EQ846" s="1"/>
      <c r="ER846" s="1"/>
      <c r="ES846" s="108"/>
    </row>
    <row r="847" spans="9:149">
      <c r="I847" s="137"/>
      <c r="J847" s="138"/>
      <c r="K847" s="1"/>
      <c r="L847" s="1"/>
      <c r="Q847" s="1"/>
      <c r="R847" s="1"/>
      <c r="S847" s="106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55"/>
      <c r="AN847" s="106"/>
      <c r="AO847" s="106"/>
      <c r="AP847" s="106"/>
      <c r="AQ847" s="31"/>
      <c r="AR847" s="31"/>
      <c r="AS847" s="31"/>
      <c r="AT847" s="30"/>
      <c r="AU847" s="30"/>
      <c r="AV847" s="106"/>
      <c r="AW847" s="106"/>
      <c r="AX847" s="106"/>
      <c r="AY847" s="106"/>
      <c r="AZ847" s="106"/>
      <c r="BA847" s="106"/>
      <c r="BB847" s="107"/>
      <c r="BC847" s="105"/>
      <c r="BD847" s="105"/>
      <c r="BE847" s="105"/>
      <c r="BF847" s="107"/>
      <c r="BG847" s="160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7"/>
      <c r="BV847" s="107"/>
      <c r="BW847" s="107"/>
      <c r="BX847" s="107"/>
      <c r="BY847" s="107"/>
      <c r="BZ847" s="107"/>
      <c r="CA847" s="107"/>
      <c r="CB847" s="107"/>
      <c r="CC847" s="107"/>
      <c r="CD847" s="107"/>
      <c r="CE847" s="106"/>
      <c r="CF847" s="106"/>
      <c r="CG847" s="106"/>
      <c r="CH847" s="106"/>
      <c r="CI847" s="106"/>
      <c r="CJ847" s="138"/>
      <c r="CK847" s="138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K847" s="1"/>
      <c r="EL847" s="106"/>
      <c r="EM847" s="106"/>
      <c r="EN847" s="1"/>
      <c r="EO847" s="106"/>
      <c r="EP847" s="1"/>
      <c r="EQ847" s="1"/>
      <c r="ER847" s="1"/>
      <c r="ES847" s="108"/>
    </row>
    <row r="848" spans="9:149">
      <c r="I848" s="137"/>
      <c r="J848" s="138"/>
      <c r="K848" s="1"/>
      <c r="L848" s="1"/>
      <c r="Q848" s="1"/>
      <c r="R848" s="1"/>
      <c r="S848" s="106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55"/>
      <c r="AN848" s="106"/>
      <c r="AO848" s="106"/>
      <c r="AP848" s="106"/>
      <c r="AQ848" s="31"/>
      <c r="AR848" s="31"/>
      <c r="AS848" s="31"/>
      <c r="AT848" s="30"/>
      <c r="AU848" s="30"/>
      <c r="AV848" s="106"/>
      <c r="AW848" s="106"/>
      <c r="AX848" s="106"/>
      <c r="AY848" s="106"/>
      <c r="AZ848" s="106"/>
      <c r="BA848" s="106"/>
      <c r="BB848" s="107"/>
      <c r="BC848" s="105"/>
      <c r="BD848" s="105"/>
      <c r="BE848" s="105"/>
      <c r="BF848" s="107"/>
      <c r="BG848" s="160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7"/>
      <c r="BV848" s="107"/>
      <c r="BW848" s="107"/>
      <c r="BX848" s="107"/>
      <c r="BY848" s="107"/>
      <c r="BZ848" s="107"/>
      <c r="CA848" s="107"/>
      <c r="CB848" s="107"/>
      <c r="CC848" s="107"/>
      <c r="CD848" s="107"/>
      <c r="CE848" s="106"/>
      <c r="CF848" s="106"/>
      <c r="CG848" s="106"/>
      <c r="CH848" s="106"/>
      <c r="CI848" s="106"/>
      <c r="CJ848" s="138"/>
      <c r="CK848" s="138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K848" s="1"/>
      <c r="EL848" s="106"/>
      <c r="EM848" s="106"/>
      <c r="EN848" s="1"/>
      <c r="EO848" s="106"/>
      <c r="EP848" s="1"/>
      <c r="EQ848" s="1"/>
      <c r="ER848" s="1"/>
      <c r="ES848" s="108"/>
    </row>
    <row r="849" spans="9:149">
      <c r="I849" s="137"/>
      <c r="J849" s="138"/>
      <c r="K849" s="1"/>
      <c r="L849" s="1"/>
      <c r="Q849" s="1"/>
      <c r="R849" s="1"/>
      <c r="S849" s="106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55"/>
      <c r="AN849" s="106"/>
      <c r="AO849" s="106"/>
      <c r="AP849" s="106"/>
      <c r="AQ849" s="31"/>
      <c r="AR849" s="31"/>
      <c r="AS849" s="31"/>
      <c r="AT849" s="30"/>
      <c r="AU849" s="30"/>
      <c r="AV849" s="106"/>
      <c r="AW849" s="106"/>
      <c r="AX849" s="106"/>
      <c r="AY849" s="106"/>
      <c r="AZ849" s="106"/>
      <c r="BA849" s="106"/>
      <c r="BB849" s="107"/>
      <c r="BC849" s="105"/>
      <c r="BD849" s="105"/>
      <c r="BE849" s="105"/>
      <c r="BF849" s="107"/>
      <c r="BG849" s="160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7"/>
      <c r="BV849" s="107"/>
      <c r="BW849" s="107"/>
      <c r="BX849" s="107"/>
      <c r="BY849" s="107"/>
      <c r="BZ849" s="107"/>
      <c r="CA849" s="107"/>
      <c r="CB849" s="107"/>
      <c r="CC849" s="107"/>
      <c r="CD849" s="107"/>
      <c r="CE849" s="106"/>
      <c r="CF849" s="106"/>
      <c r="CG849" s="106"/>
      <c r="CH849" s="106"/>
      <c r="CI849" s="106"/>
      <c r="CJ849" s="138"/>
      <c r="CK849" s="138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K849" s="1"/>
      <c r="EL849" s="106"/>
      <c r="EM849" s="106"/>
      <c r="EN849" s="1"/>
      <c r="EO849" s="106"/>
      <c r="EP849" s="1"/>
      <c r="EQ849" s="1"/>
      <c r="ER849" s="1"/>
      <c r="ES849" s="108"/>
    </row>
    <row r="850" spans="9:149">
      <c r="I850" s="137"/>
      <c r="J850" s="138"/>
      <c r="K850" s="1"/>
      <c r="L850" s="1"/>
      <c r="Q850" s="1"/>
      <c r="R850" s="1"/>
      <c r="S850" s="106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55"/>
      <c r="AN850" s="106"/>
      <c r="AO850" s="106"/>
      <c r="AP850" s="106"/>
      <c r="AQ850" s="31"/>
      <c r="AR850" s="31"/>
      <c r="AS850" s="31"/>
      <c r="AT850" s="30"/>
      <c r="AU850" s="30"/>
      <c r="AV850" s="106"/>
      <c r="AW850" s="106"/>
      <c r="AX850" s="106"/>
      <c r="AY850" s="106"/>
      <c r="AZ850" s="106"/>
      <c r="BA850" s="106"/>
      <c r="BB850" s="107"/>
      <c r="BC850" s="105"/>
      <c r="BD850" s="105"/>
      <c r="BE850" s="105"/>
      <c r="BF850" s="107"/>
      <c r="BG850" s="160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6"/>
      <c r="CF850" s="106"/>
      <c r="CG850" s="106"/>
      <c r="CH850" s="106"/>
      <c r="CI850" s="106"/>
      <c r="CJ850" s="138"/>
      <c r="CK850" s="138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K850" s="1"/>
      <c r="EL850" s="106"/>
      <c r="EM850" s="106"/>
      <c r="EN850" s="1"/>
      <c r="EO850" s="106"/>
      <c r="EP850" s="1"/>
      <c r="EQ850" s="1"/>
      <c r="ER850" s="1"/>
      <c r="ES850" s="108"/>
    </row>
    <row r="851" spans="9:149">
      <c r="I851" s="137"/>
      <c r="J851" s="138"/>
      <c r="K851" s="1"/>
      <c r="L851" s="1"/>
      <c r="Q851" s="1"/>
      <c r="R851" s="1"/>
      <c r="S851" s="106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55"/>
      <c r="AN851" s="106"/>
      <c r="AO851" s="106"/>
      <c r="AP851" s="106"/>
      <c r="AQ851" s="31"/>
      <c r="AR851" s="31"/>
      <c r="AS851" s="31"/>
      <c r="AT851" s="30"/>
      <c r="AU851" s="30"/>
      <c r="AV851" s="106"/>
      <c r="AW851" s="106"/>
      <c r="AX851" s="106"/>
      <c r="AY851" s="106"/>
      <c r="AZ851" s="106"/>
      <c r="BA851" s="106"/>
      <c r="BB851" s="107"/>
      <c r="BC851" s="105"/>
      <c r="BD851" s="105"/>
      <c r="BE851" s="105"/>
      <c r="BF851" s="107"/>
      <c r="BG851" s="160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7"/>
      <c r="BV851" s="107"/>
      <c r="BW851" s="107"/>
      <c r="BX851" s="107"/>
      <c r="BY851" s="107"/>
      <c r="BZ851" s="107"/>
      <c r="CA851" s="107"/>
      <c r="CB851" s="107"/>
      <c r="CC851" s="107"/>
      <c r="CD851" s="107"/>
      <c r="CE851" s="106"/>
      <c r="CF851" s="106"/>
      <c r="CG851" s="106"/>
      <c r="CH851" s="106"/>
      <c r="CI851" s="106"/>
      <c r="CJ851" s="138"/>
      <c r="CK851" s="138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K851" s="1"/>
      <c r="EL851" s="106"/>
      <c r="EM851" s="106"/>
      <c r="EN851" s="1"/>
      <c r="EO851" s="106"/>
      <c r="EP851" s="1"/>
      <c r="EQ851" s="1"/>
      <c r="ER851" s="1"/>
      <c r="ES851" s="108"/>
    </row>
    <row r="852" spans="9:149">
      <c r="I852" s="137"/>
      <c r="J852" s="138"/>
      <c r="K852" s="1"/>
      <c r="L852" s="1"/>
      <c r="Q852" s="1"/>
      <c r="R852" s="1"/>
      <c r="S852" s="106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55"/>
      <c r="AN852" s="106"/>
      <c r="AO852" s="106"/>
      <c r="AP852" s="106"/>
      <c r="AQ852" s="31"/>
      <c r="AR852" s="31"/>
      <c r="AS852" s="31"/>
      <c r="AT852" s="30"/>
      <c r="AU852" s="30"/>
      <c r="AV852" s="106"/>
      <c r="AW852" s="106"/>
      <c r="AX852" s="106"/>
      <c r="AY852" s="106"/>
      <c r="AZ852" s="106"/>
      <c r="BA852" s="106"/>
      <c r="BB852" s="107"/>
      <c r="BC852" s="105"/>
      <c r="BD852" s="105"/>
      <c r="BE852" s="105"/>
      <c r="BF852" s="107"/>
      <c r="BG852" s="160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7"/>
      <c r="BV852" s="107"/>
      <c r="BW852" s="107"/>
      <c r="BX852" s="107"/>
      <c r="BY852" s="107"/>
      <c r="BZ852" s="107"/>
      <c r="CA852" s="107"/>
      <c r="CB852" s="107"/>
      <c r="CC852" s="107"/>
      <c r="CD852" s="107"/>
      <c r="CE852" s="106"/>
      <c r="CF852" s="106"/>
      <c r="CG852" s="106"/>
      <c r="CH852" s="106"/>
      <c r="CI852" s="106"/>
      <c r="CJ852" s="138"/>
      <c r="CK852" s="138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K852" s="1"/>
      <c r="EL852" s="106"/>
      <c r="EM852" s="106"/>
      <c r="EN852" s="1"/>
      <c r="EO852" s="106"/>
      <c r="EP852" s="1"/>
      <c r="EQ852" s="1"/>
      <c r="ER852" s="1"/>
      <c r="ES852" s="108"/>
    </row>
    <row r="853" spans="9:149">
      <c r="I853" s="137"/>
      <c r="J853" s="138"/>
      <c r="K853" s="1"/>
      <c r="L853" s="1"/>
      <c r="Q853" s="1"/>
      <c r="R853" s="1"/>
      <c r="S853" s="106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55"/>
      <c r="AN853" s="106"/>
      <c r="AO853" s="106"/>
      <c r="AP853" s="106"/>
      <c r="AQ853" s="31"/>
      <c r="AR853" s="31"/>
      <c r="AS853" s="31"/>
      <c r="AT853" s="30"/>
      <c r="AU853" s="30"/>
      <c r="AV853" s="106"/>
      <c r="AW853" s="106"/>
      <c r="AX853" s="106"/>
      <c r="AY853" s="106"/>
      <c r="AZ853" s="106"/>
      <c r="BA853" s="106"/>
      <c r="BB853" s="107"/>
      <c r="BC853" s="105"/>
      <c r="BD853" s="105"/>
      <c r="BE853" s="105"/>
      <c r="BF853" s="107"/>
      <c r="BG853" s="160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7"/>
      <c r="BV853" s="107"/>
      <c r="BW853" s="107"/>
      <c r="BX853" s="107"/>
      <c r="BY853" s="107"/>
      <c r="BZ853" s="107"/>
      <c r="CA853" s="107"/>
      <c r="CB853" s="107"/>
      <c r="CC853" s="107"/>
      <c r="CD853" s="107"/>
      <c r="CE853" s="106"/>
      <c r="CF853" s="106"/>
      <c r="CG853" s="106"/>
      <c r="CH853" s="106"/>
      <c r="CI853" s="106"/>
      <c r="CJ853" s="138"/>
      <c r="CK853" s="138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K853" s="1"/>
      <c r="EL853" s="106"/>
      <c r="EM853" s="106"/>
      <c r="EN853" s="1"/>
      <c r="EO853" s="106"/>
      <c r="EP853" s="1"/>
      <c r="EQ853" s="1"/>
      <c r="ER853" s="1"/>
      <c r="ES853" s="108"/>
    </row>
    <row r="854" spans="9:149">
      <c r="I854" s="137"/>
      <c r="J854" s="138"/>
      <c r="K854" s="1"/>
      <c r="L854" s="1"/>
      <c r="Q854" s="1"/>
      <c r="R854" s="1"/>
      <c r="S854" s="106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55"/>
      <c r="AN854" s="106"/>
      <c r="AO854" s="106"/>
      <c r="AP854" s="106"/>
      <c r="AQ854" s="31"/>
      <c r="AR854" s="31"/>
      <c r="AS854" s="31"/>
      <c r="AT854" s="30"/>
      <c r="AU854" s="30"/>
      <c r="AV854" s="106"/>
      <c r="AW854" s="106"/>
      <c r="AX854" s="106"/>
      <c r="AY854" s="106"/>
      <c r="AZ854" s="106"/>
      <c r="BA854" s="106"/>
      <c r="BB854" s="107"/>
      <c r="BC854" s="105"/>
      <c r="BD854" s="105"/>
      <c r="BE854" s="105"/>
      <c r="BF854" s="107"/>
      <c r="BG854" s="160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7"/>
      <c r="BV854" s="107"/>
      <c r="BW854" s="107"/>
      <c r="BX854" s="107"/>
      <c r="BY854" s="107"/>
      <c r="BZ854" s="107"/>
      <c r="CA854" s="107"/>
      <c r="CB854" s="107"/>
      <c r="CC854" s="107"/>
      <c r="CD854" s="107"/>
      <c r="CE854" s="106"/>
      <c r="CF854" s="106"/>
      <c r="CG854" s="106"/>
      <c r="CH854" s="106"/>
      <c r="CI854" s="106"/>
      <c r="CJ854" s="138"/>
      <c r="CK854" s="138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K854" s="1"/>
      <c r="EL854" s="106"/>
      <c r="EM854" s="106"/>
      <c r="EN854" s="1"/>
      <c r="EO854" s="106"/>
      <c r="EP854" s="1"/>
      <c r="EQ854" s="1"/>
      <c r="ER854" s="1"/>
      <c r="ES854" s="108"/>
    </row>
    <row r="855" spans="9:149">
      <c r="I855" s="137"/>
      <c r="J855" s="138"/>
      <c r="K855" s="1"/>
      <c r="L855" s="1"/>
      <c r="Q855" s="1"/>
      <c r="R855" s="1"/>
      <c r="S855" s="106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55"/>
      <c r="AN855" s="106"/>
      <c r="AO855" s="106"/>
      <c r="AP855" s="106"/>
      <c r="AQ855" s="31"/>
      <c r="AR855" s="31"/>
      <c r="AS855" s="31"/>
      <c r="AT855" s="30"/>
      <c r="AU855" s="30"/>
      <c r="AV855" s="106"/>
      <c r="AW855" s="106"/>
      <c r="AX855" s="106"/>
      <c r="AY855" s="106"/>
      <c r="AZ855" s="106"/>
      <c r="BA855" s="106"/>
      <c r="BB855" s="107"/>
      <c r="BC855" s="105"/>
      <c r="BD855" s="105"/>
      <c r="BE855" s="105"/>
      <c r="BF855" s="107"/>
      <c r="BG855" s="160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7"/>
      <c r="BV855" s="107"/>
      <c r="BW855" s="107"/>
      <c r="BX855" s="107"/>
      <c r="BY855" s="107"/>
      <c r="BZ855" s="107"/>
      <c r="CA855" s="107"/>
      <c r="CB855" s="107"/>
      <c r="CC855" s="107"/>
      <c r="CD855" s="107"/>
      <c r="CE855" s="106"/>
      <c r="CF855" s="106"/>
      <c r="CG855" s="106"/>
      <c r="CH855" s="106"/>
      <c r="CI855" s="106"/>
      <c r="CJ855" s="138"/>
      <c r="CK855" s="138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K855" s="1"/>
      <c r="EL855" s="106"/>
      <c r="EM855" s="106"/>
      <c r="EN855" s="1"/>
      <c r="EO855" s="106"/>
      <c r="EP855" s="1"/>
      <c r="EQ855" s="1"/>
      <c r="ER855" s="1"/>
      <c r="ES855" s="108"/>
    </row>
    <row r="856" spans="9:149">
      <c r="I856" s="137"/>
      <c r="J856" s="138"/>
      <c r="K856" s="1"/>
      <c r="L856" s="1"/>
      <c r="Q856" s="1"/>
      <c r="R856" s="1"/>
      <c r="S856" s="106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55"/>
      <c r="AN856" s="106"/>
      <c r="AO856" s="106"/>
      <c r="AP856" s="106"/>
      <c r="AQ856" s="31"/>
      <c r="AR856" s="31"/>
      <c r="AS856" s="31"/>
      <c r="AT856" s="30"/>
      <c r="AU856" s="30"/>
      <c r="AV856" s="106"/>
      <c r="AW856" s="106"/>
      <c r="AX856" s="106"/>
      <c r="AY856" s="106"/>
      <c r="AZ856" s="106"/>
      <c r="BA856" s="106"/>
      <c r="BB856" s="107"/>
      <c r="BC856" s="105"/>
      <c r="BD856" s="105"/>
      <c r="BE856" s="105"/>
      <c r="BF856" s="107"/>
      <c r="BG856" s="160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7"/>
      <c r="BV856" s="107"/>
      <c r="BW856" s="107"/>
      <c r="BX856" s="107"/>
      <c r="BY856" s="107"/>
      <c r="BZ856" s="107"/>
      <c r="CA856" s="107"/>
      <c r="CB856" s="107"/>
      <c r="CC856" s="107"/>
      <c r="CD856" s="107"/>
      <c r="CE856" s="106"/>
      <c r="CF856" s="106"/>
      <c r="CG856" s="106"/>
      <c r="CH856" s="106"/>
      <c r="CI856" s="106"/>
      <c r="CJ856" s="138"/>
      <c r="CK856" s="138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K856" s="1"/>
      <c r="EL856" s="106"/>
      <c r="EM856" s="106"/>
      <c r="EN856" s="1"/>
      <c r="EO856" s="106"/>
      <c r="EP856" s="1"/>
      <c r="EQ856" s="1"/>
      <c r="ER856" s="1"/>
      <c r="ES856" s="108"/>
    </row>
    <row r="857" spans="9:149">
      <c r="I857" s="137"/>
      <c r="J857" s="138"/>
      <c r="K857" s="1"/>
      <c r="L857" s="1"/>
      <c r="Q857" s="1"/>
      <c r="R857" s="1"/>
      <c r="S857" s="106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55"/>
      <c r="AN857" s="106"/>
      <c r="AO857" s="106"/>
      <c r="AP857" s="106"/>
      <c r="AQ857" s="31"/>
      <c r="AR857" s="31"/>
      <c r="AS857" s="31"/>
      <c r="AT857" s="30"/>
      <c r="AU857" s="30"/>
      <c r="AV857" s="106"/>
      <c r="AW857" s="106"/>
      <c r="AX857" s="106"/>
      <c r="AY857" s="106"/>
      <c r="AZ857" s="106"/>
      <c r="BA857" s="106"/>
      <c r="BB857" s="107"/>
      <c r="BC857" s="105"/>
      <c r="BD857" s="105"/>
      <c r="BE857" s="105"/>
      <c r="BF857" s="107"/>
      <c r="BG857" s="160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7"/>
      <c r="BV857" s="107"/>
      <c r="BW857" s="107"/>
      <c r="BX857" s="107"/>
      <c r="BY857" s="107"/>
      <c r="BZ857" s="107"/>
      <c r="CA857" s="107"/>
      <c r="CB857" s="107"/>
      <c r="CC857" s="107"/>
      <c r="CD857" s="107"/>
      <c r="CE857" s="106"/>
      <c r="CF857" s="106"/>
      <c r="CG857" s="106"/>
      <c r="CH857" s="106"/>
      <c r="CI857" s="106"/>
      <c r="CJ857" s="138"/>
      <c r="CK857" s="138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K857" s="1"/>
      <c r="EL857" s="106"/>
      <c r="EM857" s="106"/>
      <c r="EN857" s="1"/>
      <c r="EO857" s="106"/>
      <c r="EP857" s="1"/>
      <c r="EQ857" s="1"/>
      <c r="ER857" s="1"/>
      <c r="ES857" s="108"/>
    </row>
    <row r="858" spans="9:149">
      <c r="I858" s="137"/>
      <c r="J858" s="138"/>
      <c r="K858" s="1"/>
      <c r="L858" s="1"/>
      <c r="Q858" s="1"/>
      <c r="R858" s="1"/>
      <c r="S858" s="106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55"/>
      <c r="AN858" s="106"/>
      <c r="AO858" s="106"/>
      <c r="AP858" s="106"/>
      <c r="AQ858" s="31"/>
      <c r="AR858" s="31"/>
      <c r="AS858" s="31"/>
      <c r="AT858" s="30"/>
      <c r="AU858" s="30"/>
      <c r="AV858" s="106"/>
      <c r="AW858" s="106"/>
      <c r="AX858" s="106"/>
      <c r="AY858" s="106"/>
      <c r="AZ858" s="106"/>
      <c r="BA858" s="106"/>
      <c r="BB858" s="107"/>
      <c r="BC858" s="105"/>
      <c r="BD858" s="105"/>
      <c r="BE858" s="105"/>
      <c r="BF858" s="107"/>
      <c r="BG858" s="160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7"/>
      <c r="BV858" s="107"/>
      <c r="BW858" s="107"/>
      <c r="BX858" s="107"/>
      <c r="BY858" s="107"/>
      <c r="BZ858" s="107"/>
      <c r="CA858" s="107"/>
      <c r="CB858" s="107"/>
      <c r="CC858" s="107"/>
      <c r="CD858" s="107"/>
      <c r="CE858" s="106"/>
      <c r="CF858" s="106"/>
      <c r="CG858" s="106"/>
      <c r="CH858" s="106"/>
      <c r="CI858" s="106"/>
      <c r="CJ858" s="138"/>
      <c r="CK858" s="138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K858" s="1"/>
      <c r="EL858" s="106"/>
      <c r="EM858" s="106"/>
      <c r="EN858" s="1"/>
      <c r="EO858" s="106"/>
      <c r="EP858" s="1"/>
      <c r="EQ858" s="1"/>
      <c r="ER858" s="1"/>
      <c r="ES858" s="108"/>
    </row>
    <row r="859" spans="9:149">
      <c r="I859" s="137"/>
      <c r="J859" s="138"/>
      <c r="K859" s="1"/>
      <c r="L859" s="1"/>
      <c r="Q859" s="1"/>
      <c r="R859" s="1"/>
      <c r="S859" s="106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55"/>
      <c r="AN859" s="106"/>
      <c r="AO859" s="106"/>
      <c r="AP859" s="106"/>
      <c r="AQ859" s="31"/>
      <c r="AR859" s="31"/>
      <c r="AS859" s="31"/>
      <c r="AT859" s="30"/>
      <c r="AU859" s="30"/>
      <c r="AV859" s="106"/>
      <c r="AW859" s="106"/>
      <c r="AX859" s="106"/>
      <c r="AY859" s="106"/>
      <c r="AZ859" s="106"/>
      <c r="BA859" s="106"/>
      <c r="BB859" s="107"/>
      <c r="BC859" s="105"/>
      <c r="BD859" s="105"/>
      <c r="BE859" s="105"/>
      <c r="BF859" s="107"/>
      <c r="BG859" s="160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7"/>
      <c r="BV859" s="107"/>
      <c r="BW859" s="107"/>
      <c r="BX859" s="107"/>
      <c r="BY859" s="107"/>
      <c r="BZ859" s="107"/>
      <c r="CA859" s="107"/>
      <c r="CB859" s="107"/>
      <c r="CC859" s="107"/>
      <c r="CD859" s="107"/>
      <c r="CE859" s="106"/>
      <c r="CF859" s="106"/>
      <c r="CG859" s="106"/>
      <c r="CH859" s="106"/>
      <c r="CI859" s="106"/>
      <c r="CJ859" s="138"/>
      <c r="CK859" s="138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K859" s="1"/>
      <c r="EL859" s="106"/>
      <c r="EM859" s="106"/>
      <c r="EN859" s="1"/>
      <c r="EO859" s="106"/>
      <c r="EP859" s="1"/>
      <c r="EQ859" s="1"/>
      <c r="ER859" s="1"/>
      <c r="ES859" s="108"/>
    </row>
    <row r="860" spans="9:149">
      <c r="I860" s="137"/>
      <c r="J860" s="138"/>
      <c r="K860" s="1"/>
      <c r="L860" s="1"/>
      <c r="Q860" s="1"/>
      <c r="R860" s="1"/>
      <c r="S860" s="106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55"/>
      <c r="AN860" s="106"/>
      <c r="AO860" s="106"/>
      <c r="AP860" s="106"/>
      <c r="AQ860" s="31"/>
      <c r="AR860" s="31"/>
      <c r="AS860" s="31"/>
      <c r="AT860" s="30"/>
      <c r="AU860" s="30"/>
      <c r="AV860" s="106"/>
      <c r="AW860" s="106"/>
      <c r="AX860" s="106"/>
      <c r="AY860" s="106"/>
      <c r="AZ860" s="106"/>
      <c r="BA860" s="106"/>
      <c r="BB860" s="107"/>
      <c r="BC860" s="105"/>
      <c r="BD860" s="105"/>
      <c r="BE860" s="105"/>
      <c r="BF860" s="107"/>
      <c r="BG860" s="160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7"/>
      <c r="BV860" s="107"/>
      <c r="BW860" s="107"/>
      <c r="BX860" s="107"/>
      <c r="BY860" s="107"/>
      <c r="BZ860" s="107"/>
      <c r="CA860" s="107"/>
      <c r="CB860" s="107"/>
      <c r="CC860" s="107"/>
      <c r="CD860" s="107"/>
      <c r="CE860" s="106"/>
      <c r="CF860" s="106"/>
      <c r="CG860" s="106"/>
      <c r="CH860" s="106"/>
      <c r="CI860" s="106"/>
      <c r="CJ860" s="138"/>
      <c r="CK860" s="138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K860" s="1"/>
      <c r="EL860" s="106"/>
      <c r="EM860" s="106"/>
      <c r="EN860" s="1"/>
      <c r="EO860" s="106"/>
      <c r="EP860" s="1"/>
      <c r="EQ860" s="1"/>
      <c r="ER860" s="1"/>
      <c r="ES860" s="108"/>
    </row>
    <row r="861" spans="9:149">
      <c r="I861" s="137"/>
      <c r="J861" s="138"/>
      <c r="K861" s="1"/>
      <c r="L861" s="1"/>
      <c r="Q861" s="1"/>
      <c r="R861" s="1"/>
      <c r="S861" s="106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55"/>
      <c r="AN861" s="106"/>
      <c r="AO861" s="106"/>
      <c r="AP861" s="106"/>
      <c r="AQ861" s="31"/>
      <c r="AR861" s="31"/>
      <c r="AS861" s="31"/>
      <c r="AT861" s="30"/>
      <c r="AU861" s="30"/>
      <c r="AV861" s="106"/>
      <c r="AW861" s="106"/>
      <c r="AX861" s="106"/>
      <c r="AY861" s="106"/>
      <c r="AZ861" s="106"/>
      <c r="BA861" s="106"/>
      <c r="BB861" s="107"/>
      <c r="BC861" s="105"/>
      <c r="BD861" s="105"/>
      <c r="BE861" s="105"/>
      <c r="BF861" s="107"/>
      <c r="BG861" s="160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7"/>
      <c r="BV861" s="107"/>
      <c r="BW861" s="107"/>
      <c r="BX861" s="107"/>
      <c r="BY861" s="107"/>
      <c r="BZ861" s="107"/>
      <c r="CA861" s="107"/>
      <c r="CB861" s="107"/>
      <c r="CC861" s="107"/>
      <c r="CD861" s="107"/>
      <c r="CE861" s="106"/>
      <c r="CF861" s="106"/>
      <c r="CG861" s="106"/>
      <c r="CH861" s="106"/>
      <c r="CI861" s="106"/>
      <c r="CJ861" s="138"/>
      <c r="CK861" s="138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K861" s="1"/>
      <c r="EL861" s="106"/>
      <c r="EM861" s="106"/>
      <c r="EN861" s="1"/>
      <c r="EO861" s="106"/>
      <c r="EP861" s="1"/>
      <c r="EQ861" s="1"/>
      <c r="ER861" s="1"/>
      <c r="ES861" s="108"/>
    </row>
    <row r="862" spans="9:149">
      <c r="I862" s="137"/>
      <c r="J862" s="138"/>
      <c r="K862" s="1"/>
      <c r="L862" s="1"/>
      <c r="Q862" s="1"/>
      <c r="R862" s="1"/>
      <c r="S862" s="106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55"/>
      <c r="AN862" s="106"/>
      <c r="AO862" s="106"/>
      <c r="AP862" s="106"/>
      <c r="AQ862" s="31"/>
      <c r="AR862" s="31"/>
      <c r="AS862" s="31"/>
      <c r="AT862" s="30"/>
      <c r="AU862" s="30"/>
      <c r="AV862" s="106"/>
      <c r="AW862" s="106"/>
      <c r="AX862" s="106"/>
      <c r="AY862" s="106"/>
      <c r="AZ862" s="106"/>
      <c r="BA862" s="106"/>
      <c r="BB862" s="107"/>
      <c r="BC862" s="105"/>
      <c r="BD862" s="105"/>
      <c r="BE862" s="105"/>
      <c r="BF862" s="107"/>
      <c r="BG862" s="160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7"/>
      <c r="BV862" s="107"/>
      <c r="BW862" s="107"/>
      <c r="BX862" s="107"/>
      <c r="BY862" s="107"/>
      <c r="BZ862" s="107"/>
      <c r="CA862" s="107"/>
      <c r="CB862" s="107"/>
      <c r="CC862" s="107"/>
      <c r="CD862" s="107"/>
      <c r="CE862" s="106"/>
      <c r="CF862" s="106"/>
      <c r="CG862" s="106"/>
      <c r="CH862" s="106"/>
      <c r="CI862" s="106"/>
      <c r="CJ862" s="138"/>
      <c r="CK862" s="138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K862" s="1"/>
      <c r="EL862" s="106"/>
      <c r="EM862" s="106"/>
      <c r="EN862" s="1"/>
      <c r="EO862" s="106"/>
      <c r="EP862" s="1"/>
      <c r="EQ862" s="1"/>
      <c r="ER862" s="1"/>
      <c r="ES862" s="108"/>
    </row>
    <row r="863" spans="9:149">
      <c r="I863" s="137"/>
      <c r="J863" s="138"/>
      <c r="K863" s="1"/>
      <c r="L863" s="1"/>
      <c r="Q863" s="1"/>
      <c r="R863" s="1"/>
      <c r="S863" s="106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55"/>
      <c r="AN863" s="106"/>
      <c r="AO863" s="106"/>
      <c r="AP863" s="106"/>
      <c r="AQ863" s="31"/>
      <c r="AR863" s="31"/>
      <c r="AS863" s="31"/>
      <c r="AT863" s="30"/>
      <c r="AU863" s="30"/>
      <c r="AV863" s="106"/>
      <c r="AW863" s="106"/>
      <c r="AX863" s="106"/>
      <c r="AY863" s="106"/>
      <c r="AZ863" s="106"/>
      <c r="BA863" s="106"/>
      <c r="BB863" s="107"/>
      <c r="BC863" s="105"/>
      <c r="BD863" s="105"/>
      <c r="BE863" s="105"/>
      <c r="BF863" s="107"/>
      <c r="BG863" s="160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7"/>
      <c r="BV863" s="107"/>
      <c r="BW863" s="107"/>
      <c r="BX863" s="107"/>
      <c r="BY863" s="107"/>
      <c r="BZ863" s="107"/>
      <c r="CA863" s="107"/>
      <c r="CB863" s="107"/>
      <c r="CC863" s="107"/>
      <c r="CD863" s="107"/>
      <c r="CE863" s="106"/>
      <c r="CF863" s="106"/>
      <c r="CG863" s="106"/>
      <c r="CH863" s="106"/>
      <c r="CI863" s="106"/>
      <c r="CJ863" s="138"/>
      <c r="CK863" s="138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K863" s="1"/>
      <c r="EL863" s="106"/>
      <c r="EM863" s="106"/>
      <c r="EN863" s="1"/>
      <c r="EO863" s="106"/>
      <c r="EP863" s="1"/>
      <c r="EQ863" s="1"/>
      <c r="ER863" s="1"/>
      <c r="ES863" s="108"/>
    </row>
    <row r="864" spans="9:149">
      <c r="I864" s="137"/>
      <c r="J864" s="138"/>
      <c r="K864" s="1"/>
      <c r="L864" s="1"/>
      <c r="Q864" s="1"/>
      <c r="R864" s="1"/>
      <c r="S864" s="106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55"/>
      <c r="AN864" s="106"/>
      <c r="AO864" s="106"/>
      <c r="AP864" s="106"/>
      <c r="AQ864" s="31"/>
      <c r="AR864" s="31"/>
      <c r="AS864" s="31"/>
      <c r="AT864" s="30"/>
      <c r="AU864" s="30"/>
      <c r="AV864" s="106"/>
      <c r="AW864" s="106"/>
      <c r="AX864" s="106"/>
      <c r="AY864" s="106"/>
      <c r="AZ864" s="106"/>
      <c r="BA864" s="106"/>
      <c r="BB864" s="107"/>
      <c r="BC864" s="105"/>
      <c r="BD864" s="105"/>
      <c r="BE864" s="105"/>
      <c r="BF864" s="107"/>
      <c r="BG864" s="160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7"/>
      <c r="BV864" s="107"/>
      <c r="BW864" s="107"/>
      <c r="BX864" s="107"/>
      <c r="BY864" s="107"/>
      <c r="BZ864" s="107"/>
      <c r="CA864" s="107"/>
      <c r="CB864" s="107"/>
      <c r="CC864" s="107"/>
      <c r="CD864" s="107"/>
      <c r="CE864" s="106"/>
      <c r="CF864" s="106"/>
      <c r="CG864" s="106"/>
      <c r="CH864" s="106"/>
      <c r="CI864" s="106"/>
      <c r="CJ864" s="138"/>
      <c r="CK864" s="138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K864" s="1"/>
      <c r="EL864" s="106"/>
      <c r="EM864" s="106"/>
      <c r="EN864" s="1"/>
      <c r="EO864" s="106"/>
      <c r="EP864" s="1"/>
      <c r="EQ864" s="1"/>
      <c r="ER864" s="1"/>
      <c r="ES864" s="108"/>
    </row>
    <row r="865" spans="9:149">
      <c r="I865" s="137"/>
      <c r="J865" s="138"/>
      <c r="K865" s="1"/>
      <c r="L865" s="1"/>
      <c r="Q865" s="1"/>
      <c r="R865" s="1"/>
      <c r="S865" s="106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55"/>
      <c r="AN865" s="106"/>
      <c r="AO865" s="106"/>
      <c r="AP865" s="106"/>
      <c r="AQ865" s="31"/>
      <c r="AR865" s="31"/>
      <c r="AS865" s="31"/>
      <c r="AT865" s="30"/>
      <c r="AU865" s="30"/>
      <c r="AV865" s="106"/>
      <c r="AW865" s="106"/>
      <c r="AX865" s="106"/>
      <c r="AY865" s="106"/>
      <c r="AZ865" s="106"/>
      <c r="BA865" s="106"/>
      <c r="BB865" s="107"/>
      <c r="BC865" s="105"/>
      <c r="BD865" s="105"/>
      <c r="BE865" s="105"/>
      <c r="BF865" s="107"/>
      <c r="BG865" s="160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7"/>
      <c r="BV865" s="107"/>
      <c r="BW865" s="107"/>
      <c r="BX865" s="107"/>
      <c r="BY865" s="107"/>
      <c r="BZ865" s="107"/>
      <c r="CA865" s="107"/>
      <c r="CB865" s="107"/>
      <c r="CC865" s="107"/>
      <c r="CD865" s="107"/>
      <c r="CE865" s="106"/>
      <c r="CF865" s="106"/>
      <c r="CG865" s="106"/>
      <c r="CH865" s="106"/>
      <c r="CI865" s="106"/>
      <c r="CJ865" s="138"/>
      <c r="CK865" s="138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K865" s="1"/>
      <c r="EL865" s="106"/>
      <c r="EM865" s="106"/>
      <c r="EN865" s="1"/>
      <c r="EO865" s="106"/>
      <c r="EP865" s="1"/>
      <c r="EQ865" s="1"/>
      <c r="ER865" s="1"/>
      <c r="ES865" s="108"/>
    </row>
    <row r="866" spans="9:149">
      <c r="I866" s="137"/>
      <c r="J866" s="138"/>
      <c r="K866" s="1"/>
      <c r="L866" s="1"/>
      <c r="Q866" s="1"/>
      <c r="R866" s="1"/>
      <c r="S866" s="106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55"/>
      <c r="AN866" s="106"/>
      <c r="AO866" s="106"/>
      <c r="AP866" s="106"/>
      <c r="AQ866" s="31"/>
      <c r="AR866" s="31"/>
      <c r="AS866" s="31"/>
      <c r="AT866" s="30"/>
      <c r="AU866" s="30"/>
      <c r="AV866" s="106"/>
      <c r="AW866" s="106"/>
      <c r="AX866" s="106"/>
      <c r="AY866" s="106"/>
      <c r="AZ866" s="106"/>
      <c r="BA866" s="106"/>
      <c r="BB866" s="107"/>
      <c r="BC866" s="105"/>
      <c r="BD866" s="105"/>
      <c r="BE866" s="105"/>
      <c r="BF866" s="107"/>
      <c r="BG866" s="160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7"/>
      <c r="BV866" s="107"/>
      <c r="BW866" s="107"/>
      <c r="BX866" s="107"/>
      <c r="BY866" s="107"/>
      <c r="BZ866" s="107"/>
      <c r="CA866" s="107"/>
      <c r="CB866" s="107"/>
      <c r="CC866" s="107"/>
      <c r="CD866" s="107"/>
      <c r="CE866" s="106"/>
      <c r="CF866" s="106"/>
      <c r="CG866" s="106"/>
      <c r="CH866" s="106"/>
      <c r="CI866" s="106"/>
      <c r="CJ866" s="138"/>
      <c r="CK866" s="138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K866" s="1"/>
      <c r="EL866" s="106"/>
      <c r="EM866" s="106"/>
      <c r="EN866" s="1"/>
      <c r="EO866" s="106"/>
      <c r="EP866" s="1"/>
      <c r="EQ866" s="1"/>
      <c r="ER866" s="1"/>
      <c r="ES866" s="108"/>
    </row>
    <row r="867" spans="9:149">
      <c r="I867" s="137"/>
      <c r="J867" s="138"/>
      <c r="K867" s="1"/>
      <c r="L867" s="1"/>
      <c r="Q867" s="1"/>
      <c r="R867" s="1"/>
      <c r="S867" s="106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55"/>
      <c r="AN867" s="106"/>
      <c r="AO867" s="106"/>
      <c r="AP867" s="106"/>
      <c r="AQ867" s="31"/>
      <c r="AR867" s="31"/>
      <c r="AS867" s="31"/>
      <c r="AT867" s="30"/>
      <c r="AU867" s="30"/>
      <c r="AV867" s="106"/>
      <c r="AW867" s="106"/>
      <c r="AX867" s="106"/>
      <c r="AY867" s="106"/>
      <c r="AZ867" s="106"/>
      <c r="BA867" s="106"/>
      <c r="BB867" s="107"/>
      <c r="BC867" s="105"/>
      <c r="BD867" s="105"/>
      <c r="BE867" s="105"/>
      <c r="BF867" s="107"/>
      <c r="BG867" s="160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7"/>
      <c r="BV867" s="107"/>
      <c r="BW867" s="107"/>
      <c r="BX867" s="107"/>
      <c r="BY867" s="107"/>
      <c r="BZ867" s="107"/>
      <c r="CA867" s="107"/>
      <c r="CB867" s="107"/>
      <c r="CC867" s="107"/>
      <c r="CD867" s="107"/>
      <c r="CE867" s="106"/>
      <c r="CF867" s="106"/>
      <c r="CG867" s="106"/>
      <c r="CH867" s="106"/>
      <c r="CI867" s="106"/>
      <c r="CJ867" s="138"/>
      <c r="CK867" s="138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K867" s="1"/>
      <c r="EL867" s="106"/>
      <c r="EM867" s="106"/>
      <c r="EN867" s="1"/>
      <c r="EO867" s="106"/>
      <c r="EP867" s="1"/>
      <c r="EQ867" s="1"/>
      <c r="ER867" s="1"/>
      <c r="ES867" s="108"/>
    </row>
    <row r="868" spans="9:149">
      <c r="I868" s="137"/>
      <c r="J868" s="138"/>
      <c r="K868" s="1"/>
      <c r="L868" s="1"/>
      <c r="Q868" s="1"/>
      <c r="R868" s="1"/>
      <c r="S868" s="106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55"/>
      <c r="AN868" s="106"/>
      <c r="AO868" s="106"/>
      <c r="AP868" s="106"/>
      <c r="AQ868" s="31"/>
      <c r="AR868" s="31"/>
      <c r="AS868" s="31"/>
      <c r="AT868" s="30"/>
      <c r="AU868" s="30"/>
      <c r="AV868" s="106"/>
      <c r="AW868" s="106"/>
      <c r="AX868" s="106"/>
      <c r="AY868" s="106"/>
      <c r="AZ868" s="106"/>
      <c r="BA868" s="106"/>
      <c r="BB868" s="107"/>
      <c r="BC868" s="105"/>
      <c r="BD868" s="105"/>
      <c r="BE868" s="105"/>
      <c r="BF868" s="107"/>
      <c r="BG868" s="160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7"/>
      <c r="BV868" s="107"/>
      <c r="BW868" s="107"/>
      <c r="BX868" s="107"/>
      <c r="BY868" s="107"/>
      <c r="BZ868" s="107"/>
      <c r="CA868" s="107"/>
      <c r="CB868" s="107"/>
      <c r="CC868" s="107"/>
      <c r="CD868" s="107"/>
      <c r="CE868" s="106"/>
      <c r="CF868" s="106"/>
      <c r="CG868" s="106"/>
      <c r="CH868" s="106"/>
      <c r="CI868" s="106"/>
      <c r="CJ868" s="138"/>
      <c r="CK868" s="138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K868" s="1"/>
      <c r="EL868" s="106"/>
      <c r="EM868" s="106"/>
      <c r="EN868" s="1"/>
      <c r="EO868" s="106"/>
      <c r="EP868" s="1"/>
      <c r="EQ868" s="1"/>
      <c r="ER868" s="1"/>
      <c r="ES868" s="108"/>
    </row>
    <row r="869" spans="9:149">
      <c r="I869" s="137"/>
      <c r="J869" s="138"/>
      <c r="K869" s="1"/>
      <c r="L869" s="1"/>
      <c r="Q869" s="1"/>
      <c r="R869" s="1"/>
      <c r="S869" s="106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55"/>
      <c r="AN869" s="106"/>
      <c r="AO869" s="106"/>
      <c r="AP869" s="106"/>
      <c r="AQ869" s="31"/>
      <c r="AR869" s="31"/>
      <c r="AS869" s="31"/>
      <c r="AT869" s="30"/>
      <c r="AU869" s="30"/>
      <c r="AV869" s="106"/>
      <c r="AW869" s="106"/>
      <c r="AX869" s="106"/>
      <c r="AY869" s="106"/>
      <c r="AZ869" s="106"/>
      <c r="BA869" s="106"/>
      <c r="BB869" s="107"/>
      <c r="BC869" s="105"/>
      <c r="BD869" s="105"/>
      <c r="BE869" s="105"/>
      <c r="BF869" s="107"/>
      <c r="BG869" s="160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7"/>
      <c r="BV869" s="107"/>
      <c r="BW869" s="107"/>
      <c r="BX869" s="107"/>
      <c r="BY869" s="107"/>
      <c r="BZ869" s="107"/>
      <c r="CA869" s="107"/>
      <c r="CB869" s="107"/>
      <c r="CC869" s="107"/>
      <c r="CD869" s="107"/>
      <c r="CE869" s="106"/>
      <c r="CF869" s="106"/>
      <c r="CG869" s="106"/>
      <c r="CH869" s="106"/>
      <c r="CI869" s="106"/>
      <c r="CJ869" s="138"/>
      <c r="CK869" s="138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K869" s="1"/>
      <c r="EL869" s="106"/>
      <c r="EM869" s="106"/>
      <c r="EN869" s="1"/>
      <c r="EO869" s="106"/>
      <c r="EP869" s="1"/>
      <c r="EQ869" s="1"/>
      <c r="ER869" s="1"/>
      <c r="ES869" s="108"/>
    </row>
    <row r="870" spans="9:149">
      <c r="I870" s="137"/>
      <c r="J870" s="138"/>
      <c r="K870" s="1"/>
      <c r="L870" s="1"/>
      <c r="Q870" s="1"/>
      <c r="R870" s="1"/>
      <c r="S870" s="106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55"/>
      <c r="AN870" s="106"/>
      <c r="AO870" s="106"/>
      <c r="AP870" s="106"/>
      <c r="AQ870" s="31"/>
      <c r="AR870" s="31"/>
      <c r="AS870" s="31"/>
      <c r="AT870" s="30"/>
      <c r="AU870" s="30"/>
      <c r="AV870" s="106"/>
      <c r="AW870" s="106"/>
      <c r="AX870" s="106"/>
      <c r="AY870" s="106"/>
      <c r="AZ870" s="106"/>
      <c r="BA870" s="106"/>
      <c r="BB870" s="107"/>
      <c r="BC870" s="105"/>
      <c r="BD870" s="105"/>
      <c r="BE870" s="105"/>
      <c r="BF870" s="107"/>
      <c r="BG870" s="160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7"/>
      <c r="BV870" s="107"/>
      <c r="BW870" s="107"/>
      <c r="BX870" s="107"/>
      <c r="BY870" s="107"/>
      <c r="BZ870" s="107"/>
      <c r="CA870" s="107"/>
      <c r="CB870" s="107"/>
      <c r="CC870" s="107"/>
      <c r="CD870" s="107"/>
      <c r="CE870" s="106"/>
      <c r="CF870" s="106"/>
      <c r="CG870" s="106"/>
      <c r="CH870" s="106"/>
      <c r="CI870" s="106"/>
      <c r="CJ870" s="138"/>
      <c r="CK870" s="138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K870" s="1"/>
      <c r="EL870" s="106"/>
      <c r="EM870" s="106"/>
      <c r="EN870" s="1"/>
      <c r="EO870" s="106"/>
      <c r="EP870" s="1"/>
      <c r="EQ870" s="1"/>
      <c r="ER870" s="1"/>
      <c r="ES870" s="108"/>
    </row>
    <row r="871" spans="9:149">
      <c r="I871" s="137"/>
      <c r="J871" s="138"/>
      <c r="K871" s="1"/>
      <c r="L871" s="1"/>
      <c r="Q871" s="1"/>
      <c r="R871" s="1"/>
      <c r="S871" s="106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55"/>
      <c r="AN871" s="106"/>
      <c r="AO871" s="106"/>
      <c r="AP871" s="106"/>
      <c r="AQ871" s="31"/>
      <c r="AR871" s="31"/>
      <c r="AS871" s="31"/>
      <c r="AT871" s="30"/>
      <c r="AU871" s="30"/>
      <c r="AV871" s="106"/>
      <c r="AW871" s="106"/>
      <c r="AX871" s="106"/>
      <c r="AY871" s="106"/>
      <c r="AZ871" s="106"/>
      <c r="BA871" s="106"/>
      <c r="BB871" s="107"/>
      <c r="BC871" s="105"/>
      <c r="BD871" s="105"/>
      <c r="BE871" s="105"/>
      <c r="BF871" s="107"/>
      <c r="BG871" s="160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7"/>
      <c r="BV871" s="107"/>
      <c r="BW871" s="107"/>
      <c r="BX871" s="107"/>
      <c r="BY871" s="107"/>
      <c r="BZ871" s="107"/>
      <c r="CA871" s="107"/>
      <c r="CB871" s="107"/>
      <c r="CC871" s="107"/>
      <c r="CD871" s="107"/>
      <c r="CE871" s="106"/>
      <c r="CF871" s="106"/>
      <c r="CG871" s="106"/>
      <c r="CH871" s="106"/>
      <c r="CI871" s="106"/>
      <c r="CJ871" s="138"/>
      <c r="CK871" s="138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K871" s="1"/>
      <c r="EL871" s="106"/>
      <c r="EM871" s="106"/>
      <c r="EN871" s="1"/>
      <c r="EO871" s="106"/>
      <c r="EP871" s="1"/>
      <c r="EQ871" s="1"/>
      <c r="ER871" s="1"/>
      <c r="ES871" s="108"/>
    </row>
    <row r="872" spans="9:149">
      <c r="I872" s="137"/>
      <c r="J872" s="138"/>
      <c r="K872" s="1"/>
      <c r="L872" s="1"/>
      <c r="Q872" s="1"/>
      <c r="R872" s="1"/>
      <c r="S872" s="106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55"/>
      <c r="AN872" s="106"/>
      <c r="AO872" s="106"/>
      <c r="AP872" s="106"/>
      <c r="AQ872" s="31"/>
      <c r="AR872" s="31"/>
      <c r="AS872" s="31"/>
      <c r="AT872" s="30"/>
      <c r="AU872" s="30"/>
      <c r="AV872" s="106"/>
      <c r="AW872" s="106"/>
      <c r="AX872" s="106"/>
      <c r="AY872" s="106"/>
      <c r="AZ872" s="106"/>
      <c r="BA872" s="106"/>
      <c r="BB872" s="107"/>
      <c r="BC872" s="105"/>
      <c r="BD872" s="105"/>
      <c r="BE872" s="105"/>
      <c r="BF872" s="107"/>
      <c r="BG872" s="160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6"/>
      <c r="CF872" s="106"/>
      <c r="CG872" s="106"/>
      <c r="CH872" s="106"/>
      <c r="CI872" s="106"/>
      <c r="CJ872" s="138"/>
      <c r="CK872" s="138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K872" s="1"/>
      <c r="EL872" s="106"/>
      <c r="EM872" s="106"/>
      <c r="EN872" s="1"/>
      <c r="EO872" s="106"/>
      <c r="EP872" s="1"/>
      <c r="EQ872" s="1"/>
      <c r="ER872" s="1"/>
      <c r="ES872" s="108"/>
    </row>
    <row r="873" spans="9:149">
      <c r="I873" s="137"/>
      <c r="J873" s="138"/>
      <c r="K873" s="1"/>
      <c r="L873" s="1"/>
      <c r="Q873" s="1"/>
      <c r="R873" s="1"/>
      <c r="S873" s="106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55"/>
      <c r="AN873" s="106"/>
      <c r="AO873" s="106"/>
      <c r="AP873" s="106"/>
      <c r="AQ873" s="31"/>
      <c r="AR873" s="31"/>
      <c r="AS873" s="31"/>
      <c r="AT873" s="30"/>
      <c r="AU873" s="30"/>
      <c r="AV873" s="106"/>
      <c r="AW873" s="106"/>
      <c r="AX873" s="106"/>
      <c r="AY873" s="106"/>
      <c r="AZ873" s="106"/>
      <c r="BA873" s="106"/>
      <c r="BB873" s="107"/>
      <c r="BC873" s="105"/>
      <c r="BD873" s="105"/>
      <c r="BE873" s="105"/>
      <c r="BF873" s="107"/>
      <c r="BG873" s="160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7"/>
      <c r="BV873" s="107"/>
      <c r="BW873" s="107"/>
      <c r="BX873" s="107"/>
      <c r="BY873" s="107"/>
      <c r="BZ873" s="107"/>
      <c r="CA873" s="107"/>
      <c r="CB873" s="107"/>
      <c r="CC873" s="107"/>
      <c r="CD873" s="107"/>
      <c r="CE873" s="106"/>
      <c r="CF873" s="106"/>
      <c r="CG873" s="106"/>
      <c r="CH873" s="106"/>
      <c r="CI873" s="106"/>
      <c r="CJ873" s="138"/>
      <c r="CK873" s="138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K873" s="1"/>
      <c r="EL873" s="106"/>
      <c r="EM873" s="106"/>
      <c r="EN873" s="1"/>
      <c r="EO873" s="106"/>
      <c r="EP873" s="1"/>
      <c r="EQ873" s="1"/>
      <c r="ER873" s="1"/>
      <c r="ES873" s="108"/>
    </row>
    <row r="874" spans="9:149">
      <c r="I874" s="137"/>
      <c r="J874" s="138"/>
      <c r="K874" s="1"/>
      <c r="L874" s="1"/>
      <c r="Q874" s="1"/>
      <c r="R874" s="1"/>
      <c r="S874" s="106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55"/>
      <c r="AN874" s="106"/>
      <c r="AO874" s="106"/>
      <c r="AP874" s="106"/>
      <c r="AQ874" s="31"/>
      <c r="AR874" s="31"/>
      <c r="AS874" s="31"/>
      <c r="AT874" s="30"/>
      <c r="AU874" s="30"/>
      <c r="AV874" s="106"/>
      <c r="AW874" s="106"/>
      <c r="AX874" s="106"/>
      <c r="AY874" s="106"/>
      <c r="AZ874" s="106"/>
      <c r="BA874" s="106"/>
      <c r="BB874" s="107"/>
      <c r="BC874" s="105"/>
      <c r="BD874" s="105"/>
      <c r="BE874" s="105"/>
      <c r="BF874" s="107"/>
      <c r="BG874" s="160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7"/>
      <c r="BV874" s="107"/>
      <c r="BW874" s="107"/>
      <c r="BX874" s="107"/>
      <c r="BY874" s="107"/>
      <c r="BZ874" s="107"/>
      <c r="CA874" s="107"/>
      <c r="CB874" s="107"/>
      <c r="CC874" s="107"/>
      <c r="CD874" s="107"/>
      <c r="CE874" s="106"/>
      <c r="CF874" s="106"/>
      <c r="CG874" s="106"/>
      <c r="CH874" s="106"/>
      <c r="CI874" s="106"/>
      <c r="CJ874" s="138"/>
      <c r="CK874" s="138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K874" s="1"/>
      <c r="EL874" s="106"/>
      <c r="EM874" s="106"/>
      <c r="EN874" s="1"/>
      <c r="EO874" s="106"/>
      <c r="EP874" s="1"/>
      <c r="EQ874" s="1"/>
      <c r="ER874" s="1"/>
      <c r="ES874" s="108"/>
    </row>
    <row r="875" spans="9:149">
      <c r="I875" s="137"/>
      <c r="J875" s="138"/>
      <c r="K875" s="1"/>
      <c r="L875" s="1"/>
      <c r="Q875" s="1"/>
      <c r="R875" s="1"/>
      <c r="S875" s="106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55"/>
      <c r="AN875" s="106"/>
      <c r="AO875" s="106"/>
      <c r="AP875" s="106"/>
      <c r="AQ875" s="31"/>
      <c r="AR875" s="31"/>
      <c r="AS875" s="31"/>
      <c r="AT875" s="30"/>
      <c r="AU875" s="30"/>
      <c r="AV875" s="106"/>
      <c r="AW875" s="106"/>
      <c r="AX875" s="106"/>
      <c r="AY875" s="106"/>
      <c r="AZ875" s="106"/>
      <c r="BA875" s="106"/>
      <c r="BB875" s="107"/>
      <c r="BC875" s="105"/>
      <c r="BD875" s="105"/>
      <c r="BE875" s="105"/>
      <c r="BF875" s="107"/>
      <c r="BG875" s="160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7"/>
      <c r="BV875" s="107"/>
      <c r="BW875" s="107"/>
      <c r="BX875" s="107"/>
      <c r="BY875" s="107"/>
      <c r="BZ875" s="107"/>
      <c r="CA875" s="107"/>
      <c r="CB875" s="107"/>
      <c r="CC875" s="107"/>
      <c r="CD875" s="107"/>
      <c r="CE875" s="106"/>
      <c r="CF875" s="106"/>
      <c r="CG875" s="106"/>
      <c r="CH875" s="106"/>
      <c r="CI875" s="106"/>
      <c r="CJ875" s="138"/>
      <c r="CK875" s="138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K875" s="1"/>
      <c r="EL875" s="106"/>
      <c r="EM875" s="106"/>
      <c r="EN875" s="1"/>
      <c r="EO875" s="106"/>
      <c r="EP875" s="1"/>
      <c r="EQ875" s="1"/>
      <c r="ER875" s="1"/>
      <c r="ES875" s="108"/>
    </row>
    <row r="876" spans="9:149">
      <c r="I876" s="137"/>
      <c r="J876" s="138"/>
      <c r="K876" s="1"/>
      <c r="L876" s="1"/>
      <c r="Q876" s="1"/>
      <c r="R876" s="1"/>
      <c r="S876" s="106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55"/>
      <c r="AN876" s="106"/>
      <c r="AO876" s="106"/>
      <c r="AP876" s="106"/>
      <c r="AQ876" s="31"/>
      <c r="AR876" s="31"/>
      <c r="AS876" s="31"/>
      <c r="AT876" s="30"/>
      <c r="AU876" s="30"/>
      <c r="AV876" s="106"/>
      <c r="AW876" s="106"/>
      <c r="AX876" s="106"/>
      <c r="AY876" s="106"/>
      <c r="AZ876" s="106"/>
      <c r="BA876" s="106"/>
      <c r="BB876" s="107"/>
      <c r="BC876" s="105"/>
      <c r="BD876" s="105"/>
      <c r="BE876" s="105"/>
      <c r="BF876" s="107"/>
      <c r="BG876" s="160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7"/>
      <c r="BV876" s="107"/>
      <c r="BW876" s="107"/>
      <c r="BX876" s="107"/>
      <c r="BY876" s="107"/>
      <c r="BZ876" s="107"/>
      <c r="CA876" s="107"/>
      <c r="CB876" s="107"/>
      <c r="CC876" s="107"/>
      <c r="CD876" s="107"/>
      <c r="CE876" s="106"/>
      <c r="CF876" s="106"/>
      <c r="CG876" s="106"/>
      <c r="CH876" s="106"/>
      <c r="CI876" s="106"/>
      <c r="CJ876" s="138"/>
      <c r="CK876" s="138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K876" s="1"/>
      <c r="EL876" s="106"/>
      <c r="EM876" s="106"/>
      <c r="EN876" s="1"/>
      <c r="EO876" s="106"/>
      <c r="EP876" s="1"/>
      <c r="EQ876" s="1"/>
      <c r="ER876" s="1"/>
      <c r="ES876" s="108"/>
    </row>
    <row r="877" spans="9:149">
      <c r="I877" s="137"/>
      <c r="J877" s="138"/>
      <c r="K877" s="1"/>
      <c r="L877" s="1"/>
      <c r="Q877" s="1"/>
      <c r="R877" s="1"/>
      <c r="S877" s="106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55"/>
      <c r="AN877" s="106"/>
      <c r="AO877" s="106"/>
      <c r="AP877" s="106"/>
      <c r="AQ877" s="31"/>
      <c r="AR877" s="31"/>
      <c r="AS877" s="31"/>
      <c r="AT877" s="30"/>
      <c r="AU877" s="30"/>
      <c r="AV877" s="106"/>
      <c r="AW877" s="106"/>
      <c r="AX877" s="106"/>
      <c r="AY877" s="106"/>
      <c r="AZ877" s="106"/>
      <c r="BA877" s="106"/>
      <c r="BB877" s="107"/>
      <c r="BC877" s="105"/>
      <c r="BD877" s="105"/>
      <c r="BE877" s="105"/>
      <c r="BF877" s="107"/>
      <c r="BG877" s="160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7"/>
      <c r="BV877" s="107"/>
      <c r="BW877" s="107"/>
      <c r="BX877" s="107"/>
      <c r="BY877" s="107"/>
      <c r="BZ877" s="107"/>
      <c r="CA877" s="107"/>
      <c r="CB877" s="107"/>
      <c r="CC877" s="107"/>
      <c r="CD877" s="107"/>
      <c r="CE877" s="106"/>
      <c r="CF877" s="106"/>
      <c r="CG877" s="106"/>
      <c r="CH877" s="106"/>
      <c r="CI877" s="106"/>
      <c r="CJ877" s="138"/>
      <c r="CK877" s="138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K877" s="1"/>
      <c r="EL877" s="106"/>
      <c r="EM877" s="106"/>
      <c r="EN877" s="1"/>
      <c r="EO877" s="106"/>
      <c r="EP877" s="1"/>
      <c r="EQ877" s="1"/>
      <c r="ER877" s="1"/>
      <c r="ES877" s="108"/>
    </row>
    <row r="878" spans="9:149">
      <c r="I878" s="137"/>
      <c r="J878" s="138"/>
      <c r="K878" s="1"/>
      <c r="L878" s="1"/>
      <c r="Q878" s="1"/>
      <c r="R878" s="1"/>
      <c r="S878" s="106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55"/>
      <c r="AN878" s="106"/>
      <c r="AO878" s="106"/>
      <c r="AP878" s="106"/>
      <c r="AQ878" s="31"/>
      <c r="AR878" s="31"/>
      <c r="AS878" s="31"/>
      <c r="AT878" s="30"/>
      <c r="AU878" s="30"/>
      <c r="AV878" s="106"/>
      <c r="AW878" s="106"/>
      <c r="AX878" s="106"/>
      <c r="AY878" s="106"/>
      <c r="AZ878" s="106"/>
      <c r="BA878" s="106"/>
      <c r="BB878" s="107"/>
      <c r="BC878" s="105"/>
      <c r="BD878" s="105"/>
      <c r="BE878" s="105"/>
      <c r="BF878" s="107"/>
      <c r="BG878" s="160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7"/>
      <c r="BV878" s="107"/>
      <c r="BW878" s="107"/>
      <c r="BX878" s="107"/>
      <c r="BY878" s="107"/>
      <c r="BZ878" s="107"/>
      <c r="CA878" s="107"/>
      <c r="CB878" s="107"/>
      <c r="CC878" s="107"/>
      <c r="CD878" s="107"/>
      <c r="CE878" s="106"/>
      <c r="CF878" s="106"/>
      <c r="CG878" s="106"/>
      <c r="CH878" s="106"/>
      <c r="CI878" s="106"/>
      <c r="CJ878" s="138"/>
      <c r="CK878" s="138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K878" s="1"/>
      <c r="EL878" s="106"/>
      <c r="EM878" s="106"/>
      <c r="EN878" s="1"/>
      <c r="EO878" s="106"/>
      <c r="EP878" s="1"/>
      <c r="EQ878" s="1"/>
      <c r="ER878" s="1"/>
      <c r="ES878" s="108"/>
    </row>
    <row r="879" spans="9:149">
      <c r="I879" s="137"/>
      <c r="J879" s="138"/>
      <c r="K879" s="1"/>
      <c r="L879" s="1"/>
      <c r="Q879" s="1"/>
      <c r="R879" s="1"/>
      <c r="S879" s="106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55"/>
      <c r="AN879" s="106"/>
      <c r="AO879" s="106"/>
      <c r="AP879" s="106"/>
      <c r="AQ879" s="31"/>
      <c r="AR879" s="31"/>
      <c r="AS879" s="31"/>
      <c r="AT879" s="30"/>
      <c r="AU879" s="30"/>
      <c r="AV879" s="106"/>
      <c r="AW879" s="106"/>
      <c r="AX879" s="106"/>
      <c r="AY879" s="106"/>
      <c r="AZ879" s="106"/>
      <c r="BA879" s="106"/>
      <c r="BB879" s="107"/>
      <c r="BC879" s="105"/>
      <c r="BD879" s="105"/>
      <c r="BE879" s="105"/>
      <c r="BF879" s="107"/>
      <c r="BG879" s="160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7"/>
      <c r="BV879" s="107"/>
      <c r="BW879" s="107"/>
      <c r="BX879" s="107"/>
      <c r="BY879" s="107"/>
      <c r="BZ879" s="107"/>
      <c r="CA879" s="107"/>
      <c r="CB879" s="107"/>
      <c r="CC879" s="107"/>
      <c r="CD879" s="107"/>
      <c r="CE879" s="106"/>
      <c r="CF879" s="106"/>
      <c r="CG879" s="106"/>
      <c r="CH879" s="106"/>
      <c r="CI879" s="106"/>
      <c r="CJ879" s="138"/>
      <c r="CK879" s="138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K879" s="1"/>
      <c r="EL879" s="106"/>
      <c r="EM879" s="106"/>
      <c r="EN879" s="1"/>
      <c r="EO879" s="106"/>
      <c r="EP879" s="1"/>
      <c r="EQ879" s="1"/>
      <c r="ER879" s="1"/>
      <c r="ES879" s="108"/>
    </row>
    <row r="880" spans="9:149">
      <c r="I880" s="137"/>
      <c r="J880" s="138"/>
      <c r="K880" s="1"/>
      <c r="L880" s="1"/>
      <c r="Q880" s="1"/>
      <c r="R880" s="1"/>
      <c r="S880" s="106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55"/>
      <c r="AN880" s="106"/>
      <c r="AO880" s="106"/>
      <c r="AP880" s="106"/>
      <c r="AQ880" s="31"/>
      <c r="AR880" s="31"/>
      <c r="AS880" s="31"/>
      <c r="AT880" s="30"/>
      <c r="AU880" s="30"/>
      <c r="AV880" s="106"/>
      <c r="AW880" s="106"/>
      <c r="AX880" s="106"/>
      <c r="AY880" s="106"/>
      <c r="AZ880" s="106"/>
      <c r="BA880" s="106"/>
      <c r="BB880" s="107"/>
      <c r="BC880" s="105"/>
      <c r="BD880" s="105"/>
      <c r="BE880" s="105"/>
      <c r="BF880" s="107"/>
      <c r="BG880" s="160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7"/>
      <c r="BV880" s="107"/>
      <c r="BW880" s="107"/>
      <c r="BX880" s="107"/>
      <c r="BY880" s="107"/>
      <c r="BZ880" s="107"/>
      <c r="CA880" s="107"/>
      <c r="CB880" s="107"/>
      <c r="CC880" s="107"/>
      <c r="CD880" s="107"/>
      <c r="CE880" s="106"/>
      <c r="CF880" s="106"/>
      <c r="CG880" s="106"/>
      <c r="CH880" s="106"/>
      <c r="CI880" s="106"/>
      <c r="CJ880" s="138"/>
      <c r="CK880" s="138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K880" s="1"/>
      <c r="EL880" s="106"/>
      <c r="EM880" s="106"/>
      <c r="EN880" s="1"/>
      <c r="EO880" s="106"/>
      <c r="EP880" s="1"/>
      <c r="EQ880" s="1"/>
      <c r="ER880" s="1"/>
      <c r="ES880" s="108"/>
    </row>
    <row r="881" spans="9:149">
      <c r="I881" s="137"/>
      <c r="J881" s="138"/>
      <c r="K881" s="1"/>
      <c r="L881" s="1"/>
      <c r="Q881" s="1"/>
      <c r="R881" s="1"/>
      <c r="S881" s="106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55"/>
      <c r="AN881" s="106"/>
      <c r="AO881" s="106"/>
      <c r="AP881" s="106"/>
      <c r="AQ881" s="31"/>
      <c r="AR881" s="31"/>
      <c r="AS881" s="31"/>
      <c r="AT881" s="30"/>
      <c r="AU881" s="30"/>
      <c r="AV881" s="106"/>
      <c r="AW881" s="106"/>
      <c r="AX881" s="106"/>
      <c r="AY881" s="106"/>
      <c r="AZ881" s="106"/>
      <c r="BA881" s="106"/>
      <c r="BB881" s="107"/>
      <c r="BC881" s="105"/>
      <c r="BD881" s="105"/>
      <c r="BE881" s="105"/>
      <c r="BF881" s="107"/>
      <c r="BG881" s="160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7"/>
      <c r="BV881" s="107"/>
      <c r="BW881" s="107"/>
      <c r="BX881" s="107"/>
      <c r="BY881" s="107"/>
      <c r="BZ881" s="107"/>
      <c r="CA881" s="107"/>
      <c r="CB881" s="107"/>
      <c r="CC881" s="107"/>
      <c r="CD881" s="107"/>
      <c r="CE881" s="106"/>
      <c r="CF881" s="106"/>
      <c r="CG881" s="106"/>
      <c r="CH881" s="106"/>
      <c r="CI881" s="106"/>
      <c r="CJ881" s="138"/>
      <c r="CK881" s="138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K881" s="1"/>
      <c r="EL881" s="106"/>
      <c r="EM881" s="106"/>
      <c r="EN881" s="1"/>
      <c r="EO881" s="106"/>
      <c r="EP881" s="1"/>
      <c r="EQ881" s="1"/>
      <c r="ER881" s="1"/>
      <c r="ES881" s="108"/>
    </row>
    <row r="882" spans="9:149">
      <c r="I882" s="137"/>
      <c r="J882" s="138"/>
      <c r="K882" s="1"/>
      <c r="L882" s="1"/>
      <c r="Q882" s="1"/>
      <c r="R882" s="1"/>
      <c r="S882" s="106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55"/>
      <c r="AN882" s="106"/>
      <c r="AO882" s="106"/>
      <c r="AP882" s="106"/>
      <c r="AQ882" s="31"/>
      <c r="AR882" s="31"/>
      <c r="AS882" s="31"/>
      <c r="AT882" s="30"/>
      <c r="AU882" s="30"/>
      <c r="AV882" s="106"/>
      <c r="AW882" s="106"/>
      <c r="AX882" s="106"/>
      <c r="AY882" s="106"/>
      <c r="AZ882" s="106"/>
      <c r="BA882" s="106"/>
      <c r="BB882" s="107"/>
      <c r="BC882" s="105"/>
      <c r="BD882" s="105"/>
      <c r="BE882" s="105"/>
      <c r="BF882" s="107"/>
      <c r="BG882" s="160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7"/>
      <c r="BV882" s="107"/>
      <c r="BW882" s="107"/>
      <c r="BX882" s="107"/>
      <c r="BY882" s="107"/>
      <c r="BZ882" s="107"/>
      <c r="CA882" s="107"/>
      <c r="CB882" s="107"/>
      <c r="CC882" s="107"/>
      <c r="CD882" s="107"/>
      <c r="CE882" s="106"/>
      <c r="CF882" s="106"/>
      <c r="CG882" s="106"/>
      <c r="CH882" s="106"/>
      <c r="CI882" s="106"/>
      <c r="CJ882" s="138"/>
      <c r="CK882" s="138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K882" s="1"/>
      <c r="EL882" s="106"/>
      <c r="EM882" s="106"/>
      <c r="EN882" s="1"/>
      <c r="EO882" s="106"/>
      <c r="EP882" s="1"/>
      <c r="EQ882" s="1"/>
      <c r="ER882" s="1"/>
      <c r="ES882" s="108"/>
    </row>
    <row r="883" spans="9:149">
      <c r="I883" s="137"/>
      <c r="J883" s="138"/>
      <c r="K883" s="1"/>
      <c r="L883" s="1"/>
      <c r="Q883" s="1"/>
      <c r="R883" s="1"/>
      <c r="S883" s="106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55"/>
      <c r="AN883" s="106"/>
      <c r="AO883" s="106"/>
      <c r="AP883" s="106"/>
      <c r="AQ883" s="31"/>
      <c r="AR883" s="31"/>
      <c r="AS883" s="31"/>
      <c r="AT883" s="30"/>
      <c r="AU883" s="30"/>
      <c r="AV883" s="106"/>
      <c r="AW883" s="106"/>
      <c r="AX883" s="106"/>
      <c r="AY883" s="106"/>
      <c r="AZ883" s="106"/>
      <c r="BA883" s="106"/>
      <c r="BB883" s="107"/>
      <c r="BC883" s="105"/>
      <c r="BD883" s="105"/>
      <c r="BE883" s="105"/>
      <c r="BF883" s="107"/>
      <c r="BG883" s="160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7"/>
      <c r="BV883" s="107"/>
      <c r="BW883" s="107"/>
      <c r="BX883" s="107"/>
      <c r="BY883" s="107"/>
      <c r="BZ883" s="107"/>
      <c r="CA883" s="107"/>
      <c r="CB883" s="107"/>
      <c r="CC883" s="107"/>
      <c r="CD883" s="107"/>
      <c r="CE883" s="106"/>
      <c r="CF883" s="106"/>
      <c r="CG883" s="106"/>
      <c r="CH883" s="106"/>
      <c r="CI883" s="106"/>
      <c r="CJ883" s="138"/>
      <c r="CK883" s="138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K883" s="1"/>
      <c r="EL883" s="106"/>
      <c r="EM883" s="106"/>
      <c r="EN883" s="1"/>
      <c r="EO883" s="106"/>
      <c r="EP883" s="1"/>
      <c r="EQ883" s="1"/>
      <c r="ER883" s="1"/>
      <c r="ES883" s="108"/>
    </row>
    <row r="884" spans="9:149">
      <c r="I884" s="137"/>
      <c r="J884" s="138"/>
      <c r="K884" s="1"/>
      <c r="L884" s="1"/>
      <c r="Q884" s="1"/>
      <c r="R884" s="1"/>
      <c r="S884" s="106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55"/>
      <c r="AN884" s="106"/>
      <c r="AO884" s="106"/>
      <c r="AP884" s="106"/>
      <c r="AQ884" s="31"/>
      <c r="AR884" s="31"/>
      <c r="AS884" s="31"/>
      <c r="AT884" s="30"/>
      <c r="AU884" s="30"/>
      <c r="AV884" s="106"/>
      <c r="AW884" s="106"/>
      <c r="AX884" s="106"/>
      <c r="AY884" s="106"/>
      <c r="AZ884" s="106"/>
      <c r="BA884" s="106"/>
      <c r="BB884" s="107"/>
      <c r="BC884" s="105"/>
      <c r="BD884" s="105"/>
      <c r="BE884" s="105"/>
      <c r="BF884" s="107"/>
      <c r="BG884" s="160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7"/>
      <c r="BV884" s="107"/>
      <c r="BW884" s="107"/>
      <c r="BX884" s="107"/>
      <c r="BY884" s="107"/>
      <c r="BZ884" s="107"/>
      <c r="CA884" s="107"/>
      <c r="CB884" s="107"/>
      <c r="CC884" s="107"/>
      <c r="CD884" s="107"/>
      <c r="CE884" s="106"/>
      <c r="CF884" s="106"/>
      <c r="CG884" s="106"/>
      <c r="CH884" s="106"/>
      <c r="CI884" s="106"/>
      <c r="CJ884" s="138"/>
      <c r="CK884" s="138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K884" s="1"/>
      <c r="EL884" s="106"/>
      <c r="EM884" s="106"/>
      <c r="EN884" s="1"/>
      <c r="EO884" s="106"/>
      <c r="EP884" s="1"/>
      <c r="EQ884" s="1"/>
      <c r="ER884" s="1"/>
      <c r="ES884" s="108"/>
    </row>
    <row r="885" spans="9:149">
      <c r="I885" s="137"/>
      <c r="J885" s="138"/>
      <c r="K885" s="1"/>
      <c r="L885" s="1"/>
      <c r="Q885" s="1"/>
      <c r="R885" s="1"/>
      <c r="S885" s="106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55"/>
      <c r="AN885" s="106"/>
      <c r="AO885" s="106"/>
      <c r="AP885" s="106"/>
      <c r="AQ885" s="31"/>
      <c r="AR885" s="31"/>
      <c r="AS885" s="31"/>
      <c r="AT885" s="30"/>
      <c r="AU885" s="30"/>
      <c r="AV885" s="106"/>
      <c r="AW885" s="106"/>
      <c r="AX885" s="106"/>
      <c r="AY885" s="106"/>
      <c r="AZ885" s="106"/>
      <c r="BA885" s="106"/>
      <c r="BB885" s="107"/>
      <c r="BC885" s="105"/>
      <c r="BD885" s="105"/>
      <c r="BE885" s="105"/>
      <c r="BF885" s="107"/>
      <c r="BG885" s="160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7"/>
      <c r="BV885" s="107"/>
      <c r="BW885" s="107"/>
      <c r="BX885" s="107"/>
      <c r="BY885" s="107"/>
      <c r="BZ885" s="107"/>
      <c r="CA885" s="107"/>
      <c r="CB885" s="107"/>
      <c r="CC885" s="107"/>
      <c r="CD885" s="107"/>
      <c r="CE885" s="106"/>
      <c r="CF885" s="106"/>
      <c r="CG885" s="106"/>
      <c r="CH885" s="106"/>
      <c r="CI885" s="106"/>
      <c r="CJ885" s="138"/>
      <c r="CK885" s="138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K885" s="1"/>
      <c r="EL885" s="106"/>
      <c r="EM885" s="106"/>
      <c r="EN885" s="1"/>
      <c r="EO885" s="106"/>
      <c r="EP885" s="1"/>
      <c r="EQ885" s="1"/>
      <c r="ER885" s="1"/>
      <c r="ES885" s="108"/>
    </row>
    <row r="886" spans="9:149">
      <c r="I886" s="137"/>
      <c r="J886" s="138"/>
      <c r="K886" s="1"/>
      <c r="L886" s="1"/>
      <c r="Q886" s="1"/>
      <c r="R886" s="1"/>
      <c r="S886" s="106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55"/>
      <c r="AN886" s="106"/>
      <c r="AO886" s="106"/>
      <c r="AP886" s="106"/>
      <c r="AQ886" s="31"/>
      <c r="AR886" s="31"/>
      <c r="AS886" s="31"/>
      <c r="AT886" s="30"/>
      <c r="AU886" s="30"/>
      <c r="AV886" s="106"/>
      <c r="AW886" s="106"/>
      <c r="AX886" s="106"/>
      <c r="AY886" s="106"/>
      <c r="AZ886" s="106"/>
      <c r="BA886" s="106"/>
      <c r="BB886" s="107"/>
      <c r="BC886" s="105"/>
      <c r="BD886" s="105"/>
      <c r="BE886" s="105"/>
      <c r="BF886" s="107"/>
      <c r="BG886" s="160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7"/>
      <c r="BV886" s="107"/>
      <c r="BW886" s="107"/>
      <c r="BX886" s="107"/>
      <c r="BY886" s="107"/>
      <c r="BZ886" s="107"/>
      <c r="CA886" s="107"/>
      <c r="CB886" s="107"/>
      <c r="CC886" s="107"/>
      <c r="CD886" s="107"/>
      <c r="CE886" s="106"/>
      <c r="CF886" s="106"/>
      <c r="CG886" s="106"/>
      <c r="CH886" s="106"/>
      <c r="CI886" s="106"/>
      <c r="CJ886" s="138"/>
      <c r="CK886" s="138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K886" s="1"/>
      <c r="EL886" s="106"/>
      <c r="EM886" s="106"/>
      <c r="EN886" s="1"/>
      <c r="EO886" s="106"/>
      <c r="EP886" s="1"/>
      <c r="EQ886" s="1"/>
      <c r="ER886" s="1"/>
      <c r="ES886" s="108"/>
    </row>
    <row r="887" spans="9:149">
      <c r="I887" s="137"/>
      <c r="J887" s="138"/>
      <c r="K887" s="1"/>
      <c r="L887" s="1"/>
      <c r="Q887" s="1"/>
      <c r="R887" s="1"/>
      <c r="S887" s="106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55"/>
      <c r="AN887" s="106"/>
      <c r="AO887" s="106"/>
      <c r="AP887" s="106"/>
      <c r="AQ887" s="31"/>
      <c r="AR887" s="31"/>
      <c r="AS887" s="31"/>
      <c r="AT887" s="30"/>
      <c r="AU887" s="30"/>
      <c r="AV887" s="106"/>
      <c r="AW887" s="106"/>
      <c r="AX887" s="106"/>
      <c r="AY887" s="106"/>
      <c r="AZ887" s="106"/>
      <c r="BA887" s="106"/>
      <c r="BB887" s="107"/>
      <c r="BC887" s="105"/>
      <c r="BD887" s="105"/>
      <c r="BE887" s="105"/>
      <c r="BF887" s="107"/>
      <c r="BG887" s="160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7"/>
      <c r="BV887" s="107"/>
      <c r="BW887" s="107"/>
      <c r="BX887" s="107"/>
      <c r="BY887" s="107"/>
      <c r="BZ887" s="107"/>
      <c r="CA887" s="107"/>
      <c r="CB887" s="107"/>
      <c r="CC887" s="107"/>
      <c r="CD887" s="107"/>
      <c r="CE887" s="106"/>
      <c r="CF887" s="106"/>
      <c r="CG887" s="106"/>
      <c r="CH887" s="106"/>
      <c r="CI887" s="106"/>
      <c r="CJ887" s="138"/>
      <c r="CK887" s="138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K887" s="1"/>
      <c r="EL887" s="106"/>
      <c r="EM887" s="106"/>
      <c r="EN887" s="1"/>
      <c r="EO887" s="106"/>
      <c r="EP887" s="1"/>
      <c r="EQ887" s="1"/>
      <c r="ER887" s="1"/>
      <c r="ES887" s="108"/>
    </row>
    <row r="888" spans="9:149">
      <c r="I888" s="137"/>
      <c r="J888" s="138"/>
      <c r="K888" s="1"/>
      <c r="L888" s="1"/>
      <c r="Q888" s="1"/>
      <c r="R888" s="1"/>
      <c r="S888" s="106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55"/>
      <c r="AN888" s="106"/>
      <c r="AO888" s="106"/>
      <c r="AP888" s="106"/>
      <c r="AQ888" s="31"/>
      <c r="AR888" s="31"/>
      <c r="AS888" s="31"/>
      <c r="AT888" s="30"/>
      <c r="AU888" s="30"/>
      <c r="AV888" s="106"/>
      <c r="AW888" s="106"/>
      <c r="AX888" s="106"/>
      <c r="AY888" s="106"/>
      <c r="AZ888" s="106"/>
      <c r="BA888" s="106"/>
      <c r="BB888" s="107"/>
      <c r="BC888" s="105"/>
      <c r="BD888" s="105"/>
      <c r="BE888" s="105"/>
      <c r="BF888" s="107"/>
      <c r="BG888" s="160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7"/>
      <c r="BV888" s="107"/>
      <c r="BW888" s="107"/>
      <c r="BX888" s="107"/>
      <c r="BY888" s="107"/>
      <c r="BZ888" s="107"/>
      <c r="CA888" s="107"/>
      <c r="CB888" s="107"/>
      <c r="CC888" s="107"/>
      <c r="CD888" s="107"/>
      <c r="CE888" s="106"/>
      <c r="CF888" s="106"/>
      <c r="CG888" s="106"/>
      <c r="CH888" s="106"/>
      <c r="CI888" s="106"/>
      <c r="CJ888" s="138"/>
      <c r="CK888" s="138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K888" s="1"/>
      <c r="EL888" s="106"/>
      <c r="EM888" s="106"/>
      <c r="EN888" s="1"/>
      <c r="EO888" s="106"/>
      <c r="EP888" s="1"/>
      <c r="EQ888" s="1"/>
      <c r="ER888" s="1"/>
      <c r="ES888" s="108"/>
    </row>
    <row r="889" spans="9:149">
      <c r="I889" s="137"/>
      <c r="J889" s="138"/>
      <c r="K889" s="1"/>
      <c r="L889" s="1"/>
      <c r="Q889" s="1"/>
      <c r="R889" s="1"/>
      <c r="S889" s="106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55"/>
      <c r="AN889" s="106"/>
      <c r="AO889" s="106"/>
      <c r="AP889" s="106"/>
      <c r="AQ889" s="31"/>
      <c r="AR889" s="31"/>
      <c r="AS889" s="31"/>
      <c r="AT889" s="30"/>
      <c r="AU889" s="30"/>
      <c r="AV889" s="106"/>
      <c r="AW889" s="106"/>
      <c r="AX889" s="106"/>
      <c r="AY889" s="106"/>
      <c r="AZ889" s="106"/>
      <c r="BA889" s="106"/>
      <c r="BB889" s="107"/>
      <c r="BC889" s="105"/>
      <c r="BD889" s="105"/>
      <c r="BE889" s="105"/>
      <c r="BF889" s="107"/>
      <c r="BG889" s="160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7"/>
      <c r="BV889" s="107"/>
      <c r="BW889" s="107"/>
      <c r="BX889" s="107"/>
      <c r="BY889" s="107"/>
      <c r="BZ889" s="107"/>
      <c r="CA889" s="107"/>
      <c r="CB889" s="107"/>
      <c r="CC889" s="107"/>
      <c r="CD889" s="107"/>
      <c r="CE889" s="106"/>
      <c r="CF889" s="106"/>
      <c r="CG889" s="106"/>
      <c r="CH889" s="106"/>
      <c r="CI889" s="106"/>
      <c r="CJ889" s="138"/>
      <c r="CK889" s="138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K889" s="1"/>
      <c r="EL889" s="106"/>
      <c r="EM889" s="106"/>
      <c r="EN889" s="1"/>
      <c r="EO889" s="106"/>
      <c r="EP889" s="1"/>
      <c r="EQ889" s="1"/>
      <c r="ER889" s="1"/>
      <c r="ES889" s="108"/>
    </row>
    <row r="890" spans="9:149">
      <c r="I890" s="137"/>
      <c r="J890" s="138"/>
      <c r="K890" s="1"/>
      <c r="L890" s="1"/>
      <c r="Q890" s="1"/>
      <c r="R890" s="1"/>
      <c r="S890" s="106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55"/>
      <c r="AN890" s="106"/>
      <c r="AO890" s="106"/>
      <c r="AP890" s="106"/>
      <c r="AQ890" s="31"/>
      <c r="AR890" s="31"/>
      <c r="AS890" s="31"/>
      <c r="AT890" s="30"/>
      <c r="AU890" s="30"/>
      <c r="AV890" s="106"/>
      <c r="AW890" s="106"/>
      <c r="AX890" s="106"/>
      <c r="AY890" s="106"/>
      <c r="AZ890" s="106"/>
      <c r="BA890" s="106"/>
      <c r="BB890" s="107"/>
      <c r="BC890" s="105"/>
      <c r="BD890" s="105"/>
      <c r="BE890" s="105"/>
      <c r="BF890" s="107"/>
      <c r="BG890" s="160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7"/>
      <c r="BV890" s="107"/>
      <c r="BW890" s="107"/>
      <c r="BX890" s="107"/>
      <c r="BY890" s="107"/>
      <c r="BZ890" s="107"/>
      <c r="CA890" s="107"/>
      <c r="CB890" s="107"/>
      <c r="CC890" s="107"/>
      <c r="CD890" s="107"/>
      <c r="CE890" s="106"/>
      <c r="CF890" s="106"/>
      <c r="CG890" s="106"/>
      <c r="CH890" s="106"/>
      <c r="CI890" s="106"/>
      <c r="CJ890" s="138"/>
      <c r="CK890" s="138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K890" s="1"/>
      <c r="EL890" s="106"/>
      <c r="EM890" s="106"/>
      <c r="EN890" s="1"/>
      <c r="EO890" s="106"/>
      <c r="EP890" s="1"/>
      <c r="EQ890" s="1"/>
      <c r="ER890" s="1"/>
      <c r="ES890" s="108"/>
    </row>
    <row r="891" spans="9:149">
      <c r="I891" s="137"/>
      <c r="J891" s="138"/>
      <c r="K891" s="1"/>
      <c r="L891" s="1"/>
      <c r="Q891" s="1"/>
      <c r="R891" s="1"/>
      <c r="S891" s="106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55"/>
      <c r="AN891" s="106"/>
      <c r="AO891" s="106"/>
      <c r="AP891" s="106"/>
      <c r="AQ891" s="31"/>
      <c r="AR891" s="31"/>
      <c r="AS891" s="31"/>
      <c r="AT891" s="30"/>
      <c r="AU891" s="30"/>
      <c r="AV891" s="106"/>
      <c r="AW891" s="106"/>
      <c r="AX891" s="106"/>
      <c r="AY891" s="106"/>
      <c r="AZ891" s="106"/>
      <c r="BA891" s="106"/>
      <c r="BB891" s="107"/>
      <c r="BC891" s="105"/>
      <c r="BD891" s="105"/>
      <c r="BE891" s="105"/>
      <c r="BF891" s="107"/>
      <c r="BG891" s="160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7"/>
      <c r="BV891" s="107"/>
      <c r="BW891" s="107"/>
      <c r="BX891" s="107"/>
      <c r="BY891" s="107"/>
      <c r="BZ891" s="107"/>
      <c r="CA891" s="107"/>
      <c r="CB891" s="107"/>
      <c r="CC891" s="107"/>
      <c r="CD891" s="107"/>
      <c r="CE891" s="106"/>
      <c r="CF891" s="106"/>
      <c r="CG891" s="106"/>
      <c r="CH891" s="106"/>
      <c r="CI891" s="106"/>
      <c r="CJ891" s="138"/>
      <c r="CK891" s="138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K891" s="1"/>
      <c r="EL891" s="106"/>
      <c r="EM891" s="106"/>
      <c r="EN891" s="1"/>
      <c r="EO891" s="106"/>
      <c r="EP891" s="1"/>
      <c r="EQ891" s="1"/>
      <c r="ER891" s="1"/>
      <c r="ES891" s="108"/>
    </row>
    <row r="892" spans="9:149">
      <c r="I892" s="137"/>
      <c r="J892" s="138"/>
      <c r="K892" s="1"/>
      <c r="L892" s="1"/>
      <c r="Q892" s="1"/>
      <c r="R892" s="1"/>
      <c r="S892" s="106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55"/>
      <c r="AN892" s="106"/>
      <c r="AO892" s="106"/>
      <c r="AP892" s="106"/>
      <c r="AQ892" s="31"/>
      <c r="AR892" s="31"/>
      <c r="AS892" s="31"/>
      <c r="AT892" s="30"/>
      <c r="AU892" s="30"/>
      <c r="AV892" s="106"/>
      <c r="AW892" s="106"/>
      <c r="AX892" s="106"/>
      <c r="AY892" s="106"/>
      <c r="AZ892" s="106"/>
      <c r="BA892" s="106"/>
      <c r="BB892" s="107"/>
      <c r="BC892" s="105"/>
      <c r="BD892" s="105"/>
      <c r="BE892" s="105"/>
      <c r="BF892" s="107"/>
      <c r="BG892" s="160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7"/>
      <c r="BV892" s="107"/>
      <c r="BW892" s="107"/>
      <c r="BX892" s="107"/>
      <c r="BY892" s="107"/>
      <c r="BZ892" s="107"/>
      <c r="CA892" s="107"/>
      <c r="CB892" s="107"/>
      <c r="CC892" s="107"/>
      <c r="CD892" s="107"/>
      <c r="CE892" s="106"/>
      <c r="CF892" s="106"/>
      <c r="CG892" s="106"/>
      <c r="CH892" s="106"/>
      <c r="CI892" s="106"/>
      <c r="CJ892" s="138"/>
      <c r="CK892" s="138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K892" s="1"/>
      <c r="EL892" s="106"/>
      <c r="EM892" s="106"/>
      <c r="EN892" s="1"/>
      <c r="EO892" s="106"/>
      <c r="EP892" s="1"/>
      <c r="EQ892" s="1"/>
      <c r="ER892" s="1"/>
      <c r="ES892" s="108"/>
    </row>
    <row r="893" spans="9:149">
      <c r="I893" s="137"/>
      <c r="J893" s="138"/>
      <c r="K893" s="1"/>
      <c r="L893" s="1"/>
      <c r="Q893" s="1"/>
      <c r="R893" s="1"/>
      <c r="S893" s="106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55"/>
      <c r="AN893" s="106"/>
      <c r="AO893" s="106"/>
      <c r="AP893" s="106"/>
      <c r="AQ893" s="31"/>
      <c r="AR893" s="31"/>
      <c r="AS893" s="31"/>
      <c r="AT893" s="30"/>
      <c r="AU893" s="30"/>
      <c r="AV893" s="106"/>
      <c r="AW893" s="106"/>
      <c r="AX893" s="106"/>
      <c r="AY893" s="106"/>
      <c r="AZ893" s="106"/>
      <c r="BA893" s="106"/>
      <c r="BB893" s="107"/>
      <c r="BC893" s="105"/>
      <c r="BD893" s="105"/>
      <c r="BE893" s="105"/>
      <c r="BF893" s="107"/>
      <c r="BG893" s="160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7"/>
      <c r="BV893" s="107"/>
      <c r="BW893" s="107"/>
      <c r="BX893" s="107"/>
      <c r="BY893" s="107"/>
      <c r="BZ893" s="107"/>
      <c r="CA893" s="107"/>
      <c r="CB893" s="107"/>
      <c r="CC893" s="107"/>
      <c r="CD893" s="107"/>
      <c r="CE893" s="106"/>
      <c r="CF893" s="106"/>
      <c r="CG893" s="106"/>
      <c r="CH893" s="106"/>
      <c r="CI893" s="106"/>
      <c r="CJ893" s="138"/>
      <c r="CK893" s="138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K893" s="1"/>
      <c r="EL893" s="106"/>
      <c r="EM893" s="106"/>
      <c r="EN893" s="1"/>
      <c r="EO893" s="106"/>
      <c r="EP893" s="1"/>
      <c r="EQ893" s="1"/>
      <c r="ER893" s="1"/>
      <c r="ES893" s="108"/>
    </row>
    <row r="894" spans="9:149">
      <c r="I894" s="137"/>
      <c r="J894" s="138"/>
      <c r="K894" s="1"/>
      <c r="L894" s="1"/>
      <c r="Q894" s="1"/>
      <c r="R894" s="1"/>
      <c r="S894" s="106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55"/>
      <c r="AN894" s="106"/>
      <c r="AO894" s="106"/>
      <c r="AP894" s="106"/>
      <c r="AQ894" s="31"/>
      <c r="AR894" s="31"/>
      <c r="AS894" s="31"/>
      <c r="AT894" s="30"/>
      <c r="AU894" s="30"/>
      <c r="AV894" s="106"/>
      <c r="AW894" s="106"/>
      <c r="AX894" s="106"/>
      <c r="AY894" s="106"/>
      <c r="AZ894" s="106"/>
      <c r="BA894" s="106"/>
      <c r="BB894" s="107"/>
      <c r="BC894" s="105"/>
      <c r="BD894" s="105"/>
      <c r="BE894" s="105"/>
      <c r="BF894" s="107"/>
      <c r="BG894" s="160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7"/>
      <c r="BV894" s="107"/>
      <c r="BW894" s="107"/>
      <c r="BX894" s="107"/>
      <c r="BY894" s="107"/>
      <c r="BZ894" s="107"/>
      <c r="CA894" s="107"/>
      <c r="CB894" s="107"/>
      <c r="CC894" s="107"/>
      <c r="CD894" s="107"/>
      <c r="CE894" s="106"/>
      <c r="CF894" s="106"/>
      <c r="CG894" s="106"/>
      <c r="CH894" s="106"/>
      <c r="CI894" s="106"/>
      <c r="CJ894" s="138"/>
      <c r="CK894" s="138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K894" s="1"/>
      <c r="EL894" s="106"/>
      <c r="EM894" s="106"/>
      <c r="EN894" s="1"/>
      <c r="EO894" s="106"/>
      <c r="EP894" s="1"/>
      <c r="EQ894" s="1"/>
      <c r="ER894" s="1"/>
      <c r="ES894" s="108"/>
    </row>
    <row r="895" spans="9:149">
      <c r="I895" s="137"/>
      <c r="J895" s="138"/>
      <c r="K895" s="1"/>
      <c r="L895" s="1"/>
      <c r="Q895" s="1"/>
      <c r="R895" s="1"/>
      <c r="S895" s="106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55"/>
      <c r="AN895" s="106"/>
      <c r="AO895" s="106"/>
      <c r="AP895" s="106"/>
      <c r="AQ895" s="31"/>
      <c r="AR895" s="31"/>
      <c r="AS895" s="31"/>
      <c r="AT895" s="30"/>
      <c r="AU895" s="30"/>
      <c r="AV895" s="106"/>
      <c r="AW895" s="106"/>
      <c r="AX895" s="106"/>
      <c r="AY895" s="106"/>
      <c r="AZ895" s="106"/>
      <c r="BA895" s="106"/>
      <c r="BB895" s="107"/>
      <c r="BC895" s="105"/>
      <c r="BD895" s="105"/>
      <c r="BE895" s="105"/>
      <c r="BF895" s="107"/>
      <c r="BG895" s="160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7"/>
      <c r="BV895" s="107"/>
      <c r="BW895" s="107"/>
      <c r="BX895" s="107"/>
      <c r="BY895" s="107"/>
      <c r="BZ895" s="107"/>
      <c r="CA895" s="107"/>
      <c r="CB895" s="107"/>
      <c r="CC895" s="107"/>
      <c r="CD895" s="107"/>
      <c r="CE895" s="106"/>
      <c r="CF895" s="106"/>
      <c r="CG895" s="106"/>
      <c r="CH895" s="106"/>
      <c r="CI895" s="106"/>
      <c r="CJ895" s="138"/>
      <c r="CK895" s="138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K895" s="1"/>
      <c r="EL895" s="106"/>
      <c r="EM895" s="106"/>
      <c r="EN895" s="1"/>
      <c r="EO895" s="106"/>
      <c r="EP895" s="1"/>
      <c r="EQ895" s="1"/>
      <c r="ER895" s="1"/>
      <c r="ES895" s="108"/>
    </row>
    <row r="896" spans="9:149">
      <c r="I896" s="137"/>
      <c r="J896" s="138"/>
      <c r="K896" s="1"/>
      <c r="L896" s="1"/>
      <c r="Q896" s="1"/>
      <c r="R896" s="1"/>
      <c r="S896" s="106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55"/>
      <c r="AN896" s="106"/>
      <c r="AO896" s="106"/>
      <c r="AP896" s="106"/>
      <c r="AQ896" s="31"/>
      <c r="AR896" s="31"/>
      <c r="AS896" s="31"/>
      <c r="AT896" s="30"/>
      <c r="AU896" s="30"/>
      <c r="AV896" s="106"/>
      <c r="AW896" s="106"/>
      <c r="AX896" s="106"/>
      <c r="AY896" s="106"/>
      <c r="AZ896" s="106"/>
      <c r="BA896" s="106"/>
      <c r="BB896" s="107"/>
      <c r="BC896" s="105"/>
      <c r="BD896" s="105"/>
      <c r="BE896" s="105"/>
      <c r="BF896" s="107"/>
      <c r="BG896" s="160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7"/>
      <c r="BV896" s="107"/>
      <c r="BW896" s="107"/>
      <c r="BX896" s="107"/>
      <c r="BY896" s="107"/>
      <c r="BZ896" s="107"/>
      <c r="CA896" s="107"/>
      <c r="CB896" s="107"/>
      <c r="CC896" s="107"/>
      <c r="CD896" s="107"/>
      <c r="CE896" s="106"/>
      <c r="CF896" s="106"/>
      <c r="CG896" s="106"/>
      <c r="CH896" s="106"/>
      <c r="CI896" s="106"/>
      <c r="CJ896" s="138"/>
      <c r="CK896" s="138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K896" s="1"/>
      <c r="EL896" s="106"/>
      <c r="EM896" s="106"/>
      <c r="EN896" s="1"/>
      <c r="EO896" s="106"/>
      <c r="EP896" s="1"/>
      <c r="EQ896" s="1"/>
      <c r="ER896" s="1"/>
      <c r="ES896" s="108"/>
    </row>
    <row r="897" spans="9:149">
      <c r="I897" s="137"/>
      <c r="J897" s="138"/>
      <c r="K897" s="1"/>
      <c r="L897" s="1"/>
      <c r="Q897" s="1"/>
      <c r="R897" s="1"/>
      <c r="S897" s="106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55"/>
      <c r="AN897" s="106"/>
      <c r="AO897" s="106"/>
      <c r="AP897" s="106"/>
      <c r="AQ897" s="31"/>
      <c r="AR897" s="31"/>
      <c r="AS897" s="31"/>
      <c r="AT897" s="30"/>
      <c r="AU897" s="30"/>
      <c r="AV897" s="106"/>
      <c r="AW897" s="106"/>
      <c r="AX897" s="106"/>
      <c r="AY897" s="106"/>
      <c r="AZ897" s="106"/>
      <c r="BA897" s="106"/>
      <c r="BB897" s="107"/>
      <c r="BC897" s="105"/>
      <c r="BD897" s="105"/>
      <c r="BE897" s="105"/>
      <c r="BF897" s="107"/>
      <c r="BG897" s="160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7"/>
      <c r="BV897" s="107"/>
      <c r="BW897" s="107"/>
      <c r="BX897" s="107"/>
      <c r="BY897" s="107"/>
      <c r="BZ897" s="107"/>
      <c r="CA897" s="107"/>
      <c r="CB897" s="107"/>
      <c r="CC897" s="107"/>
      <c r="CD897" s="107"/>
      <c r="CE897" s="106"/>
      <c r="CF897" s="106"/>
      <c r="CG897" s="106"/>
      <c r="CH897" s="106"/>
      <c r="CI897" s="106"/>
      <c r="CJ897" s="138"/>
      <c r="CK897" s="138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K897" s="1"/>
      <c r="EL897" s="106"/>
      <c r="EM897" s="106"/>
      <c r="EN897" s="1"/>
      <c r="EO897" s="106"/>
      <c r="EP897" s="1"/>
      <c r="EQ897" s="1"/>
      <c r="ER897" s="1"/>
      <c r="ES897" s="108"/>
    </row>
    <row r="898" spans="9:149">
      <c r="I898" s="137"/>
      <c r="J898" s="138"/>
      <c r="K898" s="1"/>
      <c r="L898" s="1"/>
      <c r="Q898" s="1"/>
      <c r="R898" s="1"/>
      <c r="S898" s="106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55"/>
      <c r="AN898" s="106"/>
      <c r="AO898" s="106"/>
      <c r="AP898" s="106"/>
      <c r="AQ898" s="31"/>
      <c r="AR898" s="31"/>
      <c r="AS898" s="31"/>
      <c r="AT898" s="30"/>
      <c r="AU898" s="30"/>
      <c r="AV898" s="106"/>
      <c r="AW898" s="106"/>
      <c r="AX898" s="106"/>
      <c r="AY898" s="106"/>
      <c r="AZ898" s="106"/>
      <c r="BA898" s="106"/>
      <c r="BB898" s="107"/>
      <c r="BC898" s="105"/>
      <c r="BD898" s="105"/>
      <c r="BE898" s="105"/>
      <c r="BF898" s="107"/>
      <c r="BG898" s="160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7"/>
      <c r="BV898" s="107"/>
      <c r="BW898" s="107"/>
      <c r="BX898" s="107"/>
      <c r="BY898" s="107"/>
      <c r="BZ898" s="107"/>
      <c r="CA898" s="107"/>
      <c r="CB898" s="107"/>
      <c r="CC898" s="107"/>
      <c r="CD898" s="107"/>
      <c r="CE898" s="106"/>
      <c r="CF898" s="106"/>
      <c r="CG898" s="106"/>
      <c r="CH898" s="106"/>
      <c r="CI898" s="106"/>
      <c r="CJ898" s="138"/>
      <c r="CK898" s="138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K898" s="1"/>
      <c r="EL898" s="106"/>
      <c r="EM898" s="106"/>
      <c r="EN898" s="1"/>
      <c r="EO898" s="106"/>
      <c r="EP898" s="1"/>
      <c r="EQ898" s="1"/>
      <c r="ER898" s="1"/>
      <c r="ES898" s="108"/>
    </row>
    <row r="899" spans="9:149">
      <c r="I899" s="137"/>
      <c r="J899" s="138"/>
      <c r="K899" s="1"/>
      <c r="L899" s="1"/>
      <c r="Q899" s="1"/>
      <c r="R899" s="1"/>
      <c r="S899" s="106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55"/>
      <c r="AN899" s="106"/>
      <c r="AO899" s="106"/>
      <c r="AP899" s="106"/>
      <c r="AQ899" s="31"/>
      <c r="AR899" s="31"/>
      <c r="AS899" s="31"/>
      <c r="AT899" s="30"/>
      <c r="AU899" s="30"/>
      <c r="AV899" s="106"/>
      <c r="AW899" s="106"/>
      <c r="AX899" s="106"/>
      <c r="AY899" s="106"/>
      <c r="AZ899" s="106"/>
      <c r="BA899" s="106"/>
      <c r="BB899" s="107"/>
      <c r="BC899" s="105"/>
      <c r="BD899" s="105"/>
      <c r="BE899" s="105"/>
      <c r="BF899" s="107"/>
      <c r="BG899" s="160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7"/>
      <c r="BV899" s="107"/>
      <c r="BW899" s="107"/>
      <c r="BX899" s="107"/>
      <c r="BY899" s="107"/>
      <c r="BZ899" s="107"/>
      <c r="CA899" s="107"/>
      <c r="CB899" s="107"/>
      <c r="CC899" s="107"/>
      <c r="CD899" s="107"/>
      <c r="CE899" s="106"/>
      <c r="CF899" s="106"/>
      <c r="CG899" s="106"/>
      <c r="CH899" s="106"/>
      <c r="CI899" s="106"/>
      <c r="CJ899" s="138"/>
      <c r="CK899" s="138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K899" s="1"/>
      <c r="EL899" s="106"/>
      <c r="EM899" s="106"/>
      <c r="EN899" s="1"/>
      <c r="EO899" s="106"/>
      <c r="EP899" s="1"/>
      <c r="EQ899" s="1"/>
      <c r="ER899" s="1"/>
      <c r="ES899" s="108"/>
    </row>
    <row r="900" spans="9:149">
      <c r="I900" s="137"/>
      <c r="J900" s="138"/>
      <c r="K900" s="1"/>
      <c r="L900" s="1"/>
      <c r="Q900" s="1"/>
      <c r="R900" s="1"/>
      <c r="S900" s="106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55"/>
      <c r="AN900" s="106"/>
      <c r="AO900" s="106"/>
      <c r="AP900" s="106"/>
      <c r="AQ900" s="31"/>
      <c r="AR900" s="31"/>
      <c r="AS900" s="31"/>
      <c r="AT900" s="30"/>
      <c r="AU900" s="30"/>
      <c r="AV900" s="106"/>
      <c r="AW900" s="106"/>
      <c r="AX900" s="106"/>
      <c r="AY900" s="106"/>
      <c r="AZ900" s="106"/>
      <c r="BA900" s="106"/>
      <c r="BB900" s="107"/>
      <c r="BC900" s="105"/>
      <c r="BD900" s="105"/>
      <c r="BE900" s="105"/>
      <c r="BF900" s="107"/>
      <c r="BG900" s="160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7"/>
      <c r="BV900" s="107"/>
      <c r="BW900" s="107"/>
      <c r="BX900" s="107"/>
      <c r="BY900" s="107"/>
      <c r="BZ900" s="107"/>
      <c r="CA900" s="107"/>
      <c r="CB900" s="107"/>
      <c r="CC900" s="107"/>
      <c r="CD900" s="107"/>
      <c r="CE900" s="106"/>
      <c r="CF900" s="106"/>
      <c r="CG900" s="106"/>
      <c r="CH900" s="106"/>
      <c r="CI900" s="106"/>
      <c r="CJ900" s="138"/>
      <c r="CK900" s="138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K900" s="1"/>
      <c r="EL900" s="106"/>
      <c r="EM900" s="106"/>
      <c r="EN900" s="1"/>
      <c r="EO900" s="106"/>
      <c r="EP900" s="1"/>
      <c r="EQ900" s="1"/>
      <c r="ER900" s="1"/>
      <c r="ES900" s="108"/>
    </row>
    <row r="901" spans="9:149">
      <c r="I901" s="137"/>
      <c r="J901" s="138"/>
      <c r="K901" s="1"/>
      <c r="L901" s="1"/>
      <c r="Q901" s="1"/>
      <c r="R901" s="1"/>
      <c r="S901" s="106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55"/>
      <c r="AN901" s="106"/>
      <c r="AO901" s="106"/>
      <c r="AP901" s="106"/>
      <c r="AQ901" s="31"/>
      <c r="AR901" s="31"/>
      <c r="AS901" s="31"/>
      <c r="AT901" s="30"/>
      <c r="AU901" s="30"/>
      <c r="AV901" s="106"/>
      <c r="AW901" s="106"/>
      <c r="AX901" s="106"/>
      <c r="AY901" s="106"/>
      <c r="AZ901" s="106"/>
      <c r="BA901" s="106"/>
      <c r="BB901" s="107"/>
      <c r="BC901" s="105"/>
      <c r="BD901" s="105"/>
      <c r="BE901" s="105"/>
      <c r="BF901" s="107"/>
      <c r="BG901" s="160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7"/>
      <c r="BV901" s="107"/>
      <c r="BW901" s="107"/>
      <c r="BX901" s="107"/>
      <c r="BY901" s="107"/>
      <c r="BZ901" s="107"/>
      <c r="CA901" s="107"/>
      <c r="CB901" s="107"/>
      <c r="CC901" s="107"/>
      <c r="CD901" s="107"/>
      <c r="CE901" s="106"/>
      <c r="CF901" s="106"/>
      <c r="CG901" s="106"/>
      <c r="CH901" s="106"/>
      <c r="CI901" s="106"/>
      <c r="CJ901" s="138"/>
      <c r="CK901" s="138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K901" s="1"/>
      <c r="EL901" s="106"/>
      <c r="EM901" s="106"/>
      <c r="EN901" s="1"/>
      <c r="EO901" s="106"/>
      <c r="EP901" s="1"/>
      <c r="EQ901" s="1"/>
      <c r="ER901" s="1"/>
      <c r="ES901" s="108"/>
    </row>
    <row r="902" spans="9:149">
      <c r="I902" s="137"/>
      <c r="J902" s="138"/>
      <c r="K902" s="1"/>
      <c r="L902" s="1"/>
      <c r="Q902" s="1"/>
      <c r="R902" s="1"/>
      <c r="S902" s="106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55"/>
      <c r="AN902" s="106"/>
      <c r="AO902" s="106"/>
      <c r="AP902" s="106"/>
      <c r="AQ902" s="31"/>
      <c r="AR902" s="31"/>
      <c r="AS902" s="31"/>
      <c r="AT902" s="30"/>
      <c r="AU902" s="30"/>
      <c r="AV902" s="106"/>
      <c r="AW902" s="106"/>
      <c r="AX902" s="106"/>
      <c r="AY902" s="106"/>
      <c r="AZ902" s="106"/>
      <c r="BA902" s="106"/>
      <c r="BB902" s="107"/>
      <c r="BC902" s="105"/>
      <c r="BD902" s="105"/>
      <c r="BE902" s="105"/>
      <c r="BF902" s="107"/>
      <c r="BG902" s="160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7"/>
      <c r="BV902" s="107"/>
      <c r="BW902" s="107"/>
      <c r="BX902" s="107"/>
      <c r="BY902" s="107"/>
      <c r="BZ902" s="107"/>
      <c r="CA902" s="107"/>
      <c r="CB902" s="107"/>
      <c r="CC902" s="107"/>
      <c r="CD902" s="107"/>
      <c r="CE902" s="106"/>
      <c r="CF902" s="106"/>
      <c r="CG902" s="106"/>
      <c r="CH902" s="106"/>
      <c r="CI902" s="106"/>
      <c r="CJ902" s="138"/>
      <c r="CK902" s="138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K902" s="1"/>
      <c r="EL902" s="106"/>
      <c r="EM902" s="106"/>
      <c r="EN902" s="1"/>
      <c r="EO902" s="106"/>
      <c r="EP902" s="1"/>
      <c r="EQ902" s="1"/>
      <c r="ER902" s="1"/>
      <c r="ES902" s="108"/>
    </row>
    <row r="903" spans="9:149">
      <c r="I903" s="137"/>
      <c r="J903" s="138"/>
      <c r="K903" s="1"/>
      <c r="L903" s="1"/>
      <c r="Q903" s="1"/>
      <c r="R903" s="1"/>
      <c r="S903" s="106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55"/>
      <c r="AN903" s="106"/>
      <c r="AO903" s="106"/>
      <c r="AP903" s="106"/>
      <c r="AQ903" s="31"/>
      <c r="AR903" s="31"/>
      <c r="AS903" s="31"/>
      <c r="AT903" s="30"/>
      <c r="AU903" s="30"/>
      <c r="AV903" s="106"/>
      <c r="AW903" s="106"/>
      <c r="AX903" s="106"/>
      <c r="AY903" s="106"/>
      <c r="AZ903" s="106"/>
      <c r="BA903" s="106"/>
      <c r="BB903" s="107"/>
      <c r="BC903" s="105"/>
      <c r="BD903" s="105"/>
      <c r="BE903" s="105"/>
      <c r="BF903" s="107"/>
      <c r="BG903" s="160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7"/>
      <c r="BV903" s="107"/>
      <c r="BW903" s="107"/>
      <c r="BX903" s="107"/>
      <c r="BY903" s="107"/>
      <c r="BZ903" s="107"/>
      <c r="CA903" s="107"/>
      <c r="CB903" s="107"/>
      <c r="CC903" s="107"/>
      <c r="CD903" s="107"/>
      <c r="CE903" s="106"/>
      <c r="CF903" s="106"/>
      <c r="CG903" s="106"/>
      <c r="CH903" s="106"/>
      <c r="CI903" s="106"/>
      <c r="CJ903" s="138"/>
      <c r="CK903" s="138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K903" s="1"/>
      <c r="EL903" s="106"/>
      <c r="EM903" s="106"/>
      <c r="EN903" s="1"/>
      <c r="EO903" s="106"/>
      <c r="EP903" s="1"/>
      <c r="EQ903" s="1"/>
      <c r="ER903" s="1"/>
      <c r="ES903" s="108"/>
    </row>
    <row r="904" spans="9:149">
      <c r="I904" s="137"/>
      <c r="J904" s="138"/>
      <c r="K904" s="1"/>
      <c r="L904" s="1"/>
      <c r="Q904" s="1"/>
      <c r="R904" s="1"/>
      <c r="S904" s="106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55"/>
      <c r="AN904" s="106"/>
      <c r="AO904" s="106"/>
      <c r="AP904" s="106"/>
      <c r="AQ904" s="31"/>
      <c r="AR904" s="31"/>
      <c r="AS904" s="31"/>
      <c r="AT904" s="30"/>
      <c r="AU904" s="30"/>
      <c r="AV904" s="106"/>
      <c r="AW904" s="106"/>
      <c r="AX904" s="106"/>
      <c r="AY904" s="106"/>
      <c r="AZ904" s="106"/>
      <c r="BA904" s="106"/>
      <c r="BB904" s="107"/>
      <c r="BC904" s="105"/>
      <c r="BD904" s="105"/>
      <c r="BE904" s="105"/>
      <c r="BF904" s="107"/>
      <c r="BG904" s="160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7"/>
      <c r="BV904" s="107"/>
      <c r="BW904" s="107"/>
      <c r="BX904" s="107"/>
      <c r="BY904" s="107"/>
      <c r="BZ904" s="107"/>
      <c r="CA904" s="107"/>
      <c r="CB904" s="107"/>
      <c r="CC904" s="107"/>
      <c r="CD904" s="107"/>
      <c r="CE904" s="106"/>
      <c r="CF904" s="106"/>
      <c r="CG904" s="106"/>
      <c r="CH904" s="106"/>
      <c r="CI904" s="106"/>
      <c r="CJ904" s="138"/>
      <c r="CK904" s="138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K904" s="1"/>
      <c r="EL904" s="106"/>
      <c r="EM904" s="106"/>
      <c r="EN904" s="1"/>
      <c r="EO904" s="106"/>
      <c r="EP904" s="1"/>
      <c r="EQ904" s="1"/>
      <c r="ER904" s="1"/>
      <c r="ES904" s="108"/>
    </row>
    <row r="905" spans="9:149">
      <c r="I905" s="137"/>
      <c r="J905" s="138"/>
      <c r="K905" s="1"/>
      <c r="L905" s="1"/>
      <c r="Q905" s="1"/>
      <c r="R905" s="1"/>
      <c r="S905" s="106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55"/>
      <c r="AN905" s="106"/>
      <c r="AO905" s="106"/>
      <c r="AP905" s="106"/>
      <c r="AQ905" s="31"/>
      <c r="AR905" s="31"/>
      <c r="AS905" s="31"/>
      <c r="AT905" s="30"/>
      <c r="AU905" s="30"/>
      <c r="AV905" s="106"/>
      <c r="AW905" s="106"/>
      <c r="AX905" s="106"/>
      <c r="AY905" s="106"/>
      <c r="AZ905" s="106"/>
      <c r="BA905" s="106"/>
      <c r="BB905" s="107"/>
      <c r="BC905" s="105"/>
      <c r="BD905" s="105"/>
      <c r="BE905" s="105"/>
      <c r="BF905" s="107"/>
      <c r="BG905" s="160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7"/>
      <c r="BV905" s="107"/>
      <c r="BW905" s="107"/>
      <c r="BX905" s="107"/>
      <c r="BY905" s="107"/>
      <c r="BZ905" s="107"/>
      <c r="CA905" s="107"/>
      <c r="CB905" s="107"/>
      <c r="CC905" s="107"/>
      <c r="CD905" s="107"/>
      <c r="CE905" s="106"/>
      <c r="CF905" s="106"/>
      <c r="CG905" s="106"/>
      <c r="CH905" s="106"/>
      <c r="CI905" s="106"/>
      <c r="CJ905" s="138"/>
      <c r="CK905" s="138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K905" s="1"/>
      <c r="EL905" s="106"/>
      <c r="EM905" s="106"/>
      <c r="EN905" s="1"/>
      <c r="EO905" s="106"/>
      <c r="EP905" s="1"/>
      <c r="EQ905" s="1"/>
      <c r="ER905" s="1"/>
      <c r="ES905" s="108"/>
    </row>
    <row r="906" spans="9:149">
      <c r="I906" s="137"/>
      <c r="J906" s="138"/>
      <c r="K906" s="1"/>
      <c r="L906" s="1"/>
      <c r="Q906" s="1"/>
      <c r="R906" s="1"/>
      <c r="S906" s="106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55"/>
      <c r="AN906" s="106"/>
      <c r="AO906" s="106"/>
      <c r="AP906" s="106"/>
      <c r="AQ906" s="31"/>
      <c r="AR906" s="31"/>
      <c r="AS906" s="31"/>
      <c r="AT906" s="30"/>
      <c r="AU906" s="30"/>
      <c r="AV906" s="106"/>
      <c r="AW906" s="106"/>
      <c r="AX906" s="106"/>
      <c r="AY906" s="106"/>
      <c r="AZ906" s="106"/>
      <c r="BA906" s="106"/>
      <c r="BB906" s="107"/>
      <c r="BC906" s="105"/>
      <c r="BD906" s="105"/>
      <c r="BE906" s="105"/>
      <c r="BF906" s="107"/>
      <c r="BG906" s="160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7"/>
      <c r="BV906" s="107"/>
      <c r="BW906" s="107"/>
      <c r="BX906" s="107"/>
      <c r="BY906" s="107"/>
      <c r="BZ906" s="107"/>
      <c r="CA906" s="107"/>
      <c r="CB906" s="107"/>
      <c r="CC906" s="107"/>
      <c r="CD906" s="107"/>
      <c r="CE906" s="106"/>
      <c r="CF906" s="106"/>
      <c r="CG906" s="106"/>
      <c r="CH906" s="106"/>
      <c r="CI906" s="106"/>
      <c r="CJ906" s="138"/>
      <c r="CK906" s="138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K906" s="1"/>
      <c r="EL906" s="106"/>
      <c r="EM906" s="106"/>
      <c r="EN906" s="1"/>
      <c r="EO906" s="106"/>
      <c r="EP906" s="1"/>
      <c r="EQ906" s="1"/>
      <c r="ER906" s="1"/>
      <c r="ES906" s="108"/>
    </row>
    <row r="907" spans="9:149">
      <c r="I907" s="137"/>
      <c r="J907" s="138"/>
      <c r="K907" s="1"/>
      <c r="L907" s="1"/>
      <c r="Q907" s="1"/>
      <c r="R907" s="1"/>
      <c r="S907" s="106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55"/>
      <c r="AN907" s="106"/>
      <c r="AO907" s="106"/>
      <c r="AP907" s="106"/>
      <c r="AQ907" s="31"/>
      <c r="AR907" s="31"/>
      <c r="AS907" s="31"/>
      <c r="AT907" s="30"/>
      <c r="AU907" s="30"/>
      <c r="AV907" s="106"/>
      <c r="AW907" s="106"/>
      <c r="AX907" s="106"/>
      <c r="AY907" s="106"/>
      <c r="AZ907" s="106"/>
      <c r="BA907" s="106"/>
      <c r="BB907" s="107"/>
      <c r="BC907" s="105"/>
      <c r="BD907" s="105"/>
      <c r="BE907" s="105"/>
      <c r="BF907" s="107"/>
      <c r="BG907" s="160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7"/>
      <c r="BV907" s="107"/>
      <c r="BW907" s="107"/>
      <c r="BX907" s="107"/>
      <c r="BY907" s="107"/>
      <c r="BZ907" s="107"/>
      <c r="CA907" s="107"/>
      <c r="CB907" s="107"/>
      <c r="CC907" s="107"/>
      <c r="CD907" s="107"/>
      <c r="CE907" s="106"/>
      <c r="CF907" s="106"/>
      <c r="CG907" s="106"/>
      <c r="CH907" s="106"/>
      <c r="CI907" s="106"/>
      <c r="CJ907" s="138"/>
      <c r="CK907" s="138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K907" s="1"/>
      <c r="EL907" s="106"/>
      <c r="EM907" s="106"/>
      <c r="EN907" s="1"/>
      <c r="EO907" s="106"/>
      <c r="EP907" s="1"/>
      <c r="EQ907" s="1"/>
      <c r="ER907" s="1"/>
      <c r="ES907" s="108"/>
    </row>
    <row r="908" spans="9:149">
      <c r="I908" s="137"/>
      <c r="J908" s="138"/>
      <c r="K908" s="1"/>
      <c r="L908" s="1"/>
      <c r="Q908" s="1"/>
      <c r="R908" s="1"/>
      <c r="S908" s="106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55"/>
      <c r="AN908" s="106"/>
      <c r="AO908" s="106"/>
      <c r="AP908" s="106"/>
      <c r="AQ908" s="31"/>
      <c r="AR908" s="31"/>
      <c r="AS908" s="31"/>
      <c r="AT908" s="30"/>
      <c r="AU908" s="30"/>
      <c r="AV908" s="106"/>
      <c r="AW908" s="106"/>
      <c r="AX908" s="106"/>
      <c r="AY908" s="106"/>
      <c r="AZ908" s="106"/>
      <c r="BA908" s="106"/>
      <c r="BB908" s="107"/>
      <c r="BC908" s="105"/>
      <c r="BD908" s="105"/>
      <c r="BE908" s="105"/>
      <c r="BF908" s="107"/>
      <c r="BG908" s="160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7"/>
      <c r="BV908" s="107"/>
      <c r="BW908" s="107"/>
      <c r="BX908" s="107"/>
      <c r="BY908" s="107"/>
      <c r="BZ908" s="107"/>
      <c r="CA908" s="107"/>
      <c r="CB908" s="107"/>
      <c r="CC908" s="107"/>
      <c r="CD908" s="107"/>
      <c r="CE908" s="106"/>
      <c r="CF908" s="106"/>
      <c r="CG908" s="106"/>
      <c r="CH908" s="106"/>
      <c r="CI908" s="106"/>
      <c r="CJ908" s="138"/>
      <c r="CK908" s="138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K908" s="1"/>
      <c r="EL908" s="106"/>
      <c r="EM908" s="106"/>
      <c r="EN908" s="1"/>
      <c r="EO908" s="106"/>
      <c r="EP908" s="1"/>
      <c r="EQ908" s="1"/>
      <c r="ER908" s="1"/>
      <c r="ES908" s="108"/>
    </row>
    <row r="909" spans="9:149">
      <c r="I909" s="137"/>
      <c r="J909" s="138"/>
      <c r="K909" s="1"/>
      <c r="L909" s="1"/>
      <c r="Q909" s="1"/>
      <c r="R909" s="1"/>
      <c r="S909" s="106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55"/>
      <c r="AN909" s="106"/>
      <c r="AO909" s="106"/>
      <c r="AP909" s="106"/>
      <c r="AQ909" s="31"/>
      <c r="AR909" s="31"/>
      <c r="AS909" s="31"/>
      <c r="AT909" s="30"/>
      <c r="AU909" s="30"/>
      <c r="AV909" s="106"/>
      <c r="AW909" s="106"/>
      <c r="AX909" s="106"/>
      <c r="AY909" s="106"/>
      <c r="AZ909" s="106"/>
      <c r="BA909" s="106"/>
      <c r="BB909" s="107"/>
      <c r="BC909" s="105"/>
      <c r="BD909" s="105"/>
      <c r="BE909" s="105"/>
      <c r="BF909" s="107"/>
      <c r="BG909" s="160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7"/>
      <c r="BV909" s="107"/>
      <c r="BW909" s="107"/>
      <c r="BX909" s="107"/>
      <c r="BY909" s="107"/>
      <c r="BZ909" s="107"/>
      <c r="CA909" s="107"/>
      <c r="CB909" s="107"/>
      <c r="CC909" s="107"/>
      <c r="CD909" s="107"/>
      <c r="CE909" s="106"/>
      <c r="CF909" s="106"/>
      <c r="CG909" s="106"/>
      <c r="CH909" s="106"/>
      <c r="CI909" s="106"/>
      <c r="CJ909" s="138"/>
      <c r="CK909" s="138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K909" s="1"/>
      <c r="EL909" s="106"/>
      <c r="EM909" s="106"/>
      <c r="EN909" s="1"/>
      <c r="EO909" s="106"/>
      <c r="EP909" s="1"/>
      <c r="EQ909" s="1"/>
      <c r="ER909" s="1"/>
      <c r="ES909" s="108"/>
    </row>
    <row r="910" spans="9:149">
      <c r="I910" s="137"/>
      <c r="J910" s="138"/>
      <c r="K910" s="1"/>
      <c r="L910" s="1"/>
      <c r="Q910" s="1"/>
      <c r="R910" s="1"/>
      <c r="S910" s="106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55"/>
      <c r="AN910" s="106"/>
      <c r="AO910" s="106"/>
      <c r="AP910" s="106"/>
      <c r="AQ910" s="31"/>
      <c r="AR910" s="31"/>
      <c r="AS910" s="31"/>
      <c r="AT910" s="30"/>
      <c r="AU910" s="30"/>
      <c r="AV910" s="106"/>
      <c r="AW910" s="106"/>
      <c r="AX910" s="106"/>
      <c r="AY910" s="106"/>
      <c r="AZ910" s="106"/>
      <c r="BA910" s="106"/>
      <c r="BB910" s="107"/>
      <c r="BC910" s="105"/>
      <c r="BD910" s="105"/>
      <c r="BE910" s="105"/>
      <c r="BF910" s="107"/>
      <c r="BG910" s="160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7"/>
      <c r="BV910" s="107"/>
      <c r="BW910" s="107"/>
      <c r="BX910" s="107"/>
      <c r="BY910" s="107"/>
      <c r="BZ910" s="107"/>
      <c r="CA910" s="107"/>
      <c r="CB910" s="107"/>
      <c r="CC910" s="107"/>
      <c r="CD910" s="107"/>
      <c r="CE910" s="106"/>
      <c r="CF910" s="106"/>
      <c r="CG910" s="106"/>
      <c r="CH910" s="106"/>
      <c r="CI910" s="106"/>
      <c r="CJ910" s="138"/>
      <c r="CK910" s="138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K910" s="1"/>
      <c r="EL910" s="106"/>
      <c r="EM910" s="106"/>
      <c r="EN910" s="1"/>
      <c r="EO910" s="106"/>
      <c r="EP910" s="1"/>
      <c r="EQ910" s="1"/>
      <c r="ER910" s="1"/>
      <c r="ES910" s="108"/>
    </row>
    <row r="911" spans="9:149">
      <c r="I911" s="137"/>
      <c r="J911" s="138"/>
      <c r="K911" s="1"/>
      <c r="L911" s="1"/>
      <c r="Q911" s="1"/>
      <c r="R911" s="1"/>
      <c r="S911" s="106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55"/>
      <c r="AN911" s="106"/>
      <c r="AO911" s="106"/>
      <c r="AP911" s="106"/>
      <c r="AQ911" s="31"/>
      <c r="AR911" s="31"/>
      <c r="AS911" s="31"/>
      <c r="AT911" s="30"/>
      <c r="AU911" s="30"/>
      <c r="AV911" s="106"/>
      <c r="AW911" s="106"/>
      <c r="AX911" s="106"/>
      <c r="AY911" s="106"/>
      <c r="AZ911" s="106"/>
      <c r="BA911" s="106"/>
      <c r="BB911" s="107"/>
      <c r="BC911" s="105"/>
      <c r="BD911" s="105"/>
      <c r="BE911" s="105"/>
      <c r="BF911" s="107"/>
      <c r="BG911" s="160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7"/>
      <c r="BV911" s="107"/>
      <c r="BW911" s="107"/>
      <c r="BX911" s="107"/>
      <c r="BY911" s="107"/>
      <c r="BZ911" s="107"/>
      <c r="CA911" s="107"/>
      <c r="CB911" s="107"/>
      <c r="CC911" s="107"/>
      <c r="CD911" s="107"/>
      <c r="CE911" s="106"/>
      <c r="CF911" s="106"/>
      <c r="CG911" s="106"/>
      <c r="CH911" s="106"/>
      <c r="CI911" s="106"/>
      <c r="CJ911" s="138"/>
      <c r="CK911" s="138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K911" s="1"/>
      <c r="EL911" s="106"/>
      <c r="EM911" s="106"/>
      <c r="EN911" s="1"/>
      <c r="EO911" s="106"/>
      <c r="EP911" s="1"/>
      <c r="EQ911" s="1"/>
      <c r="ER911" s="1"/>
      <c r="ES911" s="108"/>
    </row>
    <row r="912" spans="9:149">
      <c r="I912" s="137"/>
      <c r="J912" s="138"/>
      <c r="K912" s="1"/>
      <c r="L912" s="1"/>
      <c r="Q912" s="1"/>
      <c r="R912" s="1"/>
      <c r="S912" s="106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55"/>
      <c r="AN912" s="106"/>
      <c r="AO912" s="106"/>
      <c r="AP912" s="106"/>
      <c r="AQ912" s="31"/>
      <c r="AR912" s="31"/>
      <c r="AS912" s="31"/>
      <c r="AT912" s="30"/>
      <c r="AU912" s="30"/>
      <c r="AV912" s="106"/>
      <c r="AW912" s="106"/>
      <c r="AX912" s="106"/>
      <c r="AY912" s="106"/>
      <c r="AZ912" s="106"/>
      <c r="BA912" s="106"/>
      <c r="BB912" s="107"/>
      <c r="BC912" s="105"/>
      <c r="BD912" s="105"/>
      <c r="BE912" s="105"/>
      <c r="BF912" s="107"/>
      <c r="BG912" s="160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7"/>
      <c r="BV912" s="107"/>
      <c r="BW912" s="107"/>
      <c r="BX912" s="107"/>
      <c r="BY912" s="107"/>
      <c r="BZ912" s="107"/>
      <c r="CA912" s="107"/>
      <c r="CB912" s="107"/>
      <c r="CC912" s="107"/>
      <c r="CD912" s="107"/>
      <c r="CE912" s="106"/>
      <c r="CF912" s="106"/>
      <c r="CG912" s="106"/>
      <c r="CH912" s="106"/>
      <c r="CI912" s="106"/>
      <c r="CJ912" s="138"/>
      <c r="CK912" s="138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K912" s="1"/>
      <c r="EL912" s="106"/>
      <c r="EM912" s="106"/>
      <c r="EN912" s="1"/>
      <c r="EO912" s="106"/>
      <c r="EP912" s="1"/>
      <c r="EQ912" s="1"/>
      <c r="ER912" s="1"/>
      <c r="ES912" s="108"/>
    </row>
    <row r="913" spans="9:149">
      <c r="I913" s="137"/>
      <c r="J913" s="138"/>
      <c r="K913" s="1"/>
      <c r="L913" s="1"/>
      <c r="Q913" s="1"/>
      <c r="R913" s="1"/>
      <c r="S913" s="106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55"/>
      <c r="AN913" s="106"/>
      <c r="AO913" s="106"/>
      <c r="AP913" s="106"/>
      <c r="AQ913" s="31"/>
      <c r="AR913" s="31"/>
      <c r="AS913" s="31"/>
      <c r="AT913" s="30"/>
      <c r="AU913" s="30"/>
      <c r="AV913" s="106"/>
      <c r="AW913" s="106"/>
      <c r="AX913" s="106"/>
      <c r="AY913" s="106"/>
      <c r="AZ913" s="106"/>
      <c r="BA913" s="106"/>
      <c r="BB913" s="107"/>
      <c r="BC913" s="105"/>
      <c r="BD913" s="105"/>
      <c r="BE913" s="105"/>
      <c r="BF913" s="107"/>
      <c r="BG913" s="160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7"/>
      <c r="BV913" s="107"/>
      <c r="BW913" s="107"/>
      <c r="BX913" s="107"/>
      <c r="BY913" s="107"/>
      <c r="BZ913" s="107"/>
      <c r="CA913" s="107"/>
      <c r="CB913" s="107"/>
      <c r="CC913" s="107"/>
      <c r="CD913" s="107"/>
      <c r="CE913" s="106"/>
      <c r="CF913" s="106"/>
      <c r="CG913" s="106"/>
      <c r="CH913" s="106"/>
      <c r="CI913" s="106"/>
      <c r="CJ913" s="138"/>
      <c r="CK913" s="138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K913" s="1"/>
      <c r="EL913" s="106"/>
      <c r="EM913" s="106"/>
      <c r="EN913" s="1"/>
      <c r="EO913" s="106"/>
      <c r="EP913" s="1"/>
      <c r="EQ913" s="1"/>
      <c r="ER913" s="1"/>
      <c r="ES913" s="108"/>
    </row>
    <row r="914" spans="9:149">
      <c r="I914" s="137"/>
      <c r="J914" s="138"/>
      <c r="K914" s="1"/>
      <c r="L914" s="1"/>
      <c r="Q914" s="1"/>
      <c r="R914" s="1"/>
      <c r="S914" s="106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55"/>
      <c r="AN914" s="106"/>
      <c r="AO914" s="106"/>
      <c r="AP914" s="106"/>
      <c r="AQ914" s="31"/>
      <c r="AR914" s="31"/>
      <c r="AS914" s="31"/>
      <c r="AT914" s="30"/>
      <c r="AU914" s="30"/>
      <c r="AV914" s="106"/>
      <c r="AW914" s="106"/>
      <c r="AX914" s="106"/>
      <c r="AY914" s="106"/>
      <c r="AZ914" s="106"/>
      <c r="BA914" s="106"/>
      <c r="BB914" s="107"/>
      <c r="BC914" s="105"/>
      <c r="BD914" s="105"/>
      <c r="BE914" s="105"/>
      <c r="BF914" s="107"/>
      <c r="BG914" s="160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7"/>
      <c r="BV914" s="107"/>
      <c r="BW914" s="107"/>
      <c r="BX914" s="107"/>
      <c r="BY914" s="107"/>
      <c r="BZ914" s="107"/>
      <c r="CA914" s="107"/>
      <c r="CB914" s="107"/>
      <c r="CC914" s="107"/>
      <c r="CD914" s="107"/>
      <c r="CE914" s="106"/>
      <c r="CF914" s="106"/>
      <c r="CG914" s="106"/>
      <c r="CH914" s="106"/>
      <c r="CI914" s="106"/>
      <c r="CJ914" s="138"/>
      <c r="CK914" s="138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K914" s="1"/>
      <c r="EL914" s="106"/>
      <c r="EM914" s="106"/>
      <c r="EN914" s="1"/>
      <c r="EO914" s="106"/>
      <c r="EP914" s="1"/>
      <c r="EQ914" s="1"/>
      <c r="ER914" s="1"/>
      <c r="ES914" s="108"/>
    </row>
    <row r="915" spans="9:149">
      <c r="I915" s="137"/>
      <c r="J915" s="138"/>
      <c r="K915" s="1"/>
      <c r="L915" s="1"/>
      <c r="Q915" s="1"/>
      <c r="R915" s="1"/>
      <c r="S915" s="106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55"/>
      <c r="AN915" s="106"/>
      <c r="AO915" s="106"/>
      <c r="AP915" s="106"/>
      <c r="AQ915" s="31"/>
      <c r="AR915" s="31"/>
      <c r="AS915" s="31"/>
      <c r="AT915" s="30"/>
      <c r="AU915" s="30"/>
      <c r="AV915" s="106"/>
      <c r="AW915" s="106"/>
      <c r="AX915" s="106"/>
      <c r="AY915" s="106"/>
      <c r="AZ915" s="106"/>
      <c r="BA915" s="106"/>
      <c r="BB915" s="107"/>
      <c r="BC915" s="105"/>
      <c r="BD915" s="105"/>
      <c r="BE915" s="105"/>
      <c r="BF915" s="107"/>
      <c r="BG915" s="160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7"/>
      <c r="BV915" s="107"/>
      <c r="BW915" s="107"/>
      <c r="BX915" s="107"/>
      <c r="BY915" s="107"/>
      <c r="BZ915" s="107"/>
      <c r="CA915" s="107"/>
      <c r="CB915" s="107"/>
      <c r="CC915" s="107"/>
      <c r="CD915" s="107"/>
      <c r="CE915" s="106"/>
      <c r="CF915" s="106"/>
      <c r="CG915" s="106"/>
      <c r="CH915" s="106"/>
      <c r="CI915" s="106"/>
      <c r="CJ915" s="138"/>
      <c r="CK915" s="138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K915" s="1"/>
      <c r="EL915" s="106"/>
      <c r="EM915" s="106"/>
      <c r="EN915" s="1"/>
      <c r="EO915" s="106"/>
      <c r="EP915" s="1"/>
      <c r="EQ915" s="1"/>
      <c r="ER915" s="1"/>
      <c r="ES915" s="108"/>
    </row>
    <row r="916" spans="9:149">
      <c r="I916" s="137"/>
      <c r="J916" s="138"/>
      <c r="K916" s="1"/>
      <c r="L916" s="1"/>
      <c r="Q916" s="1"/>
      <c r="R916" s="1"/>
      <c r="S916" s="106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55"/>
      <c r="AN916" s="106"/>
      <c r="AO916" s="106"/>
      <c r="AP916" s="106"/>
      <c r="AQ916" s="31"/>
      <c r="AR916" s="31"/>
      <c r="AS916" s="31"/>
      <c r="AT916" s="30"/>
      <c r="AU916" s="30"/>
      <c r="AV916" s="106"/>
      <c r="AW916" s="106"/>
      <c r="AX916" s="106"/>
      <c r="AY916" s="106"/>
      <c r="AZ916" s="106"/>
      <c r="BA916" s="106"/>
      <c r="BB916" s="107"/>
      <c r="BC916" s="105"/>
      <c r="BD916" s="105"/>
      <c r="BE916" s="105"/>
      <c r="BF916" s="107"/>
      <c r="BG916" s="160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7"/>
      <c r="BV916" s="107"/>
      <c r="BW916" s="107"/>
      <c r="BX916" s="107"/>
      <c r="BY916" s="107"/>
      <c r="BZ916" s="107"/>
      <c r="CA916" s="107"/>
      <c r="CB916" s="107"/>
      <c r="CC916" s="107"/>
      <c r="CD916" s="107"/>
      <c r="CE916" s="106"/>
      <c r="CF916" s="106"/>
      <c r="CG916" s="106"/>
      <c r="CH916" s="106"/>
      <c r="CI916" s="106"/>
      <c r="CJ916" s="138"/>
      <c r="CK916" s="138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K916" s="1"/>
      <c r="EL916" s="106"/>
      <c r="EM916" s="106"/>
      <c r="EN916" s="1"/>
      <c r="EO916" s="106"/>
      <c r="EP916" s="1"/>
      <c r="EQ916" s="1"/>
      <c r="ER916" s="1"/>
      <c r="ES916" s="108"/>
    </row>
    <row r="917" spans="9:149">
      <c r="I917" s="137"/>
      <c r="J917" s="138"/>
      <c r="K917" s="1"/>
      <c r="L917" s="1"/>
      <c r="Q917" s="1"/>
      <c r="R917" s="1"/>
      <c r="S917" s="106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55"/>
      <c r="AN917" s="106"/>
      <c r="AO917" s="106"/>
      <c r="AP917" s="106"/>
      <c r="AQ917" s="31"/>
      <c r="AR917" s="31"/>
      <c r="AS917" s="31"/>
      <c r="AT917" s="30"/>
      <c r="AU917" s="30"/>
      <c r="AV917" s="106"/>
      <c r="AW917" s="106"/>
      <c r="AX917" s="106"/>
      <c r="AY917" s="106"/>
      <c r="AZ917" s="106"/>
      <c r="BA917" s="106"/>
      <c r="BB917" s="107"/>
      <c r="BC917" s="105"/>
      <c r="BD917" s="105"/>
      <c r="BE917" s="105"/>
      <c r="BF917" s="107"/>
      <c r="BG917" s="160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7"/>
      <c r="BV917" s="107"/>
      <c r="BW917" s="107"/>
      <c r="BX917" s="107"/>
      <c r="BY917" s="107"/>
      <c r="BZ917" s="107"/>
      <c r="CA917" s="107"/>
      <c r="CB917" s="107"/>
      <c r="CC917" s="107"/>
      <c r="CD917" s="107"/>
      <c r="CE917" s="106"/>
      <c r="CF917" s="106"/>
      <c r="CG917" s="106"/>
      <c r="CH917" s="106"/>
      <c r="CI917" s="106"/>
      <c r="CJ917" s="138"/>
      <c r="CK917" s="138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K917" s="1"/>
      <c r="EL917" s="106"/>
      <c r="EM917" s="106"/>
      <c r="EN917" s="1"/>
      <c r="EO917" s="106"/>
      <c r="EP917" s="1"/>
      <c r="EQ917" s="1"/>
      <c r="ER917" s="1"/>
      <c r="ES917" s="108"/>
    </row>
    <row r="918" spans="9:149">
      <c r="I918" s="137"/>
      <c r="J918" s="138"/>
      <c r="K918" s="1"/>
      <c r="L918" s="1"/>
      <c r="Q918" s="1"/>
      <c r="R918" s="1"/>
      <c r="S918" s="106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55"/>
      <c r="AN918" s="106"/>
      <c r="AO918" s="106"/>
      <c r="AP918" s="106"/>
      <c r="AQ918" s="31"/>
      <c r="AR918" s="31"/>
      <c r="AS918" s="31"/>
      <c r="AT918" s="30"/>
      <c r="AU918" s="30"/>
      <c r="AV918" s="106"/>
      <c r="AW918" s="106"/>
      <c r="AX918" s="106"/>
      <c r="AY918" s="106"/>
      <c r="AZ918" s="106"/>
      <c r="BA918" s="106"/>
      <c r="BB918" s="107"/>
      <c r="BC918" s="105"/>
      <c r="BD918" s="105"/>
      <c r="BE918" s="105"/>
      <c r="BF918" s="107"/>
      <c r="BG918" s="160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7"/>
      <c r="BV918" s="107"/>
      <c r="BW918" s="107"/>
      <c r="BX918" s="107"/>
      <c r="BY918" s="107"/>
      <c r="BZ918" s="107"/>
      <c r="CA918" s="107"/>
      <c r="CB918" s="107"/>
      <c r="CC918" s="107"/>
      <c r="CD918" s="107"/>
      <c r="CE918" s="106"/>
      <c r="CF918" s="106"/>
      <c r="CG918" s="106"/>
      <c r="CH918" s="106"/>
      <c r="CI918" s="106"/>
      <c r="CJ918" s="138"/>
      <c r="CK918" s="138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K918" s="1"/>
      <c r="EL918" s="106"/>
      <c r="EM918" s="106"/>
      <c r="EN918" s="1"/>
      <c r="EO918" s="106"/>
      <c r="EP918" s="1"/>
      <c r="EQ918" s="1"/>
      <c r="ER918" s="1"/>
      <c r="ES918" s="108"/>
    </row>
    <row r="919" spans="9:149">
      <c r="I919" s="137"/>
      <c r="J919" s="138"/>
      <c r="K919" s="1"/>
      <c r="L919" s="1"/>
      <c r="Q919" s="1"/>
      <c r="R919" s="1"/>
      <c r="S919" s="106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55"/>
      <c r="AN919" s="106"/>
      <c r="AO919" s="106"/>
      <c r="AP919" s="106"/>
      <c r="AQ919" s="31"/>
      <c r="AR919" s="31"/>
      <c r="AS919" s="31"/>
      <c r="AT919" s="30"/>
      <c r="AU919" s="30"/>
      <c r="AV919" s="106"/>
      <c r="AW919" s="106"/>
      <c r="AX919" s="106"/>
      <c r="AY919" s="106"/>
      <c r="AZ919" s="106"/>
      <c r="BA919" s="106"/>
      <c r="BB919" s="107"/>
      <c r="BC919" s="105"/>
      <c r="BD919" s="105"/>
      <c r="BE919" s="105"/>
      <c r="BF919" s="107"/>
      <c r="BG919" s="160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7"/>
      <c r="BV919" s="107"/>
      <c r="BW919" s="107"/>
      <c r="BX919" s="107"/>
      <c r="BY919" s="107"/>
      <c r="BZ919" s="107"/>
      <c r="CA919" s="107"/>
      <c r="CB919" s="107"/>
      <c r="CC919" s="107"/>
      <c r="CD919" s="107"/>
      <c r="CE919" s="106"/>
      <c r="CF919" s="106"/>
      <c r="CG919" s="106"/>
      <c r="CH919" s="106"/>
      <c r="CI919" s="106"/>
      <c r="CJ919" s="138"/>
      <c r="CK919" s="138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K919" s="1"/>
      <c r="EL919" s="106"/>
      <c r="EM919" s="106"/>
      <c r="EN919" s="1"/>
      <c r="EO919" s="106"/>
      <c r="EP919" s="1"/>
      <c r="EQ919" s="1"/>
      <c r="ER919" s="1"/>
      <c r="ES919" s="108"/>
    </row>
    <row r="920" spans="9:149">
      <c r="I920" s="137"/>
      <c r="J920" s="138"/>
      <c r="K920" s="1"/>
      <c r="L920" s="1"/>
      <c r="Q920" s="1"/>
      <c r="R920" s="1"/>
      <c r="S920" s="106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55"/>
      <c r="AN920" s="106"/>
      <c r="AO920" s="106"/>
      <c r="AP920" s="106"/>
      <c r="AQ920" s="31"/>
      <c r="AR920" s="31"/>
      <c r="AS920" s="31"/>
      <c r="AT920" s="30"/>
      <c r="AU920" s="30"/>
      <c r="AV920" s="106"/>
      <c r="AW920" s="106"/>
      <c r="AX920" s="106"/>
      <c r="AY920" s="106"/>
      <c r="AZ920" s="106"/>
      <c r="BA920" s="106"/>
      <c r="BB920" s="107"/>
      <c r="BC920" s="105"/>
      <c r="BD920" s="105"/>
      <c r="BE920" s="105"/>
      <c r="BF920" s="107"/>
      <c r="BG920" s="160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7"/>
      <c r="BV920" s="107"/>
      <c r="BW920" s="107"/>
      <c r="BX920" s="107"/>
      <c r="BY920" s="107"/>
      <c r="BZ920" s="107"/>
      <c r="CA920" s="107"/>
      <c r="CB920" s="107"/>
      <c r="CC920" s="107"/>
      <c r="CD920" s="107"/>
      <c r="CE920" s="106"/>
      <c r="CF920" s="106"/>
      <c r="CG920" s="106"/>
      <c r="CH920" s="106"/>
      <c r="CI920" s="106"/>
      <c r="CJ920" s="138"/>
      <c r="CK920" s="138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K920" s="1"/>
      <c r="EL920" s="106"/>
      <c r="EM920" s="106"/>
      <c r="EN920" s="1"/>
      <c r="EO920" s="106"/>
      <c r="EP920" s="1"/>
      <c r="EQ920" s="1"/>
      <c r="ER920" s="1"/>
      <c r="ES920" s="108"/>
    </row>
    <row r="921" spans="9:149">
      <c r="I921" s="137"/>
      <c r="J921" s="138"/>
      <c r="K921" s="1"/>
      <c r="L921" s="1"/>
      <c r="Q921" s="1"/>
      <c r="R921" s="1"/>
      <c r="S921" s="106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55"/>
      <c r="AN921" s="106"/>
      <c r="AO921" s="106"/>
      <c r="AP921" s="106"/>
      <c r="AQ921" s="31"/>
      <c r="AR921" s="31"/>
      <c r="AS921" s="31"/>
      <c r="AT921" s="30"/>
      <c r="AU921" s="30"/>
      <c r="AV921" s="106"/>
      <c r="AW921" s="106"/>
      <c r="AX921" s="106"/>
      <c r="AY921" s="106"/>
      <c r="AZ921" s="106"/>
      <c r="BA921" s="106"/>
      <c r="BB921" s="107"/>
      <c r="BC921" s="105"/>
      <c r="BD921" s="105"/>
      <c r="BE921" s="105"/>
      <c r="BF921" s="107"/>
      <c r="BG921" s="160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7"/>
      <c r="BV921" s="107"/>
      <c r="BW921" s="107"/>
      <c r="BX921" s="107"/>
      <c r="BY921" s="107"/>
      <c r="BZ921" s="107"/>
      <c r="CA921" s="107"/>
      <c r="CB921" s="107"/>
      <c r="CC921" s="107"/>
      <c r="CD921" s="107"/>
      <c r="CE921" s="106"/>
      <c r="CF921" s="106"/>
      <c r="CG921" s="106"/>
      <c r="CH921" s="106"/>
      <c r="CI921" s="106"/>
      <c r="CJ921" s="138"/>
      <c r="CK921" s="138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K921" s="1"/>
      <c r="EL921" s="106"/>
      <c r="EM921" s="106"/>
      <c r="EN921" s="1"/>
      <c r="EO921" s="106"/>
      <c r="EP921" s="1"/>
      <c r="EQ921" s="1"/>
      <c r="ER921" s="1"/>
      <c r="ES921" s="108"/>
    </row>
    <row r="922" spans="9:149">
      <c r="I922" s="137"/>
      <c r="J922" s="138"/>
      <c r="K922" s="1"/>
      <c r="L922" s="1"/>
      <c r="Q922" s="1"/>
      <c r="R922" s="1"/>
      <c r="S922" s="106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55"/>
      <c r="AN922" s="106"/>
      <c r="AO922" s="106"/>
      <c r="AP922" s="106"/>
      <c r="AQ922" s="31"/>
      <c r="AR922" s="31"/>
      <c r="AS922" s="31"/>
      <c r="AT922" s="30"/>
      <c r="AU922" s="30"/>
      <c r="AV922" s="106"/>
      <c r="AW922" s="106"/>
      <c r="AX922" s="106"/>
      <c r="AY922" s="106"/>
      <c r="AZ922" s="106"/>
      <c r="BA922" s="106"/>
      <c r="BB922" s="107"/>
      <c r="BC922" s="105"/>
      <c r="BD922" s="105"/>
      <c r="BE922" s="105"/>
      <c r="BF922" s="107"/>
      <c r="BG922" s="160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7"/>
      <c r="BV922" s="107"/>
      <c r="BW922" s="107"/>
      <c r="BX922" s="107"/>
      <c r="BY922" s="107"/>
      <c r="BZ922" s="107"/>
      <c r="CA922" s="107"/>
      <c r="CB922" s="107"/>
      <c r="CC922" s="107"/>
      <c r="CD922" s="107"/>
      <c r="CE922" s="106"/>
      <c r="CF922" s="106"/>
      <c r="CG922" s="106"/>
      <c r="CH922" s="106"/>
      <c r="CI922" s="106"/>
      <c r="CJ922" s="138"/>
      <c r="CK922" s="138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K922" s="1"/>
      <c r="EL922" s="106"/>
      <c r="EM922" s="106"/>
      <c r="EN922" s="1"/>
      <c r="EO922" s="106"/>
      <c r="EP922" s="1"/>
      <c r="EQ922" s="1"/>
      <c r="ER922" s="1"/>
      <c r="ES922" s="108"/>
    </row>
    <row r="923" spans="9:149">
      <c r="I923" s="137"/>
      <c r="J923" s="138"/>
      <c r="K923" s="1"/>
      <c r="L923" s="1"/>
      <c r="Q923" s="1"/>
      <c r="R923" s="1"/>
      <c r="S923" s="106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55"/>
      <c r="AN923" s="106"/>
      <c r="AO923" s="106"/>
      <c r="AP923" s="106"/>
      <c r="AQ923" s="31"/>
      <c r="AR923" s="31"/>
      <c r="AS923" s="31"/>
      <c r="AT923" s="30"/>
      <c r="AU923" s="30"/>
      <c r="AV923" s="106"/>
      <c r="AW923" s="106"/>
      <c r="AX923" s="106"/>
      <c r="AY923" s="106"/>
      <c r="AZ923" s="106"/>
      <c r="BA923" s="106"/>
      <c r="BB923" s="107"/>
      <c r="BC923" s="105"/>
      <c r="BD923" s="105"/>
      <c r="BE923" s="105"/>
      <c r="BF923" s="107"/>
      <c r="BG923" s="160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7"/>
      <c r="BV923" s="107"/>
      <c r="BW923" s="107"/>
      <c r="BX923" s="107"/>
      <c r="BY923" s="107"/>
      <c r="BZ923" s="107"/>
      <c r="CA923" s="107"/>
      <c r="CB923" s="107"/>
      <c r="CC923" s="107"/>
      <c r="CD923" s="107"/>
      <c r="CE923" s="106"/>
      <c r="CF923" s="106"/>
      <c r="CG923" s="106"/>
      <c r="CH923" s="106"/>
      <c r="CI923" s="106"/>
      <c r="CJ923" s="138"/>
      <c r="CK923" s="138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K923" s="1"/>
      <c r="EL923" s="106"/>
      <c r="EM923" s="106"/>
      <c r="EN923" s="1"/>
      <c r="EO923" s="106"/>
      <c r="EP923" s="1"/>
      <c r="EQ923" s="1"/>
      <c r="ER923" s="1"/>
      <c r="ES923" s="108"/>
    </row>
    <row r="924" spans="9:149">
      <c r="I924" s="137"/>
      <c r="J924" s="138"/>
      <c r="K924" s="1"/>
      <c r="L924" s="1"/>
      <c r="Q924" s="1"/>
      <c r="R924" s="1"/>
      <c r="S924" s="106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55"/>
      <c r="AN924" s="106"/>
      <c r="AO924" s="106"/>
      <c r="AP924" s="106"/>
      <c r="AQ924" s="31"/>
      <c r="AR924" s="31"/>
      <c r="AS924" s="31"/>
      <c r="AT924" s="30"/>
      <c r="AU924" s="30"/>
      <c r="AV924" s="106"/>
      <c r="AW924" s="106"/>
      <c r="AX924" s="106"/>
      <c r="AY924" s="106"/>
      <c r="AZ924" s="106"/>
      <c r="BA924" s="106"/>
      <c r="BB924" s="107"/>
      <c r="BC924" s="105"/>
      <c r="BD924" s="105"/>
      <c r="BE924" s="105"/>
      <c r="BF924" s="107"/>
      <c r="BG924" s="160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7"/>
      <c r="BV924" s="107"/>
      <c r="BW924" s="107"/>
      <c r="BX924" s="107"/>
      <c r="BY924" s="107"/>
      <c r="BZ924" s="107"/>
      <c r="CA924" s="107"/>
      <c r="CB924" s="107"/>
      <c r="CC924" s="107"/>
      <c r="CD924" s="107"/>
      <c r="CE924" s="106"/>
      <c r="CF924" s="106"/>
      <c r="CG924" s="106"/>
      <c r="CH924" s="106"/>
      <c r="CI924" s="106"/>
      <c r="CJ924" s="138"/>
      <c r="CK924" s="138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K924" s="1"/>
      <c r="EL924" s="106"/>
      <c r="EM924" s="106"/>
      <c r="EN924" s="1"/>
      <c r="EO924" s="106"/>
      <c r="EP924" s="1"/>
      <c r="EQ924" s="1"/>
      <c r="ER924" s="1"/>
      <c r="ES924" s="108"/>
    </row>
    <row r="925" spans="9:149">
      <c r="I925" s="137"/>
      <c r="J925" s="138"/>
      <c r="K925" s="1"/>
      <c r="L925" s="1"/>
      <c r="Q925" s="1"/>
      <c r="R925" s="1"/>
      <c r="S925" s="106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55"/>
      <c r="AN925" s="106"/>
      <c r="AO925" s="106"/>
      <c r="AP925" s="106"/>
      <c r="AQ925" s="31"/>
      <c r="AR925" s="31"/>
      <c r="AS925" s="31"/>
      <c r="AT925" s="30"/>
      <c r="AU925" s="30"/>
      <c r="AV925" s="106"/>
      <c r="AW925" s="106"/>
      <c r="AX925" s="106"/>
      <c r="AY925" s="106"/>
      <c r="AZ925" s="106"/>
      <c r="BA925" s="106"/>
      <c r="BB925" s="107"/>
      <c r="BC925" s="105"/>
      <c r="BD925" s="105"/>
      <c r="BE925" s="105"/>
      <c r="BF925" s="107"/>
      <c r="BG925" s="160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7"/>
      <c r="BV925" s="107"/>
      <c r="BW925" s="107"/>
      <c r="BX925" s="107"/>
      <c r="BY925" s="107"/>
      <c r="BZ925" s="107"/>
      <c r="CA925" s="107"/>
      <c r="CB925" s="107"/>
      <c r="CC925" s="107"/>
      <c r="CD925" s="107"/>
      <c r="CE925" s="106"/>
      <c r="CF925" s="106"/>
      <c r="CG925" s="106"/>
      <c r="CH925" s="106"/>
      <c r="CI925" s="106"/>
      <c r="CJ925" s="138"/>
      <c r="CK925" s="138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K925" s="1"/>
      <c r="EL925" s="106"/>
      <c r="EM925" s="106"/>
      <c r="EN925" s="1"/>
      <c r="EO925" s="106"/>
      <c r="EP925" s="1"/>
      <c r="EQ925" s="1"/>
      <c r="ER925" s="1"/>
      <c r="ES925" s="108"/>
    </row>
    <row r="926" spans="9:149">
      <c r="I926" s="137"/>
      <c r="J926" s="138"/>
      <c r="K926" s="1"/>
      <c r="L926" s="1"/>
      <c r="Q926" s="1"/>
      <c r="R926" s="1"/>
      <c r="S926" s="106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55"/>
      <c r="AN926" s="106"/>
      <c r="AO926" s="106"/>
      <c r="AP926" s="106"/>
      <c r="AQ926" s="31"/>
      <c r="AR926" s="31"/>
      <c r="AS926" s="31"/>
      <c r="AT926" s="30"/>
      <c r="AU926" s="30"/>
      <c r="AV926" s="106"/>
      <c r="AW926" s="106"/>
      <c r="AX926" s="106"/>
      <c r="AY926" s="106"/>
      <c r="AZ926" s="106"/>
      <c r="BA926" s="106"/>
      <c r="BB926" s="107"/>
      <c r="BC926" s="105"/>
      <c r="BD926" s="105"/>
      <c r="BE926" s="105"/>
      <c r="BF926" s="107"/>
      <c r="BG926" s="160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7"/>
      <c r="BV926" s="107"/>
      <c r="BW926" s="107"/>
      <c r="BX926" s="107"/>
      <c r="BY926" s="107"/>
      <c r="BZ926" s="107"/>
      <c r="CA926" s="107"/>
      <c r="CB926" s="107"/>
      <c r="CC926" s="107"/>
      <c r="CD926" s="107"/>
      <c r="CE926" s="106"/>
      <c r="CF926" s="106"/>
      <c r="CG926" s="106"/>
      <c r="CH926" s="106"/>
      <c r="CI926" s="106"/>
      <c r="CJ926" s="138"/>
      <c r="CK926" s="138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K926" s="1"/>
      <c r="EL926" s="106"/>
      <c r="EM926" s="106"/>
      <c r="EN926" s="1"/>
      <c r="EO926" s="106"/>
      <c r="EP926" s="1"/>
      <c r="EQ926" s="1"/>
      <c r="ER926" s="1"/>
      <c r="ES926" s="108"/>
    </row>
    <row r="927" spans="9:149">
      <c r="I927" s="137"/>
      <c r="J927" s="138"/>
      <c r="K927" s="1"/>
      <c r="L927" s="1"/>
      <c r="Q927" s="1"/>
      <c r="R927" s="1"/>
      <c r="S927" s="106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55"/>
      <c r="AN927" s="106"/>
      <c r="AO927" s="106"/>
      <c r="AP927" s="106"/>
      <c r="AQ927" s="31"/>
      <c r="AR927" s="31"/>
      <c r="AS927" s="31"/>
      <c r="AT927" s="30"/>
      <c r="AU927" s="30"/>
      <c r="AV927" s="106"/>
      <c r="AW927" s="106"/>
      <c r="AX927" s="106"/>
      <c r="AY927" s="106"/>
      <c r="AZ927" s="106"/>
      <c r="BA927" s="106"/>
      <c r="BB927" s="107"/>
      <c r="BC927" s="105"/>
      <c r="BD927" s="105"/>
      <c r="BE927" s="105"/>
      <c r="BF927" s="107"/>
      <c r="BG927" s="160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7"/>
      <c r="BV927" s="107"/>
      <c r="BW927" s="107"/>
      <c r="BX927" s="107"/>
      <c r="BY927" s="107"/>
      <c r="BZ927" s="107"/>
      <c r="CA927" s="107"/>
      <c r="CB927" s="107"/>
      <c r="CC927" s="107"/>
      <c r="CD927" s="107"/>
      <c r="CE927" s="106"/>
      <c r="CF927" s="106"/>
      <c r="CG927" s="106"/>
      <c r="CH927" s="106"/>
      <c r="CI927" s="106"/>
      <c r="CJ927" s="138"/>
      <c r="CK927" s="138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K927" s="1"/>
      <c r="EL927" s="106"/>
      <c r="EM927" s="106"/>
      <c r="EN927" s="1"/>
      <c r="EO927" s="106"/>
      <c r="EP927" s="1"/>
      <c r="EQ927" s="1"/>
      <c r="ER927" s="1"/>
      <c r="ES927" s="108"/>
    </row>
    <row r="928" spans="9:149">
      <c r="I928" s="137"/>
      <c r="J928" s="138"/>
      <c r="K928" s="1"/>
      <c r="L928" s="1"/>
      <c r="Q928" s="1"/>
      <c r="R928" s="1"/>
      <c r="S928" s="106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55"/>
      <c r="AN928" s="106"/>
      <c r="AO928" s="106"/>
      <c r="AP928" s="106"/>
      <c r="AQ928" s="31"/>
      <c r="AR928" s="31"/>
      <c r="AS928" s="31"/>
      <c r="AT928" s="30"/>
      <c r="AU928" s="30"/>
      <c r="AV928" s="106"/>
      <c r="AW928" s="106"/>
      <c r="AX928" s="106"/>
      <c r="AY928" s="106"/>
      <c r="AZ928" s="106"/>
      <c r="BA928" s="106"/>
      <c r="BB928" s="107"/>
      <c r="BC928" s="105"/>
      <c r="BD928" s="105"/>
      <c r="BE928" s="105"/>
      <c r="BF928" s="107"/>
      <c r="BG928" s="160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7"/>
      <c r="BV928" s="107"/>
      <c r="BW928" s="107"/>
      <c r="BX928" s="107"/>
      <c r="BY928" s="107"/>
      <c r="BZ928" s="107"/>
      <c r="CA928" s="107"/>
      <c r="CB928" s="107"/>
      <c r="CC928" s="107"/>
      <c r="CD928" s="107"/>
      <c r="CE928" s="106"/>
      <c r="CF928" s="106"/>
      <c r="CG928" s="106"/>
      <c r="CH928" s="106"/>
      <c r="CI928" s="106"/>
      <c r="CJ928" s="138"/>
      <c r="CK928" s="138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K928" s="1"/>
      <c r="EL928" s="106"/>
      <c r="EM928" s="106"/>
      <c r="EN928" s="1"/>
      <c r="EO928" s="106"/>
      <c r="EP928" s="1"/>
      <c r="EQ928" s="1"/>
      <c r="ER928" s="1"/>
      <c r="ES928" s="108"/>
    </row>
    <row r="929" spans="9:149">
      <c r="I929" s="137"/>
      <c r="J929" s="138"/>
      <c r="K929" s="1"/>
      <c r="L929" s="1"/>
      <c r="Q929" s="1"/>
      <c r="R929" s="1"/>
      <c r="S929" s="106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55"/>
      <c r="AN929" s="106"/>
      <c r="AO929" s="106"/>
      <c r="AP929" s="106"/>
      <c r="AQ929" s="31"/>
      <c r="AR929" s="31"/>
      <c r="AS929" s="31"/>
      <c r="AT929" s="30"/>
      <c r="AU929" s="30"/>
      <c r="AV929" s="106"/>
      <c r="AW929" s="106"/>
      <c r="AX929" s="106"/>
      <c r="AY929" s="106"/>
      <c r="AZ929" s="106"/>
      <c r="BA929" s="106"/>
      <c r="BB929" s="107"/>
      <c r="BC929" s="105"/>
      <c r="BD929" s="105"/>
      <c r="BE929" s="105"/>
      <c r="BF929" s="107"/>
      <c r="BG929" s="160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7"/>
      <c r="BV929" s="107"/>
      <c r="BW929" s="107"/>
      <c r="BX929" s="107"/>
      <c r="BY929" s="107"/>
      <c r="BZ929" s="107"/>
      <c r="CA929" s="107"/>
      <c r="CB929" s="107"/>
      <c r="CC929" s="107"/>
      <c r="CD929" s="107"/>
      <c r="CE929" s="106"/>
      <c r="CF929" s="106"/>
      <c r="CG929" s="106"/>
      <c r="CH929" s="106"/>
      <c r="CI929" s="106"/>
      <c r="CJ929" s="138"/>
      <c r="CK929" s="138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K929" s="1"/>
      <c r="EL929" s="106"/>
      <c r="EM929" s="106"/>
      <c r="EN929" s="1"/>
      <c r="EO929" s="106"/>
      <c r="EP929" s="1"/>
      <c r="EQ929" s="1"/>
      <c r="ER929" s="1"/>
      <c r="ES929" s="108"/>
    </row>
    <row r="930" spans="9:149">
      <c r="I930" s="137"/>
      <c r="J930" s="138"/>
      <c r="K930" s="1"/>
      <c r="L930" s="1"/>
      <c r="Q930" s="1"/>
      <c r="R930" s="1"/>
      <c r="S930" s="106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55"/>
      <c r="AN930" s="106"/>
      <c r="AO930" s="106"/>
      <c r="AP930" s="106"/>
      <c r="AQ930" s="31"/>
      <c r="AR930" s="31"/>
      <c r="AS930" s="31"/>
      <c r="AT930" s="30"/>
      <c r="AU930" s="30"/>
      <c r="AV930" s="106"/>
      <c r="AW930" s="106"/>
      <c r="AX930" s="106"/>
      <c r="AY930" s="106"/>
      <c r="AZ930" s="106"/>
      <c r="BA930" s="106"/>
      <c r="BB930" s="107"/>
      <c r="BC930" s="105"/>
      <c r="BD930" s="105"/>
      <c r="BE930" s="105"/>
      <c r="BF930" s="107"/>
      <c r="BG930" s="160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7"/>
      <c r="BV930" s="107"/>
      <c r="BW930" s="107"/>
      <c r="BX930" s="107"/>
      <c r="BY930" s="107"/>
      <c r="BZ930" s="107"/>
      <c r="CA930" s="107"/>
      <c r="CB930" s="107"/>
      <c r="CC930" s="107"/>
      <c r="CD930" s="107"/>
      <c r="CE930" s="106"/>
      <c r="CF930" s="106"/>
      <c r="CG930" s="106"/>
      <c r="CH930" s="106"/>
      <c r="CI930" s="106"/>
      <c r="CJ930" s="138"/>
      <c r="CK930" s="138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K930" s="1"/>
      <c r="EL930" s="106"/>
      <c r="EM930" s="106"/>
      <c r="EN930" s="1"/>
      <c r="EO930" s="106"/>
      <c r="EP930" s="1"/>
      <c r="EQ930" s="1"/>
      <c r="ER930" s="1"/>
      <c r="ES930" s="108"/>
    </row>
    <row r="931" spans="9:149">
      <c r="I931" s="137"/>
      <c r="J931" s="138"/>
      <c r="K931" s="1"/>
      <c r="L931" s="1"/>
      <c r="Q931" s="1"/>
      <c r="R931" s="1"/>
      <c r="S931" s="106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55"/>
      <c r="AN931" s="106"/>
      <c r="AO931" s="106"/>
      <c r="AP931" s="106"/>
      <c r="AQ931" s="31"/>
      <c r="AR931" s="31"/>
      <c r="AS931" s="31"/>
      <c r="AT931" s="30"/>
      <c r="AU931" s="30"/>
      <c r="AV931" s="106"/>
      <c r="AW931" s="106"/>
      <c r="AX931" s="106"/>
      <c r="AY931" s="106"/>
      <c r="AZ931" s="106"/>
      <c r="BA931" s="106"/>
      <c r="BB931" s="107"/>
      <c r="BC931" s="105"/>
      <c r="BD931" s="105"/>
      <c r="BE931" s="105"/>
      <c r="BF931" s="107"/>
      <c r="BG931" s="160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7"/>
      <c r="BV931" s="107"/>
      <c r="BW931" s="107"/>
      <c r="BX931" s="107"/>
      <c r="BY931" s="107"/>
      <c r="BZ931" s="107"/>
      <c r="CA931" s="107"/>
      <c r="CB931" s="107"/>
      <c r="CC931" s="107"/>
      <c r="CD931" s="107"/>
      <c r="CE931" s="106"/>
      <c r="CF931" s="106"/>
      <c r="CG931" s="106"/>
      <c r="CH931" s="106"/>
      <c r="CI931" s="106"/>
      <c r="CJ931" s="138"/>
      <c r="CK931" s="138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K931" s="1"/>
      <c r="EL931" s="106"/>
      <c r="EM931" s="106"/>
      <c r="EN931" s="1"/>
      <c r="EO931" s="106"/>
      <c r="EP931" s="1"/>
      <c r="EQ931" s="1"/>
      <c r="ER931" s="1"/>
      <c r="ES931" s="108"/>
    </row>
    <row r="932" spans="9:149">
      <c r="I932" s="137"/>
      <c r="J932" s="138"/>
      <c r="K932" s="1"/>
      <c r="L932" s="1"/>
      <c r="Q932" s="1"/>
      <c r="R932" s="1"/>
      <c r="S932" s="106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55"/>
      <c r="AN932" s="106"/>
      <c r="AO932" s="106"/>
      <c r="AP932" s="106"/>
      <c r="AQ932" s="31"/>
      <c r="AR932" s="31"/>
      <c r="AS932" s="31"/>
      <c r="AT932" s="30"/>
      <c r="AU932" s="30"/>
      <c r="AV932" s="106"/>
      <c r="AW932" s="106"/>
      <c r="AX932" s="106"/>
      <c r="AY932" s="106"/>
      <c r="AZ932" s="106"/>
      <c r="BA932" s="106"/>
      <c r="BB932" s="107"/>
      <c r="BC932" s="105"/>
      <c r="BD932" s="105"/>
      <c r="BE932" s="105"/>
      <c r="BF932" s="107"/>
      <c r="BG932" s="160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7"/>
      <c r="BV932" s="107"/>
      <c r="BW932" s="107"/>
      <c r="BX932" s="107"/>
      <c r="BY932" s="107"/>
      <c r="BZ932" s="107"/>
      <c r="CA932" s="107"/>
      <c r="CB932" s="107"/>
      <c r="CC932" s="107"/>
      <c r="CD932" s="107"/>
      <c r="CE932" s="106"/>
      <c r="CF932" s="106"/>
      <c r="CG932" s="106"/>
      <c r="CH932" s="106"/>
      <c r="CI932" s="106"/>
      <c r="CJ932" s="138"/>
      <c r="CK932" s="138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K932" s="1"/>
      <c r="EL932" s="106"/>
      <c r="EM932" s="106"/>
      <c r="EN932" s="1"/>
      <c r="EO932" s="106"/>
      <c r="EP932" s="1"/>
      <c r="EQ932" s="1"/>
      <c r="ER932" s="1"/>
      <c r="ES932" s="108"/>
    </row>
    <row r="933" spans="9:149">
      <c r="I933" s="137"/>
      <c r="J933" s="138"/>
      <c r="K933" s="1"/>
      <c r="L933" s="1"/>
      <c r="Q933" s="1"/>
      <c r="R933" s="1"/>
      <c r="S933" s="106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55"/>
      <c r="AN933" s="106"/>
      <c r="AO933" s="106"/>
      <c r="AP933" s="106"/>
      <c r="AQ933" s="31"/>
      <c r="AR933" s="31"/>
      <c r="AS933" s="31"/>
      <c r="AT933" s="30"/>
      <c r="AU933" s="30"/>
      <c r="AV933" s="106"/>
      <c r="AW933" s="106"/>
      <c r="AX933" s="106"/>
      <c r="AY933" s="106"/>
      <c r="AZ933" s="106"/>
      <c r="BA933" s="106"/>
      <c r="BB933" s="107"/>
      <c r="BC933" s="105"/>
      <c r="BD933" s="105"/>
      <c r="BE933" s="105"/>
      <c r="BF933" s="107"/>
      <c r="BG933" s="160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7"/>
      <c r="BV933" s="107"/>
      <c r="BW933" s="107"/>
      <c r="BX933" s="107"/>
      <c r="BY933" s="107"/>
      <c r="BZ933" s="107"/>
      <c r="CA933" s="107"/>
      <c r="CB933" s="107"/>
      <c r="CC933" s="107"/>
      <c r="CD933" s="107"/>
      <c r="CE933" s="106"/>
      <c r="CF933" s="106"/>
      <c r="CG933" s="106"/>
      <c r="CH933" s="106"/>
      <c r="CI933" s="106"/>
      <c r="CJ933" s="138"/>
      <c r="CK933" s="138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K933" s="1"/>
      <c r="EL933" s="106"/>
      <c r="EM933" s="106"/>
      <c r="EN933" s="1"/>
      <c r="EO933" s="106"/>
      <c r="EP933" s="1"/>
      <c r="EQ933" s="1"/>
      <c r="ER933" s="1"/>
      <c r="ES933" s="108"/>
    </row>
    <row r="934" spans="9:149">
      <c r="I934" s="137"/>
      <c r="J934" s="138"/>
      <c r="K934" s="1"/>
      <c r="L934" s="1"/>
      <c r="Q934" s="1"/>
      <c r="R934" s="1"/>
      <c r="S934" s="106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55"/>
      <c r="AN934" s="106"/>
      <c r="AO934" s="106"/>
      <c r="AP934" s="106"/>
      <c r="AQ934" s="31"/>
      <c r="AR934" s="31"/>
      <c r="AS934" s="31"/>
      <c r="AT934" s="30"/>
      <c r="AU934" s="30"/>
      <c r="AV934" s="106"/>
      <c r="AW934" s="106"/>
      <c r="AX934" s="106"/>
      <c r="AY934" s="106"/>
      <c r="AZ934" s="106"/>
      <c r="BA934" s="106"/>
      <c r="BB934" s="107"/>
      <c r="BC934" s="105"/>
      <c r="BD934" s="105"/>
      <c r="BE934" s="105"/>
      <c r="BF934" s="107"/>
      <c r="BG934" s="160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7"/>
      <c r="BV934" s="107"/>
      <c r="BW934" s="107"/>
      <c r="BX934" s="107"/>
      <c r="BY934" s="107"/>
      <c r="BZ934" s="107"/>
      <c r="CA934" s="107"/>
      <c r="CB934" s="107"/>
      <c r="CC934" s="107"/>
      <c r="CD934" s="107"/>
      <c r="CE934" s="106"/>
      <c r="CF934" s="106"/>
      <c r="CG934" s="106"/>
      <c r="CH934" s="106"/>
      <c r="CI934" s="106"/>
      <c r="CJ934" s="138"/>
      <c r="CK934" s="138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K934" s="1"/>
      <c r="EL934" s="106"/>
      <c r="EM934" s="106"/>
      <c r="EN934" s="1"/>
      <c r="EO934" s="106"/>
      <c r="EP934" s="1"/>
      <c r="EQ934" s="1"/>
      <c r="ER934" s="1"/>
      <c r="ES934" s="108"/>
    </row>
    <row r="935" spans="9:149">
      <c r="I935" s="137"/>
      <c r="J935" s="138"/>
      <c r="K935" s="1"/>
      <c r="L935" s="1"/>
      <c r="Q935" s="1"/>
      <c r="R935" s="1"/>
      <c r="S935" s="106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55"/>
      <c r="AN935" s="106"/>
      <c r="AO935" s="106"/>
      <c r="AP935" s="106"/>
      <c r="AQ935" s="31"/>
      <c r="AR935" s="31"/>
      <c r="AS935" s="31"/>
      <c r="AT935" s="30"/>
      <c r="AU935" s="30"/>
      <c r="AV935" s="106"/>
      <c r="AW935" s="106"/>
      <c r="AX935" s="106"/>
      <c r="AY935" s="106"/>
      <c r="AZ935" s="106"/>
      <c r="BA935" s="106"/>
      <c r="BB935" s="107"/>
      <c r="BC935" s="105"/>
      <c r="BD935" s="105"/>
      <c r="BE935" s="105"/>
      <c r="BF935" s="107"/>
      <c r="BG935" s="160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7"/>
      <c r="BV935" s="107"/>
      <c r="BW935" s="107"/>
      <c r="BX935" s="107"/>
      <c r="BY935" s="107"/>
      <c r="BZ935" s="107"/>
      <c r="CA935" s="107"/>
      <c r="CB935" s="107"/>
      <c r="CC935" s="107"/>
      <c r="CD935" s="107"/>
      <c r="CE935" s="106"/>
      <c r="CF935" s="106"/>
      <c r="CG935" s="106"/>
      <c r="CH935" s="106"/>
      <c r="CI935" s="106"/>
      <c r="CJ935" s="138"/>
      <c r="CK935" s="138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K935" s="1"/>
      <c r="EL935" s="106"/>
      <c r="EM935" s="106"/>
      <c r="EN935" s="1"/>
      <c r="EO935" s="106"/>
      <c r="EP935" s="1"/>
      <c r="EQ935" s="1"/>
      <c r="ER935" s="1"/>
      <c r="ES935" s="108"/>
    </row>
    <row r="936" spans="9:149">
      <c r="I936" s="137"/>
      <c r="J936" s="138"/>
      <c r="K936" s="1"/>
      <c r="L936" s="1"/>
      <c r="Q936" s="1"/>
      <c r="R936" s="1"/>
      <c r="S936" s="106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55"/>
      <c r="AN936" s="106"/>
      <c r="AO936" s="106"/>
      <c r="AP936" s="106"/>
      <c r="AQ936" s="31"/>
      <c r="AR936" s="31"/>
      <c r="AS936" s="31"/>
      <c r="AT936" s="30"/>
      <c r="AU936" s="30"/>
      <c r="AV936" s="106"/>
      <c r="AW936" s="106"/>
      <c r="AX936" s="106"/>
      <c r="AY936" s="106"/>
      <c r="AZ936" s="106"/>
      <c r="BA936" s="106"/>
      <c r="BB936" s="107"/>
      <c r="BC936" s="105"/>
      <c r="BD936" s="105"/>
      <c r="BE936" s="105"/>
      <c r="BF936" s="107"/>
      <c r="BG936" s="160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7"/>
      <c r="BV936" s="107"/>
      <c r="BW936" s="107"/>
      <c r="BX936" s="107"/>
      <c r="BY936" s="107"/>
      <c r="BZ936" s="107"/>
      <c r="CA936" s="107"/>
      <c r="CB936" s="107"/>
      <c r="CC936" s="107"/>
      <c r="CD936" s="107"/>
      <c r="CE936" s="106"/>
      <c r="CF936" s="106"/>
      <c r="CG936" s="106"/>
      <c r="CH936" s="106"/>
      <c r="CI936" s="106"/>
      <c r="CJ936" s="138"/>
      <c r="CK936" s="138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K936" s="1"/>
      <c r="EL936" s="106"/>
      <c r="EM936" s="106"/>
      <c r="EN936" s="1"/>
      <c r="EO936" s="106"/>
      <c r="EP936" s="1"/>
      <c r="EQ936" s="1"/>
      <c r="ER936" s="1"/>
      <c r="ES936" s="108"/>
    </row>
    <row r="937" spans="9:149">
      <c r="I937" s="137"/>
      <c r="J937" s="138"/>
      <c r="K937" s="1"/>
      <c r="L937" s="1"/>
      <c r="Q937" s="1"/>
      <c r="R937" s="1"/>
      <c r="S937" s="106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55"/>
      <c r="AN937" s="106"/>
      <c r="AO937" s="106"/>
      <c r="AP937" s="106"/>
      <c r="AQ937" s="31"/>
      <c r="AR937" s="31"/>
      <c r="AS937" s="31"/>
      <c r="AT937" s="30"/>
      <c r="AU937" s="30"/>
      <c r="AV937" s="106"/>
      <c r="AW937" s="106"/>
      <c r="AX937" s="106"/>
      <c r="AY937" s="106"/>
      <c r="AZ937" s="106"/>
      <c r="BA937" s="106"/>
      <c r="BB937" s="107"/>
      <c r="BC937" s="105"/>
      <c r="BD937" s="105"/>
      <c r="BE937" s="105"/>
      <c r="BF937" s="107"/>
      <c r="BG937" s="160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7"/>
      <c r="BV937" s="107"/>
      <c r="BW937" s="107"/>
      <c r="BX937" s="107"/>
      <c r="BY937" s="107"/>
      <c r="BZ937" s="107"/>
      <c r="CA937" s="107"/>
      <c r="CB937" s="107"/>
      <c r="CC937" s="107"/>
      <c r="CD937" s="107"/>
      <c r="CE937" s="106"/>
      <c r="CF937" s="106"/>
      <c r="CG937" s="106"/>
      <c r="CH937" s="106"/>
      <c r="CI937" s="106"/>
      <c r="CJ937" s="138"/>
      <c r="CK937" s="138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K937" s="1"/>
      <c r="EL937" s="106"/>
      <c r="EM937" s="106"/>
      <c r="EN937" s="1"/>
      <c r="EO937" s="106"/>
      <c r="EP937" s="1"/>
      <c r="EQ937" s="1"/>
      <c r="ER937" s="1"/>
      <c r="ES937" s="108"/>
    </row>
    <row r="938" spans="9:149">
      <c r="I938" s="137"/>
      <c r="J938" s="138"/>
      <c r="K938" s="1"/>
      <c r="L938" s="1"/>
      <c r="Q938" s="1"/>
      <c r="R938" s="1"/>
      <c r="S938" s="106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55"/>
      <c r="AN938" s="106"/>
      <c r="AO938" s="106"/>
      <c r="AP938" s="106"/>
      <c r="AQ938" s="31"/>
      <c r="AR938" s="31"/>
      <c r="AS938" s="31"/>
      <c r="AT938" s="30"/>
      <c r="AU938" s="30"/>
      <c r="AV938" s="106"/>
      <c r="AW938" s="106"/>
      <c r="AX938" s="106"/>
      <c r="AY938" s="106"/>
      <c r="AZ938" s="106"/>
      <c r="BA938" s="106"/>
      <c r="BB938" s="107"/>
      <c r="BC938" s="105"/>
      <c r="BD938" s="105"/>
      <c r="BE938" s="105"/>
      <c r="BF938" s="107"/>
      <c r="BG938" s="160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7"/>
      <c r="BV938" s="107"/>
      <c r="BW938" s="107"/>
      <c r="BX938" s="107"/>
      <c r="BY938" s="107"/>
      <c r="BZ938" s="107"/>
      <c r="CA938" s="107"/>
      <c r="CB938" s="107"/>
      <c r="CC938" s="107"/>
      <c r="CD938" s="107"/>
      <c r="CE938" s="106"/>
      <c r="CF938" s="106"/>
      <c r="CG938" s="106"/>
      <c r="CH938" s="106"/>
      <c r="CI938" s="106"/>
      <c r="CJ938" s="138"/>
      <c r="CK938" s="138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K938" s="1"/>
      <c r="EL938" s="106"/>
      <c r="EM938" s="106"/>
      <c r="EN938" s="1"/>
      <c r="EO938" s="106"/>
      <c r="EP938" s="1"/>
      <c r="EQ938" s="1"/>
      <c r="ER938" s="1"/>
      <c r="ES938" s="108"/>
    </row>
    <row r="939" spans="9:149">
      <c r="I939" s="137"/>
      <c r="J939" s="138"/>
      <c r="K939" s="1"/>
      <c r="L939" s="1"/>
      <c r="Q939" s="1"/>
      <c r="R939" s="1"/>
      <c r="S939" s="106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55"/>
      <c r="AN939" s="106"/>
      <c r="AO939" s="106"/>
      <c r="AP939" s="106"/>
      <c r="AQ939" s="31"/>
      <c r="AR939" s="31"/>
      <c r="AS939" s="31"/>
      <c r="AT939" s="30"/>
      <c r="AU939" s="30"/>
      <c r="AV939" s="106"/>
      <c r="AW939" s="106"/>
      <c r="AX939" s="106"/>
      <c r="AY939" s="106"/>
      <c r="AZ939" s="106"/>
      <c r="BA939" s="106"/>
      <c r="BB939" s="107"/>
      <c r="BC939" s="105"/>
      <c r="BD939" s="105"/>
      <c r="BE939" s="105"/>
      <c r="BF939" s="107"/>
      <c r="BG939" s="160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7"/>
      <c r="BV939" s="107"/>
      <c r="BW939" s="107"/>
      <c r="BX939" s="107"/>
      <c r="BY939" s="107"/>
      <c r="BZ939" s="107"/>
      <c r="CA939" s="107"/>
      <c r="CB939" s="107"/>
      <c r="CC939" s="107"/>
      <c r="CD939" s="107"/>
      <c r="CE939" s="106"/>
      <c r="CF939" s="106"/>
      <c r="CG939" s="106"/>
      <c r="CH939" s="106"/>
      <c r="CI939" s="106"/>
      <c r="CJ939" s="138"/>
      <c r="CK939" s="138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K939" s="1"/>
      <c r="EL939" s="106"/>
      <c r="EM939" s="106"/>
      <c r="EN939" s="1"/>
      <c r="EO939" s="106"/>
      <c r="EP939" s="1"/>
      <c r="EQ939" s="1"/>
      <c r="ER939" s="1"/>
      <c r="ES939" s="108"/>
    </row>
    <row r="940" spans="9:149">
      <c r="I940" s="137"/>
      <c r="J940" s="138"/>
      <c r="K940" s="1"/>
      <c r="L940" s="1"/>
      <c r="Q940" s="1"/>
      <c r="R940" s="1"/>
      <c r="S940" s="106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55"/>
      <c r="AN940" s="106"/>
      <c r="AO940" s="106"/>
      <c r="AP940" s="106"/>
      <c r="AQ940" s="31"/>
      <c r="AR940" s="31"/>
      <c r="AS940" s="31"/>
      <c r="AT940" s="30"/>
      <c r="AU940" s="30"/>
      <c r="AV940" s="106"/>
      <c r="AW940" s="106"/>
      <c r="AX940" s="106"/>
      <c r="AY940" s="106"/>
      <c r="AZ940" s="106"/>
      <c r="BA940" s="106"/>
      <c r="BB940" s="107"/>
      <c r="BC940" s="105"/>
      <c r="BD940" s="105"/>
      <c r="BE940" s="105"/>
      <c r="BF940" s="107"/>
      <c r="BG940" s="160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7"/>
      <c r="BV940" s="107"/>
      <c r="BW940" s="107"/>
      <c r="BX940" s="107"/>
      <c r="BY940" s="107"/>
      <c r="BZ940" s="107"/>
      <c r="CA940" s="107"/>
      <c r="CB940" s="107"/>
      <c r="CC940" s="107"/>
      <c r="CD940" s="107"/>
      <c r="CE940" s="106"/>
      <c r="CF940" s="106"/>
      <c r="CG940" s="106"/>
      <c r="CH940" s="106"/>
      <c r="CI940" s="106"/>
      <c r="CJ940" s="138"/>
      <c r="CK940" s="138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K940" s="1"/>
      <c r="EL940" s="106"/>
      <c r="EM940" s="106"/>
      <c r="EN940" s="1"/>
      <c r="EO940" s="106"/>
      <c r="EP940" s="1"/>
      <c r="EQ940" s="1"/>
      <c r="ER940" s="1"/>
      <c r="ES940" s="108"/>
    </row>
    <row r="941" spans="9:149">
      <c r="I941" s="137"/>
      <c r="J941" s="138"/>
      <c r="K941" s="1"/>
      <c r="L941" s="1"/>
      <c r="Q941" s="1"/>
      <c r="R941" s="1"/>
      <c r="S941" s="106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55"/>
      <c r="AN941" s="106"/>
      <c r="AO941" s="106"/>
      <c r="AP941" s="106"/>
      <c r="AQ941" s="31"/>
      <c r="AR941" s="31"/>
      <c r="AS941" s="31"/>
      <c r="AT941" s="30"/>
      <c r="AU941" s="30"/>
      <c r="AV941" s="106"/>
      <c r="AW941" s="106"/>
      <c r="AX941" s="106"/>
      <c r="AY941" s="106"/>
      <c r="AZ941" s="106"/>
      <c r="BA941" s="106"/>
      <c r="BB941" s="107"/>
      <c r="BC941" s="105"/>
      <c r="BD941" s="105"/>
      <c r="BE941" s="105"/>
      <c r="BF941" s="107"/>
      <c r="BG941" s="160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7"/>
      <c r="BV941" s="107"/>
      <c r="BW941" s="107"/>
      <c r="BX941" s="107"/>
      <c r="BY941" s="107"/>
      <c r="BZ941" s="107"/>
      <c r="CA941" s="107"/>
      <c r="CB941" s="107"/>
      <c r="CC941" s="107"/>
      <c r="CD941" s="107"/>
      <c r="CE941" s="106"/>
      <c r="CF941" s="106"/>
      <c r="CG941" s="106"/>
      <c r="CH941" s="106"/>
      <c r="CI941" s="106"/>
      <c r="CJ941" s="138"/>
      <c r="CK941" s="138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K941" s="1"/>
      <c r="EL941" s="106"/>
      <c r="EM941" s="106"/>
      <c r="EN941" s="1"/>
      <c r="EO941" s="106"/>
      <c r="EP941" s="1"/>
      <c r="EQ941" s="1"/>
      <c r="ER941" s="1"/>
      <c r="ES941" s="108"/>
    </row>
    <row r="942" spans="9:149">
      <c r="I942" s="137"/>
      <c r="J942" s="138"/>
      <c r="K942" s="1"/>
      <c r="L942" s="1"/>
      <c r="Q942" s="1"/>
      <c r="R942" s="1"/>
      <c r="S942" s="106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55"/>
      <c r="AN942" s="106"/>
      <c r="AO942" s="106"/>
      <c r="AP942" s="106"/>
      <c r="AQ942" s="31"/>
      <c r="AR942" s="31"/>
      <c r="AS942" s="31"/>
      <c r="AT942" s="30"/>
      <c r="AU942" s="30"/>
      <c r="AV942" s="106"/>
      <c r="AW942" s="106"/>
      <c r="AX942" s="106"/>
      <c r="AY942" s="106"/>
      <c r="AZ942" s="106"/>
      <c r="BA942" s="106"/>
      <c r="BB942" s="107"/>
      <c r="BC942" s="105"/>
      <c r="BD942" s="105"/>
      <c r="BE942" s="105"/>
      <c r="BF942" s="107"/>
      <c r="BG942" s="160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7"/>
      <c r="BV942" s="107"/>
      <c r="BW942" s="107"/>
      <c r="BX942" s="107"/>
      <c r="BY942" s="107"/>
      <c r="BZ942" s="107"/>
      <c r="CA942" s="107"/>
      <c r="CB942" s="107"/>
      <c r="CC942" s="107"/>
      <c r="CD942" s="107"/>
      <c r="CE942" s="106"/>
      <c r="CF942" s="106"/>
      <c r="CG942" s="106"/>
      <c r="CH942" s="106"/>
      <c r="CI942" s="106"/>
      <c r="CJ942" s="138"/>
      <c r="CK942" s="138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K942" s="1"/>
      <c r="EL942" s="106"/>
      <c r="EM942" s="106"/>
      <c r="EN942" s="1"/>
      <c r="EO942" s="106"/>
      <c r="EP942" s="1"/>
      <c r="EQ942" s="1"/>
      <c r="ER942" s="1"/>
      <c r="ES942" s="108"/>
    </row>
    <row r="943" spans="9:149">
      <c r="I943" s="137"/>
      <c r="J943" s="138"/>
      <c r="K943" s="1"/>
      <c r="L943" s="1"/>
      <c r="Q943" s="1"/>
      <c r="R943" s="1"/>
      <c r="S943" s="106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55"/>
      <c r="AN943" s="106"/>
      <c r="AO943" s="106"/>
      <c r="AP943" s="106"/>
      <c r="AQ943" s="31"/>
      <c r="AR943" s="31"/>
      <c r="AS943" s="31"/>
      <c r="AT943" s="30"/>
      <c r="AU943" s="30"/>
      <c r="AV943" s="106"/>
      <c r="AW943" s="106"/>
      <c r="AX943" s="106"/>
      <c r="AY943" s="106"/>
      <c r="AZ943" s="106"/>
      <c r="BA943" s="106"/>
      <c r="BB943" s="107"/>
      <c r="BC943" s="105"/>
      <c r="BD943" s="105"/>
      <c r="BE943" s="105"/>
      <c r="BF943" s="107"/>
      <c r="BG943" s="160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7"/>
      <c r="BV943" s="107"/>
      <c r="BW943" s="107"/>
      <c r="BX943" s="107"/>
      <c r="BY943" s="107"/>
      <c r="BZ943" s="107"/>
      <c r="CA943" s="107"/>
      <c r="CB943" s="107"/>
      <c r="CC943" s="107"/>
      <c r="CD943" s="107"/>
      <c r="CE943" s="106"/>
      <c r="CF943" s="106"/>
      <c r="CG943" s="106"/>
      <c r="CH943" s="106"/>
      <c r="CI943" s="106"/>
      <c r="CJ943" s="138"/>
      <c r="CK943" s="138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K943" s="1"/>
      <c r="EL943" s="106"/>
      <c r="EM943" s="106"/>
      <c r="EN943" s="1"/>
      <c r="EO943" s="106"/>
      <c r="EP943" s="1"/>
      <c r="EQ943" s="1"/>
      <c r="ER943" s="1"/>
      <c r="ES943" s="108"/>
    </row>
    <row r="944" spans="9:149">
      <c r="I944" s="137"/>
      <c r="J944" s="138"/>
      <c r="K944" s="1"/>
      <c r="L944" s="1"/>
      <c r="Q944" s="1"/>
      <c r="R944" s="1"/>
      <c r="S944" s="106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55"/>
      <c r="AN944" s="106"/>
      <c r="AO944" s="106"/>
      <c r="AP944" s="106"/>
      <c r="AQ944" s="31"/>
      <c r="AR944" s="31"/>
      <c r="AS944" s="31"/>
      <c r="AT944" s="30"/>
      <c r="AU944" s="30"/>
      <c r="AV944" s="106"/>
      <c r="AW944" s="106"/>
      <c r="AX944" s="106"/>
      <c r="AY944" s="106"/>
      <c r="AZ944" s="106"/>
      <c r="BA944" s="106"/>
      <c r="BB944" s="107"/>
      <c r="BC944" s="105"/>
      <c r="BD944" s="105"/>
      <c r="BE944" s="105"/>
      <c r="BF944" s="107"/>
      <c r="BG944" s="160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7"/>
      <c r="BV944" s="107"/>
      <c r="BW944" s="107"/>
      <c r="BX944" s="107"/>
      <c r="BY944" s="107"/>
      <c r="BZ944" s="107"/>
      <c r="CA944" s="107"/>
      <c r="CB944" s="107"/>
      <c r="CC944" s="107"/>
      <c r="CD944" s="107"/>
      <c r="CE944" s="106"/>
      <c r="CF944" s="106"/>
      <c r="CG944" s="106"/>
      <c r="CH944" s="106"/>
      <c r="CI944" s="106"/>
      <c r="CJ944" s="138"/>
      <c r="CK944" s="138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K944" s="1"/>
      <c r="EL944" s="106"/>
      <c r="EM944" s="106"/>
      <c r="EN944" s="1"/>
      <c r="EO944" s="106"/>
      <c r="EP944" s="1"/>
      <c r="EQ944" s="1"/>
      <c r="ER944" s="1"/>
      <c r="ES944" s="108"/>
    </row>
    <row r="945" spans="9:149">
      <c r="I945" s="137"/>
      <c r="J945" s="138"/>
      <c r="K945" s="1"/>
      <c r="L945" s="1"/>
      <c r="Q945" s="1"/>
      <c r="R945" s="1"/>
      <c r="S945" s="106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55"/>
      <c r="AN945" s="106"/>
      <c r="AO945" s="106"/>
      <c r="AP945" s="106"/>
      <c r="AQ945" s="31"/>
      <c r="AR945" s="31"/>
      <c r="AS945" s="31"/>
      <c r="AT945" s="30"/>
      <c r="AU945" s="30"/>
      <c r="AV945" s="106"/>
      <c r="AW945" s="106"/>
      <c r="AX945" s="106"/>
      <c r="AY945" s="106"/>
      <c r="AZ945" s="106"/>
      <c r="BA945" s="106"/>
      <c r="BB945" s="107"/>
      <c r="BC945" s="105"/>
      <c r="BD945" s="105"/>
      <c r="BE945" s="105"/>
      <c r="BF945" s="107"/>
      <c r="BG945" s="160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7"/>
      <c r="BV945" s="107"/>
      <c r="BW945" s="107"/>
      <c r="BX945" s="107"/>
      <c r="BY945" s="107"/>
      <c r="BZ945" s="107"/>
      <c r="CA945" s="107"/>
      <c r="CB945" s="107"/>
      <c r="CC945" s="107"/>
      <c r="CD945" s="107"/>
      <c r="CE945" s="106"/>
      <c r="CF945" s="106"/>
      <c r="CG945" s="106"/>
      <c r="CH945" s="106"/>
      <c r="CI945" s="106"/>
      <c r="CJ945" s="138"/>
      <c r="CK945" s="138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K945" s="1"/>
      <c r="EL945" s="106"/>
      <c r="EM945" s="106"/>
      <c r="EN945" s="1"/>
      <c r="EO945" s="106"/>
      <c r="EP945" s="1"/>
      <c r="EQ945" s="1"/>
      <c r="ER945" s="1"/>
      <c r="ES945" s="108"/>
    </row>
    <row r="946" spans="9:149">
      <c r="I946" s="137"/>
      <c r="J946" s="138"/>
      <c r="K946" s="1"/>
      <c r="L946" s="1"/>
      <c r="Q946" s="1"/>
      <c r="R946" s="1"/>
      <c r="S946" s="106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55"/>
      <c r="AN946" s="106"/>
      <c r="AO946" s="106"/>
      <c r="AP946" s="106"/>
      <c r="AQ946" s="31"/>
      <c r="AR946" s="31"/>
      <c r="AS946" s="31"/>
      <c r="AT946" s="30"/>
      <c r="AU946" s="30"/>
      <c r="AV946" s="106"/>
      <c r="AW946" s="106"/>
      <c r="AX946" s="106"/>
      <c r="AY946" s="106"/>
      <c r="AZ946" s="106"/>
      <c r="BA946" s="106"/>
      <c r="BB946" s="107"/>
      <c r="BC946" s="105"/>
      <c r="BD946" s="105"/>
      <c r="BE946" s="105"/>
      <c r="BF946" s="107"/>
      <c r="BG946" s="160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7"/>
      <c r="BV946" s="107"/>
      <c r="BW946" s="107"/>
      <c r="BX946" s="107"/>
      <c r="BY946" s="107"/>
      <c r="BZ946" s="107"/>
      <c r="CA946" s="107"/>
      <c r="CB946" s="107"/>
      <c r="CC946" s="107"/>
      <c r="CD946" s="107"/>
      <c r="CE946" s="106"/>
      <c r="CF946" s="106"/>
      <c r="CG946" s="106"/>
      <c r="CH946" s="106"/>
      <c r="CI946" s="106"/>
      <c r="CJ946" s="138"/>
      <c r="CK946" s="138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K946" s="1"/>
      <c r="EL946" s="106"/>
      <c r="EM946" s="106"/>
      <c r="EN946" s="1"/>
      <c r="EO946" s="106"/>
      <c r="EP946" s="1"/>
      <c r="EQ946" s="1"/>
      <c r="ER946" s="1"/>
      <c r="ES946" s="108"/>
    </row>
    <row r="947" spans="9:149">
      <c r="I947" s="137"/>
      <c r="J947" s="138"/>
      <c r="K947" s="1"/>
      <c r="L947" s="1"/>
      <c r="Q947" s="1"/>
      <c r="R947" s="1"/>
      <c r="S947" s="106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55"/>
      <c r="AN947" s="106"/>
      <c r="AO947" s="106"/>
      <c r="AP947" s="106"/>
      <c r="AQ947" s="31"/>
      <c r="AR947" s="31"/>
      <c r="AS947" s="31"/>
      <c r="AT947" s="30"/>
      <c r="AU947" s="30"/>
      <c r="AV947" s="106"/>
      <c r="AW947" s="106"/>
      <c r="AX947" s="106"/>
      <c r="AY947" s="106"/>
      <c r="AZ947" s="106"/>
      <c r="BA947" s="106"/>
      <c r="BB947" s="107"/>
      <c r="BC947" s="105"/>
      <c r="BD947" s="105"/>
      <c r="BE947" s="105"/>
      <c r="BF947" s="107"/>
      <c r="BG947" s="160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7"/>
      <c r="BV947" s="107"/>
      <c r="BW947" s="107"/>
      <c r="BX947" s="107"/>
      <c r="BY947" s="107"/>
      <c r="BZ947" s="107"/>
      <c r="CA947" s="107"/>
      <c r="CB947" s="107"/>
      <c r="CC947" s="107"/>
      <c r="CD947" s="107"/>
      <c r="CE947" s="106"/>
      <c r="CF947" s="106"/>
      <c r="CG947" s="106"/>
      <c r="CH947" s="106"/>
      <c r="CI947" s="106"/>
      <c r="CJ947" s="138"/>
      <c r="CK947" s="138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K947" s="1"/>
      <c r="EL947" s="106"/>
      <c r="EM947" s="106"/>
      <c r="EN947" s="1"/>
      <c r="EO947" s="106"/>
      <c r="EP947" s="1"/>
      <c r="EQ947" s="1"/>
      <c r="ER947" s="1"/>
      <c r="ES947" s="108"/>
    </row>
    <row r="948" spans="9:149">
      <c r="I948" s="137"/>
      <c r="J948" s="138"/>
      <c r="K948" s="1"/>
      <c r="L948" s="1"/>
      <c r="Q948" s="1"/>
      <c r="R948" s="1"/>
      <c r="S948" s="106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55"/>
      <c r="AN948" s="106"/>
      <c r="AO948" s="106"/>
      <c r="AP948" s="106"/>
      <c r="AQ948" s="31"/>
      <c r="AR948" s="31"/>
      <c r="AS948" s="31"/>
      <c r="AT948" s="30"/>
      <c r="AU948" s="30"/>
      <c r="AV948" s="106"/>
      <c r="AW948" s="106"/>
      <c r="AX948" s="106"/>
      <c r="AY948" s="106"/>
      <c r="AZ948" s="106"/>
      <c r="BA948" s="106"/>
      <c r="BB948" s="107"/>
      <c r="BC948" s="105"/>
      <c r="BD948" s="105"/>
      <c r="BE948" s="105"/>
      <c r="BF948" s="107"/>
      <c r="BG948" s="160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7"/>
      <c r="BV948" s="107"/>
      <c r="BW948" s="107"/>
      <c r="BX948" s="107"/>
      <c r="BY948" s="107"/>
      <c r="BZ948" s="107"/>
      <c r="CA948" s="107"/>
      <c r="CB948" s="107"/>
      <c r="CC948" s="107"/>
      <c r="CD948" s="107"/>
      <c r="CE948" s="106"/>
      <c r="CF948" s="106"/>
      <c r="CG948" s="106"/>
      <c r="CH948" s="106"/>
      <c r="CI948" s="106"/>
      <c r="CJ948" s="138"/>
      <c r="CK948" s="138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K948" s="1"/>
      <c r="EL948" s="106"/>
      <c r="EM948" s="106"/>
      <c r="EN948" s="1"/>
      <c r="EO948" s="106"/>
      <c r="EP948" s="1"/>
      <c r="EQ948" s="1"/>
      <c r="ER948" s="1"/>
      <c r="ES948" s="108"/>
    </row>
    <row r="949" spans="9:149">
      <c r="I949" s="137"/>
      <c r="J949" s="138"/>
      <c r="K949" s="1"/>
      <c r="L949" s="1"/>
      <c r="Q949" s="1"/>
      <c r="R949" s="1"/>
      <c r="S949" s="106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55"/>
      <c r="AN949" s="106"/>
      <c r="AO949" s="106"/>
      <c r="AP949" s="106"/>
      <c r="AQ949" s="31"/>
      <c r="AR949" s="31"/>
      <c r="AS949" s="31"/>
      <c r="AT949" s="30"/>
      <c r="AU949" s="30"/>
      <c r="AV949" s="106"/>
      <c r="AW949" s="106"/>
      <c r="AX949" s="106"/>
      <c r="AY949" s="106"/>
      <c r="AZ949" s="106"/>
      <c r="BA949" s="106"/>
      <c r="BB949" s="107"/>
      <c r="BC949" s="105"/>
      <c r="BD949" s="105"/>
      <c r="BE949" s="105"/>
      <c r="BF949" s="107"/>
      <c r="BG949" s="160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7"/>
      <c r="BV949" s="107"/>
      <c r="BW949" s="107"/>
      <c r="BX949" s="107"/>
      <c r="BY949" s="107"/>
      <c r="BZ949" s="107"/>
      <c r="CA949" s="107"/>
      <c r="CB949" s="107"/>
      <c r="CC949" s="107"/>
      <c r="CD949" s="107"/>
      <c r="CE949" s="106"/>
      <c r="CF949" s="106"/>
      <c r="CG949" s="106"/>
      <c r="CH949" s="106"/>
      <c r="CI949" s="106"/>
      <c r="CJ949" s="138"/>
      <c r="CK949" s="138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K949" s="1"/>
      <c r="EL949" s="106"/>
      <c r="EM949" s="106"/>
      <c r="EN949" s="1"/>
      <c r="EO949" s="106"/>
      <c r="EP949" s="1"/>
      <c r="EQ949" s="1"/>
      <c r="ER949" s="1"/>
      <c r="ES949" s="108"/>
    </row>
    <row r="950" spans="9:149">
      <c r="I950" s="137"/>
      <c r="J950" s="138"/>
      <c r="K950" s="1"/>
      <c r="L950" s="1"/>
      <c r="Q950" s="1"/>
      <c r="R950" s="1"/>
      <c r="S950" s="106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55"/>
      <c r="AN950" s="106"/>
      <c r="AO950" s="106"/>
      <c r="AP950" s="106"/>
      <c r="AQ950" s="31"/>
      <c r="AR950" s="31"/>
      <c r="AS950" s="31"/>
      <c r="AT950" s="30"/>
      <c r="AU950" s="30"/>
      <c r="AV950" s="106"/>
      <c r="AW950" s="106"/>
      <c r="AX950" s="106"/>
      <c r="AY950" s="106"/>
      <c r="AZ950" s="106"/>
      <c r="BA950" s="106"/>
      <c r="BB950" s="107"/>
      <c r="BC950" s="105"/>
      <c r="BD950" s="105"/>
      <c r="BE950" s="105"/>
      <c r="BF950" s="107"/>
      <c r="BG950" s="160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7"/>
      <c r="BV950" s="107"/>
      <c r="BW950" s="107"/>
      <c r="BX950" s="107"/>
      <c r="BY950" s="107"/>
      <c r="BZ950" s="107"/>
      <c r="CA950" s="107"/>
      <c r="CB950" s="107"/>
      <c r="CC950" s="107"/>
      <c r="CD950" s="107"/>
      <c r="CE950" s="106"/>
      <c r="CF950" s="106"/>
      <c r="CG950" s="106"/>
      <c r="CH950" s="106"/>
      <c r="CI950" s="106"/>
      <c r="CJ950" s="138"/>
      <c r="CK950" s="138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K950" s="1"/>
      <c r="EL950" s="106"/>
      <c r="EM950" s="106"/>
      <c r="EN950" s="1"/>
      <c r="EO950" s="106"/>
      <c r="EP950" s="1"/>
      <c r="EQ950" s="1"/>
      <c r="ER950" s="1"/>
      <c r="ES950" s="108"/>
    </row>
    <row r="951" spans="9:149">
      <c r="I951" s="137"/>
      <c r="J951" s="138"/>
      <c r="K951" s="1"/>
      <c r="L951" s="1"/>
      <c r="Q951" s="1"/>
      <c r="R951" s="1"/>
      <c r="S951" s="106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55"/>
      <c r="AN951" s="106"/>
      <c r="AO951" s="106"/>
      <c r="AP951" s="106"/>
      <c r="AQ951" s="31"/>
      <c r="AR951" s="31"/>
      <c r="AS951" s="31"/>
      <c r="AT951" s="30"/>
      <c r="AU951" s="30"/>
      <c r="AV951" s="106"/>
      <c r="AW951" s="106"/>
      <c r="AX951" s="106"/>
      <c r="AY951" s="106"/>
      <c r="AZ951" s="106"/>
      <c r="BA951" s="106"/>
      <c r="BB951" s="107"/>
      <c r="BC951" s="105"/>
      <c r="BD951" s="105"/>
      <c r="BE951" s="105"/>
      <c r="BF951" s="107"/>
      <c r="BG951" s="160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7"/>
      <c r="BV951" s="107"/>
      <c r="BW951" s="107"/>
      <c r="BX951" s="107"/>
      <c r="BY951" s="107"/>
      <c r="BZ951" s="107"/>
      <c r="CA951" s="107"/>
      <c r="CB951" s="107"/>
      <c r="CC951" s="107"/>
      <c r="CD951" s="107"/>
      <c r="CE951" s="106"/>
      <c r="CF951" s="106"/>
      <c r="CG951" s="106"/>
      <c r="CH951" s="106"/>
      <c r="CI951" s="106"/>
      <c r="CJ951" s="138"/>
      <c r="CK951" s="138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K951" s="1"/>
      <c r="EL951" s="106"/>
      <c r="EM951" s="106"/>
      <c r="EN951" s="1"/>
      <c r="EO951" s="106"/>
      <c r="EP951" s="1"/>
      <c r="EQ951" s="1"/>
      <c r="ER951" s="1"/>
      <c r="ES951" s="108"/>
    </row>
    <row r="952" spans="9:149">
      <c r="I952" s="137"/>
      <c r="J952" s="138"/>
      <c r="K952" s="1"/>
      <c r="L952" s="1"/>
      <c r="Q952" s="1"/>
      <c r="R952" s="1"/>
      <c r="S952" s="106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55"/>
      <c r="AN952" s="106"/>
      <c r="AO952" s="106"/>
      <c r="AP952" s="106"/>
      <c r="AQ952" s="31"/>
      <c r="AR952" s="31"/>
      <c r="AS952" s="31"/>
      <c r="AT952" s="30"/>
      <c r="AU952" s="30"/>
      <c r="AV952" s="106"/>
      <c r="AW952" s="106"/>
      <c r="AX952" s="106"/>
      <c r="AY952" s="106"/>
      <c r="AZ952" s="106"/>
      <c r="BA952" s="106"/>
      <c r="BB952" s="107"/>
      <c r="BC952" s="105"/>
      <c r="BD952" s="105"/>
      <c r="BE952" s="105"/>
      <c r="BF952" s="107"/>
      <c r="BG952" s="160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7"/>
      <c r="BV952" s="107"/>
      <c r="BW952" s="107"/>
      <c r="BX952" s="107"/>
      <c r="BY952" s="107"/>
      <c r="BZ952" s="107"/>
      <c r="CA952" s="107"/>
      <c r="CB952" s="107"/>
      <c r="CC952" s="107"/>
      <c r="CD952" s="107"/>
      <c r="CE952" s="106"/>
      <c r="CF952" s="106"/>
      <c r="CG952" s="106"/>
      <c r="CH952" s="106"/>
      <c r="CI952" s="106"/>
      <c r="CJ952" s="138"/>
      <c r="CK952" s="138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K952" s="1"/>
      <c r="EL952" s="106"/>
      <c r="EM952" s="106"/>
      <c r="EN952" s="1"/>
      <c r="EO952" s="106"/>
      <c r="EP952" s="1"/>
      <c r="EQ952" s="1"/>
      <c r="ER952" s="1"/>
      <c r="ES952" s="108"/>
    </row>
    <row r="953" spans="9:149">
      <c r="I953" s="137"/>
      <c r="J953" s="138"/>
      <c r="K953" s="1"/>
      <c r="L953" s="1"/>
      <c r="Q953" s="1"/>
      <c r="R953" s="1"/>
      <c r="S953" s="106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55"/>
      <c r="AN953" s="106"/>
      <c r="AO953" s="106"/>
      <c r="AP953" s="106"/>
      <c r="AQ953" s="31"/>
      <c r="AR953" s="31"/>
      <c r="AS953" s="31"/>
      <c r="AT953" s="30"/>
      <c r="AU953" s="30"/>
      <c r="AV953" s="106"/>
      <c r="AW953" s="106"/>
      <c r="AX953" s="106"/>
      <c r="AY953" s="106"/>
      <c r="AZ953" s="106"/>
      <c r="BA953" s="106"/>
      <c r="BB953" s="107"/>
      <c r="BC953" s="105"/>
      <c r="BD953" s="105"/>
      <c r="BE953" s="105"/>
      <c r="BF953" s="107"/>
      <c r="BG953" s="160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7"/>
      <c r="BV953" s="107"/>
      <c r="BW953" s="107"/>
      <c r="BX953" s="107"/>
      <c r="BY953" s="107"/>
      <c r="BZ953" s="107"/>
      <c r="CA953" s="107"/>
      <c r="CB953" s="107"/>
      <c r="CC953" s="107"/>
      <c r="CD953" s="107"/>
      <c r="CE953" s="106"/>
      <c r="CF953" s="106"/>
      <c r="CG953" s="106"/>
      <c r="CH953" s="106"/>
      <c r="CI953" s="106"/>
      <c r="CJ953" s="138"/>
      <c r="CK953" s="138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K953" s="1"/>
      <c r="EL953" s="106"/>
      <c r="EM953" s="106"/>
      <c r="EN953" s="1"/>
      <c r="EO953" s="106"/>
      <c r="EP953" s="1"/>
      <c r="EQ953" s="1"/>
      <c r="ER953" s="1"/>
      <c r="ES953" s="108"/>
    </row>
    <row r="954" spans="9:149">
      <c r="I954" s="137"/>
      <c r="J954" s="138"/>
      <c r="K954" s="1"/>
      <c r="L954" s="1"/>
      <c r="Q954" s="1"/>
      <c r="R954" s="1"/>
      <c r="S954" s="106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55"/>
      <c r="AN954" s="106"/>
      <c r="AO954" s="106"/>
      <c r="AP954" s="106"/>
      <c r="AQ954" s="31"/>
      <c r="AR954" s="31"/>
      <c r="AS954" s="31"/>
      <c r="AT954" s="30"/>
      <c r="AU954" s="30"/>
      <c r="AV954" s="106"/>
      <c r="AW954" s="106"/>
      <c r="AX954" s="106"/>
      <c r="AY954" s="106"/>
      <c r="AZ954" s="106"/>
      <c r="BA954" s="106"/>
      <c r="BB954" s="107"/>
      <c r="BC954" s="105"/>
      <c r="BD954" s="105"/>
      <c r="BE954" s="105"/>
      <c r="BF954" s="107"/>
      <c r="BG954" s="160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7"/>
      <c r="BV954" s="107"/>
      <c r="BW954" s="107"/>
      <c r="BX954" s="107"/>
      <c r="BY954" s="107"/>
      <c r="BZ954" s="107"/>
      <c r="CA954" s="107"/>
      <c r="CB954" s="107"/>
      <c r="CC954" s="107"/>
      <c r="CD954" s="107"/>
      <c r="CE954" s="106"/>
      <c r="CF954" s="106"/>
      <c r="CG954" s="106"/>
      <c r="CH954" s="106"/>
      <c r="CI954" s="106"/>
      <c r="CJ954" s="138"/>
      <c r="CK954" s="138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K954" s="1"/>
      <c r="EL954" s="106"/>
      <c r="EM954" s="106"/>
      <c r="EN954" s="1"/>
      <c r="EO954" s="106"/>
      <c r="EP954" s="1"/>
      <c r="EQ954" s="1"/>
      <c r="ER954" s="1"/>
      <c r="ES954" s="108"/>
    </row>
    <row r="955" spans="9:149">
      <c r="I955" s="137"/>
      <c r="J955" s="138"/>
      <c r="K955" s="1"/>
      <c r="L955" s="1"/>
      <c r="Q955" s="1"/>
      <c r="R955" s="1"/>
      <c r="S955" s="106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55"/>
      <c r="AN955" s="106"/>
      <c r="AO955" s="106"/>
      <c r="AP955" s="106"/>
      <c r="AQ955" s="31"/>
      <c r="AR955" s="31"/>
      <c r="AS955" s="31"/>
      <c r="AT955" s="30"/>
      <c r="AU955" s="30"/>
      <c r="AV955" s="106"/>
      <c r="AW955" s="106"/>
      <c r="AX955" s="106"/>
      <c r="AY955" s="106"/>
      <c r="AZ955" s="106"/>
      <c r="BA955" s="106"/>
      <c r="BB955" s="107"/>
      <c r="BC955" s="105"/>
      <c r="BD955" s="105"/>
      <c r="BE955" s="105"/>
      <c r="BF955" s="107"/>
      <c r="BG955" s="160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7"/>
      <c r="BV955" s="107"/>
      <c r="BW955" s="107"/>
      <c r="BX955" s="107"/>
      <c r="BY955" s="107"/>
      <c r="BZ955" s="107"/>
      <c r="CA955" s="107"/>
      <c r="CB955" s="107"/>
      <c r="CC955" s="107"/>
      <c r="CD955" s="107"/>
      <c r="CE955" s="106"/>
      <c r="CF955" s="106"/>
      <c r="CG955" s="106"/>
      <c r="CH955" s="106"/>
      <c r="CI955" s="106"/>
      <c r="CJ955" s="138"/>
      <c r="CK955" s="138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K955" s="1"/>
      <c r="EL955" s="106"/>
      <c r="EM955" s="106"/>
      <c r="EN955" s="1"/>
      <c r="EO955" s="106"/>
      <c r="EP955" s="1"/>
      <c r="EQ955" s="1"/>
      <c r="ER955" s="1"/>
      <c r="ES955" s="108"/>
    </row>
    <row r="956" spans="9:149">
      <c r="I956" s="137"/>
      <c r="J956" s="138"/>
      <c r="K956" s="1"/>
      <c r="L956" s="1"/>
      <c r="Q956" s="1"/>
      <c r="R956" s="1"/>
      <c r="S956" s="106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55"/>
      <c r="AN956" s="106"/>
      <c r="AO956" s="106"/>
      <c r="AP956" s="106"/>
      <c r="AQ956" s="31"/>
      <c r="AR956" s="31"/>
      <c r="AS956" s="31"/>
      <c r="AT956" s="30"/>
      <c r="AU956" s="30"/>
      <c r="AV956" s="106"/>
      <c r="AW956" s="106"/>
      <c r="AX956" s="106"/>
      <c r="AY956" s="106"/>
      <c r="AZ956" s="106"/>
      <c r="BA956" s="106"/>
      <c r="BB956" s="107"/>
      <c r="BC956" s="105"/>
      <c r="BD956" s="105"/>
      <c r="BE956" s="105"/>
      <c r="BF956" s="107"/>
      <c r="BG956" s="160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7"/>
      <c r="BV956" s="107"/>
      <c r="BW956" s="107"/>
      <c r="BX956" s="107"/>
      <c r="BY956" s="107"/>
      <c r="BZ956" s="107"/>
      <c r="CA956" s="107"/>
      <c r="CB956" s="107"/>
      <c r="CC956" s="107"/>
      <c r="CD956" s="107"/>
      <c r="CE956" s="106"/>
      <c r="CF956" s="106"/>
      <c r="CG956" s="106"/>
      <c r="CH956" s="106"/>
      <c r="CI956" s="106"/>
      <c r="CJ956" s="138"/>
      <c r="CK956" s="138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K956" s="1"/>
      <c r="EL956" s="106"/>
      <c r="EM956" s="106"/>
      <c r="EN956" s="1"/>
      <c r="EO956" s="106"/>
      <c r="EP956" s="1"/>
      <c r="EQ956" s="1"/>
      <c r="ER956" s="1"/>
      <c r="ES956" s="108"/>
    </row>
    <row r="957" spans="9:149">
      <c r="I957" s="137"/>
      <c r="J957" s="138"/>
      <c r="K957" s="1"/>
      <c r="L957" s="1"/>
      <c r="Q957" s="1"/>
      <c r="R957" s="1"/>
      <c r="S957" s="106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55"/>
      <c r="AN957" s="106"/>
      <c r="AO957" s="106"/>
      <c r="AP957" s="106"/>
      <c r="AQ957" s="31"/>
      <c r="AR957" s="31"/>
      <c r="AS957" s="31"/>
      <c r="AT957" s="30"/>
      <c r="AU957" s="30"/>
      <c r="AV957" s="106"/>
      <c r="AW957" s="106"/>
      <c r="AX957" s="106"/>
      <c r="AY957" s="106"/>
      <c r="AZ957" s="106"/>
      <c r="BA957" s="106"/>
      <c r="BB957" s="107"/>
      <c r="BC957" s="105"/>
      <c r="BD957" s="105"/>
      <c r="BE957" s="105"/>
      <c r="BF957" s="107"/>
      <c r="BG957" s="160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7"/>
      <c r="BV957" s="107"/>
      <c r="BW957" s="107"/>
      <c r="BX957" s="107"/>
      <c r="BY957" s="107"/>
      <c r="BZ957" s="107"/>
      <c r="CA957" s="107"/>
      <c r="CB957" s="107"/>
      <c r="CC957" s="107"/>
      <c r="CD957" s="107"/>
      <c r="CE957" s="106"/>
      <c r="CF957" s="106"/>
      <c r="CG957" s="106"/>
      <c r="CH957" s="106"/>
      <c r="CI957" s="106"/>
      <c r="CJ957" s="138"/>
      <c r="CK957" s="138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K957" s="1"/>
      <c r="EL957" s="106"/>
      <c r="EM957" s="106"/>
      <c r="EN957" s="1"/>
      <c r="EO957" s="106"/>
      <c r="EP957" s="1"/>
      <c r="EQ957" s="1"/>
      <c r="ER957" s="1"/>
      <c r="ES957" s="108"/>
    </row>
    <row r="958" spans="9:149">
      <c r="I958" s="137"/>
      <c r="J958" s="138"/>
      <c r="K958" s="1"/>
      <c r="L958" s="1"/>
      <c r="Q958" s="1"/>
      <c r="R958" s="1"/>
      <c r="S958" s="106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55"/>
      <c r="AN958" s="106"/>
      <c r="AO958" s="106"/>
      <c r="AP958" s="106"/>
      <c r="AQ958" s="31"/>
      <c r="AR958" s="31"/>
      <c r="AS958" s="31"/>
      <c r="AT958" s="30"/>
      <c r="AU958" s="30"/>
      <c r="AV958" s="106"/>
      <c r="AW958" s="106"/>
      <c r="AX958" s="106"/>
      <c r="AY958" s="106"/>
      <c r="AZ958" s="106"/>
      <c r="BA958" s="106"/>
      <c r="BB958" s="107"/>
      <c r="BC958" s="105"/>
      <c r="BD958" s="105"/>
      <c r="BE958" s="105"/>
      <c r="BF958" s="107"/>
      <c r="BG958" s="160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7"/>
      <c r="BV958" s="107"/>
      <c r="BW958" s="107"/>
      <c r="BX958" s="107"/>
      <c r="BY958" s="107"/>
      <c r="BZ958" s="107"/>
      <c r="CA958" s="107"/>
      <c r="CB958" s="107"/>
      <c r="CC958" s="107"/>
      <c r="CD958" s="107"/>
      <c r="CE958" s="106"/>
      <c r="CF958" s="106"/>
      <c r="CG958" s="106"/>
      <c r="CH958" s="106"/>
      <c r="CI958" s="106"/>
      <c r="CJ958" s="138"/>
      <c r="CK958" s="138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K958" s="1"/>
      <c r="EL958" s="106"/>
      <c r="EM958" s="106"/>
      <c r="EN958" s="1"/>
      <c r="EO958" s="106"/>
      <c r="EP958" s="1"/>
      <c r="EQ958" s="1"/>
      <c r="ER958" s="1"/>
      <c r="ES958" s="108"/>
    </row>
    <row r="959" spans="9:149">
      <c r="I959" s="137"/>
      <c r="J959" s="138"/>
      <c r="K959" s="1"/>
      <c r="L959" s="1"/>
      <c r="Q959" s="1"/>
      <c r="R959" s="1"/>
      <c r="S959" s="106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55"/>
      <c r="AN959" s="106"/>
      <c r="AO959" s="106"/>
      <c r="AP959" s="106"/>
      <c r="AQ959" s="31"/>
      <c r="AR959" s="31"/>
      <c r="AS959" s="31"/>
      <c r="AT959" s="30"/>
      <c r="AU959" s="30"/>
      <c r="AV959" s="106"/>
      <c r="AW959" s="106"/>
      <c r="AX959" s="106"/>
      <c r="AY959" s="106"/>
      <c r="AZ959" s="106"/>
      <c r="BA959" s="106"/>
      <c r="BB959" s="107"/>
      <c r="BC959" s="105"/>
      <c r="BD959" s="105"/>
      <c r="BE959" s="105"/>
      <c r="BF959" s="107"/>
      <c r="BG959" s="160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7"/>
      <c r="BV959" s="107"/>
      <c r="BW959" s="107"/>
      <c r="BX959" s="107"/>
      <c r="BY959" s="107"/>
      <c r="BZ959" s="107"/>
      <c r="CA959" s="107"/>
      <c r="CB959" s="107"/>
      <c r="CC959" s="107"/>
      <c r="CD959" s="107"/>
      <c r="CE959" s="106"/>
      <c r="CF959" s="106"/>
      <c r="CG959" s="106"/>
      <c r="CH959" s="106"/>
      <c r="CI959" s="106"/>
      <c r="CJ959" s="138"/>
      <c r="CK959" s="138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K959" s="1"/>
      <c r="EL959" s="106"/>
      <c r="EM959" s="106"/>
      <c r="EN959" s="1"/>
      <c r="EO959" s="106"/>
      <c r="EP959" s="1"/>
      <c r="EQ959" s="1"/>
      <c r="ER959" s="1"/>
      <c r="ES959" s="108"/>
    </row>
    <row r="960" spans="9:149">
      <c r="I960" s="137"/>
      <c r="J960" s="138"/>
      <c r="K960" s="1"/>
      <c r="L960" s="1"/>
      <c r="Q960" s="1"/>
      <c r="R960" s="1"/>
      <c r="S960" s="106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55"/>
      <c r="AN960" s="106"/>
      <c r="AO960" s="106"/>
      <c r="AP960" s="106"/>
      <c r="AQ960" s="31"/>
      <c r="AR960" s="31"/>
      <c r="AS960" s="31"/>
      <c r="AT960" s="30"/>
      <c r="AU960" s="30"/>
      <c r="AV960" s="106"/>
      <c r="AW960" s="106"/>
      <c r="AX960" s="106"/>
      <c r="AY960" s="106"/>
      <c r="AZ960" s="106"/>
      <c r="BA960" s="106"/>
      <c r="BB960" s="107"/>
      <c r="BC960" s="105"/>
      <c r="BD960" s="105"/>
      <c r="BE960" s="105"/>
      <c r="BF960" s="107"/>
      <c r="BG960" s="160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7"/>
      <c r="BV960" s="107"/>
      <c r="BW960" s="107"/>
      <c r="BX960" s="107"/>
      <c r="BY960" s="107"/>
      <c r="BZ960" s="107"/>
      <c r="CA960" s="107"/>
      <c r="CB960" s="107"/>
      <c r="CC960" s="107"/>
      <c r="CD960" s="107"/>
      <c r="CE960" s="106"/>
      <c r="CF960" s="106"/>
      <c r="CG960" s="106"/>
      <c r="CH960" s="106"/>
      <c r="CI960" s="106"/>
      <c r="CJ960" s="138"/>
      <c r="CK960" s="138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K960" s="1"/>
      <c r="EL960" s="106"/>
      <c r="EM960" s="106"/>
      <c r="EN960" s="1"/>
      <c r="EO960" s="106"/>
      <c r="EP960" s="1"/>
      <c r="EQ960" s="1"/>
      <c r="ER960" s="1"/>
      <c r="ES960" s="108"/>
    </row>
    <row r="961" spans="9:149">
      <c r="I961" s="137"/>
      <c r="J961" s="138"/>
      <c r="K961" s="1"/>
      <c r="L961" s="1"/>
      <c r="Q961" s="1"/>
      <c r="R961" s="1"/>
      <c r="S961" s="106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55"/>
      <c r="AN961" s="106"/>
      <c r="AO961" s="106"/>
      <c r="AP961" s="106"/>
      <c r="AQ961" s="31"/>
      <c r="AR961" s="31"/>
      <c r="AS961" s="31"/>
      <c r="AT961" s="30"/>
      <c r="AU961" s="30"/>
      <c r="AV961" s="106"/>
      <c r="AW961" s="106"/>
      <c r="AX961" s="106"/>
      <c r="AY961" s="106"/>
      <c r="AZ961" s="106"/>
      <c r="BA961" s="106"/>
      <c r="BB961" s="107"/>
      <c r="BC961" s="105"/>
      <c r="BD961" s="105"/>
      <c r="BE961" s="105"/>
      <c r="BF961" s="107"/>
      <c r="BG961" s="160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7"/>
      <c r="BV961" s="107"/>
      <c r="BW961" s="107"/>
      <c r="BX961" s="107"/>
      <c r="BY961" s="107"/>
      <c r="BZ961" s="107"/>
      <c r="CA961" s="107"/>
      <c r="CB961" s="107"/>
      <c r="CC961" s="107"/>
      <c r="CD961" s="107"/>
      <c r="CE961" s="106"/>
      <c r="CF961" s="106"/>
      <c r="CG961" s="106"/>
      <c r="CH961" s="106"/>
      <c r="CI961" s="106"/>
      <c r="CJ961" s="138"/>
      <c r="CK961" s="138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K961" s="1"/>
      <c r="EL961" s="106"/>
      <c r="EM961" s="106"/>
      <c r="EN961" s="1"/>
      <c r="EO961" s="106"/>
      <c r="EP961" s="1"/>
      <c r="EQ961" s="1"/>
      <c r="ER961" s="1"/>
      <c r="ES961" s="108"/>
    </row>
    <row r="962" spans="9:149">
      <c r="I962" s="137"/>
      <c r="J962" s="138"/>
      <c r="K962" s="1"/>
      <c r="L962" s="1"/>
      <c r="Q962" s="1"/>
      <c r="R962" s="1"/>
      <c r="S962" s="106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55"/>
      <c r="AN962" s="106"/>
      <c r="AO962" s="106"/>
      <c r="AP962" s="106"/>
      <c r="AQ962" s="31"/>
      <c r="AR962" s="31"/>
      <c r="AS962" s="31"/>
      <c r="AT962" s="30"/>
      <c r="AU962" s="30"/>
      <c r="AV962" s="106"/>
      <c r="AW962" s="106"/>
      <c r="AX962" s="106"/>
      <c r="AY962" s="106"/>
      <c r="AZ962" s="106"/>
      <c r="BA962" s="106"/>
      <c r="BB962" s="107"/>
      <c r="BC962" s="105"/>
      <c r="BD962" s="105"/>
      <c r="BE962" s="105"/>
      <c r="BF962" s="107"/>
      <c r="BG962" s="160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7"/>
      <c r="BV962" s="107"/>
      <c r="BW962" s="107"/>
      <c r="BX962" s="107"/>
      <c r="BY962" s="107"/>
      <c r="BZ962" s="107"/>
      <c r="CA962" s="107"/>
      <c r="CB962" s="107"/>
      <c r="CC962" s="107"/>
      <c r="CD962" s="107"/>
      <c r="CE962" s="106"/>
      <c r="CF962" s="106"/>
      <c r="CG962" s="106"/>
      <c r="CH962" s="106"/>
      <c r="CI962" s="106"/>
      <c r="CJ962" s="138"/>
      <c r="CK962" s="138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K962" s="1"/>
      <c r="EL962" s="106"/>
      <c r="EM962" s="106"/>
      <c r="EN962" s="1"/>
      <c r="EO962" s="106"/>
      <c r="EP962" s="1"/>
      <c r="EQ962" s="1"/>
      <c r="ER962" s="1"/>
      <c r="ES962" s="108"/>
    </row>
    <row r="963" spans="9:149">
      <c r="I963" s="137"/>
      <c r="J963" s="138"/>
      <c r="K963" s="1"/>
      <c r="L963" s="1"/>
      <c r="Q963" s="1"/>
      <c r="R963" s="1"/>
      <c r="S963" s="106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55"/>
      <c r="AN963" s="106"/>
      <c r="AO963" s="106"/>
      <c r="AP963" s="106"/>
      <c r="AQ963" s="31"/>
      <c r="AR963" s="31"/>
      <c r="AS963" s="31"/>
      <c r="AT963" s="30"/>
      <c r="AU963" s="30"/>
      <c r="AV963" s="106"/>
      <c r="AW963" s="106"/>
      <c r="AX963" s="106"/>
      <c r="AY963" s="106"/>
      <c r="AZ963" s="106"/>
      <c r="BA963" s="106"/>
      <c r="BB963" s="107"/>
      <c r="BC963" s="105"/>
      <c r="BD963" s="105"/>
      <c r="BE963" s="105"/>
      <c r="BF963" s="107"/>
      <c r="BG963" s="160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7"/>
      <c r="BV963" s="107"/>
      <c r="BW963" s="107"/>
      <c r="BX963" s="107"/>
      <c r="BY963" s="107"/>
      <c r="BZ963" s="107"/>
      <c r="CA963" s="107"/>
      <c r="CB963" s="107"/>
      <c r="CC963" s="107"/>
      <c r="CD963" s="107"/>
      <c r="CE963" s="106"/>
      <c r="CF963" s="106"/>
      <c r="CG963" s="106"/>
      <c r="CH963" s="106"/>
      <c r="CI963" s="106"/>
      <c r="CJ963" s="138"/>
      <c r="CK963" s="138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K963" s="1"/>
      <c r="EL963" s="106"/>
      <c r="EM963" s="106"/>
      <c r="EN963" s="1"/>
      <c r="EO963" s="106"/>
      <c r="EP963" s="1"/>
      <c r="EQ963" s="1"/>
      <c r="ER963" s="1"/>
      <c r="ES963" s="108"/>
    </row>
    <row r="964" spans="9:149">
      <c r="I964" s="137"/>
      <c r="J964" s="138"/>
      <c r="K964" s="1"/>
      <c r="L964" s="1"/>
      <c r="Q964" s="1"/>
      <c r="R964" s="1"/>
      <c r="S964" s="106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55"/>
      <c r="AN964" s="106"/>
      <c r="AO964" s="106"/>
      <c r="AP964" s="106"/>
      <c r="AQ964" s="31"/>
      <c r="AR964" s="31"/>
      <c r="AS964" s="31"/>
      <c r="AT964" s="30"/>
      <c r="AU964" s="30"/>
      <c r="AV964" s="106"/>
      <c r="AW964" s="106"/>
      <c r="AX964" s="106"/>
      <c r="AY964" s="106"/>
      <c r="AZ964" s="106"/>
      <c r="BA964" s="106"/>
      <c r="BB964" s="107"/>
      <c r="BC964" s="105"/>
      <c r="BD964" s="105"/>
      <c r="BE964" s="105"/>
      <c r="BF964" s="107"/>
      <c r="BG964" s="160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7"/>
      <c r="BV964" s="107"/>
      <c r="BW964" s="107"/>
      <c r="BX964" s="107"/>
      <c r="BY964" s="107"/>
      <c r="BZ964" s="107"/>
      <c r="CA964" s="107"/>
      <c r="CB964" s="107"/>
      <c r="CC964" s="107"/>
      <c r="CD964" s="107"/>
      <c r="CE964" s="106"/>
      <c r="CF964" s="106"/>
      <c r="CG964" s="106"/>
      <c r="CH964" s="106"/>
      <c r="CI964" s="106"/>
      <c r="CJ964" s="138"/>
      <c r="CK964" s="138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K964" s="1"/>
      <c r="EL964" s="106"/>
      <c r="EM964" s="106"/>
      <c r="EN964" s="1"/>
      <c r="EO964" s="106"/>
      <c r="EP964" s="1"/>
      <c r="EQ964" s="1"/>
      <c r="ER964" s="1"/>
      <c r="ES964" s="108"/>
    </row>
    <row r="965" spans="9:149">
      <c r="I965" s="137"/>
      <c r="J965" s="138"/>
      <c r="K965" s="1"/>
      <c r="L965" s="1"/>
      <c r="Q965" s="1"/>
      <c r="R965" s="1"/>
      <c r="S965" s="106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55"/>
      <c r="AN965" s="106"/>
      <c r="AO965" s="106"/>
      <c r="AP965" s="106"/>
      <c r="AQ965" s="31"/>
      <c r="AR965" s="31"/>
      <c r="AS965" s="31"/>
      <c r="AT965" s="30"/>
      <c r="AU965" s="30"/>
      <c r="AV965" s="106"/>
      <c r="AW965" s="106"/>
      <c r="AX965" s="106"/>
      <c r="AY965" s="106"/>
      <c r="AZ965" s="106"/>
      <c r="BA965" s="106"/>
      <c r="BB965" s="107"/>
      <c r="BC965" s="105"/>
      <c r="BD965" s="105"/>
      <c r="BE965" s="105"/>
      <c r="BF965" s="107"/>
      <c r="BG965" s="160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7"/>
      <c r="BV965" s="107"/>
      <c r="BW965" s="107"/>
      <c r="BX965" s="107"/>
      <c r="BY965" s="107"/>
      <c r="BZ965" s="107"/>
      <c r="CA965" s="107"/>
      <c r="CB965" s="107"/>
      <c r="CC965" s="107"/>
      <c r="CD965" s="107"/>
      <c r="CE965" s="106"/>
      <c r="CF965" s="106"/>
      <c r="CG965" s="106"/>
      <c r="CH965" s="106"/>
      <c r="CI965" s="106"/>
      <c r="CJ965" s="138"/>
      <c r="CK965" s="138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K965" s="1"/>
      <c r="EL965" s="106"/>
      <c r="EM965" s="106"/>
      <c r="EN965" s="1"/>
      <c r="EO965" s="106"/>
      <c r="EP965" s="1"/>
      <c r="EQ965" s="1"/>
      <c r="ER965" s="1"/>
      <c r="ES965" s="108"/>
    </row>
    <row r="966" spans="9:149">
      <c r="I966" s="137"/>
      <c r="J966" s="138"/>
      <c r="K966" s="1"/>
      <c r="L966" s="1"/>
      <c r="Q966" s="1"/>
      <c r="R966" s="1"/>
      <c r="S966" s="106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55"/>
      <c r="AN966" s="106"/>
      <c r="AO966" s="106"/>
      <c r="AP966" s="106"/>
      <c r="AQ966" s="31"/>
      <c r="AR966" s="31"/>
      <c r="AS966" s="31"/>
      <c r="AT966" s="30"/>
      <c r="AU966" s="30"/>
      <c r="AV966" s="106"/>
      <c r="AW966" s="106"/>
      <c r="AX966" s="106"/>
      <c r="AY966" s="106"/>
      <c r="AZ966" s="106"/>
      <c r="BA966" s="106"/>
      <c r="BB966" s="107"/>
      <c r="BC966" s="105"/>
      <c r="BD966" s="105"/>
      <c r="BE966" s="105"/>
      <c r="BF966" s="107"/>
      <c r="BG966" s="160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7"/>
      <c r="BV966" s="107"/>
      <c r="BW966" s="107"/>
      <c r="BX966" s="107"/>
      <c r="BY966" s="107"/>
      <c r="BZ966" s="107"/>
      <c r="CA966" s="107"/>
      <c r="CB966" s="107"/>
      <c r="CC966" s="107"/>
      <c r="CD966" s="107"/>
      <c r="CE966" s="106"/>
      <c r="CF966" s="106"/>
      <c r="CG966" s="106"/>
      <c r="CH966" s="106"/>
      <c r="CI966" s="106"/>
      <c r="CJ966" s="138"/>
      <c r="CK966" s="138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K966" s="1"/>
      <c r="EL966" s="106"/>
      <c r="EM966" s="106"/>
      <c r="EN966" s="1"/>
      <c r="EO966" s="106"/>
      <c r="EP966" s="1"/>
      <c r="EQ966" s="1"/>
      <c r="ER966" s="1"/>
      <c r="ES966" s="108"/>
    </row>
    <row r="967" spans="9:149">
      <c r="I967" s="137"/>
      <c r="J967" s="138"/>
      <c r="K967" s="1"/>
      <c r="L967" s="1"/>
      <c r="Q967" s="1"/>
      <c r="R967" s="1"/>
      <c r="S967" s="106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55"/>
      <c r="AN967" s="106"/>
      <c r="AO967" s="106"/>
      <c r="AP967" s="106"/>
      <c r="AQ967" s="31"/>
      <c r="AR967" s="31"/>
      <c r="AS967" s="31"/>
      <c r="AT967" s="30"/>
      <c r="AU967" s="30"/>
      <c r="AV967" s="106"/>
      <c r="AW967" s="106"/>
      <c r="AX967" s="106"/>
      <c r="AY967" s="106"/>
      <c r="AZ967" s="106"/>
      <c r="BA967" s="106"/>
      <c r="BB967" s="107"/>
      <c r="BC967" s="105"/>
      <c r="BD967" s="105"/>
      <c r="BE967" s="105"/>
      <c r="BF967" s="107"/>
      <c r="BG967" s="160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7"/>
      <c r="BV967" s="107"/>
      <c r="BW967" s="107"/>
      <c r="BX967" s="107"/>
      <c r="BY967" s="107"/>
      <c r="BZ967" s="107"/>
      <c r="CA967" s="107"/>
      <c r="CB967" s="107"/>
      <c r="CC967" s="107"/>
      <c r="CD967" s="107"/>
      <c r="CE967" s="106"/>
      <c r="CF967" s="106"/>
      <c r="CG967" s="106"/>
      <c r="CH967" s="106"/>
      <c r="CI967" s="106"/>
      <c r="CJ967" s="138"/>
      <c r="CK967" s="138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K967" s="1"/>
      <c r="EL967" s="106"/>
      <c r="EM967" s="106"/>
      <c r="EN967" s="1"/>
      <c r="EO967" s="106"/>
      <c r="EP967" s="1"/>
      <c r="EQ967" s="1"/>
      <c r="ER967" s="1"/>
      <c r="ES967" s="108"/>
    </row>
    <row r="968" spans="9:149">
      <c r="I968" s="137"/>
      <c r="J968" s="138"/>
      <c r="K968" s="1"/>
      <c r="L968" s="1"/>
      <c r="Q968" s="1"/>
      <c r="R968" s="1"/>
      <c r="S968" s="106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55"/>
      <c r="AN968" s="106"/>
      <c r="AO968" s="106"/>
      <c r="AP968" s="106"/>
      <c r="AQ968" s="31"/>
      <c r="AR968" s="31"/>
      <c r="AS968" s="31"/>
      <c r="AT968" s="30"/>
      <c r="AU968" s="30"/>
      <c r="AV968" s="106"/>
      <c r="AW968" s="106"/>
      <c r="AX968" s="106"/>
      <c r="AY968" s="106"/>
      <c r="AZ968" s="106"/>
      <c r="BA968" s="106"/>
      <c r="BB968" s="107"/>
      <c r="BC968" s="105"/>
      <c r="BD968" s="105"/>
      <c r="BE968" s="105"/>
      <c r="BF968" s="107"/>
      <c r="BG968" s="160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7"/>
      <c r="BV968" s="107"/>
      <c r="BW968" s="107"/>
      <c r="BX968" s="107"/>
      <c r="BY968" s="107"/>
      <c r="BZ968" s="107"/>
      <c r="CA968" s="107"/>
      <c r="CB968" s="107"/>
      <c r="CC968" s="107"/>
      <c r="CD968" s="107"/>
      <c r="CE968" s="106"/>
      <c r="CF968" s="106"/>
      <c r="CG968" s="106"/>
      <c r="CH968" s="106"/>
      <c r="CI968" s="106"/>
      <c r="CJ968" s="138"/>
      <c r="CK968" s="138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K968" s="1"/>
      <c r="EL968" s="106"/>
      <c r="EM968" s="106"/>
      <c r="EN968" s="1"/>
      <c r="EO968" s="106"/>
      <c r="EP968" s="1"/>
      <c r="EQ968" s="1"/>
      <c r="ER968" s="1"/>
      <c r="ES968" s="108"/>
    </row>
    <row r="969" spans="9:149">
      <c r="I969" s="137"/>
      <c r="J969" s="138"/>
      <c r="K969" s="1"/>
      <c r="L969" s="1"/>
      <c r="Q969" s="1"/>
      <c r="R969" s="1"/>
      <c r="S969" s="106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55"/>
      <c r="AN969" s="106"/>
      <c r="AO969" s="106"/>
      <c r="AP969" s="106"/>
      <c r="AQ969" s="31"/>
      <c r="AR969" s="31"/>
      <c r="AS969" s="31"/>
      <c r="AT969" s="30"/>
      <c r="AU969" s="30"/>
      <c r="AV969" s="106"/>
      <c r="AW969" s="106"/>
      <c r="AX969" s="106"/>
      <c r="AY969" s="106"/>
      <c r="AZ969" s="106"/>
      <c r="BA969" s="106"/>
      <c r="BB969" s="107"/>
      <c r="BC969" s="105"/>
      <c r="BD969" s="105"/>
      <c r="BE969" s="105"/>
      <c r="BF969" s="107"/>
      <c r="BG969" s="160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7"/>
      <c r="BV969" s="107"/>
      <c r="BW969" s="107"/>
      <c r="BX969" s="107"/>
      <c r="BY969" s="107"/>
      <c r="BZ969" s="107"/>
      <c r="CA969" s="107"/>
      <c r="CB969" s="107"/>
      <c r="CC969" s="107"/>
      <c r="CD969" s="107"/>
      <c r="CE969" s="106"/>
      <c r="CF969" s="106"/>
      <c r="CG969" s="106"/>
      <c r="CH969" s="106"/>
      <c r="CI969" s="106"/>
      <c r="CJ969" s="138"/>
      <c r="CK969" s="138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K969" s="1"/>
      <c r="EL969" s="106"/>
      <c r="EM969" s="106"/>
      <c r="EN969" s="1"/>
      <c r="EO969" s="106"/>
      <c r="EP969" s="1"/>
      <c r="EQ969" s="1"/>
      <c r="ER969" s="1"/>
      <c r="ES969" s="108"/>
    </row>
    <row r="970" spans="9:149">
      <c r="I970" s="137"/>
      <c r="J970" s="138"/>
      <c r="K970" s="1"/>
      <c r="L970" s="1"/>
      <c r="Q970" s="1"/>
      <c r="R970" s="1"/>
      <c r="S970" s="106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55"/>
      <c r="AN970" s="106"/>
      <c r="AO970" s="106"/>
      <c r="AP970" s="106"/>
      <c r="AQ970" s="31"/>
      <c r="AR970" s="31"/>
      <c r="AS970" s="31"/>
      <c r="AT970" s="30"/>
      <c r="AU970" s="30"/>
      <c r="AV970" s="106"/>
      <c r="AW970" s="106"/>
      <c r="AX970" s="106"/>
      <c r="AY970" s="106"/>
      <c r="AZ970" s="106"/>
      <c r="BA970" s="106"/>
      <c r="BB970" s="107"/>
      <c r="BC970" s="105"/>
      <c r="BD970" s="105"/>
      <c r="BE970" s="105"/>
      <c r="BF970" s="107"/>
      <c r="BG970" s="160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7"/>
      <c r="BV970" s="107"/>
      <c r="BW970" s="107"/>
      <c r="BX970" s="107"/>
      <c r="BY970" s="107"/>
      <c r="BZ970" s="107"/>
      <c r="CA970" s="107"/>
      <c r="CB970" s="107"/>
      <c r="CC970" s="107"/>
      <c r="CD970" s="107"/>
      <c r="CE970" s="106"/>
      <c r="CF970" s="106"/>
      <c r="CG970" s="106"/>
      <c r="CH970" s="106"/>
      <c r="CI970" s="106"/>
      <c r="CJ970" s="138"/>
      <c r="CK970" s="138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K970" s="1"/>
      <c r="EL970" s="106"/>
      <c r="EM970" s="106"/>
      <c r="EN970" s="1"/>
      <c r="EO970" s="106"/>
      <c r="EP970" s="1"/>
      <c r="EQ970" s="1"/>
      <c r="ER970" s="1"/>
      <c r="ES970" s="108"/>
    </row>
    <row r="971" spans="9:149">
      <c r="I971" s="137"/>
      <c r="J971" s="138"/>
      <c r="K971" s="1"/>
      <c r="L971" s="1"/>
      <c r="Q971" s="1"/>
      <c r="R971" s="1"/>
      <c r="S971" s="106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55"/>
      <c r="AN971" s="106"/>
      <c r="AO971" s="106"/>
      <c r="AP971" s="106"/>
      <c r="AQ971" s="31"/>
      <c r="AR971" s="31"/>
      <c r="AS971" s="31"/>
      <c r="AT971" s="30"/>
      <c r="AU971" s="30"/>
      <c r="AV971" s="106"/>
      <c r="AW971" s="106"/>
      <c r="AX971" s="106"/>
      <c r="AY971" s="106"/>
      <c r="AZ971" s="106"/>
      <c r="BA971" s="106"/>
      <c r="BB971" s="107"/>
      <c r="BC971" s="105"/>
      <c r="BD971" s="105"/>
      <c r="BE971" s="105"/>
      <c r="BF971" s="107"/>
      <c r="BG971" s="160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7"/>
      <c r="BV971" s="107"/>
      <c r="BW971" s="107"/>
      <c r="BX971" s="107"/>
      <c r="BY971" s="107"/>
      <c r="BZ971" s="107"/>
      <c r="CA971" s="107"/>
      <c r="CB971" s="107"/>
      <c r="CC971" s="107"/>
      <c r="CD971" s="107"/>
      <c r="CE971" s="106"/>
      <c r="CF971" s="106"/>
      <c r="CG971" s="106"/>
      <c r="CH971" s="106"/>
      <c r="CI971" s="106"/>
      <c r="CJ971" s="138"/>
      <c r="CK971" s="138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K971" s="1"/>
      <c r="EL971" s="106"/>
      <c r="EM971" s="106"/>
      <c r="EN971" s="1"/>
      <c r="EO971" s="106"/>
      <c r="EP971" s="1"/>
      <c r="EQ971" s="1"/>
      <c r="ER971" s="1"/>
      <c r="ES971" s="108"/>
    </row>
    <row r="972" spans="9:149">
      <c r="I972" s="137"/>
      <c r="J972" s="138"/>
      <c r="K972" s="1"/>
      <c r="L972" s="1"/>
      <c r="Q972" s="1"/>
      <c r="R972" s="1"/>
      <c r="S972" s="106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55"/>
      <c r="AN972" s="106"/>
      <c r="AO972" s="106"/>
      <c r="AP972" s="106"/>
      <c r="AQ972" s="31"/>
      <c r="AR972" s="31"/>
      <c r="AS972" s="31"/>
      <c r="AT972" s="30"/>
      <c r="AU972" s="30"/>
      <c r="AV972" s="106"/>
      <c r="AW972" s="106"/>
      <c r="AX972" s="106"/>
      <c r="AY972" s="106"/>
      <c r="AZ972" s="106"/>
      <c r="BA972" s="106"/>
      <c r="BB972" s="107"/>
      <c r="BC972" s="105"/>
      <c r="BD972" s="105"/>
      <c r="BE972" s="105"/>
      <c r="BF972" s="107"/>
      <c r="BG972" s="160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7"/>
      <c r="BV972" s="107"/>
      <c r="BW972" s="107"/>
      <c r="BX972" s="107"/>
      <c r="BY972" s="107"/>
      <c r="BZ972" s="107"/>
      <c r="CA972" s="107"/>
      <c r="CB972" s="107"/>
      <c r="CC972" s="107"/>
      <c r="CD972" s="107"/>
      <c r="CE972" s="106"/>
      <c r="CF972" s="106"/>
      <c r="CG972" s="106"/>
      <c r="CH972" s="106"/>
      <c r="CI972" s="106"/>
      <c r="CJ972" s="138"/>
      <c r="CK972" s="138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K972" s="1"/>
      <c r="EL972" s="106"/>
      <c r="EM972" s="106"/>
      <c r="EN972" s="1"/>
      <c r="EO972" s="106"/>
      <c r="EP972" s="1"/>
      <c r="EQ972" s="1"/>
      <c r="ER972" s="1"/>
      <c r="ES972" s="108"/>
    </row>
    <row r="973" spans="9:149">
      <c r="I973" s="137"/>
      <c r="J973" s="138"/>
      <c r="K973" s="1"/>
      <c r="L973" s="1"/>
      <c r="Q973" s="1"/>
      <c r="R973" s="1"/>
      <c r="S973" s="106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55"/>
      <c r="AN973" s="106"/>
      <c r="AO973" s="106"/>
      <c r="AP973" s="106"/>
      <c r="AQ973" s="31"/>
      <c r="AR973" s="31"/>
      <c r="AS973" s="31"/>
      <c r="AT973" s="30"/>
      <c r="AU973" s="30"/>
      <c r="AV973" s="106"/>
      <c r="AW973" s="106"/>
      <c r="AX973" s="106"/>
      <c r="AY973" s="106"/>
      <c r="AZ973" s="106"/>
      <c r="BA973" s="106"/>
      <c r="BB973" s="107"/>
      <c r="BC973" s="105"/>
      <c r="BD973" s="105"/>
      <c r="BE973" s="105"/>
      <c r="BF973" s="107"/>
      <c r="BG973" s="160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7"/>
      <c r="BV973" s="107"/>
      <c r="BW973" s="107"/>
      <c r="BX973" s="107"/>
      <c r="BY973" s="107"/>
      <c r="BZ973" s="107"/>
      <c r="CA973" s="107"/>
      <c r="CB973" s="107"/>
      <c r="CC973" s="107"/>
      <c r="CD973" s="107"/>
      <c r="CE973" s="106"/>
      <c r="CF973" s="106"/>
      <c r="CG973" s="106"/>
      <c r="CH973" s="106"/>
      <c r="CI973" s="106"/>
      <c r="CJ973" s="138"/>
      <c r="CK973" s="138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K973" s="1"/>
      <c r="EL973" s="106"/>
      <c r="EM973" s="106"/>
      <c r="EN973" s="1"/>
      <c r="EO973" s="106"/>
      <c r="EP973" s="1"/>
      <c r="EQ973" s="1"/>
      <c r="ER973" s="1"/>
      <c r="ES973" s="108"/>
    </row>
    <row r="974" spans="9:149">
      <c r="I974" s="137"/>
      <c r="J974" s="138"/>
      <c r="K974" s="1"/>
      <c r="L974" s="1"/>
      <c r="Q974" s="1"/>
      <c r="R974" s="1"/>
      <c r="S974" s="106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55"/>
      <c r="AN974" s="106"/>
      <c r="AO974" s="106"/>
      <c r="AP974" s="106"/>
      <c r="AQ974" s="31"/>
      <c r="AR974" s="31"/>
      <c r="AS974" s="31"/>
      <c r="AT974" s="30"/>
      <c r="AU974" s="30"/>
      <c r="AV974" s="106"/>
      <c r="AW974" s="106"/>
      <c r="AX974" s="106"/>
      <c r="AY974" s="106"/>
      <c r="AZ974" s="106"/>
      <c r="BA974" s="106"/>
      <c r="BB974" s="107"/>
      <c r="BC974" s="105"/>
      <c r="BD974" s="105"/>
      <c r="BE974" s="105"/>
      <c r="BF974" s="107"/>
      <c r="BG974" s="160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7"/>
      <c r="BV974" s="107"/>
      <c r="BW974" s="107"/>
      <c r="BX974" s="107"/>
      <c r="BY974" s="107"/>
      <c r="BZ974" s="107"/>
      <c r="CA974" s="107"/>
      <c r="CB974" s="107"/>
      <c r="CC974" s="107"/>
      <c r="CD974" s="107"/>
      <c r="CE974" s="106"/>
      <c r="CF974" s="106"/>
      <c r="CG974" s="106"/>
      <c r="CH974" s="106"/>
      <c r="CI974" s="106"/>
      <c r="CJ974" s="138"/>
      <c r="CK974" s="138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K974" s="1"/>
      <c r="EL974" s="106"/>
      <c r="EM974" s="106"/>
      <c r="EN974" s="1"/>
      <c r="EO974" s="106"/>
      <c r="EP974" s="1"/>
      <c r="EQ974" s="1"/>
      <c r="ER974" s="1"/>
      <c r="ES974" s="108"/>
    </row>
    <row r="975" spans="9:149">
      <c r="I975" s="137"/>
      <c r="J975" s="138"/>
      <c r="K975" s="1"/>
      <c r="L975" s="1"/>
      <c r="Q975" s="1"/>
      <c r="R975" s="1"/>
      <c r="S975" s="106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55"/>
      <c r="AN975" s="106"/>
      <c r="AO975" s="106"/>
      <c r="AP975" s="106"/>
      <c r="AQ975" s="31"/>
      <c r="AR975" s="31"/>
      <c r="AS975" s="31"/>
      <c r="AT975" s="30"/>
      <c r="AU975" s="30"/>
      <c r="AV975" s="106"/>
      <c r="AW975" s="106"/>
      <c r="AX975" s="106"/>
      <c r="AY975" s="106"/>
      <c r="AZ975" s="106"/>
      <c r="BA975" s="106"/>
      <c r="BB975" s="107"/>
      <c r="BC975" s="105"/>
      <c r="BD975" s="105"/>
      <c r="BE975" s="105"/>
      <c r="BF975" s="107"/>
      <c r="BG975" s="160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7"/>
      <c r="BV975" s="107"/>
      <c r="BW975" s="107"/>
      <c r="BX975" s="107"/>
      <c r="BY975" s="107"/>
      <c r="BZ975" s="107"/>
      <c r="CA975" s="107"/>
      <c r="CB975" s="107"/>
      <c r="CC975" s="107"/>
      <c r="CD975" s="107"/>
      <c r="CE975" s="106"/>
      <c r="CF975" s="106"/>
      <c r="CG975" s="106"/>
      <c r="CH975" s="106"/>
      <c r="CI975" s="106"/>
      <c r="CJ975" s="138"/>
      <c r="CK975" s="138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K975" s="1"/>
      <c r="EL975" s="106"/>
      <c r="EM975" s="106"/>
      <c r="EN975" s="1"/>
      <c r="EO975" s="106"/>
      <c r="EP975" s="1"/>
      <c r="EQ975" s="1"/>
      <c r="ER975" s="1"/>
      <c r="ES975" s="108"/>
    </row>
    <row r="976" spans="9:149">
      <c r="I976" s="137"/>
      <c r="J976" s="138"/>
      <c r="K976" s="1"/>
      <c r="L976" s="1"/>
      <c r="Q976" s="1"/>
      <c r="R976" s="1"/>
      <c r="S976" s="106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55"/>
      <c r="AN976" s="106"/>
      <c r="AO976" s="106"/>
      <c r="AP976" s="106"/>
      <c r="AQ976" s="31"/>
      <c r="AR976" s="31"/>
      <c r="AS976" s="31"/>
      <c r="AT976" s="30"/>
      <c r="AU976" s="30"/>
      <c r="AV976" s="106"/>
      <c r="AW976" s="106"/>
      <c r="AX976" s="106"/>
      <c r="AY976" s="106"/>
      <c r="AZ976" s="106"/>
      <c r="BA976" s="106"/>
      <c r="BB976" s="107"/>
      <c r="BC976" s="105"/>
      <c r="BD976" s="105"/>
      <c r="BE976" s="105"/>
      <c r="BF976" s="107"/>
      <c r="BG976" s="160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7"/>
      <c r="BV976" s="107"/>
      <c r="BW976" s="107"/>
      <c r="BX976" s="107"/>
      <c r="BY976" s="107"/>
      <c r="BZ976" s="107"/>
      <c r="CA976" s="107"/>
      <c r="CB976" s="107"/>
      <c r="CC976" s="107"/>
      <c r="CD976" s="107"/>
      <c r="CE976" s="106"/>
      <c r="CF976" s="106"/>
      <c r="CG976" s="106"/>
      <c r="CH976" s="106"/>
      <c r="CI976" s="106"/>
      <c r="CJ976" s="138"/>
      <c r="CK976" s="138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K976" s="1"/>
      <c r="EL976" s="106"/>
      <c r="EM976" s="106"/>
      <c r="EN976" s="1"/>
      <c r="EO976" s="106"/>
      <c r="EP976" s="1"/>
      <c r="EQ976" s="1"/>
      <c r="ER976" s="1"/>
      <c r="ES976" s="108"/>
    </row>
    <row r="977" spans="9:149">
      <c r="I977" s="137"/>
      <c r="J977" s="138"/>
      <c r="K977" s="1"/>
      <c r="L977" s="1"/>
      <c r="Q977" s="1"/>
      <c r="R977" s="1"/>
      <c r="S977" s="106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55"/>
      <c r="AN977" s="106"/>
      <c r="AO977" s="106"/>
      <c r="AP977" s="106"/>
      <c r="AQ977" s="31"/>
      <c r="AR977" s="31"/>
      <c r="AS977" s="31"/>
      <c r="AT977" s="30"/>
      <c r="AU977" s="30"/>
      <c r="AV977" s="106"/>
      <c r="AW977" s="106"/>
      <c r="AX977" s="106"/>
      <c r="AY977" s="106"/>
      <c r="AZ977" s="106"/>
      <c r="BA977" s="106"/>
      <c r="BB977" s="107"/>
      <c r="BC977" s="105"/>
      <c r="BD977" s="105"/>
      <c r="BE977" s="105"/>
      <c r="BF977" s="107"/>
      <c r="BG977" s="160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7"/>
      <c r="BV977" s="107"/>
      <c r="BW977" s="107"/>
      <c r="BX977" s="107"/>
      <c r="BY977" s="107"/>
      <c r="BZ977" s="107"/>
      <c r="CA977" s="107"/>
      <c r="CB977" s="107"/>
      <c r="CC977" s="107"/>
      <c r="CD977" s="107"/>
      <c r="CE977" s="106"/>
      <c r="CF977" s="106"/>
      <c r="CG977" s="106"/>
      <c r="CH977" s="106"/>
      <c r="CI977" s="106"/>
      <c r="CJ977" s="138"/>
      <c r="CK977" s="138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K977" s="1"/>
      <c r="EL977" s="106"/>
      <c r="EM977" s="106"/>
      <c r="EN977" s="1"/>
      <c r="EO977" s="106"/>
      <c r="EP977" s="1"/>
      <c r="EQ977" s="1"/>
      <c r="ER977" s="1"/>
      <c r="ES977" s="108"/>
    </row>
    <row r="978" spans="9:149">
      <c r="I978" s="137"/>
      <c r="J978" s="138"/>
      <c r="K978" s="1"/>
      <c r="L978" s="1"/>
      <c r="Q978" s="1"/>
      <c r="R978" s="1"/>
      <c r="S978" s="106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55"/>
      <c r="AN978" s="106"/>
      <c r="AO978" s="106"/>
      <c r="AP978" s="106"/>
      <c r="AQ978" s="31"/>
      <c r="AR978" s="31"/>
      <c r="AS978" s="31"/>
      <c r="AT978" s="30"/>
      <c r="AU978" s="30"/>
      <c r="AV978" s="106"/>
      <c r="AW978" s="106"/>
      <c r="AX978" s="106"/>
      <c r="AY978" s="106"/>
      <c r="AZ978" s="106"/>
      <c r="BA978" s="106"/>
      <c r="BB978" s="107"/>
      <c r="BC978" s="105"/>
      <c r="BD978" s="105"/>
      <c r="BE978" s="105"/>
      <c r="BF978" s="107"/>
      <c r="BG978" s="160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7"/>
      <c r="BV978" s="107"/>
      <c r="BW978" s="107"/>
      <c r="BX978" s="107"/>
      <c r="BY978" s="107"/>
      <c r="BZ978" s="107"/>
      <c r="CA978" s="107"/>
      <c r="CB978" s="107"/>
      <c r="CC978" s="107"/>
      <c r="CD978" s="107"/>
      <c r="CE978" s="106"/>
      <c r="CF978" s="106"/>
      <c r="CG978" s="106"/>
      <c r="CH978" s="106"/>
      <c r="CI978" s="106"/>
      <c r="CJ978" s="138"/>
      <c r="CK978" s="138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K978" s="1"/>
      <c r="EL978" s="106"/>
      <c r="EM978" s="106"/>
      <c r="EN978" s="1"/>
      <c r="EO978" s="106"/>
      <c r="EP978" s="1"/>
      <c r="EQ978" s="1"/>
      <c r="ER978" s="1"/>
      <c r="ES978" s="108"/>
    </row>
    <row r="979" spans="9:149">
      <c r="I979" s="137"/>
      <c r="J979" s="138"/>
      <c r="K979" s="1"/>
      <c r="L979" s="1"/>
      <c r="Q979" s="1"/>
      <c r="R979" s="1"/>
      <c r="S979" s="106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55"/>
      <c r="AN979" s="106"/>
      <c r="AO979" s="106"/>
      <c r="AP979" s="106"/>
      <c r="AQ979" s="31"/>
      <c r="AR979" s="31"/>
      <c r="AS979" s="31"/>
      <c r="AT979" s="30"/>
      <c r="AU979" s="30"/>
      <c r="AV979" s="106"/>
      <c r="AW979" s="106"/>
      <c r="AX979" s="106"/>
      <c r="AY979" s="106"/>
      <c r="AZ979" s="106"/>
      <c r="BA979" s="106"/>
      <c r="BB979" s="107"/>
      <c r="BC979" s="105"/>
      <c r="BD979" s="105"/>
      <c r="BE979" s="105"/>
      <c r="BF979" s="107"/>
      <c r="BG979" s="160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7"/>
      <c r="BV979" s="107"/>
      <c r="BW979" s="107"/>
      <c r="BX979" s="107"/>
      <c r="BY979" s="107"/>
      <c r="BZ979" s="107"/>
      <c r="CA979" s="107"/>
      <c r="CB979" s="107"/>
      <c r="CC979" s="107"/>
      <c r="CD979" s="107"/>
      <c r="CE979" s="106"/>
      <c r="CF979" s="106"/>
      <c r="CG979" s="106"/>
      <c r="CH979" s="106"/>
      <c r="CI979" s="106"/>
      <c r="CJ979" s="138"/>
      <c r="CK979" s="138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K979" s="1"/>
      <c r="EL979" s="106"/>
      <c r="EM979" s="106"/>
      <c r="EN979" s="1"/>
      <c r="EO979" s="106"/>
      <c r="EP979" s="1"/>
      <c r="EQ979" s="1"/>
      <c r="ER979" s="1"/>
      <c r="ES979" s="108"/>
    </row>
    <row r="980" spans="9:149">
      <c r="I980" s="137"/>
      <c r="J980" s="138"/>
      <c r="K980" s="1"/>
      <c r="L980" s="1"/>
      <c r="Q980" s="1"/>
      <c r="R980" s="1"/>
      <c r="S980" s="106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55"/>
      <c r="AN980" s="106"/>
      <c r="AO980" s="106"/>
      <c r="AP980" s="106"/>
      <c r="AQ980" s="31"/>
      <c r="AR980" s="31"/>
      <c r="AS980" s="31"/>
      <c r="AT980" s="30"/>
      <c r="AU980" s="30"/>
      <c r="AV980" s="106"/>
      <c r="AW980" s="106"/>
      <c r="AX980" s="106"/>
      <c r="AY980" s="106"/>
      <c r="AZ980" s="106"/>
      <c r="BA980" s="106"/>
      <c r="BB980" s="107"/>
      <c r="BC980" s="105"/>
      <c r="BD980" s="105"/>
      <c r="BE980" s="105"/>
      <c r="BF980" s="107"/>
      <c r="BG980" s="160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7"/>
      <c r="BV980" s="107"/>
      <c r="BW980" s="107"/>
      <c r="BX980" s="107"/>
      <c r="BY980" s="107"/>
      <c r="BZ980" s="107"/>
      <c r="CA980" s="107"/>
      <c r="CB980" s="107"/>
      <c r="CC980" s="107"/>
      <c r="CD980" s="107"/>
      <c r="CE980" s="106"/>
      <c r="CF980" s="106"/>
      <c r="CG980" s="106"/>
      <c r="CH980" s="106"/>
      <c r="CI980" s="106"/>
      <c r="CJ980" s="138"/>
      <c r="CK980" s="138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K980" s="1"/>
      <c r="EL980" s="106"/>
      <c r="EM980" s="106"/>
      <c r="EN980" s="1"/>
      <c r="EO980" s="106"/>
      <c r="EP980" s="1"/>
      <c r="EQ980" s="1"/>
      <c r="ER980" s="1"/>
      <c r="ES980" s="108"/>
    </row>
    <row r="981" spans="9:149">
      <c r="I981" s="137"/>
      <c r="J981" s="138"/>
      <c r="K981" s="1"/>
      <c r="L981" s="1"/>
      <c r="Q981" s="1"/>
      <c r="R981" s="1"/>
      <c r="S981" s="106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55"/>
      <c r="AN981" s="106"/>
      <c r="AO981" s="106"/>
      <c r="AP981" s="106"/>
      <c r="AQ981" s="31"/>
      <c r="AR981" s="31"/>
      <c r="AS981" s="31"/>
      <c r="AT981" s="30"/>
      <c r="AU981" s="30"/>
      <c r="AV981" s="106"/>
      <c r="AW981" s="106"/>
      <c r="AX981" s="106"/>
      <c r="AY981" s="106"/>
      <c r="AZ981" s="106"/>
      <c r="BA981" s="106"/>
      <c r="BB981" s="107"/>
      <c r="BC981" s="105"/>
      <c r="BD981" s="105"/>
      <c r="BE981" s="105"/>
      <c r="BF981" s="107"/>
      <c r="BG981" s="160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7"/>
      <c r="BV981" s="107"/>
      <c r="BW981" s="107"/>
      <c r="BX981" s="107"/>
      <c r="BY981" s="107"/>
      <c r="BZ981" s="107"/>
      <c r="CA981" s="107"/>
      <c r="CB981" s="107"/>
      <c r="CC981" s="107"/>
      <c r="CD981" s="107"/>
      <c r="CE981" s="106"/>
      <c r="CF981" s="106"/>
      <c r="CG981" s="106"/>
      <c r="CH981" s="106"/>
      <c r="CI981" s="106"/>
      <c r="CJ981" s="138"/>
      <c r="CK981" s="138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K981" s="1"/>
      <c r="EL981" s="106"/>
      <c r="EM981" s="106"/>
      <c r="EN981" s="1"/>
      <c r="EO981" s="106"/>
      <c r="EP981" s="1"/>
      <c r="EQ981" s="1"/>
      <c r="ER981" s="1"/>
      <c r="ES981" s="108"/>
    </row>
    <row r="982" spans="9:149">
      <c r="I982" s="137"/>
      <c r="J982" s="138"/>
      <c r="K982" s="1"/>
      <c r="L982" s="1"/>
      <c r="Q982" s="1"/>
      <c r="R982" s="1"/>
      <c r="S982" s="106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55"/>
      <c r="AN982" s="106"/>
      <c r="AO982" s="106"/>
      <c r="AP982" s="106"/>
      <c r="AQ982" s="31"/>
      <c r="AR982" s="31"/>
      <c r="AS982" s="31"/>
      <c r="AT982" s="30"/>
      <c r="AU982" s="30"/>
      <c r="AV982" s="106"/>
      <c r="AW982" s="106"/>
      <c r="AX982" s="106"/>
      <c r="AY982" s="106"/>
      <c r="AZ982" s="106"/>
      <c r="BA982" s="106"/>
      <c r="BB982" s="107"/>
      <c r="BC982" s="105"/>
      <c r="BD982" s="105"/>
      <c r="BE982" s="105"/>
      <c r="BF982" s="107"/>
      <c r="BG982" s="160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7"/>
      <c r="BV982" s="107"/>
      <c r="BW982" s="107"/>
      <c r="BX982" s="107"/>
      <c r="BY982" s="107"/>
      <c r="BZ982" s="107"/>
      <c r="CA982" s="107"/>
      <c r="CB982" s="107"/>
      <c r="CC982" s="107"/>
      <c r="CD982" s="107"/>
      <c r="CE982" s="106"/>
      <c r="CF982" s="106"/>
      <c r="CG982" s="106"/>
      <c r="CH982" s="106"/>
      <c r="CI982" s="106"/>
      <c r="CJ982" s="138"/>
      <c r="CK982" s="138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K982" s="1"/>
      <c r="EL982" s="106"/>
      <c r="EM982" s="106"/>
      <c r="EN982" s="1"/>
      <c r="EO982" s="106"/>
      <c r="EP982" s="1"/>
      <c r="EQ982" s="1"/>
      <c r="ER982" s="1"/>
      <c r="ES982" s="108"/>
    </row>
    <row r="983" spans="9:149">
      <c r="I983" s="137"/>
      <c r="J983" s="138"/>
      <c r="K983" s="1"/>
      <c r="L983" s="1"/>
      <c r="Q983" s="1"/>
      <c r="R983" s="1"/>
      <c r="S983" s="106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55"/>
      <c r="AN983" s="106"/>
      <c r="AO983" s="106"/>
      <c r="AP983" s="106"/>
      <c r="AQ983" s="31"/>
      <c r="AR983" s="31"/>
      <c r="AS983" s="31"/>
      <c r="AT983" s="30"/>
      <c r="AU983" s="30"/>
      <c r="AV983" s="106"/>
      <c r="AW983" s="106"/>
      <c r="AX983" s="106"/>
      <c r="AY983" s="106"/>
      <c r="AZ983" s="106"/>
      <c r="BA983" s="106"/>
      <c r="BB983" s="107"/>
      <c r="BC983" s="105"/>
      <c r="BD983" s="105"/>
      <c r="BE983" s="105"/>
      <c r="BF983" s="107"/>
      <c r="BG983" s="160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7"/>
      <c r="BV983" s="107"/>
      <c r="BW983" s="107"/>
      <c r="BX983" s="107"/>
      <c r="BY983" s="107"/>
      <c r="BZ983" s="107"/>
      <c r="CA983" s="107"/>
      <c r="CB983" s="107"/>
      <c r="CC983" s="107"/>
      <c r="CD983" s="107"/>
      <c r="CE983" s="106"/>
      <c r="CF983" s="106"/>
      <c r="CG983" s="106"/>
      <c r="CH983" s="106"/>
      <c r="CI983" s="106"/>
      <c r="CJ983" s="138"/>
      <c r="CK983" s="138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K983" s="1"/>
      <c r="EL983" s="106"/>
      <c r="EM983" s="106"/>
      <c r="EN983" s="1"/>
      <c r="EO983" s="106"/>
      <c r="EP983" s="1"/>
      <c r="EQ983" s="1"/>
      <c r="ER983" s="1"/>
      <c r="ES983" s="108"/>
    </row>
    <row r="984" spans="9:149">
      <c r="I984" s="137"/>
      <c r="J984" s="138"/>
      <c r="K984" s="1"/>
      <c r="L984" s="1"/>
      <c r="Q984" s="1"/>
      <c r="R984" s="1"/>
      <c r="S984" s="106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55"/>
      <c r="AN984" s="106"/>
      <c r="AO984" s="106"/>
      <c r="AP984" s="106"/>
      <c r="AQ984" s="31"/>
      <c r="AR984" s="31"/>
      <c r="AS984" s="31"/>
      <c r="AT984" s="30"/>
      <c r="AU984" s="30"/>
      <c r="AV984" s="106"/>
      <c r="AW984" s="106"/>
      <c r="AX984" s="106"/>
      <c r="AY984" s="106"/>
      <c r="AZ984" s="106"/>
      <c r="BA984" s="106"/>
      <c r="BB984" s="107"/>
      <c r="BC984" s="105"/>
      <c r="BD984" s="105"/>
      <c r="BE984" s="105"/>
      <c r="BF984" s="107"/>
      <c r="BG984" s="160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7"/>
      <c r="BV984" s="107"/>
      <c r="BW984" s="107"/>
      <c r="BX984" s="107"/>
      <c r="BY984" s="107"/>
      <c r="BZ984" s="107"/>
      <c r="CA984" s="107"/>
      <c r="CB984" s="107"/>
      <c r="CC984" s="107"/>
      <c r="CD984" s="107"/>
      <c r="CE984" s="106"/>
      <c r="CF984" s="106"/>
      <c r="CG984" s="106"/>
      <c r="CH984" s="106"/>
      <c r="CI984" s="106"/>
      <c r="CJ984" s="138"/>
      <c r="CK984" s="138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K984" s="1"/>
      <c r="EL984" s="106"/>
      <c r="EM984" s="106"/>
      <c r="EN984" s="1"/>
      <c r="EO984" s="106"/>
      <c r="EP984" s="1"/>
      <c r="EQ984" s="1"/>
      <c r="ER984" s="1"/>
      <c r="ES984" s="108"/>
    </row>
    <row r="985" spans="9:149">
      <c r="I985" s="137"/>
      <c r="J985" s="138"/>
      <c r="K985" s="1"/>
      <c r="L985" s="1"/>
      <c r="Q985" s="1"/>
      <c r="R985" s="1"/>
      <c r="S985" s="106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55"/>
      <c r="AN985" s="106"/>
      <c r="AO985" s="106"/>
      <c r="AP985" s="106"/>
      <c r="AQ985" s="31"/>
      <c r="AR985" s="31"/>
      <c r="AS985" s="31"/>
      <c r="AT985" s="30"/>
      <c r="AU985" s="30"/>
      <c r="AV985" s="106"/>
      <c r="AW985" s="106"/>
      <c r="AX985" s="106"/>
      <c r="AY985" s="106"/>
      <c r="AZ985" s="106"/>
      <c r="BA985" s="106"/>
      <c r="BB985" s="107"/>
      <c r="BC985" s="105"/>
      <c r="BD985" s="105"/>
      <c r="BE985" s="105"/>
      <c r="BF985" s="107"/>
      <c r="BG985" s="160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7"/>
      <c r="BV985" s="107"/>
      <c r="BW985" s="107"/>
      <c r="BX985" s="107"/>
      <c r="BY985" s="107"/>
      <c r="BZ985" s="107"/>
      <c r="CA985" s="107"/>
      <c r="CB985" s="107"/>
      <c r="CC985" s="107"/>
      <c r="CD985" s="107"/>
      <c r="CE985" s="106"/>
      <c r="CF985" s="106"/>
      <c r="CG985" s="106"/>
      <c r="CH985" s="106"/>
      <c r="CI985" s="106"/>
      <c r="CJ985" s="138"/>
      <c r="CK985" s="138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K985" s="1"/>
      <c r="EL985" s="106"/>
      <c r="EM985" s="106"/>
      <c r="EN985" s="1"/>
      <c r="EO985" s="106"/>
      <c r="EP985" s="1"/>
      <c r="EQ985" s="1"/>
      <c r="ER985" s="1"/>
      <c r="ES985" s="108"/>
    </row>
    <row r="986" spans="9:149">
      <c r="I986" s="137"/>
      <c r="J986" s="138"/>
      <c r="K986" s="1"/>
      <c r="L986" s="1"/>
      <c r="Q986" s="1"/>
      <c r="R986" s="1"/>
      <c r="S986" s="106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55"/>
      <c r="AN986" s="106"/>
      <c r="AO986" s="106"/>
      <c r="AP986" s="106"/>
      <c r="AQ986" s="31"/>
      <c r="AR986" s="31"/>
      <c r="AS986" s="31"/>
      <c r="AT986" s="30"/>
      <c r="AU986" s="30"/>
      <c r="AV986" s="106"/>
      <c r="AW986" s="106"/>
      <c r="AX986" s="106"/>
      <c r="AY986" s="106"/>
      <c r="AZ986" s="106"/>
      <c r="BA986" s="106"/>
      <c r="BB986" s="107"/>
      <c r="BC986" s="105"/>
      <c r="BD986" s="105"/>
      <c r="BE986" s="105"/>
      <c r="BF986" s="107"/>
      <c r="BG986" s="160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7"/>
      <c r="BV986" s="107"/>
      <c r="BW986" s="107"/>
      <c r="BX986" s="107"/>
      <c r="BY986" s="107"/>
      <c r="BZ986" s="107"/>
      <c r="CA986" s="107"/>
      <c r="CB986" s="107"/>
      <c r="CC986" s="107"/>
      <c r="CD986" s="107"/>
      <c r="CE986" s="106"/>
      <c r="CF986" s="106"/>
      <c r="CG986" s="106"/>
      <c r="CH986" s="106"/>
      <c r="CI986" s="106"/>
      <c r="CJ986" s="138"/>
      <c r="CK986" s="138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K986" s="1"/>
      <c r="EL986" s="106"/>
      <c r="EM986" s="106"/>
      <c r="EN986" s="1"/>
      <c r="EO986" s="106"/>
      <c r="EP986" s="1"/>
      <c r="EQ986" s="1"/>
      <c r="ER986" s="1"/>
      <c r="ES986" s="108"/>
    </row>
    <row r="987" spans="9:149">
      <c r="I987" s="137"/>
      <c r="J987" s="138"/>
      <c r="K987" s="1"/>
      <c r="L987" s="1"/>
      <c r="Q987" s="1"/>
      <c r="R987" s="1"/>
      <c r="S987" s="106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55"/>
      <c r="AN987" s="106"/>
      <c r="AO987" s="106"/>
      <c r="AP987" s="106"/>
      <c r="AQ987" s="31"/>
      <c r="AR987" s="31"/>
      <c r="AS987" s="31"/>
      <c r="AT987" s="30"/>
      <c r="AU987" s="30"/>
      <c r="AV987" s="106"/>
      <c r="AW987" s="106"/>
      <c r="AX987" s="106"/>
      <c r="AY987" s="106"/>
      <c r="AZ987" s="106"/>
      <c r="BA987" s="106"/>
      <c r="BB987" s="107"/>
      <c r="BC987" s="105"/>
      <c r="BD987" s="105"/>
      <c r="BE987" s="105"/>
      <c r="BF987" s="107"/>
      <c r="BG987" s="160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7"/>
      <c r="BV987" s="107"/>
      <c r="BW987" s="107"/>
      <c r="BX987" s="107"/>
      <c r="BY987" s="107"/>
      <c r="BZ987" s="107"/>
      <c r="CA987" s="107"/>
      <c r="CB987" s="107"/>
      <c r="CC987" s="107"/>
      <c r="CD987" s="107"/>
      <c r="CE987" s="106"/>
      <c r="CF987" s="106"/>
      <c r="CG987" s="106"/>
      <c r="CH987" s="106"/>
      <c r="CI987" s="106"/>
      <c r="CJ987" s="138"/>
      <c r="CK987" s="138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K987" s="1"/>
      <c r="EL987" s="106"/>
      <c r="EM987" s="106"/>
      <c r="EN987" s="1"/>
      <c r="EO987" s="106"/>
      <c r="EP987" s="1"/>
      <c r="EQ987" s="1"/>
      <c r="ER987" s="1"/>
      <c r="ES987" s="108"/>
    </row>
    <row r="988" spans="9:149">
      <c r="I988" s="137"/>
      <c r="J988" s="138"/>
      <c r="K988" s="1"/>
      <c r="L988" s="1"/>
      <c r="Q988" s="1"/>
      <c r="R988" s="1"/>
      <c r="S988" s="106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55"/>
      <c r="AN988" s="106"/>
      <c r="AO988" s="106"/>
      <c r="AP988" s="106"/>
      <c r="AQ988" s="31"/>
      <c r="AR988" s="31"/>
      <c r="AS988" s="31"/>
      <c r="AT988" s="30"/>
      <c r="AU988" s="30"/>
      <c r="AV988" s="106"/>
      <c r="AW988" s="106"/>
      <c r="AX988" s="106"/>
      <c r="AY988" s="106"/>
      <c r="AZ988" s="106"/>
      <c r="BA988" s="106"/>
      <c r="BB988" s="107"/>
      <c r="BC988" s="105"/>
      <c r="BD988" s="105"/>
      <c r="BE988" s="105"/>
      <c r="BF988" s="107"/>
      <c r="BG988" s="160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7"/>
      <c r="BV988" s="107"/>
      <c r="BW988" s="107"/>
      <c r="BX988" s="107"/>
      <c r="BY988" s="107"/>
      <c r="BZ988" s="107"/>
      <c r="CA988" s="107"/>
      <c r="CB988" s="107"/>
      <c r="CC988" s="107"/>
      <c r="CD988" s="107"/>
      <c r="CE988" s="106"/>
      <c r="CF988" s="106"/>
      <c r="CG988" s="106"/>
      <c r="CH988" s="106"/>
      <c r="CI988" s="106"/>
      <c r="CJ988" s="138"/>
      <c r="CK988" s="138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K988" s="1"/>
      <c r="EL988" s="106"/>
      <c r="EM988" s="106"/>
      <c r="EN988" s="1"/>
      <c r="EO988" s="106"/>
      <c r="EP988" s="1"/>
      <c r="EQ988" s="1"/>
      <c r="ER988" s="1"/>
      <c r="ES988" s="108"/>
    </row>
    <row r="989" spans="9:149">
      <c r="I989" s="137"/>
      <c r="J989" s="138"/>
      <c r="K989" s="1"/>
      <c r="L989" s="1"/>
      <c r="Q989" s="1"/>
      <c r="R989" s="1"/>
      <c r="S989" s="106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55"/>
      <c r="AN989" s="106"/>
      <c r="AO989" s="106"/>
      <c r="AP989" s="106"/>
      <c r="AQ989" s="31"/>
      <c r="AR989" s="31"/>
      <c r="AS989" s="31"/>
      <c r="AT989" s="30"/>
      <c r="AU989" s="30"/>
      <c r="AV989" s="106"/>
      <c r="AW989" s="106"/>
      <c r="AX989" s="106"/>
      <c r="AY989" s="106"/>
      <c r="AZ989" s="106"/>
      <c r="BA989" s="106"/>
      <c r="BB989" s="107"/>
      <c r="BC989" s="105"/>
      <c r="BD989" s="105"/>
      <c r="BE989" s="105"/>
      <c r="BF989" s="107"/>
      <c r="BG989" s="160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7"/>
      <c r="BV989" s="107"/>
      <c r="BW989" s="107"/>
      <c r="BX989" s="107"/>
      <c r="BY989" s="107"/>
      <c r="BZ989" s="107"/>
      <c r="CA989" s="107"/>
      <c r="CB989" s="107"/>
      <c r="CC989" s="107"/>
      <c r="CD989" s="107"/>
      <c r="CE989" s="106"/>
      <c r="CF989" s="106"/>
      <c r="CG989" s="106"/>
      <c r="CH989" s="106"/>
      <c r="CI989" s="106"/>
      <c r="CJ989" s="138"/>
      <c r="CK989" s="138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K989" s="1"/>
      <c r="EL989" s="106"/>
      <c r="EM989" s="106"/>
      <c r="EN989" s="1"/>
      <c r="EO989" s="106"/>
      <c r="EP989" s="1"/>
      <c r="EQ989" s="1"/>
      <c r="ER989" s="1"/>
      <c r="ES989" s="108"/>
    </row>
    <row r="990" spans="9:149">
      <c r="I990" s="137"/>
      <c r="J990" s="138"/>
      <c r="K990" s="1"/>
      <c r="L990" s="1"/>
      <c r="Q990" s="1"/>
      <c r="R990" s="1"/>
      <c r="S990" s="106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55"/>
      <c r="AN990" s="106"/>
      <c r="AO990" s="106"/>
      <c r="AP990" s="106"/>
      <c r="AQ990" s="31"/>
      <c r="AR990" s="31"/>
      <c r="AS990" s="31"/>
      <c r="AT990" s="30"/>
      <c r="AU990" s="30"/>
      <c r="AV990" s="106"/>
      <c r="AW990" s="106"/>
      <c r="AX990" s="106"/>
      <c r="AY990" s="106"/>
      <c r="AZ990" s="106"/>
      <c r="BA990" s="106"/>
      <c r="BB990" s="107"/>
      <c r="BC990" s="105"/>
      <c r="BD990" s="105"/>
      <c r="BE990" s="105"/>
      <c r="BF990" s="107"/>
      <c r="BG990" s="160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7"/>
      <c r="BV990" s="107"/>
      <c r="BW990" s="107"/>
      <c r="BX990" s="107"/>
      <c r="BY990" s="107"/>
      <c r="BZ990" s="107"/>
      <c r="CA990" s="107"/>
      <c r="CB990" s="107"/>
      <c r="CC990" s="107"/>
      <c r="CD990" s="107"/>
      <c r="CE990" s="106"/>
      <c r="CF990" s="106"/>
      <c r="CG990" s="106"/>
      <c r="CH990" s="106"/>
      <c r="CI990" s="106"/>
      <c r="CJ990" s="138"/>
      <c r="CK990" s="138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K990" s="1"/>
      <c r="EL990" s="106"/>
      <c r="EM990" s="106"/>
      <c r="EN990" s="1"/>
      <c r="EO990" s="106"/>
      <c r="EP990" s="1"/>
      <c r="EQ990" s="1"/>
      <c r="ER990" s="1"/>
      <c r="ES990" s="108"/>
    </row>
    <row r="991" spans="9:149">
      <c r="I991" s="137"/>
      <c r="J991" s="138"/>
      <c r="K991" s="1"/>
      <c r="L991" s="1"/>
      <c r="Q991" s="1"/>
      <c r="R991" s="1"/>
      <c r="S991" s="106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55"/>
      <c r="AN991" s="106"/>
      <c r="AO991" s="106"/>
      <c r="AP991" s="106"/>
      <c r="AQ991" s="31"/>
      <c r="AR991" s="31"/>
      <c r="AS991" s="31"/>
      <c r="AT991" s="30"/>
      <c r="AU991" s="30"/>
      <c r="AV991" s="106"/>
      <c r="AW991" s="106"/>
      <c r="AX991" s="106"/>
      <c r="AY991" s="106"/>
      <c r="AZ991" s="106"/>
      <c r="BA991" s="106"/>
      <c r="BB991" s="107"/>
      <c r="BC991" s="105"/>
      <c r="BD991" s="105"/>
      <c r="BE991" s="105"/>
      <c r="BF991" s="107"/>
      <c r="BG991" s="160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7"/>
      <c r="BV991" s="107"/>
      <c r="BW991" s="107"/>
      <c r="BX991" s="107"/>
      <c r="BY991" s="107"/>
      <c r="BZ991" s="107"/>
      <c r="CA991" s="107"/>
      <c r="CB991" s="107"/>
      <c r="CC991" s="107"/>
      <c r="CD991" s="107"/>
      <c r="CE991" s="106"/>
      <c r="CF991" s="106"/>
      <c r="CG991" s="106"/>
      <c r="CH991" s="106"/>
      <c r="CI991" s="106"/>
      <c r="CJ991" s="138"/>
      <c r="CK991" s="138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K991" s="1"/>
      <c r="EL991" s="106"/>
      <c r="EM991" s="106"/>
      <c r="EN991" s="1"/>
      <c r="EO991" s="106"/>
      <c r="EP991" s="1"/>
      <c r="EQ991" s="1"/>
      <c r="ER991" s="1"/>
      <c r="ES991" s="108"/>
    </row>
    <row r="992" spans="9:149">
      <c r="I992" s="137"/>
      <c r="J992" s="138"/>
      <c r="K992" s="1"/>
      <c r="L992" s="1"/>
      <c r="Q992" s="1"/>
      <c r="R992" s="1"/>
      <c r="S992" s="106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55"/>
      <c r="AN992" s="106"/>
      <c r="AO992" s="106"/>
      <c r="AP992" s="106"/>
      <c r="AQ992" s="31"/>
      <c r="AR992" s="31"/>
      <c r="AS992" s="31"/>
      <c r="AT992" s="30"/>
      <c r="AU992" s="30"/>
      <c r="AV992" s="106"/>
      <c r="AW992" s="106"/>
      <c r="AX992" s="106"/>
      <c r="AY992" s="106"/>
      <c r="AZ992" s="106"/>
      <c r="BA992" s="106"/>
      <c r="BB992" s="107"/>
      <c r="BC992" s="105"/>
      <c r="BD992" s="105"/>
      <c r="BE992" s="105"/>
      <c r="BF992" s="107"/>
      <c r="BG992" s="160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7"/>
      <c r="BV992" s="107"/>
      <c r="BW992" s="107"/>
      <c r="BX992" s="107"/>
      <c r="BY992" s="107"/>
      <c r="BZ992" s="107"/>
      <c r="CA992" s="107"/>
      <c r="CB992" s="107"/>
      <c r="CC992" s="107"/>
      <c r="CD992" s="107"/>
      <c r="CE992" s="106"/>
      <c r="CF992" s="106"/>
      <c r="CG992" s="106"/>
      <c r="CH992" s="106"/>
      <c r="CI992" s="106"/>
      <c r="CJ992" s="138"/>
      <c r="CK992" s="138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K992" s="1"/>
      <c r="EL992" s="106"/>
      <c r="EM992" s="106"/>
      <c r="EN992" s="1"/>
      <c r="EO992" s="106"/>
      <c r="EP992" s="1"/>
      <c r="EQ992" s="1"/>
      <c r="ER992" s="1"/>
      <c r="ES992" s="108"/>
    </row>
    <row r="993" spans="9:149">
      <c r="I993" s="137"/>
      <c r="J993" s="138"/>
      <c r="K993" s="1"/>
      <c r="L993" s="1"/>
      <c r="Q993" s="1"/>
      <c r="R993" s="1"/>
      <c r="S993" s="106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55"/>
      <c r="AN993" s="106"/>
      <c r="AO993" s="106"/>
      <c r="AP993" s="106"/>
      <c r="AQ993" s="31"/>
      <c r="AR993" s="31"/>
      <c r="AS993" s="31"/>
      <c r="AT993" s="30"/>
      <c r="AU993" s="30"/>
      <c r="AV993" s="106"/>
      <c r="AW993" s="106"/>
      <c r="AX993" s="106"/>
      <c r="AY993" s="106"/>
      <c r="AZ993" s="106"/>
      <c r="BA993" s="106"/>
      <c r="BB993" s="107"/>
      <c r="BC993" s="105"/>
      <c r="BD993" s="105"/>
      <c r="BE993" s="105"/>
      <c r="BF993" s="107"/>
      <c r="BG993" s="160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7"/>
      <c r="BV993" s="107"/>
      <c r="BW993" s="107"/>
      <c r="BX993" s="107"/>
      <c r="BY993" s="107"/>
      <c r="BZ993" s="107"/>
      <c r="CA993" s="107"/>
      <c r="CB993" s="107"/>
      <c r="CC993" s="107"/>
      <c r="CD993" s="107"/>
      <c r="CE993" s="106"/>
      <c r="CF993" s="106"/>
      <c r="CG993" s="106"/>
      <c r="CH993" s="106"/>
      <c r="CI993" s="106"/>
      <c r="CJ993" s="138"/>
      <c r="CK993" s="138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K993" s="1"/>
      <c r="EL993" s="106"/>
      <c r="EM993" s="106"/>
      <c r="EN993" s="1"/>
      <c r="EO993" s="106"/>
      <c r="EP993" s="1"/>
      <c r="EQ993" s="1"/>
      <c r="ER993" s="1"/>
      <c r="ES993" s="108"/>
    </row>
    <row r="994" spans="9:149">
      <c r="I994" s="137"/>
      <c r="J994" s="138"/>
      <c r="K994" s="1"/>
      <c r="L994" s="1"/>
      <c r="Q994" s="1"/>
      <c r="R994" s="1"/>
      <c r="S994" s="106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55"/>
      <c r="AN994" s="106"/>
      <c r="AO994" s="106"/>
      <c r="AP994" s="106"/>
      <c r="AQ994" s="31"/>
      <c r="AR994" s="31"/>
      <c r="AS994" s="31"/>
      <c r="AT994" s="30"/>
      <c r="AU994" s="30"/>
      <c r="AV994" s="106"/>
      <c r="AW994" s="106"/>
      <c r="AX994" s="106"/>
      <c r="AY994" s="106"/>
      <c r="AZ994" s="106"/>
      <c r="BA994" s="106"/>
      <c r="BB994" s="107"/>
      <c r="BC994" s="105"/>
      <c r="BD994" s="105"/>
      <c r="BE994" s="105"/>
      <c r="BF994" s="107"/>
      <c r="BG994" s="160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7"/>
      <c r="BV994" s="107"/>
      <c r="BW994" s="107"/>
      <c r="BX994" s="107"/>
      <c r="BY994" s="107"/>
      <c r="BZ994" s="107"/>
      <c r="CA994" s="107"/>
      <c r="CB994" s="107"/>
      <c r="CC994" s="107"/>
      <c r="CD994" s="107"/>
      <c r="CE994" s="106"/>
      <c r="CF994" s="106"/>
      <c r="CG994" s="106"/>
      <c r="CH994" s="106"/>
      <c r="CI994" s="106"/>
      <c r="CJ994" s="138"/>
      <c r="CK994" s="138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K994" s="1"/>
      <c r="EL994" s="106"/>
      <c r="EM994" s="106"/>
      <c r="EN994" s="1"/>
      <c r="EO994" s="106"/>
      <c r="EP994" s="1"/>
      <c r="EQ994" s="1"/>
      <c r="ER994" s="1"/>
      <c r="ES994" s="108"/>
    </row>
    <row r="995" spans="9:149">
      <c r="I995" s="137"/>
      <c r="J995" s="138"/>
      <c r="K995" s="1"/>
      <c r="L995" s="1"/>
      <c r="Q995" s="1"/>
      <c r="R995" s="1"/>
      <c r="S995" s="106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55"/>
      <c r="AN995" s="106"/>
      <c r="AO995" s="106"/>
      <c r="AP995" s="106"/>
      <c r="AQ995" s="31"/>
      <c r="AR995" s="31"/>
      <c r="AS995" s="31"/>
      <c r="AT995" s="30"/>
      <c r="AU995" s="30"/>
      <c r="AV995" s="106"/>
      <c r="AW995" s="106"/>
      <c r="AX995" s="106"/>
      <c r="AY995" s="106"/>
      <c r="AZ995" s="106"/>
      <c r="BA995" s="106"/>
      <c r="BB995" s="107"/>
      <c r="BC995" s="105"/>
      <c r="BD995" s="105"/>
      <c r="BE995" s="105"/>
      <c r="BF995" s="107"/>
      <c r="BG995" s="160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7"/>
      <c r="BV995" s="107"/>
      <c r="BW995" s="107"/>
      <c r="BX995" s="107"/>
      <c r="BY995" s="107"/>
      <c r="BZ995" s="107"/>
      <c r="CA995" s="107"/>
      <c r="CB995" s="107"/>
      <c r="CC995" s="107"/>
      <c r="CD995" s="107"/>
      <c r="CE995" s="106"/>
      <c r="CF995" s="106"/>
      <c r="CG995" s="106"/>
      <c r="CH995" s="106"/>
      <c r="CI995" s="106"/>
      <c r="CJ995" s="138"/>
      <c r="CK995" s="138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K995" s="1"/>
      <c r="EL995" s="106"/>
      <c r="EM995" s="106"/>
      <c r="EN995" s="1"/>
      <c r="EO995" s="106"/>
      <c r="EP995" s="1"/>
      <c r="EQ995" s="1"/>
      <c r="ER995" s="1"/>
      <c r="ES995" s="108"/>
    </row>
    <row r="996" spans="9:149">
      <c r="I996" s="137"/>
      <c r="J996" s="138"/>
      <c r="K996" s="1"/>
      <c r="L996" s="1"/>
      <c r="Q996" s="1"/>
      <c r="R996" s="1"/>
      <c r="S996" s="106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55"/>
      <c r="AN996" s="106"/>
      <c r="AO996" s="106"/>
      <c r="AP996" s="106"/>
      <c r="AQ996" s="31"/>
      <c r="AR996" s="31"/>
      <c r="AS996" s="31"/>
      <c r="AT996" s="30"/>
      <c r="AU996" s="30"/>
      <c r="AV996" s="106"/>
      <c r="AW996" s="106"/>
      <c r="AX996" s="106"/>
      <c r="AY996" s="106"/>
      <c r="AZ996" s="106"/>
      <c r="BA996" s="106"/>
      <c r="BB996" s="107"/>
      <c r="BC996" s="105"/>
      <c r="BD996" s="105"/>
      <c r="BE996" s="105"/>
      <c r="BF996" s="107"/>
      <c r="BG996" s="160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7"/>
      <c r="BV996" s="107"/>
      <c r="BW996" s="107"/>
      <c r="BX996" s="107"/>
      <c r="BY996" s="107"/>
      <c r="BZ996" s="107"/>
      <c r="CA996" s="107"/>
      <c r="CB996" s="107"/>
      <c r="CC996" s="107"/>
      <c r="CD996" s="107"/>
      <c r="CE996" s="106"/>
      <c r="CF996" s="106"/>
      <c r="CG996" s="106"/>
      <c r="CH996" s="106"/>
      <c r="CI996" s="106"/>
      <c r="CJ996" s="138"/>
      <c r="CK996" s="138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K996" s="1"/>
      <c r="EL996" s="106"/>
      <c r="EM996" s="106"/>
      <c r="EN996" s="1"/>
      <c r="EO996" s="106"/>
      <c r="EP996" s="1"/>
      <c r="EQ996" s="1"/>
      <c r="ER996" s="1"/>
      <c r="ES996" s="108"/>
    </row>
    <row r="997" spans="9:149">
      <c r="I997" s="137"/>
      <c r="J997" s="138"/>
      <c r="K997" s="1"/>
      <c r="L997" s="1"/>
      <c r="Q997" s="1"/>
      <c r="R997" s="1"/>
      <c r="S997" s="106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55"/>
      <c r="AN997" s="106"/>
      <c r="AO997" s="106"/>
      <c r="AP997" s="106"/>
      <c r="AQ997" s="31"/>
      <c r="AR997" s="31"/>
      <c r="AS997" s="31"/>
      <c r="AT997" s="30"/>
      <c r="AU997" s="30"/>
      <c r="AV997" s="106"/>
      <c r="AW997" s="106"/>
      <c r="AX997" s="106"/>
      <c r="AY997" s="106"/>
      <c r="AZ997" s="106"/>
      <c r="BA997" s="106"/>
      <c r="BB997" s="107"/>
      <c r="BC997" s="105"/>
      <c r="BD997" s="105"/>
      <c r="BE997" s="105"/>
      <c r="BF997" s="107"/>
      <c r="BG997" s="160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7"/>
      <c r="BV997" s="107"/>
      <c r="BW997" s="107"/>
      <c r="BX997" s="107"/>
      <c r="BY997" s="107"/>
      <c r="BZ997" s="107"/>
      <c r="CA997" s="107"/>
      <c r="CB997" s="107"/>
      <c r="CC997" s="107"/>
      <c r="CD997" s="107"/>
      <c r="CE997" s="106"/>
      <c r="CF997" s="106"/>
      <c r="CG997" s="106"/>
      <c r="CH997" s="106"/>
      <c r="CI997" s="106"/>
      <c r="CJ997" s="138"/>
      <c r="CK997" s="138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K997" s="1"/>
      <c r="EL997" s="106"/>
      <c r="EM997" s="106"/>
      <c r="EN997" s="1"/>
      <c r="EO997" s="106"/>
      <c r="EP997" s="1"/>
      <c r="EQ997" s="1"/>
      <c r="ER997" s="1"/>
      <c r="ES997" s="108"/>
    </row>
    <row r="998" spans="9:149">
      <c r="I998" s="137"/>
      <c r="J998" s="138"/>
      <c r="K998" s="1"/>
      <c r="L998" s="1"/>
      <c r="Q998" s="1"/>
      <c r="R998" s="1"/>
      <c r="S998" s="106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55"/>
      <c r="AN998" s="106"/>
      <c r="AO998" s="106"/>
      <c r="AP998" s="106"/>
      <c r="AQ998" s="31"/>
      <c r="AR998" s="31"/>
      <c r="AS998" s="31"/>
      <c r="AT998" s="30"/>
      <c r="AU998" s="30"/>
      <c r="AV998" s="106"/>
      <c r="AW998" s="106"/>
      <c r="AX998" s="106"/>
      <c r="AY998" s="106"/>
      <c r="AZ998" s="106"/>
      <c r="BA998" s="106"/>
      <c r="BB998" s="107"/>
      <c r="BC998" s="105"/>
      <c r="BD998" s="105"/>
      <c r="BE998" s="105"/>
      <c r="BF998" s="107"/>
      <c r="BG998" s="160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7"/>
      <c r="BV998" s="107"/>
      <c r="BW998" s="107"/>
      <c r="BX998" s="107"/>
      <c r="BY998" s="107"/>
      <c r="BZ998" s="107"/>
      <c r="CA998" s="107"/>
      <c r="CB998" s="107"/>
      <c r="CC998" s="107"/>
      <c r="CD998" s="107"/>
      <c r="CE998" s="106"/>
      <c r="CF998" s="106"/>
      <c r="CG998" s="106"/>
      <c r="CH998" s="106"/>
      <c r="CI998" s="106"/>
      <c r="CJ998" s="138"/>
      <c r="CK998" s="138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K998" s="1"/>
      <c r="EL998" s="106"/>
      <c r="EM998" s="106"/>
      <c r="EN998" s="1"/>
      <c r="EO998" s="106"/>
      <c r="EP998" s="1"/>
      <c r="EQ998" s="1"/>
      <c r="ER998" s="1"/>
      <c r="ES998" s="108"/>
    </row>
    <row r="999" spans="9:149">
      <c r="I999" s="137"/>
      <c r="J999" s="138"/>
      <c r="K999" s="1"/>
      <c r="L999" s="1"/>
      <c r="Q999" s="1"/>
      <c r="R999" s="1"/>
      <c r="S999" s="106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55"/>
      <c r="AN999" s="106"/>
      <c r="AO999" s="106"/>
      <c r="AP999" s="106"/>
      <c r="AQ999" s="31"/>
      <c r="AR999" s="31"/>
      <c r="AS999" s="31"/>
      <c r="AT999" s="30"/>
      <c r="AU999" s="30"/>
      <c r="AV999" s="106"/>
      <c r="AW999" s="106"/>
      <c r="AX999" s="106"/>
      <c r="AY999" s="106"/>
      <c r="AZ999" s="106"/>
      <c r="BA999" s="106"/>
      <c r="BB999" s="107"/>
      <c r="BC999" s="105"/>
      <c r="BD999" s="105"/>
      <c r="BE999" s="105"/>
      <c r="BF999" s="107"/>
      <c r="BG999" s="160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7"/>
      <c r="BV999" s="107"/>
      <c r="BW999" s="107"/>
      <c r="BX999" s="107"/>
      <c r="BY999" s="107"/>
      <c r="BZ999" s="107"/>
      <c r="CA999" s="107"/>
      <c r="CB999" s="107"/>
      <c r="CC999" s="107"/>
      <c r="CD999" s="107"/>
      <c r="CE999" s="106"/>
      <c r="CF999" s="106"/>
      <c r="CG999" s="106"/>
      <c r="CH999" s="106"/>
      <c r="CI999" s="106"/>
      <c r="CJ999" s="138"/>
      <c r="CK999" s="138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K999" s="1"/>
      <c r="EL999" s="106"/>
      <c r="EM999" s="106"/>
      <c r="EN999" s="1"/>
      <c r="EO999" s="106"/>
      <c r="EP999" s="1"/>
      <c r="EQ999" s="1"/>
      <c r="ER999" s="1"/>
      <c r="ES999" s="108"/>
    </row>
    <row r="1000" spans="9:149">
      <c r="I1000" s="137"/>
      <c r="J1000" s="138"/>
      <c r="K1000" s="1"/>
      <c r="L1000" s="1"/>
      <c r="Q1000" s="1"/>
      <c r="R1000" s="1"/>
      <c r="S1000" s="106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55"/>
      <c r="AN1000" s="106"/>
      <c r="AO1000" s="106"/>
      <c r="AP1000" s="106"/>
      <c r="AQ1000" s="31"/>
      <c r="AR1000" s="31"/>
      <c r="AS1000" s="31"/>
      <c r="AT1000" s="30"/>
      <c r="AU1000" s="30"/>
      <c r="AV1000" s="106"/>
      <c r="AW1000" s="106"/>
      <c r="AX1000" s="106"/>
      <c r="AY1000" s="106"/>
      <c r="AZ1000" s="106"/>
      <c r="BA1000" s="106"/>
      <c r="BB1000" s="107"/>
      <c r="BC1000" s="105"/>
      <c r="BD1000" s="105"/>
      <c r="BE1000" s="105"/>
      <c r="BF1000" s="107"/>
      <c r="BG1000" s="160"/>
      <c r="BH1000" s="106"/>
      <c r="BI1000" s="106"/>
      <c r="BJ1000" s="106"/>
      <c r="BK1000" s="106"/>
      <c r="BL1000" s="106"/>
      <c r="BM1000" s="106"/>
      <c r="BN1000" s="106"/>
      <c r="BO1000" s="106"/>
      <c r="BP1000" s="106"/>
      <c r="BQ1000" s="106"/>
      <c r="BR1000" s="106"/>
      <c r="BS1000" s="106"/>
      <c r="BT1000" s="106"/>
      <c r="BU1000" s="107"/>
      <c r="BV1000" s="107"/>
      <c r="BW1000" s="107"/>
      <c r="BX1000" s="107"/>
      <c r="BY1000" s="107"/>
      <c r="BZ1000" s="107"/>
      <c r="CA1000" s="107"/>
      <c r="CB1000" s="107"/>
      <c r="CC1000" s="107"/>
      <c r="CD1000" s="107"/>
      <c r="CE1000" s="106"/>
      <c r="CF1000" s="106"/>
      <c r="CG1000" s="106"/>
      <c r="CH1000" s="106"/>
      <c r="CI1000" s="106"/>
      <c r="CJ1000" s="138"/>
      <c r="CK1000" s="138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K1000" s="1"/>
      <c r="EL1000" s="106"/>
      <c r="EM1000" s="106"/>
      <c r="EN1000" s="1"/>
      <c r="EO1000" s="106"/>
      <c r="EP1000" s="1"/>
      <c r="EQ1000" s="1"/>
      <c r="ER1000" s="1"/>
      <c r="ES1000" s="108"/>
    </row>
    <row r="1001" spans="9:149">
      <c r="I1001" s="137"/>
      <c r="J1001" s="138"/>
      <c r="K1001" s="1"/>
      <c r="L1001" s="1"/>
      <c r="Q1001" s="1"/>
      <c r="R1001" s="1"/>
      <c r="S1001" s="106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55"/>
      <c r="AN1001" s="106"/>
      <c r="AO1001" s="106"/>
      <c r="AP1001" s="106"/>
      <c r="AQ1001" s="31"/>
      <c r="AR1001" s="31"/>
      <c r="AS1001" s="31"/>
      <c r="AT1001" s="30"/>
      <c r="AU1001" s="30"/>
      <c r="AV1001" s="106"/>
      <c r="AW1001" s="106"/>
      <c r="AX1001" s="106"/>
      <c r="AY1001" s="106"/>
      <c r="AZ1001" s="106"/>
      <c r="BA1001" s="106"/>
      <c r="BB1001" s="107"/>
      <c r="BC1001" s="105"/>
      <c r="BD1001" s="105"/>
      <c r="BE1001" s="105"/>
      <c r="BF1001" s="107"/>
      <c r="BG1001" s="160"/>
      <c r="BH1001" s="106"/>
      <c r="BI1001" s="106"/>
      <c r="BJ1001" s="106"/>
      <c r="BK1001" s="106"/>
      <c r="BL1001" s="106"/>
      <c r="BM1001" s="106"/>
      <c r="BN1001" s="106"/>
      <c r="BO1001" s="106"/>
      <c r="BP1001" s="106"/>
      <c r="BQ1001" s="106"/>
      <c r="BR1001" s="106"/>
      <c r="BS1001" s="106"/>
      <c r="BT1001" s="106"/>
      <c r="BU1001" s="107"/>
      <c r="BV1001" s="107"/>
      <c r="BW1001" s="107"/>
      <c r="BX1001" s="107"/>
      <c r="BY1001" s="107"/>
      <c r="BZ1001" s="107"/>
      <c r="CA1001" s="107"/>
      <c r="CB1001" s="107"/>
      <c r="CC1001" s="107"/>
      <c r="CD1001" s="107"/>
      <c r="CE1001" s="106"/>
      <c r="CF1001" s="106"/>
      <c r="CG1001" s="106"/>
      <c r="CH1001" s="106"/>
      <c r="CI1001" s="106"/>
      <c r="CJ1001" s="138"/>
      <c r="CK1001" s="138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K1001" s="1"/>
      <c r="EL1001" s="106"/>
      <c r="EM1001" s="106"/>
      <c r="EN1001" s="1"/>
      <c r="EO1001" s="106"/>
      <c r="EP1001" s="1"/>
      <c r="EQ1001" s="1"/>
      <c r="ER1001" s="1"/>
      <c r="ES1001" s="108"/>
    </row>
    <row r="1002" spans="9:149">
      <c r="I1002" s="137"/>
      <c r="J1002" s="138"/>
      <c r="K1002" s="1"/>
      <c r="L1002" s="1"/>
      <c r="Q1002" s="1"/>
      <c r="R1002" s="1"/>
      <c r="S1002" s="106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55"/>
      <c r="AN1002" s="106"/>
      <c r="AO1002" s="106"/>
      <c r="AP1002" s="106"/>
      <c r="AQ1002" s="31"/>
      <c r="AR1002" s="31"/>
      <c r="AS1002" s="31"/>
      <c r="AT1002" s="30"/>
      <c r="AU1002" s="30"/>
      <c r="AV1002" s="106"/>
      <c r="AW1002" s="106"/>
      <c r="AX1002" s="106"/>
      <c r="AY1002" s="106"/>
      <c r="AZ1002" s="106"/>
      <c r="BA1002" s="106"/>
      <c r="BB1002" s="107"/>
      <c r="BC1002" s="105"/>
      <c r="BD1002" s="105"/>
      <c r="BE1002" s="105"/>
      <c r="BF1002" s="107"/>
      <c r="BG1002" s="160"/>
      <c r="BH1002" s="106"/>
      <c r="BI1002" s="106"/>
      <c r="BJ1002" s="106"/>
      <c r="BK1002" s="106"/>
      <c r="BL1002" s="106"/>
      <c r="BM1002" s="106"/>
      <c r="BN1002" s="106"/>
      <c r="BO1002" s="106"/>
      <c r="BP1002" s="106"/>
      <c r="BQ1002" s="106"/>
      <c r="BR1002" s="106"/>
      <c r="BS1002" s="106"/>
      <c r="BT1002" s="106"/>
      <c r="BU1002" s="107"/>
      <c r="BV1002" s="107"/>
      <c r="BW1002" s="107"/>
      <c r="BX1002" s="107"/>
      <c r="BY1002" s="107"/>
      <c r="BZ1002" s="107"/>
      <c r="CA1002" s="107"/>
      <c r="CB1002" s="107"/>
      <c r="CC1002" s="107"/>
      <c r="CD1002" s="107"/>
      <c r="CE1002" s="106"/>
      <c r="CF1002" s="106"/>
      <c r="CG1002" s="106"/>
      <c r="CH1002" s="106"/>
      <c r="CI1002" s="106"/>
      <c r="CJ1002" s="138"/>
      <c r="CK1002" s="138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K1002" s="1"/>
      <c r="EL1002" s="106"/>
      <c r="EM1002" s="106"/>
      <c r="EN1002" s="1"/>
      <c r="EO1002" s="106"/>
      <c r="EP1002" s="1"/>
      <c r="EQ1002" s="1"/>
      <c r="ER1002" s="1"/>
      <c r="ES1002" s="108"/>
    </row>
    <row r="1003" spans="9:149">
      <c r="I1003" s="137"/>
      <c r="J1003" s="138"/>
      <c r="K1003" s="1"/>
      <c r="L1003" s="1"/>
      <c r="Q1003" s="1"/>
      <c r="R1003" s="1"/>
      <c r="S1003" s="106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55"/>
      <c r="AN1003" s="106"/>
      <c r="AO1003" s="106"/>
      <c r="AP1003" s="106"/>
      <c r="AQ1003" s="31"/>
      <c r="AR1003" s="31"/>
      <c r="AS1003" s="31"/>
      <c r="AT1003" s="30"/>
      <c r="AU1003" s="30"/>
      <c r="AV1003" s="106"/>
      <c r="AW1003" s="106"/>
      <c r="AX1003" s="106"/>
      <c r="AY1003" s="106"/>
      <c r="AZ1003" s="106"/>
      <c r="BA1003" s="106"/>
      <c r="BB1003" s="107"/>
      <c r="BC1003" s="105"/>
      <c r="BD1003" s="105"/>
      <c r="BE1003" s="105"/>
      <c r="BF1003" s="107"/>
      <c r="BG1003" s="160"/>
      <c r="BH1003" s="106"/>
      <c r="BI1003" s="106"/>
      <c r="BJ1003" s="106"/>
      <c r="BK1003" s="106"/>
      <c r="BL1003" s="106"/>
      <c r="BM1003" s="106"/>
      <c r="BN1003" s="106"/>
      <c r="BO1003" s="106"/>
      <c r="BP1003" s="106"/>
      <c r="BQ1003" s="106"/>
      <c r="BR1003" s="106"/>
      <c r="BS1003" s="106"/>
      <c r="BT1003" s="106"/>
      <c r="BU1003" s="107"/>
      <c r="BV1003" s="107"/>
      <c r="BW1003" s="107"/>
      <c r="BX1003" s="107"/>
      <c r="BY1003" s="107"/>
      <c r="BZ1003" s="107"/>
      <c r="CA1003" s="107"/>
      <c r="CB1003" s="107"/>
      <c r="CC1003" s="107"/>
      <c r="CD1003" s="107"/>
      <c r="CE1003" s="106"/>
      <c r="CF1003" s="106"/>
      <c r="CG1003" s="106"/>
      <c r="CH1003" s="106"/>
      <c r="CI1003" s="106"/>
      <c r="CJ1003" s="138"/>
      <c r="CK1003" s="138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K1003" s="1"/>
      <c r="EL1003" s="106"/>
      <c r="EM1003" s="106"/>
      <c r="EN1003" s="1"/>
      <c r="EO1003" s="106"/>
      <c r="EP1003" s="1"/>
      <c r="EQ1003" s="1"/>
      <c r="ER1003" s="1"/>
      <c r="ES1003" s="108"/>
    </row>
    <row r="1004" spans="9:149">
      <c r="I1004" s="137"/>
      <c r="J1004" s="138"/>
      <c r="K1004" s="1"/>
      <c r="L1004" s="1"/>
      <c r="Q1004" s="1"/>
      <c r="R1004" s="1"/>
      <c r="S1004" s="106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55"/>
      <c r="AN1004" s="106"/>
      <c r="AO1004" s="106"/>
      <c r="AP1004" s="106"/>
      <c r="AQ1004" s="31"/>
      <c r="AR1004" s="31"/>
      <c r="AS1004" s="31"/>
      <c r="AT1004" s="30"/>
      <c r="AU1004" s="30"/>
      <c r="AV1004" s="106"/>
      <c r="AW1004" s="106"/>
      <c r="AX1004" s="106"/>
      <c r="AY1004" s="106"/>
      <c r="AZ1004" s="106"/>
      <c r="BA1004" s="106"/>
      <c r="BB1004" s="107"/>
      <c r="BC1004" s="105"/>
      <c r="BD1004" s="105"/>
      <c r="BE1004" s="105"/>
      <c r="BF1004" s="107"/>
      <c r="BG1004" s="160"/>
      <c r="BH1004" s="106"/>
      <c r="BI1004" s="106"/>
      <c r="BJ1004" s="106"/>
      <c r="BK1004" s="106"/>
      <c r="BL1004" s="106"/>
      <c r="BM1004" s="106"/>
      <c r="BN1004" s="106"/>
      <c r="BO1004" s="106"/>
      <c r="BP1004" s="106"/>
      <c r="BQ1004" s="106"/>
      <c r="BR1004" s="106"/>
      <c r="BS1004" s="106"/>
      <c r="BT1004" s="106"/>
      <c r="BU1004" s="107"/>
      <c r="BV1004" s="107"/>
      <c r="BW1004" s="107"/>
      <c r="BX1004" s="107"/>
      <c r="BY1004" s="107"/>
      <c r="BZ1004" s="107"/>
      <c r="CA1004" s="107"/>
      <c r="CB1004" s="107"/>
      <c r="CC1004" s="107"/>
      <c r="CD1004" s="107"/>
      <c r="CE1004" s="106"/>
      <c r="CF1004" s="106"/>
      <c r="CG1004" s="106"/>
      <c r="CH1004" s="106"/>
      <c r="CI1004" s="106"/>
      <c r="CJ1004" s="138"/>
      <c r="CK1004" s="138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K1004" s="1"/>
      <c r="EL1004" s="106"/>
      <c r="EM1004" s="106"/>
      <c r="EN1004" s="1"/>
      <c r="EO1004" s="106"/>
      <c r="EP1004" s="1"/>
      <c r="EQ1004" s="1"/>
      <c r="ER1004" s="1"/>
      <c r="ES1004" s="108"/>
    </row>
    <row r="1005" spans="9:149">
      <c r="I1005" s="137"/>
      <c r="J1005" s="138"/>
      <c r="K1005" s="1"/>
      <c r="L1005" s="1"/>
      <c r="Q1005" s="1"/>
      <c r="R1005" s="1"/>
      <c r="S1005" s="106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55"/>
      <c r="AN1005" s="106"/>
      <c r="AO1005" s="106"/>
      <c r="AP1005" s="106"/>
      <c r="AQ1005" s="31"/>
      <c r="AR1005" s="31"/>
      <c r="AS1005" s="31"/>
      <c r="AT1005" s="30"/>
      <c r="AU1005" s="30"/>
      <c r="AV1005" s="106"/>
      <c r="AW1005" s="106"/>
      <c r="AX1005" s="106"/>
      <c r="AY1005" s="106"/>
      <c r="AZ1005" s="106"/>
      <c r="BA1005" s="106"/>
      <c r="BB1005" s="107"/>
      <c r="BC1005" s="105"/>
      <c r="BD1005" s="105"/>
      <c r="BE1005" s="105"/>
      <c r="BF1005" s="107"/>
      <c r="BG1005" s="160"/>
      <c r="BH1005" s="106"/>
      <c r="BI1005" s="106"/>
      <c r="BJ1005" s="106"/>
      <c r="BK1005" s="106"/>
      <c r="BL1005" s="106"/>
      <c r="BM1005" s="106"/>
      <c r="BN1005" s="106"/>
      <c r="BO1005" s="106"/>
      <c r="BP1005" s="106"/>
      <c r="BQ1005" s="106"/>
      <c r="BR1005" s="106"/>
      <c r="BS1005" s="106"/>
      <c r="BT1005" s="106"/>
      <c r="BU1005" s="107"/>
      <c r="BV1005" s="107"/>
      <c r="BW1005" s="107"/>
      <c r="BX1005" s="107"/>
      <c r="BY1005" s="107"/>
      <c r="BZ1005" s="107"/>
      <c r="CA1005" s="107"/>
      <c r="CB1005" s="107"/>
      <c r="CC1005" s="107"/>
      <c r="CD1005" s="107"/>
      <c r="CE1005" s="106"/>
      <c r="CF1005" s="106"/>
      <c r="CG1005" s="106"/>
      <c r="CH1005" s="106"/>
      <c r="CI1005" s="106"/>
      <c r="CJ1005" s="138"/>
      <c r="CK1005" s="138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K1005" s="1"/>
      <c r="EL1005" s="106"/>
      <c r="EM1005" s="106"/>
      <c r="EN1005" s="1"/>
      <c r="EO1005" s="106"/>
      <c r="EP1005" s="1"/>
      <c r="EQ1005" s="1"/>
      <c r="ER1005" s="1"/>
      <c r="ES1005" s="108"/>
    </row>
    <row r="1006" spans="9:149">
      <c r="I1006" s="137"/>
      <c r="J1006" s="138"/>
      <c r="K1006" s="1"/>
      <c r="L1006" s="1"/>
      <c r="Q1006" s="1"/>
      <c r="R1006" s="1"/>
      <c r="S1006" s="106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55"/>
      <c r="AN1006" s="106"/>
      <c r="AO1006" s="106"/>
      <c r="AP1006" s="106"/>
      <c r="AQ1006" s="31"/>
      <c r="AR1006" s="31"/>
      <c r="AS1006" s="31"/>
      <c r="AT1006" s="30"/>
      <c r="AU1006" s="30"/>
      <c r="AV1006" s="106"/>
      <c r="AW1006" s="106"/>
      <c r="AX1006" s="106"/>
      <c r="AY1006" s="106"/>
      <c r="AZ1006" s="106"/>
      <c r="BA1006" s="106"/>
      <c r="BB1006" s="107"/>
      <c r="BC1006" s="105"/>
      <c r="BD1006" s="105"/>
      <c r="BE1006" s="105"/>
      <c r="BF1006" s="107"/>
      <c r="BG1006" s="160"/>
      <c r="BH1006" s="106"/>
      <c r="BI1006" s="106"/>
      <c r="BJ1006" s="106"/>
      <c r="BK1006" s="106"/>
      <c r="BL1006" s="106"/>
      <c r="BM1006" s="106"/>
      <c r="BN1006" s="106"/>
      <c r="BO1006" s="106"/>
      <c r="BP1006" s="106"/>
      <c r="BQ1006" s="106"/>
      <c r="BR1006" s="106"/>
      <c r="BS1006" s="106"/>
      <c r="BT1006" s="106"/>
      <c r="BU1006" s="107"/>
      <c r="BV1006" s="107"/>
      <c r="BW1006" s="107"/>
      <c r="BX1006" s="107"/>
      <c r="BY1006" s="107"/>
      <c r="BZ1006" s="107"/>
      <c r="CA1006" s="107"/>
      <c r="CB1006" s="107"/>
      <c r="CC1006" s="107"/>
      <c r="CD1006" s="107"/>
      <c r="CE1006" s="106"/>
      <c r="CF1006" s="106"/>
      <c r="CG1006" s="106"/>
      <c r="CH1006" s="106"/>
      <c r="CI1006" s="106"/>
      <c r="CJ1006" s="138"/>
      <c r="CK1006" s="138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K1006" s="1"/>
      <c r="EL1006" s="106"/>
      <c r="EM1006" s="106"/>
      <c r="EN1006" s="1"/>
      <c r="EO1006" s="106"/>
      <c r="EP1006" s="1"/>
      <c r="EQ1006" s="1"/>
      <c r="ER1006" s="1"/>
      <c r="ES1006" s="108"/>
    </row>
    <row r="1007" spans="9:149">
      <c r="I1007" s="137"/>
      <c r="J1007" s="138"/>
      <c r="K1007" s="1"/>
      <c r="L1007" s="1"/>
      <c r="Q1007" s="1"/>
      <c r="R1007" s="1"/>
      <c r="S1007" s="106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55"/>
      <c r="AN1007" s="106"/>
      <c r="AO1007" s="106"/>
      <c r="AP1007" s="106"/>
      <c r="AQ1007" s="31"/>
      <c r="AR1007" s="31"/>
      <c r="AS1007" s="31"/>
      <c r="AT1007" s="30"/>
      <c r="AU1007" s="30"/>
      <c r="AV1007" s="106"/>
      <c r="AW1007" s="106"/>
      <c r="AX1007" s="106"/>
      <c r="AY1007" s="106"/>
      <c r="AZ1007" s="106"/>
      <c r="BA1007" s="106"/>
      <c r="BB1007" s="107"/>
      <c r="BC1007" s="105"/>
      <c r="BD1007" s="105"/>
      <c r="BE1007" s="105"/>
      <c r="BF1007" s="107"/>
      <c r="BG1007" s="160"/>
      <c r="BH1007" s="106"/>
      <c r="BI1007" s="106"/>
      <c r="BJ1007" s="106"/>
      <c r="BK1007" s="106"/>
      <c r="BL1007" s="106"/>
      <c r="BM1007" s="106"/>
      <c r="BN1007" s="106"/>
      <c r="BO1007" s="106"/>
      <c r="BP1007" s="106"/>
      <c r="BQ1007" s="106"/>
      <c r="BR1007" s="106"/>
      <c r="BS1007" s="106"/>
      <c r="BT1007" s="106"/>
      <c r="BU1007" s="107"/>
      <c r="BV1007" s="107"/>
      <c r="BW1007" s="107"/>
      <c r="BX1007" s="107"/>
      <c r="BY1007" s="107"/>
      <c r="BZ1007" s="107"/>
      <c r="CA1007" s="107"/>
      <c r="CB1007" s="107"/>
      <c r="CC1007" s="107"/>
      <c r="CD1007" s="107"/>
      <c r="CE1007" s="106"/>
      <c r="CF1007" s="106"/>
      <c r="CG1007" s="106"/>
      <c r="CH1007" s="106"/>
      <c r="CI1007" s="106"/>
      <c r="CJ1007" s="138"/>
      <c r="CK1007" s="138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K1007" s="1"/>
      <c r="EL1007" s="106"/>
      <c r="EM1007" s="106"/>
      <c r="EN1007" s="1"/>
      <c r="EO1007" s="106"/>
      <c r="EP1007" s="1"/>
      <c r="EQ1007" s="1"/>
      <c r="ER1007" s="1"/>
      <c r="ES1007" s="108"/>
    </row>
    <row r="1008" spans="9:149">
      <c r="I1008" s="137"/>
      <c r="J1008" s="138"/>
      <c r="K1008" s="1"/>
      <c r="L1008" s="1"/>
      <c r="Q1008" s="1"/>
      <c r="R1008" s="1"/>
      <c r="S1008" s="106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55"/>
      <c r="AN1008" s="106"/>
      <c r="AO1008" s="106"/>
      <c r="AP1008" s="106"/>
      <c r="AQ1008" s="31"/>
      <c r="AR1008" s="31"/>
      <c r="AS1008" s="31"/>
      <c r="AT1008" s="30"/>
      <c r="AU1008" s="30"/>
      <c r="AV1008" s="106"/>
      <c r="AW1008" s="106"/>
      <c r="AX1008" s="106"/>
      <c r="AY1008" s="106"/>
      <c r="AZ1008" s="106"/>
      <c r="BA1008" s="106"/>
      <c r="BB1008" s="107"/>
      <c r="BC1008" s="105"/>
      <c r="BD1008" s="105"/>
      <c r="BE1008" s="105"/>
      <c r="BF1008" s="107"/>
      <c r="BG1008" s="160"/>
      <c r="BH1008" s="106"/>
      <c r="BI1008" s="106"/>
      <c r="BJ1008" s="106"/>
      <c r="BK1008" s="106"/>
      <c r="BL1008" s="106"/>
      <c r="BM1008" s="106"/>
      <c r="BN1008" s="106"/>
      <c r="BO1008" s="106"/>
      <c r="BP1008" s="106"/>
      <c r="BQ1008" s="106"/>
      <c r="BR1008" s="106"/>
      <c r="BS1008" s="106"/>
      <c r="BT1008" s="106"/>
      <c r="BU1008" s="107"/>
      <c r="BV1008" s="107"/>
      <c r="BW1008" s="107"/>
      <c r="BX1008" s="107"/>
      <c r="BY1008" s="107"/>
      <c r="BZ1008" s="107"/>
      <c r="CA1008" s="107"/>
      <c r="CB1008" s="107"/>
      <c r="CC1008" s="107"/>
      <c r="CD1008" s="107"/>
      <c r="CE1008" s="106"/>
      <c r="CF1008" s="106"/>
      <c r="CG1008" s="106"/>
      <c r="CH1008" s="106"/>
      <c r="CI1008" s="106"/>
      <c r="CJ1008" s="138"/>
      <c r="CK1008" s="138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K1008" s="1"/>
      <c r="EL1008" s="106"/>
      <c r="EM1008" s="106"/>
      <c r="EN1008" s="1"/>
      <c r="EO1008" s="106"/>
      <c r="EP1008" s="1"/>
      <c r="EQ1008" s="1"/>
      <c r="ER1008" s="1"/>
      <c r="ES1008" s="108"/>
    </row>
    <row r="1009" spans="9:149">
      <c r="I1009" s="137"/>
      <c r="J1009" s="138"/>
      <c r="K1009" s="1"/>
      <c r="L1009" s="1"/>
      <c r="Q1009" s="1"/>
      <c r="R1009" s="1"/>
      <c r="S1009" s="106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55"/>
      <c r="AN1009" s="106"/>
      <c r="AO1009" s="106"/>
      <c r="AP1009" s="106"/>
      <c r="AQ1009" s="31"/>
      <c r="AR1009" s="31"/>
      <c r="AS1009" s="31"/>
      <c r="AT1009" s="30"/>
      <c r="AU1009" s="30"/>
      <c r="AV1009" s="106"/>
      <c r="AW1009" s="106"/>
      <c r="AX1009" s="106"/>
      <c r="AY1009" s="106"/>
      <c r="AZ1009" s="106"/>
      <c r="BA1009" s="106"/>
      <c r="BB1009" s="107"/>
      <c r="BC1009" s="105"/>
      <c r="BD1009" s="105"/>
      <c r="BE1009" s="105"/>
      <c r="BF1009" s="107"/>
      <c r="BG1009" s="160"/>
      <c r="BH1009" s="106"/>
      <c r="BI1009" s="106"/>
      <c r="BJ1009" s="106"/>
      <c r="BK1009" s="106"/>
      <c r="BL1009" s="106"/>
      <c r="BM1009" s="106"/>
      <c r="BN1009" s="106"/>
      <c r="BO1009" s="106"/>
      <c r="BP1009" s="106"/>
      <c r="BQ1009" s="106"/>
      <c r="BR1009" s="106"/>
      <c r="BS1009" s="106"/>
      <c r="BT1009" s="106"/>
      <c r="BU1009" s="107"/>
      <c r="BV1009" s="107"/>
      <c r="BW1009" s="107"/>
      <c r="BX1009" s="107"/>
      <c r="BY1009" s="107"/>
      <c r="BZ1009" s="107"/>
      <c r="CA1009" s="107"/>
      <c r="CB1009" s="107"/>
      <c r="CC1009" s="107"/>
      <c r="CD1009" s="107"/>
      <c r="CE1009" s="106"/>
      <c r="CF1009" s="106"/>
      <c r="CG1009" s="106"/>
      <c r="CH1009" s="106"/>
      <c r="CI1009" s="106"/>
      <c r="CJ1009" s="138"/>
      <c r="CK1009" s="138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K1009" s="1"/>
      <c r="EL1009" s="106"/>
      <c r="EM1009" s="106"/>
      <c r="EN1009" s="1"/>
      <c r="EO1009" s="106"/>
      <c r="EP1009" s="1"/>
      <c r="EQ1009" s="1"/>
      <c r="ER1009" s="1"/>
      <c r="ES1009" s="108"/>
    </row>
    <row r="1010" spans="9:149">
      <c r="I1010" s="137"/>
      <c r="J1010" s="138"/>
      <c r="K1010" s="1"/>
      <c r="L1010" s="1"/>
      <c r="Q1010" s="1"/>
      <c r="R1010" s="1"/>
      <c r="S1010" s="106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55"/>
      <c r="AN1010" s="106"/>
      <c r="AO1010" s="106"/>
      <c r="AP1010" s="106"/>
      <c r="AQ1010" s="31"/>
      <c r="AR1010" s="31"/>
      <c r="AS1010" s="31"/>
      <c r="AT1010" s="30"/>
      <c r="AU1010" s="30"/>
      <c r="AV1010" s="106"/>
      <c r="AW1010" s="106"/>
      <c r="AX1010" s="106"/>
      <c r="AY1010" s="106"/>
      <c r="AZ1010" s="106"/>
      <c r="BA1010" s="106"/>
      <c r="BB1010" s="107"/>
      <c r="BC1010" s="105"/>
      <c r="BD1010" s="105"/>
      <c r="BE1010" s="105"/>
      <c r="BF1010" s="107"/>
      <c r="BG1010" s="160"/>
      <c r="BH1010" s="106"/>
      <c r="BI1010" s="106"/>
      <c r="BJ1010" s="106"/>
      <c r="BK1010" s="106"/>
      <c r="BL1010" s="106"/>
      <c r="BM1010" s="106"/>
      <c r="BN1010" s="106"/>
      <c r="BO1010" s="106"/>
      <c r="BP1010" s="106"/>
      <c r="BQ1010" s="106"/>
      <c r="BR1010" s="106"/>
      <c r="BS1010" s="106"/>
      <c r="BT1010" s="106"/>
      <c r="BU1010" s="107"/>
      <c r="BV1010" s="107"/>
      <c r="BW1010" s="107"/>
      <c r="BX1010" s="107"/>
      <c r="BY1010" s="107"/>
      <c r="BZ1010" s="107"/>
      <c r="CA1010" s="107"/>
      <c r="CB1010" s="107"/>
      <c r="CC1010" s="107"/>
      <c r="CD1010" s="107"/>
      <c r="CE1010" s="106"/>
      <c r="CF1010" s="106"/>
      <c r="CG1010" s="106"/>
      <c r="CH1010" s="106"/>
      <c r="CI1010" s="106"/>
      <c r="CJ1010" s="138"/>
      <c r="CK1010" s="138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K1010" s="1"/>
      <c r="EL1010" s="106"/>
      <c r="EM1010" s="106"/>
      <c r="EN1010" s="1"/>
      <c r="EO1010" s="106"/>
      <c r="EP1010" s="1"/>
      <c r="EQ1010" s="1"/>
      <c r="ER1010" s="1"/>
      <c r="ES1010" s="108"/>
    </row>
    <row r="1011" spans="9:149">
      <c r="I1011" s="137"/>
      <c r="J1011" s="138"/>
      <c r="K1011" s="1"/>
      <c r="L1011" s="1"/>
      <c r="Q1011" s="1"/>
      <c r="R1011" s="1"/>
      <c r="S1011" s="106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55"/>
      <c r="AN1011" s="106"/>
      <c r="AO1011" s="106"/>
      <c r="AP1011" s="106"/>
      <c r="AQ1011" s="31"/>
      <c r="AR1011" s="31"/>
      <c r="AS1011" s="31"/>
      <c r="AT1011" s="30"/>
      <c r="AU1011" s="30"/>
      <c r="AV1011" s="106"/>
      <c r="AW1011" s="106"/>
      <c r="AX1011" s="106"/>
      <c r="AY1011" s="106"/>
      <c r="AZ1011" s="106"/>
      <c r="BA1011" s="106"/>
      <c r="BB1011" s="107"/>
      <c r="BC1011" s="105"/>
      <c r="BD1011" s="105"/>
      <c r="BE1011" s="105"/>
      <c r="BF1011" s="107"/>
      <c r="BG1011" s="160"/>
      <c r="BH1011" s="106"/>
      <c r="BI1011" s="106"/>
      <c r="BJ1011" s="106"/>
      <c r="BK1011" s="106"/>
      <c r="BL1011" s="106"/>
      <c r="BM1011" s="106"/>
      <c r="BN1011" s="106"/>
      <c r="BO1011" s="106"/>
      <c r="BP1011" s="106"/>
      <c r="BQ1011" s="106"/>
      <c r="BR1011" s="106"/>
      <c r="BS1011" s="106"/>
      <c r="BT1011" s="106"/>
      <c r="BU1011" s="107"/>
      <c r="BV1011" s="107"/>
      <c r="BW1011" s="107"/>
      <c r="BX1011" s="107"/>
      <c r="BY1011" s="107"/>
      <c r="BZ1011" s="107"/>
      <c r="CA1011" s="107"/>
      <c r="CB1011" s="107"/>
      <c r="CC1011" s="107"/>
      <c r="CD1011" s="107"/>
      <c r="CE1011" s="106"/>
      <c r="CF1011" s="106"/>
      <c r="CG1011" s="106"/>
      <c r="CH1011" s="106"/>
      <c r="CI1011" s="106"/>
      <c r="CJ1011" s="138"/>
      <c r="CK1011" s="138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K1011" s="1"/>
      <c r="EL1011" s="106"/>
      <c r="EM1011" s="106"/>
      <c r="EN1011" s="1"/>
      <c r="EO1011" s="106"/>
      <c r="EP1011" s="1"/>
      <c r="EQ1011" s="1"/>
      <c r="ER1011" s="1"/>
      <c r="ES1011" s="108"/>
    </row>
    <row r="1012" spans="9:149">
      <c r="I1012" s="137"/>
      <c r="J1012" s="138"/>
      <c r="K1012" s="1"/>
      <c r="L1012" s="1"/>
      <c r="Q1012" s="1"/>
      <c r="R1012" s="1"/>
      <c r="S1012" s="106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55"/>
      <c r="AN1012" s="106"/>
      <c r="AO1012" s="106"/>
      <c r="AP1012" s="106"/>
      <c r="AQ1012" s="31"/>
      <c r="AR1012" s="31"/>
      <c r="AS1012" s="31"/>
      <c r="AT1012" s="30"/>
      <c r="AU1012" s="30"/>
      <c r="AV1012" s="106"/>
      <c r="AW1012" s="106"/>
      <c r="AX1012" s="106"/>
      <c r="AY1012" s="106"/>
      <c r="AZ1012" s="106"/>
      <c r="BA1012" s="106"/>
      <c r="BB1012" s="107"/>
      <c r="BC1012" s="105"/>
      <c r="BD1012" s="105"/>
      <c r="BE1012" s="105"/>
      <c r="BF1012" s="107"/>
      <c r="BG1012" s="160"/>
      <c r="BH1012" s="106"/>
      <c r="BI1012" s="106"/>
      <c r="BJ1012" s="106"/>
      <c r="BK1012" s="106"/>
      <c r="BL1012" s="106"/>
      <c r="BM1012" s="106"/>
      <c r="BN1012" s="106"/>
      <c r="BO1012" s="106"/>
      <c r="BP1012" s="106"/>
      <c r="BQ1012" s="106"/>
      <c r="BR1012" s="106"/>
      <c r="BS1012" s="106"/>
      <c r="BT1012" s="106"/>
      <c r="BU1012" s="107"/>
      <c r="BV1012" s="107"/>
      <c r="BW1012" s="107"/>
      <c r="BX1012" s="107"/>
      <c r="BY1012" s="107"/>
      <c r="BZ1012" s="107"/>
      <c r="CA1012" s="107"/>
      <c r="CB1012" s="107"/>
      <c r="CC1012" s="107"/>
      <c r="CD1012" s="107"/>
      <c r="CE1012" s="106"/>
      <c r="CF1012" s="106"/>
      <c r="CG1012" s="106"/>
      <c r="CH1012" s="106"/>
      <c r="CI1012" s="106"/>
      <c r="CJ1012" s="138"/>
      <c r="CK1012" s="138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K1012" s="1"/>
      <c r="EL1012" s="106"/>
      <c r="EM1012" s="106"/>
      <c r="EN1012" s="1"/>
      <c r="EO1012" s="106"/>
      <c r="EP1012" s="1"/>
      <c r="EQ1012" s="1"/>
      <c r="ER1012" s="1"/>
      <c r="ES1012" s="108"/>
    </row>
    <row r="1013" spans="9:149">
      <c r="I1013" s="137"/>
      <c r="J1013" s="138"/>
      <c r="K1013" s="1"/>
      <c r="L1013" s="1"/>
      <c r="Q1013" s="1"/>
      <c r="R1013" s="1"/>
      <c r="S1013" s="106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55"/>
      <c r="AN1013" s="106"/>
      <c r="AO1013" s="106"/>
      <c r="AP1013" s="106"/>
      <c r="AQ1013" s="31"/>
      <c r="AR1013" s="31"/>
      <c r="AS1013" s="31"/>
      <c r="AT1013" s="30"/>
      <c r="AU1013" s="30"/>
      <c r="AV1013" s="106"/>
      <c r="AW1013" s="106"/>
      <c r="AX1013" s="106"/>
      <c r="AY1013" s="106"/>
      <c r="AZ1013" s="106"/>
      <c r="BA1013" s="106"/>
      <c r="BB1013" s="107"/>
      <c r="BC1013" s="105"/>
      <c r="BD1013" s="105"/>
      <c r="BE1013" s="105"/>
      <c r="BF1013" s="107"/>
      <c r="BG1013" s="160"/>
      <c r="BH1013" s="106"/>
      <c r="BI1013" s="106"/>
      <c r="BJ1013" s="106"/>
      <c r="BK1013" s="106"/>
      <c r="BL1013" s="106"/>
      <c r="BM1013" s="106"/>
      <c r="BN1013" s="106"/>
      <c r="BO1013" s="106"/>
      <c r="BP1013" s="106"/>
      <c r="BQ1013" s="106"/>
      <c r="BR1013" s="106"/>
      <c r="BS1013" s="106"/>
      <c r="BT1013" s="106"/>
      <c r="BU1013" s="107"/>
      <c r="BV1013" s="107"/>
      <c r="BW1013" s="107"/>
      <c r="BX1013" s="107"/>
      <c r="BY1013" s="107"/>
      <c r="BZ1013" s="107"/>
      <c r="CA1013" s="107"/>
      <c r="CB1013" s="107"/>
      <c r="CC1013" s="107"/>
      <c r="CD1013" s="107"/>
      <c r="CE1013" s="106"/>
      <c r="CF1013" s="106"/>
      <c r="CG1013" s="106"/>
      <c r="CH1013" s="106"/>
      <c r="CI1013" s="106"/>
      <c r="CJ1013" s="138"/>
      <c r="CK1013" s="138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K1013" s="1"/>
      <c r="EL1013" s="106"/>
      <c r="EM1013" s="106"/>
      <c r="EN1013" s="1"/>
      <c r="EO1013" s="106"/>
      <c r="EP1013" s="1"/>
      <c r="EQ1013" s="1"/>
      <c r="ER1013" s="1"/>
      <c r="ES1013" s="108"/>
    </row>
    <row r="1014" spans="9:149">
      <c r="I1014" s="137"/>
      <c r="J1014" s="138"/>
      <c r="K1014" s="1"/>
      <c r="L1014" s="1"/>
      <c r="Q1014" s="1"/>
      <c r="R1014" s="1"/>
      <c r="S1014" s="106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55"/>
      <c r="AN1014" s="106"/>
      <c r="AO1014" s="106"/>
      <c r="AP1014" s="106"/>
      <c r="AQ1014" s="31"/>
      <c r="AR1014" s="31"/>
      <c r="AS1014" s="31"/>
      <c r="AT1014" s="30"/>
      <c r="AU1014" s="30"/>
      <c r="AV1014" s="106"/>
      <c r="AW1014" s="106"/>
      <c r="AX1014" s="106"/>
      <c r="AY1014" s="106"/>
      <c r="AZ1014" s="106"/>
      <c r="BA1014" s="106"/>
      <c r="BB1014" s="107"/>
      <c r="BC1014" s="105"/>
      <c r="BD1014" s="105"/>
      <c r="BE1014" s="105"/>
      <c r="BF1014" s="107"/>
      <c r="BG1014" s="160"/>
      <c r="BH1014" s="106"/>
      <c r="BI1014" s="106"/>
      <c r="BJ1014" s="106"/>
      <c r="BK1014" s="106"/>
      <c r="BL1014" s="106"/>
      <c r="BM1014" s="106"/>
      <c r="BN1014" s="106"/>
      <c r="BO1014" s="106"/>
      <c r="BP1014" s="106"/>
      <c r="BQ1014" s="106"/>
      <c r="BR1014" s="106"/>
      <c r="BS1014" s="106"/>
      <c r="BT1014" s="106"/>
      <c r="BU1014" s="107"/>
      <c r="BV1014" s="107"/>
      <c r="BW1014" s="107"/>
      <c r="BX1014" s="107"/>
      <c r="BY1014" s="107"/>
      <c r="BZ1014" s="107"/>
      <c r="CA1014" s="107"/>
      <c r="CB1014" s="107"/>
      <c r="CC1014" s="107"/>
      <c r="CD1014" s="107"/>
      <c r="CE1014" s="106"/>
      <c r="CF1014" s="106"/>
      <c r="CG1014" s="106"/>
      <c r="CH1014" s="106"/>
      <c r="CI1014" s="106"/>
      <c r="CJ1014" s="138"/>
      <c r="CK1014" s="138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K1014" s="1"/>
      <c r="EL1014" s="106"/>
      <c r="EM1014" s="106"/>
      <c r="EN1014" s="1"/>
      <c r="EO1014" s="106"/>
      <c r="EP1014" s="1"/>
      <c r="EQ1014" s="1"/>
      <c r="ER1014" s="1"/>
      <c r="ES1014" s="108"/>
    </row>
    <row r="1015" spans="9:149">
      <c r="I1015" s="137"/>
      <c r="J1015" s="138"/>
      <c r="K1015" s="1"/>
      <c r="L1015" s="1"/>
      <c r="Q1015" s="1"/>
      <c r="R1015" s="1"/>
      <c r="S1015" s="106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55"/>
      <c r="AN1015" s="106"/>
      <c r="AO1015" s="106"/>
      <c r="AP1015" s="106"/>
      <c r="AQ1015" s="31"/>
      <c r="AR1015" s="31"/>
      <c r="AS1015" s="31"/>
      <c r="AT1015" s="30"/>
      <c r="AU1015" s="30"/>
      <c r="AV1015" s="106"/>
      <c r="AW1015" s="106"/>
      <c r="AX1015" s="106"/>
      <c r="AY1015" s="106"/>
      <c r="AZ1015" s="106"/>
      <c r="BA1015" s="106"/>
      <c r="BB1015" s="107"/>
      <c r="BC1015" s="105"/>
      <c r="BD1015" s="105"/>
      <c r="BE1015" s="105"/>
      <c r="BF1015" s="107"/>
      <c r="BG1015" s="160"/>
      <c r="BH1015" s="106"/>
      <c r="BI1015" s="106"/>
      <c r="BJ1015" s="106"/>
      <c r="BK1015" s="106"/>
      <c r="BL1015" s="106"/>
      <c r="BM1015" s="106"/>
      <c r="BN1015" s="106"/>
      <c r="BO1015" s="106"/>
      <c r="BP1015" s="106"/>
      <c r="BQ1015" s="106"/>
      <c r="BR1015" s="106"/>
      <c r="BS1015" s="106"/>
      <c r="BT1015" s="106"/>
      <c r="BU1015" s="107"/>
      <c r="BV1015" s="107"/>
      <c r="BW1015" s="107"/>
      <c r="BX1015" s="107"/>
      <c r="BY1015" s="107"/>
      <c r="BZ1015" s="107"/>
      <c r="CA1015" s="107"/>
      <c r="CB1015" s="107"/>
      <c r="CC1015" s="107"/>
      <c r="CD1015" s="107"/>
      <c r="CE1015" s="106"/>
      <c r="CF1015" s="106"/>
      <c r="CG1015" s="106"/>
      <c r="CH1015" s="106"/>
      <c r="CI1015" s="106"/>
      <c r="CJ1015" s="138"/>
      <c r="CK1015" s="138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K1015" s="1"/>
      <c r="EL1015" s="106"/>
      <c r="EM1015" s="106"/>
      <c r="EN1015" s="1"/>
      <c r="EO1015" s="106"/>
      <c r="EP1015" s="1"/>
      <c r="EQ1015" s="1"/>
      <c r="ER1015" s="1"/>
      <c r="ES1015" s="108"/>
    </row>
    <row r="1016" spans="9:149">
      <c r="I1016" s="137"/>
      <c r="J1016" s="138"/>
      <c r="K1016" s="1"/>
      <c r="L1016" s="1"/>
      <c r="Q1016" s="1"/>
      <c r="R1016" s="1"/>
      <c r="S1016" s="106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55"/>
      <c r="AN1016" s="106"/>
      <c r="AO1016" s="106"/>
      <c r="AP1016" s="106"/>
      <c r="AQ1016" s="31"/>
      <c r="AR1016" s="31"/>
      <c r="AS1016" s="31"/>
      <c r="AT1016" s="30"/>
      <c r="AU1016" s="30"/>
      <c r="AV1016" s="106"/>
      <c r="AW1016" s="106"/>
      <c r="AX1016" s="106"/>
      <c r="AY1016" s="106"/>
      <c r="AZ1016" s="106"/>
      <c r="BA1016" s="106"/>
      <c r="BB1016" s="107"/>
      <c r="BC1016" s="105"/>
      <c r="BD1016" s="105"/>
      <c r="BE1016" s="105"/>
      <c r="BF1016" s="107"/>
      <c r="BG1016" s="160"/>
      <c r="BH1016" s="106"/>
      <c r="BI1016" s="106"/>
      <c r="BJ1016" s="106"/>
      <c r="BK1016" s="106"/>
      <c r="BL1016" s="106"/>
      <c r="BM1016" s="106"/>
      <c r="BN1016" s="106"/>
      <c r="BO1016" s="106"/>
      <c r="BP1016" s="106"/>
      <c r="BQ1016" s="106"/>
      <c r="BR1016" s="106"/>
      <c r="BS1016" s="106"/>
      <c r="BT1016" s="106"/>
      <c r="BU1016" s="107"/>
      <c r="BV1016" s="107"/>
      <c r="BW1016" s="107"/>
      <c r="BX1016" s="107"/>
      <c r="BY1016" s="107"/>
      <c r="BZ1016" s="107"/>
      <c r="CA1016" s="107"/>
      <c r="CB1016" s="107"/>
      <c r="CC1016" s="107"/>
      <c r="CD1016" s="107"/>
      <c r="CE1016" s="106"/>
      <c r="CF1016" s="106"/>
      <c r="CG1016" s="106"/>
      <c r="CH1016" s="106"/>
      <c r="CI1016" s="106"/>
      <c r="CJ1016" s="138"/>
      <c r="CK1016" s="138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K1016" s="1"/>
      <c r="EL1016" s="106"/>
      <c r="EM1016" s="106"/>
      <c r="EN1016" s="1"/>
      <c r="EO1016" s="106"/>
      <c r="EP1016" s="1"/>
      <c r="EQ1016" s="1"/>
      <c r="ER1016" s="1"/>
      <c r="ES1016" s="108"/>
    </row>
    <row r="1017" spans="9:149">
      <c r="I1017" s="137"/>
      <c r="J1017" s="138"/>
      <c r="K1017" s="1"/>
      <c r="L1017" s="1"/>
      <c r="Q1017" s="1"/>
      <c r="R1017" s="1"/>
      <c r="S1017" s="106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55"/>
      <c r="AN1017" s="106"/>
      <c r="AO1017" s="106"/>
      <c r="AP1017" s="106"/>
      <c r="AQ1017" s="31"/>
      <c r="AR1017" s="31"/>
      <c r="AS1017" s="31"/>
      <c r="AT1017" s="30"/>
      <c r="AU1017" s="30"/>
      <c r="AV1017" s="106"/>
      <c r="AW1017" s="106"/>
      <c r="AX1017" s="106"/>
      <c r="AY1017" s="106"/>
      <c r="AZ1017" s="106"/>
      <c r="BA1017" s="106"/>
      <c r="BB1017" s="107"/>
      <c r="BC1017" s="105"/>
      <c r="BD1017" s="105"/>
      <c r="BE1017" s="105"/>
      <c r="BF1017" s="107"/>
      <c r="BG1017" s="160"/>
      <c r="BH1017" s="106"/>
      <c r="BI1017" s="106"/>
      <c r="BJ1017" s="106"/>
      <c r="BK1017" s="106"/>
      <c r="BL1017" s="106"/>
      <c r="BM1017" s="106"/>
      <c r="BN1017" s="106"/>
      <c r="BO1017" s="106"/>
      <c r="BP1017" s="106"/>
      <c r="BQ1017" s="106"/>
      <c r="BR1017" s="106"/>
      <c r="BS1017" s="106"/>
      <c r="BT1017" s="106"/>
      <c r="BU1017" s="107"/>
      <c r="BV1017" s="107"/>
      <c r="BW1017" s="107"/>
      <c r="BX1017" s="107"/>
      <c r="BY1017" s="107"/>
      <c r="BZ1017" s="107"/>
      <c r="CA1017" s="107"/>
      <c r="CB1017" s="107"/>
      <c r="CC1017" s="107"/>
      <c r="CD1017" s="107"/>
      <c r="CE1017" s="106"/>
      <c r="CF1017" s="106"/>
      <c r="CG1017" s="106"/>
      <c r="CH1017" s="106"/>
      <c r="CI1017" s="106"/>
      <c r="CJ1017" s="138"/>
      <c r="CK1017" s="138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K1017" s="1"/>
      <c r="EL1017" s="106"/>
      <c r="EM1017" s="106"/>
      <c r="EN1017" s="1"/>
      <c r="EO1017" s="106"/>
      <c r="EP1017" s="1"/>
      <c r="EQ1017" s="1"/>
      <c r="ER1017" s="1"/>
      <c r="ES1017" s="108"/>
    </row>
    <row r="1018" spans="9:149">
      <c r="I1018" s="137"/>
      <c r="J1018" s="138"/>
      <c r="K1018" s="1"/>
      <c r="L1018" s="1"/>
      <c r="Q1018" s="1"/>
      <c r="R1018" s="1"/>
      <c r="S1018" s="106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55"/>
      <c r="AN1018" s="106"/>
      <c r="AO1018" s="106"/>
      <c r="AP1018" s="106"/>
      <c r="AQ1018" s="31"/>
      <c r="AR1018" s="31"/>
      <c r="AS1018" s="31"/>
      <c r="AT1018" s="30"/>
      <c r="AU1018" s="30"/>
      <c r="AV1018" s="106"/>
      <c r="AW1018" s="106"/>
      <c r="AX1018" s="106"/>
      <c r="AY1018" s="106"/>
      <c r="AZ1018" s="106"/>
      <c r="BA1018" s="106"/>
      <c r="BB1018" s="107"/>
      <c r="BC1018" s="105"/>
      <c r="BD1018" s="105"/>
      <c r="BE1018" s="105"/>
      <c r="BF1018" s="107"/>
      <c r="BG1018" s="160"/>
      <c r="BH1018" s="106"/>
      <c r="BI1018" s="106"/>
      <c r="BJ1018" s="106"/>
      <c r="BK1018" s="106"/>
      <c r="BL1018" s="106"/>
      <c r="BM1018" s="106"/>
      <c r="BN1018" s="106"/>
      <c r="BO1018" s="106"/>
      <c r="BP1018" s="106"/>
      <c r="BQ1018" s="106"/>
      <c r="BR1018" s="106"/>
      <c r="BS1018" s="106"/>
      <c r="BT1018" s="106"/>
      <c r="BU1018" s="107"/>
      <c r="BV1018" s="107"/>
      <c r="BW1018" s="107"/>
      <c r="BX1018" s="107"/>
      <c r="BY1018" s="107"/>
      <c r="BZ1018" s="107"/>
      <c r="CA1018" s="107"/>
      <c r="CB1018" s="107"/>
      <c r="CC1018" s="107"/>
      <c r="CD1018" s="107"/>
      <c r="CE1018" s="106"/>
      <c r="CF1018" s="106"/>
      <c r="CG1018" s="106"/>
      <c r="CH1018" s="106"/>
      <c r="CI1018" s="106"/>
      <c r="CJ1018" s="138"/>
      <c r="CK1018" s="138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K1018" s="1"/>
      <c r="EL1018" s="106"/>
      <c r="EM1018" s="106"/>
      <c r="EN1018" s="1"/>
      <c r="EO1018" s="106"/>
      <c r="EP1018" s="1"/>
      <c r="EQ1018" s="1"/>
      <c r="ER1018" s="1"/>
      <c r="ES1018" s="108"/>
    </row>
    <row r="1019" spans="9:149">
      <c r="I1019" s="137"/>
      <c r="J1019" s="138"/>
      <c r="K1019" s="1"/>
      <c r="L1019" s="1"/>
      <c r="Q1019" s="1"/>
      <c r="R1019" s="1"/>
      <c r="S1019" s="106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55"/>
      <c r="AN1019" s="106"/>
      <c r="AO1019" s="106"/>
      <c r="AP1019" s="106"/>
      <c r="AQ1019" s="31"/>
      <c r="AR1019" s="31"/>
      <c r="AS1019" s="31"/>
      <c r="AT1019" s="30"/>
      <c r="AU1019" s="30"/>
      <c r="AV1019" s="106"/>
      <c r="AW1019" s="106"/>
      <c r="AX1019" s="106"/>
      <c r="AY1019" s="106"/>
      <c r="AZ1019" s="106"/>
      <c r="BA1019" s="106"/>
      <c r="BB1019" s="107"/>
      <c r="BC1019" s="105"/>
      <c r="BD1019" s="105"/>
      <c r="BE1019" s="105"/>
      <c r="BF1019" s="107"/>
      <c r="BG1019" s="160"/>
      <c r="BH1019" s="106"/>
      <c r="BI1019" s="106"/>
      <c r="BJ1019" s="106"/>
      <c r="BK1019" s="106"/>
      <c r="BL1019" s="106"/>
      <c r="BM1019" s="106"/>
      <c r="BN1019" s="106"/>
      <c r="BO1019" s="106"/>
      <c r="BP1019" s="106"/>
      <c r="BQ1019" s="106"/>
      <c r="BR1019" s="106"/>
      <c r="BS1019" s="106"/>
      <c r="BT1019" s="106"/>
      <c r="BU1019" s="107"/>
      <c r="BV1019" s="107"/>
      <c r="BW1019" s="107"/>
      <c r="BX1019" s="107"/>
      <c r="BY1019" s="107"/>
      <c r="BZ1019" s="107"/>
      <c r="CA1019" s="107"/>
      <c r="CB1019" s="107"/>
      <c r="CC1019" s="107"/>
      <c r="CD1019" s="107"/>
      <c r="CE1019" s="106"/>
      <c r="CF1019" s="106"/>
      <c r="CG1019" s="106"/>
      <c r="CH1019" s="106"/>
      <c r="CI1019" s="106"/>
      <c r="CJ1019" s="138"/>
      <c r="CK1019" s="138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K1019" s="1"/>
      <c r="EL1019" s="106"/>
      <c r="EM1019" s="106"/>
      <c r="EN1019" s="1"/>
      <c r="EO1019" s="106"/>
      <c r="EP1019" s="1"/>
      <c r="EQ1019" s="1"/>
      <c r="ER1019" s="1"/>
      <c r="ES1019" s="108"/>
    </row>
    <row r="1020" spans="9:149">
      <c r="I1020" s="137"/>
      <c r="J1020" s="138"/>
      <c r="K1020" s="1"/>
      <c r="L1020" s="1"/>
      <c r="Q1020" s="1"/>
      <c r="R1020" s="1"/>
      <c r="S1020" s="106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55"/>
      <c r="AN1020" s="106"/>
      <c r="AO1020" s="106"/>
      <c r="AP1020" s="106"/>
      <c r="AQ1020" s="31"/>
      <c r="AR1020" s="31"/>
      <c r="AS1020" s="31"/>
      <c r="AT1020" s="30"/>
      <c r="AU1020" s="30"/>
      <c r="AV1020" s="106"/>
      <c r="AW1020" s="106"/>
      <c r="AX1020" s="106"/>
      <c r="AY1020" s="106"/>
      <c r="AZ1020" s="106"/>
      <c r="BA1020" s="106"/>
      <c r="BB1020" s="107"/>
      <c r="BC1020" s="105"/>
      <c r="BD1020" s="105"/>
      <c r="BE1020" s="105"/>
      <c r="BF1020" s="107"/>
      <c r="BG1020" s="160"/>
      <c r="BH1020" s="106"/>
      <c r="BI1020" s="106"/>
      <c r="BJ1020" s="106"/>
      <c r="BK1020" s="106"/>
      <c r="BL1020" s="106"/>
      <c r="BM1020" s="106"/>
      <c r="BN1020" s="106"/>
      <c r="BO1020" s="106"/>
      <c r="BP1020" s="106"/>
      <c r="BQ1020" s="106"/>
      <c r="BR1020" s="106"/>
      <c r="BS1020" s="106"/>
      <c r="BT1020" s="106"/>
      <c r="BU1020" s="107"/>
      <c r="BV1020" s="107"/>
      <c r="BW1020" s="107"/>
      <c r="BX1020" s="107"/>
      <c r="BY1020" s="107"/>
      <c r="BZ1020" s="107"/>
      <c r="CA1020" s="107"/>
      <c r="CB1020" s="107"/>
      <c r="CC1020" s="107"/>
      <c r="CD1020" s="107"/>
      <c r="CE1020" s="106"/>
      <c r="CF1020" s="106"/>
      <c r="CG1020" s="106"/>
      <c r="CH1020" s="106"/>
      <c r="CI1020" s="106"/>
      <c r="CJ1020" s="138"/>
      <c r="CK1020" s="138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K1020" s="1"/>
      <c r="EL1020" s="106"/>
      <c r="EM1020" s="106"/>
      <c r="EN1020" s="1"/>
      <c r="EO1020" s="106"/>
      <c r="EP1020" s="1"/>
      <c r="EQ1020" s="1"/>
      <c r="ER1020" s="1"/>
      <c r="ES1020" s="108"/>
    </row>
    <row r="1021" spans="9:149">
      <c r="I1021" s="137"/>
      <c r="J1021" s="138"/>
      <c r="K1021" s="1"/>
      <c r="L1021" s="1"/>
      <c r="Q1021" s="1"/>
      <c r="R1021" s="1"/>
      <c r="S1021" s="106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55"/>
      <c r="AN1021" s="106"/>
      <c r="AO1021" s="106"/>
      <c r="AP1021" s="106"/>
      <c r="AQ1021" s="31"/>
      <c r="AR1021" s="31"/>
      <c r="AS1021" s="31"/>
      <c r="AT1021" s="30"/>
      <c r="AU1021" s="30"/>
      <c r="AV1021" s="106"/>
      <c r="AW1021" s="106"/>
      <c r="AX1021" s="106"/>
      <c r="AY1021" s="106"/>
      <c r="AZ1021" s="106"/>
      <c r="BA1021" s="106"/>
      <c r="BB1021" s="107"/>
      <c r="BC1021" s="105"/>
      <c r="BD1021" s="105"/>
      <c r="BE1021" s="105"/>
      <c r="BF1021" s="107"/>
      <c r="BG1021" s="160"/>
      <c r="BH1021" s="106"/>
      <c r="BI1021" s="106"/>
      <c r="BJ1021" s="106"/>
      <c r="BK1021" s="106"/>
      <c r="BL1021" s="106"/>
      <c r="BM1021" s="106"/>
      <c r="BN1021" s="106"/>
      <c r="BO1021" s="106"/>
      <c r="BP1021" s="106"/>
      <c r="BQ1021" s="106"/>
      <c r="BR1021" s="106"/>
      <c r="BS1021" s="106"/>
      <c r="BT1021" s="106"/>
      <c r="BU1021" s="107"/>
      <c r="BV1021" s="107"/>
      <c r="BW1021" s="107"/>
      <c r="BX1021" s="107"/>
      <c r="BY1021" s="107"/>
      <c r="BZ1021" s="107"/>
      <c r="CA1021" s="107"/>
      <c r="CB1021" s="107"/>
      <c r="CC1021" s="107"/>
      <c r="CD1021" s="107"/>
      <c r="CE1021" s="106"/>
      <c r="CF1021" s="106"/>
      <c r="CG1021" s="106"/>
      <c r="CH1021" s="106"/>
      <c r="CI1021" s="106"/>
      <c r="CJ1021" s="138"/>
      <c r="CK1021" s="138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K1021" s="1"/>
      <c r="EL1021" s="106"/>
      <c r="EM1021" s="106"/>
      <c r="EN1021" s="1"/>
      <c r="EO1021" s="106"/>
      <c r="EP1021" s="1"/>
      <c r="EQ1021" s="1"/>
      <c r="ER1021" s="1"/>
      <c r="ES1021" s="108"/>
    </row>
    <row r="1022" spans="9:149">
      <c r="I1022" s="137"/>
      <c r="J1022" s="138"/>
      <c r="K1022" s="1"/>
      <c r="L1022" s="1"/>
      <c r="Q1022" s="1"/>
      <c r="R1022" s="1"/>
      <c r="S1022" s="106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55"/>
      <c r="AN1022" s="106"/>
      <c r="AO1022" s="106"/>
      <c r="AP1022" s="106"/>
      <c r="AQ1022" s="31"/>
      <c r="AR1022" s="31"/>
      <c r="AS1022" s="31"/>
      <c r="AT1022" s="30"/>
      <c r="AU1022" s="30"/>
      <c r="AV1022" s="106"/>
      <c r="AW1022" s="106"/>
      <c r="AX1022" s="106"/>
      <c r="AY1022" s="106"/>
      <c r="AZ1022" s="106"/>
      <c r="BA1022" s="106"/>
      <c r="BB1022" s="107"/>
      <c r="BC1022" s="105"/>
      <c r="BD1022" s="105"/>
      <c r="BE1022" s="105"/>
      <c r="BF1022" s="107"/>
      <c r="BG1022" s="160"/>
      <c r="BH1022" s="106"/>
      <c r="BI1022" s="106"/>
      <c r="BJ1022" s="106"/>
      <c r="BK1022" s="106"/>
      <c r="BL1022" s="106"/>
      <c r="BM1022" s="106"/>
      <c r="BN1022" s="106"/>
      <c r="BO1022" s="106"/>
      <c r="BP1022" s="106"/>
      <c r="BQ1022" s="106"/>
      <c r="BR1022" s="106"/>
      <c r="BS1022" s="106"/>
      <c r="BT1022" s="106"/>
      <c r="BU1022" s="107"/>
      <c r="BV1022" s="107"/>
      <c r="BW1022" s="107"/>
      <c r="BX1022" s="107"/>
      <c r="BY1022" s="107"/>
      <c r="BZ1022" s="107"/>
      <c r="CA1022" s="107"/>
      <c r="CB1022" s="107"/>
      <c r="CC1022" s="107"/>
      <c r="CD1022" s="107"/>
      <c r="CE1022" s="106"/>
      <c r="CF1022" s="106"/>
      <c r="CG1022" s="106"/>
      <c r="CH1022" s="106"/>
      <c r="CI1022" s="106"/>
      <c r="CJ1022" s="138"/>
      <c r="CK1022" s="138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K1022" s="1"/>
      <c r="EL1022" s="106"/>
      <c r="EM1022" s="106"/>
      <c r="EN1022" s="1"/>
      <c r="EO1022" s="106"/>
      <c r="EP1022" s="1"/>
      <c r="EQ1022" s="1"/>
      <c r="ER1022" s="1"/>
      <c r="ES1022" s="108"/>
    </row>
    <row r="1023" spans="9:149">
      <c r="I1023" s="137"/>
      <c r="J1023" s="138"/>
      <c r="K1023" s="1"/>
      <c r="L1023" s="1"/>
      <c r="Q1023" s="1"/>
      <c r="R1023" s="1"/>
      <c r="S1023" s="106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55"/>
      <c r="AN1023" s="106"/>
      <c r="AO1023" s="106"/>
      <c r="AP1023" s="106"/>
      <c r="AQ1023" s="31"/>
      <c r="AR1023" s="31"/>
      <c r="AS1023" s="31"/>
      <c r="AT1023" s="30"/>
      <c r="AU1023" s="30"/>
      <c r="AV1023" s="106"/>
      <c r="AW1023" s="106"/>
      <c r="AX1023" s="106"/>
      <c r="AY1023" s="106"/>
      <c r="AZ1023" s="106"/>
      <c r="BA1023" s="106"/>
      <c r="BB1023" s="107"/>
      <c r="BC1023" s="105"/>
      <c r="BD1023" s="105"/>
      <c r="BE1023" s="105"/>
      <c r="BF1023" s="107"/>
      <c r="BG1023" s="160"/>
      <c r="BH1023" s="106"/>
      <c r="BI1023" s="106"/>
      <c r="BJ1023" s="106"/>
      <c r="BK1023" s="106"/>
      <c r="BL1023" s="106"/>
      <c r="BM1023" s="106"/>
      <c r="BN1023" s="106"/>
      <c r="BO1023" s="106"/>
      <c r="BP1023" s="106"/>
      <c r="BQ1023" s="106"/>
      <c r="BR1023" s="106"/>
      <c r="BS1023" s="106"/>
      <c r="BT1023" s="106"/>
      <c r="BU1023" s="107"/>
      <c r="BV1023" s="107"/>
      <c r="BW1023" s="107"/>
      <c r="BX1023" s="107"/>
      <c r="BY1023" s="107"/>
      <c r="BZ1023" s="107"/>
      <c r="CA1023" s="107"/>
      <c r="CB1023" s="107"/>
      <c r="CC1023" s="107"/>
      <c r="CD1023" s="107"/>
      <c r="CE1023" s="106"/>
      <c r="CF1023" s="106"/>
      <c r="CG1023" s="106"/>
      <c r="CH1023" s="106"/>
      <c r="CI1023" s="106"/>
      <c r="CJ1023" s="138"/>
      <c r="CK1023" s="138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K1023" s="1"/>
      <c r="EL1023" s="106"/>
      <c r="EM1023" s="106"/>
      <c r="EN1023" s="1"/>
      <c r="EO1023" s="106"/>
      <c r="EP1023" s="1"/>
      <c r="EQ1023" s="1"/>
      <c r="ER1023" s="1"/>
      <c r="ES1023" s="108"/>
    </row>
    <row r="1024" spans="9:149">
      <c r="I1024" s="137"/>
      <c r="J1024" s="138"/>
      <c r="K1024" s="1"/>
      <c r="L1024" s="1"/>
      <c r="Q1024" s="1"/>
      <c r="R1024" s="1"/>
      <c r="S1024" s="106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55"/>
      <c r="AN1024" s="106"/>
      <c r="AO1024" s="106"/>
      <c r="AP1024" s="106"/>
      <c r="AQ1024" s="31"/>
      <c r="AR1024" s="31"/>
      <c r="AS1024" s="31"/>
      <c r="AT1024" s="30"/>
      <c r="AU1024" s="30"/>
      <c r="AV1024" s="106"/>
      <c r="AW1024" s="106"/>
      <c r="AX1024" s="106"/>
      <c r="AY1024" s="106"/>
      <c r="AZ1024" s="106"/>
      <c r="BA1024" s="106"/>
      <c r="BB1024" s="107"/>
      <c r="BC1024" s="105"/>
      <c r="BD1024" s="105"/>
      <c r="BE1024" s="105"/>
      <c r="BF1024" s="107"/>
      <c r="BG1024" s="160"/>
      <c r="BH1024" s="106"/>
      <c r="BI1024" s="106"/>
      <c r="BJ1024" s="106"/>
      <c r="BK1024" s="106"/>
      <c r="BL1024" s="106"/>
      <c r="BM1024" s="106"/>
      <c r="BN1024" s="106"/>
      <c r="BO1024" s="106"/>
      <c r="BP1024" s="106"/>
      <c r="BQ1024" s="106"/>
      <c r="BR1024" s="106"/>
      <c r="BS1024" s="106"/>
      <c r="BT1024" s="106"/>
      <c r="BU1024" s="107"/>
      <c r="BV1024" s="107"/>
      <c r="BW1024" s="107"/>
      <c r="BX1024" s="107"/>
      <c r="BY1024" s="107"/>
      <c r="BZ1024" s="107"/>
      <c r="CA1024" s="107"/>
      <c r="CB1024" s="107"/>
      <c r="CC1024" s="107"/>
      <c r="CD1024" s="107"/>
      <c r="CE1024" s="106"/>
      <c r="CF1024" s="106"/>
      <c r="CG1024" s="106"/>
      <c r="CH1024" s="106"/>
      <c r="CI1024" s="106"/>
      <c r="CJ1024" s="138"/>
      <c r="CK1024" s="138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K1024" s="1"/>
      <c r="EL1024" s="106"/>
      <c r="EM1024" s="106"/>
      <c r="EN1024" s="1"/>
      <c r="EO1024" s="106"/>
      <c r="EP1024" s="1"/>
      <c r="EQ1024" s="1"/>
      <c r="ER1024" s="1"/>
      <c r="ES1024" s="108"/>
    </row>
    <row r="1025" spans="9:149">
      <c r="I1025" s="137"/>
      <c r="J1025" s="138"/>
      <c r="K1025" s="1"/>
      <c r="L1025" s="1"/>
      <c r="Q1025" s="1"/>
      <c r="R1025" s="1"/>
      <c r="S1025" s="106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55"/>
      <c r="AN1025" s="106"/>
      <c r="AO1025" s="106"/>
      <c r="AP1025" s="106"/>
      <c r="AQ1025" s="31"/>
      <c r="AR1025" s="31"/>
      <c r="AS1025" s="31"/>
      <c r="AT1025" s="30"/>
      <c r="AU1025" s="30"/>
      <c r="AV1025" s="106"/>
      <c r="AW1025" s="106"/>
      <c r="AX1025" s="106"/>
      <c r="AY1025" s="106"/>
      <c r="AZ1025" s="106"/>
      <c r="BA1025" s="106"/>
      <c r="BB1025" s="107"/>
      <c r="BC1025" s="105"/>
      <c r="BD1025" s="105"/>
      <c r="BE1025" s="105"/>
      <c r="BF1025" s="107"/>
      <c r="BG1025" s="160"/>
      <c r="BH1025" s="106"/>
      <c r="BI1025" s="106"/>
      <c r="BJ1025" s="106"/>
      <c r="BK1025" s="106"/>
      <c r="BL1025" s="106"/>
      <c r="BM1025" s="106"/>
      <c r="BN1025" s="106"/>
      <c r="BO1025" s="106"/>
      <c r="BP1025" s="106"/>
      <c r="BQ1025" s="106"/>
      <c r="BR1025" s="106"/>
      <c r="BS1025" s="106"/>
      <c r="BT1025" s="106"/>
      <c r="BU1025" s="107"/>
      <c r="BV1025" s="107"/>
      <c r="BW1025" s="107"/>
      <c r="BX1025" s="107"/>
      <c r="BY1025" s="107"/>
      <c r="BZ1025" s="107"/>
      <c r="CA1025" s="107"/>
      <c r="CB1025" s="107"/>
      <c r="CC1025" s="107"/>
      <c r="CD1025" s="107"/>
      <c r="CE1025" s="106"/>
      <c r="CF1025" s="106"/>
      <c r="CG1025" s="106"/>
      <c r="CH1025" s="106"/>
      <c r="CI1025" s="106"/>
      <c r="CJ1025" s="138"/>
      <c r="CK1025" s="138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K1025" s="1"/>
      <c r="EL1025" s="106"/>
      <c r="EM1025" s="106"/>
      <c r="EN1025" s="1"/>
      <c r="EO1025" s="106"/>
      <c r="EP1025" s="1"/>
      <c r="EQ1025" s="1"/>
      <c r="ER1025" s="1"/>
      <c r="ES1025" s="108"/>
    </row>
    <row r="1026" spans="9:149">
      <c r="I1026" s="137"/>
      <c r="J1026" s="138"/>
      <c r="K1026" s="1"/>
      <c r="L1026" s="1"/>
      <c r="Q1026" s="1"/>
      <c r="R1026" s="1"/>
      <c r="S1026" s="106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55"/>
      <c r="AN1026" s="106"/>
      <c r="AO1026" s="106"/>
      <c r="AP1026" s="106"/>
      <c r="AQ1026" s="31"/>
      <c r="AR1026" s="31"/>
      <c r="AS1026" s="31"/>
      <c r="AT1026" s="30"/>
      <c r="AU1026" s="30"/>
      <c r="AV1026" s="106"/>
      <c r="AW1026" s="106"/>
      <c r="AX1026" s="106"/>
      <c r="AY1026" s="106"/>
      <c r="AZ1026" s="106"/>
      <c r="BA1026" s="106"/>
      <c r="BB1026" s="107"/>
      <c r="BC1026" s="105"/>
      <c r="BD1026" s="105"/>
      <c r="BE1026" s="105"/>
      <c r="BF1026" s="107"/>
      <c r="BG1026" s="160"/>
      <c r="BH1026" s="106"/>
      <c r="BI1026" s="106"/>
      <c r="BJ1026" s="106"/>
      <c r="BK1026" s="106"/>
      <c r="BL1026" s="106"/>
      <c r="BM1026" s="106"/>
      <c r="BN1026" s="106"/>
      <c r="BO1026" s="106"/>
      <c r="BP1026" s="106"/>
      <c r="BQ1026" s="106"/>
      <c r="BR1026" s="106"/>
      <c r="BS1026" s="106"/>
      <c r="BT1026" s="106"/>
      <c r="BU1026" s="107"/>
      <c r="BV1026" s="107"/>
      <c r="BW1026" s="107"/>
      <c r="BX1026" s="107"/>
      <c r="BY1026" s="107"/>
      <c r="BZ1026" s="107"/>
      <c r="CA1026" s="107"/>
      <c r="CB1026" s="107"/>
      <c r="CC1026" s="107"/>
      <c r="CD1026" s="107"/>
      <c r="CE1026" s="106"/>
      <c r="CF1026" s="106"/>
      <c r="CG1026" s="106"/>
      <c r="CH1026" s="106"/>
      <c r="CI1026" s="106"/>
      <c r="CJ1026" s="138"/>
      <c r="CK1026" s="138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K1026" s="1"/>
      <c r="EL1026" s="106"/>
      <c r="EM1026" s="106"/>
      <c r="EN1026" s="1"/>
      <c r="EO1026" s="106"/>
      <c r="EP1026" s="1"/>
      <c r="EQ1026" s="1"/>
      <c r="ER1026" s="1"/>
      <c r="ES1026" s="108"/>
    </row>
    <row r="1027" spans="9:149">
      <c r="I1027" s="137"/>
      <c r="J1027" s="138"/>
      <c r="K1027" s="1"/>
      <c r="L1027" s="1"/>
      <c r="Q1027" s="1"/>
      <c r="R1027" s="1"/>
      <c r="S1027" s="106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55"/>
      <c r="AN1027" s="106"/>
      <c r="AO1027" s="106"/>
      <c r="AP1027" s="106"/>
      <c r="AQ1027" s="31"/>
      <c r="AR1027" s="31"/>
      <c r="AS1027" s="31"/>
      <c r="AT1027" s="30"/>
      <c r="AU1027" s="30"/>
      <c r="AV1027" s="106"/>
      <c r="AW1027" s="106"/>
      <c r="AX1027" s="106"/>
      <c r="AY1027" s="106"/>
      <c r="AZ1027" s="106"/>
      <c r="BA1027" s="106"/>
      <c r="BB1027" s="107"/>
      <c r="BC1027" s="105"/>
      <c r="BD1027" s="105"/>
      <c r="BE1027" s="105"/>
      <c r="BF1027" s="107"/>
      <c r="BG1027" s="160"/>
      <c r="BH1027" s="106"/>
      <c r="BI1027" s="106"/>
      <c r="BJ1027" s="106"/>
      <c r="BK1027" s="106"/>
      <c r="BL1027" s="106"/>
      <c r="BM1027" s="106"/>
      <c r="BN1027" s="106"/>
      <c r="BO1027" s="106"/>
      <c r="BP1027" s="106"/>
      <c r="BQ1027" s="106"/>
      <c r="BR1027" s="106"/>
      <c r="BS1027" s="106"/>
      <c r="BT1027" s="106"/>
      <c r="BU1027" s="107"/>
      <c r="BV1027" s="107"/>
      <c r="BW1027" s="107"/>
      <c r="BX1027" s="107"/>
      <c r="BY1027" s="107"/>
      <c r="BZ1027" s="107"/>
      <c r="CA1027" s="107"/>
      <c r="CB1027" s="107"/>
      <c r="CC1027" s="107"/>
      <c r="CD1027" s="107"/>
      <c r="CE1027" s="106"/>
      <c r="CF1027" s="106"/>
      <c r="CG1027" s="106"/>
      <c r="CH1027" s="106"/>
      <c r="CI1027" s="106"/>
      <c r="CJ1027" s="138"/>
      <c r="CK1027" s="138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K1027" s="1"/>
      <c r="EL1027" s="106"/>
      <c r="EM1027" s="106"/>
      <c r="EN1027" s="1"/>
      <c r="EO1027" s="106"/>
      <c r="EP1027" s="1"/>
      <c r="EQ1027" s="1"/>
      <c r="ER1027" s="1"/>
      <c r="ES1027" s="108"/>
    </row>
    <row r="1028" spans="9:149">
      <c r="I1028" s="137"/>
      <c r="J1028" s="138"/>
      <c r="K1028" s="1"/>
      <c r="L1028" s="1"/>
      <c r="Q1028" s="1"/>
      <c r="R1028" s="1"/>
      <c r="S1028" s="106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55"/>
      <c r="AN1028" s="106"/>
      <c r="AO1028" s="106"/>
      <c r="AP1028" s="106"/>
      <c r="AQ1028" s="31"/>
      <c r="AR1028" s="31"/>
      <c r="AS1028" s="31"/>
      <c r="AT1028" s="30"/>
      <c r="AU1028" s="30"/>
      <c r="AV1028" s="106"/>
      <c r="AW1028" s="106"/>
      <c r="AX1028" s="106"/>
      <c r="AY1028" s="106"/>
      <c r="AZ1028" s="106"/>
      <c r="BA1028" s="106"/>
      <c r="BB1028" s="107"/>
      <c r="BC1028" s="105"/>
      <c r="BD1028" s="105"/>
      <c r="BE1028" s="105"/>
      <c r="BF1028" s="107"/>
      <c r="BG1028" s="160"/>
      <c r="BH1028" s="106"/>
      <c r="BI1028" s="106"/>
      <c r="BJ1028" s="106"/>
      <c r="BK1028" s="106"/>
      <c r="BL1028" s="106"/>
      <c r="BM1028" s="106"/>
      <c r="BN1028" s="106"/>
      <c r="BO1028" s="106"/>
      <c r="BP1028" s="106"/>
      <c r="BQ1028" s="106"/>
      <c r="BR1028" s="106"/>
      <c r="BS1028" s="106"/>
      <c r="BT1028" s="106"/>
      <c r="BU1028" s="107"/>
      <c r="BV1028" s="107"/>
      <c r="BW1028" s="107"/>
      <c r="BX1028" s="107"/>
      <c r="BY1028" s="107"/>
      <c r="BZ1028" s="107"/>
      <c r="CA1028" s="107"/>
      <c r="CB1028" s="107"/>
      <c r="CC1028" s="107"/>
      <c r="CD1028" s="107"/>
      <c r="CE1028" s="106"/>
      <c r="CF1028" s="106"/>
      <c r="CG1028" s="106"/>
      <c r="CH1028" s="106"/>
      <c r="CI1028" s="106"/>
      <c r="CJ1028" s="138"/>
      <c r="CK1028" s="138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K1028" s="1"/>
      <c r="EL1028" s="106"/>
      <c r="EM1028" s="106"/>
      <c r="EN1028" s="1"/>
      <c r="EO1028" s="106"/>
      <c r="EP1028" s="1"/>
      <c r="EQ1028" s="1"/>
      <c r="ER1028" s="1"/>
      <c r="ES1028" s="108"/>
    </row>
    <row r="1029" spans="9:149">
      <c r="I1029" s="137"/>
      <c r="J1029" s="138"/>
      <c r="K1029" s="1"/>
      <c r="L1029" s="1"/>
      <c r="Q1029" s="1"/>
      <c r="R1029" s="1"/>
      <c r="S1029" s="106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55"/>
      <c r="AN1029" s="106"/>
      <c r="AO1029" s="106"/>
      <c r="AP1029" s="106"/>
      <c r="AQ1029" s="31"/>
      <c r="AR1029" s="31"/>
      <c r="AS1029" s="31"/>
      <c r="AT1029" s="30"/>
      <c r="AU1029" s="30"/>
      <c r="AV1029" s="106"/>
      <c r="AW1029" s="106"/>
      <c r="AX1029" s="106"/>
      <c r="AY1029" s="106"/>
      <c r="AZ1029" s="106"/>
      <c r="BA1029" s="106"/>
      <c r="BB1029" s="107"/>
      <c r="BC1029" s="105"/>
      <c r="BD1029" s="105"/>
      <c r="BE1029" s="105"/>
      <c r="BF1029" s="107"/>
      <c r="BG1029" s="160"/>
      <c r="BH1029" s="106"/>
      <c r="BI1029" s="106"/>
      <c r="BJ1029" s="106"/>
      <c r="BK1029" s="106"/>
      <c r="BL1029" s="106"/>
      <c r="BM1029" s="106"/>
      <c r="BN1029" s="106"/>
      <c r="BO1029" s="106"/>
      <c r="BP1029" s="106"/>
      <c r="BQ1029" s="106"/>
      <c r="BR1029" s="106"/>
      <c r="BS1029" s="106"/>
      <c r="BT1029" s="106"/>
      <c r="BU1029" s="107"/>
      <c r="BV1029" s="107"/>
      <c r="BW1029" s="107"/>
      <c r="BX1029" s="107"/>
      <c r="BY1029" s="107"/>
      <c r="BZ1029" s="107"/>
      <c r="CA1029" s="107"/>
      <c r="CB1029" s="107"/>
      <c r="CC1029" s="107"/>
      <c r="CD1029" s="107"/>
      <c r="CE1029" s="106"/>
      <c r="CF1029" s="106"/>
      <c r="CG1029" s="106"/>
      <c r="CH1029" s="106"/>
      <c r="CI1029" s="106"/>
      <c r="CJ1029" s="138"/>
      <c r="CK1029" s="138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K1029" s="1"/>
      <c r="EL1029" s="106"/>
      <c r="EM1029" s="106"/>
      <c r="EN1029" s="1"/>
      <c r="EO1029" s="106"/>
      <c r="EP1029" s="1"/>
      <c r="EQ1029" s="1"/>
      <c r="ER1029" s="1"/>
      <c r="ES1029" s="108"/>
    </row>
    <row r="1030" spans="9:149">
      <c r="I1030" s="137"/>
      <c r="J1030" s="138"/>
      <c r="K1030" s="1"/>
      <c r="L1030" s="1"/>
      <c r="Q1030" s="1"/>
      <c r="R1030" s="1"/>
      <c r="S1030" s="106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55"/>
      <c r="AN1030" s="106"/>
      <c r="AO1030" s="106"/>
      <c r="AP1030" s="106"/>
      <c r="AQ1030" s="31"/>
      <c r="AR1030" s="31"/>
      <c r="AS1030" s="31"/>
      <c r="AT1030" s="30"/>
      <c r="AU1030" s="30"/>
      <c r="AV1030" s="106"/>
      <c r="AW1030" s="106"/>
      <c r="AX1030" s="106"/>
      <c r="AY1030" s="106"/>
      <c r="AZ1030" s="106"/>
      <c r="BA1030" s="106"/>
      <c r="BB1030" s="107"/>
      <c r="BC1030" s="105"/>
      <c r="BD1030" s="105"/>
      <c r="BE1030" s="105"/>
      <c r="BF1030" s="107"/>
      <c r="BG1030" s="160"/>
      <c r="BH1030" s="106"/>
      <c r="BI1030" s="106"/>
      <c r="BJ1030" s="106"/>
      <c r="BK1030" s="106"/>
      <c r="BL1030" s="106"/>
      <c r="BM1030" s="106"/>
      <c r="BN1030" s="106"/>
      <c r="BO1030" s="106"/>
      <c r="BP1030" s="106"/>
      <c r="BQ1030" s="106"/>
      <c r="BR1030" s="106"/>
      <c r="BS1030" s="106"/>
      <c r="BT1030" s="106"/>
      <c r="BU1030" s="107"/>
      <c r="BV1030" s="107"/>
      <c r="BW1030" s="107"/>
      <c r="BX1030" s="107"/>
      <c r="BY1030" s="107"/>
      <c r="BZ1030" s="107"/>
      <c r="CA1030" s="107"/>
      <c r="CB1030" s="107"/>
      <c r="CC1030" s="107"/>
      <c r="CD1030" s="107"/>
      <c r="CE1030" s="106"/>
      <c r="CF1030" s="106"/>
      <c r="CG1030" s="106"/>
      <c r="CH1030" s="106"/>
      <c r="CI1030" s="106"/>
      <c r="CJ1030" s="138"/>
      <c r="CK1030" s="138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K1030" s="1"/>
      <c r="EL1030" s="106"/>
      <c r="EM1030" s="106"/>
      <c r="EN1030" s="1"/>
      <c r="EO1030" s="106"/>
      <c r="EP1030" s="1"/>
      <c r="EQ1030" s="1"/>
      <c r="ER1030" s="1"/>
      <c r="ES1030" s="108"/>
    </row>
    <row r="1031" spans="9:149">
      <c r="I1031" s="137"/>
      <c r="J1031" s="138"/>
      <c r="K1031" s="1"/>
      <c r="L1031" s="1"/>
      <c r="Q1031" s="1"/>
      <c r="R1031" s="1"/>
      <c r="S1031" s="106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55"/>
      <c r="AN1031" s="106"/>
      <c r="AO1031" s="106"/>
      <c r="AP1031" s="106"/>
      <c r="AQ1031" s="31"/>
      <c r="AR1031" s="31"/>
      <c r="AS1031" s="31"/>
      <c r="AT1031" s="30"/>
      <c r="AU1031" s="30"/>
      <c r="AV1031" s="106"/>
      <c r="AW1031" s="106"/>
      <c r="AX1031" s="106"/>
      <c r="AY1031" s="106"/>
      <c r="AZ1031" s="106"/>
      <c r="BA1031" s="106"/>
      <c r="BB1031" s="107"/>
      <c r="BC1031" s="105"/>
      <c r="BD1031" s="105"/>
      <c r="BE1031" s="105"/>
      <c r="BF1031" s="107"/>
      <c r="BG1031" s="160"/>
      <c r="BH1031" s="106"/>
      <c r="BI1031" s="106"/>
      <c r="BJ1031" s="106"/>
      <c r="BK1031" s="106"/>
      <c r="BL1031" s="106"/>
      <c r="BM1031" s="106"/>
      <c r="BN1031" s="106"/>
      <c r="BO1031" s="106"/>
      <c r="BP1031" s="106"/>
      <c r="BQ1031" s="106"/>
      <c r="BR1031" s="106"/>
      <c r="BS1031" s="106"/>
      <c r="BT1031" s="106"/>
      <c r="BU1031" s="107"/>
      <c r="BV1031" s="107"/>
      <c r="BW1031" s="107"/>
      <c r="BX1031" s="107"/>
      <c r="BY1031" s="107"/>
      <c r="BZ1031" s="107"/>
      <c r="CA1031" s="107"/>
      <c r="CB1031" s="107"/>
      <c r="CC1031" s="107"/>
      <c r="CD1031" s="107"/>
      <c r="CE1031" s="106"/>
      <c r="CF1031" s="106"/>
      <c r="CG1031" s="106"/>
      <c r="CH1031" s="106"/>
      <c r="CI1031" s="106"/>
      <c r="CJ1031" s="138"/>
      <c r="CK1031" s="138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K1031" s="1"/>
      <c r="EL1031" s="106"/>
      <c r="EM1031" s="106"/>
      <c r="EN1031" s="1"/>
      <c r="EO1031" s="106"/>
      <c r="EP1031" s="1"/>
      <c r="EQ1031" s="1"/>
      <c r="ER1031" s="1"/>
      <c r="ES1031" s="108"/>
    </row>
    <row r="1032" spans="9:149">
      <c r="I1032" s="137"/>
      <c r="J1032" s="138"/>
      <c r="K1032" s="1"/>
      <c r="L1032" s="1"/>
      <c r="Q1032" s="1"/>
      <c r="R1032" s="1"/>
      <c r="S1032" s="106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55"/>
      <c r="AN1032" s="106"/>
      <c r="AO1032" s="106"/>
      <c r="AP1032" s="106"/>
      <c r="AQ1032" s="31"/>
      <c r="AR1032" s="31"/>
      <c r="AS1032" s="31"/>
      <c r="AT1032" s="30"/>
      <c r="AU1032" s="30"/>
      <c r="AV1032" s="106"/>
      <c r="AW1032" s="106"/>
      <c r="AX1032" s="106"/>
      <c r="AY1032" s="106"/>
      <c r="AZ1032" s="106"/>
      <c r="BA1032" s="106"/>
      <c r="BB1032" s="107"/>
      <c r="BC1032" s="105"/>
      <c r="BD1032" s="105"/>
      <c r="BE1032" s="105"/>
      <c r="BF1032" s="107"/>
      <c r="BG1032" s="160"/>
      <c r="BH1032" s="106"/>
      <c r="BI1032" s="106"/>
      <c r="BJ1032" s="106"/>
      <c r="BK1032" s="106"/>
      <c r="BL1032" s="106"/>
      <c r="BM1032" s="106"/>
      <c r="BN1032" s="106"/>
      <c r="BO1032" s="106"/>
      <c r="BP1032" s="106"/>
      <c r="BQ1032" s="106"/>
      <c r="BR1032" s="106"/>
      <c r="BS1032" s="106"/>
      <c r="BT1032" s="106"/>
      <c r="BU1032" s="107"/>
      <c r="BV1032" s="107"/>
      <c r="BW1032" s="107"/>
      <c r="BX1032" s="107"/>
      <c r="BY1032" s="107"/>
      <c r="BZ1032" s="107"/>
      <c r="CA1032" s="107"/>
      <c r="CB1032" s="107"/>
      <c r="CC1032" s="107"/>
      <c r="CD1032" s="107"/>
      <c r="CE1032" s="106"/>
      <c r="CF1032" s="106"/>
      <c r="CG1032" s="106"/>
      <c r="CH1032" s="106"/>
      <c r="CI1032" s="106"/>
      <c r="CJ1032" s="138"/>
      <c r="CK1032" s="138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K1032" s="1"/>
      <c r="EL1032" s="106"/>
      <c r="EM1032" s="106"/>
      <c r="EN1032" s="1"/>
      <c r="EO1032" s="106"/>
      <c r="EP1032" s="1"/>
      <c r="EQ1032" s="1"/>
      <c r="ER1032" s="1"/>
      <c r="ES1032" s="108"/>
    </row>
    <row r="1033" spans="9:149">
      <c r="I1033" s="137"/>
      <c r="J1033" s="138"/>
      <c r="K1033" s="1"/>
      <c r="L1033" s="1"/>
      <c r="Q1033" s="1"/>
      <c r="R1033" s="1"/>
      <c r="S1033" s="106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55"/>
      <c r="AN1033" s="106"/>
      <c r="AO1033" s="106"/>
      <c r="AP1033" s="106"/>
      <c r="AQ1033" s="31"/>
      <c r="AR1033" s="31"/>
      <c r="AS1033" s="31"/>
      <c r="AT1033" s="30"/>
      <c r="AU1033" s="30"/>
      <c r="AV1033" s="106"/>
      <c r="AW1033" s="106"/>
      <c r="AX1033" s="106"/>
      <c r="AY1033" s="106"/>
      <c r="AZ1033" s="106"/>
      <c r="BA1033" s="106"/>
      <c r="BB1033" s="107"/>
      <c r="BC1033" s="105"/>
      <c r="BD1033" s="105"/>
      <c r="BE1033" s="105"/>
      <c r="BF1033" s="107"/>
      <c r="BG1033" s="160"/>
      <c r="BH1033" s="106"/>
      <c r="BI1033" s="106"/>
      <c r="BJ1033" s="106"/>
      <c r="BK1033" s="106"/>
      <c r="BL1033" s="106"/>
      <c r="BM1033" s="106"/>
      <c r="BN1033" s="106"/>
      <c r="BO1033" s="106"/>
      <c r="BP1033" s="106"/>
      <c r="BQ1033" s="106"/>
      <c r="BR1033" s="106"/>
      <c r="BS1033" s="106"/>
      <c r="BT1033" s="106"/>
      <c r="BU1033" s="107"/>
      <c r="BV1033" s="107"/>
      <c r="BW1033" s="107"/>
      <c r="BX1033" s="107"/>
      <c r="BY1033" s="107"/>
      <c r="BZ1033" s="107"/>
      <c r="CA1033" s="107"/>
      <c r="CB1033" s="107"/>
      <c r="CC1033" s="107"/>
      <c r="CD1033" s="107"/>
      <c r="CE1033" s="106"/>
      <c r="CF1033" s="106"/>
      <c r="CG1033" s="106"/>
      <c r="CH1033" s="106"/>
      <c r="CI1033" s="106"/>
      <c r="CJ1033" s="138"/>
      <c r="CK1033" s="138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K1033" s="1"/>
      <c r="EL1033" s="106"/>
      <c r="EM1033" s="106"/>
      <c r="EN1033" s="1"/>
      <c r="EO1033" s="106"/>
      <c r="EP1033" s="1"/>
      <c r="EQ1033" s="1"/>
      <c r="ER1033" s="1"/>
      <c r="ES1033" s="108"/>
    </row>
    <row r="1034" spans="9:149">
      <c r="I1034" s="137"/>
      <c r="J1034" s="138"/>
      <c r="K1034" s="1"/>
      <c r="L1034" s="1"/>
      <c r="Q1034" s="1"/>
      <c r="R1034" s="1"/>
      <c r="S1034" s="106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55"/>
      <c r="AN1034" s="106"/>
      <c r="AO1034" s="106"/>
      <c r="AP1034" s="106"/>
      <c r="AQ1034" s="31"/>
      <c r="AR1034" s="31"/>
      <c r="AS1034" s="31"/>
      <c r="AT1034" s="30"/>
      <c r="AU1034" s="30"/>
      <c r="AV1034" s="106"/>
      <c r="AW1034" s="106"/>
      <c r="AX1034" s="106"/>
      <c r="AY1034" s="106"/>
      <c r="AZ1034" s="106"/>
      <c r="BA1034" s="106"/>
      <c r="BB1034" s="107"/>
      <c r="BC1034" s="105"/>
      <c r="BD1034" s="105"/>
      <c r="BE1034" s="105"/>
      <c r="BF1034" s="107"/>
      <c r="BG1034" s="160"/>
      <c r="BH1034" s="106"/>
      <c r="BI1034" s="106"/>
      <c r="BJ1034" s="106"/>
      <c r="BK1034" s="106"/>
      <c r="BL1034" s="106"/>
      <c r="BM1034" s="106"/>
      <c r="BN1034" s="106"/>
      <c r="BO1034" s="106"/>
      <c r="BP1034" s="106"/>
      <c r="BQ1034" s="106"/>
      <c r="BR1034" s="106"/>
      <c r="BS1034" s="106"/>
      <c r="BT1034" s="106"/>
      <c r="BU1034" s="107"/>
      <c r="BV1034" s="107"/>
      <c r="BW1034" s="107"/>
      <c r="BX1034" s="107"/>
      <c r="BY1034" s="107"/>
      <c r="BZ1034" s="107"/>
      <c r="CA1034" s="107"/>
      <c r="CB1034" s="107"/>
      <c r="CC1034" s="107"/>
      <c r="CD1034" s="107"/>
      <c r="CE1034" s="106"/>
      <c r="CF1034" s="106"/>
      <c r="CG1034" s="106"/>
      <c r="CH1034" s="106"/>
      <c r="CI1034" s="106"/>
      <c r="CJ1034" s="138"/>
      <c r="CK1034" s="138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K1034" s="1"/>
      <c r="EL1034" s="106"/>
      <c r="EM1034" s="106"/>
      <c r="EN1034" s="1"/>
      <c r="EO1034" s="106"/>
      <c r="EP1034" s="1"/>
      <c r="EQ1034" s="1"/>
      <c r="ER1034" s="1"/>
      <c r="ES1034" s="108"/>
    </row>
    <row r="1035" spans="9:149">
      <c r="I1035" s="137"/>
      <c r="J1035" s="138"/>
      <c r="K1035" s="1"/>
      <c r="L1035" s="1"/>
      <c r="Q1035" s="1"/>
      <c r="R1035" s="1"/>
      <c r="S1035" s="106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55"/>
      <c r="AN1035" s="106"/>
      <c r="AO1035" s="106"/>
      <c r="AP1035" s="106"/>
      <c r="AQ1035" s="31"/>
      <c r="AR1035" s="31"/>
      <c r="AS1035" s="31"/>
      <c r="AT1035" s="30"/>
      <c r="AU1035" s="30"/>
      <c r="AV1035" s="106"/>
      <c r="AW1035" s="106"/>
      <c r="AX1035" s="106"/>
      <c r="AY1035" s="106"/>
      <c r="AZ1035" s="106"/>
      <c r="BA1035" s="106"/>
      <c r="BB1035" s="107"/>
      <c r="BC1035" s="105"/>
      <c r="BD1035" s="105"/>
      <c r="BE1035" s="105"/>
      <c r="BF1035" s="107"/>
      <c r="BG1035" s="160"/>
      <c r="BH1035" s="106"/>
      <c r="BI1035" s="106"/>
      <c r="BJ1035" s="106"/>
      <c r="BK1035" s="106"/>
      <c r="BL1035" s="106"/>
      <c r="BM1035" s="106"/>
      <c r="BN1035" s="106"/>
      <c r="BO1035" s="106"/>
      <c r="BP1035" s="106"/>
      <c r="BQ1035" s="106"/>
      <c r="BR1035" s="106"/>
      <c r="BS1035" s="106"/>
      <c r="BT1035" s="106"/>
      <c r="BU1035" s="107"/>
      <c r="BV1035" s="107"/>
      <c r="BW1035" s="107"/>
      <c r="BX1035" s="107"/>
      <c r="BY1035" s="107"/>
      <c r="BZ1035" s="107"/>
      <c r="CA1035" s="107"/>
      <c r="CB1035" s="107"/>
      <c r="CC1035" s="107"/>
      <c r="CD1035" s="107"/>
      <c r="CE1035" s="106"/>
      <c r="CF1035" s="106"/>
      <c r="CG1035" s="106"/>
      <c r="CH1035" s="106"/>
      <c r="CI1035" s="106"/>
      <c r="CJ1035" s="138"/>
      <c r="CK1035" s="138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K1035" s="1"/>
      <c r="EL1035" s="106"/>
      <c r="EM1035" s="106"/>
      <c r="EN1035" s="1"/>
      <c r="EO1035" s="106"/>
      <c r="EP1035" s="1"/>
      <c r="EQ1035" s="1"/>
      <c r="ER1035" s="1"/>
      <c r="ES1035" s="108"/>
    </row>
    <row r="1036" spans="9:149">
      <c r="I1036" s="137"/>
      <c r="J1036" s="138"/>
      <c r="K1036" s="1"/>
      <c r="L1036" s="1"/>
      <c r="Q1036" s="1"/>
      <c r="R1036" s="1"/>
      <c r="S1036" s="106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55"/>
      <c r="AN1036" s="106"/>
      <c r="AO1036" s="106"/>
      <c r="AP1036" s="106"/>
      <c r="AQ1036" s="31"/>
      <c r="AR1036" s="31"/>
      <c r="AS1036" s="31"/>
      <c r="AT1036" s="30"/>
      <c r="AU1036" s="30"/>
      <c r="AV1036" s="106"/>
      <c r="AW1036" s="106"/>
      <c r="AX1036" s="106"/>
      <c r="AY1036" s="106"/>
      <c r="AZ1036" s="106"/>
      <c r="BA1036" s="106"/>
      <c r="BB1036" s="107"/>
      <c r="BC1036" s="105"/>
      <c r="BD1036" s="105"/>
      <c r="BE1036" s="105"/>
      <c r="BF1036" s="107"/>
      <c r="BG1036" s="160"/>
      <c r="BH1036" s="106"/>
      <c r="BI1036" s="106"/>
      <c r="BJ1036" s="106"/>
      <c r="BK1036" s="106"/>
      <c r="BL1036" s="106"/>
      <c r="BM1036" s="106"/>
      <c r="BN1036" s="106"/>
      <c r="BO1036" s="106"/>
      <c r="BP1036" s="106"/>
      <c r="BQ1036" s="106"/>
      <c r="BR1036" s="106"/>
      <c r="BS1036" s="106"/>
      <c r="BT1036" s="106"/>
      <c r="BU1036" s="107"/>
      <c r="BV1036" s="107"/>
      <c r="BW1036" s="107"/>
      <c r="BX1036" s="107"/>
      <c r="BY1036" s="107"/>
      <c r="BZ1036" s="107"/>
      <c r="CA1036" s="107"/>
      <c r="CB1036" s="107"/>
      <c r="CC1036" s="107"/>
      <c r="CD1036" s="107"/>
      <c r="CE1036" s="106"/>
      <c r="CF1036" s="106"/>
      <c r="CG1036" s="106"/>
      <c r="CH1036" s="106"/>
      <c r="CI1036" s="106"/>
      <c r="CJ1036" s="138"/>
      <c r="CK1036" s="138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K1036" s="1"/>
      <c r="EL1036" s="106"/>
      <c r="EM1036" s="106"/>
      <c r="EN1036" s="1"/>
      <c r="EO1036" s="106"/>
      <c r="EP1036" s="1"/>
      <c r="EQ1036" s="1"/>
      <c r="ER1036" s="1"/>
      <c r="ES1036" s="108"/>
    </row>
    <row r="1037" spans="9:149">
      <c r="I1037" s="137"/>
      <c r="J1037" s="138"/>
      <c r="K1037" s="1"/>
      <c r="L1037" s="1"/>
      <c r="Q1037" s="1"/>
      <c r="R1037" s="1"/>
      <c r="S1037" s="106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55"/>
      <c r="AN1037" s="106"/>
      <c r="AO1037" s="106"/>
      <c r="AP1037" s="106"/>
      <c r="AQ1037" s="31"/>
      <c r="AR1037" s="31"/>
      <c r="AS1037" s="31"/>
      <c r="AT1037" s="30"/>
      <c r="AU1037" s="30"/>
      <c r="AV1037" s="106"/>
      <c r="AW1037" s="106"/>
      <c r="AX1037" s="106"/>
      <c r="AY1037" s="106"/>
      <c r="AZ1037" s="106"/>
      <c r="BA1037" s="106"/>
      <c r="BB1037" s="107"/>
      <c r="BC1037" s="105"/>
      <c r="BD1037" s="105"/>
      <c r="BE1037" s="105"/>
      <c r="BF1037" s="107"/>
      <c r="BG1037" s="160"/>
      <c r="BH1037" s="106"/>
      <c r="BI1037" s="106"/>
      <c r="BJ1037" s="106"/>
      <c r="BK1037" s="106"/>
      <c r="BL1037" s="106"/>
      <c r="BM1037" s="106"/>
      <c r="BN1037" s="106"/>
      <c r="BO1037" s="106"/>
      <c r="BP1037" s="106"/>
      <c r="BQ1037" s="106"/>
      <c r="BR1037" s="106"/>
      <c r="BS1037" s="106"/>
      <c r="BT1037" s="106"/>
      <c r="BU1037" s="107"/>
      <c r="BV1037" s="107"/>
      <c r="BW1037" s="107"/>
      <c r="BX1037" s="107"/>
      <c r="BY1037" s="107"/>
      <c r="BZ1037" s="107"/>
      <c r="CA1037" s="107"/>
      <c r="CB1037" s="107"/>
      <c r="CC1037" s="107"/>
      <c r="CD1037" s="107"/>
      <c r="CE1037" s="106"/>
      <c r="CF1037" s="106"/>
      <c r="CG1037" s="106"/>
      <c r="CH1037" s="106"/>
      <c r="CI1037" s="106"/>
      <c r="CJ1037" s="138"/>
      <c r="CK1037" s="138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K1037" s="1"/>
      <c r="EL1037" s="106"/>
      <c r="EM1037" s="106"/>
      <c r="EN1037" s="1"/>
      <c r="EO1037" s="106"/>
      <c r="EP1037" s="1"/>
      <c r="EQ1037" s="1"/>
      <c r="ER1037" s="1"/>
      <c r="ES1037" s="108"/>
    </row>
    <row r="1038" spans="9:149">
      <c r="I1038" s="137"/>
      <c r="J1038" s="138"/>
      <c r="K1038" s="1"/>
      <c r="L1038" s="1"/>
      <c r="Q1038" s="1"/>
      <c r="R1038" s="1"/>
      <c r="S1038" s="106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55"/>
      <c r="AN1038" s="106"/>
      <c r="AO1038" s="106"/>
      <c r="AP1038" s="106"/>
      <c r="AQ1038" s="31"/>
      <c r="AR1038" s="31"/>
      <c r="AS1038" s="31"/>
      <c r="AT1038" s="30"/>
      <c r="AU1038" s="30"/>
      <c r="AV1038" s="106"/>
      <c r="AW1038" s="106"/>
      <c r="AX1038" s="106"/>
      <c r="AY1038" s="106"/>
      <c r="AZ1038" s="106"/>
      <c r="BA1038" s="106"/>
      <c r="BB1038" s="107"/>
      <c r="BC1038" s="105"/>
      <c r="BD1038" s="105"/>
      <c r="BE1038" s="105"/>
      <c r="BF1038" s="107"/>
      <c r="BG1038" s="160"/>
      <c r="BH1038" s="106"/>
      <c r="BI1038" s="106"/>
      <c r="BJ1038" s="106"/>
      <c r="BK1038" s="106"/>
      <c r="BL1038" s="106"/>
      <c r="BM1038" s="106"/>
      <c r="BN1038" s="106"/>
      <c r="BO1038" s="106"/>
      <c r="BP1038" s="106"/>
      <c r="BQ1038" s="106"/>
      <c r="BR1038" s="106"/>
      <c r="BS1038" s="106"/>
      <c r="BT1038" s="106"/>
      <c r="BU1038" s="107"/>
      <c r="BV1038" s="107"/>
      <c r="BW1038" s="107"/>
      <c r="BX1038" s="107"/>
      <c r="BY1038" s="107"/>
      <c r="BZ1038" s="107"/>
      <c r="CA1038" s="107"/>
      <c r="CB1038" s="107"/>
      <c r="CC1038" s="107"/>
      <c r="CD1038" s="107"/>
      <c r="CE1038" s="106"/>
      <c r="CF1038" s="106"/>
      <c r="CG1038" s="106"/>
      <c r="CH1038" s="106"/>
      <c r="CI1038" s="106"/>
      <c r="CJ1038" s="138"/>
      <c r="CK1038" s="138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K1038" s="1"/>
      <c r="EL1038" s="106"/>
      <c r="EM1038" s="106"/>
      <c r="EN1038" s="1"/>
      <c r="EO1038" s="106"/>
      <c r="EP1038" s="1"/>
      <c r="EQ1038" s="1"/>
      <c r="ER1038" s="1"/>
      <c r="ES1038" s="108"/>
    </row>
    <row r="1039" spans="9:149">
      <c r="I1039" s="137"/>
      <c r="J1039" s="138"/>
      <c r="K1039" s="1"/>
      <c r="L1039" s="1"/>
      <c r="Q1039" s="1"/>
      <c r="R1039" s="1"/>
      <c r="S1039" s="106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55"/>
      <c r="AN1039" s="106"/>
      <c r="AO1039" s="106"/>
      <c r="AP1039" s="106"/>
      <c r="AQ1039" s="31"/>
      <c r="AR1039" s="31"/>
      <c r="AS1039" s="31"/>
      <c r="AT1039" s="30"/>
      <c r="AU1039" s="30"/>
      <c r="AV1039" s="106"/>
      <c r="AW1039" s="106"/>
      <c r="AX1039" s="106"/>
      <c r="AY1039" s="106"/>
      <c r="AZ1039" s="106"/>
      <c r="BA1039" s="106"/>
      <c r="BB1039" s="107"/>
      <c r="BC1039" s="105"/>
      <c r="BD1039" s="105"/>
      <c r="BE1039" s="105"/>
      <c r="BF1039" s="107"/>
      <c r="BG1039" s="160"/>
      <c r="BH1039" s="106"/>
      <c r="BI1039" s="106"/>
      <c r="BJ1039" s="106"/>
      <c r="BK1039" s="106"/>
      <c r="BL1039" s="106"/>
      <c r="BM1039" s="106"/>
      <c r="BN1039" s="106"/>
      <c r="BO1039" s="106"/>
      <c r="BP1039" s="106"/>
      <c r="BQ1039" s="106"/>
      <c r="BR1039" s="106"/>
      <c r="BS1039" s="106"/>
      <c r="BT1039" s="106"/>
      <c r="BU1039" s="107"/>
      <c r="BV1039" s="107"/>
      <c r="BW1039" s="107"/>
      <c r="BX1039" s="107"/>
      <c r="BY1039" s="107"/>
      <c r="BZ1039" s="107"/>
      <c r="CA1039" s="107"/>
      <c r="CB1039" s="107"/>
      <c r="CC1039" s="107"/>
      <c r="CD1039" s="107"/>
      <c r="CE1039" s="106"/>
      <c r="CF1039" s="106"/>
      <c r="CG1039" s="106"/>
      <c r="CH1039" s="106"/>
      <c r="CI1039" s="106"/>
      <c r="CJ1039" s="138"/>
      <c r="CK1039" s="138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K1039" s="1"/>
      <c r="EL1039" s="106"/>
      <c r="EM1039" s="106"/>
      <c r="EN1039" s="1"/>
      <c r="EO1039" s="106"/>
      <c r="EP1039" s="1"/>
      <c r="EQ1039" s="1"/>
      <c r="ER1039" s="1"/>
      <c r="ES1039" s="108"/>
    </row>
    <row r="1040" spans="9:149">
      <c r="I1040" s="137"/>
      <c r="J1040" s="138"/>
      <c r="K1040" s="1"/>
      <c r="L1040" s="1"/>
      <c r="Q1040" s="1"/>
      <c r="R1040" s="1"/>
      <c r="S1040" s="106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55"/>
      <c r="AN1040" s="106"/>
      <c r="AO1040" s="106"/>
      <c r="AP1040" s="106"/>
      <c r="AQ1040" s="31"/>
      <c r="AR1040" s="31"/>
      <c r="AS1040" s="31"/>
      <c r="AT1040" s="30"/>
      <c r="AU1040" s="30"/>
      <c r="AV1040" s="106"/>
      <c r="AW1040" s="106"/>
      <c r="AX1040" s="106"/>
      <c r="AY1040" s="106"/>
      <c r="AZ1040" s="106"/>
      <c r="BA1040" s="106"/>
      <c r="BB1040" s="107"/>
      <c r="BC1040" s="105"/>
      <c r="BD1040" s="105"/>
      <c r="BE1040" s="105"/>
      <c r="BF1040" s="107"/>
      <c r="BG1040" s="160"/>
      <c r="BH1040" s="106"/>
      <c r="BI1040" s="106"/>
      <c r="BJ1040" s="106"/>
      <c r="BK1040" s="106"/>
      <c r="BL1040" s="106"/>
      <c r="BM1040" s="106"/>
      <c r="BN1040" s="106"/>
      <c r="BO1040" s="106"/>
      <c r="BP1040" s="106"/>
      <c r="BQ1040" s="106"/>
      <c r="BR1040" s="106"/>
      <c r="BS1040" s="106"/>
      <c r="BT1040" s="106"/>
      <c r="BU1040" s="107"/>
      <c r="BV1040" s="107"/>
      <c r="BW1040" s="107"/>
      <c r="BX1040" s="107"/>
      <c r="BY1040" s="107"/>
      <c r="BZ1040" s="107"/>
      <c r="CA1040" s="107"/>
      <c r="CB1040" s="107"/>
      <c r="CC1040" s="107"/>
      <c r="CD1040" s="107"/>
      <c r="CE1040" s="106"/>
      <c r="CF1040" s="106"/>
      <c r="CG1040" s="106"/>
      <c r="CH1040" s="106"/>
      <c r="CI1040" s="106"/>
      <c r="CJ1040" s="138"/>
      <c r="CK1040" s="138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K1040" s="1"/>
      <c r="EL1040" s="106"/>
      <c r="EM1040" s="106"/>
      <c r="EN1040" s="1"/>
      <c r="EO1040" s="106"/>
      <c r="EP1040" s="1"/>
      <c r="EQ1040" s="1"/>
      <c r="ER1040" s="1"/>
      <c r="ES1040" s="108"/>
    </row>
    <row r="1041" spans="9:149">
      <c r="I1041" s="137"/>
      <c r="J1041" s="138"/>
      <c r="K1041" s="1"/>
      <c r="L1041" s="1"/>
      <c r="Q1041" s="1"/>
      <c r="R1041" s="1"/>
      <c r="S1041" s="106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55"/>
      <c r="AN1041" s="106"/>
      <c r="AO1041" s="106"/>
      <c r="AP1041" s="106"/>
      <c r="AQ1041" s="31"/>
      <c r="AR1041" s="31"/>
      <c r="AS1041" s="31"/>
      <c r="AT1041" s="30"/>
      <c r="AU1041" s="30"/>
      <c r="AV1041" s="106"/>
      <c r="AW1041" s="106"/>
      <c r="AX1041" s="106"/>
      <c r="AY1041" s="106"/>
      <c r="AZ1041" s="106"/>
      <c r="BA1041" s="106"/>
      <c r="BB1041" s="107"/>
      <c r="BC1041" s="105"/>
      <c r="BD1041" s="105"/>
      <c r="BE1041" s="105"/>
      <c r="BF1041" s="107"/>
      <c r="BG1041" s="160"/>
      <c r="BH1041" s="106"/>
      <c r="BI1041" s="106"/>
      <c r="BJ1041" s="106"/>
      <c r="BK1041" s="106"/>
      <c r="BL1041" s="106"/>
      <c r="BM1041" s="106"/>
      <c r="BN1041" s="106"/>
      <c r="BO1041" s="106"/>
      <c r="BP1041" s="106"/>
      <c r="BQ1041" s="106"/>
      <c r="BR1041" s="106"/>
      <c r="BS1041" s="106"/>
      <c r="BT1041" s="106"/>
      <c r="BU1041" s="107"/>
      <c r="BV1041" s="107"/>
      <c r="BW1041" s="107"/>
      <c r="BX1041" s="107"/>
      <c r="BY1041" s="107"/>
      <c r="BZ1041" s="107"/>
      <c r="CA1041" s="107"/>
      <c r="CB1041" s="107"/>
      <c r="CC1041" s="107"/>
      <c r="CD1041" s="107"/>
      <c r="CE1041" s="106"/>
      <c r="CF1041" s="106"/>
      <c r="CG1041" s="106"/>
      <c r="CH1041" s="106"/>
      <c r="CI1041" s="106"/>
      <c r="CJ1041" s="138"/>
      <c r="CK1041" s="138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K1041" s="1"/>
      <c r="EL1041" s="106"/>
      <c r="EM1041" s="106"/>
      <c r="EN1041" s="1"/>
      <c r="EO1041" s="106"/>
      <c r="EP1041" s="1"/>
      <c r="EQ1041" s="1"/>
      <c r="ER1041" s="1"/>
      <c r="ES1041" s="108"/>
    </row>
    <row r="1042" spans="9:149">
      <c r="I1042" s="137"/>
      <c r="J1042" s="138"/>
      <c r="K1042" s="1"/>
      <c r="L1042" s="1"/>
      <c r="Q1042" s="1"/>
      <c r="R1042" s="1"/>
      <c r="S1042" s="106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55"/>
      <c r="AN1042" s="106"/>
      <c r="AO1042" s="106"/>
      <c r="AP1042" s="106"/>
      <c r="AQ1042" s="31"/>
      <c r="AR1042" s="31"/>
      <c r="AS1042" s="31"/>
      <c r="AT1042" s="30"/>
      <c r="AU1042" s="30"/>
      <c r="AV1042" s="106"/>
      <c r="AW1042" s="106"/>
      <c r="AX1042" s="106"/>
      <c r="AY1042" s="106"/>
      <c r="AZ1042" s="106"/>
      <c r="BA1042" s="106"/>
      <c r="BB1042" s="107"/>
      <c r="BC1042" s="105"/>
      <c r="BD1042" s="105"/>
      <c r="BE1042" s="105"/>
      <c r="BF1042" s="107"/>
      <c r="BG1042" s="160"/>
      <c r="BH1042" s="106"/>
      <c r="BI1042" s="106"/>
      <c r="BJ1042" s="106"/>
      <c r="BK1042" s="106"/>
      <c r="BL1042" s="106"/>
      <c r="BM1042" s="106"/>
      <c r="BN1042" s="106"/>
      <c r="BO1042" s="106"/>
      <c r="BP1042" s="106"/>
      <c r="BQ1042" s="106"/>
      <c r="BR1042" s="106"/>
      <c r="BS1042" s="106"/>
      <c r="BT1042" s="106"/>
      <c r="BU1042" s="107"/>
      <c r="BV1042" s="107"/>
      <c r="BW1042" s="107"/>
      <c r="BX1042" s="107"/>
      <c r="BY1042" s="107"/>
      <c r="BZ1042" s="107"/>
      <c r="CA1042" s="107"/>
      <c r="CB1042" s="107"/>
      <c r="CC1042" s="107"/>
      <c r="CD1042" s="107"/>
      <c r="CE1042" s="106"/>
      <c r="CF1042" s="106"/>
      <c r="CG1042" s="106"/>
      <c r="CH1042" s="106"/>
      <c r="CI1042" s="106"/>
      <c r="CJ1042" s="138"/>
      <c r="CK1042" s="138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K1042" s="1"/>
      <c r="EL1042" s="106"/>
      <c r="EM1042" s="106"/>
      <c r="EN1042" s="1"/>
      <c r="EO1042" s="106"/>
      <c r="EP1042" s="1"/>
      <c r="EQ1042" s="1"/>
      <c r="ER1042" s="1"/>
      <c r="ES1042" s="108"/>
    </row>
    <row r="1043" spans="9:149">
      <c r="I1043" s="137"/>
      <c r="J1043" s="138"/>
      <c r="K1043" s="1"/>
      <c r="L1043" s="1"/>
      <c r="Q1043" s="1"/>
      <c r="R1043" s="1"/>
      <c r="S1043" s="106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55"/>
      <c r="AN1043" s="106"/>
      <c r="AO1043" s="106"/>
      <c r="AP1043" s="106"/>
      <c r="AQ1043" s="31"/>
      <c r="AR1043" s="31"/>
      <c r="AS1043" s="31"/>
      <c r="AT1043" s="30"/>
      <c r="AU1043" s="30"/>
      <c r="AV1043" s="106"/>
      <c r="AW1043" s="106"/>
      <c r="AX1043" s="106"/>
      <c r="AY1043" s="106"/>
      <c r="AZ1043" s="106"/>
      <c r="BA1043" s="106"/>
      <c r="BB1043" s="107"/>
      <c r="BC1043" s="105"/>
      <c r="BD1043" s="105"/>
      <c r="BE1043" s="105"/>
      <c r="BF1043" s="107"/>
      <c r="BG1043" s="160"/>
      <c r="BH1043" s="106"/>
      <c r="BI1043" s="106"/>
      <c r="BJ1043" s="106"/>
      <c r="BK1043" s="106"/>
      <c r="BL1043" s="106"/>
      <c r="BM1043" s="106"/>
      <c r="BN1043" s="106"/>
      <c r="BO1043" s="106"/>
      <c r="BP1043" s="106"/>
      <c r="BQ1043" s="106"/>
      <c r="BR1043" s="106"/>
      <c r="BS1043" s="106"/>
      <c r="BT1043" s="106"/>
      <c r="BU1043" s="107"/>
      <c r="BV1043" s="107"/>
      <c r="BW1043" s="107"/>
      <c r="BX1043" s="107"/>
      <c r="BY1043" s="107"/>
      <c r="BZ1043" s="107"/>
      <c r="CA1043" s="107"/>
      <c r="CB1043" s="107"/>
      <c r="CC1043" s="107"/>
      <c r="CD1043" s="107"/>
      <c r="CE1043" s="106"/>
      <c r="CF1043" s="106"/>
      <c r="CG1043" s="106"/>
      <c r="CH1043" s="106"/>
      <c r="CI1043" s="106"/>
      <c r="CJ1043" s="138"/>
      <c r="CK1043" s="138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K1043" s="1"/>
      <c r="EL1043" s="106"/>
      <c r="EM1043" s="106"/>
      <c r="EN1043" s="1"/>
      <c r="EO1043" s="106"/>
      <c r="EP1043" s="1"/>
      <c r="EQ1043" s="1"/>
      <c r="ER1043" s="1"/>
      <c r="ES1043" s="108"/>
    </row>
    <row r="1044" spans="9:149">
      <c r="I1044" s="137"/>
      <c r="J1044" s="138"/>
      <c r="K1044" s="1"/>
      <c r="L1044" s="1"/>
      <c r="Q1044" s="1"/>
      <c r="R1044" s="1"/>
      <c r="S1044" s="106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55"/>
      <c r="AN1044" s="106"/>
      <c r="AO1044" s="106"/>
      <c r="AP1044" s="106"/>
      <c r="AQ1044" s="31"/>
      <c r="AR1044" s="31"/>
      <c r="AS1044" s="31"/>
      <c r="AT1044" s="30"/>
      <c r="AU1044" s="30"/>
      <c r="AV1044" s="106"/>
      <c r="AW1044" s="106"/>
      <c r="AX1044" s="106"/>
      <c r="AY1044" s="106"/>
      <c r="AZ1044" s="106"/>
      <c r="BA1044" s="106"/>
      <c r="BB1044" s="107"/>
      <c r="BC1044" s="105"/>
      <c r="BD1044" s="105"/>
      <c r="BE1044" s="105"/>
      <c r="BF1044" s="107"/>
      <c r="BG1044" s="160"/>
      <c r="BH1044" s="106"/>
      <c r="BI1044" s="106"/>
      <c r="BJ1044" s="106"/>
      <c r="BK1044" s="106"/>
      <c r="BL1044" s="106"/>
      <c r="BM1044" s="106"/>
      <c r="BN1044" s="106"/>
      <c r="BO1044" s="106"/>
      <c r="BP1044" s="106"/>
      <c r="BQ1044" s="106"/>
      <c r="BR1044" s="106"/>
      <c r="BS1044" s="106"/>
      <c r="BT1044" s="106"/>
      <c r="BU1044" s="107"/>
      <c r="BV1044" s="107"/>
      <c r="BW1044" s="107"/>
      <c r="BX1044" s="107"/>
      <c r="BY1044" s="107"/>
      <c r="BZ1044" s="107"/>
      <c r="CA1044" s="107"/>
      <c r="CB1044" s="107"/>
      <c r="CC1044" s="107"/>
      <c r="CD1044" s="107"/>
      <c r="CE1044" s="106"/>
      <c r="CF1044" s="106"/>
      <c r="CG1044" s="106"/>
      <c r="CH1044" s="106"/>
      <c r="CI1044" s="106"/>
      <c r="CJ1044" s="138"/>
      <c r="CK1044" s="138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K1044" s="1"/>
      <c r="EL1044" s="106"/>
      <c r="EM1044" s="106"/>
      <c r="EN1044" s="1"/>
      <c r="EO1044" s="106"/>
      <c r="EP1044" s="1"/>
      <c r="EQ1044" s="1"/>
      <c r="ER1044" s="1"/>
      <c r="ES1044" s="108"/>
    </row>
    <row r="1045" spans="9:149">
      <c r="I1045" s="137"/>
      <c r="J1045" s="138"/>
      <c r="K1045" s="1"/>
      <c r="L1045" s="1"/>
      <c r="Q1045" s="1"/>
      <c r="R1045" s="1"/>
      <c r="S1045" s="106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55"/>
      <c r="AN1045" s="106"/>
      <c r="AO1045" s="106"/>
      <c r="AP1045" s="106"/>
      <c r="AQ1045" s="31"/>
      <c r="AR1045" s="31"/>
      <c r="AS1045" s="31"/>
      <c r="AT1045" s="30"/>
      <c r="AU1045" s="30"/>
      <c r="AV1045" s="106"/>
      <c r="AW1045" s="106"/>
      <c r="AX1045" s="106"/>
      <c r="AY1045" s="106"/>
      <c r="AZ1045" s="106"/>
      <c r="BA1045" s="106"/>
      <c r="BB1045" s="107"/>
      <c r="BC1045" s="105"/>
      <c r="BD1045" s="105"/>
      <c r="BE1045" s="105"/>
      <c r="BF1045" s="107"/>
      <c r="BG1045" s="160"/>
      <c r="BH1045" s="106"/>
      <c r="BI1045" s="106"/>
      <c r="BJ1045" s="106"/>
      <c r="BK1045" s="106"/>
      <c r="BL1045" s="106"/>
      <c r="BM1045" s="106"/>
      <c r="BN1045" s="106"/>
      <c r="BO1045" s="106"/>
      <c r="BP1045" s="106"/>
      <c r="BQ1045" s="106"/>
      <c r="BR1045" s="106"/>
      <c r="BS1045" s="106"/>
      <c r="BT1045" s="106"/>
      <c r="BU1045" s="107"/>
      <c r="BV1045" s="107"/>
      <c r="BW1045" s="107"/>
      <c r="BX1045" s="107"/>
      <c r="BY1045" s="107"/>
      <c r="BZ1045" s="107"/>
      <c r="CA1045" s="107"/>
      <c r="CB1045" s="107"/>
      <c r="CC1045" s="107"/>
      <c r="CD1045" s="107"/>
      <c r="CE1045" s="106"/>
      <c r="CF1045" s="106"/>
      <c r="CG1045" s="106"/>
      <c r="CH1045" s="106"/>
      <c r="CI1045" s="106"/>
      <c r="CJ1045" s="138"/>
      <c r="CK1045" s="138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K1045" s="1"/>
      <c r="EL1045" s="106"/>
      <c r="EM1045" s="106"/>
      <c r="EN1045" s="1"/>
      <c r="EO1045" s="106"/>
      <c r="EP1045" s="1"/>
      <c r="EQ1045" s="1"/>
      <c r="ER1045" s="1"/>
      <c r="ES1045" s="108"/>
    </row>
    <row r="1046" spans="9:149">
      <c r="I1046" s="137"/>
      <c r="J1046" s="138"/>
      <c r="K1046" s="1"/>
      <c r="L1046" s="1"/>
      <c r="Q1046" s="1"/>
      <c r="R1046" s="1"/>
      <c r="S1046" s="106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55"/>
      <c r="AN1046" s="106"/>
      <c r="AO1046" s="106"/>
      <c r="AP1046" s="106"/>
      <c r="AQ1046" s="31"/>
      <c r="AR1046" s="31"/>
      <c r="AS1046" s="31"/>
      <c r="AT1046" s="30"/>
      <c r="AU1046" s="30"/>
      <c r="AV1046" s="106"/>
      <c r="AW1046" s="106"/>
      <c r="AX1046" s="106"/>
      <c r="AY1046" s="106"/>
      <c r="AZ1046" s="106"/>
      <c r="BA1046" s="106"/>
      <c r="BB1046" s="107"/>
      <c r="BC1046" s="105"/>
      <c r="BD1046" s="105"/>
      <c r="BE1046" s="105"/>
      <c r="BF1046" s="107"/>
      <c r="BG1046" s="160"/>
      <c r="BH1046" s="106"/>
      <c r="BI1046" s="106"/>
      <c r="BJ1046" s="106"/>
      <c r="BK1046" s="106"/>
      <c r="BL1046" s="106"/>
      <c r="BM1046" s="106"/>
      <c r="BN1046" s="106"/>
      <c r="BO1046" s="106"/>
      <c r="BP1046" s="106"/>
      <c r="BQ1046" s="106"/>
      <c r="BR1046" s="106"/>
      <c r="BS1046" s="106"/>
      <c r="BT1046" s="106"/>
      <c r="BU1046" s="107"/>
      <c r="BV1046" s="107"/>
      <c r="BW1046" s="107"/>
      <c r="BX1046" s="107"/>
      <c r="BY1046" s="107"/>
      <c r="BZ1046" s="107"/>
      <c r="CA1046" s="107"/>
      <c r="CB1046" s="107"/>
      <c r="CC1046" s="107"/>
      <c r="CD1046" s="107"/>
      <c r="CE1046" s="106"/>
      <c r="CF1046" s="106"/>
      <c r="CG1046" s="106"/>
      <c r="CH1046" s="106"/>
      <c r="CI1046" s="106"/>
      <c r="CJ1046" s="138"/>
      <c r="CK1046" s="138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K1046" s="1"/>
      <c r="EL1046" s="106"/>
      <c r="EM1046" s="106"/>
      <c r="EN1046" s="1"/>
      <c r="EO1046" s="106"/>
      <c r="EP1046" s="1"/>
      <c r="EQ1046" s="1"/>
      <c r="ER1046" s="1"/>
      <c r="ES1046" s="108"/>
    </row>
    <row r="1047" spans="9:149">
      <c r="I1047" s="137"/>
      <c r="J1047" s="138"/>
      <c r="K1047" s="1"/>
      <c r="L1047" s="1"/>
      <c r="Q1047" s="1"/>
      <c r="R1047" s="1"/>
      <c r="S1047" s="106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55"/>
      <c r="AN1047" s="106"/>
      <c r="AO1047" s="106"/>
      <c r="AP1047" s="106"/>
      <c r="AQ1047" s="31"/>
      <c r="AR1047" s="31"/>
      <c r="AS1047" s="31"/>
      <c r="AT1047" s="30"/>
      <c r="AU1047" s="30"/>
      <c r="AV1047" s="106"/>
      <c r="AW1047" s="106"/>
      <c r="AX1047" s="106"/>
      <c r="AY1047" s="106"/>
      <c r="AZ1047" s="106"/>
      <c r="BA1047" s="106"/>
      <c r="BB1047" s="107"/>
      <c r="BC1047" s="105"/>
      <c r="BD1047" s="105"/>
      <c r="BE1047" s="105"/>
      <c r="BF1047" s="107"/>
      <c r="BG1047" s="160"/>
      <c r="BH1047" s="106"/>
      <c r="BI1047" s="106"/>
      <c r="BJ1047" s="106"/>
      <c r="BK1047" s="106"/>
      <c r="BL1047" s="106"/>
      <c r="BM1047" s="106"/>
      <c r="BN1047" s="106"/>
      <c r="BO1047" s="106"/>
      <c r="BP1047" s="106"/>
      <c r="BQ1047" s="106"/>
      <c r="BR1047" s="106"/>
      <c r="BS1047" s="106"/>
      <c r="BT1047" s="106"/>
      <c r="BU1047" s="107"/>
      <c r="BV1047" s="107"/>
      <c r="BW1047" s="107"/>
      <c r="BX1047" s="107"/>
      <c r="BY1047" s="107"/>
      <c r="BZ1047" s="107"/>
      <c r="CA1047" s="107"/>
      <c r="CB1047" s="107"/>
      <c r="CC1047" s="107"/>
      <c r="CD1047" s="107"/>
      <c r="CE1047" s="106"/>
      <c r="CF1047" s="106"/>
      <c r="CG1047" s="106"/>
      <c r="CH1047" s="106"/>
      <c r="CI1047" s="106"/>
      <c r="CJ1047" s="138"/>
      <c r="CK1047" s="138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K1047" s="1"/>
      <c r="EL1047" s="106"/>
      <c r="EM1047" s="106"/>
      <c r="EN1047" s="1"/>
      <c r="EO1047" s="106"/>
      <c r="EP1047" s="1"/>
      <c r="EQ1047" s="1"/>
      <c r="ER1047" s="1"/>
      <c r="ES1047" s="108"/>
    </row>
    <row r="1048" spans="9:149">
      <c r="I1048" s="137"/>
      <c r="J1048" s="138"/>
      <c r="K1048" s="1"/>
      <c r="L1048" s="1"/>
      <c r="Q1048" s="1"/>
      <c r="R1048" s="1"/>
      <c r="S1048" s="106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55"/>
      <c r="AN1048" s="106"/>
      <c r="AO1048" s="106"/>
      <c r="AP1048" s="106"/>
      <c r="AQ1048" s="31"/>
      <c r="AR1048" s="31"/>
      <c r="AS1048" s="31"/>
      <c r="AT1048" s="30"/>
      <c r="AU1048" s="30"/>
      <c r="AV1048" s="106"/>
      <c r="AW1048" s="106"/>
      <c r="AX1048" s="106"/>
      <c r="AY1048" s="106"/>
      <c r="AZ1048" s="106"/>
      <c r="BA1048" s="106"/>
      <c r="BB1048" s="107"/>
      <c r="BC1048" s="105"/>
      <c r="BD1048" s="105"/>
      <c r="BE1048" s="105"/>
      <c r="BF1048" s="107"/>
      <c r="BG1048" s="160"/>
      <c r="BH1048" s="106"/>
      <c r="BI1048" s="106"/>
      <c r="BJ1048" s="106"/>
      <c r="BK1048" s="106"/>
      <c r="BL1048" s="106"/>
      <c r="BM1048" s="106"/>
      <c r="BN1048" s="106"/>
      <c r="BO1048" s="106"/>
      <c r="BP1048" s="106"/>
      <c r="BQ1048" s="106"/>
      <c r="BR1048" s="106"/>
      <c r="BS1048" s="106"/>
      <c r="BT1048" s="106"/>
      <c r="BU1048" s="107"/>
      <c r="BV1048" s="107"/>
      <c r="BW1048" s="107"/>
      <c r="BX1048" s="107"/>
      <c r="BY1048" s="107"/>
      <c r="BZ1048" s="107"/>
      <c r="CA1048" s="107"/>
      <c r="CB1048" s="107"/>
      <c r="CC1048" s="107"/>
      <c r="CD1048" s="107"/>
      <c r="CE1048" s="106"/>
      <c r="CF1048" s="106"/>
      <c r="CG1048" s="106"/>
      <c r="CH1048" s="106"/>
      <c r="CI1048" s="106"/>
      <c r="CJ1048" s="138"/>
      <c r="CK1048" s="138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K1048" s="1"/>
      <c r="EL1048" s="106"/>
      <c r="EM1048" s="106"/>
      <c r="EN1048" s="1"/>
      <c r="EO1048" s="106"/>
      <c r="EP1048" s="1"/>
      <c r="EQ1048" s="1"/>
      <c r="ER1048" s="1"/>
      <c r="ES1048" s="108"/>
    </row>
    <row r="1049" spans="9:149">
      <c r="I1049" s="137"/>
      <c r="J1049" s="138"/>
      <c r="K1049" s="1"/>
      <c r="L1049" s="1"/>
      <c r="Q1049" s="1"/>
      <c r="R1049" s="1"/>
      <c r="S1049" s="106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55"/>
      <c r="AN1049" s="106"/>
      <c r="AO1049" s="106"/>
      <c r="AP1049" s="106"/>
      <c r="AQ1049" s="31"/>
      <c r="AR1049" s="31"/>
      <c r="AS1049" s="31"/>
      <c r="AT1049" s="30"/>
      <c r="AU1049" s="30"/>
      <c r="AV1049" s="106"/>
      <c r="AW1049" s="106"/>
      <c r="AX1049" s="106"/>
      <c r="AY1049" s="106"/>
      <c r="AZ1049" s="106"/>
      <c r="BA1049" s="106"/>
      <c r="BB1049" s="107"/>
      <c r="BC1049" s="105"/>
      <c r="BD1049" s="105"/>
      <c r="BE1049" s="105"/>
      <c r="BF1049" s="107"/>
      <c r="BG1049" s="160"/>
      <c r="BH1049" s="106"/>
      <c r="BI1049" s="106"/>
      <c r="BJ1049" s="106"/>
      <c r="BK1049" s="106"/>
      <c r="BL1049" s="106"/>
      <c r="BM1049" s="106"/>
      <c r="BN1049" s="106"/>
      <c r="BO1049" s="106"/>
      <c r="BP1049" s="106"/>
      <c r="BQ1049" s="106"/>
      <c r="BR1049" s="106"/>
      <c r="BS1049" s="106"/>
      <c r="BT1049" s="106"/>
      <c r="BU1049" s="107"/>
      <c r="BV1049" s="107"/>
      <c r="BW1049" s="107"/>
      <c r="BX1049" s="107"/>
      <c r="BY1049" s="107"/>
      <c r="BZ1049" s="107"/>
      <c r="CA1049" s="107"/>
      <c r="CB1049" s="107"/>
      <c r="CC1049" s="107"/>
      <c r="CD1049" s="107"/>
      <c r="CE1049" s="106"/>
      <c r="CF1049" s="106"/>
      <c r="CG1049" s="106"/>
      <c r="CH1049" s="106"/>
      <c r="CI1049" s="106"/>
      <c r="CJ1049" s="138"/>
      <c r="CK1049" s="138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K1049" s="1"/>
      <c r="EL1049" s="106"/>
      <c r="EM1049" s="106"/>
      <c r="EN1049" s="1"/>
      <c r="EO1049" s="106"/>
      <c r="EP1049" s="1"/>
      <c r="EQ1049" s="1"/>
      <c r="ER1049" s="1"/>
      <c r="ES1049" s="108"/>
    </row>
    <row r="1050" spans="9:149">
      <c r="I1050" s="137"/>
      <c r="J1050" s="138"/>
      <c r="K1050" s="1"/>
      <c r="L1050" s="1"/>
      <c r="Q1050" s="1"/>
      <c r="R1050" s="1"/>
      <c r="S1050" s="106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55"/>
      <c r="AN1050" s="106"/>
      <c r="AO1050" s="106"/>
      <c r="AP1050" s="106"/>
      <c r="AQ1050" s="31"/>
      <c r="AR1050" s="31"/>
      <c r="AS1050" s="31"/>
      <c r="AT1050" s="30"/>
      <c r="AU1050" s="30"/>
      <c r="AV1050" s="106"/>
      <c r="AW1050" s="106"/>
      <c r="AX1050" s="106"/>
      <c r="AY1050" s="106"/>
      <c r="AZ1050" s="106"/>
      <c r="BA1050" s="106"/>
      <c r="BB1050" s="107"/>
      <c r="BC1050" s="105"/>
      <c r="BD1050" s="105"/>
      <c r="BE1050" s="105"/>
      <c r="BF1050" s="107"/>
      <c r="BG1050" s="160"/>
      <c r="BH1050" s="106"/>
      <c r="BI1050" s="106"/>
      <c r="BJ1050" s="106"/>
      <c r="BK1050" s="106"/>
      <c r="BL1050" s="106"/>
      <c r="BM1050" s="106"/>
      <c r="BN1050" s="106"/>
      <c r="BO1050" s="106"/>
      <c r="BP1050" s="106"/>
      <c r="BQ1050" s="106"/>
      <c r="BR1050" s="106"/>
      <c r="BS1050" s="106"/>
      <c r="BT1050" s="106"/>
      <c r="BU1050" s="107"/>
      <c r="BV1050" s="107"/>
      <c r="BW1050" s="107"/>
      <c r="BX1050" s="107"/>
      <c r="BY1050" s="107"/>
      <c r="BZ1050" s="107"/>
      <c r="CA1050" s="107"/>
      <c r="CB1050" s="107"/>
      <c r="CC1050" s="107"/>
      <c r="CD1050" s="107"/>
      <c r="CE1050" s="106"/>
      <c r="CF1050" s="106"/>
      <c r="CG1050" s="106"/>
      <c r="CH1050" s="106"/>
      <c r="CI1050" s="106"/>
      <c r="CJ1050" s="138"/>
      <c r="CK1050" s="138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K1050" s="1"/>
      <c r="EL1050" s="106"/>
      <c r="EM1050" s="106"/>
      <c r="EN1050" s="1"/>
      <c r="EO1050" s="106"/>
      <c r="EP1050" s="1"/>
      <c r="EQ1050" s="1"/>
      <c r="ER1050" s="1"/>
      <c r="ES1050" s="108"/>
    </row>
    <row r="1051" spans="9:149">
      <c r="I1051" s="137"/>
      <c r="J1051" s="138"/>
      <c r="K1051" s="1"/>
      <c r="L1051" s="1"/>
      <c r="Q1051" s="1"/>
      <c r="R1051" s="1"/>
      <c r="S1051" s="106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55"/>
      <c r="AN1051" s="106"/>
      <c r="AO1051" s="106"/>
      <c r="AP1051" s="106"/>
      <c r="AQ1051" s="31"/>
      <c r="AR1051" s="31"/>
      <c r="AS1051" s="31"/>
      <c r="AT1051" s="30"/>
      <c r="AU1051" s="30"/>
      <c r="AV1051" s="106"/>
      <c r="AW1051" s="106"/>
      <c r="AX1051" s="106"/>
      <c r="AY1051" s="106"/>
      <c r="AZ1051" s="106"/>
      <c r="BA1051" s="106"/>
      <c r="BB1051" s="107"/>
      <c r="BC1051" s="105"/>
      <c r="BD1051" s="105"/>
      <c r="BE1051" s="105"/>
      <c r="BF1051" s="107"/>
      <c r="BG1051" s="160"/>
      <c r="BH1051" s="106"/>
      <c r="BI1051" s="106"/>
      <c r="BJ1051" s="106"/>
      <c r="BK1051" s="106"/>
      <c r="BL1051" s="106"/>
      <c r="BM1051" s="106"/>
      <c r="BN1051" s="106"/>
      <c r="BO1051" s="106"/>
      <c r="BP1051" s="106"/>
      <c r="BQ1051" s="106"/>
      <c r="BR1051" s="106"/>
      <c r="BS1051" s="106"/>
      <c r="BT1051" s="106"/>
      <c r="BU1051" s="107"/>
      <c r="BV1051" s="107"/>
      <c r="BW1051" s="107"/>
      <c r="BX1051" s="107"/>
      <c r="BY1051" s="107"/>
      <c r="BZ1051" s="107"/>
      <c r="CA1051" s="107"/>
      <c r="CB1051" s="107"/>
      <c r="CC1051" s="107"/>
      <c r="CD1051" s="107"/>
      <c r="CE1051" s="106"/>
      <c r="CF1051" s="106"/>
      <c r="CG1051" s="106"/>
      <c r="CH1051" s="106"/>
      <c r="CI1051" s="106"/>
      <c r="CJ1051" s="138"/>
      <c r="CK1051" s="138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K1051" s="1"/>
      <c r="EL1051" s="106"/>
      <c r="EM1051" s="106"/>
      <c r="EN1051" s="1"/>
      <c r="EO1051" s="106"/>
      <c r="EP1051" s="1"/>
      <c r="EQ1051" s="1"/>
      <c r="ER1051" s="1"/>
      <c r="ES1051" s="108"/>
    </row>
    <row r="1052" spans="9:149">
      <c r="I1052" s="137"/>
      <c r="J1052" s="138"/>
      <c r="K1052" s="1"/>
      <c r="L1052" s="1"/>
      <c r="Q1052" s="1"/>
      <c r="R1052" s="1"/>
      <c r="S1052" s="106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55"/>
      <c r="AN1052" s="106"/>
      <c r="AO1052" s="106"/>
      <c r="AP1052" s="106"/>
      <c r="AQ1052" s="31"/>
      <c r="AR1052" s="31"/>
      <c r="AS1052" s="31"/>
      <c r="AT1052" s="30"/>
      <c r="AU1052" s="30"/>
      <c r="AV1052" s="106"/>
      <c r="AW1052" s="106"/>
      <c r="AX1052" s="106"/>
      <c r="AY1052" s="106"/>
      <c r="AZ1052" s="106"/>
      <c r="BA1052" s="106"/>
      <c r="BB1052" s="107"/>
      <c r="BC1052" s="105"/>
      <c r="BD1052" s="105"/>
      <c r="BE1052" s="105"/>
      <c r="BF1052" s="107"/>
      <c r="BG1052" s="160"/>
      <c r="BH1052" s="106"/>
      <c r="BI1052" s="106"/>
      <c r="BJ1052" s="106"/>
      <c r="BK1052" s="106"/>
      <c r="BL1052" s="106"/>
      <c r="BM1052" s="106"/>
      <c r="BN1052" s="106"/>
      <c r="BO1052" s="106"/>
      <c r="BP1052" s="106"/>
      <c r="BQ1052" s="106"/>
      <c r="BR1052" s="106"/>
      <c r="BS1052" s="106"/>
      <c r="BT1052" s="106"/>
      <c r="BU1052" s="107"/>
      <c r="BV1052" s="107"/>
      <c r="BW1052" s="107"/>
      <c r="BX1052" s="107"/>
      <c r="BY1052" s="107"/>
      <c r="BZ1052" s="107"/>
      <c r="CA1052" s="107"/>
      <c r="CB1052" s="107"/>
      <c r="CC1052" s="107"/>
      <c r="CD1052" s="107"/>
      <c r="CE1052" s="106"/>
      <c r="CF1052" s="106"/>
      <c r="CG1052" s="106"/>
      <c r="CH1052" s="106"/>
      <c r="CI1052" s="106"/>
      <c r="CJ1052" s="138"/>
      <c r="CK1052" s="138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K1052" s="1"/>
      <c r="EL1052" s="106"/>
      <c r="EM1052" s="106"/>
      <c r="EN1052" s="1"/>
      <c r="EO1052" s="106"/>
      <c r="EP1052" s="1"/>
      <c r="EQ1052" s="1"/>
      <c r="ER1052" s="1"/>
      <c r="ES1052" s="108"/>
    </row>
    <row r="1053" spans="9:149">
      <c r="I1053" s="137"/>
      <c r="J1053" s="138"/>
      <c r="K1053" s="1"/>
      <c r="L1053" s="1"/>
      <c r="Q1053" s="1"/>
      <c r="R1053" s="1"/>
      <c r="S1053" s="106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55"/>
      <c r="AN1053" s="106"/>
      <c r="AO1053" s="106"/>
      <c r="AP1053" s="106"/>
      <c r="AQ1053" s="31"/>
      <c r="AR1053" s="31"/>
      <c r="AS1053" s="31"/>
      <c r="AT1053" s="30"/>
      <c r="AU1053" s="30"/>
      <c r="AV1053" s="106"/>
      <c r="AW1053" s="106"/>
      <c r="AX1053" s="106"/>
      <c r="AY1053" s="106"/>
      <c r="AZ1053" s="106"/>
      <c r="BA1053" s="106"/>
      <c r="BB1053" s="107"/>
      <c r="BC1053" s="105"/>
      <c r="BD1053" s="105"/>
      <c r="BE1053" s="105"/>
      <c r="BF1053" s="107"/>
      <c r="BG1053" s="160"/>
      <c r="BH1053" s="106"/>
      <c r="BI1053" s="106"/>
      <c r="BJ1053" s="106"/>
      <c r="BK1053" s="106"/>
      <c r="BL1053" s="106"/>
      <c r="BM1053" s="106"/>
      <c r="BN1053" s="106"/>
      <c r="BO1053" s="106"/>
      <c r="BP1053" s="106"/>
      <c r="BQ1053" s="106"/>
      <c r="BR1053" s="106"/>
      <c r="BS1053" s="106"/>
      <c r="BT1053" s="106"/>
      <c r="BU1053" s="107"/>
      <c r="BV1053" s="107"/>
      <c r="BW1053" s="107"/>
      <c r="BX1053" s="107"/>
      <c r="BY1053" s="107"/>
      <c r="BZ1053" s="107"/>
      <c r="CA1053" s="107"/>
      <c r="CB1053" s="107"/>
      <c r="CC1053" s="107"/>
      <c r="CD1053" s="107"/>
      <c r="CE1053" s="106"/>
      <c r="CF1053" s="106"/>
      <c r="CG1053" s="106"/>
      <c r="CH1053" s="106"/>
      <c r="CI1053" s="106"/>
      <c r="CJ1053" s="138"/>
      <c r="CK1053" s="138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K1053" s="1"/>
      <c r="EL1053" s="106"/>
      <c r="EM1053" s="106"/>
      <c r="EN1053" s="1"/>
      <c r="EO1053" s="106"/>
      <c r="EP1053" s="1"/>
      <c r="EQ1053" s="1"/>
      <c r="ER1053" s="1"/>
      <c r="ES1053" s="108"/>
    </row>
    <row r="1054" spans="9:149">
      <c r="I1054" s="137"/>
      <c r="J1054" s="138"/>
      <c r="K1054" s="1"/>
      <c r="L1054" s="1"/>
      <c r="Q1054" s="1"/>
      <c r="R1054" s="1"/>
      <c r="S1054" s="106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55"/>
      <c r="AN1054" s="106"/>
      <c r="AO1054" s="106"/>
      <c r="AP1054" s="106"/>
      <c r="AQ1054" s="31"/>
      <c r="AR1054" s="31"/>
      <c r="AS1054" s="31"/>
      <c r="AT1054" s="30"/>
      <c r="AU1054" s="30"/>
      <c r="AV1054" s="106"/>
      <c r="AW1054" s="106"/>
      <c r="AX1054" s="106"/>
      <c r="AY1054" s="106"/>
      <c r="AZ1054" s="106"/>
      <c r="BA1054" s="106"/>
      <c r="BB1054" s="107"/>
      <c r="BC1054" s="105"/>
      <c r="BD1054" s="105"/>
      <c r="BE1054" s="105"/>
      <c r="BF1054" s="107"/>
      <c r="BG1054" s="160"/>
      <c r="BH1054" s="106"/>
      <c r="BI1054" s="106"/>
      <c r="BJ1054" s="106"/>
      <c r="BK1054" s="106"/>
      <c r="BL1054" s="106"/>
      <c r="BM1054" s="106"/>
      <c r="BN1054" s="106"/>
      <c r="BO1054" s="106"/>
      <c r="BP1054" s="106"/>
      <c r="BQ1054" s="106"/>
      <c r="BR1054" s="106"/>
      <c r="BS1054" s="106"/>
      <c r="BT1054" s="106"/>
      <c r="BU1054" s="107"/>
      <c r="BV1054" s="107"/>
      <c r="BW1054" s="107"/>
      <c r="BX1054" s="107"/>
      <c r="BY1054" s="107"/>
      <c r="BZ1054" s="107"/>
      <c r="CA1054" s="107"/>
      <c r="CB1054" s="107"/>
      <c r="CC1054" s="107"/>
      <c r="CD1054" s="107"/>
      <c r="CE1054" s="106"/>
      <c r="CF1054" s="106"/>
      <c r="CG1054" s="106"/>
      <c r="CH1054" s="106"/>
      <c r="CI1054" s="106"/>
      <c r="CJ1054" s="138"/>
      <c r="CK1054" s="138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K1054" s="1"/>
      <c r="EL1054" s="106"/>
      <c r="EM1054" s="106"/>
      <c r="EN1054" s="1"/>
      <c r="EO1054" s="106"/>
      <c r="EP1054" s="1"/>
      <c r="EQ1054" s="1"/>
      <c r="ER1054" s="1"/>
      <c r="ES1054" s="108"/>
    </row>
    <row r="1055" spans="9:149">
      <c r="I1055" s="137"/>
      <c r="J1055" s="138"/>
      <c r="K1055" s="1"/>
      <c r="L1055" s="1"/>
      <c r="Q1055" s="1"/>
      <c r="R1055" s="1"/>
      <c r="S1055" s="106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55"/>
      <c r="AN1055" s="106"/>
      <c r="AO1055" s="106"/>
      <c r="AP1055" s="106"/>
      <c r="AQ1055" s="31"/>
      <c r="AR1055" s="31"/>
      <c r="AS1055" s="31"/>
      <c r="AT1055" s="30"/>
      <c r="AU1055" s="30"/>
      <c r="AV1055" s="106"/>
      <c r="AW1055" s="106"/>
      <c r="AX1055" s="106"/>
      <c r="AY1055" s="106"/>
      <c r="AZ1055" s="106"/>
      <c r="BA1055" s="106"/>
      <c r="BB1055" s="107"/>
      <c r="BC1055" s="105"/>
      <c r="BD1055" s="105"/>
      <c r="BE1055" s="105"/>
      <c r="BF1055" s="107"/>
      <c r="BG1055" s="160"/>
      <c r="BH1055" s="106"/>
      <c r="BI1055" s="106"/>
      <c r="BJ1055" s="106"/>
      <c r="BK1055" s="106"/>
      <c r="BL1055" s="106"/>
      <c r="BM1055" s="106"/>
      <c r="BN1055" s="106"/>
      <c r="BO1055" s="106"/>
      <c r="BP1055" s="106"/>
      <c r="BQ1055" s="106"/>
      <c r="BR1055" s="106"/>
      <c r="BS1055" s="106"/>
      <c r="BT1055" s="106"/>
      <c r="BU1055" s="107"/>
      <c r="BV1055" s="107"/>
      <c r="BW1055" s="107"/>
      <c r="BX1055" s="107"/>
      <c r="BY1055" s="107"/>
      <c r="BZ1055" s="107"/>
      <c r="CA1055" s="107"/>
      <c r="CB1055" s="107"/>
      <c r="CC1055" s="107"/>
      <c r="CD1055" s="107"/>
      <c r="CE1055" s="106"/>
      <c r="CF1055" s="106"/>
      <c r="CG1055" s="106"/>
      <c r="CH1055" s="106"/>
      <c r="CI1055" s="106"/>
      <c r="CJ1055" s="138"/>
      <c r="CK1055" s="138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K1055" s="1"/>
      <c r="EL1055" s="106"/>
      <c r="EM1055" s="106"/>
      <c r="EN1055" s="1"/>
      <c r="EO1055" s="106"/>
      <c r="EP1055" s="1"/>
      <c r="EQ1055" s="1"/>
      <c r="ER1055" s="1"/>
      <c r="ES1055" s="108"/>
    </row>
    <row r="1056" spans="9:149">
      <c r="I1056" s="137"/>
      <c r="J1056" s="138"/>
      <c r="K1056" s="1"/>
      <c r="L1056" s="1"/>
      <c r="Q1056" s="1"/>
      <c r="R1056" s="1"/>
      <c r="S1056" s="106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55"/>
      <c r="AN1056" s="106"/>
      <c r="AO1056" s="106"/>
      <c r="AP1056" s="106"/>
      <c r="AQ1056" s="31"/>
      <c r="AR1056" s="31"/>
      <c r="AS1056" s="31"/>
      <c r="AT1056" s="30"/>
      <c r="AU1056" s="30"/>
      <c r="AV1056" s="106"/>
      <c r="AW1056" s="106"/>
      <c r="AX1056" s="106"/>
      <c r="AY1056" s="106"/>
      <c r="AZ1056" s="106"/>
      <c r="BA1056" s="106"/>
      <c r="BB1056" s="107"/>
      <c r="BC1056" s="105"/>
      <c r="BD1056" s="105"/>
      <c r="BE1056" s="105"/>
      <c r="BF1056" s="107"/>
      <c r="BG1056" s="160"/>
      <c r="BH1056" s="106"/>
      <c r="BI1056" s="106"/>
      <c r="BJ1056" s="106"/>
      <c r="BK1056" s="106"/>
      <c r="BL1056" s="106"/>
      <c r="BM1056" s="106"/>
      <c r="BN1056" s="106"/>
      <c r="BO1056" s="106"/>
      <c r="BP1056" s="106"/>
      <c r="BQ1056" s="106"/>
      <c r="BR1056" s="106"/>
      <c r="BS1056" s="106"/>
      <c r="BT1056" s="106"/>
      <c r="BU1056" s="107"/>
      <c r="BV1056" s="107"/>
      <c r="BW1056" s="107"/>
      <c r="BX1056" s="107"/>
      <c r="BY1056" s="107"/>
      <c r="BZ1056" s="107"/>
      <c r="CA1056" s="107"/>
      <c r="CB1056" s="107"/>
      <c r="CC1056" s="107"/>
      <c r="CD1056" s="107"/>
      <c r="CE1056" s="106"/>
      <c r="CF1056" s="106"/>
      <c r="CG1056" s="106"/>
      <c r="CH1056" s="106"/>
      <c r="CI1056" s="106"/>
      <c r="CJ1056" s="138"/>
      <c r="CK1056" s="138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K1056" s="1"/>
      <c r="EL1056" s="106"/>
      <c r="EM1056" s="106"/>
      <c r="EN1056" s="1"/>
      <c r="EO1056" s="106"/>
      <c r="EP1056" s="1"/>
      <c r="EQ1056" s="1"/>
      <c r="ER1056" s="1"/>
      <c r="ES1056" s="108"/>
    </row>
    <row r="1057" spans="9:149">
      <c r="I1057" s="137"/>
      <c r="J1057" s="138"/>
      <c r="K1057" s="1"/>
      <c r="L1057" s="1"/>
      <c r="Q1057" s="1"/>
      <c r="R1057" s="1"/>
      <c r="S1057" s="106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55"/>
      <c r="AN1057" s="106"/>
      <c r="AO1057" s="106"/>
      <c r="AP1057" s="106"/>
      <c r="AQ1057" s="31"/>
      <c r="AR1057" s="31"/>
      <c r="AS1057" s="31"/>
      <c r="AT1057" s="30"/>
      <c r="AU1057" s="30"/>
      <c r="AV1057" s="106"/>
      <c r="AW1057" s="106"/>
      <c r="AX1057" s="106"/>
      <c r="AY1057" s="106"/>
      <c r="AZ1057" s="106"/>
      <c r="BA1057" s="106"/>
      <c r="BB1057" s="107"/>
      <c r="BC1057" s="105"/>
      <c r="BD1057" s="105"/>
      <c r="BE1057" s="105"/>
      <c r="BF1057" s="107"/>
      <c r="BG1057" s="160"/>
      <c r="BH1057" s="106"/>
      <c r="BI1057" s="106"/>
      <c r="BJ1057" s="106"/>
      <c r="BK1057" s="106"/>
      <c r="BL1057" s="106"/>
      <c r="BM1057" s="106"/>
      <c r="BN1057" s="106"/>
      <c r="BO1057" s="106"/>
      <c r="BP1057" s="106"/>
      <c r="BQ1057" s="106"/>
      <c r="BR1057" s="106"/>
      <c r="BS1057" s="106"/>
      <c r="BT1057" s="106"/>
      <c r="BU1057" s="107"/>
      <c r="BV1057" s="107"/>
      <c r="BW1057" s="107"/>
      <c r="BX1057" s="107"/>
      <c r="BY1057" s="107"/>
      <c r="BZ1057" s="107"/>
      <c r="CA1057" s="107"/>
      <c r="CB1057" s="107"/>
      <c r="CC1057" s="107"/>
      <c r="CD1057" s="107"/>
      <c r="CE1057" s="106"/>
      <c r="CF1057" s="106"/>
      <c r="CG1057" s="106"/>
      <c r="CH1057" s="106"/>
      <c r="CI1057" s="106"/>
      <c r="CJ1057" s="138"/>
      <c r="CK1057" s="138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K1057" s="1"/>
      <c r="EL1057" s="106"/>
      <c r="EM1057" s="106"/>
      <c r="EN1057" s="1"/>
      <c r="EO1057" s="106"/>
      <c r="EP1057" s="1"/>
      <c r="EQ1057" s="1"/>
      <c r="ER1057" s="1"/>
      <c r="ES1057" s="108"/>
    </row>
    <row r="1058" spans="9:149">
      <c r="I1058" s="137"/>
      <c r="J1058" s="138"/>
      <c r="K1058" s="1"/>
      <c r="L1058" s="1"/>
      <c r="Q1058" s="1"/>
      <c r="R1058" s="1"/>
      <c r="S1058" s="106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55"/>
      <c r="AN1058" s="106"/>
      <c r="AO1058" s="106"/>
      <c r="AP1058" s="106"/>
      <c r="AQ1058" s="31"/>
      <c r="AR1058" s="31"/>
      <c r="AS1058" s="31"/>
      <c r="AT1058" s="30"/>
      <c r="AU1058" s="30"/>
      <c r="AV1058" s="106"/>
      <c r="AW1058" s="106"/>
      <c r="AX1058" s="106"/>
      <c r="AY1058" s="106"/>
      <c r="AZ1058" s="106"/>
      <c r="BA1058" s="106"/>
      <c r="BB1058" s="107"/>
      <c r="BC1058" s="105"/>
      <c r="BD1058" s="105"/>
      <c r="BE1058" s="105"/>
      <c r="BF1058" s="107"/>
      <c r="BG1058" s="160"/>
      <c r="BH1058" s="106"/>
      <c r="BI1058" s="106"/>
      <c r="BJ1058" s="106"/>
      <c r="BK1058" s="106"/>
      <c r="BL1058" s="106"/>
      <c r="BM1058" s="106"/>
      <c r="BN1058" s="106"/>
      <c r="BO1058" s="106"/>
      <c r="BP1058" s="106"/>
      <c r="BQ1058" s="106"/>
      <c r="BR1058" s="106"/>
      <c r="BS1058" s="106"/>
      <c r="BT1058" s="106"/>
      <c r="BU1058" s="107"/>
      <c r="BV1058" s="107"/>
      <c r="BW1058" s="107"/>
      <c r="BX1058" s="107"/>
      <c r="BY1058" s="107"/>
      <c r="BZ1058" s="107"/>
      <c r="CA1058" s="107"/>
      <c r="CB1058" s="107"/>
      <c r="CC1058" s="107"/>
      <c r="CD1058" s="107"/>
      <c r="CE1058" s="106"/>
      <c r="CF1058" s="106"/>
      <c r="CG1058" s="106"/>
      <c r="CH1058" s="106"/>
      <c r="CI1058" s="106"/>
      <c r="CJ1058" s="138"/>
      <c r="CK1058" s="138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K1058" s="1"/>
      <c r="EL1058" s="106"/>
      <c r="EM1058" s="106"/>
      <c r="EN1058" s="1"/>
      <c r="EO1058" s="106"/>
      <c r="EP1058" s="1"/>
      <c r="EQ1058" s="1"/>
      <c r="ER1058" s="1"/>
      <c r="ES1058" s="108"/>
    </row>
    <row r="1059" spans="9:149">
      <c r="I1059" s="137"/>
      <c r="J1059" s="138"/>
      <c r="K1059" s="1"/>
      <c r="L1059" s="1"/>
      <c r="Q1059" s="1"/>
      <c r="R1059" s="1"/>
      <c r="S1059" s="106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55"/>
      <c r="AN1059" s="106"/>
      <c r="AO1059" s="106"/>
      <c r="AP1059" s="106"/>
      <c r="AQ1059" s="31"/>
      <c r="AR1059" s="31"/>
      <c r="AS1059" s="31"/>
      <c r="AT1059" s="30"/>
      <c r="AU1059" s="30"/>
      <c r="AV1059" s="106"/>
      <c r="AW1059" s="106"/>
      <c r="AX1059" s="106"/>
      <c r="AY1059" s="106"/>
      <c r="AZ1059" s="106"/>
      <c r="BA1059" s="106"/>
      <c r="BB1059" s="107"/>
      <c r="BC1059" s="105"/>
      <c r="BD1059" s="105"/>
      <c r="BE1059" s="105"/>
      <c r="BF1059" s="107"/>
      <c r="BG1059" s="160"/>
      <c r="BH1059" s="106"/>
      <c r="BI1059" s="106"/>
      <c r="BJ1059" s="106"/>
      <c r="BK1059" s="106"/>
      <c r="BL1059" s="106"/>
      <c r="BM1059" s="106"/>
      <c r="BN1059" s="106"/>
      <c r="BO1059" s="106"/>
      <c r="BP1059" s="106"/>
      <c r="BQ1059" s="106"/>
      <c r="BR1059" s="106"/>
      <c r="BS1059" s="106"/>
      <c r="BT1059" s="106"/>
      <c r="BU1059" s="107"/>
      <c r="BV1059" s="107"/>
      <c r="BW1059" s="107"/>
      <c r="BX1059" s="107"/>
      <c r="BY1059" s="107"/>
      <c r="BZ1059" s="107"/>
      <c r="CA1059" s="107"/>
      <c r="CB1059" s="107"/>
      <c r="CC1059" s="107"/>
      <c r="CD1059" s="107"/>
      <c r="CE1059" s="106"/>
      <c r="CF1059" s="106"/>
      <c r="CG1059" s="106"/>
      <c r="CH1059" s="106"/>
      <c r="CI1059" s="106"/>
      <c r="CJ1059" s="138"/>
      <c r="CK1059" s="138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K1059" s="1"/>
      <c r="EL1059" s="106"/>
      <c r="EM1059" s="106"/>
      <c r="EN1059" s="1"/>
      <c r="EO1059" s="106"/>
      <c r="EP1059" s="1"/>
      <c r="EQ1059" s="1"/>
      <c r="ER1059" s="1"/>
      <c r="ES1059" s="108"/>
    </row>
    <row r="1060" spans="9:149">
      <c r="I1060" s="137"/>
      <c r="J1060" s="138"/>
      <c r="K1060" s="1"/>
      <c r="L1060" s="1"/>
      <c r="Q1060" s="1"/>
      <c r="R1060" s="1"/>
      <c r="S1060" s="106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55"/>
      <c r="AN1060" s="106"/>
      <c r="AO1060" s="106"/>
      <c r="AP1060" s="106"/>
      <c r="AQ1060" s="31"/>
      <c r="AR1060" s="31"/>
      <c r="AS1060" s="31"/>
      <c r="AT1060" s="30"/>
      <c r="AU1060" s="30"/>
      <c r="AV1060" s="106"/>
      <c r="AW1060" s="106"/>
      <c r="AX1060" s="106"/>
      <c r="AY1060" s="106"/>
      <c r="AZ1060" s="106"/>
      <c r="BA1060" s="106"/>
      <c r="BB1060" s="107"/>
      <c r="BC1060" s="105"/>
      <c r="BD1060" s="105"/>
      <c r="BE1060" s="105"/>
      <c r="BF1060" s="107"/>
      <c r="BG1060" s="160"/>
      <c r="BH1060" s="106"/>
      <c r="BI1060" s="106"/>
      <c r="BJ1060" s="106"/>
      <c r="BK1060" s="106"/>
      <c r="BL1060" s="106"/>
      <c r="BM1060" s="106"/>
      <c r="BN1060" s="106"/>
      <c r="BO1060" s="106"/>
      <c r="BP1060" s="106"/>
      <c r="BQ1060" s="106"/>
      <c r="BR1060" s="106"/>
      <c r="BS1060" s="106"/>
      <c r="BT1060" s="106"/>
      <c r="BU1060" s="107"/>
      <c r="BV1060" s="107"/>
      <c r="BW1060" s="107"/>
      <c r="BX1060" s="107"/>
      <c r="BY1060" s="107"/>
      <c r="BZ1060" s="107"/>
      <c r="CA1060" s="107"/>
      <c r="CB1060" s="107"/>
      <c r="CC1060" s="107"/>
      <c r="CD1060" s="107"/>
      <c r="CE1060" s="106"/>
      <c r="CF1060" s="106"/>
      <c r="CG1060" s="106"/>
      <c r="CH1060" s="106"/>
      <c r="CI1060" s="106"/>
      <c r="CJ1060" s="138"/>
      <c r="CK1060" s="138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K1060" s="1"/>
      <c r="EL1060" s="106"/>
      <c r="EM1060" s="106"/>
      <c r="EN1060" s="1"/>
      <c r="EO1060" s="106"/>
      <c r="EP1060" s="1"/>
      <c r="EQ1060" s="1"/>
      <c r="ER1060" s="1"/>
      <c r="ES1060" s="108"/>
    </row>
    <row r="1061" spans="9:149">
      <c r="I1061" s="137"/>
      <c r="J1061" s="138"/>
      <c r="K1061" s="1"/>
      <c r="L1061" s="1"/>
      <c r="Q1061" s="1"/>
      <c r="R1061" s="1"/>
      <c r="S1061" s="106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55"/>
      <c r="AN1061" s="106"/>
      <c r="AO1061" s="106"/>
      <c r="AP1061" s="106"/>
      <c r="AQ1061" s="31"/>
      <c r="AR1061" s="31"/>
      <c r="AS1061" s="31"/>
      <c r="AT1061" s="30"/>
      <c r="AU1061" s="30"/>
      <c r="AV1061" s="106"/>
      <c r="AW1061" s="106"/>
      <c r="AX1061" s="106"/>
      <c r="AY1061" s="106"/>
      <c r="AZ1061" s="106"/>
      <c r="BA1061" s="106"/>
      <c r="BB1061" s="107"/>
      <c r="BC1061" s="105"/>
      <c r="BD1061" s="105"/>
      <c r="BE1061" s="105"/>
      <c r="BF1061" s="107"/>
      <c r="BG1061" s="160"/>
      <c r="BH1061" s="106"/>
      <c r="BI1061" s="106"/>
      <c r="BJ1061" s="106"/>
      <c r="BK1061" s="106"/>
      <c r="BL1061" s="106"/>
      <c r="BM1061" s="106"/>
      <c r="BN1061" s="106"/>
      <c r="BO1061" s="106"/>
      <c r="BP1061" s="106"/>
      <c r="BQ1061" s="106"/>
      <c r="BR1061" s="106"/>
      <c r="BS1061" s="106"/>
      <c r="BT1061" s="106"/>
      <c r="BU1061" s="107"/>
      <c r="BV1061" s="107"/>
      <c r="BW1061" s="107"/>
      <c r="BX1061" s="107"/>
      <c r="BY1061" s="107"/>
      <c r="BZ1061" s="107"/>
      <c r="CA1061" s="107"/>
      <c r="CB1061" s="107"/>
      <c r="CC1061" s="107"/>
      <c r="CD1061" s="107"/>
      <c r="CE1061" s="106"/>
      <c r="CF1061" s="106"/>
      <c r="CG1061" s="106"/>
      <c r="CH1061" s="106"/>
      <c r="CI1061" s="106"/>
      <c r="CJ1061" s="138"/>
      <c r="CK1061" s="138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K1061" s="1"/>
      <c r="EL1061" s="106"/>
      <c r="EM1061" s="106"/>
      <c r="EN1061" s="1"/>
      <c r="EO1061" s="106"/>
      <c r="EP1061" s="1"/>
      <c r="EQ1061" s="1"/>
      <c r="ER1061" s="1"/>
      <c r="ES1061" s="108"/>
    </row>
    <row r="1062" spans="9:149">
      <c r="I1062" s="137"/>
      <c r="J1062" s="138"/>
      <c r="K1062" s="1"/>
      <c r="L1062" s="1"/>
      <c r="Q1062" s="1"/>
      <c r="R1062" s="1"/>
      <c r="S1062" s="106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55"/>
      <c r="AN1062" s="106"/>
      <c r="AO1062" s="106"/>
      <c r="AP1062" s="106"/>
      <c r="AQ1062" s="31"/>
      <c r="AR1062" s="31"/>
      <c r="AS1062" s="31"/>
      <c r="AT1062" s="30"/>
      <c r="AU1062" s="30"/>
      <c r="AV1062" s="106"/>
      <c r="AW1062" s="106"/>
      <c r="AX1062" s="106"/>
      <c r="AY1062" s="106"/>
      <c r="AZ1062" s="106"/>
      <c r="BA1062" s="106"/>
      <c r="BB1062" s="107"/>
      <c r="BC1062" s="105"/>
      <c r="BD1062" s="105"/>
      <c r="BE1062" s="105"/>
      <c r="BF1062" s="107"/>
      <c r="BG1062" s="160"/>
      <c r="BH1062" s="106"/>
      <c r="BI1062" s="106"/>
      <c r="BJ1062" s="106"/>
      <c r="BK1062" s="106"/>
      <c r="BL1062" s="106"/>
      <c r="BM1062" s="106"/>
      <c r="BN1062" s="106"/>
      <c r="BO1062" s="106"/>
      <c r="BP1062" s="106"/>
      <c r="BQ1062" s="106"/>
      <c r="BR1062" s="106"/>
      <c r="BS1062" s="106"/>
      <c r="BT1062" s="106"/>
      <c r="BU1062" s="107"/>
      <c r="BV1062" s="107"/>
      <c r="BW1062" s="107"/>
      <c r="BX1062" s="107"/>
      <c r="BY1062" s="107"/>
      <c r="BZ1062" s="107"/>
      <c r="CA1062" s="107"/>
      <c r="CB1062" s="107"/>
      <c r="CC1062" s="107"/>
      <c r="CD1062" s="107"/>
      <c r="CE1062" s="106"/>
      <c r="CF1062" s="106"/>
      <c r="CG1062" s="106"/>
      <c r="CH1062" s="106"/>
      <c r="CI1062" s="106"/>
      <c r="CJ1062" s="138"/>
      <c r="CK1062" s="138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K1062" s="1"/>
      <c r="EL1062" s="106"/>
      <c r="EM1062" s="106"/>
      <c r="EN1062" s="1"/>
      <c r="EO1062" s="106"/>
      <c r="EP1062" s="1"/>
      <c r="EQ1062" s="1"/>
      <c r="ER1062" s="1"/>
      <c r="ES1062" s="108"/>
    </row>
    <row r="1063" spans="9:149">
      <c r="I1063" s="137"/>
      <c r="J1063" s="138"/>
      <c r="K1063" s="1"/>
      <c r="L1063" s="1"/>
      <c r="Q1063" s="1"/>
      <c r="R1063" s="1"/>
      <c r="S1063" s="106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55"/>
      <c r="AN1063" s="106"/>
      <c r="AO1063" s="106"/>
      <c r="AP1063" s="106"/>
      <c r="AQ1063" s="31"/>
      <c r="AR1063" s="31"/>
      <c r="AS1063" s="31"/>
      <c r="AT1063" s="30"/>
      <c r="AU1063" s="30"/>
      <c r="AV1063" s="106"/>
      <c r="AW1063" s="106"/>
      <c r="AX1063" s="106"/>
      <c r="AY1063" s="106"/>
      <c r="AZ1063" s="106"/>
      <c r="BA1063" s="106"/>
      <c r="BB1063" s="107"/>
      <c r="BC1063" s="105"/>
      <c r="BD1063" s="105"/>
      <c r="BE1063" s="105"/>
      <c r="BF1063" s="107"/>
      <c r="BG1063" s="160"/>
      <c r="BH1063" s="106"/>
      <c r="BI1063" s="106"/>
      <c r="BJ1063" s="106"/>
      <c r="BK1063" s="106"/>
      <c r="BL1063" s="106"/>
      <c r="BM1063" s="106"/>
      <c r="BN1063" s="106"/>
      <c r="BO1063" s="106"/>
      <c r="BP1063" s="106"/>
      <c r="BQ1063" s="106"/>
      <c r="BR1063" s="106"/>
      <c r="BS1063" s="106"/>
      <c r="BT1063" s="106"/>
      <c r="BU1063" s="107"/>
      <c r="BV1063" s="107"/>
      <c r="BW1063" s="107"/>
      <c r="BX1063" s="107"/>
      <c r="BY1063" s="107"/>
      <c r="BZ1063" s="107"/>
      <c r="CA1063" s="107"/>
      <c r="CB1063" s="107"/>
      <c r="CC1063" s="107"/>
      <c r="CD1063" s="107"/>
      <c r="CE1063" s="106"/>
      <c r="CF1063" s="106"/>
      <c r="CG1063" s="106"/>
      <c r="CH1063" s="106"/>
      <c r="CI1063" s="106"/>
      <c r="CJ1063" s="138"/>
      <c r="CK1063" s="138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K1063" s="1"/>
      <c r="EL1063" s="106"/>
      <c r="EM1063" s="106"/>
      <c r="EN1063" s="1"/>
      <c r="EO1063" s="106"/>
      <c r="EP1063" s="1"/>
      <c r="EQ1063" s="1"/>
      <c r="ER1063" s="1"/>
      <c r="ES1063" s="108"/>
    </row>
    <row r="1064" spans="9:149">
      <c r="I1064" s="137"/>
      <c r="J1064" s="138"/>
      <c r="K1064" s="1"/>
      <c r="L1064" s="1"/>
      <c r="Q1064" s="1"/>
      <c r="R1064" s="1"/>
      <c r="S1064" s="106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55"/>
      <c r="AN1064" s="106"/>
      <c r="AO1064" s="106"/>
      <c r="AP1064" s="106"/>
      <c r="AQ1064" s="31"/>
      <c r="AR1064" s="31"/>
      <c r="AS1064" s="31"/>
      <c r="AT1064" s="30"/>
      <c r="AU1064" s="30"/>
      <c r="AV1064" s="106"/>
      <c r="AW1064" s="106"/>
      <c r="AX1064" s="106"/>
      <c r="AY1064" s="106"/>
      <c r="AZ1064" s="106"/>
      <c r="BA1064" s="106"/>
      <c r="BB1064" s="107"/>
      <c r="BC1064" s="105"/>
      <c r="BD1064" s="105"/>
      <c r="BE1064" s="105"/>
      <c r="BF1064" s="107"/>
      <c r="BG1064" s="160"/>
      <c r="BH1064" s="106"/>
      <c r="BI1064" s="106"/>
      <c r="BJ1064" s="106"/>
      <c r="BK1064" s="106"/>
      <c r="BL1064" s="106"/>
      <c r="BM1064" s="106"/>
      <c r="BN1064" s="106"/>
      <c r="BO1064" s="106"/>
      <c r="BP1064" s="106"/>
      <c r="BQ1064" s="106"/>
      <c r="BR1064" s="106"/>
      <c r="BS1064" s="106"/>
      <c r="BT1064" s="106"/>
      <c r="BU1064" s="107"/>
      <c r="BV1064" s="107"/>
      <c r="BW1064" s="107"/>
      <c r="BX1064" s="107"/>
      <c r="BY1064" s="107"/>
      <c r="BZ1064" s="107"/>
      <c r="CA1064" s="107"/>
      <c r="CB1064" s="107"/>
      <c r="CC1064" s="107"/>
      <c r="CD1064" s="107"/>
      <c r="CE1064" s="106"/>
      <c r="CF1064" s="106"/>
      <c r="CG1064" s="106"/>
      <c r="CH1064" s="106"/>
      <c r="CI1064" s="106"/>
      <c r="CJ1064" s="138"/>
      <c r="CK1064" s="138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K1064" s="1"/>
      <c r="EL1064" s="106"/>
      <c r="EM1064" s="106"/>
      <c r="EN1064" s="1"/>
      <c r="EO1064" s="106"/>
      <c r="EP1064" s="1"/>
      <c r="EQ1064" s="1"/>
      <c r="ER1064" s="1"/>
      <c r="ES1064" s="108"/>
    </row>
    <row r="1065" spans="9:149">
      <c r="I1065" s="137"/>
      <c r="J1065" s="138"/>
      <c r="K1065" s="1"/>
      <c r="L1065" s="1"/>
      <c r="Q1065" s="1"/>
      <c r="R1065" s="1"/>
      <c r="S1065" s="106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55"/>
      <c r="AN1065" s="106"/>
      <c r="AO1065" s="106"/>
      <c r="AP1065" s="106"/>
      <c r="AQ1065" s="31"/>
      <c r="AR1065" s="31"/>
      <c r="AS1065" s="31"/>
      <c r="AT1065" s="30"/>
      <c r="AU1065" s="30"/>
      <c r="AV1065" s="106"/>
      <c r="AW1065" s="106"/>
      <c r="AX1065" s="106"/>
      <c r="AY1065" s="106"/>
      <c r="AZ1065" s="106"/>
      <c r="BA1065" s="106"/>
      <c r="BB1065" s="107"/>
      <c r="BC1065" s="105"/>
      <c r="BD1065" s="105"/>
      <c r="BE1065" s="105"/>
      <c r="BF1065" s="107"/>
      <c r="BG1065" s="160"/>
      <c r="BH1065" s="106"/>
      <c r="BI1065" s="106"/>
      <c r="BJ1065" s="106"/>
      <c r="BK1065" s="106"/>
      <c r="BL1065" s="106"/>
      <c r="BM1065" s="106"/>
      <c r="BN1065" s="106"/>
      <c r="BO1065" s="106"/>
      <c r="BP1065" s="106"/>
      <c r="BQ1065" s="106"/>
      <c r="BR1065" s="106"/>
      <c r="BS1065" s="106"/>
      <c r="BT1065" s="106"/>
      <c r="BU1065" s="107"/>
      <c r="BV1065" s="107"/>
      <c r="BW1065" s="107"/>
      <c r="BX1065" s="107"/>
      <c r="BY1065" s="107"/>
      <c r="BZ1065" s="107"/>
      <c r="CA1065" s="107"/>
      <c r="CB1065" s="107"/>
      <c r="CC1065" s="107"/>
      <c r="CD1065" s="107"/>
      <c r="CE1065" s="106"/>
      <c r="CF1065" s="106"/>
      <c r="CG1065" s="106"/>
      <c r="CH1065" s="106"/>
      <c r="CI1065" s="106"/>
      <c r="CJ1065" s="138"/>
      <c r="CK1065" s="138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K1065" s="1"/>
      <c r="EL1065" s="106"/>
      <c r="EM1065" s="106"/>
      <c r="EN1065" s="1"/>
      <c r="EO1065" s="106"/>
      <c r="EP1065" s="1"/>
      <c r="EQ1065" s="1"/>
      <c r="ER1065" s="1"/>
      <c r="ES1065" s="108"/>
    </row>
    <row r="1066" spans="9:149">
      <c r="I1066" s="137"/>
      <c r="J1066" s="138"/>
      <c r="K1066" s="1"/>
      <c r="L1066" s="1"/>
      <c r="Q1066" s="1"/>
      <c r="R1066" s="1"/>
      <c r="S1066" s="106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55"/>
      <c r="AN1066" s="106"/>
      <c r="AO1066" s="106"/>
      <c r="AP1066" s="106"/>
      <c r="AQ1066" s="31"/>
      <c r="AR1066" s="31"/>
      <c r="AS1066" s="31"/>
      <c r="AT1066" s="30"/>
      <c r="AU1066" s="30"/>
      <c r="AV1066" s="106"/>
      <c r="AW1066" s="106"/>
      <c r="AX1066" s="106"/>
      <c r="AY1066" s="106"/>
      <c r="AZ1066" s="106"/>
      <c r="BA1066" s="106"/>
      <c r="BB1066" s="107"/>
      <c r="BC1066" s="105"/>
      <c r="BD1066" s="105"/>
      <c r="BE1066" s="105"/>
      <c r="BF1066" s="107"/>
      <c r="BG1066" s="160"/>
      <c r="BH1066" s="106"/>
      <c r="BI1066" s="106"/>
      <c r="BJ1066" s="106"/>
      <c r="BK1066" s="106"/>
      <c r="BL1066" s="106"/>
      <c r="BM1066" s="106"/>
      <c r="BN1066" s="106"/>
      <c r="BO1066" s="106"/>
      <c r="BP1066" s="106"/>
      <c r="BQ1066" s="106"/>
      <c r="BR1066" s="106"/>
      <c r="BS1066" s="106"/>
      <c r="BT1066" s="106"/>
      <c r="BU1066" s="107"/>
      <c r="BV1066" s="107"/>
      <c r="BW1066" s="107"/>
      <c r="BX1066" s="107"/>
      <c r="BY1066" s="107"/>
      <c r="BZ1066" s="107"/>
      <c r="CA1066" s="107"/>
      <c r="CB1066" s="107"/>
      <c r="CC1066" s="107"/>
      <c r="CD1066" s="107"/>
      <c r="CE1066" s="106"/>
      <c r="CF1066" s="106"/>
      <c r="CG1066" s="106"/>
      <c r="CH1066" s="106"/>
      <c r="CI1066" s="106"/>
      <c r="CJ1066" s="138"/>
      <c r="CK1066" s="138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K1066" s="1"/>
      <c r="EL1066" s="106"/>
      <c r="EM1066" s="106"/>
      <c r="EN1066" s="1"/>
      <c r="EO1066" s="106"/>
      <c r="EP1066" s="1"/>
      <c r="EQ1066" s="1"/>
      <c r="ER1066" s="1"/>
      <c r="ES1066" s="108"/>
    </row>
    <row r="1067" spans="9:149">
      <c r="I1067" s="137"/>
      <c r="J1067" s="138"/>
      <c r="K1067" s="1"/>
      <c r="L1067" s="1"/>
      <c r="Q1067" s="1"/>
      <c r="R1067" s="1"/>
      <c r="S1067" s="106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55"/>
      <c r="AN1067" s="106"/>
      <c r="AO1067" s="106"/>
      <c r="AP1067" s="106"/>
      <c r="AQ1067" s="31"/>
      <c r="AR1067" s="31"/>
      <c r="AS1067" s="31"/>
      <c r="AT1067" s="30"/>
      <c r="AU1067" s="30"/>
      <c r="AV1067" s="106"/>
      <c r="AW1067" s="106"/>
      <c r="AX1067" s="106"/>
      <c r="AY1067" s="106"/>
      <c r="AZ1067" s="106"/>
      <c r="BA1067" s="106"/>
      <c r="BB1067" s="107"/>
      <c r="BC1067" s="105"/>
      <c r="BD1067" s="105"/>
      <c r="BE1067" s="105"/>
      <c r="BF1067" s="107"/>
      <c r="BG1067" s="160"/>
      <c r="BH1067" s="106"/>
      <c r="BI1067" s="106"/>
      <c r="BJ1067" s="106"/>
      <c r="BK1067" s="106"/>
      <c r="BL1067" s="106"/>
      <c r="BM1067" s="106"/>
      <c r="BN1067" s="106"/>
      <c r="BO1067" s="106"/>
      <c r="BP1067" s="106"/>
      <c r="BQ1067" s="106"/>
      <c r="BR1067" s="106"/>
      <c r="BS1067" s="106"/>
      <c r="BT1067" s="106"/>
      <c r="BU1067" s="107"/>
      <c r="BV1067" s="107"/>
      <c r="BW1067" s="107"/>
      <c r="BX1067" s="107"/>
      <c r="BY1067" s="107"/>
      <c r="BZ1067" s="107"/>
      <c r="CA1067" s="107"/>
      <c r="CB1067" s="107"/>
      <c r="CC1067" s="107"/>
      <c r="CD1067" s="107"/>
      <c r="CE1067" s="106"/>
      <c r="CF1067" s="106"/>
      <c r="CG1067" s="106"/>
      <c r="CH1067" s="106"/>
      <c r="CI1067" s="106"/>
      <c r="CJ1067" s="138"/>
      <c r="CK1067" s="138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K1067" s="1"/>
      <c r="EL1067" s="106"/>
      <c r="EM1067" s="106"/>
      <c r="EN1067" s="1"/>
      <c r="EO1067" s="106"/>
      <c r="EP1067" s="1"/>
      <c r="EQ1067" s="1"/>
      <c r="ER1067" s="1"/>
      <c r="ES1067" s="108"/>
    </row>
    <row r="1068" spans="9:149">
      <c r="I1068" s="137"/>
      <c r="J1068" s="138"/>
      <c r="K1068" s="1"/>
      <c r="L1068" s="1"/>
      <c r="Q1068" s="1"/>
      <c r="R1068" s="1"/>
      <c r="S1068" s="106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55"/>
      <c r="AN1068" s="106"/>
      <c r="AO1068" s="106"/>
      <c r="AP1068" s="106"/>
      <c r="AQ1068" s="31"/>
      <c r="AR1068" s="31"/>
      <c r="AS1068" s="31"/>
      <c r="AT1068" s="30"/>
      <c r="AU1068" s="30"/>
      <c r="AV1068" s="106"/>
      <c r="AW1068" s="106"/>
      <c r="AX1068" s="106"/>
      <c r="AY1068" s="106"/>
      <c r="AZ1068" s="106"/>
      <c r="BA1068" s="106"/>
      <c r="BB1068" s="107"/>
      <c r="BC1068" s="105"/>
      <c r="BD1068" s="105"/>
      <c r="BE1068" s="105"/>
      <c r="BF1068" s="107"/>
      <c r="BG1068" s="160"/>
      <c r="BH1068" s="106"/>
      <c r="BI1068" s="106"/>
      <c r="BJ1068" s="106"/>
      <c r="BK1068" s="106"/>
      <c r="BL1068" s="106"/>
      <c r="BM1068" s="106"/>
      <c r="BN1068" s="106"/>
      <c r="BO1068" s="106"/>
      <c r="BP1068" s="106"/>
      <c r="BQ1068" s="106"/>
      <c r="BR1068" s="106"/>
      <c r="BS1068" s="106"/>
      <c r="BT1068" s="106"/>
      <c r="BU1068" s="107"/>
      <c r="BV1068" s="107"/>
      <c r="BW1068" s="107"/>
      <c r="BX1068" s="107"/>
      <c r="BY1068" s="107"/>
      <c r="BZ1068" s="107"/>
      <c r="CA1068" s="107"/>
      <c r="CB1068" s="107"/>
      <c r="CC1068" s="107"/>
      <c r="CD1068" s="107"/>
      <c r="CE1068" s="106"/>
      <c r="CF1068" s="106"/>
      <c r="CG1068" s="106"/>
      <c r="CH1068" s="106"/>
      <c r="CI1068" s="106"/>
      <c r="CJ1068" s="138"/>
      <c r="CK1068" s="138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K1068" s="1"/>
      <c r="EL1068" s="106"/>
      <c r="EM1068" s="106"/>
      <c r="EN1068" s="1"/>
      <c r="EO1068" s="106"/>
      <c r="EP1068" s="1"/>
      <c r="EQ1068" s="1"/>
      <c r="ER1068" s="1"/>
      <c r="ES1068" s="108"/>
    </row>
    <row r="1069" spans="9:149">
      <c r="I1069" s="137"/>
      <c r="J1069" s="138"/>
      <c r="K1069" s="1"/>
      <c r="L1069" s="1"/>
      <c r="Q1069" s="1"/>
      <c r="R1069" s="1"/>
      <c r="S1069" s="106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55"/>
      <c r="AN1069" s="106"/>
      <c r="AO1069" s="106"/>
      <c r="AP1069" s="106"/>
      <c r="AQ1069" s="31"/>
      <c r="AR1069" s="31"/>
      <c r="AS1069" s="31"/>
      <c r="AT1069" s="30"/>
      <c r="AU1069" s="30"/>
      <c r="AV1069" s="106"/>
      <c r="AW1069" s="106"/>
      <c r="AX1069" s="106"/>
      <c r="AY1069" s="106"/>
      <c r="AZ1069" s="106"/>
      <c r="BA1069" s="106"/>
      <c r="BB1069" s="107"/>
      <c r="BC1069" s="105"/>
      <c r="BD1069" s="105"/>
      <c r="BE1069" s="105"/>
      <c r="BF1069" s="107"/>
      <c r="BG1069" s="160"/>
      <c r="BH1069" s="106"/>
      <c r="BI1069" s="106"/>
      <c r="BJ1069" s="106"/>
      <c r="BK1069" s="106"/>
      <c r="BL1069" s="106"/>
      <c r="BM1069" s="106"/>
      <c r="BN1069" s="106"/>
      <c r="BO1069" s="106"/>
      <c r="BP1069" s="106"/>
      <c r="BQ1069" s="106"/>
      <c r="BR1069" s="106"/>
      <c r="BS1069" s="106"/>
      <c r="BT1069" s="106"/>
      <c r="BU1069" s="107"/>
      <c r="BV1069" s="107"/>
      <c r="BW1069" s="107"/>
      <c r="BX1069" s="107"/>
      <c r="BY1069" s="107"/>
      <c r="BZ1069" s="107"/>
      <c r="CA1069" s="107"/>
      <c r="CB1069" s="107"/>
      <c r="CC1069" s="107"/>
      <c r="CD1069" s="107"/>
      <c r="CE1069" s="106"/>
      <c r="CF1069" s="106"/>
      <c r="CG1069" s="106"/>
      <c r="CH1069" s="106"/>
      <c r="CI1069" s="106"/>
      <c r="CJ1069" s="138"/>
      <c r="CK1069" s="138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K1069" s="1"/>
      <c r="EL1069" s="106"/>
      <c r="EM1069" s="106"/>
      <c r="EN1069" s="1"/>
      <c r="EO1069" s="106"/>
      <c r="EP1069" s="1"/>
      <c r="EQ1069" s="1"/>
      <c r="ER1069" s="1"/>
      <c r="ES1069" s="108"/>
    </row>
    <row r="1070" spans="9:149">
      <c r="I1070" s="137"/>
      <c r="J1070" s="138"/>
      <c r="K1070" s="1"/>
      <c r="L1070" s="1"/>
      <c r="Q1070" s="1"/>
      <c r="R1070" s="1"/>
      <c r="S1070" s="106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55"/>
      <c r="AN1070" s="106"/>
      <c r="AO1070" s="106"/>
      <c r="AP1070" s="106"/>
      <c r="AQ1070" s="31"/>
      <c r="AR1070" s="31"/>
      <c r="AS1070" s="31"/>
      <c r="AT1070" s="30"/>
      <c r="AU1070" s="30"/>
      <c r="AV1070" s="106"/>
      <c r="AW1070" s="106"/>
      <c r="AX1070" s="106"/>
      <c r="AY1070" s="106"/>
      <c r="AZ1070" s="106"/>
      <c r="BA1070" s="106"/>
      <c r="BB1070" s="107"/>
      <c r="BC1070" s="105"/>
      <c r="BD1070" s="105"/>
      <c r="BE1070" s="105"/>
      <c r="BF1070" s="107"/>
      <c r="BG1070" s="160"/>
      <c r="BH1070" s="106"/>
      <c r="BI1070" s="106"/>
      <c r="BJ1070" s="106"/>
      <c r="BK1070" s="106"/>
      <c r="BL1070" s="106"/>
      <c r="BM1070" s="106"/>
      <c r="BN1070" s="106"/>
      <c r="BO1070" s="106"/>
      <c r="BP1070" s="106"/>
      <c r="BQ1070" s="106"/>
      <c r="BR1070" s="106"/>
      <c r="BS1070" s="106"/>
      <c r="BT1070" s="106"/>
      <c r="BU1070" s="107"/>
      <c r="BV1070" s="107"/>
      <c r="BW1070" s="107"/>
      <c r="BX1070" s="107"/>
      <c r="BY1070" s="107"/>
      <c r="BZ1070" s="107"/>
      <c r="CA1070" s="107"/>
      <c r="CB1070" s="107"/>
      <c r="CC1070" s="107"/>
      <c r="CD1070" s="107"/>
      <c r="CE1070" s="106"/>
      <c r="CF1070" s="106"/>
      <c r="CG1070" s="106"/>
      <c r="CH1070" s="106"/>
      <c r="CI1070" s="106"/>
      <c r="CJ1070" s="138"/>
      <c r="CK1070" s="138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K1070" s="1"/>
      <c r="EL1070" s="106"/>
      <c r="EM1070" s="106"/>
      <c r="EN1070" s="1"/>
      <c r="EO1070" s="106"/>
      <c r="EP1070" s="1"/>
      <c r="EQ1070" s="1"/>
      <c r="ER1070" s="1"/>
      <c r="ES1070" s="108"/>
    </row>
    <row r="1071" spans="9:149">
      <c r="I1071" s="137"/>
      <c r="J1071" s="138"/>
      <c r="K1071" s="1"/>
      <c r="L1071" s="1"/>
      <c r="Q1071" s="1"/>
      <c r="R1071" s="1"/>
      <c r="S1071" s="106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55"/>
      <c r="AN1071" s="106"/>
      <c r="AO1071" s="106"/>
      <c r="AP1071" s="106"/>
      <c r="AQ1071" s="31"/>
      <c r="AR1071" s="31"/>
      <c r="AS1071" s="31"/>
      <c r="AT1071" s="30"/>
      <c r="AU1071" s="30"/>
      <c r="AV1071" s="106"/>
      <c r="AW1071" s="106"/>
      <c r="AX1071" s="106"/>
      <c r="AY1071" s="106"/>
      <c r="AZ1071" s="106"/>
      <c r="BA1071" s="106"/>
      <c r="BB1071" s="107"/>
      <c r="BC1071" s="105"/>
      <c r="BD1071" s="105"/>
      <c r="BE1071" s="105"/>
      <c r="BF1071" s="107"/>
      <c r="BG1071" s="160"/>
      <c r="BH1071" s="106"/>
      <c r="BI1071" s="106"/>
      <c r="BJ1071" s="106"/>
      <c r="BK1071" s="106"/>
      <c r="BL1071" s="106"/>
      <c r="BM1071" s="106"/>
      <c r="BN1071" s="106"/>
      <c r="BO1071" s="106"/>
      <c r="BP1071" s="106"/>
      <c r="BQ1071" s="106"/>
      <c r="BR1071" s="106"/>
      <c r="BS1071" s="106"/>
      <c r="BT1071" s="106"/>
      <c r="BU1071" s="107"/>
      <c r="BV1071" s="107"/>
      <c r="BW1071" s="107"/>
      <c r="BX1071" s="107"/>
      <c r="BY1071" s="107"/>
      <c r="BZ1071" s="107"/>
      <c r="CA1071" s="107"/>
      <c r="CB1071" s="107"/>
      <c r="CC1071" s="107"/>
      <c r="CD1071" s="107"/>
      <c r="CE1071" s="106"/>
      <c r="CF1071" s="106"/>
      <c r="CG1071" s="106"/>
      <c r="CH1071" s="106"/>
      <c r="CI1071" s="106"/>
      <c r="CJ1071" s="138"/>
      <c r="CK1071" s="138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K1071" s="1"/>
      <c r="EL1071" s="106"/>
      <c r="EM1071" s="106"/>
      <c r="EN1071" s="1"/>
      <c r="EO1071" s="106"/>
      <c r="EP1071" s="1"/>
      <c r="EQ1071" s="1"/>
      <c r="ER1071" s="1"/>
      <c r="ES1071" s="108"/>
    </row>
    <row r="1072" spans="9:149">
      <c r="I1072" s="137"/>
      <c r="J1072" s="138"/>
      <c r="K1072" s="1"/>
      <c r="L1072" s="1"/>
      <c r="Q1072" s="1"/>
      <c r="R1072" s="1"/>
      <c r="S1072" s="106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55"/>
      <c r="AN1072" s="106"/>
      <c r="AO1072" s="106"/>
      <c r="AP1072" s="106"/>
      <c r="AQ1072" s="31"/>
      <c r="AR1072" s="31"/>
      <c r="AS1072" s="31"/>
      <c r="AT1072" s="30"/>
      <c r="AU1072" s="30"/>
      <c r="AV1072" s="106"/>
      <c r="AW1072" s="106"/>
      <c r="AX1072" s="106"/>
      <c r="AY1072" s="106"/>
      <c r="AZ1072" s="106"/>
      <c r="BA1072" s="106"/>
      <c r="BB1072" s="107"/>
      <c r="BC1072" s="105"/>
      <c r="BD1072" s="105"/>
      <c r="BE1072" s="105"/>
      <c r="BF1072" s="107"/>
      <c r="BG1072" s="160"/>
      <c r="BH1072" s="106"/>
      <c r="BI1072" s="106"/>
      <c r="BJ1072" s="106"/>
      <c r="BK1072" s="106"/>
      <c r="BL1072" s="106"/>
      <c r="BM1072" s="106"/>
      <c r="BN1072" s="106"/>
      <c r="BO1072" s="106"/>
      <c r="BP1072" s="106"/>
      <c r="BQ1072" s="106"/>
      <c r="BR1072" s="106"/>
      <c r="BS1072" s="106"/>
      <c r="BT1072" s="106"/>
      <c r="BU1072" s="107"/>
      <c r="BV1072" s="107"/>
      <c r="BW1072" s="107"/>
      <c r="BX1072" s="107"/>
      <c r="BY1072" s="107"/>
      <c r="BZ1072" s="107"/>
      <c r="CA1072" s="107"/>
      <c r="CB1072" s="107"/>
      <c r="CC1072" s="107"/>
      <c r="CD1072" s="107"/>
      <c r="CE1072" s="106"/>
      <c r="CF1072" s="106"/>
      <c r="CG1072" s="106"/>
      <c r="CH1072" s="106"/>
      <c r="CI1072" s="106"/>
      <c r="CJ1072" s="138"/>
      <c r="CK1072" s="138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K1072" s="1"/>
      <c r="EL1072" s="106"/>
      <c r="EM1072" s="106"/>
      <c r="EN1072" s="1"/>
      <c r="EO1072" s="106"/>
      <c r="EP1072" s="1"/>
      <c r="EQ1072" s="1"/>
      <c r="ER1072" s="1"/>
      <c r="ES1072" s="108"/>
    </row>
    <row r="1073" spans="9:149">
      <c r="I1073" s="137"/>
      <c r="J1073" s="138"/>
      <c r="K1073" s="1"/>
      <c r="L1073" s="1"/>
      <c r="Q1073" s="1"/>
      <c r="R1073" s="1"/>
      <c r="S1073" s="106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55"/>
      <c r="AN1073" s="106"/>
      <c r="AO1073" s="106"/>
      <c r="AP1073" s="106"/>
      <c r="AQ1073" s="31"/>
      <c r="AR1073" s="31"/>
      <c r="AS1073" s="31"/>
      <c r="AT1073" s="30"/>
      <c r="AU1073" s="30"/>
      <c r="AV1073" s="106"/>
      <c r="AW1073" s="106"/>
      <c r="AX1073" s="106"/>
      <c r="AY1073" s="106"/>
      <c r="AZ1073" s="106"/>
      <c r="BA1073" s="106"/>
      <c r="BB1073" s="107"/>
      <c r="BC1073" s="105"/>
      <c r="BD1073" s="105"/>
      <c r="BE1073" s="105"/>
      <c r="BF1073" s="107"/>
      <c r="BG1073" s="160"/>
      <c r="BH1073" s="106"/>
      <c r="BI1073" s="106"/>
      <c r="BJ1073" s="106"/>
      <c r="BK1073" s="106"/>
      <c r="BL1073" s="106"/>
      <c r="BM1073" s="106"/>
      <c r="BN1073" s="106"/>
      <c r="BO1073" s="106"/>
      <c r="BP1073" s="106"/>
      <c r="BQ1073" s="106"/>
      <c r="BR1073" s="106"/>
      <c r="BS1073" s="106"/>
      <c r="BT1073" s="106"/>
      <c r="BU1073" s="107"/>
      <c r="BV1073" s="107"/>
      <c r="BW1073" s="107"/>
      <c r="BX1073" s="107"/>
      <c r="BY1073" s="107"/>
      <c r="BZ1073" s="107"/>
      <c r="CA1073" s="107"/>
      <c r="CB1073" s="107"/>
      <c r="CC1073" s="107"/>
      <c r="CD1073" s="107"/>
      <c r="CE1073" s="106"/>
      <c r="CF1073" s="106"/>
      <c r="CG1073" s="106"/>
      <c r="CH1073" s="106"/>
      <c r="CI1073" s="106"/>
      <c r="CJ1073" s="138"/>
      <c r="CK1073" s="138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K1073" s="1"/>
      <c r="EL1073" s="106"/>
      <c r="EM1073" s="106"/>
      <c r="EN1073" s="1"/>
      <c r="EO1073" s="106"/>
      <c r="EP1073" s="1"/>
      <c r="EQ1073" s="1"/>
      <c r="ER1073" s="1"/>
      <c r="ES1073" s="108"/>
    </row>
    <row r="1074" spans="9:149">
      <c r="I1074" s="137"/>
      <c r="J1074" s="138"/>
      <c r="K1074" s="1"/>
      <c r="L1074" s="1"/>
      <c r="Q1074" s="1"/>
      <c r="R1074" s="1"/>
      <c r="S1074" s="106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55"/>
      <c r="AN1074" s="106"/>
      <c r="AO1074" s="106"/>
      <c r="AP1074" s="106"/>
      <c r="AQ1074" s="31"/>
      <c r="AR1074" s="31"/>
      <c r="AS1074" s="31"/>
      <c r="AT1074" s="30"/>
      <c r="AU1074" s="30"/>
      <c r="AV1074" s="106"/>
      <c r="AW1074" s="106"/>
      <c r="AX1074" s="106"/>
      <c r="AY1074" s="106"/>
      <c r="AZ1074" s="106"/>
      <c r="BA1074" s="106"/>
      <c r="BB1074" s="107"/>
      <c r="BC1074" s="105"/>
      <c r="BD1074" s="105"/>
      <c r="BE1074" s="105"/>
      <c r="BF1074" s="107"/>
      <c r="BG1074" s="160"/>
      <c r="BH1074" s="106"/>
      <c r="BI1074" s="106"/>
      <c r="BJ1074" s="106"/>
      <c r="BK1074" s="106"/>
      <c r="BL1074" s="106"/>
      <c r="BM1074" s="106"/>
      <c r="BN1074" s="106"/>
      <c r="BO1074" s="106"/>
      <c r="BP1074" s="106"/>
      <c r="BQ1074" s="106"/>
      <c r="BR1074" s="106"/>
      <c r="BS1074" s="106"/>
      <c r="BT1074" s="106"/>
      <c r="BU1074" s="107"/>
      <c r="BV1074" s="107"/>
      <c r="BW1074" s="107"/>
      <c r="BX1074" s="107"/>
      <c r="BY1074" s="107"/>
      <c r="BZ1074" s="107"/>
      <c r="CA1074" s="107"/>
      <c r="CB1074" s="107"/>
      <c r="CC1074" s="107"/>
      <c r="CD1074" s="107"/>
      <c r="CE1074" s="106"/>
      <c r="CF1074" s="106"/>
      <c r="CG1074" s="106"/>
      <c r="CH1074" s="106"/>
      <c r="CI1074" s="106"/>
      <c r="CJ1074" s="138"/>
      <c r="CK1074" s="138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K1074" s="1"/>
      <c r="EL1074" s="106"/>
      <c r="EM1074" s="106"/>
      <c r="EN1074" s="1"/>
      <c r="EO1074" s="106"/>
      <c r="EP1074" s="1"/>
      <c r="EQ1074" s="1"/>
      <c r="ER1074" s="1"/>
      <c r="ES1074" s="108"/>
    </row>
    <row r="1075" spans="9:149">
      <c r="I1075" s="137"/>
      <c r="J1075" s="138"/>
      <c r="K1075" s="1"/>
      <c r="L1075" s="1"/>
      <c r="Q1075" s="1"/>
      <c r="R1075" s="1"/>
      <c r="S1075" s="106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55"/>
      <c r="AN1075" s="106"/>
      <c r="AO1075" s="106"/>
      <c r="AP1075" s="106"/>
      <c r="AQ1075" s="31"/>
      <c r="AR1075" s="31"/>
      <c r="AS1075" s="31"/>
      <c r="AT1075" s="30"/>
      <c r="AU1075" s="30"/>
      <c r="AV1075" s="106"/>
      <c r="AW1075" s="106"/>
      <c r="AX1075" s="106"/>
      <c r="AY1075" s="106"/>
      <c r="AZ1075" s="106"/>
      <c r="BA1075" s="106"/>
      <c r="BB1075" s="107"/>
      <c r="BC1075" s="105"/>
      <c r="BD1075" s="105"/>
      <c r="BE1075" s="105"/>
      <c r="BF1075" s="107"/>
      <c r="BG1075" s="160"/>
      <c r="BH1075" s="106"/>
      <c r="BI1075" s="106"/>
      <c r="BJ1075" s="106"/>
      <c r="BK1075" s="106"/>
      <c r="BL1075" s="106"/>
      <c r="BM1075" s="106"/>
      <c r="BN1075" s="106"/>
      <c r="BO1075" s="106"/>
      <c r="BP1075" s="106"/>
      <c r="BQ1075" s="106"/>
      <c r="BR1075" s="106"/>
      <c r="BS1075" s="106"/>
      <c r="BT1075" s="106"/>
      <c r="BU1075" s="107"/>
      <c r="BV1075" s="107"/>
      <c r="BW1075" s="107"/>
      <c r="BX1075" s="107"/>
      <c r="BY1075" s="107"/>
      <c r="BZ1075" s="107"/>
      <c r="CA1075" s="107"/>
      <c r="CB1075" s="107"/>
      <c r="CC1075" s="107"/>
      <c r="CD1075" s="107"/>
      <c r="CE1075" s="106"/>
      <c r="CF1075" s="106"/>
      <c r="CG1075" s="106"/>
      <c r="CH1075" s="106"/>
      <c r="CI1075" s="106"/>
      <c r="CJ1075" s="138"/>
      <c r="CK1075" s="138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K1075" s="1"/>
      <c r="EL1075" s="106"/>
      <c r="EM1075" s="106"/>
      <c r="EN1075" s="1"/>
      <c r="EO1075" s="106"/>
      <c r="EP1075" s="1"/>
      <c r="EQ1075" s="1"/>
      <c r="ER1075" s="1"/>
      <c r="ES1075" s="108"/>
    </row>
    <row r="1076" spans="9:149">
      <c r="I1076" s="137"/>
      <c r="J1076" s="138"/>
      <c r="K1076" s="1"/>
      <c r="L1076" s="1"/>
      <c r="Q1076" s="1"/>
      <c r="R1076" s="1"/>
      <c r="S1076" s="106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55"/>
      <c r="AN1076" s="106"/>
      <c r="AO1076" s="106"/>
      <c r="AP1076" s="106"/>
      <c r="AQ1076" s="31"/>
      <c r="AR1076" s="31"/>
      <c r="AS1076" s="31"/>
      <c r="AT1076" s="30"/>
      <c r="AU1076" s="30"/>
      <c r="AV1076" s="106"/>
      <c r="AW1076" s="106"/>
      <c r="AX1076" s="106"/>
      <c r="AY1076" s="106"/>
      <c r="AZ1076" s="106"/>
      <c r="BA1076" s="106"/>
      <c r="BB1076" s="107"/>
      <c r="BC1076" s="105"/>
      <c r="BD1076" s="105"/>
      <c r="BE1076" s="105"/>
      <c r="BF1076" s="107"/>
      <c r="BG1076" s="160"/>
      <c r="BH1076" s="106"/>
      <c r="BI1076" s="106"/>
      <c r="BJ1076" s="106"/>
      <c r="BK1076" s="106"/>
      <c r="BL1076" s="106"/>
      <c r="BM1076" s="106"/>
      <c r="BN1076" s="106"/>
      <c r="BO1076" s="106"/>
      <c r="BP1076" s="106"/>
      <c r="BQ1076" s="106"/>
      <c r="BR1076" s="106"/>
      <c r="BS1076" s="106"/>
      <c r="BT1076" s="106"/>
      <c r="BU1076" s="107"/>
      <c r="BV1076" s="107"/>
      <c r="BW1076" s="107"/>
      <c r="BX1076" s="107"/>
      <c r="BY1076" s="107"/>
      <c r="BZ1076" s="107"/>
      <c r="CA1076" s="107"/>
      <c r="CB1076" s="107"/>
      <c r="CC1076" s="107"/>
      <c r="CD1076" s="107"/>
      <c r="CE1076" s="106"/>
      <c r="CF1076" s="106"/>
      <c r="CG1076" s="106"/>
      <c r="CH1076" s="106"/>
      <c r="CI1076" s="106"/>
      <c r="CJ1076" s="138"/>
      <c r="CK1076" s="138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K1076" s="1"/>
      <c r="EL1076" s="106"/>
      <c r="EM1076" s="106"/>
      <c r="EN1076" s="1"/>
      <c r="EO1076" s="106"/>
      <c r="EP1076" s="1"/>
      <c r="EQ1076" s="1"/>
      <c r="ER1076" s="1"/>
      <c r="ES1076" s="108"/>
    </row>
    <row r="1077" spans="9:149">
      <c r="I1077" s="137"/>
      <c r="J1077" s="138"/>
      <c r="K1077" s="1"/>
      <c r="L1077" s="1"/>
      <c r="Q1077" s="1"/>
      <c r="R1077" s="1"/>
      <c r="S1077" s="106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55"/>
      <c r="AN1077" s="106"/>
      <c r="AO1077" s="106"/>
      <c r="AP1077" s="106"/>
      <c r="AQ1077" s="31"/>
      <c r="AR1077" s="31"/>
      <c r="AS1077" s="31"/>
      <c r="AT1077" s="30"/>
      <c r="AU1077" s="30"/>
      <c r="AV1077" s="106"/>
      <c r="AW1077" s="106"/>
      <c r="AX1077" s="106"/>
      <c r="AY1077" s="106"/>
      <c r="AZ1077" s="106"/>
      <c r="BA1077" s="106"/>
      <c r="BB1077" s="107"/>
      <c r="BC1077" s="105"/>
      <c r="BD1077" s="105"/>
      <c r="BE1077" s="105"/>
      <c r="BF1077" s="107"/>
      <c r="BG1077" s="160"/>
      <c r="BH1077" s="106"/>
      <c r="BI1077" s="106"/>
      <c r="BJ1077" s="106"/>
      <c r="BK1077" s="106"/>
      <c r="BL1077" s="106"/>
      <c r="BM1077" s="106"/>
      <c r="BN1077" s="106"/>
      <c r="BO1077" s="106"/>
      <c r="BP1077" s="106"/>
      <c r="BQ1077" s="106"/>
      <c r="BR1077" s="106"/>
      <c r="BS1077" s="106"/>
      <c r="BT1077" s="106"/>
      <c r="BU1077" s="107"/>
      <c r="BV1077" s="107"/>
      <c r="BW1077" s="107"/>
      <c r="BX1077" s="107"/>
      <c r="BY1077" s="107"/>
      <c r="BZ1077" s="107"/>
      <c r="CA1077" s="107"/>
      <c r="CB1077" s="107"/>
      <c r="CC1077" s="107"/>
      <c r="CD1077" s="107"/>
      <c r="CE1077" s="106"/>
      <c r="CF1077" s="106"/>
      <c r="CG1077" s="106"/>
      <c r="CH1077" s="106"/>
      <c r="CI1077" s="106"/>
      <c r="CJ1077" s="138"/>
      <c r="CK1077" s="138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K1077" s="1"/>
      <c r="EL1077" s="106"/>
      <c r="EM1077" s="106"/>
      <c r="EN1077" s="1"/>
      <c r="EO1077" s="106"/>
      <c r="EP1077" s="1"/>
      <c r="EQ1077" s="1"/>
      <c r="ER1077" s="1"/>
      <c r="ES1077" s="108"/>
    </row>
    <row r="1078" spans="9:149">
      <c r="I1078" s="137"/>
      <c r="J1078" s="138"/>
      <c r="K1078" s="1"/>
      <c r="L1078" s="1"/>
      <c r="Q1078" s="1"/>
      <c r="R1078" s="1"/>
      <c r="S1078" s="106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55"/>
      <c r="AN1078" s="106"/>
      <c r="AO1078" s="106"/>
      <c r="AP1078" s="106"/>
      <c r="AQ1078" s="31"/>
      <c r="AR1078" s="31"/>
      <c r="AS1078" s="31"/>
      <c r="AT1078" s="30"/>
      <c r="AU1078" s="30"/>
      <c r="AV1078" s="106"/>
      <c r="AW1078" s="106"/>
      <c r="AX1078" s="106"/>
      <c r="AY1078" s="106"/>
      <c r="AZ1078" s="106"/>
      <c r="BA1078" s="106"/>
      <c r="BB1078" s="107"/>
      <c r="BC1078" s="105"/>
      <c r="BD1078" s="105"/>
      <c r="BE1078" s="105"/>
      <c r="BF1078" s="107"/>
      <c r="BG1078" s="160"/>
      <c r="BH1078" s="106"/>
      <c r="BI1078" s="106"/>
      <c r="BJ1078" s="106"/>
      <c r="BK1078" s="106"/>
      <c r="BL1078" s="106"/>
      <c r="BM1078" s="106"/>
      <c r="BN1078" s="106"/>
      <c r="BO1078" s="106"/>
      <c r="BP1078" s="106"/>
      <c r="BQ1078" s="106"/>
      <c r="BR1078" s="106"/>
      <c r="BS1078" s="106"/>
      <c r="BT1078" s="106"/>
      <c r="BU1078" s="107"/>
      <c r="BV1078" s="107"/>
      <c r="BW1078" s="107"/>
      <c r="BX1078" s="107"/>
      <c r="BY1078" s="107"/>
      <c r="BZ1078" s="107"/>
      <c r="CA1078" s="107"/>
      <c r="CB1078" s="107"/>
      <c r="CC1078" s="107"/>
      <c r="CD1078" s="107"/>
      <c r="CE1078" s="106"/>
      <c r="CF1078" s="106"/>
      <c r="CG1078" s="106"/>
      <c r="CH1078" s="106"/>
      <c r="CI1078" s="106"/>
      <c r="CJ1078" s="138"/>
      <c r="CK1078" s="138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K1078" s="1"/>
      <c r="EL1078" s="106"/>
      <c r="EM1078" s="106"/>
      <c r="EN1078" s="1"/>
      <c r="EO1078" s="106"/>
      <c r="EP1078" s="1"/>
      <c r="EQ1078" s="1"/>
      <c r="ER1078" s="1"/>
      <c r="ES1078" s="108"/>
    </row>
    <row r="1079" spans="9:149">
      <c r="I1079" s="137"/>
      <c r="J1079" s="138"/>
      <c r="K1079" s="1"/>
      <c r="L1079" s="1"/>
      <c r="Q1079" s="1"/>
      <c r="R1079" s="1"/>
      <c r="S1079" s="106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55"/>
      <c r="AN1079" s="106"/>
      <c r="AO1079" s="106"/>
      <c r="AP1079" s="106"/>
      <c r="AQ1079" s="31"/>
      <c r="AR1079" s="31"/>
      <c r="AS1079" s="31"/>
      <c r="AT1079" s="30"/>
      <c r="AU1079" s="30"/>
      <c r="AV1079" s="106"/>
      <c r="AW1079" s="106"/>
      <c r="AX1079" s="106"/>
      <c r="AY1079" s="106"/>
      <c r="AZ1079" s="106"/>
      <c r="BA1079" s="106"/>
      <c r="BB1079" s="107"/>
      <c r="BC1079" s="105"/>
      <c r="BD1079" s="105"/>
      <c r="BE1079" s="105"/>
      <c r="BF1079" s="107"/>
      <c r="BG1079" s="160"/>
      <c r="BH1079" s="106"/>
      <c r="BI1079" s="106"/>
      <c r="BJ1079" s="106"/>
      <c r="BK1079" s="106"/>
      <c r="BL1079" s="106"/>
      <c r="BM1079" s="106"/>
      <c r="BN1079" s="106"/>
      <c r="BO1079" s="106"/>
      <c r="BP1079" s="106"/>
      <c r="BQ1079" s="106"/>
      <c r="BR1079" s="106"/>
      <c r="BS1079" s="106"/>
      <c r="BT1079" s="106"/>
      <c r="BU1079" s="107"/>
      <c r="BV1079" s="107"/>
      <c r="BW1079" s="107"/>
      <c r="BX1079" s="107"/>
      <c r="BY1079" s="107"/>
      <c r="BZ1079" s="107"/>
      <c r="CA1079" s="107"/>
      <c r="CB1079" s="107"/>
      <c r="CC1079" s="107"/>
      <c r="CD1079" s="107"/>
      <c r="CE1079" s="106"/>
      <c r="CF1079" s="106"/>
      <c r="CG1079" s="106"/>
      <c r="CH1079" s="106"/>
      <c r="CI1079" s="106"/>
      <c r="CJ1079" s="138"/>
      <c r="CK1079" s="138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K1079" s="1"/>
      <c r="EL1079" s="106"/>
      <c r="EM1079" s="106"/>
      <c r="EN1079" s="1"/>
      <c r="EO1079" s="106"/>
      <c r="EP1079" s="1"/>
      <c r="EQ1079" s="1"/>
      <c r="ER1079" s="1"/>
      <c r="ES1079" s="108"/>
    </row>
    <row r="1080" spans="9:149">
      <c r="I1080" s="137"/>
      <c r="J1080" s="138"/>
      <c r="K1080" s="1"/>
      <c r="L1080" s="1"/>
      <c r="Q1080" s="1"/>
      <c r="R1080" s="1"/>
      <c r="S1080" s="106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55"/>
      <c r="AN1080" s="106"/>
      <c r="AO1080" s="106"/>
      <c r="AP1080" s="106"/>
      <c r="AQ1080" s="31"/>
      <c r="AR1080" s="31"/>
      <c r="AS1080" s="31"/>
      <c r="AT1080" s="30"/>
      <c r="AU1080" s="30"/>
      <c r="AV1080" s="106"/>
      <c r="AW1080" s="106"/>
      <c r="AX1080" s="106"/>
      <c r="AY1080" s="106"/>
      <c r="AZ1080" s="106"/>
      <c r="BA1080" s="106"/>
      <c r="BB1080" s="107"/>
      <c r="BC1080" s="105"/>
      <c r="BD1080" s="105"/>
      <c r="BE1080" s="105"/>
      <c r="BF1080" s="107"/>
      <c r="BG1080" s="160"/>
      <c r="BH1080" s="106"/>
      <c r="BI1080" s="106"/>
      <c r="BJ1080" s="106"/>
      <c r="BK1080" s="106"/>
      <c r="BL1080" s="106"/>
      <c r="BM1080" s="106"/>
      <c r="BN1080" s="106"/>
      <c r="BO1080" s="106"/>
      <c r="BP1080" s="106"/>
      <c r="BQ1080" s="106"/>
      <c r="BR1080" s="106"/>
      <c r="BS1080" s="106"/>
      <c r="BT1080" s="106"/>
      <c r="BU1080" s="107"/>
      <c r="BV1080" s="107"/>
      <c r="BW1080" s="107"/>
      <c r="BX1080" s="107"/>
      <c r="BY1080" s="107"/>
      <c r="BZ1080" s="107"/>
      <c r="CA1080" s="107"/>
      <c r="CB1080" s="107"/>
      <c r="CC1080" s="107"/>
      <c r="CD1080" s="107"/>
      <c r="CE1080" s="106"/>
      <c r="CF1080" s="106"/>
      <c r="CG1080" s="106"/>
      <c r="CH1080" s="106"/>
      <c r="CI1080" s="106"/>
      <c r="CJ1080" s="138"/>
      <c r="CK1080" s="138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K1080" s="1"/>
      <c r="EL1080" s="106"/>
      <c r="EM1080" s="106"/>
      <c r="EN1080" s="1"/>
      <c r="EO1080" s="106"/>
      <c r="EP1080" s="1"/>
      <c r="EQ1080" s="1"/>
      <c r="ER1080" s="1"/>
      <c r="ES1080" s="108"/>
    </row>
    <row r="1081" spans="9:149">
      <c r="I1081" s="137"/>
      <c r="J1081" s="138"/>
      <c r="K1081" s="1"/>
      <c r="L1081" s="1"/>
      <c r="Q1081" s="1"/>
      <c r="R1081" s="1"/>
      <c r="S1081" s="106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55"/>
      <c r="AN1081" s="106"/>
      <c r="AO1081" s="106"/>
      <c r="AP1081" s="106"/>
      <c r="AQ1081" s="31"/>
      <c r="AR1081" s="31"/>
      <c r="AS1081" s="31"/>
      <c r="AT1081" s="30"/>
      <c r="AU1081" s="30"/>
      <c r="AV1081" s="106"/>
      <c r="AW1081" s="106"/>
      <c r="AX1081" s="106"/>
      <c r="AY1081" s="106"/>
      <c r="AZ1081" s="106"/>
      <c r="BA1081" s="106"/>
      <c r="BB1081" s="107"/>
      <c r="BC1081" s="105"/>
      <c r="BD1081" s="105"/>
      <c r="BE1081" s="105"/>
      <c r="BF1081" s="107"/>
      <c r="BG1081" s="160"/>
      <c r="BH1081" s="106"/>
      <c r="BI1081" s="106"/>
      <c r="BJ1081" s="106"/>
      <c r="BK1081" s="106"/>
      <c r="BL1081" s="106"/>
      <c r="BM1081" s="106"/>
      <c r="BN1081" s="106"/>
      <c r="BO1081" s="106"/>
      <c r="BP1081" s="106"/>
      <c r="BQ1081" s="106"/>
      <c r="BR1081" s="106"/>
      <c r="BS1081" s="106"/>
      <c r="BT1081" s="106"/>
      <c r="BU1081" s="107"/>
      <c r="BV1081" s="107"/>
      <c r="BW1081" s="107"/>
      <c r="BX1081" s="107"/>
      <c r="BY1081" s="107"/>
      <c r="BZ1081" s="107"/>
      <c r="CA1081" s="107"/>
      <c r="CB1081" s="107"/>
      <c r="CC1081" s="107"/>
      <c r="CD1081" s="107"/>
      <c r="CE1081" s="106"/>
      <c r="CF1081" s="106"/>
      <c r="CG1081" s="106"/>
      <c r="CH1081" s="106"/>
      <c r="CI1081" s="106"/>
      <c r="CJ1081" s="138"/>
      <c r="CK1081" s="138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K1081" s="1"/>
      <c r="EL1081" s="106"/>
      <c r="EM1081" s="106"/>
      <c r="EN1081" s="1"/>
      <c r="EO1081" s="106"/>
      <c r="EP1081" s="1"/>
      <c r="EQ1081" s="1"/>
      <c r="ER1081" s="1"/>
      <c r="ES1081" s="108"/>
    </row>
    <row r="1082" spans="9:149">
      <c r="I1082" s="137"/>
      <c r="J1082" s="138"/>
      <c r="K1082" s="1"/>
      <c r="L1082" s="1"/>
      <c r="Q1082" s="1"/>
      <c r="R1082" s="1"/>
      <c r="S1082" s="106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55"/>
      <c r="AN1082" s="106"/>
      <c r="AO1082" s="106"/>
      <c r="AP1082" s="106"/>
      <c r="AQ1082" s="31"/>
      <c r="AR1082" s="31"/>
      <c r="AS1082" s="31"/>
      <c r="AT1082" s="30"/>
      <c r="AU1082" s="30"/>
      <c r="AV1082" s="106"/>
      <c r="AW1082" s="106"/>
      <c r="AX1082" s="106"/>
      <c r="AY1082" s="106"/>
      <c r="AZ1082" s="106"/>
      <c r="BA1082" s="106"/>
      <c r="BB1082" s="107"/>
      <c r="BC1082" s="105"/>
      <c r="BD1082" s="105"/>
      <c r="BE1082" s="105"/>
      <c r="BF1082" s="107"/>
      <c r="BG1082" s="160"/>
      <c r="BH1082" s="106"/>
      <c r="BI1082" s="106"/>
      <c r="BJ1082" s="106"/>
      <c r="BK1082" s="106"/>
      <c r="BL1082" s="106"/>
      <c r="BM1082" s="106"/>
      <c r="BN1082" s="106"/>
      <c r="BO1082" s="106"/>
      <c r="BP1082" s="106"/>
      <c r="BQ1082" s="106"/>
      <c r="BR1082" s="106"/>
      <c r="BS1082" s="106"/>
      <c r="BT1082" s="106"/>
      <c r="BU1082" s="107"/>
      <c r="BV1082" s="107"/>
      <c r="BW1082" s="107"/>
      <c r="BX1082" s="107"/>
      <c r="BY1082" s="107"/>
      <c r="BZ1082" s="107"/>
      <c r="CA1082" s="107"/>
      <c r="CB1082" s="107"/>
      <c r="CC1082" s="107"/>
      <c r="CD1082" s="107"/>
      <c r="CE1082" s="106"/>
      <c r="CF1082" s="106"/>
      <c r="CG1082" s="106"/>
      <c r="CH1082" s="106"/>
      <c r="CI1082" s="106"/>
      <c r="CJ1082" s="138"/>
      <c r="CK1082" s="138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K1082" s="1"/>
      <c r="EL1082" s="106"/>
      <c r="EM1082" s="106"/>
      <c r="EN1082" s="1"/>
      <c r="EO1082" s="106"/>
      <c r="EP1082" s="1"/>
      <c r="EQ1082" s="1"/>
      <c r="ER1082" s="1"/>
      <c r="ES1082" s="108"/>
    </row>
    <row r="1083" spans="9:149">
      <c r="I1083" s="137"/>
      <c r="J1083" s="138"/>
      <c r="K1083" s="1"/>
      <c r="L1083" s="1"/>
      <c r="Q1083" s="1"/>
      <c r="R1083" s="1"/>
      <c r="S1083" s="106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55"/>
      <c r="AN1083" s="106"/>
      <c r="AO1083" s="106"/>
      <c r="AP1083" s="106"/>
      <c r="AQ1083" s="31"/>
      <c r="AR1083" s="31"/>
      <c r="AS1083" s="31"/>
      <c r="AT1083" s="30"/>
      <c r="AU1083" s="30"/>
      <c r="AV1083" s="106"/>
      <c r="AW1083" s="106"/>
      <c r="AX1083" s="106"/>
      <c r="AY1083" s="106"/>
      <c r="AZ1083" s="106"/>
      <c r="BA1083" s="106"/>
      <c r="BB1083" s="107"/>
      <c r="BC1083" s="105"/>
      <c r="BD1083" s="105"/>
      <c r="BE1083" s="105"/>
      <c r="BF1083" s="107"/>
      <c r="BG1083" s="160"/>
      <c r="BH1083" s="106"/>
      <c r="BI1083" s="106"/>
      <c r="BJ1083" s="106"/>
      <c r="BK1083" s="106"/>
      <c r="BL1083" s="106"/>
      <c r="BM1083" s="106"/>
      <c r="BN1083" s="106"/>
      <c r="BO1083" s="106"/>
      <c r="BP1083" s="106"/>
      <c r="BQ1083" s="106"/>
      <c r="BR1083" s="106"/>
      <c r="BS1083" s="106"/>
      <c r="BT1083" s="106"/>
      <c r="BU1083" s="107"/>
      <c r="BV1083" s="107"/>
      <c r="BW1083" s="107"/>
      <c r="BX1083" s="107"/>
      <c r="BY1083" s="107"/>
      <c r="BZ1083" s="107"/>
      <c r="CA1083" s="107"/>
      <c r="CB1083" s="107"/>
      <c r="CC1083" s="107"/>
      <c r="CD1083" s="107"/>
      <c r="CE1083" s="106"/>
      <c r="CF1083" s="106"/>
      <c r="CG1083" s="106"/>
      <c r="CH1083" s="106"/>
      <c r="CI1083" s="106"/>
      <c r="CJ1083" s="138"/>
      <c r="CK1083" s="138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K1083" s="1"/>
      <c r="EL1083" s="106"/>
      <c r="EM1083" s="106"/>
      <c r="EN1083" s="1"/>
      <c r="EO1083" s="106"/>
      <c r="EP1083" s="1"/>
      <c r="EQ1083" s="1"/>
      <c r="ER1083" s="1"/>
      <c r="ES1083" s="108"/>
    </row>
    <row r="1084" spans="9:149">
      <c r="I1084" s="137"/>
      <c r="J1084" s="138"/>
      <c r="K1084" s="1"/>
      <c r="L1084" s="1"/>
      <c r="Q1084" s="1"/>
      <c r="R1084" s="1"/>
      <c r="S1084" s="106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55"/>
      <c r="AN1084" s="106"/>
      <c r="AO1084" s="106"/>
      <c r="AP1084" s="106"/>
      <c r="AQ1084" s="31"/>
      <c r="AR1084" s="31"/>
      <c r="AS1084" s="31"/>
      <c r="AT1084" s="30"/>
      <c r="AU1084" s="30"/>
      <c r="AV1084" s="106"/>
      <c r="AW1084" s="106"/>
      <c r="AX1084" s="106"/>
      <c r="AY1084" s="106"/>
      <c r="AZ1084" s="106"/>
      <c r="BA1084" s="106"/>
      <c r="BB1084" s="107"/>
      <c r="BC1084" s="105"/>
      <c r="BD1084" s="105"/>
      <c r="BE1084" s="105"/>
      <c r="BF1084" s="107"/>
      <c r="BG1084" s="160"/>
      <c r="BH1084" s="106"/>
      <c r="BI1084" s="106"/>
      <c r="BJ1084" s="106"/>
      <c r="BK1084" s="106"/>
      <c r="BL1084" s="106"/>
      <c r="BM1084" s="106"/>
      <c r="BN1084" s="106"/>
      <c r="BO1084" s="106"/>
      <c r="BP1084" s="106"/>
      <c r="BQ1084" s="106"/>
      <c r="BR1084" s="106"/>
      <c r="BS1084" s="106"/>
      <c r="BT1084" s="106"/>
      <c r="BU1084" s="107"/>
      <c r="BV1084" s="107"/>
      <c r="BW1084" s="107"/>
      <c r="BX1084" s="107"/>
      <c r="BY1084" s="107"/>
      <c r="BZ1084" s="107"/>
      <c r="CA1084" s="107"/>
      <c r="CB1084" s="107"/>
      <c r="CC1084" s="107"/>
      <c r="CD1084" s="107"/>
      <c r="CE1084" s="106"/>
      <c r="CF1084" s="106"/>
      <c r="CG1084" s="106"/>
      <c r="CH1084" s="106"/>
      <c r="CI1084" s="106"/>
      <c r="CJ1084" s="138"/>
      <c r="CK1084" s="138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K1084" s="1"/>
      <c r="EL1084" s="106"/>
      <c r="EM1084" s="106"/>
      <c r="EN1084" s="1"/>
      <c r="EO1084" s="106"/>
      <c r="EP1084" s="1"/>
      <c r="EQ1084" s="1"/>
      <c r="ER1084" s="1"/>
      <c r="ES1084" s="108"/>
    </row>
    <row r="1085" spans="9:149">
      <c r="AM1085" s="55"/>
      <c r="EP1085" s="1"/>
      <c r="EQ1085" s="1"/>
      <c r="ER1085" s="1"/>
    </row>
    <row r="1086" spans="9:149">
      <c r="AM1086" s="55"/>
    </row>
    <row r="1087" spans="9:149">
      <c r="AM1087" s="55"/>
    </row>
    <row r="1088" spans="9:149">
      <c r="AM1088" s="55"/>
    </row>
    <row r="1089" spans="39:39">
      <c r="AM1089" s="55"/>
    </row>
    <row r="1090" spans="39:39">
      <c r="AM1090" s="55"/>
    </row>
    <row r="1091" spans="39:39">
      <c r="AM1091" s="55"/>
    </row>
    <row r="1092" spans="39:39">
      <c r="AM1092" s="55"/>
    </row>
    <row r="1093" spans="39:39">
      <c r="AM1093" s="55"/>
    </row>
    <row r="1094" spans="39:39">
      <c r="AM1094" s="55"/>
    </row>
    <row r="1095" spans="39:39">
      <c r="AM1095" s="55"/>
    </row>
    <row r="1096" spans="39:39">
      <c r="AM1096" s="55"/>
    </row>
    <row r="1097" spans="39:39">
      <c r="AM1097" s="55"/>
    </row>
    <row r="1098" spans="39:39">
      <c r="AM1098" s="55"/>
    </row>
    <row r="1099" spans="39:39">
      <c r="AM1099" s="55"/>
    </row>
    <row r="1100" spans="39:39">
      <c r="AM1100" s="55"/>
    </row>
    <row r="1101" spans="39:39">
      <c r="AM1101" s="55"/>
    </row>
    <row r="1102" spans="39:39">
      <c r="AM1102" s="55"/>
    </row>
    <row r="1103" spans="39:39">
      <c r="AM1103" s="55"/>
    </row>
    <row r="1104" spans="39:39">
      <c r="AM1104" s="55"/>
    </row>
    <row r="1105" spans="39:39">
      <c r="AM1105" s="55"/>
    </row>
    <row r="1106" spans="39:39">
      <c r="AM1106" s="55"/>
    </row>
    <row r="1107" spans="39:39">
      <c r="AM1107" s="55"/>
    </row>
    <row r="1108" spans="39:39">
      <c r="AM1108" s="55"/>
    </row>
    <row r="1109" spans="39:39">
      <c r="AM1109" s="55"/>
    </row>
    <row r="1110" spans="39:39">
      <c r="AM1110" s="55"/>
    </row>
    <row r="1111" spans="39:39">
      <c r="AM1111" s="55"/>
    </row>
    <row r="1112" spans="39:39">
      <c r="AM1112" s="55"/>
    </row>
    <row r="1113" spans="39:39">
      <c r="AM1113" s="55"/>
    </row>
    <row r="1114" spans="39:39">
      <c r="AM1114" s="55"/>
    </row>
    <row r="1115" spans="39:39">
      <c r="AM1115" s="55"/>
    </row>
    <row r="1116" spans="39:39">
      <c r="AM1116" s="55"/>
    </row>
    <row r="1117" spans="39:39">
      <c r="AM1117" s="55"/>
    </row>
    <row r="1118" spans="39:39">
      <c r="AM1118" s="55"/>
    </row>
    <row r="1119" spans="39:39">
      <c r="AM1119" s="55"/>
    </row>
    <row r="1120" spans="39:39">
      <c r="AM1120" s="55"/>
    </row>
    <row r="1121" spans="39:39">
      <c r="AM1121" s="55"/>
    </row>
    <row r="1122" spans="39:39">
      <c r="AM1122" s="55"/>
    </row>
    <row r="1123" spans="39:39">
      <c r="AM1123" s="55"/>
    </row>
    <row r="1124" spans="39:39">
      <c r="AM1124" s="55"/>
    </row>
    <row r="1125" spans="39:39">
      <c r="AM1125" s="55"/>
    </row>
    <row r="1126" spans="39:39">
      <c r="AM1126" s="55"/>
    </row>
    <row r="1127" spans="39:39">
      <c r="AM1127" s="55"/>
    </row>
    <row r="1128" spans="39:39">
      <c r="AM1128" s="55"/>
    </row>
    <row r="1129" spans="39:39">
      <c r="AM1129" s="55"/>
    </row>
    <row r="1130" spans="39:39">
      <c r="AM1130" s="55"/>
    </row>
    <row r="1131" spans="39:39">
      <c r="AM1131" s="55"/>
    </row>
    <row r="1132" spans="39:39">
      <c r="AM1132" s="55"/>
    </row>
    <row r="1133" spans="39:39">
      <c r="AM1133" s="55"/>
    </row>
    <row r="1134" spans="39:39">
      <c r="AM1134" s="55"/>
    </row>
    <row r="1135" spans="39:39">
      <c r="AM1135" s="55"/>
    </row>
    <row r="1136" spans="39:39">
      <c r="AM1136" s="55"/>
    </row>
    <row r="1137" spans="39:39">
      <c r="AM1137" s="55"/>
    </row>
    <row r="1138" spans="39:39">
      <c r="AM1138" s="55"/>
    </row>
    <row r="1139" spans="39:39">
      <c r="AM1139" s="55"/>
    </row>
    <row r="1140" spans="39:39">
      <c r="AM1140" s="55"/>
    </row>
    <row r="1141" spans="39:39">
      <c r="AM1141" s="55"/>
    </row>
    <row r="1142" spans="39:39">
      <c r="AM1142" s="55"/>
    </row>
    <row r="1143" spans="39:39">
      <c r="AM1143" s="55"/>
    </row>
    <row r="1144" spans="39:39">
      <c r="AM1144" s="55"/>
    </row>
    <row r="1145" spans="39:39">
      <c r="AM1145" s="55"/>
    </row>
    <row r="1146" spans="39:39">
      <c r="AM1146" s="55"/>
    </row>
    <row r="1147" spans="39:39">
      <c r="AM1147" s="55"/>
    </row>
    <row r="1148" spans="39:39">
      <c r="AM1148" s="55"/>
    </row>
    <row r="1149" spans="39:39">
      <c r="AM1149" s="55"/>
    </row>
    <row r="1150" spans="39:39">
      <c r="AM1150" s="55"/>
    </row>
    <row r="1151" spans="39:39">
      <c r="AM1151" s="55"/>
    </row>
    <row r="1152" spans="39:39">
      <c r="AM1152" s="55"/>
    </row>
    <row r="1153" spans="39:39">
      <c r="AM1153" s="55"/>
    </row>
    <row r="1154" spans="39:39">
      <c r="AM1154" s="55"/>
    </row>
    <row r="1155" spans="39:39">
      <c r="AM1155" s="55"/>
    </row>
    <row r="1156" spans="39:39">
      <c r="AM1156" s="55"/>
    </row>
    <row r="1157" spans="39:39">
      <c r="AM1157" s="55"/>
    </row>
    <row r="1158" spans="39:39">
      <c r="AM1158" s="55"/>
    </row>
    <row r="1159" spans="39:39">
      <c r="AM1159" s="55"/>
    </row>
    <row r="1160" spans="39:39">
      <c r="AM1160" s="55"/>
    </row>
    <row r="1161" spans="39:39">
      <c r="AM1161" s="55"/>
    </row>
    <row r="1162" spans="39:39">
      <c r="AM1162" s="55"/>
    </row>
    <row r="1163" spans="39:39">
      <c r="AM1163" s="55"/>
    </row>
    <row r="1164" spans="39:39">
      <c r="AM1164" s="55"/>
    </row>
    <row r="1165" spans="39:39">
      <c r="AM1165" s="55"/>
    </row>
    <row r="1166" spans="39:39">
      <c r="AM1166" s="55"/>
    </row>
    <row r="1167" spans="39:39">
      <c r="AM1167" s="55"/>
    </row>
    <row r="1168" spans="39:39">
      <c r="AM1168" s="55"/>
    </row>
    <row r="1169" spans="39:39">
      <c r="AM1169" s="55"/>
    </row>
    <row r="1170" spans="39:39">
      <c r="AM1170" s="55"/>
    </row>
    <row r="1171" spans="39:39">
      <c r="AM1171" s="55"/>
    </row>
    <row r="1172" spans="39:39">
      <c r="AM1172" s="55"/>
    </row>
    <row r="1173" spans="39:39">
      <c r="AM1173" s="55"/>
    </row>
    <row r="1174" spans="39:39">
      <c r="AM1174" s="55"/>
    </row>
    <row r="1175" spans="39:39">
      <c r="AM1175" s="55"/>
    </row>
    <row r="1176" spans="39:39">
      <c r="AM1176" s="55"/>
    </row>
    <row r="1177" spans="39:39">
      <c r="AM1177" s="55"/>
    </row>
    <row r="1178" spans="39:39">
      <c r="AM1178" s="55"/>
    </row>
    <row r="1179" spans="39:39">
      <c r="AM1179" s="55"/>
    </row>
    <row r="1180" spans="39:39">
      <c r="AM1180" s="55"/>
    </row>
    <row r="1181" spans="39:39">
      <c r="AM1181" s="55"/>
    </row>
    <row r="1182" spans="39:39">
      <c r="AM1182" s="55"/>
    </row>
    <row r="1183" spans="39:39">
      <c r="AM1183" s="55"/>
    </row>
    <row r="1184" spans="39:39">
      <c r="AM1184" s="55"/>
    </row>
    <row r="1185" spans="39:39">
      <c r="AM1185" s="55"/>
    </row>
    <row r="1186" spans="39:39">
      <c r="AM1186" s="55"/>
    </row>
    <row r="1187" spans="39:39">
      <c r="AM1187" s="55"/>
    </row>
    <row r="1188" spans="39:39">
      <c r="AM1188" s="55"/>
    </row>
    <row r="1189" spans="39:39">
      <c r="AM1189" s="55"/>
    </row>
    <row r="1190" spans="39:39">
      <c r="AM1190" s="55"/>
    </row>
    <row r="1191" spans="39:39">
      <c r="AM1191" s="55"/>
    </row>
    <row r="1192" spans="39:39">
      <c r="AM1192" s="55"/>
    </row>
    <row r="1193" spans="39:39">
      <c r="AM1193" s="55"/>
    </row>
    <row r="1194" spans="39:39">
      <c r="AM1194" s="55"/>
    </row>
    <row r="1195" spans="39:39">
      <c r="AM1195" s="55"/>
    </row>
    <row r="1196" spans="39:39">
      <c r="AM1196" s="55"/>
    </row>
    <row r="1197" spans="39:39">
      <c r="AM1197" s="55"/>
    </row>
    <row r="1198" spans="39:39">
      <c r="AM1198" s="55"/>
    </row>
    <row r="1199" spans="39:39">
      <c r="AM1199" s="55"/>
    </row>
    <row r="1200" spans="39:39">
      <c r="AM1200" s="55"/>
    </row>
    <row r="1201" spans="39:39">
      <c r="AM1201" s="55"/>
    </row>
    <row r="1202" spans="39:39">
      <c r="AM1202" s="55"/>
    </row>
    <row r="1203" spans="39:39">
      <c r="AM1203" s="55"/>
    </row>
    <row r="1204" spans="39:39">
      <c r="AM1204" s="55"/>
    </row>
    <row r="1205" spans="39:39">
      <c r="AM1205" s="55"/>
    </row>
    <row r="1206" spans="39:39">
      <c r="AM1206" s="55"/>
    </row>
    <row r="1207" spans="39:39">
      <c r="AM1207" s="55"/>
    </row>
    <row r="1208" spans="39:39">
      <c r="AM1208" s="55"/>
    </row>
    <row r="1209" spans="39:39">
      <c r="AM1209" s="55"/>
    </row>
    <row r="1210" spans="39:39">
      <c r="AM1210" s="55"/>
    </row>
    <row r="1211" spans="39:39">
      <c r="AM1211" s="55"/>
    </row>
    <row r="1212" spans="39:39">
      <c r="AM1212" s="55"/>
    </row>
    <row r="1213" spans="39:39">
      <c r="AM1213" s="55"/>
    </row>
    <row r="1214" spans="39:39">
      <c r="AM1214" s="55"/>
    </row>
    <row r="1215" spans="39:39">
      <c r="AM1215" s="55"/>
    </row>
    <row r="1216" spans="39:39">
      <c r="AM1216" s="55"/>
    </row>
    <row r="1217" spans="39:39">
      <c r="AM1217" s="55"/>
    </row>
    <row r="1218" spans="39:39">
      <c r="AM1218" s="55"/>
    </row>
    <row r="1219" spans="39:39">
      <c r="AM1219" s="55"/>
    </row>
    <row r="1220" spans="39:39">
      <c r="AM1220" s="55"/>
    </row>
    <row r="1221" spans="39:39">
      <c r="AM1221" s="55"/>
    </row>
    <row r="1222" spans="39:39">
      <c r="AM1222" s="55"/>
    </row>
    <row r="1223" spans="39:39">
      <c r="AM1223" s="55"/>
    </row>
    <row r="1224" spans="39:39">
      <c r="AM1224" s="55"/>
    </row>
    <row r="1225" spans="39:39">
      <c r="AM1225" s="55"/>
    </row>
    <row r="1226" spans="39:39">
      <c r="AM1226" s="55"/>
    </row>
    <row r="1227" spans="39:39">
      <c r="AM1227" s="55"/>
    </row>
    <row r="1228" spans="39:39">
      <c r="AM1228" s="55"/>
    </row>
    <row r="1229" spans="39:39">
      <c r="AM1229" s="55"/>
    </row>
    <row r="1230" spans="39:39">
      <c r="AM1230" s="55"/>
    </row>
    <row r="1231" spans="39:39">
      <c r="AM1231" s="55"/>
    </row>
    <row r="1232" spans="39:39">
      <c r="AM1232" s="55"/>
    </row>
    <row r="1233" spans="39:39">
      <c r="AM1233" s="55"/>
    </row>
    <row r="1234" spans="39:39">
      <c r="AM1234" s="55"/>
    </row>
    <row r="1235" spans="39:39">
      <c r="AM1235" s="55"/>
    </row>
    <row r="1236" spans="39:39">
      <c r="AM1236" s="55"/>
    </row>
    <row r="1237" spans="39:39">
      <c r="AM1237" s="55"/>
    </row>
    <row r="1238" spans="39:39">
      <c r="AM1238" s="55"/>
    </row>
    <row r="1239" spans="39:39">
      <c r="AM1239" s="55"/>
    </row>
    <row r="1240" spans="39:39">
      <c r="AM1240" s="55"/>
    </row>
    <row r="1241" spans="39:39">
      <c r="AM1241" s="55"/>
    </row>
    <row r="1242" spans="39:39">
      <c r="AM1242" s="55"/>
    </row>
    <row r="1243" spans="39:39">
      <c r="AM1243" s="55"/>
    </row>
    <row r="1244" spans="39:39">
      <c r="AM1244" s="55"/>
    </row>
    <row r="1245" spans="39:39">
      <c r="AM1245" s="55"/>
    </row>
    <row r="1246" spans="39:39">
      <c r="AM1246" s="55"/>
    </row>
    <row r="1247" spans="39:39">
      <c r="AM1247" s="55"/>
    </row>
    <row r="1248" spans="39:39">
      <c r="AM1248" s="55"/>
    </row>
    <row r="1249" spans="39:39">
      <c r="AM1249" s="55"/>
    </row>
    <row r="1250" spans="39:39">
      <c r="AM1250" s="55"/>
    </row>
    <row r="1251" spans="39:39">
      <c r="AM1251" s="55"/>
    </row>
    <row r="1252" spans="39:39">
      <c r="AM1252" s="55"/>
    </row>
    <row r="1253" spans="39:39">
      <c r="AM1253" s="55"/>
    </row>
    <row r="1254" spans="39:39">
      <c r="AM1254" s="55"/>
    </row>
    <row r="1255" spans="39:39">
      <c r="AM1255" s="55"/>
    </row>
    <row r="1256" spans="39:39">
      <c r="AM1256" s="55"/>
    </row>
    <row r="1257" spans="39:39">
      <c r="AM1257" s="55"/>
    </row>
    <row r="1258" spans="39:39">
      <c r="AM1258" s="55"/>
    </row>
    <row r="1259" spans="39:39">
      <c r="AM1259" s="55"/>
    </row>
    <row r="1260" spans="39:39">
      <c r="AM1260" s="55"/>
    </row>
    <row r="1261" spans="39:39">
      <c r="AM1261" s="55"/>
    </row>
    <row r="1262" spans="39:39">
      <c r="AM1262" s="55"/>
    </row>
    <row r="1263" spans="39:39">
      <c r="AM1263" s="55"/>
    </row>
    <row r="1264" spans="39:39">
      <c r="AM1264" s="55"/>
    </row>
    <row r="1265" spans="39:39">
      <c r="AM1265" s="55"/>
    </row>
    <row r="1266" spans="39:39">
      <c r="AM1266" s="55"/>
    </row>
    <row r="1267" spans="39:39">
      <c r="AM1267" s="55"/>
    </row>
    <row r="1268" spans="39:39">
      <c r="AM1268" s="55"/>
    </row>
    <row r="1269" spans="39:39">
      <c r="AM1269" s="55"/>
    </row>
    <row r="1270" spans="39:39">
      <c r="AM1270" s="55"/>
    </row>
    <row r="1271" spans="39:39">
      <c r="AM1271" s="55"/>
    </row>
    <row r="1272" spans="39:39">
      <c r="AM1272" s="55"/>
    </row>
    <row r="1273" spans="39:39">
      <c r="AM1273" s="55"/>
    </row>
    <row r="1274" spans="39:39">
      <c r="AM1274" s="55"/>
    </row>
    <row r="1275" spans="39:39">
      <c r="AM1275" s="55"/>
    </row>
    <row r="1276" spans="39:39">
      <c r="AM1276" s="55"/>
    </row>
    <row r="1277" spans="39:39">
      <c r="AM1277" s="55"/>
    </row>
    <row r="1278" spans="39:39">
      <c r="AM1278" s="55"/>
    </row>
    <row r="1279" spans="39:39">
      <c r="AM1279" s="55"/>
    </row>
    <row r="1280" spans="39:39">
      <c r="AM1280" s="55"/>
    </row>
    <row r="1281" spans="39:39">
      <c r="AM1281" s="55"/>
    </row>
    <row r="1282" spans="39:39">
      <c r="AM1282" s="55"/>
    </row>
    <row r="1283" spans="39:39">
      <c r="AM1283" s="55"/>
    </row>
    <row r="1284" spans="39:39">
      <c r="AM1284" s="55"/>
    </row>
    <row r="1285" spans="39:39">
      <c r="AM1285" s="55"/>
    </row>
    <row r="1286" spans="39:39">
      <c r="AM1286" s="55"/>
    </row>
    <row r="1287" spans="39:39">
      <c r="AM1287" s="55"/>
    </row>
    <row r="1288" spans="39:39">
      <c r="AM1288" s="55"/>
    </row>
    <row r="1289" spans="39:39">
      <c r="AM1289" s="55"/>
    </row>
    <row r="1290" spans="39:39">
      <c r="AM1290" s="55"/>
    </row>
    <row r="1291" spans="39:39">
      <c r="AM1291" s="55"/>
    </row>
    <row r="1292" spans="39:39">
      <c r="AM1292" s="55"/>
    </row>
    <row r="1293" spans="39:39">
      <c r="AM1293" s="55"/>
    </row>
    <row r="1294" spans="39:39">
      <c r="AM1294" s="55"/>
    </row>
    <row r="1295" spans="39:39">
      <c r="AM1295" s="55"/>
    </row>
    <row r="1296" spans="39:39">
      <c r="AM1296" s="55"/>
    </row>
    <row r="1297" spans="39:39">
      <c r="AM1297" s="55"/>
    </row>
    <row r="1298" spans="39:39">
      <c r="AM1298" s="55"/>
    </row>
    <row r="1299" spans="39:39">
      <c r="AM1299" s="55"/>
    </row>
    <row r="1300" spans="39:39">
      <c r="AM1300" s="55"/>
    </row>
    <row r="1301" spans="39:39">
      <c r="AM1301" s="55"/>
    </row>
    <row r="1302" spans="39:39">
      <c r="AM1302" s="55"/>
    </row>
    <row r="1303" spans="39:39">
      <c r="AM1303" s="55"/>
    </row>
    <row r="1304" spans="39:39">
      <c r="AM1304" s="55"/>
    </row>
    <row r="1305" spans="39:39">
      <c r="AM1305" s="55"/>
    </row>
    <row r="1306" spans="39:39">
      <c r="AM1306" s="55"/>
    </row>
    <row r="1307" spans="39:39">
      <c r="AM1307" s="55"/>
    </row>
    <row r="1308" spans="39:39">
      <c r="AM1308" s="55"/>
    </row>
    <row r="1309" spans="39:39">
      <c r="AM1309" s="55"/>
    </row>
    <row r="1310" spans="39:39">
      <c r="AM1310" s="55"/>
    </row>
    <row r="1311" spans="39:39">
      <c r="AM1311" s="55"/>
    </row>
    <row r="1312" spans="39:39">
      <c r="AM1312" s="55"/>
    </row>
    <row r="1313" spans="39:39">
      <c r="AM1313" s="55"/>
    </row>
    <row r="1314" spans="39:39">
      <c r="AM1314" s="55"/>
    </row>
    <row r="1315" spans="39:39">
      <c r="AM1315" s="55"/>
    </row>
    <row r="1316" spans="39:39">
      <c r="AM1316" s="55"/>
    </row>
    <row r="1317" spans="39:39">
      <c r="AM1317" s="55"/>
    </row>
    <row r="1318" spans="39:39">
      <c r="AM1318" s="55"/>
    </row>
    <row r="1319" spans="39:39">
      <c r="AM1319" s="55"/>
    </row>
    <row r="1320" spans="39:39">
      <c r="AM1320" s="55"/>
    </row>
    <row r="1321" spans="39:39">
      <c r="AM1321" s="55"/>
    </row>
    <row r="1322" spans="39:39">
      <c r="AM1322" s="55"/>
    </row>
    <row r="1323" spans="39:39">
      <c r="AM1323" s="55"/>
    </row>
    <row r="1324" spans="39:39">
      <c r="AM1324" s="55"/>
    </row>
    <row r="1325" spans="39:39">
      <c r="AM1325" s="55"/>
    </row>
    <row r="1326" spans="39:39">
      <c r="AM1326" s="55"/>
    </row>
    <row r="1327" spans="39:39">
      <c r="AM1327" s="55"/>
    </row>
    <row r="1328" spans="39:39">
      <c r="AM1328" s="55"/>
    </row>
    <row r="1329" spans="39:39">
      <c r="AM1329" s="55"/>
    </row>
    <row r="1330" spans="39:39">
      <c r="AM1330" s="55"/>
    </row>
    <row r="1331" spans="39:39">
      <c r="AM1331" s="55"/>
    </row>
    <row r="1332" spans="39:39">
      <c r="AM1332" s="55"/>
    </row>
    <row r="1333" spans="39:39">
      <c r="AM1333" s="55"/>
    </row>
    <row r="1334" spans="39:39">
      <c r="AM1334" s="55"/>
    </row>
    <row r="1335" spans="39:39">
      <c r="AM1335" s="55"/>
    </row>
    <row r="1336" spans="39:39">
      <c r="AM1336" s="55"/>
    </row>
    <row r="1337" spans="39:39">
      <c r="AM1337" s="55"/>
    </row>
    <row r="1338" spans="39:39">
      <c r="AM1338" s="55"/>
    </row>
    <row r="1339" spans="39:39">
      <c r="AM1339" s="55"/>
    </row>
    <row r="1340" spans="39:39">
      <c r="AM1340" s="55"/>
    </row>
    <row r="1341" spans="39:39">
      <c r="AM1341" s="55"/>
    </row>
    <row r="1342" spans="39:39">
      <c r="AM1342" s="55"/>
    </row>
    <row r="1343" spans="39:39">
      <c r="AM1343" s="55"/>
    </row>
    <row r="1344" spans="39:39">
      <c r="AM1344" s="55"/>
    </row>
    <row r="1345" spans="39:39">
      <c r="AM1345" s="55"/>
    </row>
    <row r="1346" spans="39:39">
      <c r="AM1346" s="55"/>
    </row>
    <row r="1347" spans="39:39">
      <c r="AM1347" s="55"/>
    </row>
    <row r="1348" spans="39:39">
      <c r="AM1348" s="55"/>
    </row>
    <row r="1349" spans="39:39">
      <c r="AM1349" s="55"/>
    </row>
    <row r="1350" spans="39:39">
      <c r="AM1350" s="55"/>
    </row>
    <row r="1351" spans="39:39">
      <c r="AM1351" s="55"/>
    </row>
    <row r="1352" spans="39:39">
      <c r="AM1352" s="55"/>
    </row>
    <row r="1353" spans="39:39">
      <c r="AM1353" s="55"/>
    </row>
    <row r="1354" spans="39:39">
      <c r="AM1354" s="55"/>
    </row>
    <row r="1355" spans="39:39">
      <c r="AM1355" s="55"/>
    </row>
    <row r="1356" spans="39:39">
      <c r="AM1356" s="55"/>
    </row>
    <row r="1357" spans="39:39">
      <c r="AM1357" s="55"/>
    </row>
    <row r="1358" spans="39:39">
      <c r="AM1358" s="55"/>
    </row>
    <row r="1359" spans="39:39">
      <c r="AM1359" s="55"/>
    </row>
    <row r="1360" spans="39:39">
      <c r="AM1360" s="55"/>
    </row>
    <row r="1361" spans="39:39">
      <c r="AM1361" s="55"/>
    </row>
    <row r="1362" spans="39:39">
      <c r="AM1362" s="55"/>
    </row>
    <row r="1363" spans="39:39">
      <c r="AM1363" s="55"/>
    </row>
    <row r="1364" spans="39:39">
      <c r="AM1364" s="55"/>
    </row>
    <row r="1365" spans="39:39">
      <c r="AM1365" s="55"/>
    </row>
    <row r="1366" spans="39:39">
      <c r="AM1366" s="55"/>
    </row>
    <row r="1367" spans="39:39">
      <c r="AM1367" s="55"/>
    </row>
    <row r="1368" spans="39:39">
      <c r="AM1368" s="55"/>
    </row>
    <row r="1369" spans="39:39">
      <c r="AM1369" s="55"/>
    </row>
    <row r="1370" spans="39:39">
      <c r="AM1370" s="55"/>
    </row>
    <row r="1371" spans="39:39">
      <c r="AM1371" s="55"/>
    </row>
    <row r="1372" spans="39:39">
      <c r="AM1372" s="55"/>
    </row>
    <row r="1373" spans="39:39">
      <c r="AM1373" s="55"/>
    </row>
    <row r="1374" spans="39:39">
      <c r="AM1374" s="55"/>
    </row>
    <row r="1375" spans="39:39">
      <c r="AM1375" s="55"/>
    </row>
    <row r="1376" spans="39:39">
      <c r="AM1376" s="55"/>
    </row>
    <row r="1377" spans="39:39">
      <c r="AM1377" s="55"/>
    </row>
    <row r="1378" spans="39:39">
      <c r="AM1378" s="55"/>
    </row>
    <row r="1379" spans="39:39">
      <c r="AM1379" s="55"/>
    </row>
    <row r="1380" spans="39:39">
      <c r="AM1380" s="55"/>
    </row>
    <row r="1381" spans="39:39">
      <c r="AM1381" s="55"/>
    </row>
    <row r="1382" spans="39:39">
      <c r="AM1382" s="55"/>
    </row>
    <row r="1383" spans="39:39">
      <c r="AM1383" s="55"/>
    </row>
    <row r="1384" spans="39:39">
      <c r="AM1384" s="55"/>
    </row>
    <row r="1385" spans="39:39">
      <c r="AM1385" s="55"/>
    </row>
    <row r="1386" spans="39:39">
      <c r="AM1386" s="55"/>
    </row>
    <row r="1387" spans="39:39">
      <c r="AM1387" s="55"/>
    </row>
    <row r="1388" spans="39:39">
      <c r="AM1388" s="55"/>
    </row>
    <row r="1389" spans="39:39">
      <c r="AM1389" s="55"/>
    </row>
    <row r="1390" spans="39:39">
      <c r="AM1390" s="55"/>
    </row>
    <row r="1391" spans="39:39">
      <c r="AM1391" s="55"/>
    </row>
    <row r="1392" spans="39:39">
      <c r="AM1392" s="55"/>
    </row>
    <row r="1393" spans="39:39">
      <c r="AM1393" s="55"/>
    </row>
    <row r="1394" spans="39:39">
      <c r="AM1394" s="55"/>
    </row>
    <row r="1395" spans="39:39">
      <c r="AM1395" s="55"/>
    </row>
    <row r="1396" spans="39:39">
      <c r="AM1396" s="55"/>
    </row>
    <row r="1397" spans="39:39">
      <c r="AM1397" s="55"/>
    </row>
    <row r="1398" spans="39:39">
      <c r="AM1398" s="55"/>
    </row>
    <row r="1399" spans="39:39">
      <c r="AM1399" s="55"/>
    </row>
    <row r="1400" spans="39:39">
      <c r="AM1400" s="55"/>
    </row>
    <row r="1401" spans="39:39">
      <c r="AM1401" s="55"/>
    </row>
    <row r="1402" spans="39:39">
      <c r="AM1402" s="55"/>
    </row>
    <row r="1403" spans="39:39">
      <c r="AM1403" s="55"/>
    </row>
    <row r="1404" spans="39:39">
      <c r="AM1404" s="55"/>
    </row>
    <row r="1405" spans="39:39">
      <c r="AM1405" s="55"/>
    </row>
    <row r="1406" spans="39:39">
      <c r="AM1406" s="55"/>
    </row>
    <row r="1407" spans="39:39">
      <c r="AM1407" s="55"/>
    </row>
    <row r="1408" spans="39:39">
      <c r="AM1408" s="55"/>
    </row>
    <row r="1409" spans="39:39">
      <c r="AM1409" s="55"/>
    </row>
    <row r="1410" spans="39:39">
      <c r="AM1410" s="55"/>
    </row>
    <row r="1411" spans="39:39">
      <c r="AM1411" s="55"/>
    </row>
    <row r="1412" spans="39:39">
      <c r="AM1412" s="55"/>
    </row>
    <row r="1413" spans="39:39">
      <c r="AM1413" s="55"/>
    </row>
    <row r="1414" spans="39:39">
      <c r="AM1414" s="55"/>
    </row>
    <row r="1415" spans="39:39">
      <c r="AM1415" s="55"/>
    </row>
    <row r="1416" spans="39:39">
      <c r="AM1416" s="55"/>
    </row>
    <row r="1417" spans="39:39">
      <c r="AM1417" s="55"/>
    </row>
    <row r="1418" spans="39:39">
      <c r="AM1418" s="55"/>
    </row>
    <row r="1419" spans="39:39">
      <c r="AM1419" s="55"/>
    </row>
    <row r="1420" spans="39:39">
      <c r="AM1420" s="55"/>
    </row>
    <row r="1421" spans="39:39">
      <c r="AM1421" s="55"/>
    </row>
    <row r="1422" spans="39:39">
      <c r="AM1422" s="55"/>
    </row>
    <row r="1423" spans="39:39">
      <c r="AM1423" s="55"/>
    </row>
    <row r="1424" spans="39:39">
      <c r="AM1424" s="55"/>
    </row>
    <row r="1425" spans="39:39">
      <c r="AM1425" s="55"/>
    </row>
    <row r="1426" spans="39:39">
      <c r="AM1426" s="55"/>
    </row>
    <row r="1427" spans="39:39">
      <c r="AM1427" s="55"/>
    </row>
    <row r="1428" spans="39:39">
      <c r="AM1428" s="55"/>
    </row>
    <row r="1429" spans="39:39">
      <c r="AM1429" s="55"/>
    </row>
    <row r="1430" spans="39:39">
      <c r="AM1430" s="55"/>
    </row>
    <row r="1431" spans="39:39">
      <c r="AM1431" s="55"/>
    </row>
    <row r="1432" spans="39:39">
      <c r="AM1432" s="55"/>
    </row>
    <row r="1433" spans="39:39">
      <c r="AM1433" s="55"/>
    </row>
    <row r="1434" spans="39:39">
      <c r="AM1434" s="55"/>
    </row>
    <row r="1435" spans="39:39">
      <c r="AM1435" s="55"/>
    </row>
    <row r="1436" spans="39:39">
      <c r="AM1436" s="55"/>
    </row>
    <row r="1437" spans="39:39">
      <c r="AM1437" s="55"/>
    </row>
    <row r="1438" spans="39:39">
      <c r="AM1438" s="55"/>
    </row>
    <row r="1439" spans="39:39">
      <c r="AM1439" s="55"/>
    </row>
    <row r="1440" spans="39:39">
      <c r="AM1440" s="55"/>
    </row>
    <row r="1441" spans="39:39">
      <c r="AM1441" s="55"/>
    </row>
    <row r="1442" spans="39:39">
      <c r="AM1442" s="55"/>
    </row>
    <row r="1443" spans="39:39">
      <c r="AM1443" s="55"/>
    </row>
    <row r="1444" spans="39:39">
      <c r="AM1444" s="55"/>
    </row>
    <row r="1445" spans="39:39">
      <c r="AM1445" s="55"/>
    </row>
    <row r="1446" spans="39:39">
      <c r="AM1446" s="55"/>
    </row>
    <row r="1447" spans="39:39">
      <c r="AM1447" s="55"/>
    </row>
    <row r="1448" spans="39:39">
      <c r="AM1448" s="55"/>
    </row>
    <row r="1449" spans="39:39">
      <c r="AM1449" s="55"/>
    </row>
    <row r="1450" spans="39:39">
      <c r="AM1450" s="55"/>
    </row>
    <row r="1451" spans="39:39">
      <c r="AM1451" s="55"/>
    </row>
    <row r="1452" spans="39:39">
      <c r="AM1452" s="55"/>
    </row>
    <row r="1453" spans="39:39">
      <c r="AM1453" s="55"/>
    </row>
    <row r="1454" spans="39:39">
      <c r="AM1454" s="55"/>
    </row>
    <row r="1455" spans="39:39">
      <c r="AM1455" s="55"/>
    </row>
    <row r="1456" spans="39:39">
      <c r="AM1456" s="55"/>
    </row>
    <row r="1457" spans="39:39">
      <c r="AM1457" s="55"/>
    </row>
    <row r="1458" spans="39:39">
      <c r="AM1458" s="55"/>
    </row>
    <row r="1459" spans="39:39">
      <c r="AM1459" s="55"/>
    </row>
    <row r="1460" spans="39:39">
      <c r="AM1460" s="55"/>
    </row>
    <row r="1461" spans="39:39">
      <c r="AM1461" s="55"/>
    </row>
    <row r="1462" spans="39:39">
      <c r="AM1462" s="55"/>
    </row>
    <row r="1463" spans="39:39">
      <c r="AM1463" s="55"/>
    </row>
    <row r="1464" spans="39:39">
      <c r="AM1464" s="55"/>
    </row>
    <row r="1465" spans="39:39">
      <c r="AM1465" s="55"/>
    </row>
    <row r="1466" spans="39:39">
      <c r="AM1466" s="55"/>
    </row>
    <row r="1467" spans="39:39">
      <c r="AM1467" s="55"/>
    </row>
    <row r="1468" spans="39:39">
      <c r="AM1468" s="55"/>
    </row>
    <row r="1469" spans="39:39">
      <c r="AM1469" s="55"/>
    </row>
    <row r="1470" spans="39:39">
      <c r="AM1470" s="55"/>
    </row>
    <row r="1471" spans="39:39">
      <c r="AM1471" s="55"/>
    </row>
    <row r="1472" spans="39:39">
      <c r="AM1472" s="55"/>
    </row>
    <row r="1473" spans="39:39">
      <c r="AM1473" s="55"/>
    </row>
    <row r="1474" spans="39:39">
      <c r="AM1474" s="55"/>
    </row>
    <row r="1475" spans="39:39">
      <c r="AM1475" s="55"/>
    </row>
    <row r="1476" spans="39:39">
      <c r="AM1476" s="55"/>
    </row>
    <row r="1477" spans="39:39">
      <c r="AM1477" s="55"/>
    </row>
    <row r="1478" spans="39:39">
      <c r="AM1478" s="55"/>
    </row>
    <row r="1479" spans="39:39">
      <c r="AM1479" s="55"/>
    </row>
    <row r="1480" spans="39:39">
      <c r="AM1480" s="55"/>
    </row>
    <row r="1481" spans="39:39">
      <c r="AM1481" s="55"/>
    </row>
    <row r="1482" spans="39:39">
      <c r="AM1482" s="55"/>
    </row>
    <row r="1483" spans="39:39">
      <c r="AM1483" s="55"/>
    </row>
    <row r="1484" spans="39:39">
      <c r="AM1484" s="55"/>
    </row>
    <row r="1485" spans="39:39">
      <c r="AM1485" s="55"/>
    </row>
    <row r="1486" spans="39:39">
      <c r="AM1486" s="55"/>
    </row>
    <row r="1487" spans="39:39">
      <c r="AM1487" s="55"/>
    </row>
    <row r="1488" spans="39:39">
      <c r="AM1488" s="55"/>
    </row>
    <row r="1489" spans="39:39">
      <c r="AM1489" s="55"/>
    </row>
    <row r="1490" spans="39:39">
      <c r="AM1490" s="55"/>
    </row>
    <row r="1491" spans="39:39">
      <c r="AM1491" s="55"/>
    </row>
    <row r="1492" spans="39:39">
      <c r="AM1492" s="55"/>
    </row>
    <row r="1493" spans="39:39">
      <c r="AM1493" s="55"/>
    </row>
    <row r="1494" spans="39:39">
      <c r="AM1494" s="55"/>
    </row>
    <row r="1495" spans="39:39">
      <c r="AM1495" s="55"/>
    </row>
    <row r="1496" spans="39:39">
      <c r="AM1496" s="55"/>
    </row>
    <row r="1497" spans="39:39">
      <c r="AM1497" s="55"/>
    </row>
    <row r="1498" spans="39:39">
      <c r="AM1498" s="55"/>
    </row>
    <row r="1499" spans="39:39">
      <c r="AM1499" s="55"/>
    </row>
    <row r="1500" spans="39:39">
      <c r="AM1500" s="55"/>
    </row>
    <row r="1501" spans="39:39">
      <c r="AM1501" s="55"/>
    </row>
    <row r="1502" spans="39:39">
      <c r="AM1502" s="55"/>
    </row>
    <row r="1503" spans="39:39">
      <c r="AM1503" s="55"/>
    </row>
    <row r="1504" spans="39:39">
      <c r="AM1504" s="55"/>
    </row>
    <row r="1505" spans="39:39">
      <c r="AM1505" s="55"/>
    </row>
    <row r="1506" spans="39:39">
      <c r="AM1506" s="55"/>
    </row>
    <row r="1507" spans="39:39">
      <c r="AM1507" s="55"/>
    </row>
    <row r="1508" spans="39:39">
      <c r="AM1508" s="55"/>
    </row>
    <row r="1509" spans="39:39">
      <c r="AM1509" s="55"/>
    </row>
    <row r="1510" spans="39:39">
      <c r="AM1510" s="55"/>
    </row>
    <row r="1511" spans="39:39">
      <c r="AM1511" s="55"/>
    </row>
    <row r="1512" spans="39:39">
      <c r="AM1512" s="55"/>
    </row>
    <row r="1513" spans="39:39">
      <c r="AM1513" s="55"/>
    </row>
    <row r="1514" spans="39:39">
      <c r="AM1514" s="55"/>
    </row>
    <row r="1515" spans="39:39">
      <c r="AM1515" s="55"/>
    </row>
    <row r="1516" spans="39:39">
      <c r="AM1516" s="55"/>
    </row>
    <row r="1517" spans="39:39">
      <c r="AM1517" s="55"/>
    </row>
    <row r="1518" spans="39:39">
      <c r="AM1518" s="55"/>
    </row>
    <row r="1519" spans="39:39">
      <c r="AM1519" s="55"/>
    </row>
    <row r="1520" spans="39:39">
      <c r="AM1520" s="55"/>
    </row>
    <row r="1521" spans="39:39">
      <c r="AM1521" s="55"/>
    </row>
    <row r="1522" spans="39:39">
      <c r="AM1522" s="55"/>
    </row>
    <row r="1523" spans="39:39">
      <c r="AM1523" s="55"/>
    </row>
    <row r="1524" spans="39:39">
      <c r="AM1524" s="55"/>
    </row>
    <row r="1525" spans="39:39">
      <c r="AM1525" s="55"/>
    </row>
    <row r="1526" spans="39:39">
      <c r="AM1526" s="55"/>
    </row>
    <row r="1527" spans="39:39">
      <c r="AM1527" s="55"/>
    </row>
    <row r="1528" spans="39:39">
      <c r="AM1528" s="55"/>
    </row>
    <row r="1529" spans="39:39">
      <c r="AM1529" s="55"/>
    </row>
    <row r="1530" spans="39:39">
      <c r="AM1530" s="55"/>
    </row>
    <row r="1531" spans="39:39">
      <c r="AM1531" s="55"/>
    </row>
    <row r="1532" spans="39:39">
      <c r="AM1532" s="55"/>
    </row>
    <row r="1533" spans="39:39">
      <c r="AM1533" s="55"/>
    </row>
    <row r="1534" spans="39:39">
      <c r="AM1534" s="55"/>
    </row>
    <row r="1535" spans="39:39">
      <c r="AM1535" s="55"/>
    </row>
    <row r="1536" spans="39:39">
      <c r="AM1536" s="55"/>
    </row>
    <row r="1537" spans="39:39">
      <c r="AM1537" s="55"/>
    </row>
    <row r="1538" spans="39:39">
      <c r="AM1538" s="55"/>
    </row>
    <row r="1539" spans="39:39">
      <c r="AM1539" s="55"/>
    </row>
    <row r="1540" spans="39:39">
      <c r="AM1540" s="55"/>
    </row>
    <row r="1541" spans="39:39">
      <c r="AM1541" s="55"/>
    </row>
    <row r="1542" spans="39:39">
      <c r="AM1542" s="55"/>
    </row>
    <row r="1543" spans="39:39">
      <c r="AM1543" s="55"/>
    </row>
    <row r="1544" spans="39:39">
      <c r="AM1544" s="55"/>
    </row>
    <row r="1545" spans="39:39">
      <c r="AM1545" s="55"/>
    </row>
    <row r="1546" spans="39:39">
      <c r="AM1546" s="55"/>
    </row>
    <row r="1547" spans="39:39">
      <c r="AM1547" s="55"/>
    </row>
    <row r="1548" spans="39:39">
      <c r="AM1548" s="55"/>
    </row>
    <row r="1549" spans="39:39">
      <c r="AM1549" s="55"/>
    </row>
    <row r="1550" spans="39:39">
      <c r="AM1550" s="55"/>
    </row>
    <row r="1551" spans="39:39">
      <c r="AM1551" s="55"/>
    </row>
    <row r="1552" spans="39:39">
      <c r="AM1552" s="55"/>
    </row>
    <row r="1553" spans="39:39">
      <c r="AM1553" s="55"/>
    </row>
    <row r="1554" spans="39:39">
      <c r="AM1554" s="55"/>
    </row>
    <row r="1555" spans="39:39">
      <c r="AM1555" s="55"/>
    </row>
    <row r="1556" spans="39:39">
      <c r="AM1556" s="55"/>
    </row>
    <row r="1557" spans="39:39">
      <c r="AM1557" s="55"/>
    </row>
    <row r="1558" spans="39:39">
      <c r="AM1558" s="55"/>
    </row>
    <row r="1559" spans="39:39">
      <c r="AM1559" s="55"/>
    </row>
    <row r="1560" spans="39:39">
      <c r="AM1560" s="55"/>
    </row>
    <row r="1561" spans="39:39">
      <c r="AM1561" s="55"/>
    </row>
    <row r="1562" spans="39:39">
      <c r="AM1562" s="55"/>
    </row>
    <row r="1563" spans="39:39">
      <c r="AM1563" s="55"/>
    </row>
    <row r="1564" spans="39:39">
      <c r="AM1564" s="55"/>
    </row>
    <row r="1565" spans="39:39">
      <c r="AM1565" s="55"/>
    </row>
    <row r="1566" spans="39:39">
      <c r="AM1566" s="55"/>
    </row>
    <row r="1567" spans="39:39">
      <c r="AM1567" s="55"/>
    </row>
    <row r="1568" spans="39:39">
      <c r="AM1568" s="55"/>
    </row>
    <row r="1569" spans="39:39">
      <c r="AM1569" s="55"/>
    </row>
    <row r="1570" spans="39:39">
      <c r="AM1570" s="55"/>
    </row>
    <row r="1571" spans="39:39">
      <c r="AM1571" s="55"/>
    </row>
    <row r="1572" spans="39:39">
      <c r="AM1572" s="55"/>
    </row>
    <row r="1573" spans="39:39">
      <c r="AM1573" s="55"/>
    </row>
    <row r="1574" spans="39:39">
      <c r="AM1574" s="55"/>
    </row>
    <row r="1575" spans="39:39">
      <c r="AM1575" s="55"/>
    </row>
    <row r="1576" spans="39:39">
      <c r="AM1576" s="55"/>
    </row>
    <row r="1577" spans="39:39">
      <c r="AM1577" s="55"/>
    </row>
    <row r="1578" spans="39:39">
      <c r="AM1578" s="55"/>
    </row>
    <row r="1579" spans="39:39">
      <c r="AM1579" s="55"/>
    </row>
    <row r="1580" spans="39:39">
      <c r="AM1580" s="55"/>
    </row>
    <row r="1581" spans="39:39">
      <c r="AM1581" s="55"/>
    </row>
    <row r="1582" spans="39:39">
      <c r="AM1582" s="55"/>
    </row>
    <row r="1583" spans="39:39">
      <c r="AM1583" s="55"/>
    </row>
    <row r="1584" spans="39:39">
      <c r="AM1584" s="55"/>
    </row>
    <row r="1585" spans="39:39">
      <c r="AM1585" s="55"/>
    </row>
    <row r="1586" spans="39:39">
      <c r="AM1586" s="55"/>
    </row>
    <row r="1587" spans="39:39">
      <c r="AM1587" s="55"/>
    </row>
    <row r="1588" spans="39:39">
      <c r="AM1588" s="55"/>
    </row>
    <row r="1589" spans="39:39">
      <c r="AM1589" s="55"/>
    </row>
    <row r="1590" spans="39:39">
      <c r="AM1590" s="55"/>
    </row>
    <row r="1591" spans="39:39">
      <c r="AM1591" s="55"/>
    </row>
    <row r="1592" spans="39:39">
      <c r="AM1592" s="55"/>
    </row>
    <row r="1593" spans="39:39">
      <c r="AM1593" s="55"/>
    </row>
    <row r="1594" spans="39:39">
      <c r="AM1594" s="55"/>
    </row>
    <row r="1595" spans="39:39">
      <c r="AM1595" s="55"/>
    </row>
    <row r="1596" spans="39:39">
      <c r="AM1596" s="55"/>
    </row>
    <row r="1597" spans="39:39">
      <c r="AM1597" s="55"/>
    </row>
    <row r="1598" spans="39:39">
      <c r="AM1598" s="55"/>
    </row>
    <row r="1599" spans="39:39">
      <c r="AM1599" s="55"/>
    </row>
    <row r="1600" spans="39:39">
      <c r="AM1600" s="55"/>
    </row>
    <row r="1601" spans="39:39">
      <c r="AM1601" s="55"/>
    </row>
    <row r="1602" spans="39:39">
      <c r="AM1602" s="55"/>
    </row>
    <row r="1603" spans="39:39">
      <c r="AM1603" s="55"/>
    </row>
    <row r="1604" spans="39:39">
      <c r="AM1604" s="55"/>
    </row>
    <row r="1605" spans="39:39">
      <c r="AM1605" s="55"/>
    </row>
    <row r="1606" spans="39:39">
      <c r="AM1606" s="55"/>
    </row>
    <row r="1607" spans="39:39">
      <c r="AM1607" s="55"/>
    </row>
    <row r="1608" spans="39:39">
      <c r="AM1608" s="55"/>
    </row>
    <row r="1609" spans="39:39">
      <c r="AM1609" s="55"/>
    </row>
    <row r="1610" spans="39:39">
      <c r="AM1610" s="55"/>
    </row>
    <row r="1611" spans="39:39">
      <c r="AM1611" s="55"/>
    </row>
    <row r="1612" spans="39:39">
      <c r="AM1612" s="55"/>
    </row>
    <row r="1613" spans="39:39">
      <c r="AM1613" s="55"/>
    </row>
    <row r="1614" spans="39:39">
      <c r="AM1614" s="55"/>
    </row>
    <row r="1615" spans="39:39">
      <c r="AM1615" s="55"/>
    </row>
    <row r="1616" spans="39:39">
      <c r="AM1616" s="55"/>
    </row>
    <row r="1617" spans="39:39">
      <c r="AM1617" s="55"/>
    </row>
    <row r="1618" spans="39:39">
      <c r="AM1618" s="55"/>
    </row>
    <row r="1619" spans="39:39">
      <c r="AM1619" s="55"/>
    </row>
    <row r="1620" spans="39:39">
      <c r="AM1620" s="55"/>
    </row>
    <row r="1621" spans="39:39">
      <c r="AM1621" s="55"/>
    </row>
    <row r="1622" spans="39:39">
      <c r="AM1622" s="55"/>
    </row>
    <row r="1623" spans="39:39">
      <c r="AM1623" s="55"/>
    </row>
    <row r="1624" spans="39:39">
      <c r="AM1624" s="55"/>
    </row>
    <row r="1625" spans="39:39">
      <c r="AM1625" s="55"/>
    </row>
    <row r="1626" spans="39:39">
      <c r="AM1626" s="55"/>
    </row>
    <row r="1627" spans="39:39">
      <c r="AM1627" s="55"/>
    </row>
    <row r="1628" spans="39:39">
      <c r="AM1628" s="55"/>
    </row>
    <row r="1629" spans="39:39">
      <c r="AM1629" s="55"/>
    </row>
    <row r="1630" spans="39:39">
      <c r="AM1630" s="55"/>
    </row>
    <row r="1631" spans="39:39">
      <c r="AM1631" s="55"/>
    </row>
    <row r="1632" spans="39:39">
      <c r="AM1632" s="55"/>
    </row>
    <row r="1633" spans="39:39">
      <c r="AM1633" s="55"/>
    </row>
    <row r="1634" spans="39:39">
      <c r="AM1634" s="55"/>
    </row>
    <row r="1635" spans="39:39">
      <c r="AM1635" s="55"/>
    </row>
    <row r="1636" spans="39:39">
      <c r="AM1636" s="55"/>
    </row>
    <row r="1637" spans="39:39">
      <c r="AM1637" s="55"/>
    </row>
    <row r="1638" spans="39:39">
      <c r="AM1638" s="55"/>
    </row>
    <row r="1639" spans="39:39">
      <c r="AM1639" s="55"/>
    </row>
    <row r="1640" spans="39:39">
      <c r="AM1640" s="55"/>
    </row>
    <row r="1641" spans="39:39">
      <c r="AM1641" s="55"/>
    </row>
    <row r="1642" spans="39:39">
      <c r="AM1642" s="55"/>
    </row>
    <row r="1643" spans="39:39">
      <c r="AM1643" s="55"/>
    </row>
    <row r="1644" spans="39:39">
      <c r="AM1644" s="55"/>
    </row>
    <row r="1645" spans="39:39">
      <c r="AM1645" s="55"/>
    </row>
    <row r="1646" spans="39:39">
      <c r="AM1646" s="55"/>
    </row>
    <row r="1647" spans="39:39">
      <c r="AM1647" s="55"/>
    </row>
    <row r="1648" spans="39:39">
      <c r="AM1648" s="55"/>
    </row>
    <row r="1649" spans="39:39">
      <c r="AM1649" s="55"/>
    </row>
    <row r="1650" spans="39:39">
      <c r="AM1650" s="55"/>
    </row>
    <row r="1651" spans="39:39">
      <c r="AM1651" s="55"/>
    </row>
    <row r="1652" spans="39:39">
      <c r="AM1652" s="55"/>
    </row>
    <row r="1653" spans="39:39">
      <c r="AM1653" s="55"/>
    </row>
    <row r="1654" spans="39:39">
      <c r="AM1654" s="55"/>
    </row>
    <row r="1655" spans="39:39">
      <c r="AM1655" s="55"/>
    </row>
    <row r="1656" spans="39:39">
      <c r="AM1656" s="55"/>
    </row>
    <row r="1657" spans="39:39">
      <c r="AM1657" s="55"/>
    </row>
    <row r="1658" spans="39:39">
      <c r="AM1658" s="55"/>
    </row>
    <row r="1659" spans="39:39">
      <c r="AM1659" s="55"/>
    </row>
    <row r="1660" spans="39:39">
      <c r="AM1660" s="55"/>
    </row>
    <row r="1661" spans="39:39">
      <c r="AM1661" s="55"/>
    </row>
    <row r="1662" spans="39:39">
      <c r="AM1662" s="55"/>
    </row>
    <row r="1663" spans="39:39">
      <c r="AM1663" s="55"/>
    </row>
    <row r="1664" spans="39:39">
      <c r="AM1664" s="55"/>
    </row>
    <row r="1665" spans="39:39">
      <c r="AM1665" s="55"/>
    </row>
    <row r="1666" spans="39:39">
      <c r="AM1666" s="55"/>
    </row>
    <row r="1667" spans="39:39">
      <c r="AM1667" s="55"/>
    </row>
    <row r="1668" spans="39:39">
      <c r="AM1668" s="55"/>
    </row>
    <row r="1669" spans="39:39">
      <c r="AM1669" s="55"/>
    </row>
    <row r="1670" spans="39:39">
      <c r="AM1670" s="55"/>
    </row>
    <row r="1671" spans="39:39">
      <c r="AM1671" s="55"/>
    </row>
    <row r="1672" spans="39:39">
      <c r="AM1672" s="55"/>
    </row>
    <row r="1673" spans="39:39">
      <c r="AM1673" s="55"/>
    </row>
    <row r="1674" spans="39:39">
      <c r="AM1674" s="55"/>
    </row>
    <row r="1675" spans="39:39">
      <c r="AM1675" s="55"/>
    </row>
    <row r="1676" spans="39:39">
      <c r="AM1676" s="55"/>
    </row>
    <row r="1677" spans="39:39">
      <c r="AM1677" s="55"/>
    </row>
    <row r="1678" spans="39:39">
      <c r="AM1678" s="55"/>
    </row>
    <row r="1679" spans="39:39">
      <c r="AM1679" s="55"/>
    </row>
    <row r="1680" spans="39:39">
      <c r="AM1680" s="55"/>
    </row>
    <row r="1681" spans="39:39">
      <c r="AM1681" s="55"/>
    </row>
    <row r="1682" spans="39:39">
      <c r="AM1682" s="55"/>
    </row>
    <row r="1683" spans="39:39">
      <c r="AM1683" s="55"/>
    </row>
    <row r="1684" spans="39:39">
      <c r="AM1684" s="55"/>
    </row>
    <row r="1685" spans="39:39">
      <c r="AM1685" s="55"/>
    </row>
    <row r="1686" spans="39:39">
      <c r="AM1686" s="55"/>
    </row>
    <row r="1687" spans="39:39">
      <c r="AM1687" s="55"/>
    </row>
    <row r="1688" spans="39:39">
      <c r="AM1688" s="55"/>
    </row>
    <row r="1689" spans="39:39">
      <c r="AM1689" s="55"/>
    </row>
    <row r="1690" spans="39:39">
      <c r="AM1690" s="55"/>
    </row>
    <row r="1691" spans="39:39">
      <c r="AM1691" s="55"/>
    </row>
    <row r="1692" spans="39:39">
      <c r="AM1692" s="55"/>
    </row>
    <row r="1693" spans="39:39">
      <c r="AM1693" s="55"/>
    </row>
    <row r="1694" spans="39:39">
      <c r="AM1694" s="55"/>
    </row>
    <row r="1695" spans="39:39">
      <c r="AM1695" s="55"/>
    </row>
    <row r="1696" spans="39:39">
      <c r="AM1696" s="55"/>
    </row>
    <row r="1697" spans="39:39">
      <c r="AM1697" s="55"/>
    </row>
    <row r="1698" spans="39:39">
      <c r="AM1698" s="55"/>
    </row>
    <row r="1699" spans="39:39">
      <c r="AM1699" s="55"/>
    </row>
    <row r="1700" spans="39:39">
      <c r="AM1700" s="55"/>
    </row>
    <row r="1701" spans="39:39">
      <c r="AM1701" s="55"/>
    </row>
    <row r="1702" spans="39:39">
      <c r="AM1702" s="55"/>
    </row>
    <row r="1703" spans="39:39">
      <c r="AM1703" s="55"/>
    </row>
    <row r="1704" spans="39:39">
      <c r="AM1704" s="55"/>
    </row>
    <row r="1705" spans="39:39">
      <c r="AM1705" s="55"/>
    </row>
    <row r="1706" spans="39:39">
      <c r="AM1706" s="55"/>
    </row>
    <row r="1707" spans="39:39">
      <c r="AM1707" s="55"/>
    </row>
    <row r="1708" spans="39:39">
      <c r="AM1708" s="55"/>
    </row>
    <row r="1709" spans="39:39">
      <c r="AM1709" s="55"/>
    </row>
    <row r="1710" spans="39:39">
      <c r="AM1710" s="55"/>
    </row>
    <row r="1711" spans="39:39">
      <c r="AM1711" s="55"/>
    </row>
    <row r="1712" spans="39:39">
      <c r="AM1712" s="55"/>
    </row>
    <row r="1713" spans="39:39">
      <c r="AM1713" s="55"/>
    </row>
    <row r="1714" spans="39:39">
      <c r="AM1714" s="55"/>
    </row>
    <row r="1715" spans="39:39">
      <c r="AM1715" s="55"/>
    </row>
    <row r="1716" spans="39:39">
      <c r="AM1716" s="55"/>
    </row>
    <row r="1717" spans="39:39">
      <c r="AM1717" s="55"/>
    </row>
    <row r="1718" spans="39:39">
      <c r="AM1718" s="55"/>
    </row>
    <row r="1719" spans="39:39">
      <c r="AM1719" s="55"/>
    </row>
    <row r="1720" spans="39:39">
      <c r="AM1720" s="55"/>
    </row>
    <row r="1721" spans="39:39">
      <c r="AM1721" s="55"/>
    </row>
    <row r="1722" spans="39:39">
      <c r="AM1722" s="55"/>
    </row>
    <row r="1723" spans="39:39">
      <c r="AM1723" s="55"/>
    </row>
    <row r="1724" spans="39:39">
      <c r="AM1724" s="55"/>
    </row>
    <row r="1725" spans="39:39">
      <c r="AM1725" s="55"/>
    </row>
    <row r="1726" spans="39:39">
      <c r="AM1726" s="55"/>
    </row>
    <row r="1727" spans="39:39">
      <c r="AM1727" s="55"/>
    </row>
    <row r="1728" spans="39:39">
      <c r="AM1728" s="55"/>
    </row>
    <row r="1729" spans="39:39">
      <c r="AM1729" s="55"/>
    </row>
    <row r="1730" spans="39:39">
      <c r="AM1730" s="55"/>
    </row>
    <row r="1731" spans="39:39">
      <c r="AM1731" s="55"/>
    </row>
    <row r="1732" spans="39:39">
      <c r="AM1732" s="55"/>
    </row>
    <row r="1733" spans="39:39">
      <c r="AM1733" s="55"/>
    </row>
    <row r="1734" spans="39:39">
      <c r="AM1734" s="55"/>
    </row>
    <row r="1735" spans="39:39">
      <c r="AM1735" s="55"/>
    </row>
    <row r="1736" spans="39:39">
      <c r="AM1736" s="55"/>
    </row>
    <row r="1737" spans="39:39">
      <c r="AM1737" s="55"/>
    </row>
    <row r="1738" spans="39:39">
      <c r="AM1738" s="55"/>
    </row>
    <row r="1739" spans="39:39">
      <c r="AM1739" s="55"/>
    </row>
    <row r="1740" spans="39:39">
      <c r="AM1740" s="55"/>
    </row>
    <row r="1741" spans="39:39">
      <c r="AM1741" s="55"/>
    </row>
    <row r="1742" spans="39:39">
      <c r="AM1742" s="55"/>
    </row>
    <row r="1743" spans="39:39">
      <c r="AM1743" s="55"/>
    </row>
    <row r="1744" spans="39:39">
      <c r="AM1744" s="55"/>
    </row>
    <row r="1745" spans="39:39">
      <c r="AM1745" s="55"/>
    </row>
    <row r="1746" spans="39:39">
      <c r="AM1746" s="55"/>
    </row>
    <row r="1747" spans="39:39">
      <c r="AM1747" s="55"/>
    </row>
    <row r="1748" spans="39:39">
      <c r="AM1748" s="55"/>
    </row>
    <row r="1749" spans="39:39">
      <c r="AM1749" s="55"/>
    </row>
    <row r="1750" spans="39:39">
      <c r="AM1750" s="55"/>
    </row>
    <row r="1751" spans="39:39">
      <c r="AM1751" s="55"/>
    </row>
    <row r="1752" spans="39:39">
      <c r="AM1752" s="55"/>
    </row>
    <row r="1753" spans="39:39">
      <c r="AM1753" s="55"/>
    </row>
    <row r="1754" spans="39:39">
      <c r="AM1754" s="55"/>
    </row>
    <row r="1755" spans="39:39">
      <c r="AM1755" s="55"/>
    </row>
    <row r="1756" spans="39:39">
      <c r="AM1756" s="55"/>
    </row>
    <row r="1757" spans="39:39">
      <c r="AM1757" s="55"/>
    </row>
    <row r="1758" spans="39:39">
      <c r="AM1758" s="55"/>
    </row>
    <row r="1759" spans="39:39">
      <c r="AM1759" s="55"/>
    </row>
    <row r="1760" spans="39:39">
      <c r="AM1760" s="55"/>
    </row>
    <row r="1761" spans="39:118">
      <c r="AM1761" s="55"/>
      <c r="AT1761" s="43"/>
      <c r="AV1761" s="55"/>
      <c r="CJ1761" s="43"/>
      <c r="DF1761" s="55"/>
      <c r="DG1761" s="53"/>
      <c r="DL1761" s="54"/>
      <c r="DM1761" s="54"/>
      <c r="DN1761" s="54"/>
    </row>
    <row r="1762" spans="39:118">
      <c r="AM1762" s="55"/>
      <c r="AT1762" s="43"/>
      <c r="AV1762" s="55"/>
      <c r="CJ1762" s="43"/>
      <c r="DF1762" s="55"/>
      <c r="DG1762" s="53"/>
      <c r="DL1762" s="54"/>
      <c r="DM1762" s="54"/>
      <c r="DN1762" s="54"/>
    </row>
    <row r="1763" spans="39:118">
      <c r="AM1763" s="55"/>
      <c r="AT1763" s="43"/>
      <c r="AV1763" s="55"/>
      <c r="CJ1763" s="43"/>
      <c r="DF1763" s="55"/>
      <c r="DG1763" s="53"/>
      <c r="DL1763" s="54"/>
      <c r="DM1763" s="54"/>
      <c r="DN1763" s="54"/>
    </row>
    <row r="1764" spans="39:118">
      <c r="AM1764" s="55"/>
      <c r="AT1764" s="43"/>
      <c r="AV1764" s="55"/>
      <c r="CJ1764" s="43"/>
      <c r="DF1764" s="55"/>
      <c r="DG1764" s="53"/>
      <c r="DL1764" s="54"/>
      <c r="DM1764" s="54"/>
      <c r="DN1764" s="54"/>
    </row>
    <row r="1765" spans="39:118">
      <c r="AM1765" s="55"/>
      <c r="AT1765" s="43"/>
      <c r="AV1765" s="55"/>
      <c r="CJ1765" s="43"/>
      <c r="DF1765" s="55"/>
      <c r="DG1765" s="53"/>
      <c r="DL1765" s="54"/>
      <c r="DM1765" s="54"/>
      <c r="DN1765" s="54"/>
    </row>
    <row r="1766" spans="39:118">
      <c r="AM1766" s="55"/>
      <c r="AT1766" s="43"/>
      <c r="AV1766" s="55"/>
      <c r="CJ1766" s="43"/>
      <c r="DF1766" s="55"/>
      <c r="DG1766" s="53"/>
      <c r="DL1766" s="54"/>
      <c r="DM1766" s="54"/>
      <c r="DN1766" s="54"/>
    </row>
    <row r="1767" spans="39:118">
      <c r="AM1767" s="55"/>
      <c r="AT1767" s="43"/>
      <c r="AV1767" s="55"/>
      <c r="CJ1767" s="43"/>
      <c r="DF1767" s="55"/>
      <c r="DG1767" s="53"/>
      <c r="DL1767" s="54"/>
      <c r="DM1767" s="54"/>
      <c r="DN1767" s="54"/>
    </row>
    <row r="1768" spans="39:118">
      <c r="AM1768" s="55"/>
      <c r="AT1768" s="43"/>
      <c r="AV1768" s="55"/>
      <c r="CJ1768" s="43"/>
      <c r="DF1768" s="55"/>
      <c r="DG1768" s="53"/>
      <c r="DL1768" s="54"/>
      <c r="DM1768" s="54"/>
      <c r="DN1768" s="54"/>
    </row>
    <row r="1769" spans="39:118">
      <c r="AM1769" s="55"/>
      <c r="AT1769" s="43"/>
      <c r="AV1769" s="55"/>
      <c r="CJ1769" s="43"/>
      <c r="DF1769" s="55"/>
      <c r="DG1769" s="53"/>
      <c r="DL1769" s="54"/>
      <c r="DM1769" s="54"/>
      <c r="DN1769" s="54"/>
    </row>
    <row r="1770" spans="39:118">
      <c r="AM1770" s="55"/>
      <c r="AT1770" s="43"/>
      <c r="AV1770" s="55"/>
      <c r="CJ1770" s="43"/>
      <c r="DF1770" s="55"/>
      <c r="DG1770" s="53"/>
      <c r="DL1770" s="54"/>
      <c r="DM1770" s="54"/>
      <c r="DN1770" s="54"/>
    </row>
    <row r="1771" spans="39:118">
      <c r="AM1771" s="55"/>
      <c r="AT1771" s="43"/>
      <c r="AV1771" s="55"/>
      <c r="CJ1771" s="43"/>
      <c r="DF1771" s="55"/>
      <c r="DG1771" s="53"/>
      <c r="DL1771" s="54"/>
      <c r="DM1771" s="54"/>
      <c r="DN1771" s="54"/>
    </row>
    <row r="1772" spans="39:118">
      <c r="AM1772" s="55"/>
      <c r="AT1772" s="43"/>
      <c r="AV1772" s="55"/>
      <c r="CJ1772" s="43"/>
      <c r="DF1772" s="55"/>
      <c r="DG1772" s="53"/>
      <c r="DL1772" s="54"/>
      <c r="DM1772" s="54"/>
      <c r="DN1772" s="54"/>
    </row>
    <row r="1773" spans="39:118">
      <c r="AM1773" s="55"/>
      <c r="AT1773" s="43"/>
      <c r="AV1773" s="55"/>
      <c r="CJ1773" s="43"/>
      <c r="DF1773" s="55"/>
      <c r="DG1773" s="53"/>
      <c r="DL1773" s="54"/>
      <c r="DM1773" s="54"/>
      <c r="DN1773" s="54"/>
    </row>
    <row r="1774" spans="39:118">
      <c r="AM1774" s="55"/>
      <c r="AT1774" s="43"/>
      <c r="AV1774" s="55"/>
      <c r="CJ1774" s="43"/>
      <c r="DF1774" s="55"/>
      <c r="DG1774" s="53"/>
      <c r="DL1774" s="54"/>
      <c r="DM1774" s="54"/>
      <c r="DN1774" s="54"/>
    </row>
    <row r="1775" spans="39:118">
      <c r="AM1775" s="55"/>
      <c r="AT1775" s="43"/>
      <c r="AV1775" s="55"/>
      <c r="CJ1775" s="43"/>
      <c r="DF1775" s="55"/>
      <c r="DG1775" s="53"/>
      <c r="DL1775" s="54"/>
      <c r="DM1775" s="54"/>
      <c r="DN1775" s="54"/>
    </row>
    <row r="1776" spans="39:118">
      <c r="AM1776" s="55"/>
      <c r="AT1776" s="43"/>
      <c r="AV1776" s="55"/>
      <c r="CJ1776" s="43"/>
      <c r="DF1776" s="55"/>
      <c r="DG1776" s="53"/>
      <c r="DL1776" s="54"/>
      <c r="DM1776" s="54"/>
      <c r="DN1776" s="54"/>
    </row>
    <row r="1777" spans="39:118">
      <c r="AM1777" s="55"/>
      <c r="AT1777" s="43"/>
      <c r="AV1777" s="55"/>
      <c r="CJ1777" s="43"/>
      <c r="DF1777" s="55"/>
      <c r="DG1777" s="53"/>
      <c r="DL1777" s="54"/>
      <c r="DM1777" s="54"/>
      <c r="DN1777" s="54"/>
    </row>
    <row r="1778" spans="39:118">
      <c r="AM1778" s="55"/>
      <c r="AT1778" s="43"/>
      <c r="AV1778" s="55"/>
      <c r="CJ1778" s="43"/>
      <c r="DF1778" s="55"/>
      <c r="DG1778" s="53"/>
      <c r="DL1778" s="54"/>
      <c r="DM1778" s="54"/>
      <c r="DN1778" s="54"/>
    </row>
    <row r="1779" spans="39:118">
      <c r="AM1779" s="55"/>
      <c r="AT1779" s="43"/>
      <c r="AV1779" s="55"/>
      <c r="CJ1779" s="43"/>
      <c r="DF1779" s="55"/>
      <c r="DG1779" s="53"/>
      <c r="DL1779" s="54"/>
      <c r="DM1779" s="54"/>
      <c r="DN1779" s="54"/>
    </row>
    <row r="1780" spans="39:118">
      <c r="AM1780" s="55"/>
      <c r="AT1780" s="43"/>
      <c r="AV1780" s="55"/>
      <c r="CJ1780" s="43"/>
      <c r="DF1780" s="55"/>
      <c r="DG1780" s="53"/>
      <c r="DL1780" s="54"/>
      <c r="DM1780" s="54"/>
      <c r="DN1780" s="54"/>
    </row>
    <row r="1781" spans="39:118">
      <c r="AM1781" s="55"/>
      <c r="AT1781" s="43"/>
      <c r="AV1781" s="55"/>
      <c r="CJ1781" s="43"/>
      <c r="DF1781" s="55"/>
      <c r="DG1781" s="53"/>
      <c r="DL1781" s="54"/>
      <c r="DM1781" s="54"/>
      <c r="DN1781" s="54"/>
    </row>
    <row r="1782" spans="39:118">
      <c r="AM1782" s="55"/>
      <c r="AT1782" s="43"/>
      <c r="AV1782" s="55"/>
      <c r="CJ1782" s="43"/>
      <c r="DF1782" s="55"/>
      <c r="DG1782" s="53"/>
      <c r="DL1782" s="54"/>
      <c r="DM1782" s="54"/>
      <c r="DN1782" s="54"/>
    </row>
    <row r="1783" spans="39:118">
      <c r="AM1783" s="55"/>
      <c r="AT1783" s="43"/>
      <c r="AV1783" s="55"/>
      <c r="CJ1783" s="43"/>
      <c r="DF1783" s="55"/>
      <c r="DG1783" s="53"/>
      <c r="DL1783" s="54"/>
      <c r="DM1783" s="54"/>
      <c r="DN1783" s="54"/>
    </row>
    <row r="1784" spans="39:118">
      <c r="AM1784" s="55"/>
      <c r="AT1784" s="43"/>
      <c r="AV1784" s="55"/>
      <c r="CJ1784" s="43"/>
      <c r="DF1784" s="55"/>
      <c r="DG1784" s="53"/>
      <c r="DL1784" s="54"/>
      <c r="DM1784" s="54"/>
      <c r="DN1784" s="54"/>
    </row>
    <row r="1785" spans="39:118">
      <c r="AM1785" s="55"/>
      <c r="AT1785" s="43"/>
      <c r="AV1785" s="55"/>
      <c r="CJ1785" s="43"/>
      <c r="DF1785" s="55"/>
      <c r="DG1785" s="53"/>
      <c r="DL1785" s="54"/>
      <c r="DM1785" s="54"/>
      <c r="DN1785" s="54"/>
    </row>
    <row r="1786" spans="39:118">
      <c r="AM1786" s="55"/>
      <c r="AT1786" s="43"/>
      <c r="AV1786" s="55"/>
      <c r="CJ1786" s="43"/>
      <c r="DF1786" s="55"/>
      <c r="DG1786" s="53"/>
      <c r="DL1786" s="54"/>
      <c r="DM1786" s="54"/>
      <c r="DN1786" s="54"/>
    </row>
    <row r="1787" spans="39:118">
      <c r="AM1787" s="55"/>
      <c r="AT1787" s="43"/>
      <c r="AV1787" s="55"/>
      <c r="CJ1787" s="43"/>
      <c r="DF1787" s="55"/>
      <c r="DG1787" s="53"/>
      <c r="DL1787" s="54"/>
      <c r="DM1787" s="54"/>
      <c r="DN1787" s="54"/>
    </row>
    <row r="1788" spans="39:118">
      <c r="AM1788" s="55"/>
      <c r="AT1788" s="43"/>
      <c r="AV1788" s="55"/>
      <c r="CJ1788" s="43"/>
      <c r="DF1788" s="55"/>
      <c r="DG1788" s="53"/>
      <c r="DL1788" s="54"/>
      <c r="DM1788" s="54"/>
      <c r="DN1788" s="54"/>
    </row>
    <row r="1789" spans="39:118">
      <c r="AM1789" s="55"/>
      <c r="AT1789" s="43"/>
      <c r="AV1789" s="55"/>
      <c r="CJ1789" s="43"/>
      <c r="DF1789" s="55"/>
      <c r="DG1789" s="53"/>
      <c r="DL1789" s="54"/>
      <c r="DM1789" s="54"/>
      <c r="DN1789" s="54"/>
    </row>
    <row r="1790" spans="39:118">
      <c r="AM1790" s="55"/>
      <c r="AT1790" s="43"/>
      <c r="AV1790" s="55"/>
      <c r="CJ1790" s="43"/>
      <c r="DF1790" s="55"/>
      <c r="DG1790" s="53"/>
      <c r="DL1790" s="54"/>
      <c r="DM1790" s="54"/>
      <c r="DN1790" s="54"/>
    </row>
    <row r="1791" spans="39:118">
      <c r="AM1791" s="55"/>
      <c r="AT1791" s="43"/>
      <c r="AV1791" s="55"/>
      <c r="CJ1791" s="43"/>
      <c r="DF1791" s="55"/>
      <c r="DG1791" s="53"/>
      <c r="DL1791" s="54"/>
      <c r="DM1791" s="54"/>
      <c r="DN1791" s="54"/>
    </row>
    <row r="1792" spans="39:118">
      <c r="AM1792" s="55"/>
      <c r="AT1792" s="43"/>
      <c r="AV1792" s="55"/>
      <c r="CJ1792" s="43"/>
      <c r="DF1792" s="55"/>
      <c r="DG1792" s="53"/>
      <c r="DL1792" s="54"/>
      <c r="DM1792" s="54"/>
      <c r="DN1792" s="54"/>
    </row>
    <row r="1793" spans="39:118">
      <c r="AM1793" s="55"/>
      <c r="AT1793" s="43"/>
      <c r="AV1793" s="55"/>
      <c r="CJ1793" s="43"/>
      <c r="DF1793" s="55"/>
      <c r="DG1793" s="53"/>
      <c r="DL1793" s="54"/>
      <c r="DM1793" s="54"/>
      <c r="DN1793" s="54"/>
    </row>
    <row r="1794" spans="39:118">
      <c r="AM1794" s="55"/>
      <c r="AT1794" s="43"/>
      <c r="AV1794" s="55"/>
      <c r="CJ1794" s="43"/>
      <c r="DF1794" s="55"/>
      <c r="DG1794" s="53"/>
      <c r="DL1794" s="54"/>
      <c r="DM1794" s="54"/>
      <c r="DN1794" s="54"/>
    </row>
    <row r="1795" spans="39:118">
      <c r="AM1795" s="55"/>
      <c r="AT1795" s="43"/>
      <c r="AV1795" s="55"/>
      <c r="CJ1795" s="43"/>
      <c r="DF1795" s="55"/>
      <c r="DG1795" s="53"/>
      <c r="DL1795" s="54"/>
      <c r="DM1795" s="54"/>
      <c r="DN1795" s="54"/>
    </row>
    <row r="1796" spans="39:118">
      <c r="AM1796" s="55"/>
      <c r="AT1796" s="43"/>
      <c r="AV1796" s="55"/>
      <c r="CJ1796" s="43"/>
      <c r="DF1796" s="55"/>
      <c r="DG1796" s="53"/>
      <c r="DL1796" s="54"/>
      <c r="DM1796" s="54"/>
      <c r="DN1796" s="54"/>
    </row>
    <row r="1797" spans="39:118">
      <c r="AM1797" s="55"/>
      <c r="AT1797" s="43"/>
      <c r="AV1797" s="55"/>
      <c r="CJ1797" s="43"/>
      <c r="DF1797" s="55"/>
      <c r="DG1797" s="53"/>
      <c r="DL1797" s="54"/>
      <c r="DM1797" s="54"/>
      <c r="DN1797" s="54"/>
    </row>
    <row r="1798" spans="39:118">
      <c r="AM1798" s="55"/>
      <c r="AT1798" s="43"/>
      <c r="AV1798" s="55"/>
      <c r="CJ1798" s="43"/>
      <c r="DF1798" s="55"/>
      <c r="DG1798" s="53"/>
      <c r="DL1798" s="54"/>
      <c r="DM1798" s="54"/>
      <c r="DN1798" s="54"/>
    </row>
    <row r="1799" spans="39:118">
      <c r="AM1799" s="55"/>
      <c r="AT1799" s="43"/>
      <c r="AV1799" s="55"/>
      <c r="CJ1799" s="43"/>
      <c r="DF1799" s="55"/>
      <c r="DG1799" s="53"/>
      <c r="DL1799" s="54"/>
      <c r="DM1799" s="54"/>
      <c r="DN1799" s="54"/>
    </row>
    <row r="1800" spans="39:118">
      <c r="AM1800" s="55"/>
      <c r="AT1800" s="43"/>
      <c r="AV1800" s="55"/>
      <c r="CJ1800" s="43"/>
      <c r="DF1800" s="55"/>
      <c r="DG1800" s="53"/>
      <c r="DL1800" s="54"/>
      <c r="DM1800" s="54"/>
      <c r="DN1800" s="54"/>
    </row>
    <row r="1801" spans="39:118">
      <c r="AM1801" s="55"/>
      <c r="AT1801" s="43"/>
      <c r="AV1801" s="55"/>
      <c r="CJ1801" s="43"/>
      <c r="DF1801" s="55"/>
      <c r="DG1801" s="53"/>
      <c r="DL1801" s="54"/>
      <c r="DM1801" s="54"/>
      <c r="DN1801" s="54"/>
    </row>
    <row r="1802" spans="39:118">
      <c r="AM1802" s="55"/>
      <c r="AT1802" s="43"/>
      <c r="AV1802" s="55"/>
      <c r="CJ1802" s="43"/>
      <c r="DF1802" s="55"/>
      <c r="DG1802" s="53"/>
      <c r="DL1802" s="54"/>
      <c r="DM1802" s="54"/>
      <c r="DN1802" s="54"/>
    </row>
    <row r="1803" spans="39:118">
      <c r="AM1803" s="55"/>
      <c r="AT1803" s="43"/>
      <c r="AV1803" s="55"/>
      <c r="CJ1803" s="43"/>
      <c r="DF1803" s="55"/>
      <c r="DG1803" s="53"/>
      <c r="DL1803" s="54"/>
      <c r="DM1803" s="54"/>
      <c r="DN1803" s="54"/>
    </row>
    <row r="1804" spans="39:118">
      <c r="AM1804" s="55"/>
      <c r="AT1804" s="43"/>
      <c r="AV1804" s="55"/>
      <c r="CJ1804" s="43"/>
      <c r="DF1804" s="55"/>
      <c r="DG1804" s="53"/>
      <c r="DL1804" s="54"/>
      <c r="DM1804" s="54"/>
      <c r="DN1804" s="54"/>
    </row>
    <row r="1805" spans="39:118">
      <c r="AM1805" s="55"/>
      <c r="AT1805" s="43"/>
      <c r="AV1805" s="55"/>
      <c r="CJ1805" s="43"/>
      <c r="DF1805" s="55"/>
      <c r="DG1805" s="53"/>
      <c r="DL1805" s="54"/>
      <c r="DM1805" s="54"/>
      <c r="DN1805" s="54"/>
    </row>
    <row r="1806" spans="39:118">
      <c r="AM1806" s="55"/>
      <c r="AT1806" s="43"/>
      <c r="AV1806" s="55"/>
      <c r="CJ1806" s="43"/>
      <c r="DF1806" s="55"/>
      <c r="DG1806" s="53"/>
      <c r="DL1806" s="54"/>
      <c r="DM1806" s="54"/>
      <c r="DN1806" s="54"/>
    </row>
    <row r="1807" spans="39:118">
      <c r="AM1807" s="55"/>
      <c r="AT1807" s="43"/>
      <c r="AV1807" s="55"/>
      <c r="CJ1807" s="43"/>
      <c r="DF1807" s="55"/>
      <c r="DG1807" s="53"/>
      <c r="DL1807" s="54"/>
      <c r="DM1807" s="54"/>
      <c r="DN1807" s="54"/>
    </row>
    <row r="1808" spans="39:118">
      <c r="AM1808" s="55"/>
      <c r="AT1808" s="43"/>
      <c r="AV1808" s="55"/>
      <c r="CJ1808" s="43"/>
      <c r="DF1808" s="55"/>
      <c r="DG1808" s="53"/>
      <c r="DL1808" s="54"/>
      <c r="DM1808" s="54"/>
      <c r="DN1808" s="54"/>
    </row>
    <row r="1809" spans="39:118">
      <c r="AM1809" s="55"/>
      <c r="AT1809" s="43"/>
      <c r="AV1809" s="55"/>
      <c r="CJ1809" s="43"/>
      <c r="DF1809" s="55"/>
      <c r="DG1809" s="53"/>
      <c r="DL1809" s="54"/>
      <c r="DM1809" s="54"/>
      <c r="DN1809" s="54"/>
    </row>
    <row r="1810" spans="39:118">
      <c r="AM1810" s="55"/>
      <c r="AT1810" s="43"/>
      <c r="AV1810" s="55"/>
      <c r="CJ1810" s="43"/>
      <c r="DF1810" s="55"/>
      <c r="DG1810" s="53"/>
      <c r="DL1810" s="54"/>
      <c r="DM1810" s="54"/>
      <c r="DN1810" s="54"/>
    </row>
    <row r="1811" spans="39:118">
      <c r="AM1811" s="55"/>
      <c r="AT1811" s="43"/>
      <c r="AV1811" s="55"/>
      <c r="CJ1811" s="43"/>
      <c r="DF1811" s="55"/>
      <c r="DG1811" s="53"/>
      <c r="DL1811" s="54"/>
      <c r="DM1811" s="54"/>
      <c r="DN1811" s="54"/>
    </row>
    <row r="1812" spans="39:118">
      <c r="AM1812" s="55"/>
      <c r="AT1812" s="43"/>
      <c r="AV1812" s="55"/>
      <c r="CJ1812" s="43"/>
      <c r="DF1812" s="55"/>
      <c r="DG1812" s="53"/>
      <c r="DL1812" s="54"/>
      <c r="DM1812" s="54"/>
      <c r="DN1812" s="54"/>
    </row>
    <row r="1813" spans="39:118">
      <c r="AM1813" s="55"/>
      <c r="AT1813" s="43"/>
      <c r="AV1813" s="55"/>
      <c r="CJ1813" s="43"/>
      <c r="DF1813" s="55"/>
      <c r="DG1813" s="53"/>
      <c r="DL1813" s="54"/>
      <c r="DM1813" s="54"/>
      <c r="DN1813" s="54"/>
    </row>
    <row r="1814" spans="39:118">
      <c r="AM1814" s="55"/>
      <c r="AT1814" s="43"/>
      <c r="AV1814" s="55"/>
      <c r="CJ1814" s="43"/>
      <c r="DF1814" s="55"/>
      <c r="DG1814" s="53"/>
      <c r="DL1814" s="54"/>
      <c r="DM1814" s="54"/>
      <c r="DN1814" s="54"/>
    </row>
    <row r="1815" spans="39:118">
      <c r="AM1815" s="55"/>
      <c r="AT1815" s="43"/>
      <c r="AV1815" s="55"/>
      <c r="CJ1815" s="43"/>
      <c r="DF1815" s="55"/>
      <c r="DG1815" s="53"/>
      <c r="DL1815" s="54"/>
      <c r="DM1815" s="54"/>
      <c r="DN1815" s="54"/>
    </row>
    <row r="1816" spans="39:118">
      <c r="AM1816" s="55"/>
      <c r="AT1816" s="43"/>
      <c r="AV1816" s="55"/>
      <c r="CJ1816" s="43"/>
      <c r="DF1816" s="55"/>
      <c r="DG1816" s="53"/>
      <c r="DL1816" s="54"/>
      <c r="DM1816" s="54"/>
      <c r="DN1816" s="54"/>
    </row>
    <row r="1817" spans="39:118">
      <c r="AM1817" s="55"/>
      <c r="AT1817" s="43"/>
      <c r="AV1817" s="55"/>
      <c r="CJ1817" s="43"/>
      <c r="DF1817" s="55"/>
      <c r="DG1817" s="53"/>
      <c r="DL1817" s="54"/>
      <c r="DM1817" s="54"/>
      <c r="DN1817" s="54"/>
    </row>
    <row r="1818" spans="39:118">
      <c r="AM1818" s="55"/>
      <c r="AT1818" s="43"/>
      <c r="AV1818" s="55"/>
      <c r="CJ1818" s="43"/>
      <c r="DF1818" s="55"/>
      <c r="DG1818" s="53"/>
      <c r="DL1818" s="54"/>
      <c r="DM1818" s="54"/>
      <c r="DN1818" s="54"/>
    </row>
    <row r="1819" spans="39:118">
      <c r="AM1819" s="55"/>
      <c r="AT1819" s="43"/>
      <c r="AV1819" s="55"/>
      <c r="CJ1819" s="43"/>
      <c r="DF1819" s="55"/>
      <c r="DG1819" s="53"/>
      <c r="DL1819" s="54"/>
      <c r="DM1819" s="54"/>
      <c r="DN1819" s="54"/>
    </row>
    <row r="1820" spans="39:118">
      <c r="AM1820" s="55"/>
      <c r="AT1820" s="43"/>
      <c r="AV1820" s="55"/>
      <c r="CJ1820" s="43"/>
      <c r="DF1820" s="55"/>
      <c r="DG1820" s="53"/>
      <c r="DL1820" s="54"/>
      <c r="DM1820" s="54"/>
      <c r="DN1820" s="54"/>
    </row>
    <row r="1821" spans="39:118">
      <c r="AM1821" s="55"/>
      <c r="AT1821" s="43"/>
      <c r="AV1821" s="55"/>
      <c r="CJ1821" s="43"/>
      <c r="DF1821" s="55"/>
      <c r="DG1821" s="53"/>
      <c r="DL1821" s="54"/>
      <c r="DM1821" s="54"/>
      <c r="DN1821" s="54"/>
    </row>
    <row r="1822" spans="39:118">
      <c r="AM1822" s="55"/>
      <c r="AT1822" s="43"/>
      <c r="AV1822" s="55"/>
      <c r="CJ1822" s="43"/>
      <c r="DF1822" s="55"/>
      <c r="DG1822" s="53"/>
      <c r="DL1822" s="54"/>
      <c r="DM1822" s="54"/>
      <c r="DN1822" s="54"/>
    </row>
    <row r="1823" spans="39:118">
      <c r="AM1823" s="55"/>
      <c r="AT1823" s="43"/>
      <c r="AV1823" s="55"/>
      <c r="CJ1823" s="43"/>
      <c r="DF1823" s="55"/>
      <c r="DG1823" s="53"/>
      <c r="DL1823" s="54"/>
      <c r="DM1823" s="54"/>
      <c r="DN1823" s="54"/>
    </row>
    <row r="1824" spans="39:118">
      <c r="AM1824" s="55"/>
      <c r="AT1824" s="43"/>
      <c r="AV1824" s="55"/>
      <c r="CJ1824" s="43"/>
      <c r="DF1824" s="55"/>
      <c r="DG1824" s="53"/>
      <c r="DL1824" s="54"/>
      <c r="DM1824" s="54"/>
      <c r="DN1824" s="54"/>
    </row>
    <row r="1825" spans="39:118">
      <c r="AM1825" s="55"/>
      <c r="AT1825" s="43"/>
      <c r="AV1825" s="55"/>
      <c r="CJ1825" s="43"/>
      <c r="DF1825" s="55"/>
      <c r="DG1825" s="53"/>
      <c r="DL1825" s="54"/>
      <c r="DM1825" s="54"/>
      <c r="DN1825" s="54"/>
    </row>
    <row r="1826" spans="39:118">
      <c r="AM1826" s="55"/>
      <c r="AT1826" s="43"/>
      <c r="AV1826" s="55"/>
      <c r="CJ1826" s="43"/>
      <c r="DF1826" s="55"/>
      <c r="DG1826" s="53"/>
      <c r="DL1826" s="54"/>
      <c r="DM1826" s="54"/>
      <c r="DN1826" s="54"/>
    </row>
    <row r="1827" spans="39:118">
      <c r="AM1827" s="55"/>
      <c r="AT1827" s="43"/>
      <c r="AV1827" s="55"/>
      <c r="CJ1827" s="43"/>
      <c r="DF1827" s="55"/>
      <c r="DG1827" s="53"/>
      <c r="DL1827" s="54"/>
      <c r="DM1827" s="54"/>
      <c r="DN1827" s="54"/>
    </row>
    <row r="1828" spans="39:118">
      <c r="AM1828" s="55"/>
      <c r="AT1828" s="43"/>
      <c r="AV1828" s="55"/>
      <c r="CJ1828" s="43"/>
      <c r="DF1828" s="55"/>
      <c r="DG1828" s="53"/>
      <c r="DL1828" s="54"/>
      <c r="DM1828" s="54"/>
      <c r="DN1828" s="54"/>
    </row>
    <row r="1829" spans="39:118">
      <c r="AM1829" s="55"/>
      <c r="AT1829" s="43"/>
      <c r="AV1829" s="55"/>
      <c r="CJ1829" s="43"/>
      <c r="DF1829" s="55"/>
      <c r="DG1829" s="53"/>
      <c r="DL1829" s="54"/>
      <c r="DM1829" s="54"/>
      <c r="DN1829" s="54"/>
    </row>
    <row r="1830" spans="39:118">
      <c r="AM1830" s="55"/>
      <c r="AT1830" s="43"/>
      <c r="AV1830" s="55"/>
      <c r="CJ1830" s="43"/>
      <c r="DF1830" s="55"/>
      <c r="DG1830" s="53"/>
      <c r="DL1830" s="54"/>
      <c r="DM1830" s="54"/>
      <c r="DN1830" s="54"/>
    </row>
    <row r="1831" spans="39:118">
      <c r="AM1831" s="55"/>
      <c r="AT1831" s="43"/>
      <c r="AV1831" s="55"/>
      <c r="CJ1831" s="43"/>
      <c r="DF1831" s="55"/>
      <c r="DG1831" s="53"/>
      <c r="DL1831" s="54"/>
      <c r="DM1831" s="54"/>
      <c r="DN1831" s="54"/>
    </row>
    <row r="1832" spans="39:118">
      <c r="AM1832" s="55"/>
      <c r="AT1832" s="43"/>
      <c r="AV1832" s="55"/>
      <c r="CJ1832" s="43"/>
      <c r="DF1832" s="55"/>
      <c r="DG1832" s="53"/>
      <c r="DL1832" s="54"/>
      <c r="DM1832" s="54"/>
      <c r="DN1832" s="54"/>
    </row>
    <row r="1833" spans="39:118">
      <c r="AM1833" s="55"/>
      <c r="AT1833" s="43"/>
      <c r="AV1833" s="55"/>
      <c r="CJ1833" s="43"/>
      <c r="DF1833" s="55"/>
      <c r="DG1833" s="53"/>
      <c r="DL1833" s="54"/>
      <c r="DM1833" s="54"/>
      <c r="DN1833" s="54"/>
    </row>
    <row r="1834" spans="39:118">
      <c r="AM1834" s="55"/>
      <c r="AT1834" s="43"/>
      <c r="AV1834" s="55"/>
      <c r="CJ1834" s="43"/>
      <c r="DF1834" s="55"/>
      <c r="DG1834" s="53"/>
      <c r="DL1834" s="54"/>
      <c r="DM1834" s="54"/>
      <c r="DN1834" s="54"/>
    </row>
    <row r="1835" spans="39:118">
      <c r="AM1835" s="55"/>
      <c r="AT1835" s="43"/>
      <c r="AV1835" s="55"/>
      <c r="CJ1835" s="43"/>
      <c r="DF1835" s="55"/>
      <c r="DG1835" s="53"/>
      <c r="DL1835" s="54"/>
      <c r="DM1835" s="54"/>
      <c r="DN1835" s="54"/>
    </row>
    <row r="1836" spans="39:118">
      <c r="AM1836" s="55"/>
      <c r="AT1836" s="43"/>
      <c r="AV1836" s="55"/>
      <c r="CJ1836" s="43"/>
      <c r="DF1836" s="55"/>
      <c r="DG1836" s="53"/>
      <c r="DL1836" s="54"/>
      <c r="DM1836" s="54"/>
      <c r="DN1836" s="54"/>
    </row>
    <row r="1837" spans="39:118">
      <c r="AM1837" s="55"/>
      <c r="AT1837" s="43"/>
      <c r="AV1837" s="55"/>
      <c r="CJ1837" s="43"/>
      <c r="DF1837" s="55"/>
      <c r="DG1837" s="53"/>
      <c r="DL1837" s="54"/>
      <c r="DM1837" s="54"/>
      <c r="DN1837" s="54"/>
    </row>
    <row r="1838" spans="39:118">
      <c r="AM1838" s="55"/>
      <c r="AT1838" s="43"/>
      <c r="AV1838" s="55"/>
      <c r="CJ1838" s="43"/>
      <c r="DF1838" s="55"/>
      <c r="DG1838" s="53"/>
      <c r="DL1838" s="54"/>
      <c r="DM1838" s="54"/>
      <c r="DN1838" s="54"/>
    </row>
    <row r="1839" spans="39:118">
      <c r="AM1839" s="55"/>
      <c r="AT1839" s="43"/>
      <c r="AV1839" s="55"/>
      <c r="CJ1839" s="43"/>
      <c r="DF1839" s="55"/>
      <c r="DG1839" s="53"/>
      <c r="DL1839" s="54"/>
      <c r="DM1839" s="54"/>
      <c r="DN1839" s="54"/>
    </row>
    <row r="1840" spans="39:118">
      <c r="AM1840" s="55"/>
      <c r="AT1840" s="43"/>
      <c r="AV1840" s="55"/>
      <c r="CJ1840" s="43"/>
      <c r="DF1840" s="55"/>
      <c r="DG1840" s="53"/>
      <c r="DL1840" s="54"/>
      <c r="DM1840" s="54"/>
      <c r="DN1840" s="54"/>
    </row>
    <row r="1841" spans="39:118">
      <c r="AM1841" s="55"/>
      <c r="AT1841" s="43"/>
      <c r="AV1841" s="55"/>
      <c r="CJ1841" s="43"/>
      <c r="DF1841" s="55"/>
      <c r="DG1841" s="53"/>
      <c r="DL1841" s="54"/>
      <c r="DM1841" s="54"/>
      <c r="DN1841" s="54"/>
    </row>
    <row r="1842" spans="39:118">
      <c r="AM1842" s="55"/>
      <c r="AT1842" s="43"/>
      <c r="AV1842" s="55"/>
      <c r="CJ1842" s="43"/>
      <c r="DF1842" s="55"/>
      <c r="DG1842" s="53"/>
      <c r="DL1842" s="54"/>
      <c r="DM1842" s="54"/>
      <c r="DN1842" s="54"/>
    </row>
    <row r="1843" spans="39:118">
      <c r="AM1843" s="55"/>
      <c r="AT1843" s="43"/>
      <c r="AV1843" s="55"/>
      <c r="CJ1843" s="43"/>
      <c r="DF1843" s="55"/>
      <c r="DG1843" s="53"/>
      <c r="DL1843" s="54"/>
      <c r="DM1843" s="54"/>
      <c r="DN1843" s="54"/>
    </row>
    <row r="1844" spans="39:118">
      <c r="AM1844" s="55"/>
      <c r="AT1844" s="43"/>
      <c r="AV1844" s="55"/>
      <c r="CJ1844" s="43"/>
      <c r="DF1844" s="55"/>
      <c r="DG1844" s="53"/>
      <c r="DL1844" s="54"/>
      <c r="DM1844" s="54"/>
      <c r="DN1844" s="54"/>
    </row>
    <row r="1845" spans="39:118">
      <c r="AM1845" s="55"/>
      <c r="AT1845" s="43"/>
      <c r="AV1845" s="55"/>
      <c r="CJ1845" s="43"/>
      <c r="DF1845" s="55"/>
      <c r="DG1845" s="53"/>
      <c r="DL1845" s="54"/>
      <c r="DM1845" s="54"/>
      <c r="DN1845" s="54"/>
    </row>
    <row r="1846" spans="39:118">
      <c r="AM1846" s="55"/>
      <c r="AT1846" s="43"/>
      <c r="AV1846" s="55"/>
      <c r="CJ1846" s="43"/>
      <c r="DF1846" s="55"/>
      <c r="DG1846" s="53"/>
      <c r="DL1846" s="54"/>
      <c r="DM1846" s="54"/>
      <c r="DN1846" s="54"/>
    </row>
    <row r="1847" spans="39:118">
      <c r="AM1847" s="55"/>
      <c r="AT1847" s="43"/>
      <c r="AV1847" s="55"/>
      <c r="CJ1847" s="43"/>
      <c r="DF1847" s="55"/>
      <c r="DG1847" s="53"/>
      <c r="DL1847" s="54"/>
      <c r="DM1847" s="54"/>
      <c r="DN1847" s="54"/>
    </row>
    <row r="1848" spans="39:118">
      <c r="AM1848" s="55"/>
      <c r="AT1848" s="43"/>
      <c r="AV1848" s="55"/>
      <c r="CJ1848" s="43"/>
      <c r="DF1848" s="55"/>
      <c r="DG1848" s="53"/>
      <c r="DL1848" s="54"/>
      <c r="DM1848" s="54"/>
      <c r="DN1848" s="54"/>
    </row>
    <row r="1849" spans="39:118">
      <c r="AM1849" s="55"/>
      <c r="AT1849" s="43"/>
      <c r="AV1849" s="55"/>
      <c r="CJ1849" s="43"/>
      <c r="DF1849" s="55"/>
      <c r="DG1849" s="53"/>
      <c r="DL1849" s="54"/>
      <c r="DM1849" s="54"/>
      <c r="DN1849" s="54"/>
    </row>
    <row r="1850" spans="39:118">
      <c r="AM1850" s="55"/>
      <c r="AT1850" s="43"/>
      <c r="AV1850" s="55"/>
      <c r="CJ1850" s="43"/>
      <c r="DF1850" s="55"/>
      <c r="DG1850" s="53"/>
      <c r="DL1850" s="54"/>
      <c r="DM1850" s="54"/>
      <c r="DN1850" s="54"/>
    </row>
    <row r="1851" spans="39:118">
      <c r="AM1851" s="55"/>
      <c r="AT1851" s="43"/>
      <c r="AV1851" s="55"/>
      <c r="CJ1851" s="43"/>
      <c r="DF1851" s="55"/>
      <c r="DG1851" s="53"/>
      <c r="DL1851" s="54"/>
      <c r="DM1851" s="54"/>
      <c r="DN1851" s="54"/>
    </row>
    <row r="1852" spans="39:118">
      <c r="AM1852" s="55"/>
      <c r="AT1852" s="43"/>
      <c r="AV1852" s="55"/>
      <c r="CJ1852" s="43"/>
      <c r="DF1852" s="55"/>
      <c r="DG1852" s="53"/>
      <c r="DL1852" s="54"/>
      <c r="DM1852" s="54"/>
      <c r="DN1852" s="54"/>
    </row>
    <row r="1853" spans="39:118">
      <c r="AM1853" s="55"/>
      <c r="AT1853" s="43"/>
      <c r="AV1853" s="55"/>
      <c r="CJ1853" s="43"/>
      <c r="DF1853" s="55"/>
      <c r="DG1853" s="53"/>
      <c r="DL1853" s="54"/>
      <c r="DM1853" s="54"/>
      <c r="DN1853" s="54"/>
    </row>
    <row r="1854" spans="39:118">
      <c r="AM1854" s="55"/>
      <c r="AT1854" s="43"/>
      <c r="AV1854" s="55"/>
      <c r="CJ1854" s="43"/>
      <c r="DF1854" s="55"/>
      <c r="DG1854" s="53"/>
      <c r="DL1854" s="54"/>
      <c r="DM1854" s="54"/>
      <c r="DN1854" s="54"/>
    </row>
    <row r="1855" spans="39:118">
      <c r="AM1855" s="55"/>
      <c r="AT1855" s="43"/>
      <c r="AV1855" s="55"/>
      <c r="CJ1855" s="43"/>
      <c r="DF1855" s="55"/>
      <c r="DG1855" s="53"/>
      <c r="DL1855" s="54"/>
      <c r="DM1855" s="54"/>
      <c r="DN1855" s="54"/>
    </row>
    <row r="1856" spans="39:118">
      <c r="AM1856" s="55"/>
      <c r="AT1856" s="43"/>
      <c r="AV1856" s="55"/>
      <c r="CJ1856" s="43"/>
      <c r="DF1856" s="55"/>
      <c r="DG1856" s="53"/>
      <c r="DL1856" s="54"/>
      <c r="DM1856" s="54"/>
      <c r="DN1856" s="54"/>
    </row>
    <row r="1857" spans="39:118">
      <c r="AM1857" s="55"/>
      <c r="AT1857" s="43"/>
      <c r="AV1857" s="55"/>
      <c r="CJ1857" s="43"/>
      <c r="DF1857" s="55"/>
      <c r="DG1857" s="53"/>
      <c r="DL1857" s="54"/>
      <c r="DM1857" s="54"/>
      <c r="DN1857" s="54"/>
    </row>
    <row r="1858" spans="39:118">
      <c r="AM1858" s="55"/>
      <c r="AT1858" s="43"/>
      <c r="AV1858" s="55"/>
      <c r="CJ1858" s="43"/>
      <c r="DF1858" s="55"/>
      <c r="DG1858" s="53"/>
      <c r="DL1858" s="54"/>
      <c r="DM1858" s="54"/>
      <c r="DN1858" s="54"/>
    </row>
    <row r="1859" spans="39:118">
      <c r="AM1859" s="55"/>
      <c r="AT1859" s="43"/>
      <c r="AV1859" s="55"/>
      <c r="CJ1859" s="43"/>
      <c r="DF1859" s="55"/>
      <c r="DG1859" s="53"/>
      <c r="DL1859" s="54"/>
      <c r="DM1859" s="54"/>
      <c r="DN1859" s="54"/>
    </row>
    <row r="1860" spans="39:118">
      <c r="AM1860" s="55"/>
      <c r="AT1860" s="43"/>
      <c r="AV1860" s="55"/>
      <c r="CJ1860" s="43"/>
      <c r="DF1860" s="55"/>
      <c r="DG1860" s="53"/>
      <c r="DL1860" s="54"/>
      <c r="DM1860" s="54"/>
      <c r="DN1860" s="54"/>
    </row>
    <row r="1861" spans="39:118">
      <c r="AM1861" s="55"/>
      <c r="AT1861" s="43"/>
      <c r="AV1861" s="55"/>
      <c r="CJ1861" s="43"/>
      <c r="DF1861" s="55"/>
      <c r="DG1861" s="53"/>
      <c r="DL1861" s="54"/>
      <c r="DM1861" s="54"/>
      <c r="DN1861" s="54"/>
    </row>
    <row r="1862" spans="39:118">
      <c r="AM1862" s="55"/>
      <c r="AT1862" s="43"/>
      <c r="AV1862" s="55"/>
      <c r="CJ1862" s="43"/>
      <c r="DF1862" s="55"/>
      <c r="DG1862" s="53"/>
      <c r="DL1862" s="54"/>
      <c r="DM1862" s="54"/>
      <c r="DN1862" s="54"/>
    </row>
    <row r="1863" spans="39:118">
      <c r="AM1863" s="55"/>
      <c r="AT1863" s="43"/>
      <c r="AV1863" s="55"/>
      <c r="CJ1863" s="43"/>
      <c r="DF1863" s="55"/>
      <c r="DG1863" s="53"/>
      <c r="DL1863" s="54"/>
      <c r="DM1863" s="54"/>
      <c r="DN1863" s="54"/>
    </row>
    <row r="1864" spans="39:118">
      <c r="AM1864" s="55"/>
      <c r="AT1864" s="43"/>
      <c r="AV1864" s="55"/>
      <c r="CJ1864" s="43"/>
      <c r="DF1864" s="55"/>
      <c r="DG1864" s="53"/>
      <c r="DL1864" s="54"/>
      <c r="DM1864" s="54"/>
      <c r="DN1864" s="54"/>
    </row>
    <row r="1865" spans="39:118">
      <c r="AM1865" s="55"/>
      <c r="AT1865" s="43"/>
      <c r="AV1865" s="55"/>
      <c r="CJ1865" s="43"/>
      <c r="DF1865" s="55"/>
      <c r="DG1865" s="53"/>
      <c r="DL1865" s="54"/>
      <c r="DM1865" s="54"/>
      <c r="DN1865" s="54"/>
    </row>
    <row r="1866" spans="39:118">
      <c r="AM1866" s="55"/>
      <c r="AT1866" s="43"/>
      <c r="AV1866" s="55"/>
      <c r="CJ1866" s="43"/>
      <c r="DF1866" s="55"/>
      <c r="DG1866" s="53"/>
      <c r="DL1866" s="54"/>
      <c r="DM1866" s="54"/>
      <c r="DN1866" s="54"/>
    </row>
    <row r="1867" spans="39:118">
      <c r="AM1867" s="55"/>
      <c r="AT1867" s="43"/>
      <c r="AV1867" s="55"/>
      <c r="CJ1867" s="43"/>
      <c r="DF1867" s="55"/>
      <c r="DG1867" s="53"/>
      <c r="DL1867" s="54"/>
      <c r="DM1867" s="54"/>
      <c r="DN1867" s="54"/>
    </row>
    <row r="1868" spans="39:118">
      <c r="AM1868" s="55"/>
      <c r="AT1868" s="43"/>
      <c r="AV1868" s="55"/>
      <c r="CJ1868" s="43"/>
      <c r="DF1868" s="55"/>
      <c r="DG1868" s="53"/>
      <c r="DL1868" s="54"/>
      <c r="DM1868" s="54"/>
      <c r="DN1868" s="54"/>
    </row>
    <row r="1869" spans="39:118">
      <c r="AM1869" s="55"/>
      <c r="AT1869" s="43"/>
      <c r="AV1869" s="55"/>
      <c r="CJ1869" s="43"/>
      <c r="DF1869" s="55"/>
      <c r="DG1869" s="53"/>
      <c r="DL1869" s="54"/>
      <c r="DM1869" s="54"/>
      <c r="DN1869" s="54"/>
    </row>
    <row r="1870" spans="39:118">
      <c r="AM1870" s="55"/>
      <c r="AT1870" s="43"/>
      <c r="AV1870" s="55"/>
      <c r="CJ1870" s="43"/>
      <c r="DF1870" s="55"/>
      <c r="DG1870" s="53"/>
      <c r="DL1870" s="54"/>
      <c r="DM1870" s="54"/>
      <c r="DN1870" s="54"/>
    </row>
    <row r="1871" spans="39:118">
      <c r="AM1871" s="55"/>
      <c r="AT1871" s="43"/>
      <c r="AV1871" s="55"/>
      <c r="CJ1871" s="43"/>
      <c r="DF1871" s="55"/>
      <c r="DG1871" s="53"/>
      <c r="DL1871" s="54"/>
      <c r="DM1871" s="54"/>
      <c r="DN1871" s="54"/>
    </row>
    <row r="1872" spans="39:118">
      <c r="AM1872" s="55"/>
      <c r="AT1872" s="43"/>
      <c r="AV1872" s="55"/>
      <c r="CJ1872" s="43"/>
      <c r="DF1872" s="55"/>
      <c r="DG1872" s="53"/>
      <c r="DL1872" s="54"/>
      <c r="DM1872" s="54"/>
      <c r="DN1872" s="54"/>
    </row>
    <row r="1873" spans="39:118">
      <c r="AM1873" s="55"/>
      <c r="AT1873" s="43"/>
      <c r="AV1873" s="55"/>
      <c r="CJ1873" s="43"/>
      <c r="DF1873" s="55"/>
      <c r="DG1873" s="53"/>
      <c r="DL1873" s="54"/>
      <c r="DM1873" s="54"/>
      <c r="DN1873" s="54"/>
    </row>
    <row r="1874" spans="39:118">
      <c r="AM1874" s="55"/>
      <c r="AT1874" s="43"/>
      <c r="AV1874" s="55"/>
      <c r="CJ1874" s="43"/>
      <c r="DF1874" s="55"/>
      <c r="DG1874" s="53"/>
      <c r="DL1874" s="54"/>
      <c r="DM1874" s="54"/>
      <c r="DN1874" s="54"/>
    </row>
    <row r="1875" spans="39:118">
      <c r="AM1875" s="55"/>
      <c r="AT1875" s="43"/>
      <c r="AV1875" s="55"/>
      <c r="CJ1875" s="43"/>
      <c r="DF1875" s="55"/>
      <c r="DG1875" s="53"/>
      <c r="DL1875" s="54"/>
      <c r="DM1875" s="54"/>
      <c r="DN1875" s="54"/>
    </row>
    <row r="1876" spans="39:118">
      <c r="AM1876" s="55"/>
      <c r="AT1876" s="43"/>
      <c r="AV1876" s="55"/>
      <c r="CJ1876" s="43"/>
      <c r="DF1876" s="55"/>
      <c r="DG1876" s="53"/>
      <c r="DL1876" s="54"/>
      <c r="DM1876" s="54"/>
      <c r="DN1876" s="54"/>
    </row>
    <row r="1877" spans="39:118">
      <c r="AM1877" s="55"/>
      <c r="AT1877" s="43"/>
      <c r="AV1877" s="55"/>
      <c r="CJ1877" s="43"/>
      <c r="DF1877" s="55"/>
      <c r="DG1877" s="53"/>
      <c r="DL1877" s="54"/>
      <c r="DM1877" s="54"/>
      <c r="DN1877" s="54"/>
    </row>
    <row r="1878" spans="39:118">
      <c r="AM1878" s="55"/>
      <c r="AT1878" s="43"/>
      <c r="AV1878" s="55"/>
      <c r="CJ1878" s="43"/>
      <c r="DF1878" s="55"/>
      <c r="DG1878" s="53"/>
      <c r="DL1878" s="54"/>
      <c r="DM1878" s="54"/>
      <c r="DN1878" s="54"/>
    </row>
    <row r="1879" spans="39:118">
      <c r="AM1879" s="55"/>
      <c r="AT1879" s="43"/>
      <c r="AV1879" s="55"/>
      <c r="CJ1879" s="43"/>
      <c r="DF1879" s="55"/>
      <c r="DG1879" s="53"/>
      <c r="DL1879" s="54"/>
      <c r="DM1879" s="54"/>
      <c r="DN1879" s="54"/>
    </row>
    <row r="1880" spans="39:118">
      <c r="AM1880" s="55"/>
      <c r="AT1880" s="43"/>
      <c r="AV1880" s="55"/>
      <c r="CJ1880" s="43"/>
      <c r="DF1880" s="55"/>
      <c r="DG1880" s="53"/>
      <c r="DL1880" s="54"/>
      <c r="DM1880" s="54"/>
      <c r="DN1880" s="54"/>
    </row>
    <row r="1881" spans="39:118">
      <c r="AM1881" s="55"/>
      <c r="AT1881" s="43"/>
      <c r="AV1881" s="55"/>
      <c r="CJ1881" s="43"/>
      <c r="DF1881" s="55"/>
      <c r="DG1881" s="53"/>
      <c r="DL1881" s="54"/>
      <c r="DM1881" s="54"/>
      <c r="DN1881" s="54"/>
    </row>
    <row r="1882" spans="39:118">
      <c r="AM1882" s="55"/>
      <c r="AT1882" s="43"/>
      <c r="AV1882" s="55"/>
      <c r="CJ1882" s="43"/>
      <c r="DF1882" s="55"/>
      <c r="DG1882" s="53"/>
      <c r="DL1882" s="54"/>
      <c r="DM1882" s="54"/>
      <c r="DN1882" s="54"/>
    </row>
    <row r="1883" spans="39:118">
      <c r="AM1883" s="55"/>
      <c r="AT1883" s="43"/>
      <c r="AV1883" s="55"/>
      <c r="CJ1883" s="43"/>
      <c r="DF1883" s="55"/>
      <c r="DG1883" s="53"/>
      <c r="DL1883" s="54"/>
      <c r="DM1883" s="54"/>
      <c r="DN1883" s="54"/>
    </row>
    <row r="1884" spans="39:118">
      <c r="AM1884" s="55"/>
      <c r="AT1884" s="43"/>
      <c r="AV1884" s="55"/>
      <c r="CJ1884" s="43"/>
      <c r="DF1884" s="55"/>
      <c r="DG1884" s="53"/>
      <c r="DL1884" s="54"/>
      <c r="DM1884" s="54"/>
      <c r="DN1884" s="54"/>
    </row>
    <row r="1885" spans="39:118">
      <c r="AM1885" s="55"/>
      <c r="AT1885" s="43"/>
      <c r="AV1885" s="55"/>
      <c r="CJ1885" s="43"/>
      <c r="DF1885" s="55"/>
      <c r="DG1885" s="53"/>
      <c r="DL1885" s="54"/>
      <c r="DM1885" s="54"/>
      <c r="DN1885" s="54"/>
    </row>
    <row r="1886" spans="39:118">
      <c r="AM1886" s="55"/>
      <c r="AT1886" s="43"/>
      <c r="AV1886" s="55"/>
      <c r="CJ1886" s="43"/>
      <c r="DF1886" s="55"/>
      <c r="DG1886" s="53"/>
      <c r="DL1886" s="54"/>
      <c r="DM1886" s="54"/>
      <c r="DN1886" s="54"/>
    </row>
    <row r="1887" spans="39:118">
      <c r="AM1887" s="55"/>
      <c r="AT1887" s="43"/>
      <c r="AV1887" s="55"/>
      <c r="CJ1887" s="43"/>
      <c r="DF1887" s="55"/>
      <c r="DG1887" s="53"/>
      <c r="DL1887" s="54"/>
      <c r="DM1887" s="54"/>
      <c r="DN1887" s="54"/>
    </row>
    <row r="1888" spans="39:118">
      <c r="AM1888" s="55"/>
      <c r="AT1888" s="43"/>
      <c r="AV1888" s="55"/>
      <c r="CJ1888" s="43"/>
      <c r="DF1888" s="55"/>
      <c r="DG1888" s="53"/>
      <c r="DL1888" s="54"/>
      <c r="DM1888" s="54"/>
      <c r="DN1888" s="54"/>
    </row>
    <row r="1889" spans="39:118">
      <c r="AM1889" s="55"/>
      <c r="AT1889" s="43"/>
      <c r="AV1889" s="55"/>
      <c r="CJ1889" s="43"/>
      <c r="DF1889" s="55"/>
      <c r="DG1889" s="53"/>
      <c r="DL1889" s="54"/>
      <c r="DM1889" s="54"/>
      <c r="DN1889" s="54"/>
    </row>
    <row r="1890" spans="39:118">
      <c r="AM1890" s="55"/>
      <c r="AT1890" s="43"/>
      <c r="AV1890" s="55"/>
      <c r="CJ1890" s="43"/>
      <c r="DF1890" s="55"/>
      <c r="DG1890" s="53"/>
      <c r="DL1890" s="54"/>
      <c r="DM1890" s="54"/>
      <c r="DN1890" s="54"/>
    </row>
    <row r="1891" spans="39:118">
      <c r="AM1891" s="55"/>
      <c r="AT1891" s="43"/>
      <c r="AV1891" s="55"/>
      <c r="CJ1891" s="43"/>
      <c r="DF1891" s="55"/>
      <c r="DG1891" s="53"/>
      <c r="DL1891" s="54"/>
      <c r="DM1891" s="54"/>
      <c r="DN1891" s="54"/>
    </row>
    <row r="1892" spans="39:118">
      <c r="AM1892" s="55"/>
      <c r="AT1892" s="43"/>
      <c r="AV1892" s="55"/>
      <c r="CJ1892" s="43"/>
      <c r="DF1892" s="55"/>
      <c r="DG1892" s="53"/>
      <c r="DL1892" s="54"/>
      <c r="DM1892" s="54"/>
      <c r="DN1892" s="54"/>
    </row>
    <row r="1893" spans="39:118">
      <c r="AM1893" s="55"/>
      <c r="AT1893" s="43"/>
      <c r="AV1893" s="55"/>
      <c r="CJ1893" s="43"/>
      <c r="DF1893" s="55"/>
      <c r="DG1893" s="53"/>
      <c r="DL1893" s="54"/>
      <c r="DM1893" s="54"/>
      <c r="DN1893" s="54"/>
    </row>
    <row r="1894" spans="39:118">
      <c r="AM1894" s="55"/>
      <c r="AT1894" s="43"/>
      <c r="AV1894" s="55"/>
      <c r="CJ1894" s="43"/>
      <c r="DF1894" s="55"/>
      <c r="DG1894" s="53"/>
      <c r="DL1894" s="54"/>
      <c r="DM1894" s="54"/>
      <c r="DN1894" s="54"/>
    </row>
    <row r="1895" spans="39:118">
      <c r="AM1895" s="55"/>
      <c r="AT1895" s="43"/>
      <c r="AV1895" s="55"/>
      <c r="CJ1895" s="43"/>
      <c r="DF1895" s="55"/>
      <c r="DG1895" s="53"/>
      <c r="DL1895" s="54"/>
      <c r="DM1895" s="54"/>
      <c r="DN1895" s="54"/>
    </row>
    <row r="1896" spans="39:118">
      <c r="AM1896" s="55"/>
      <c r="AT1896" s="43"/>
      <c r="AV1896" s="55"/>
      <c r="CJ1896" s="43"/>
      <c r="DF1896" s="55"/>
      <c r="DG1896" s="53"/>
      <c r="DL1896" s="54"/>
      <c r="DM1896" s="54"/>
      <c r="DN1896" s="54"/>
    </row>
    <row r="1897" spans="39:118">
      <c r="AM1897" s="55"/>
      <c r="AT1897" s="43"/>
      <c r="AV1897" s="55"/>
      <c r="CJ1897" s="43"/>
      <c r="DF1897" s="55"/>
      <c r="DG1897" s="53"/>
      <c r="DL1897" s="54"/>
      <c r="DM1897" s="54"/>
      <c r="DN1897" s="54"/>
    </row>
    <row r="1898" spans="39:118">
      <c r="AM1898" s="55"/>
      <c r="AT1898" s="43"/>
      <c r="AV1898" s="55"/>
      <c r="CJ1898" s="43"/>
      <c r="DF1898" s="55"/>
      <c r="DG1898" s="53"/>
      <c r="DL1898" s="54"/>
      <c r="DM1898" s="54"/>
      <c r="DN1898" s="54"/>
    </row>
    <row r="1899" spans="39:118">
      <c r="AM1899" s="55"/>
      <c r="AT1899" s="43"/>
      <c r="AV1899" s="55"/>
      <c r="CJ1899" s="43"/>
      <c r="DF1899" s="55"/>
      <c r="DG1899" s="53"/>
      <c r="DL1899" s="54"/>
      <c r="DM1899" s="54"/>
      <c r="DN1899" s="54"/>
    </row>
    <row r="1900" spans="39:118">
      <c r="AM1900" s="55"/>
      <c r="AT1900" s="43"/>
      <c r="AV1900" s="55"/>
      <c r="CJ1900" s="43"/>
      <c r="DF1900" s="55"/>
      <c r="DG1900" s="53"/>
      <c r="DL1900" s="54"/>
      <c r="DM1900" s="54"/>
      <c r="DN1900" s="54"/>
    </row>
    <row r="1901" spans="39:118">
      <c r="AM1901" s="55"/>
      <c r="AT1901" s="43"/>
      <c r="AV1901" s="55"/>
      <c r="CJ1901" s="43"/>
      <c r="DF1901" s="55"/>
      <c r="DG1901" s="53"/>
      <c r="DL1901" s="54"/>
      <c r="DM1901" s="54"/>
      <c r="DN1901" s="54"/>
    </row>
    <row r="1902" spans="39:118">
      <c r="AM1902" s="55"/>
      <c r="AT1902" s="43"/>
      <c r="AV1902" s="55"/>
      <c r="CJ1902" s="43"/>
      <c r="DF1902" s="55"/>
      <c r="DG1902" s="53"/>
      <c r="DL1902" s="54"/>
      <c r="DM1902" s="54"/>
      <c r="DN1902" s="54"/>
    </row>
    <row r="1903" spans="39:118">
      <c r="AM1903" s="55"/>
      <c r="AT1903" s="43"/>
      <c r="AV1903" s="55"/>
      <c r="CJ1903" s="43"/>
      <c r="DF1903" s="55"/>
      <c r="DG1903" s="53"/>
      <c r="DL1903" s="54"/>
      <c r="DM1903" s="54"/>
      <c r="DN1903" s="54"/>
    </row>
    <row r="1904" spans="39:118">
      <c r="AM1904" s="55"/>
      <c r="AT1904" s="43"/>
      <c r="AV1904" s="55"/>
      <c r="CJ1904" s="43"/>
      <c r="DF1904" s="55"/>
      <c r="DG1904" s="53"/>
      <c r="DL1904" s="54"/>
      <c r="DM1904" s="54"/>
      <c r="DN1904" s="54"/>
    </row>
    <row r="1905" spans="39:118">
      <c r="AM1905" s="55"/>
      <c r="AT1905" s="43"/>
      <c r="AV1905" s="55"/>
      <c r="CJ1905" s="43"/>
      <c r="DF1905" s="55"/>
      <c r="DG1905" s="53"/>
      <c r="DL1905" s="54"/>
      <c r="DM1905" s="54"/>
      <c r="DN1905" s="54"/>
    </row>
    <row r="1906" spans="39:118">
      <c r="AM1906" s="55"/>
      <c r="AT1906" s="43"/>
      <c r="AV1906" s="55"/>
      <c r="CJ1906" s="43"/>
      <c r="DF1906" s="55"/>
      <c r="DG1906" s="53"/>
      <c r="DL1906" s="54"/>
      <c r="DM1906" s="54"/>
      <c r="DN1906" s="54"/>
    </row>
    <row r="1907" spans="39:118">
      <c r="AM1907" s="55"/>
      <c r="AT1907" s="43"/>
      <c r="AV1907" s="55"/>
      <c r="CJ1907" s="43"/>
      <c r="DF1907" s="55"/>
      <c r="DG1907" s="53"/>
      <c r="DL1907" s="54"/>
      <c r="DM1907" s="54"/>
      <c r="DN1907" s="54"/>
    </row>
    <row r="1908" spans="39:118">
      <c r="AM1908" s="55"/>
      <c r="AT1908" s="43"/>
      <c r="AV1908" s="55"/>
      <c r="CJ1908" s="43"/>
      <c r="DF1908" s="55"/>
      <c r="DG1908" s="53"/>
      <c r="DL1908" s="54"/>
      <c r="DM1908" s="54"/>
      <c r="DN1908" s="54"/>
    </row>
    <row r="1909" spans="39:118">
      <c r="AM1909" s="55"/>
      <c r="AT1909" s="43"/>
      <c r="AV1909" s="55"/>
      <c r="CJ1909" s="43"/>
      <c r="DF1909" s="55"/>
      <c r="DG1909" s="53"/>
      <c r="DL1909" s="54"/>
      <c r="DM1909" s="54"/>
      <c r="DN1909" s="54"/>
    </row>
    <row r="1910" spans="39:118">
      <c r="AM1910" s="55"/>
      <c r="AT1910" s="43"/>
      <c r="AV1910" s="55"/>
      <c r="CJ1910" s="43"/>
      <c r="DF1910" s="55"/>
      <c r="DG1910" s="53"/>
      <c r="DL1910" s="54"/>
      <c r="DM1910" s="54"/>
      <c r="DN1910" s="54"/>
    </row>
    <row r="1911" spans="39:118">
      <c r="AM1911" s="55"/>
      <c r="AT1911" s="43"/>
      <c r="AV1911" s="55"/>
      <c r="CJ1911" s="43"/>
      <c r="DF1911" s="55"/>
      <c r="DG1911" s="53"/>
      <c r="DL1911" s="54"/>
      <c r="DM1911" s="54"/>
      <c r="DN1911" s="54"/>
    </row>
    <row r="1912" spans="39:118">
      <c r="AM1912" s="55"/>
      <c r="AT1912" s="43"/>
      <c r="AV1912" s="55"/>
      <c r="CJ1912" s="43"/>
      <c r="DF1912" s="55"/>
      <c r="DG1912" s="53"/>
      <c r="DL1912" s="54"/>
      <c r="DM1912" s="54"/>
      <c r="DN1912" s="54"/>
    </row>
    <row r="1913" spans="39:118">
      <c r="AM1913" s="55"/>
      <c r="AT1913" s="43"/>
      <c r="AV1913" s="55"/>
      <c r="CJ1913" s="43"/>
      <c r="DF1913" s="55"/>
      <c r="DG1913" s="53"/>
      <c r="DL1913" s="54"/>
      <c r="DM1913" s="54"/>
      <c r="DN1913" s="54"/>
    </row>
    <row r="1914" spans="39:118">
      <c r="AM1914" s="55"/>
      <c r="AT1914" s="43"/>
      <c r="AV1914" s="55"/>
      <c r="CJ1914" s="43"/>
      <c r="DF1914" s="55"/>
      <c r="DG1914" s="53"/>
      <c r="DL1914" s="54"/>
      <c r="DM1914" s="54"/>
      <c r="DN1914" s="54"/>
    </row>
    <row r="1915" spans="39:118">
      <c r="AM1915" s="55"/>
      <c r="AT1915" s="43"/>
      <c r="AV1915" s="55"/>
      <c r="CJ1915" s="43"/>
      <c r="DF1915" s="55"/>
      <c r="DG1915" s="53"/>
      <c r="DL1915" s="54"/>
      <c r="DM1915" s="54"/>
      <c r="DN1915" s="54"/>
    </row>
    <row r="1916" spans="39:118">
      <c r="AM1916" s="55"/>
      <c r="AT1916" s="43"/>
      <c r="AV1916" s="55"/>
      <c r="CJ1916" s="43"/>
      <c r="DF1916" s="55"/>
      <c r="DG1916" s="53"/>
      <c r="DL1916" s="54"/>
      <c r="DM1916" s="54"/>
      <c r="DN1916" s="54"/>
    </row>
    <row r="1917" spans="39:118">
      <c r="AM1917" s="55"/>
      <c r="AT1917" s="43"/>
      <c r="AV1917" s="55"/>
      <c r="CJ1917" s="43"/>
      <c r="DF1917" s="55"/>
      <c r="DG1917" s="53"/>
      <c r="DL1917" s="54"/>
      <c r="DM1917" s="54"/>
      <c r="DN1917" s="54"/>
    </row>
    <row r="1918" spans="39:118">
      <c r="AM1918" s="55"/>
      <c r="AT1918" s="43"/>
      <c r="AV1918" s="55"/>
      <c r="CJ1918" s="43"/>
      <c r="DF1918" s="55"/>
      <c r="DG1918" s="53"/>
      <c r="DL1918" s="54"/>
      <c r="DM1918" s="54"/>
      <c r="DN1918" s="54"/>
    </row>
    <row r="1919" spans="39:118">
      <c r="AM1919" s="55"/>
      <c r="AT1919" s="43"/>
      <c r="AV1919" s="55"/>
      <c r="CJ1919" s="43"/>
      <c r="DF1919" s="55"/>
      <c r="DG1919" s="53"/>
      <c r="DL1919" s="54"/>
      <c r="DM1919" s="54"/>
      <c r="DN1919" s="54"/>
    </row>
    <row r="1920" spans="39:118">
      <c r="AM1920" s="55"/>
      <c r="AT1920" s="43"/>
      <c r="AV1920" s="55"/>
      <c r="CJ1920" s="43"/>
      <c r="DF1920" s="55"/>
      <c r="DG1920" s="53"/>
      <c r="DL1920" s="54"/>
      <c r="DM1920" s="54"/>
      <c r="DN1920" s="54"/>
    </row>
    <row r="1921" spans="39:118">
      <c r="AM1921" s="55"/>
      <c r="AT1921" s="43"/>
      <c r="AV1921" s="55"/>
      <c r="CJ1921" s="43"/>
      <c r="DF1921" s="55"/>
      <c r="DG1921" s="53"/>
      <c r="DL1921" s="54"/>
      <c r="DM1921" s="54"/>
      <c r="DN1921" s="54"/>
    </row>
    <row r="1922" spans="39:118">
      <c r="AM1922" s="55"/>
      <c r="AT1922" s="43"/>
      <c r="AV1922" s="55"/>
      <c r="CJ1922" s="43"/>
      <c r="DF1922" s="55"/>
      <c r="DG1922" s="53"/>
      <c r="DL1922" s="54"/>
      <c r="DM1922" s="54"/>
      <c r="DN1922" s="54"/>
    </row>
    <row r="1923" spans="39:118">
      <c r="AM1923" s="55"/>
      <c r="AT1923" s="43"/>
      <c r="AV1923" s="55"/>
      <c r="CJ1923" s="43"/>
      <c r="DF1923" s="55"/>
      <c r="DG1923" s="53"/>
      <c r="DL1923" s="54"/>
      <c r="DM1923" s="54"/>
      <c r="DN1923" s="54"/>
    </row>
    <row r="1924" spans="39:118">
      <c r="AM1924" s="55"/>
      <c r="AT1924" s="43"/>
      <c r="AV1924" s="55"/>
      <c r="CJ1924" s="43"/>
      <c r="DF1924" s="55"/>
      <c r="DG1924" s="53"/>
      <c r="DL1924" s="54"/>
      <c r="DM1924" s="54"/>
      <c r="DN1924" s="54"/>
    </row>
    <row r="1925" spans="39:118">
      <c r="AM1925" s="55"/>
      <c r="AT1925" s="43"/>
      <c r="AV1925" s="55"/>
      <c r="CJ1925" s="43"/>
      <c r="DF1925" s="55"/>
      <c r="DG1925" s="53"/>
      <c r="DL1925" s="54"/>
      <c r="DM1925" s="54"/>
      <c r="DN1925" s="54"/>
    </row>
    <row r="1926" spans="39:118">
      <c r="AM1926" s="55"/>
      <c r="AT1926" s="43"/>
      <c r="AV1926" s="55"/>
      <c r="CJ1926" s="43"/>
      <c r="DF1926" s="55"/>
      <c r="DG1926" s="53"/>
      <c r="DL1926" s="54"/>
      <c r="DM1926" s="54"/>
      <c r="DN1926" s="54"/>
    </row>
    <row r="1927" spans="39:118">
      <c r="AM1927" s="55"/>
      <c r="AT1927" s="43"/>
      <c r="AV1927" s="55"/>
      <c r="CJ1927" s="43"/>
      <c r="DF1927" s="55"/>
      <c r="DG1927" s="53"/>
      <c r="DL1927" s="54"/>
      <c r="DM1927" s="54"/>
      <c r="DN1927" s="54"/>
    </row>
    <row r="1928" spans="39:118">
      <c r="AM1928" s="55"/>
      <c r="AT1928" s="43"/>
      <c r="AV1928" s="55"/>
      <c r="CJ1928" s="43"/>
      <c r="DF1928" s="55"/>
      <c r="DG1928" s="53"/>
      <c r="DL1928" s="54"/>
      <c r="DM1928" s="54"/>
      <c r="DN1928" s="54"/>
    </row>
    <row r="1929" spans="39:118">
      <c r="AM1929" s="55"/>
      <c r="AT1929" s="43"/>
      <c r="AV1929" s="55"/>
      <c r="CJ1929" s="43"/>
      <c r="DF1929" s="55"/>
      <c r="DG1929" s="53"/>
      <c r="DL1929" s="54"/>
      <c r="DM1929" s="54"/>
      <c r="DN1929" s="54"/>
    </row>
    <row r="1930" spans="39:118">
      <c r="AM1930" s="55"/>
      <c r="AT1930" s="43"/>
      <c r="AV1930" s="55"/>
      <c r="CJ1930" s="43"/>
      <c r="DF1930" s="55"/>
      <c r="DG1930" s="53"/>
      <c r="DL1930" s="54"/>
      <c r="DM1930" s="54"/>
      <c r="DN1930" s="54"/>
    </row>
    <row r="1931" spans="39:118">
      <c r="AM1931" s="55"/>
      <c r="AT1931" s="43"/>
      <c r="AV1931" s="55"/>
      <c r="CJ1931" s="43"/>
      <c r="DF1931" s="55"/>
      <c r="DG1931" s="53"/>
      <c r="DL1931" s="54"/>
      <c r="DM1931" s="54"/>
      <c r="DN1931" s="54"/>
    </row>
    <row r="1932" spans="39:118">
      <c r="AM1932" s="55"/>
      <c r="AT1932" s="43"/>
      <c r="AV1932" s="55"/>
      <c r="CJ1932" s="43"/>
      <c r="DF1932" s="55"/>
      <c r="DG1932" s="53"/>
      <c r="DL1932" s="54"/>
      <c r="DM1932" s="54"/>
      <c r="DN1932" s="54"/>
    </row>
    <row r="1933" spans="39:118">
      <c r="AM1933" s="55"/>
      <c r="AT1933" s="43"/>
      <c r="AV1933" s="55"/>
      <c r="CJ1933" s="43"/>
      <c r="DF1933" s="55"/>
      <c r="DG1933" s="53"/>
      <c r="DL1933" s="54"/>
      <c r="DM1933" s="54"/>
      <c r="DN1933" s="54"/>
    </row>
    <row r="1934" spans="39:118">
      <c r="AM1934" s="55"/>
      <c r="AT1934" s="43"/>
      <c r="AV1934" s="55"/>
      <c r="CJ1934" s="43"/>
      <c r="DF1934" s="55"/>
      <c r="DG1934" s="53"/>
      <c r="DL1934" s="54"/>
      <c r="DM1934" s="54"/>
      <c r="DN1934" s="54"/>
    </row>
    <row r="1935" spans="39:118">
      <c r="AM1935" s="55"/>
      <c r="AT1935" s="43"/>
      <c r="AV1935" s="55"/>
      <c r="CJ1935" s="43"/>
      <c r="DF1935" s="55"/>
      <c r="DG1935" s="53"/>
      <c r="DL1935" s="54"/>
      <c r="DM1935" s="54"/>
      <c r="DN1935" s="54"/>
    </row>
    <row r="1936" spans="39:118">
      <c r="AM1936" s="55"/>
      <c r="AT1936" s="43"/>
      <c r="AV1936" s="55"/>
      <c r="CJ1936" s="43"/>
      <c r="DF1936" s="55"/>
      <c r="DG1936" s="53"/>
      <c r="DL1936" s="54"/>
      <c r="DM1936" s="54"/>
      <c r="DN1936" s="54"/>
    </row>
    <row r="1937" spans="39:118">
      <c r="AM1937" s="55"/>
      <c r="AT1937" s="43"/>
      <c r="AV1937" s="55"/>
      <c r="CJ1937" s="43"/>
      <c r="DF1937" s="55"/>
      <c r="DG1937" s="53"/>
      <c r="DL1937" s="54"/>
      <c r="DM1937" s="54"/>
      <c r="DN1937" s="54"/>
    </row>
    <row r="1938" spans="39:118">
      <c r="AM1938" s="55"/>
      <c r="AT1938" s="43"/>
      <c r="AV1938" s="55"/>
      <c r="CJ1938" s="43"/>
      <c r="DF1938" s="55"/>
      <c r="DG1938" s="53"/>
      <c r="DL1938" s="54"/>
      <c r="DM1938" s="54"/>
      <c r="DN1938" s="54"/>
    </row>
    <row r="1939" spans="39:118">
      <c r="AM1939" s="55"/>
      <c r="AT1939" s="43"/>
      <c r="AV1939" s="55"/>
      <c r="CJ1939" s="43"/>
      <c r="DF1939" s="55"/>
      <c r="DG1939" s="53"/>
      <c r="DL1939" s="54"/>
      <c r="DM1939" s="54"/>
      <c r="DN1939" s="54"/>
    </row>
    <row r="1940" spans="39:118">
      <c r="AM1940" s="55"/>
      <c r="AT1940" s="43"/>
      <c r="AV1940" s="55"/>
      <c r="CJ1940" s="43"/>
      <c r="DF1940" s="55"/>
      <c r="DG1940" s="53"/>
      <c r="DL1940" s="54"/>
      <c r="DM1940" s="54"/>
      <c r="DN1940" s="54"/>
    </row>
    <row r="1941" spans="39:118">
      <c r="AM1941" s="55"/>
      <c r="AT1941" s="43"/>
      <c r="AV1941" s="55"/>
      <c r="CJ1941" s="43"/>
      <c r="DF1941" s="55"/>
      <c r="DG1941" s="53"/>
      <c r="DL1941" s="54"/>
      <c r="DM1941" s="54"/>
      <c r="DN1941" s="54"/>
    </row>
    <row r="1942" spans="39:118">
      <c r="AM1942" s="55"/>
      <c r="AT1942" s="43"/>
      <c r="AV1942" s="55"/>
      <c r="CJ1942" s="43"/>
      <c r="DF1942" s="55"/>
      <c r="DG1942" s="53"/>
      <c r="DL1942" s="54"/>
      <c r="DM1942" s="54"/>
      <c r="DN1942" s="54"/>
    </row>
    <row r="1943" spans="39:118">
      <c r="AM1943" s="55"/>
      <c r="AT1943" s="43"/>
      <c r="AV1943" s="55"/>
      <c r="CJ1943" s="43"/>
      <c r="DF1943" s="55"/>
      <c r="DG1943" s="53"/>
      <c r="DL1943" s="54"/>
      <c r="DM1943" s="54"/>
      <c r="DN1943" s="54"/>
    </row>
    <row r="1944" spans="39:118">
      <c r="AM1944" s="55"/>
      <c r="AT1944" s="43"/>
      <c r="AV1944" s="55"/>
      <c r="CJ1944" s="43"/>
      <c r="DF1944" s="55"/>
      <c r="DG1944" s="53"/>
      <c r="DL1944" s="54"/>
      <c r="DM1944" s="54"/>
      <c r="DN1944" s="54"/>
    </row>
    <row r="1945" spans="39:118">
      <c r="AM1945" s="55"/>
      <c r="AT1945" s="43"/>
      <c r="AV1945" s="55"/>
      <c r="CJ1945" s="43"/>
      <c r="DF1945" s="55"/>
      <c r="DG1945" s="53"/>
      <c r="DL1945" s="54"/>
      <c r="DM1945" s="54"/>
      <c r="DN1945" s="54"/>
    </row>
    <row r="1946" spans="39:118">
      <c r="AM1946" s="55"/>
      <c r="AT1946" s="43"/>
      <c r="AV1946" s="55"/>
      <c r="CJ1946" s="43"/>
      <c r="DF1946" s="55"/>
      <c r="DG1946" s="53"/>
      <c r="DL1946" s="54"/>
      <c r="DM1946" s="54"/>
      <c r="DN1946" s="54"/>
    </row>
    <row r="1947" spans="39:118">
      <c r="AM1947" s="55"/>
      <c r="AT1947" s="43"/>
      <c r="AV1947" s="55"/>
      <c r="CJ1947" s="43"/>
      <c r="DF1947" s="55"/>
      <c r="DG1947" s="53"/>
      <c r="DL1947" s="54"/>
      <c r="DM1947" s="54"/>
      <c r="DN1947" s="54"/>
    </row>
    <row r="1948" spans="39:118">
      <c r="AM1948" s="55"/>
      <c r="AT1948" s="43"/>
      <c r="AV1948" s="55"/>
      <c r="CJ1948" s="43"/>
      <c r="DF1948" s="55"/>
      <c r="DG1948" s="53"/>
      <c r="DL1948" s="54"/>
      <c r="DM1948" s="54"/>
      <c r="DN1948" s="54"/>
    </row>
    <row r="1949" spans="39:118">
      <c r="AM1949" s="55"/>
      <c r="AT1949" s="43"/>
      <c r="AV1949" s="55"/>
      <c r="CJ1949" s="43"/>
      <c r="DF1949" s="55"/>
      <c r="DG1949" s="53"/>
      <c r="DL1949" s="54"/>
      <c r="DM1949" s="54"/>
      <c r="DN1949" s="54"/>
    </row>
    <row r="1950" spans="39:118">
      <c r="AM1950" s="55"/>
      <c r="AT1950" s="43"/>
      <c r="AV1950" s="55"/>
      <c r="CJ1950" s="43"/>
      <c r="DF1950" s="55"/>
      <c r="DG1950" s="53"/>
      <c r="DL1950" s="54"/>
      <c r="DM1950" s="54"/>
      <c r="DN1950" s="54"/>
    </row>
    <row r="1951" spans="39:118">
      <c r="AM1951" s="55"/>
      <c r="AT1951" s="43"/>
      <c r="AV1951" s="55"/>
      <c r="CJ1951" s="43"/>
      <c r="DF1951" s="55"/>
      <c r="DG1951" s="53"/>
      <c r="DL1951" s="54"/>
      <c r="DM1951" s="54"/>
      <c r="DN1951" s="54"/>
    </row>
    <row r="1952" spans="39:118">
      <c r="AM1952" s="55"/>
      <c r="AT1952" s="43"/>
      <c r="AV1952" s="55"/>
      <c r="CJ1952" s="43"/>
      <c r="DF1952" s="55"/>
      <c r="DG1952" s="53"/>
      <c r="DL1952" s="54"/>
      <c r="DM1952" s="54"/>
      <c r="DN1952" s="54"/>
    </row>
    <row r="1953" spans="39:118">
      <c r="AM1953" s="55"/>
      <c r="AT1953" s="43"/>
      <c r="AV1953" s="55"/>
      <c r="CJ1953" s="43"/>
      <c r="DF1953" s="55"/>
      <c r="DG1953" s="53"/>
      <c r="DL1953" s="54"/>
      <c r="DM1953" s="54"/>
      <c r="DN1953" s="54"/>
    </row>
    <row r="1954" spans="39:118">
      <c r="AM1954" s="55"/>
      <c r="AT1954" s="43"/>
      <c r="AV1954" s="55"/>
      <c r="CJ1954" s="43"/>
      <c r="DF1954" s="55"/>
      <c r="DG1954" s="53"/>
      <c r="DL1954" s="54"/>
      <c r="DM1954" s="54"/>
      <c r="DN1954" s="54"/>
    </row>
    <row r="1955" spans="39:118">
      <c r="AM1955" s="55"/>
      <c r="AT1955" s="43"/>
      <c r="AV1955" s="55"/>
      <c r="CJ1955" s="43"/>
      <c r="DF1955" s="55"/>
      <c r="DG1955" s="53"/>
      <c r="DL1955" s="54"/>
      <c r="DM1955" s="54"/>
      <c r="DN1955" s="54"/>
    </row>
    <row r="1956" spans="39:118">
      <c r="AM1956" s="55"/>
      <c r="AT1956" s="43"/>
      <c r="AV1956" s="55"/>
      <c r="CJ1956" s="43"/>
      <c r="DF1956" s="55"/>
      <c r="DG1956" s="53"/>
      <c r="DL1956" s="54"/>
      <c r="DM1956" s="54"/>
      <c r="DN1956" s="54"/>
    </row>
    <row r="1957" spans="39:118">
      <c r="AM1957" s="55"/>
      <c r="AT1957" s="43"/>
      <c r="AV1957" s="55"/>
      <c r="CJ1957" s="43"/>
      <c r="DF1957" s="55"/>
      <c r="DG1957" s="53"/>
      <c r="DL1957" s="54"/>
      <c r="DM1957" s="54"/>
      <c r="DN1957" s="54"/>
    </row>
    <row r="1958" spans="39:118">
      <c r="AM1958" s="55"/>
      <c r="AT1958" s="43"/>
      <c r="AV1958" s="55"/>
      <c r="CJ1958" s="43"/>
      <c r="DF1958" s="55"/>
      <c r="DG1958" s="53"/>
      <c r="DL1958" s="54"/>
      <c r="DM1958" s="54"/>
      <c r="DN1958" s="54"/>
    </row>
    <row r="1959" spans="39:118">
      <c r="AM1959" s="55"/>
      <c r="AT1959" s="43"/>
      <c r="AV1959" s="55"/>
      <c r="CJ1959" s="43"/>
      <c r="DF1959" s="55"/>
      <c r="DG1959" s="53"/>
      <c r="DL1959" s="54"/>
      <c r="DM1959" s="54"/>
      <c r="DN1959" s="54"/>
    </row>
    <row r="1960" spans="39:118">
      <c r="AM1960" s="55"/>
      <c r="AT1960" s="43"/>
      <c r="AV1960" s="55"/>
      <c r="CJ1960" s="43"/>
      <c r="DF1960" s="55"/>
      <c r="DG1960" s="53"/>
      <c r="DL1960" s="54"/>
      <c r="DM1960" s="54"/>
      <c r="DN1960" s="54"/>
    </row>
    <row r="1961" spans="39:118">
      <c r="AM1961" s="55"/>
      <c r="AT1961" s="43"/>
      <c r="AV1961" s="55"/>
      <c r="CJ1961" s="43"/>
      <c r="DF1961" s="55"/>
      <c r="DG1961" s="53"/>
      <c r="DL1961" s="54"/>
      <c r="DM1961" s="54"/>
      <c r="DN1961" s="54"/>
    </row>
    <row r="1962" spans="39:118">
      <c r="AM1962" s="55"/>
      <c r="AT1962" s="43"/>
      <c r="AV1962" s="55"/>
      <c r="CJ1962" s="43"/>
      <c r="DF1962" s="55"/>
      <c r="DG1962" s="53"/>
      <c r="DL1962" s="54"/>
      <c r="DM1962" s="54"/>
      <c r="DN1962" s="54"/>
    </row>
    <row r="1963" spans="39:118">
      <c r="AM1963" s="55"/>
      <c r="AT1963" s="43"/>
      <c r="AV1963" s="55"/>
      <c r="CJ1963" s="43"/>
      <c r="DF1963" s="55"/>
      <c r="DG1963" s="53"/>
      <c r="DL1963" s="54"/>
      <c r="DM1963" s="54"/>
      <c r="DN1963" s="54"/>
    </row>
    <row r="1964" spans="39:118">
      <c r="AM1964" s="55"/>
      <c r="AT1964" s="43"/>
      <c r="AV1964" s="55"/>
      <c r="CJ1964" s="43"/>
      <c r="DF1964" s="55"/>
      <c r="DG1964" s="53"/>
      <c r="DL1964" s="54"/>
      <c r="DM1964" s="54"/>
      <c r="DN1964" s="54"/>
    </row>
    <row r="1965" spans="39:118">
      <c r="AM1965" s="55"/>
      <c r="AT1965" s="43"/>
      <c r="AV1965" s="55"/>
      <c r="CJ1965" s="43"/>
      <c r="DF1965" s="55"/>
      <c r="DG1965" s="53"/>
      <c r="DL1965" s="54"/>
      <c r="DM1965" s="54"/>
      <c r="DN1965" s="54"/>
    </row>
    <row r="1966" spans="39:118">
      <c r="AM1966" s="55"/>
      <c r="AT1966" s="43"/>
      <c r="AV1966" s="55"/>
      <c r="CJ1966" s="43"/>
      <c r="DF1966" s="55"/>
      <c r="DG1966" s="53"/>
      <c r="DL1966" s="54"/>
      <c r="DM1966" s="54"/>
      <c r="DN1966" s="54"/>
    </row>
    <row r="1967" spans="39:118">
      <c r="AM1967" s="55"/>
      <c r="AT1967" s="43"/>
      <c r="AV1967" s="55"/>
      <c r="CJ1967" s="43"/>
      <c r="DF1967" s="55"/>
      <c r="DG1967" s="53"/>
      <c r="DL1967" s="54"/>
      <c r="DM1967" s="54"/>
      <c r="DN1967" s="54"/>
    </row>
    <row r="1968" spans="39:118">
      <c r="AM1968" s="55"/>
      <c r="AT1968" s="43"/>
      <c r="AV1968" s="55"/>
      <c r="CJ1968" s="43"/>
      <c r="DF1968" s="55"/>
      <c r="DG1968" s="53"/>
      <c r="DL1968" s="54"/>
      <c r="DM1968" s="54"/>
      <c r="DN1968" s="54"/>
    </row>
    <row r="1969" spans="39:118">
      <c r="AM1969" s="55"/>
      <c r="AT1969" s="43"/>
      <c r="AV1969" s="55"/>
      <c r="CJ1969" s="43"/>
      <c r="DF1969" s="55"/>
      <c r="DG1969" s="53"/>
      <c r="DL1969" s="54"/>
      <c r="DM1969" s="54"/>
      <c r="DN1969" s="54"/>
    </row>
    <row r="1970" spans="39:118">
      <c r="AM1970" s="55"/>
      <c r="AT1970" s="43"/>
      <c r="AV1970" s="55"/>
      <c r="CJ1970" s="43"/>
      <c r="DF1970" s="55"/>
      <c r="DG1970" s="53"/>
      <c r="DL1970" s="54"/>
      <c r="DM1970" s="54"/>
      <c r="DN1970" s="54"/>
    </row>
    <row r="1971" spans="39:118">
      <c r="AM1971" s="55"/>
      <c r="AT1971" s="43"/>
      <c r="AV1971" s="55"/>
      <c r="CJ1971" s="43"/>
      <c r="DF1971" s="55"/>
      <c r="DG1971" s="53"/>
      <c r="DL1971" s="54"/>
      <c r="DM1971" s="54"/>
      <c r="DN1971" s="54"/>
    </row>
    <row r="1972" spans="39:118">
      <c r="AM1972" s="55"/>
      <c r="AT1972" s="43"/>
      <c r="AV1972" s="55"/>
      <c r="CJ1972" s="43"/>
      <c r="DF1972" s="55"/>
      <c r="DG1972" s="53"/>
      <c r="DL1972" s="54"/>
      <c r="DM1972" s="54"/>
      <c r="DN1972" s="54"/>
    </row>
    <row r="1973" spans="39:118">
      <c r="AM1973" s="55"/>
      <c r="AT1973" s="43"/>
      <c r="AV1973" s="55"/>
      <c r="CJ1973" s="43"/>
      <c r="DF1973" s="55"/>
      <c r="DG1973" s="53"/>
      <c r="DL1973" s="54"/>
      <c r="DM1973" s="54"/>
      <c r="DN1973" s="54"/>
    </row>
    <row r="1974" spans="39:118">
      <c r="AM1974" s="55"/>
      <c r="AT1974" s="43"/>
      <c r="AV1974" s="55"/>
      <c r="CJ1974" s="43"/>
      <c r="DF1974" s="55"/>
      <c r="DG1974" s="53"/>
      <c r="DL1974" s="54"/>
      <c r="DM1974" s="54"/>
      <c r="DN1974" s="54"/>
    </row>
    <row r="1975" spans="39:118">
      <c r="AM1975" s="55"/>
      <c r="AT1975" s="43"/>
      <c r="AV1975" s="55"/>
      <c r="CJ1975" s="43"/>
      <c r="DF1975" s="55"/>
      <c r="DG1975" s="53"/>
      <c r="DL1975" s="54"/>
      <c r="DM1975" s="54"/>
      <c r="DN1975" s="54"/>
    </row>
    <row r="1976" spans="39:118">
      <c r="AM1976" s="55"/>
      <c r="AT1976" s="43"/>
      <c r="AV1976" s="55"/>
      <c r="CJ1976" s="43"/>
      <c r="DF1976" s="55"/>
      <c r="DG1976" s="53"/>
      <c r="DL1976" s="54"/>
      <c r="DM1976" s="54"/>
      <c r="DN1976" s="54"/>
    </row>
    <row r="1977" spans="39:118">
      <c r="AM1977" s="55"/>
      <c r="AT1977" s="43"/>
      <c r="AV1977" s="55"/>
      <c r="CJ1977" s="43"/>
      <c r="DF1977" s="55"/>
      <c r="DG1977" s="53"/>
      <c r="DL1977" s="54"/>
      <c r="DM1977" s="54"/>
      <c r="DN1977" s="54"/>
    </row>
    <row r="1978" spans="39:118">
      <c r="AM1978" s="55"/>
      <c r="AT1978" s="43"/>
      <c r="AV1978" s="55"/>
      <c r="CJ1978" s="43"/>
      <c r="DF1978" s="55"/>
      <c r="DG1978" s="53"/>
      <c r="DL1978" s="54"/>
      <c r="DM1978" s="54"/>
      <c r="DN1978" s="54"/>
    </row>
    <row r="1979" spans="39:118">
      <c r="AM1979" s="55"/>
      <c r="AT1979" s="43"/>
      <c r="AV1979" s="55"/>
      <c r="CJ1979" s="43"/>
      <c r="DF1979" s="55"/>
      <c r="DG1979" s="53"/>
      <c r="DL1979" s="54"/>
      <c r="DM1979" s="54"/>
      <c r="DN1979" s="54"/>
    </row>
    <row r="1980" spans="39:118">
      <c r="AM1980" s="55"/>
      <c r="AT1980" s="43"/>
      <c r="AV1980" s="55"/>
      <c r="CJ1980" s="43"/>
      <c r="DF1980" s="55"/>
      <c r="DG1980" s="53"/>
      <c r="DL1980" s="54"/>
      <c r="DM1980" s="54"/>
      <c r="DN1980" s="54"/>
    </row>
    <row r="1981" spans="39:118">
      <c r="AM1981" s="55"/>
      <c r="AT1981" s="43"/>
      <c r="AV1981" s="55"/>
      <c r="CJ1981" s="43"/>
      <c r="DF1981" s="55"/>
      <c r="DG1981" s="53"/>
      <c r="DL1981" s="54"/>
      <c r="DM1981" s="54"/>
      <c r="DN1981" s="54"/>
    </row>
    <row r="1982" spans="39:118">
      <c r="AM1982" s="55"/>
      <c r="AT1982" s="43"/>
      <c r="AV1982" s="55"/>
      <c r="CJ1982" s="43"/>
      <c r="DF1982" s="55"/>
      <c r="DG1982" s="53"/>
      <c r="DL1982" s="54"/>
      <c r="DM1982" s="54"/>
      <c r="DN1982" s="54"/>
    </row>
    <row r="1983" spans="39:118">
      <c r="AM1983" s="55"/>
      <c r="AT1983" s="43"/>
      <c r="AV1983" s="55"/>
      <c r="CJ1983" s="43"/>
      <c r="DF1983" s="55"/>
      <c r="DG1983" s="53"/>
      <c r="DL1983" s="54"/>
      <c r="DM1983" s="54"/>
      <c r="DN1983" s="54"/>
    </row>
    <row r="1984" spans="39:118">
      <c r="AM1984" s="55"/>
      <c r="AT1984" s="43"/>
      <c r="AV1984" s="55"/>
      <c r="CJ1984" s="43"/>
      <c r="DF1984" s="55"/>
      <c r="DG1984" s="53"/>
      <c r="DL1984" s="54"/>
      <c r="DM1984" s="54"/>
      <c r="DN1984" s="54"/>
    </row>
    <row r="1985" spans="39:118">
      <c r="AM1985" s="55"/>
      <c r="AT1985" s="43"/>
      <c r="AV1985" s="55"/>
      <c r="CJ1985" s="43"/>
      <c r="DF1985" s="55"/>
      <c r="DG1985" s="53"/>
      <c r="DL1985" s="54"/>
      <c r="DM1985" s="54"/>
      <c r="DN1985" s="54"/>
    </row>
    <row r="1986" spans="39:118">
      <c r="AM1986" s="55"/>
      <c r="AT1986" s="43"/>
      <c r="AV1986" s="55"/>
      <c r="CJ1986" s="43"/>
      <c r="DF1986" s="55"/>
      <c r="DG1986" s="53"/>
      <c r="DL1986" s="54"/>
      <c r="DM1986" s="54"/>
      <c r="DN1986" s="54"/>
    </row>
    <row r="1987" spans="39:118">
      <c r="AM1987" s="55"/>
      <c r="AT1987" s="43"/>
      <c r="AV1987" s="55"/>
      <c r="CJ1987" s="43"/>
      <c r="DF1987" s="55"/>
      <c r="DG1987" s="53"/>
      <c r="DL1987" s="54"/>
      <c r="DM1987" s="54"/>
      <c r="DN1987" s="54"/>
    </row>
    <row r="1988" spans="39:118">
      <c r="AM1988" s="55"/>
      <c r="AT1988" s="43"/>
      <c r="AV1988" s="55"/>
      <c r="CJ1988" s="43"/>
      <c r="DF1988" s="55"/>
      <c r="DG1988" s="53"/>
      <c r="DL1988" s="54"/>
      <c r="DM1988" s="54"/>
      <c r="DN1988" s="54"/>
    </row>
    <row r="1989" spans="39:118">
      <c r="AM1989" s="55"/>
      <c r="AT1989" s="43"/>
      <c r="AV1989" s="55"/>
      <c r="CJ1989" s="43"/>
      <c r="DF1989" s="55"/>
      <c r="DG1989" s="53"/>
      <c r="DL1989" s="54"/>
      <c r="DM1989" s="54"/>
      <c r="DN1989" s="54"/>
    </row>
    <row r="1990" spans="39:118">
      <c r="AM1990" s="55"/>
      <c r="AT1990" s="43"/>
      <c r="AV1990" s="55"/>
      <c r="CJ1990" s="43"/>
      <c r="DF1990" s="55"/>
      <c r="DG1990" s="53"/>
      <c r="DL1990" s="54"/>
      <c r="DM1990" s="54"/>
      <c r="DN1990" s="54"/>
    </row>
    <row r="1991" spans="39:118">
      <c r="AM1991" s="55"/>
      <c r="AT1991" s="43"/>
      <c r="AV1991" s="55"/>
      <c r="CJ1991" s="43"/>
      <c r="DF1991" s="55"/>
      <c r="DG1991" s="53"/>
      <c r="DL1991" s="54"/>
      <c r="DM1991" s="54"/>
      <c r="DN1991" s="54"/>
    </row>
    <row r="1992" spans="39:118">
      <c r="AM1992" s="55"/>
      <c r="AT1992" s="43"/>
      <c r="AV1992" s="55"/>
      <c r="CJ1992" s="43"/>
      <c r="DF1992" s="55"/>
      <c r="DG1992" s="53"/>
      <c r="DL1992" s="54"/>
      <c r="DM1992" s="54"/>
      <c r="DN1992" s="54"/>
    </row>
    <row r="1993" spans="39:118">
      <c r="AM1993" s="55"/>
      <c r="AT1993" s="43"/>
      <c r="AV1993" s="55"/>
      <c r="CJ1993" s="43"/>
      <c r="DF1993" s="55"/>
      <c r="DG1993" s="53"/>
      <c r="DL1993" s="54"/>
      <c r="DM1993" s="54"/>
      <c r="DN1993" s="54"/>
    </row>
    <row r="1994" spans="39:118">
      <c r="AM1994" s="55"/>
      <c r="AT1994" s="43"/>
      <c r="AV1994" s="55"/>
      <c r="CJ1994" s="43"/>
      <c r="DF1994" s="55"/>
      <c r="DG1994" s="53"/>
      <c r="DL1994" s="54"/>
      <c r="DM1994" s="54"/>
      <c r="DN1994" s="54"/>
    </row>
    <row r="1995" spans="39:118">
      <c r="AM1995" s="55"/>
      <c r="AT1995" s="43"/>
      <c r="AV1995" s="55"/>
      <c r="CJ1995" s="43"/>
      <c r="DF1995" s="55"/>
      <c r="DG1995" s="53"/>
      <c r="DL1995" s="54"/>
      <c r="DM1995" s="54"/>
      <c r="DN1995" s="54"/>
    </row>
    <row r="1996" spans="39:118">
      <c r="AM1996" s="55"/>
      <c r="AT1996" s="43"/>
      <c r="AV1996" s="55"/>
      <c r="CJ1996" s="43"/>
      <c r="DF1996" s="55"/>
      <c r="DG1996" s="53"/>
      <c r="DL1996" s="54"/>
      <c r="DM1996" s="54"/>
      <c r="DN1996" s="54"/>
    </row>
    <row r="1997" spans="39:118">
      <c r="AM1997" s="55"/>
      <c r="AT1997" s="43"/>
      <c r="AV1997" s="55"/>
      <c r="CJ1997" s="43"/>
      <c r="DF1997" s="55"/>
      <c r="DG1997" s="53"/>
      <c r="DL1997" s="54"/>
      <c r="DM1997" s="54"/>
      <c r="DN1997" s="54"/>
    </row>
    <row r="1998" spans="39:118">
      <c r="AM1998" s="55"/>
      <c r="AT1998" s="43"/>
      <c r="AV1998" s="55"/>
      <c r="CJ1998" s="43"/>
      <c r="DF1998" s="55"/>
      <c r="DG1998" s="53"/>
      <c r="DL1998" s="54"/>
      <c r="DM1998" s="54"/>
      <c r="DN1998" s="54"/>
    </row>
    <row r="1999" spans="39:118">
      <c r="AM1999" s="55"/>
      <c r="AT1999" s="43"/>
      <c r="AV1999" s="55"/>
      <c r="CJ1999" s="43"/>
      <c r="DF1999" s="55"/>
      <c r="DG1999" s="53"/>
      <c r="DL1999" s="54"/>
      <c r="DM1999" s="54"/>
      <c r="DN1999" s="54"/>
    </row>
    <row r="2000" spans="39:118">
      <c r="AM2000" s="55"/>
      <c r="AT2000" s="43"/>
      <c r="AV2000" s="55"/>
      <c r="CJ2000" s="43"/>
      <c r="DF2000" s="55"/>
      <c r="DG2000" s="53"/>
      <c r="DL2000" s="54"/>
      <c r="DM2000" s="54"/>
      <c r="DN2000" s="54"/>
    </row>
    <row r="2001" spans="39:118">
      <c r="AM2001" s="55"/>
      <c r="AT2001" s="43"/>
      <c r="AV2001" s="55"/>
      <c r="CJ2001" s="43"/>
      <c r="DF2001" s="55"/>
      <c r="DG2001" s="53"/>
      <c r="DL2001" s="54"/>
      <c r="DM2001" s="54"/>
      <c r="DN2001" s="54"/>
    </row>
    <row r="2002" spans="39:118">
      <c r="AM2002" s="55"/>
      <c r="AT2002" s="43"/>
      <c r="AV2002" s="55"/>
      <c r="CJ2002" s="43"/>
      <c r="DF2002" s="55"/>
      <c r="DG2002" s="53"/>
      <c r="DL2002" s="54"/>
      <c r="DM2002" s="54"/>
      <c r="DN2002" s="54"/>
    </row>
    <row r="2003" spans="39:118">
      <c r="AM2003" s="55"/>
      <c r="AT2003" s="43"/>
      <c r="AV2003" s="55"/>
      <c r="CJ2003" s="43"/>
      <c r="DF2003" s="55"/>
      <c r="DG2003" s="53"/>
      <c r="DL2003" s="54"/>
      <c r="DM2003" s="54"/>
      <c r="DN2003" s="54"/>
    </row>
    <row r="2004" spans="39:118">
      <c r="AM2004" s="55"/>
      <c r="AT2004" s="43"/>
      <c r="AV2004" s="55"/>
      <c r="CJ2004" s="43"/>
      <c r="DF2004" s="55"/>
      <c r="DG2004" s="53"/>
      <c r="DL2004" s="54"/>
      <c r="DM2004" s="54"/>
      <c r="DN2004" s="54"/>
    </row>
    <row r="2005" spans="39:118">
      <c r="AM2005" s="55"/>
      <c r="AT2005" s="43"/>
      <c r="AV2005" s="55"/>
      <c r="CJ2005" s="43"/>
      <c r="DF2005" s="55"/>
      <c r="DG2005" s="53"/>
      <c r="DL2005" s="54"/>
      <c r="DM2005" s="54"/>
      <c r="DN2005" s="54"/>
    </row>
    <row r="2006" spans="39:118">
      <c r="AM2006" s="55"/>
      <c r="AT2006" s="43"/>
      <c r="AV2006" s="55"/>
      <c r="CJ2006" s="43"/>
      <c r="DF2006" s="55"/>
      <c r="DG2006" s="53"/>
      <c r="DL2006" s="54"/>
      <c r="DM2006" s="54"/>
      <c r="DN2006" s="54"/>
    </row>
    <row r="2007" spans="39:118">
      <c r="AM2007" s="55"/>
      <c r="AT2007" s="43"/>
      <c r="AV2007" s="55"/>
      <c r="CJ2007" s="43"/>
      <c r="DF2007" s="55"/>
      <c r="DG2007" s="53"/>
      <c r="DL2007" s="54"/>
      <c r="DM2007" s="54"/>
      <c r="DN2007" s="54"/>
    </row>
    <row r="2008" spans="39:118">
      <c r="AM2008" s="55"/>
      <c r="AT2008" s="43"/>
      <c r="AV2008" s="55"/>
      <c r="CJ2008" s="43"/>
      <c r="DF2008" s="55"/>
      <c r="DG2008" s="53"/>
      <c r="DL2008" s="54"/>
      <c r="DM2008" s="54"/>
      <c r="DN2008" s="54"/>
    </row>
    <row r="2009" spans="39:118">
      <c r="AM2009" s="55"/>
      <c r="AT2009" s="43"/>
      <c r="AV2009" s="55"/>
      <c r="CJ2009" s="43"/>
      <c r="DF2009" s="55"/>
      <c r="DG2009" s="53"/>
      <c r="DL2009" s="54"/>
      <c r="DM2009" s="54"/>
      <c r="DN2009" s="54"/>
    </row>
    <row r="2010" spans="39:118">
      <c r="AM2010" s="55"/>
      <c r="AT2010" s="43"/>
      <c r="AV2010" s="55"/>
      <c r="CJ2010" s="43"/>
      <c r="DF2010" s="55"/>
      <c r="DG2010" s="53"/>
      <c r="DL2010" s="54"/>
      <c r="DM2010" s="54"/>
      <c r="DN2010" s="54"/>
    </row>
    <row r="2011" spans="39:118">
      <c r="AM2011" s="55"/>
      <c r="AT2011" s="43"/>
      <c r="AV2011" s="55"/>
      <c r="CJ2011" s="43"/>
      <c r="DF2011" s="55"/>
      <c r="DG2011" s="53"/>
      <c r="DL2011" s="54"/>
      <c r="DM2011" s="54"/>
      <c r="DN2011" s="54"/>
    </row>
    <row r="2012" spans="39:118">
      <c r="AM2012" s="55"/>
      <c r="AT2012" s="43"/>
      <c r="AV2012" s="55"/>
      <c r="CJ2012" s="43"/>
      <c r="DF2012" s="55"/>
      <c r="DG2012" s="53"/>
      <c r="DL2012" s="54"/>
      <c r="DM2012" s="54"/>
      <c r="DN2012" s="54"/>
    </row>
    <row r="2013" spans="39:118">
      <c r="AM2013" s="55"/>
      <c r="AT2013" s="43"/>
      <c r="AV2013" s="55"/>
      <c r="CJ2013" s="43"/>
      <c r="DF2013" s="55"/>
      <c r="DG2013" s="53"/>
      <c r="DL2013" s="54"/>
      <c r="DM2013" s="54"/>
      <c r="DN2013" s="54"/>
    </row>
    <row r="2014" spans="39:118">
      <c r="AM2014" s="55"/>
      <c r="AT2014" s="43"/>
      <c r="AV2014" s="55"/>
      <c r="CJ2014" s="43"/>
      <c r="DF2014" s="55"/>
      <c r="DG2014" s="53"/>
      <c r="DL2014" s="54"/>
      <c r="DM2014" s="54"/>
      <c r="DN2014" s="54"/>
    </row>
    <row r="2015" spans="39:118">
      <c r="AM2015" s="55"/>
      <c r="AT2015" s="43"/>
      <c r="AV2015" s="55"/>
      <c r="CJ2015" s="43"/>
      <c r="DF2015" s="55"/>
      <c r="DG2015" s="53"/>
      <c r="DL2015" s="54"/>
      <c r="DM2015" s="54"/>
      <c r="DN2015" s="54"/>
    </row>
    <row r="2016" spans="39:118">
      <c r="AM2016" s="55"/>
      <c r="AT2016" s="43"/>
      <c r="AV2016" s="55"/>
      <c r="CJ2016" s="43"/>
      <c r="DF2016" s="55"/>
      <c r="DG2016" s="53"/>
      <c r="DL2016" s="54"/>
      <c r="DM2016" s="54"/>
      <c r="DN2016" s="54"/>
    </row>
    <row r="2017" spans="39:118">
      <c r="AM2017" s="55"/>
      <c r="AT2017" s="43"/>
      <c r="AV2017" s="55"/>
      <c r="CJ2017" s="43"/>
      <c r="DF2017" s="55"/>
      <c r="DG2017" s="53"/>
      <c r="DL2017" s="54"/>
      <c r="DM2017" s="54"/>
      <c r="DN2017" s="54"/>
    </row>
    <row r="2018" spans="39:118">
      <c r="AM2018" s="55"/>
      <c r="AT2018" s="43"/>
      <c r="AV2018" s="55"/>
      <c r="CJ2018" s="43"/>
      <c r="DF2018" s="55"/>
      <c r="DG2018" s="53"/>
      <c r="DL2018" s="54"/>
      <c r="DM2018" s="54"/>
      <c r="DN2018" s="54"/>
    </row>
    <row r="2019" spans="39:118">
      <c r="AM2019" s="55"/>
      <c r="AT2019" s="43"/>
      <c r="AV2019" s="55"/>
      <c r="CJ2019" s="43"/>
      <c r="DF2019" s="55"/>
      <c r="DG2019" s="53"/>
      <c r="DL2019" s="54"/>
      <c r="DM2019" s="54"/>
      <c r="DN2019" s="54"/>
    </row>
    <row r="2020" spans="39:118">
      <c r="AM2020" s="55"/>
      <c r="AT2020" s="43"/>
      <c r="AV2020" s="55"/>
      <c r="CJ2020" s="43"/>
      <c r="DF2020" s="55"/>
      <c r="DG2020" s="53"/>
      <c r="DL2020" s="54"/>
      <c r="DM2020" s="54"/>
      <c r="DN2020" s="54"/>
    </row>
    <row r="2021" spans="39:118">
      <c r="AM2021" s="55"/>
      <c r="AT2021" s="43"/>
      <c r="AV2021" s="55"/>
      <c r="CJ2021" s="43"/>
      <c r="DF2021" s="55"/>
      <c r="DG2021" s="53"/>
      <c r="DL2021" s="54"/>
      <c r="DM2021" s="54"/>
      <c r="DN2021" s="54"/>
    </row>
    <row r="2022" spans="39:118">
      <c r="AM2022" s="55"/>
      <c r="AT2022" s="43"/>
      <c r="AV2022" s="55"/>
      <c r="CJ2022" s="43"/>
      <c r="DF2022" s="55"/>
      <c r="DG2022" s="53"/>
      <c r="DL2022" s="54"/>
      <c r="DM2022" s="54"/>
      <c r="DN2022" s="54"/>
    </row>
    <row r="2023" spans="39:118">
      <c r="AM2023" s="55"/>
      <c r="AT2023" s="43"/>
      <c r="AV2023" s="55"/>
      <c r="CJ2023" s="43"/>
      <c r="DF2023" s="55"/>
      <c r="DG2023" s="53"/>
      <c r="DL2023" s="54"/>
      <c r="DM2023" s="54"/>
      <c r="DN2023" s="54"/>
    </row>
    <row r="2024" spans="39:118">
      <c r="AM2024" s="55"/>
      <c r="AT2024" s="43"/>
      <c r="AV2024" s="55"/>
      <c r="CJ2024" s="43"/>
      <c r="DF2024" s="55"/>
      <c r="DG2024" s="53"/>
      <c r="DL2024" s="54"/>
      <c r="DM2024" s="54"/>
      <c r="DN2024" s="54"/>
    </row>
    <row r="2025" spans="39:118">
      <c r="AM2025" s="55"/>
      <c r="AT2025" s="43"/>
      <c r="AV2025" s="55"/>
      <c r="CJ2025" s="43"/>
      <c r="DF2025" s="55"/>
      <c r="DG2025" s="53"/>
      <c r="DL2025" s="54"/>
      <c r="DM2025" s="54"/>
      <c r="DN2025" s="54"/>
    </row>
    <row r="2026" spans="39:118">
      <c r="AM2026" s="55"/>
      <c r="AT2026" s="43"/>
      <c r="AV2026" s="55"/>
      <c r="CJ2026" s="43"/>
      <c r="DF2026" s="55"/>
      <c r="DG2026" s="53"/>
      <c r="DL2026" s="54"/>
      <c r="DM2026" s="54"/>
      <c r="DN2026" s="54"/>
    </row>
    <row r="2027" spans="39:118">
      <c r="AM2027" s="55"/>
      <c r="AT2027" s="43"/>
      <c r="AV2027" s="55"/>
      <c r="CJ2027" s="43"/>
      <c r="DF2027" s="55"/>
      <c r="DG2027" s="53"/>
      <c r="DL2027" s="54"/>
      <c r="DM2027" s="54"/>
      <c r="DN2027" s="54"/>
    </row>
    <row r="2028" spans="39:118">
      <c r="AM2028" s="55"/>
      <c r="AT2028" s="43"/>
      <c r="AV2028" s="55"/>
      <c r="CJ2028" s="43"/>
      <c r="DF2028" s="55"/>
      <c r="DG2028" s="53"/>
      <c r="DL2028" s="54"/>
      <c r="DM2028" s="54"/>
      <c r="DN2028" s="54"/>
    </row>
    <row r="2029" spans="39:118">
      <c r="AM2029" s="55"/>
      <c r="AT2029" s="43"/>
      <c r="AV2029" s="55"/>
      <c r="CJ2029" s="43"/>
      <c r="DF2029" s="55"/>
      <c r="DG2029" s="53"/>
      <c r="DL2029" s="54"/>
      <c r="DM2029" s="54"/>
      <c r="DN2029" s="54"/>
    </row>
    <row r="2030" spans="39:118">
      <c r="AM2030" s="55"/>
      <c r="AT2030" s="43"/>
      <c r="AV2030" s="55"/>
      <c r="CJ2030" s="43"/>
      <c r="DF2030" s="55"/>
      <c r="DG2030" s="53"/>
      <c r="DL2030" s="54"/>
      <c r="DM2030" s="54"/>
      <c r="DN2030" s="54"/>
    </row>
    <row r="2031" spans="39:118">
      <c r="AM2031" s="55"/>
      <c r="AT2031" s="43"/>
      <c r="AV2031" s="55"/>
      <c r="CJ2031" s="43"/>
      <c r="DF2031" s="55"/>
      <c r="DG2031" s="53"/>
      <c r="DL2031" s="54"/>
      <c r="DM2031" s="54"/>
      <c r="DN2031" s="54"/>
    </row>
    <row r="2032" spans="39:118">
      <c r="AM2032" s="55"/>
      <c r="AT2032" s="43"/>
      <c r="AV2032" s="55"/>
      <c r="CJ2032" s="43"/>
      <c r="DF2032" s="55"/>
      <c r="DG2032" s="53"/>
      <c r="DL2032" s="54"/>
      <c r="DM2032" s="54"/>
      <c r="DN2032" s="54"/>
    </row>
    <row r="2033" spans="39:118">
      <c r="AM2033" s="55"/>
      <c r="AT2033" s="43"/>
      <c r="AV2033" s="55"/>
      <c r="CJ2033" s="43"/>
      <c r="DF2033" s="55"/>
      <c r="DG2033" s="53"/>
      <c r="DL2033" s="54"/>
      <c r="DM2033" s="54"/>
      <c r="DN2033" s="54"/>
    </row>
    <row r="2034" spans="39:118">
      <c r="AM2034" s="55"/>
      <c r="AT2034" s="43"/>
      <c r="AV2034" s="55"/>
      <c r="CJ2034" s="43"/>
      <c r="DF2034" s="55"/>
      <c r="DG2034" s="53"/>
      <c r="DL2034" s="54"/>
      <c r="DM2034" s="54"/>
      <c r="DN2034" s="54"/>
    </row>
    <row r="2035" spans="39:118">
      <c r="AM2035" s="55"/>
      <c r="AT2035" s="43"/>
      <c r="AV2035" s="55"/>
      <c r="CJ2035" s="43"/>
      <c r="DF2035" s="55"/>
      <c r="DG2035" s="53"/>
      <c r="DL2035" s="54"/>
      <c r="DM2035" s="54"/>
      <c r="DN2035" s="54"/>
    </row>
    <row r="2036" spans="39:118">
      <c r="AM2036" s="55"/>
      <c r="AT2036" s="43"/>
      <c r="AV2036" s="55"/>
      <c r="CJ2036" s="43"/>
      <c r="DF2036" s="55"/>
      <c r="DG2036" s="53"/>
      <c r="DL2036" s="54"/>
      <c r="DM2036" s="54"/>
      <c r="DN2036" s="54"/>
    </row>
    <row r="2037" spans="39:118">
      <c r="AM2037" s="55"/>
      <c r="AT2037" s="43"/>
      <c r="AV2037" s="55"/>
      <c r="CJ2037" s="43"/>
      <c r="DF2037" s="55"/>
      <c r="DG2037" s="53"/>
      <c r="DL2037" s="54"/>
      <c r="DM2037" s="54"/>
      <c r="DN2037" s="54"/>
    </row>
    <row r="2038" spans="39:118">
      <c r="AM2038" s="55"/>
      <c r="AT2038" s="43"/>
      <c r="AV2038" s="55"/>
      <c r="CJ2038" s="43"/>
      <c r="DF2038" s="55"/>
      <c r="DG2038" s="53"/>
      <c r="DL2038" s="54"/>
      <c r="DM2038" s="54"/>
      <c r="DN2038" s="54"/>
    </row>
    <row r="2039" spans="39:118">
      <c r="AM2039" s="55"/>
      <c r="AT2039" s="43"/>
      <c r="AV2039" s="55"/>
      <c r="CJ2039" s="43"/>
      <c r="DF2039" s="55"/>
      <c r="DG2039" s="53"/>
      <c r="DL2039" s="54"/>
      <c r="DM2039" s="54"/>
      <c r="DN2039" s="54"/>
    </row>
    <row r="2040" spans="39:118">
      <c r="AM2040" s="55"/>
      <c r="AT2040" s="43"/>
      <c r="AV2040" s="55"/>
      <c r="CJ2040" s="43"/>
      <c r="DF2040" s="55"/>
      <c r="DG2040" s="53"/>
      <c r="DL2040" s="54"/>
      <c r="DM2040" s="54"/>
      <c r="DN2040" s="54"/>
    </row>
    <row r="2041" spans="39:118">
      <c r="AM2041" s="55"/>
      <c r="AT2041" s="43"/>
      <c r="AV2041" s="55"/>
      <c r="CJ2041" s="43"/>
      <c r="DF2041" s="55"/>
      <c r="DG2041" s="53"/>
      <c r="DL2041" s="54"/>
      <c r="DM2041" s="54"/>
      <c r="DN2041" s="54"/>
    </row>
    <row r="2042" spans="39:118">
      <c r="AM2042" s="55"/>
      <c r="AT2042" s="43"/>
      <c r="AV2042" s="55"/>
      <c r="CJ2042" s="43"/>
      <c r="DF2042" s="55"/>
      <c r="DG2042" s="53"/>
      <c r="DL2042" s="54"/>
      <c r="DM2042" s="54"/>
      <c r="DN2042" s="54"/>
    </row>
    <row r="2043" spans="39:118">
      <c r="AM2043" s="55"/>
      <c r="AT2043" s="43"/>
      <c r="AV2043" s="55"/>
      <c r="CJ2043" s="43"/>
      <c r="DF2043" s="55"/>
      <c r="DG2043" s="53"/>
      <c r="DL2043" s="54"/>
      <c r="DM2043" s="54"/>
      <c r="DN2043" s="54"/>
    </row>
    <row r="2044" spans="39:118">
      <c r="AM2044" s="55"/>
      <c r="AT2044" s="43"/>
      <c r="AV2044" s="55"/>
      <c r="CJ2044" s="43"/>
      <c r="DF2044" s="55"/>
      <c r="DG2044" s="53"/>
      <c r="DL2044" s="54"/>
      <c r="DM2044" s="54"/>
      <c r="DN2044" s="54"/>
    </row>
    <row r="2045" spans="39:118">
      <c r="AM2045" s="55"/>
      <c r="AT2045" s="43"/>
      <c r="AV2045" s="55"/>
      <c r="CJ2045" s="43"/>
      <c r="DF2045" s="55"/>
      <c r="DG2045" s="53"/>
      <c r="DL2045" s="54"/>
      <c r="DM2045" s="54"/>
      <c r="DN2045" s="54"/>
    </row>
    <row r="2046" spans="39:118">
      <c r="AM2046" s="55"/>
      <c r="AT2046" s="43"/>
      <c r="AV2046" s="55"/>
      <c r="CJ2046" s="43"/>
      <c r="DF2046" s="55"/>
      <c r="DG2046" s="53"/>
      <c r="DL2046" s="54"/>
      <c r="DM2046" s="54"/>
      <c r="DN2046" s="54"/>
    </row>
    <row r="2047" spans="39:118">
      <c r="AM2047" s="55"/>
      <c r="AT2047" s="43"/>
      <c r="AV2047" s="55"/>
      <c r="CJ2047" s="43"/>
      <c r="DF2047" s="55"/>
      <c r="DG2047" s="53"/>
      <c r="DL2047" s="54"/>
      <c r="DM2047" s="54"/>
      <c r="DN2047" s="54"/>
    </row>
    <row r="2048" spans="39:118">
      <c r="AM2048" s="55"/>
      <c r="AT2048" s="43"/>
      <c r="AV2048" s="55"/>
      <c r="CJ2048" s="43"/>
      <c r="DF2048" s="55"/>
      <c r="DG2048" s="53"/>
      <c r="DL2048" s="54"/>
      <c r="DM2048" s="54"/>
      <c r="DN2048" s="54"/>
    </row>
    <row r="2049" spans="39:118">
      <c r="AM2049" s="55"/>
      <c r="AT2049" s="43"/>
      <c r="AV2049" s="55"/>
      <c r="CJ2049" s="43"/>
      <c r="DF2049" s="55"/>
      <c r="DG2049" s="53"/>
      <c r="DL2049" s="54"/>
      <c r="DM2049" s="54"/>
      <c r="DN2049" s="54"/>
    </row>
    <row r="2050" spans="39:118">
      <c r="AM2050" s="55"/>
      <c r="AT2050" s="43"/>
      <c r="AV2050" s="55"/>
      <c r="CJ2050" s="43"/>
      <c r="DF2050" s="55"/>
      <c r="DG2050" s="53"/>
      <c r="DL2050" s="54"/>
      <c r="DM2050" s="54"/>
      <c r="DN2050" s="54"/>
    </row>
    <row r="2051" spans="39:118">
      <c r="AM2051" s="55"/>
      <c r="AT2051" s="43"/>
      <c r="AV2051" s="55"/>
      <c r="CJ2051" s="43"/>
      <c r="DF2051" s="55"/>
      <c r="DG2051" s="53"/>
      <c r="DL2051" s="54"/>
      <c r="DM2051" s="54"/>
      <c r="DN2051" s="54"/>
    </row>
    <row r="2052" spans="39:118">
      <c r="AM2052" s="55"/>
      <c r="AT2052" s="43"/>
      <c r="AV2052" s="55"/>
      <c r="CJ2052" s="43"/>
      <c r="DF2052" s="55"/>
      <c r="DG2052" s="53"/>
      <c r="DL2052" s="54"/>
      <c r="DM2052" s="54"/>
      <c r="DN2052" s="54"/>
    </row>
    <row r="2053" spans="39:118">
      <c r="AM2053" s="55"/>
      <c r="AT2053" s="43"/>
      <c r="AV2053" s="55"/>
      <c r="CJ2053" s="43"/>
      <c r="DF2053" s="55"/>
      <c r="DG2053" s="53"/>
      <c r="DL2053" s="54"/>
      <c r="DM2053" s="54"/>
      <c r="DN2053" s="54"/>
    </row>
    <row r="2054" spans="39:118">
      <c r="AM2054" s="55"/>
      <c r="AT2054" s="43"/>
      <c r="AV2054" s="55"/>
      <c r="CJ2054" s="43"/>
      <c r="DF2054" s="55"/>
      <c r="DG2054" s="53"/>
      <c r="DL2054" s="54"/>
      <c r="DM2054" s="54"/>
      <c r="DN2054" s="54"/>
    </row>
    <row r="2055" spans="39:118">
      <c r="AM2055" s="55"/>
      <c r="AT2055" s="43"/>
      <c r="AV2055" s="55"/>
      <c r="CJ2055" s="43"/>
      <c r="DF2055" s="55"/>
      <c r="DG2055" s="53"/>
      <c r="DL2055" s="54"/>
      <c r="DM2055" s="54"/>
      <c r="DN2055" s="54"/>
    </row>
    <row r="2056" spans="39:118">
      <c r="AM2056" s="55"/>
      <c r="AT2056" s="43"/>
      <c r="AV2056" s="55"/>
      <c r="CJ2056" s="43"/>
      <c r="DF2056" s="55"/>
      <c r="DG2056" s="53"/>
      <c r="DL2056" s="54"/>
      <c r="DM2056" s="54"/>
      <c r="DN2056" s="54"/>
    </row>
    <row r="2057" spans="39:118">
      <c r="AM2057" s="55"/>
      <c r="AT2057" s="43"/>
      <c r="AV2057" s="55"/>
      <c r="CJ2057" s="43"/>
      <c r="DF2057" s="55"/>
      <c r="DG2057" s="53"/>
      <c r="DL2057" s="54"/>
      <c r="DM2057" s="54"/>
      <c r="DN2057" s="54"/>
    </row>
    <row r="2058" spans="39:118">
      <c r="AM2058" s="55"/>
      <c r="AT2058" s="43"/>
      <c r="AV2058" s="55"/>
      <c r="CJ2058" s="43"/>
      <c r="DF2058" s="55"/>
      <c r="DG2058" s="53"/>
      <c r="DL2058" s="54"/>
      <c r="DM2058" s="54"/>
      <c r="DN2058" s="54"/>
    </row>
    <row r="2059" spans="39:118">
      <c r="AM2059" s="55"/>
      <c r="AT2059" s="43"/>
      <c r="AV2059" s="55"/>
      <c r="CJ2059" s="43"/>
      <c r="DF2059" s="55"/>
      <c r="DG2059" s="53"/>
      <c r="DL2059" s="54"/>
      <c r="DM2059" s="54"/>
      <c r="DN2059" s="54"/>
    </row>
    <row r="2060" spans="39:118">
      <c r="AM2060" s="55"/>
      <c r="AT2060" s="43"/>
      <c r="AV2060" s="55"/>
      <c r="CJ2060" s="43"/>
      <c r="DF2060" s="55"/>
      <c r="DG2060" s="53"/>
      <c r="DL2060" s="54"/>
      <c r="DM2060" s="54"/>
      <c r="DN2060" s="54"/>
    </row>
    <row r="2061" spans="39:118">
      <c r="AM2061" s="55"/>
      <c r="AT2061" s="43"/>
      <c r="AV2061" s="55"/>
      <c r="CJ2061" s="43"/>
      <c r="DF2061" s="55"/>
      <c r="DG2061" s="53"/>
      <c r="DL2061" s="54"/>
      <c r="DM2061" s="54"/>
      <c r="DN2061" s="54"/>
    </row>
    <row r="2062" spans="39:118">
      <c r="AM2062" s="55"/>
      <c r="AT2062" s="43"/>
      <c r="AV2062" s="55"/>
      <c r="CJ2062" s="43"/>
      <c r="DF2062" s="55"/>
      <c r="DG2062" s="53"/>
      <c r="DL2062" s="54"/>
      <c r="DM2062" s="54"/>
      <c r="DN2062" s="54"/>
    </row>
    <row r="2063" spans="39:118">
      <c r="AM2063" s="55"/>
      <c r="AT2063" s="43"/>
      <c r="AV2063" s="55"/>
      <c r="CJ2063" s="43"/>
      <c r="DF2063" s="55"/>
      <c r="DG2063" s="53"/>
      <c r="DL2063" s="54"/>
      <c r="DM2063" s="54"/>
      <c r="DN2063" s="54"/>
    </row>
    <row r="2064" spans="39:118">
      <c r="AM2064" s="55"/>
      <c r="AT2064" s="43"/>
      <c r="AV2064" s="55"/>
      <c r="CJ2064" s="43"/>
      <c r="DF2064" s="55"/>
      <c r="DG2064" s="53"/>
      <c r="DL2064" s="54"/>
      <c r="DM2064" s="54"/>
      <c r="DN2064" s="54"/>
    </row>
    <row r="2065" spans="39:118">
      <c r="AM2065" s="55"/>
      <c r="AT2065" s="43"/>
      <c r="AV2065" s="55"/>
      <c r="CJ2065" s="43"/>
      <c r="DF2065" s="55"/>
      <c r="DG2065" s="53"/>
      <c r="DL2065" s="54"/>
      <c r="DM2065" s="54"/>
      <c r="DN2065" s="54"/>
    </row>
    <row r="2066" spans="39:118">
      <c r="AM2066" s="55"/>
      <c r="AT2066" s="43"/>
      <c r="AV2066" s="55"/>
      <c r="CJ2066" s="43"/>
      <c r="DF2066" s="55"/>
      <c r="DG2066" s="53"/>
      <c r="DL2066" s="54"/>
      <c r="DM2066" s="54"/>
      <c r="DN2066" s="54"/>
    </row>
    <row r="2067" spans="39:118">
      <c r="AM2067" s="55"/>
      <c r="AT2067" s="43"/>
      <c r="AV2067" s="55"/>
      <c r="CJ2067" s="43"/>
      <c r="DF2067" s="55"/>
      <c r="DG2067" s="53"/>
      <c r="DL2067" s="54"/>
      <c r="DM2067" s="54"/>
      <c r="DN2067" s="54"/>
    </row>
    <row r="2068" spans="39:118">
      <c r="AM2068" s="55"/>
      <c r="AT2068" s="43"/>
      <c r="AV2068" s="55"/>
      <c r="CJ2068" s="43"/>
      <c r="DF2068" s="55"/>
      <c r="DG2068" s="53"/>
      <c r="DL2068" s="54"/>
      <c r="DM2068" s="54"/>
      <c r="DN2068" s="54"/>
    </row>
    <row r="2069" spans="39:118">
      <c r="AM2069" s="55"/>
      <c r="AT2069" s="43"/>
      <c r="AV2069" s="55"/>
      <c r="CJ2069" s="43"/>
      <c r="DF2069" s="55"/>
      <c r="DG2069" s="53"/>
      <c r="DL2069" s="54"/>
      <c r="DM2069" s="54"/>
      <c r="DN2069" s="54"/>
    </row>
    <row r="2070" spans="39:118">
      <c r="AM2070" s="55"/>
      <c r="AT2070" s="43"/>
      <c r="AV2070" s="55"/>
      <c r="CJ2070" s="43"/>
      <c r="DF2070" s="55"/>
      <c r="DG2070" s="53"/>
      <c r="DL2070" s="54"/>
      <c r="DM2070" s="54"/>
      <c r="DN2070" s="54"/>
    </row>
    <row r="2071" spans="39:118">
      <c r="AM2071" s="55"/>
      <c r="AT2071" s="43"/>
      <c r="AV2071" s="55"/>
      <c r="CJ2071" s="43"/>
      <c r="DF2071" s="55"/>
      <c r="DG2071" s="53"/>
      <c r="DL2071" s="54"/>
      <c r="DM2071" s="54"/>
      <c r="DN2071" s="54"/>
    </row>
    <row r="2072" spans="39:118">
      <c r="AM2072" s="55"/>
      <c r="AT2072" s="43"/>
      <c r="AV2072" s="55"/>
      <c r="CJ2072" s="43"/>
      <c r="DF2072" s="55"/>
      <c r="DG2072" s="53"/>
      <c r="DL2072" s="54"/>
      <c r="DM2072" s="54"/>
      <c r="DN2072" s="54"/>
    </row>
    <row r="2073" spans="39:118">
      <c r="AM2073" s="55"/>
      <c r="AT2073" s="43"/>
      <c r="AV2073" s="55"/>
      <c r="CJ2073" s="43"/>
      <c r="DF2073" s="55"/>
      <c r="DG2073" s="53"/>
      <c r="DL2073" s="54"/>
      <c r="DM2073" s="54"/>
      <c r="DN2073" s="54"/>
    </row>
    <row r="2074" spans="39:118">
      <c r="AM2074" s="55"/>
      <c r="AT2074" s="43"/>
      <c r="AV2074" s="55"/>
      <c r="CJ2074" s="43"/>
      <c r="DF2074" s="55"/>
      <c r="DG2074" s="53"/>
      <c r="DL2074" s="54"/>
      <c r="DM2074" s="54"/>
      <c r="DN2074" s="54"/>
    </row>
    <row r="2075" spans="39:118">
      <c r="AM2075" s="55"/>
      <c r="AT2075" s="43"/>
      <c r="AV2075" s="55"/>
      <c r="CJ2075" s="43"/>
      <c r="DF2075" s="55"/>
      <c r="DG2075" s="53"/>
      <c r="DL2075" s="54"/>
      <c r="DM2075" s="54"/>
      <c r="DN2075" s="54"/>
    </row>
    <row r="2076" spans="39:118">
      <c r="AM2076" s="55"/>
      <c r="AT2076" s="43"/>
      <c r="AV2076" s="55"/>
      <c r="CJ2076" s="43"/>
      <c r="DF2076" s="55"/>
      <c r="DG2076" s="53"/>
      <c r="DL2076" s="54"/>
      <c r="DM2076" s="54"/>
      <c r="DN2076" s="54"/>
    </row>
    <row r="2077" spans="39:118">
      <c r="AM2077" s="55"/>
      <c r="AT2077" s="43"/>
      <c r="AV2077" s="55"/>
      <c r="CJ2077" s="43"/>
      <c r="DF2077" s="55"/>
      <c r="DG2077" s="53"/>
      <c r="DL2077" s="54"/>
      <c r="DM2077" s="54"/>
      <c r="DN2077" s="54"/>
    </row>
    <row r="2078" spans="39:118">
      <c r="AM2078" s="55"/>
      <c r="AT2078" s="43"/>
      <c r="AV2078" s="55"/>
      <c r="CJ2078" s="43"/>
      <c r="DF2078" s="55"/>
      <c r="DG2078" s="53"/>
      <c r="DL2078" s="54"/>
      <c r="DM2078" s="54"/>
      <c r="DN2078" s="54"/>
    </row>
    <row r="2079" spans="39:118">
      <c r="AM2079" s="55"/>
      <c r="AT2079" s="43"/>
      <c r="AV2079" s="55"/>
      <c r="CJ2079" s="43"/>
      <c r="DF2079" s="55"/>
      <c r="DG2079" s="53"/>
      <c r="DL2079" s="54"/>
      <c r="DM2079" s="54"/>
      <c r="DN2079" s="54"/>
    </row>
    <row r="2080" spans="39:118">
      <c r="AM2080" s="55"/>
      <c r="AT2080" s="43"/>
      <c r="AV2080" s="55"/>
      <c r="CJ2080" s="43"/>
      <c r="DF2080" s="55"/>
      <c r="DG2080" s="53"/>
      <c r="DL2080" s="54"/>
      <c r="DM2080" s="54"/>
      <c r="DN2080" s="54"/>
    </row>
    <row r="2081" spans="39:118">
      <c r="AM2081" s="55"/>
      <c r="AT2081" s="43"/>
      <c r="AV2081" s="55"/>
      <c r="CJ2081" s="43"/>
      <c r="DF2081" s="55"/>
      <c r="DG2081" s="53"/>
      <c r="DL2081" s="54"/>
      <c r="DM2081" s="54"/>
      <c r="DN2081" s="54"/>
    </row>
    <row r="2082" spans="39:118">
      <c r="AM2082" s="55"/>
      <c r="AT2082" s="43"/>
      <c r="AV2082" s="55"/>
      <c r="CJ2082" s="43"/>
      <c r="DF2082" s="55"/>
      <c r="DG2082" s="53"/>
      <c r="DL2082" s="54"/>
      <c r="DM2082" s="54"/>
      <c r="DN2082" s="54"/>
    </row>
    <row r="2083" spans="39:118">
      <c r="AM2083" s="55"/>
      <c r="AT2083" s="43"/>
      <c r="AV2083" s="55"/>
      <c r="CJ2083" s="43"/>
      <c r="DF2083" s="55"/>
      <c r="DG2083" s="53"/>
      <c r="DL2083" s="54"/>
      <c r="DM2083" s="54"/>
      <c r="DN2083" s="54"/>
    </row>
    <row r="2084" spans="39:118">
      <c r="AM2084" s="55"/>
      <c r="AT2084" s="43"/>
      <c r="AV2084" s="55"/>
      <c r="CJ2084" s="43"/>
      <c r="DF2084" s="55"/>
      <c r="DG2084" s="53"/>
      <c r="DL2084" s="54"/>
      <c r="DM2084" s="54"/>
      <c r="DN2084" s="54"/>
    </row>
    <row r="2085" spans="39:118">
      <c r="AM2085" s="55"/>
      <c r="AT2085" s="43"/>
      <c r="AV2085" s="55"/>
      <c r="CJ2085" s="43"/>
      <c r="DF2085" s="55"/>
      <c r="DG2085" s="53"/>
      <c r="DL2085" s="54"/>
      <c r="DM2085" s="54"/>
      <c r="DN2085" s="54"/>
    </row>
    <row r="2086" spans="39:118">
      <c r="AM2086" s="55"/>
      <c r="AT2086" s="43"/>
      <c r="AV2086" s="55"/>
      <c r="CJ2086" s="43"/>
      <c r="DF2086" s="55"/>
      <c r="DG2086" s="53"/>
      <c r="DL2086" s="54"/>
      <c r="DM2086" s="54"/>
      <c r="DN2086" s="54"/>
    </row>
    <row r="2087" spans="39:118">
      <c r="AM2087" s="55"/>
      <c r="AT2087" s="43"/>
      <c r="AV2087" s="55"/>
      <c r="CJ2087" s="43"/>
      <c r="DF2087" s="55"/>
      <c r="DG2087" s="53"/>
      <c r="DL2087" s="54"/>
      <c r="DM2087" s="54"/>
      <c r="DN2087" s="54"/>
    </row>
    <row r="2088" spans="39:118">
      <c r="AM2088" s="55"/>
      <c r="AT2088" s="43"/>
      <c r="AV2088" s="55"/>
      <c r="CJ2088" s="43"/>
      <c r="DF2088" s="55"/>
      <c r="DG2088" s="53"/>
      <c r="DL2088" s="54"/>
      <c r="DM2088" s="54"/>
      <c r="DN2088" s="54"/>
    </row>
    <row r="2089" spans="39:118">
      <c r="AM2089" s="55"/>
      <c r="AT2089" s="43"/>
      <c r="AV2089" s="55"/>
      <c r="CJ2089" s="43"/>
      <c r="DF2089" s="55"/>
      <c r="DG2089" s="53"/>
      <c r="DL2089" s="54"/>
      <c r="DM2089" s="54"/>
      <c r="DN2089" s="54"/>
    </row>
    <row r="2090" spans="39:118">
      <c r="AM2090" s="55"/>
      <c r="AT2090" s="43"/>
      <c r="AV2090" s="55"/>
      <c r="CJ2090" s="43"/>
      <c r="DF2090" s="55"/>
      <c r="DG2090" s="53"/>
      <c r="DL2090" s="54"/>
      <c r="DM2090" s="54"/>
      <c r="DN2090" s="54"/>
    </row>
    <row r="2091" spans="39:118">
      <c r="AM2091" s="55"/>
      <c r="AT2091" s="43"/>
      <c r="AV2091" s="55"/>
      <c r="CJ2091" s="43"/>
      <c r="DF2091" s="55"/>
      <c r="DG2091" s="53"/>
      <c r="DL2091" s="54"/>
      <c r="DM2091" s="54"/>
      <c r="DN2091" s="54"/>
    </row>
    <row r="2092" spans="39:118">
      <c r="AM2092" s="55"/>
      <c r="AT2092" s="43"/>
      <c r="AV2092" s="55"/>
      <c r="CJ2092" s="43"/>
      <c r="DF2092" s="55"/>
      <c r="DG2092" s="53"/>
      <c r="DL2092" s="54"/>
      <c r="DM2092" s="54"/>
      <c r="DN2092" s="54"/>
    </row>
    <row r="2093" spans="39:118">
      <c r="AM2093" s="55"/>
      <c r="AT2093" s="43"/>
      <c r="AV2093" s="55"/>
      <c r="CJ2093" s="43"/>
      <c r="DF2093" s="55"/>
      <c r="DG2093" s="53"/>
      <c r="DL2093" s="54"/>
      <c r="DM2093" s="54"/>
      <c r="DN2093" s="54"/>
    </row>
    <row r="2094" spans="39:118">
      <c r="AM2094" s="55"/>
      <c r="AT2094" s="43"/>
      <c r="AV2094" s="55"/>
      <c r="CJ2094" s="43"/>
      <c r="DF2094" s="55"/>
      <c r="DG2094" s="53"/>
      <c r="DL2094" s="54"/>
      <c r="DM2094" s="54"/>
      <c r="DN2094" s="54"/>
    </row>
    <row r="2095" spans="39:118">
      <c r="AM2095" s="55"/>
      <c r="AT2095" s="43"/>
      <c r="AV2095" s="55"/>
      <c r="CJ2095" s="43"/>
      <c r="DF2095" s="55"/>
      <c r="DG2095" s="53"/>
      <c r="DL2095" s="54"/>
      <c r="DM2095" s="54"/>
      <c r="DN2095" s="54"/>
    </row>
    <row r="2096" spans="39:118">
      <c r="AM2096" s="55"/>
      <c r="AT2096" s="43"/>
      <c r="AV2096" s="55"/>
      <c r="CJ2096" s="43"/>
      <c r="DF2096" s="55"/>
      <c r="DG2096" s="53"/>
      <c r="DL2096" s="54"/>
      <c r="DM2096" s="54"/>
      <c r="DN2096" s="54"/>
    </row>
    <row r="2097" spans="39:118">
      <c r="AM2097" s="55"/>
      <c r="AT2097" s="43"/>
      <c r="AV2097" s="55"/>
      <c r="CJ2097" s="43"/>
      <c r="DF2097" s="55"/>
      <c r="DG2097" s="53"/>
      <c r="DL2097" s="54"/>
      <c r="DM2097" s="54"/>
      <c r="DN2097" s="54"/>
    </row>
    <row r="2098" spans="39:118">
      <c r="AM2098" s="55"/>
      <c r="AT2098" s="43"/>
      <c r="AV2098" s="55"/>
      <c r="CJ2098" s="43"/>
      <c r="DF2098" s="55"/>
      <c r="DG2098" s="53"/>
      <c r="DL2098" s="54"/>
      <c r="DM2098" s="54"/>
      <c r="DN2098" s="54"/>
    </row>
    <row r="2099" spans="39:118">
      <c r="AM2099" s="55"/>
      <c r="AT2099" s="43"/>
      <c r="AV2099" s="55"/>
      <c r="CJ2099" s="43"/>
      <c r="DF2099" s="55"/>
      <c r="DG2099" s="53"/>
      <c r="DL2099" s="54"/>
      <c r="DM2099" s="54"/>
      <c r="DN2099" s="54"/>
    </row>
    <row r="2100" spans="39:118">
      <c r="AM2100" s="55"/>
      <c r="AT2100" s="43"/>
      <c r="AV2100" s="55"/>
      <c r="CJ2100" s="43"/>
      <c r="DF2100" s="55"/>
      <c r="DG2100" s="53"/>
      <c r="DL2100" s="54"/>
      <c r="DM2100" s="54"/>
      <c r="DN2100" s="54"/>
    </row>
    <row r="2101" spans="39:118">
      <c r="AM2101" s="55"/>
      <c r="AT2101" s="43"/>
      <c r="AV2101" s="55"/>
      <c r="CJ2101" s="43"/>
      <c r="DF2101" s="55"/>
      <c r="DG2101" s="53"/>
      <c r="DL2101" s="54"/>
      <c r="DM2101" s="54"/>
      <c r="DN2101" s="54"/>
    </row>
    <row r="2102" spans="39:118">
      <c r="AM2102" s="55"/>
      <c r="AT2102" s="43"/>
      <c r="AV2102" s="55"/>
      <c r="CJ2102" s="43"/>
      <c r="DF2102" s="55"/>
      <c r="DG2102" s="53"/>
      <c r="DL2102" s="54"/>
      <c r="DM2102" s="54"/>
      <c r="DN2102" s="54"/>
    </row>
    <row r="2103" spans="39:118">
      <c r="AM2103" s="55"/>
      <c r="AT2103" s="43"/>
      <c r="AV2103" s="55"/>
      <c r="CJ2103" s="43"/>
      <c r="DF2103" s="55"/>
      <c r="DG2103" s="53"/>
      <c r="DL2103" s="54"/>
      <c r="DM2103" s="54"/>
      <c r="DN2103" s="54"/>
    </row>
    <row r="2104" spans="39:118">
      <c r="AM2104" s="55"/>
      <c r="AT2104" s="43"/>
      <c r="AV2104" s="55"/>
      <c r="CJ2104" s="43"/>
      <c r="DF2104" s="55"/>
      <c r="DG2104" s="53"/>
      <c r="DL2104" s="54"/>
      <c r="DM2104" s="54"/>
      <c r="DN2104" s="54"/>
    </row>
    <row r="2105" spans="39:118">
      <c r="AM2105" s="55"/>
      <c r="AT2105" s="43"/>
      <c r="AV2105" s="55"/>
      <c r="CJ2105" s="43"/>
      <c r="DF2105" s="55"/>
      <c r="DG2105" s="53"/>
      <c r="DL2105" s="54"/>
      <c r="DM2105" s="54"/>
      <c r="DN2105" s="54"/>
    </row>
    <row r="2106" spans="39:118">
      <c r="AM2106" s="55"/>
      <c r="AT2106" s="43"/>
      <c r="AV2106" s="55"/>
      <c r="CJ2106" s="43"/>
      <c r="DF2106" s="55"/>
      <c r="DG2106" s="53"/>
      <c r="DL2106" s="54"/>
      <c r="DM2106" s="54"/>
      <c r="DN2106" s="54"/>
    </row>
    <row r="2107" spans="39:118">
      <c r="AM2107" s="55"/>
      <c r="AT2107" s="43"/>
      <c r="AV2107" s="55"/>
      <c r="CJ2107" s="43"/>
      <c r="DF2107" s="55"/>
      <c r="DG2107" s="53"/>
      <c r="DL2107" s="54"/>
      <c r="DM2107" s="54"/>
      <c r="DN2107" s="54"/>
    </row>
    <row r="2108" spans="39:118">
      <c r="AM2108" s="55"/>
      <c r="AT2108" s="43"/>
      <c r="AV2108" s="55"/>
      <c r="CJ2108" s="43"/>
      <c r="DF2108" s="55"/>
      <c r="DG2108" s="53"/>
      <c r="DL2108" s="54"/>
      <c r="DM2108" s="54"/>
      <c r="DN2108" s="54"/>
    </row>
    <row r="2109" spans="39:118">
      <c r="AM2109" s="55"/>
      <c r="AT2109" s="43"/>
      <c r="AV2109" s="55"/>
      <c r="CJ2109" s="43"/>
      <c r="DF2109" s="55"/>
      <c r="DG2109" s="53"/>
      <c r="DL2109" s="54"/>
      <c r="DM2109" s="54"/>
      <c r="DN2109" s="54"/>
    </row>
    <row r="2110" spans="39:118">
      <c r="AM2110" s="55"/>
      <c r="AT2110" s="43"/>
      <c r="AV2110" s="55"/>
      <c r="CJ2110" s="43"/>
      <c r="DF2110" s="55"/>
      <c r="DG2110" s="53"/>
      <c r="DL2110" s="54"/>
      <c r="DM2110" s="54"/>
      <c r="DN2110" s="54"/>
    </row>
    <row r="2111" spans="39:118">
      <c r="AM2111" s="55"/>
      <c r="AT2111" s="43"/>
      <c r="AV2111" s="55"/>
      <c r="CJ2111" s="43"/>
      <c r="DF2111" s="55"/>
      <c r="DG2111" s="53"/>
      <c r="DL2111" s="54"/>
      <c r="DM2111" s="54"/>
      <c r="DN2111" s="54"/>
    </row>
    <row r="2112" spans="39:118">
      <c r="AM2112" s="55"/>
      <c r="AT2112" s="43"/>
      <c r="AV2112" s="55"/>
      <c r="CJ2112" s="43"/>
      <c r="DF2112" s="55"/>
      <c r="DG2112" s="53"/>
      <c r="DL2112" s="54"/>
      <c r="DM2112" s="54"/>
      <c r="DN2112" s="54"/>
    </row>
    <row r="2113" spans="39:118">
      <c r="AM2113" s="55"/>
      <c r="AT2113" s="43"/>
      <c r="AV2113" s="55"/>
      <c r="CJ2113" s="43"/>
      <c r="DF2113" s="55"/>
      <c r="DG2113" s="53"/>
      <c r="DL2113" s="54"/>
      <c r="DM2113" s="54"/>
      <c r="DN2113" s="54"/>
    </row>
    <row r="2114" spans="39:118">
      <c r="AM2114" s="55"/>
      <c r="AT2114" s="43"/>
      <c r="AV2114" s="55"/>
      <c r="CJ2114" s="43"/>
      <c r="DF2114" s="55"/>
      <c r="DG2114" s="53"/>
      <c r="DL2114" s="54"/>
      <c r="DM2114" s="54"/>
      <c r="DN2114" s="54"/>
    </row>
    <row r="2115" spans="39:118">
      <c r="AM2115" s="55"/>
      <c r="AT2115" s="43"/>
      <c r="AV2115" s="55"/>
      <c r="CJ2115" s="43"/>
      <c r="DF2115" s="55"/>
      <c r="DG2115" s="53"/>
      <c r="DL2115" s="54"/>
      <c r="DM2115" s="54"/>
      <c r="DN2115" s="54"/>
    </row>
    <row r="2116" spans="39:118">
      <c r="AM2116" s="55"/>
      <c r="AT2116" s="43"/>
      <c r="AV2116" s="55"/>
      <c r="CJ2116" s="43"/>
      <c r="DF2116" s="55"/>
      <c r="DG2116" s="53"/>
      <c r="DL2116" s="54"/>
      <c r="DM2116" s="54"/>
      <c r="DN2116" s="54"/>
    </row>
    <row r="2117" spans="39:118">
      <c r="AM2117" s="55"/>
      <c r="AT2117" s="43"/>
      <c r="AV2117" s="55"/>
      <c r="CJ2117" s="43"/>
      <c r="DF2117" s="55"/>
      <c r="DG2117" s="53"/>
      <c r="DL2117" s="54"/>
      <c r="DM2117" s="54"/>
      <c r="DN2117" s="54"/>
    </row>
    <row r="2118" spans="39:118">
      <c r="AM2118" s="55"/>
      <c r="AT2118" s="43"/>
      <c r="AV2118" s="55"/>
      <c r="CJ2118" s="43"/>
      <c r="DF2118" s="55"/>
      <c r="DG2118" s="53"/>
      <c r="DL2118" s="54"/>
      <c r="DM2118" s="54"/>
      <c r="DN2118" s="54"/>
    </row>
    <row r="2119" spans="39:118">
      <c r="AM2119" s="55"/>
      <c r="AT2119" s="43"/>
      <c r="AV2119" s="55"/>
      <c r="CJ2119" s="43"/>
      <c r="DF2119" s="55"/>
      <c r="DG2119" s="53"/>
      <c r="DL2119" s="54"/>
      <c r="DM2119" s="54"/>
      <c r="DN2119" s="54"/>
    </row>
    <row r="2120" spans="39:118">
      <c r="AM2120" s="55"/>
      <c r="AT2120" s="43"/>
      <c r="AV2120" s="55"/>
      <c r="CJ2120" s="43"/>
      <c r="DF2120" s="55"/>
      <c r="DG2120" s="53"/>
      <c r="DL2120" s="54"/>
      <c r="DM2120" s="54"/>
      <c r="DN2120" s="54"/>
    </row>
    <row r="2121" spans="39:118">
      <c r="AM2121" s="55"/>
      <c r="AT2121" s="43"/>
      <c r="AV2121" s="55"/>
      <c r="CJ2121" s="43"/>
      <c r="DF2121" s="55"/>
      <c r="DG2121" s="53"/>
      <c r="DL2121" s="54"/>
      <c r="DM2121" s="54"/>
      <c r="DN2121" s="54"/>
    </row>
    <row r="2122" spans="39:118">
      <c r="AM2122" s="55"/>
      <c r="AT2122" s="43"/>
      <c r="AV2122" s="55"/>
      <c r="CJ2122" s="43"/>
      <c r="DF2122" s="55"/>
      <c r="DG2122" s="53"/>
      <c r="DL2122" s="54"/>
      <c r="DM2122" s="54"/>
      <c r="DN2122" s="54"/>
    </row>
    <row r="2123" spans="39:118">
      <c r="AM2123" s="55"/>
      <c r="AT2123" s="43"/>
      <c r="AV2123" s="55"/>
      <c r="CJ2123" s="43"/>
      <c r="DF2123" s="55"/>
      <c r="DG2123" s="53"/>
      <c r="DL2123" s="54"/>
      <c r="DM2123" s="54"/>
      <c r="DN2123" s="54"/>
    </row>
    <row r="2124" spans="39:118">
      <c r="AM2124" s="55"/>
      <c r="AT2124" s="43"/>
      <c r="AV2124" s="55"/>
      <c r="CJ2124" s="43"/>
      <c r="DF2124" s="55"/>
      <c r="DG2124" s="53"/>
      <c r="DL2124" s="54"/>
      <c r="DM2124" s="54"/>
      <c r="DN2124" s="54"/>
    </row>
    <row r="2125" spans="39:118">
      <c r="AM2125" s="55"/>
      <c r="AT2125" s="43"/>
      <c r="AV2125" s="55"/>
      <c r="CJ2125" s="43"/>
      <c r="DF2125" s="55"/>
      <c r="DG2125" s="53"/>
      <c r="DL2125" s="54"/>
      <c r="DM2125" s="54"/>
      <c r="DN2125" s="54"/>
    </row>
    <row r="2126" spans="39:118">
      <c r="AM2126" s="55"/>
      <c r="AT2126" s="43"/>
      <c r="AV2126" s="55"/>
      <c r="CJ2126" s="43"/>
      <c r="DF2126" s="55"/>
      <c r="DG2126" s="53"/>
      <c r="DL2126" s="54"/>
      <c r="DM2126" s="54"/>
      <c r="DN2126" s="54"/>
    </row>
    <row r="2127" spans="39:118">
      <c r="AM2127" s="55"/>
      <c r="AT2127" s="43"/>
      <c r="AV2127" s="55"/>
      <c r="CJ2127" s="43"/>
      <c r="DF2127" s="55"/>
      <c r="DG2127" s="53"/>
      <c r="DL2127" s="54"/>
      <c r="DM2127" s="54"/>
      <c r="DN2127" s="54"/>
    </row>
    <row r="2128" spans="39:118">
      <c r="AM2128" s="55"/>
      <c r="AT2128" s="43"/>
      <c r="AV2128" s="55"/>
      <c r="CJ2128" s="43"/>
      <c r="DF2128" s="55"/>
      <c r="DG2128" s="53"/>
      <c r="DL2128" s="54"/>
      <c r="DM2128" s="54"/>
      <c r="DN2128" s="54"/>
    </row>
    <row r="2129" spans="39:118">
      <c r="AM2129" s="55"/>
      <c r="AT2129" s="43"/>
      <c r="AV2129" s="55"/>
      <c r="CJ2129" s="43"/>
      <c r="DF2129" s="55"/>
      <c r="DG2129" s="53"/>
      <c r="DL2129" s="54"/>
      <c r="DM2129" s="54"/>
      <c r="DN2129" s="54"/>
    </row>
    <row r="2130" spans="39:118">
      <c r="AM2130" s="55"/>
      <c r="AT2130" s="43"/>
      <c r="AV2130" s="55"/>
      <c r="CJ2130" s="43"/>
      <c r="DF2130" s="55"/>
      <c r="DG2130" s="53"/>
      <c r="DL2130" s="54"/>
      <c r="DM2130" s="54"/>
      <c r="DN2130" s="54"/>
    </row>
    <row r="2131" spans="39:118">
      <c r="AM2131" s="55"/>
      <c r="AT2131" s="43"/>
      <c r="AV2131" s="55"/>
      <c r="CJ2131" s="43"/>
      <c r="DF2131" s="55"/>
      <c r="DG2131" s="53"/>
      <c r="DL2131" s="54"/>
      <c r="DM2131" s="54"/>
      <c r="DN2131" s="54"/>
    </row>
    <row r="2132" spans="39:118">
      <c r="AM2132" s="55"/>
      <c r="AT2132" s="43"/>
      <c r="AV2132" s="55"/>
      <c r="CJ2132" s="43"/>
      <c r="DF2132" s="55"/>
      <c r="DG2132" s="53"/>
      <c r="DL2132" s="54"/>
      <c r="DM2132" s="54"/>
      <c r="DN2132" s="54"/>
    </row>
    <row r="2133" spans="39:118">
      <c r="AM2133" s="55"/>
      <c r="AT2133" s="43"/>
      <c r="AV2133" s="55"/>
      <c r="CJ2133" s="43"/>
      <c r="DF2133" s="55"/>
      <c r="DG2133" s="53"/>
      <c r="DL2133" s="54"/>
      <c r="DM2133" s="54"/>
      <c r="DN2133" s="54"/>
    </row>
    <row r="2134" spans="39:118">
      <c r="AM2134" s="55"/>
      <c r="AT2134" s="43"/>
      <c r="AV2134" s="55"/>
      <c r="CJ2134" s="43"/>
      <c r="DF2134" s="55"/>
      <c r="DG2134" s="53"/>
      <c r="DL2134" s="54"/>
      <c r="DM2134" s="54"/>
      <c r="DN2134" s="54"/>
    </row>
    <row r="2135" spans="39:118">
      <c r="AM2135" s="55"/>
      <c r="AT2135" s="43"/>
      <c r="AV2135" s="55"/>
      <c r="CJ2135" s="43"/>
      <c r="DF2135" s="55"/>
      <c r="DG2135" s="53"/>
      <c r="DL2135" s="54"/>
      <c r="DM2135" s="54"/>
      <c r="DN2135" s="54"/>
    </row>
    <row r="2136" spans="39:118">
      <c r="AM2136" s="55"/>
      <c r="AT2136" s="43"/>
      <c r="AV2136" s="55"/>
      <c r="CJ2136" s="43"/>
      <c r="DF2136" s="55"/>
      <c r="DG2136" s="53"/>
      <c r="DL2136" s="54"/>
      <c r="DM2136" s="54"/>
      <c r="DN2136" s="54"/>
    </row>
    <row r="2137" spans="39:118">
      <c r="AM2137" s="55"/>
      <c r="AT2137" s="43"/>
      <c r="AV2137" s="55"/>
      <c r="CJ2137" s="43"/>
      <c r="DF2137" s="55"/>
      <c r="DG2137" s="53"/>
      <c r="DL2137" s="54"/>
      <c r="DM2137" s="54"/>
      <c r="DN2137" s="54"/>
    </row>
    <row r="2138" spans="39:118">
      <c r="AM2138" s="55"/>
      <c r="AT2138" s="43"/>
      <c r="AV2138" s="55"/>
      <c r="CJ2138" s="43"/>
      <c r="DF2138" s="55"/>
      <c r="DG2138" s="53"/>
      <c r="DL2138" s="54"/>
      <c r="DM2138" s="54"/>
      <c r="DN2138" s="54"/>
    </row>
    <row r="2139" spans="39:118">
      <c r="AM2139" s="55"/>
      <c r="AT2139" s="43"/>
      <c r="AV2139" s="55"/>
      <c r="CJ2139" s="43"/>
      <c r="DF2139" s="55"/>
      <c r="DG2139" s="53"/>
      <c r="DL2139" s="54"/>
      <c r="DM2139" s="54"/>
      <c r="DN2139" s="54"/>
    </row>
    <row r="2140" spans="39:118">
      <c r="AM2140" s="55"/>
      <c r="AT2140" s="43"/>
      <c r="AV2140" s="55"/>
      <c r="CJ2140" s="43"/>
      <c r="DF2140" s="55"/>
      <c r="DG2140" s="53"/>
      <c r="DL2140" s="54"/>
      <c r="DM2140" s="54"/>
      <c r="DN2140" s="54"/>
    </row>
    <row r="2141" spans="39:118">
      <c r="AM2141" s="55"/>
      <c r="AT2141" s="43"/>
      <c r="AV2141" s="55"/>
      <c r="CJ2141" s="43"/>
      <c r="DF2141" s="55"/>
      <c r="DG2141" s="53"/>
      <c r="DL2141" s="54"/>
      <c r="DM2141" s="54"/>
      <c r="DN2141" s="54"/>
    </row>
    <row r="2142" spans="39:118">
      <c r="AM2142" s="55"/>
      <c r="AT2142" s="43"/>
      <c r="AV2142" s="55"/>
      <c r="CJ2142" s="43"/>
      <c r="DF2142" s="55"/>
      <c r="DG2142" s="53"/>
      <c r="DL2142" s="54"/>
      <c r="DM2142" s="54"/>
      <c r="DN2142" s="54"/>
    </row>
    <row r="2143" spans="39:118">
      <c r="AM2143" s="55"/>
      <c r="AT2143" s="43"/>
      <c r="AV2143" s="55"/>
      <c r="CJ2143" s="43"/>
      <c r="DF2143" s="55"/>
      <c r="DG2143" s="53"/>
      <c r="DL2143" s="54"/>
      <c r="DM2143" s="54"/>
      <c r="DN2143" s="54"/>
    </row>
    <row r="2144" spans="39:118">
      <c r="AM2144" s="55"/>
      <c r="AT2144" s="43"/>
      <c r="AV2144" s="55"/>
      <c r="CJ2144" s="43"/>
      <c r="DF2144" s="55"/>
      <c r="DG2144" s="53"/>
      <c r="DL2144" s="54"/>
      <c r="DM2144" s="54"/>
      <c r="DN2144" s="54"/>
    </row>
    <row r="2145" spans="39:118">
      <c r="AM2145" s="55"/>
      <c r="AT2145" s="43"/>
      <c r="AV2145" s="55"/>
      <c r="CJ2145" s="43"/>
      <c r="DF2145" s="55"/>
      <c r="DG2145" s="53"/>
      <c r="DL2145" s="54"/>
      <c r="DM2145" s="54"/>
      <c r="DN2145" s="54"/>
    </row>
    <row r="2146" spans="39:118">
      <c r="AM2146" s="55"/>
      <c r="AT2146" s="43"/>
      <c r="AV2146" s="55"/>
      <c r="CJ2146" s="43"/>
      <c r="DF2146" s="55"/>
      <c r="DG2146" s="53"/>
      <c r="DL2146" s="54"/>
      <c r="DM2146" s="54"/>
      <c r="DN2146" s="54"/>
    </row>
    <row r="2147" spans="39:118">
      <c r="AM2147" s="55"/>
      <c r="AT2147" s="43"/>
      <c r="AV2147" s="55"/>
      <c r="CJ2147" s="43"/>
      <c r="DF2147" s="55"/>
      <c r="DG2147" s="53"/>
      <c r="DL2147" s="54"/>
      <c r="DM2147" s="54"/>
      <c r="DN2147" s="54"/>
    </row>
    <row r="2148" spans="39:118">
      <c r="AM2148" s="55"/>
      <c r="AT2148" s="43"/>
      <c r="AV2148" s="55"/>
      <c r="CJ2148" s="43"/>
      <c r="DF2148" s="55"/>
      <c r="DG2148" s="53"/>
      <c r="DL2148" s="54"/>
      <c r="DM2148" s="54"/>
      <c r="DN2148" s="54"/>
    </row>
    <row r="2149" spans="39:118">
      <c r="AM2149" s="55"/>
      <c r="AT2149" s="43"/>
      <c r="AV2149" s="55"/>
      <c r="CJ2149" s="43"/>
      <c r="DF2149" s="55"/>
      <c r="DG2149" s="53"/>
      <c r="DL2149" s="54"/>
      <c r="DM2149" s="54"/>
      <c r="DN2149" s="54"/>
    </row>
    <row r="2150" spans="39:118">
      <c r="AM2150" s="55"/>
      <c r="AT2150" s="43"/>
      <c r="AV2150" s="55"/>
      <c r="CJ2150" s="43"/>
      <c r="DF2150" s="55"/>
      <c r="DG2150" s="53"/>
      <c r="DL2150" s="54"/>
      <c r="DM2150" s="54"/>
      <c r="DN2150" s="54"/>
    </row>
    <row r="2151" spans="39:118">
      <c r="AM2151" s="55"/>
      <c r="AT2151" s="43"/>
      <c r="AV2151" s="55"/>
      <c r="CJ2151" s="43"/>
      <c r="DF2151" s="55"/>
      <c r="DG2151" s="53"/>
      <c r="DL2151" s="54"/>
      <c r="DM2151" s="54"/>
      <c r="DN2151" s="54"/>
    </row>
    <row r="2152" spans="39:118">
      <c r="AM2152" s="55"/>
      <c r="AT2152" s="43"/>
      <c r="AV2152" s="55"/>
      <c r="CJ2152" s="43"/>
      <c r="DF2152" s="55"/>
      <c r="DG2152" s="53"/>
      <c r="DL2152" s="54"/>
      <c r="DM2152" s="54"/>
      <c r="DN2152" s="54"/>
    </row>
    <row r="2153" spans="39:118">
      <c r="AM2153" s="55"/>
      <c r="AT2153" s="43"/>
      <c r="AV2153" s="55"/>
      <c r="CJ2153" s="43"/>
      <c r="DF2153" s="55"/>
      <c r="DG2153" s="53"/>
      <c r="DL2153" s="54"/>
      <c r="DM2153" s="54"/>
      <c r="DN2153" s="54"/>
    </row>
    <row r="2154" spans="39:118">
      <c r="AM2154" s="55"/>
      <c r="AT2154" s="43"/>
      <c r="AV2154" s="55"/>
      <c r="CJ2154" s="43"/>
      <c r="DF2154" s="55"/>
      <c r="DG2154" s="53"/>
      <c r="DL2154" s="54"/>
      <c r="DM2154" s="54"/>
      <c r="DN2154" s="54"/>
    </row>
    <row r="2155" spans="39:118">
      <c r="AM2155" s="55"/>
      <c r="AT2155" s="43"/>
      <c r="AV2155" s="55"/>
      <c r="CJ2155" s="43"/>
      <c r="DF2155" s="55"/>
      <c r="DG2155" s="53"/>
      <c r="DL2155" s="54"/>
      <c r="DM2155" s="54"/>
      <c r="DN2155" s="54"/>
    </row>
    <row r="2156" spans="39:118">
      <c r="AM2156" s="55"/>
      <c r="AT2156" s="43"/>
      <c r="AV2156" s="55"/>
      <c r="CJ2156" s="43"/>
      <c r="DF2156" s="55"/>
      <c r="DG2156" s="53"/>
      <c r="DL2156" s="54"/>
      <c r="DM2156" s="54"/>
      <c r="DN2156" s="54"/>
    </row>
    <row r="2157" spans="39:118">
      <c r="AM2157" s="55"/>
      <c r="AT2157" s="43"/>
      <c r="AV2157" s="55"/>
      <c r="CJ2157" s="43"/>
      <c r="DF2157" s="55"/>
      <c r="DG2157" s="53"/>
      <c r="DL2157" s="54"/>
      <c r="DM2157" s="54"/>
      <c r="DN2157" s="54"/>
    </row>
    <row r="2158" spans="39:118">
      <c r="AM2158" s="55"/>
      <c r="AT2158" s="43"/>
      <c r="AV2158" s="55"/>
      <c r="CJ2158" s="43"/>
      <c r="DF2158" s="55"/>
      <c r="DG2158" s="53"/>
      <c r="DL2158" s="54"/>
      <c r="DM2158" s="54"/>
      <c r="DN2158" s="54"/>
    </row>
    <row r="2159" spans="39:118">
      <c r="AM2159" s="55"/>
      <c r="AT2159" s="43"/>
      <c r="AV2159" s="55"/>
      <c r="CJ2159" s="43"/>
      <c r="DF2159" s="55"/>
      <c r="DG2159" s="53"/>
      <c r="DL2159" s="54"/>
      <c r="DM2159" s="54"/>
      <c r="DN2159" s="54"/>
    </row>
    <row r="2160" spans="39:118">
      <c r="AM2160" s="55"/>
      <c r="AT2160" s="43"/>
      <c r="AV2160" s="55"/>
      <c r="CJ2160" s="43"/>
      <c r="DF2160" s="55"/>
      <c r="DG2160" s="53"/>
      <c r="DL2160" s="54"/>
      <c r="DM2160" s="54"/>
      <c r="DN2160" s="54"/>
    </row>
    <row r="2161" spans="39:118">
      <c r="AM2161" s="55"/>
      <c r="AT2161" s="43"/>
      <c r="AV2161" s="55"/>
      <c r="CJ2161" s="43"/>
      <c r="DF2161" s="55"/>
      <c r="DG2161" s="53"/>
      <c r="DL2161" s="54"/>
      <c r="DM2161" s="54"/>
      <c r="DN2161" s="54"/>
    </row>
    <row r="2162" spans="39:118">
      <c r="AM2162" s="55"/>
      <c r="AT2162" s="43"/>
      <c r="AV2162" s="55"/>
      <c r="CJ2162" s="43"/>
      <c r="DF2162" s="55"/>
      <c r="DG2162" s="53"/>
      <c r="DL2162" s="54"/>
      <c r="DM2162" s="54"/>
      <c r="DN2162" s="54"/>
    </row>
    <row r="2163" spans="39:118">
      <c r="AM2163" s="55"/>
      <c r="AT2163" s="43"/>
      <c r="AV2163" s="55"/>
      <c r="CJ2163" s="43"/>
      <c r="DF2163" s="55"/>
      <c r="DG2163" s="53"/>
      <c r="DL2163" s="54"/>
      <c r="DM2163" s="54"/>
      <c r="DN2163" s="54"/>
    </row>
    <row r="2164" spans="39:118">
      <c r="AM2164" s="55"/>
      <c r="AT2164" s="43"/>
      <c r="AV2164" s="55"/>
      <c r="CJ2164" s="43"/>
      <c r="DF2164" s="55"/>
      <c r="DG2164" s="53"/>
      <c r="DL2164" s="54"/>
      <c r="DM2164" s="54"/>
      <c r="DN2164" s="54"/>
    </row>
    <row r="2165" spans="39:118">
      <c r="AM2165" s="55"/>
      <c r="AT2165" s="43"/>
      <c r="AV2165" s="55"/>
      <c r="CJ2165" s="43"/>
      <c r="DF2165" s="55"/>
      <c r="DG2165" s="53"/>
      <c r="DL2165" s="54"/>
      <c r="DM2165" s="54"/>
      <c r="DN2165" s="54"/>
    </row>
    <row r="2166" spans="39:118">
      <c r="AM2166" s="55"/>
      <c r="AT2166" s="43"/>
      <c r="AV2166" s="55"/>
      <c r="CJ2166" s="43"/>
      <c r="DF2166" s="55"/>
      <c r="DG2166" s="53"/>
      <c r="DL2166" s="54"/>
      <c r="DM2166" s="54"/>
      <c r="DN2166" s="54"/>
    </row>
    <row r="2167" spans="39:118">
      <c r="AM2167" s="55"/>
      <c r="AT2167" s="43"/>
      <c r="AV2167" s="55"/>
      <c r="CJ2167" s="43"/>
      <c r="DF2167" s="55"/>
      <c r="DG2167" s="53"/>
      <c r="DL2167" s="54"/>
      <c r="DM2167" s="54"/>
      <c r="DN2167" s="54"/>
    </row>
    <row r="2168" spans="39:118">
      <c r="AM2168" s="55"/>
      <c r="AT2168" s="43"/>
      <c r="AV2168" s="55"/>
      <c r="CJ2168" s="43"/>
      <c r="DF2168" s="55"/>
      <c r="DG2168" s="53"/>
      <c r="DL2168" s="54"/>
      <c r="DM2168" s="54"/>
      <c r="DN2168" s="54"/>
    </row>
    <row r="2169" spans="39:118">
      <c r="AM2169" s="55"/>
      <c r="AT2169" s="43"/>
      <c r="AV2169" s="55"/>
      <c r="CJ2169" s="43"/>
      <c r="DF2169" s="55"/>
      <c r="DG2169" s="53"/>
      <c r="DL2169" s="54"/>
      <c r="DM2169" s="54"/>
      <c r="DN2169" s="54"/>
    </row>
    <row r="2170" spans="39:118">
      <c r="AM2170" s="55"/>
      <c r="AT2170" s="43"/>
      <c r="AV2170" s="55"/>
      <c r="CJ2170" s="43"/>
      <c r="DF2170" s="55"/>
      <c r="DG2170" s="53"/>
      <c r="DL2170" s="54"/>
      <c r="DM2170" s="54"/>
      <c r="DN2170" s="54"/>
    </row>
    <row r="2171" spans="39:118">
      <c r="AM2171" s="55"/>
      <c r="AT2171" s="43"/>
      <c r="AV2171" s="55"/>
      <c r="CJ2171" s="43"/>
      <c r="DF2171" s="55"/>
      <c r="DG2171" s="53"/>
      <c r="DL2171" s="54"/>
      <c r="DM2171" s="54"/>
      <c r="DN2171" s="54"/>
    </row>
    <row r="2172" spans="39:118">
      <c r="AM2172" s="55"/>
      <c r="AT2172" s="43"/>
      <c r="AV2172" s="55"/>
      <c r="CJ2172" s="43"/>
      <c r="DF2172" s="55"/>
      <c r="DG2172" s="53"/>
      <c r="DL2172" s="54"/>
      <c r="DM2172" s="54"/>
      <c r="DN2172" s="54"/>
    </row>
    <row r="2173" spans="39:118">
      <c r="AM2173" s="55"/>
      <c r="AT2173" s="43"/>
      <c r="AV2173" s="55"/>
      <c r="CJ2173" s="43"/>
      <c r="DF2173" s="55"/>
      <c r="DG2173" s="53"/>
      <c r="DL2173" s="54"/>
      <c r="DM2173" s="54"/>
      <c r="DN2173" s="54"/>
    </row>
    <row r="2174" spans="39:118">
      <c r="AM2174" s="55"/>
      <c r="AT2174" s="43"/>
      <c r="AV2174" s="55"/>
      <c r="CJ2174" s="43"/>
      <c r="DF2174" s="55"/>
      <c r="DG2174" s="53"/>
      <c r="DL2174" s="54"/>
      <c r="DM2174" s="54"/>
      <c r="DN2174" s="54"/>
    </row>
    <row r="2175" spans="39:118">
      <c r="AM2175" s="55"/>
      <c r="AT2175" s="43"/>
      <c r="AV2175" s="55"/>
      <c r="CJ2175" s="43"/>
      <c r="DF2175" s="55"/>
      <c r="DG2175" s="53"/>
      <c r="DL2175" s="54"/>
      <c r="DM2175" s="54"/>
      <c r="DN2175" s="54"/>
    </row>
    <row r="2176" spans="39:118">
      <c r="AM2176" s="55"/>
      <c r="AT2176" s="43"/>
      <c r="AV2176" s="55"/>
      <c r="CJ2176" s="43"/>
      <c r="DF2176" s="55"/>
      <c r="DG2176" s="53"/>
      <c r="DL2176" s="54"/>
      <c r="DM2176" s="54"/>
      <c r="DN2176" s="54"/>
    </row>
    <row r="2177" spans="39:118">
      <c r="AM2177" s="55"/>
      <c r="AT2177" s="43"/>
      <c r="AV2177" s="55"/>
      <c r="CJ2177" s="43"/>
      <c r="DF2177" s="55"/>
      <c r="DG2177" s="53"/>
      <c r="DL2177" s="54"/>
      <c r="DM2177" s="54"/>
      <c r="DN2177" s="54"/>
    </row>
    <row r="2178" spans="39:118">
      <c r="AM2178" s="55"/>
      <c r="AT2178" s="43"/>
      <c r="AV2178" s="55"/>
      <c r="CJ2178" s="43"/>
      <c r="DF2178" s="55"/>
      <c r="DG2178" s="53"/>
      <c r="DL2178" s="54"/>
      <c r="DM2178" s="54"/>
      <c r="DN2178" s="54"/>
    </row>
    <row r="2179" spans="39:118">
      <c r="AM2179" s="55"/>
      <c r="AT2179" s="43"/>
      <c r="AV2179" s="55"/>
      <c r="CJ2179" s="43"/>
      <c r="DF2179" s="55"/>
      <c r="DG2179" s="53"/>
      <c r="DL2179" s="54"/>
      <c r="DM2179" s="54"/>
      <c r="DN2179" s="54"/>
    </row>
    <row r="2180" spans="39:118">
      <c r="AM2180" s="55"/>
      <c r="AT2180" s="43"/>
      <c r="AV2180" s="55"/>
      <c r="CJ2180" s="43"/>
      <c r="DF2180" s="55"/>
      <c r="DG2180" s="53"/>
      <c r="DL2180" s="54"/>
      <c r="DM2180" s="54"/>
      <c r="DN2180" s="54"/>
    </row>
    <row r="2181" spans="39:118">
      <c r="AM2181" s="55"/>
      <c r="AT2181" s="43"/>
      <c r="AV2181" s="55"/>
      <c r="CJ2181" s="43"/>
      <c r="DF2181" s="55"/>
      <c r="DG2181" s="53"/>
      <c r="DL2181" s="54"/>
      <c r="DM2181" s="54"/>
      <c r="DN2181" s="54"/>
    </row>
    <row r="2182" spans="39:118">
      <c r="AM2182" s="55"/>
      <c r="AT2182" s="43"/>
      <c r="AV2182" s="55"/>
      <c r="CJ2182" s="43"/>
      <c r="DF2182" s="55"/>
      <c r="DG2182" s="53"/>
      <c r="DL2182" s="54"/>
      <c r="DM2182" s="54"/>
      <c r="DN2182" s="54"/>
    </row>
    <row r="2183" spans="39:118">
      <c r="AM2183" s="55"/>
      <c r="AT2183" s="43"/>
      <c r="AV2183" s="55"/>
      <c r="CJ2183" s="43"/>
      <c r="DF2183" s="55"/>
      <c r="DG2183" s="53"/>
      <c r="DL2183" s="54"/>
      <c r="DM2183" s="54"/>
      <c r="DN2183" s="54"/>
    </row>
    <row r="2184" spans="39:118">
      <c r="AM2184" s="55"/>
      <c r="AT2184" s="43"/>
      <c r="AV2184" s="55"/>
      <c r="CJ2184" s="43"/>
      <c r="DF2184" s="55"/>
      <c r="DG2184" s="53"/>
      <c r="DL2184" s="54"/>
      <c r="DM2184" s="54"/>
      <c r="DN2184" s="54"/>
    </row>
    <row r="2185" spans="39:118">
      <c r="AM2185" s="55"/>
      <c r="AT2185" s="43"/>
      <c r="AV2185" s="55"/>
      <c r="CJ2185" s="43"/>
      <c r="DF2185" s="55"/>
      <c r="DG2185" s="53"/>
      <c r="DL2185" s="54"/>
      <c r="DM2185" s="54"/>
      <c r="DN2185" s="54"/>
    </row>
    <row r="2186" spans="39:118">
      <c r="AM2186" s="55"/>
      <c r="AT2186" s="43"/>
      <c r="AV2186" s="55"/>
      <c r="CJ2186" s="43"/>
      <c r="DF2186" s="55"/>
      <c r="DG2186" s="53"/>
      <c r="DL2186" s="54"/>
      <c r="DM2186" s="54"/>
      <c r="DN2186" s="54"/>
    </row>
    <row r="2187" spans="39:118">
      <c r="AM2187" s="55"/>
      <c r="AT2187" s="43"/>
      <c r="AV2187" s="55"/>
      <c r="CJ2187" s="43"/>
      <c r="DF2187" s="55"/>
      <c r="DG2187" s="53"/>
      <c r="DL2187" s="54"/>
      <c r="DM2187" s="54"/>
      <c r="DN2187" s="54"/>
    </row>
    <row r="2188" spans="39:118">
      <c r="AM2188" s="55"/>
      <c r="AT2188" s="43"/>
      <c r="AV2188" s="55"/>
      <c r="CJ2188" s="43"/>
      <c r="DF2188" s="55"/>
      <c r="DG2188" s="53"/>
      <c r="DL2188" s="54"/>
      <c r="DM2188" s="54"/>
      <c r="DN2188" s="54"/>
    </row>
    <row r="2189" spans="39:118">
      <c r="AM2189" s="55"/>
      <c r="AT2189" s="43"/>
      <c r="AV2189" s="55"/>
      <c r="CJ2189" s="43"/>
      <c r="DF2189" s="55"/>
      <c r="DG2189" s="53"/>
      <c r="DL2189" s="54"/>
      <c r="DM2189" s="54"/>
      <c r="DN2189" s="54"/>
    </row>
    <row r="2190" spans="39:118">
      <c r="AM2190" s="55"/>
      <c r="AT2190" s="43"/>
      <c r="AV2190" s="55"/>
      <c r="CJ2190" s="43"/>
      <c r="DF2190" s="55"/>
      <c r="DG2190" s="53"/>
      <c r="DL2190" s="54"/>
      <c r="DM2190" s="54"/>
      <c r="DN2190" s="54"/>
    </row>
    <row r="2191" spans="39:118">
      <c r="AM2191" s="55"/>
      <c r="AT2191" s="43"/>
      <c r="AV2191" s="55"/>
      <c r="CJ2191" s="43"/>
      <c r="DF2191" s="55"/>
      <c r="DG2191" s="53"/>
      <c r="DL2191" s="54"/>
      <c r="DM2191" s="54"/>
      <c r="DN2191" s="54"/>
    </row>
    <row r="2192" spans="39:118">
      <c r="AM2192" s="55"/>
      <c r="AT2192" s="43"/>
      <c r="AV2192" s="55"/>
      <c r="CJ2192" s="43"/>
      <c r="DF2192" s="55"/>
      <c r="DG2192" s="53"/>
      <c r="DL2192" s="54"/>
      <c r="DM2192" s="54"/>
      <c r="DN2192" s="54"/>
    </row>
    <row r="2193" spans="39:118">
      <c r="AM2193" s="55"/>
      <c r="AT2193" s="43"/>
      <c r="AV2193" s="55"/>
      <c r="CJ2193" s="43"/>
      <c r="DF2193" s="55"/>
      <c r="DG2193" s="53"/>
      <c r="DL2193" s="54"/>
      <c r="DM2193" s="54"/>
      <c r="DN2193" s="54"/>
    </row>
    <row r="2194" spans="39:118">
      <c r="AM2194" s="55"/>
      <c r="AT2194" s="43"/>
      <c r="AV2194" s="55"/>
      <c r="CJ2194" s="43"/>
      <c r="DF2194" s="55"/>
      <c r="DG2194" s="53"/>
      <c r="DL2194" s="54"/>
      <c r="DM2194" s="54"/>
      <c r="DN2194" s="54"/>
    </row>
    <row r="2195" spans="39:118">
      <c r="AM2195" s="55"/>
      <c r="AT2195" s="43"/>
      <c r="AV2195" s="55"/>
      <c r="CJ2195" s="43"/>
      <c r="DF2195" s="55"/>
      <c r="DG2195" s="53"/>
      <c r="DL2195" s="54"/>
      <c r="DM2195" s="54"/>
      <c r="DN2195" s="54"/>
    </row>
    <row r="2196" spans="39:118">
      <c r="AM2196" s="55"/>
      <c r="AT2196" s="43"/>
      <c r="AV2196" s="55"/>
      <c r="CJ2196" s="43"/>
      <c r="DF2196" s="55"/>
      <c r="DG2196" s="53"/>
      <c r="DL2196" s="54"/>
      <c r="DM2196" s="54"/>
      <c r="DN2196" s="54"/>
    </row>
    <row r="2197" spans="39:118">
      <c r="AM2197" s="55"/>
      <c r="AT2197" s="43"/>
      <c r="AV2197" s="55"/>
      <c r="CJ2197" s="43"/>
      <c r="DF2197" s="55"/>
      <c r="DG2197" s="53"/>
      <c r="DL2197" s="54"/>
      <c r="DM2197" s="54"/>
      <c r="DN2197" s="54"/>
    </row>
    <row r="2198" spans="39:118">
      <c r="AM2198" s="55"/>
      <c r="AT2198" s="43"/>
      <c r="AV2198" s="55"/>
      <c r="CJ2198" s="43"/>
      <c r="DF2198" s="55"/>
      <c r="DG2198" s="53"/>
      <c r="DL2198" s="54"/>
      <c r="DM2198" s="54"/>
      <c r="DN2198" s="54"/>
    </row>
    <row r="2199" spans="39:118">
      <c r="AM2199" s="55"/>
      <c r="AT2199" s="43"/>
      <c r="AV2199" s="55"/>
      <c r="CJ2199" s="43"/>
      <c r="DF2199" s="55"/>
      <c r="DG2199" s="53"/>
      <c r="DL2199" s="54"/>
      <c r="DM2199" s="54"/>
      <c r="DN2199" s="54"/>
    </row>
    <row r="2200" spans="39:118">
      <c r="AM2200" s="55"/>
      <c r="AT2200" s="43"/>
      <c r="AV2200" s="55"/>
      <c r="CJ2200" s="43"/>
      <c r="DF2200" s="55"/>
      <c r="DG2200" s="53"/>
      <c r="DL2200" s="54"/>
      <c r="DM2200" s="54"/>
      <c r="DN2200" s="54"/>
    </row>
    <row r="2201" spans="39:118">
      <c r="AM2201" s="55"/>
      <c r="AT2201" s="43"/>
      <c r="AV2201" s="55"/>
      <c r="CJ2201" s="43"/>
      <c r="DF2201" s="55"/>
      <c r="DG2201" s="53"/>
      <c r="DL2201" s="54"/>
      <c r="DM2201" s="54"/>
      <c r="DN2201" s="54"/>
    </row>
    <row r="2202" spans="39:118">
      <c r="AM2202" s="55"/>
      <c r="AT2202" s="43"/>
      <c r="AV2202" s="55"/>
      <c r="CJ2202" s="43"/>
      <c r="DF2202" s="55"/>
      <c r="DG2202" s="53"/>
      <c r="DL2202" s="54"/>
      <c r="DM2202" s="54"/>
      <c r="DN2202" s="54"/>
    </row>
    <row r="2203" spans="39:118">
      <c r="AM2203" s="55"/>
      <c r="AT2203" s="43"/>
      <c r="AV2203" s="55"/>
      <c r="CJ2203" s="43"/>
      <c r="DF2203" s="55"/>
      <c r="DG2203" s="53"/>
      <c r="DL2203" s="54"/>
      <c r="DM2203" s="54"/>
      <c r="DN2203" s="54"/>
    </row>
    <row r="2204" spans="39:118">
      <c r="AM2204" s="55"/>
      <c r="AT2204" s="43"/>
      <c r="AV2204" s="55"/>
      <c r="CJ2204" s="43"/>
      <c r="DF2204" s="55"/>
      <c r="DG2204" s="53"/>
      <c r="DL2204" s="54"/>
      <c r="DM2204" s="54"/>
      <c r="DN2204" s="54"/>
    </row>
    <row r="2205" spans="39:118">
      <c r="AM2205" s="55"/>
      <c r="AT2205" s="43"/>
      <c r="AV2205" s="55"/>
      <c r="CJ2205" s="43"/>
      <c r="DF2205" s="55"/>
      <c r="DG2205" s="53"/>
      <c r="DL2205" s="54"/>
      <c r="DM2205" s="54"/>
      <c r="DN2205" s="54"/>
    </row>
    <row r="2206" spans="39:118">
      <c r="AM2206" s="55"/>
      <c r="AT2206" s="43"/>
      <c r="AV2206" s="55"/>
      <c r="CJ2206" s="43"/>
      <c r="DF2206" s="55"/>
      <c r="DG2206" s="53"/>
      <c r="DL2206" s="54"/>
      <c r="DM2206" s="54"/>
      <c r="DN2206" s="54"/>
    </row>
    <row r="2207" spans="39:118">
      <c r="AM2207" s="55"/>
      <c r="AT2207" s="43"/>
      <c r="AV2207" s="55"/>
      <c r="CJ2207" s="43"/>
      <c r="DF2207" s="55"/>
      <c r="DG2207" s="53"/>
      <c r="DL2207" s="54"/>
      <c r="DM2207" s="54"/>
      <c r="DN2207" s="54"/>
    </row>
    <row r="2208" spans="39:118">
      <c r="AM2208" s="55"/>
      <c r="AT2208" s="43"/>
      <c r="AV2208" s="55"/>
      <c r="CJ2208" s="43"/>
      <c r="DF2208" s="55"/>
      <c r="DG2208" s="53"/>
      <c r="DL2208" s="54"/>
      <c r="DM2208" s="54"/>
      <c r="DN2208" s="54"/>
    </row>
    <row r="2209" spans="39:118">
      <c r="AM2209" s="55"/>
      <c r="AT2209" s="43"/>
      <c r="AV2209" s="55"/>
      <c r="CJ2209" s="43"/>
      <c r="DF2209" s="55"/>
      <c r="DG2209" s="53"/>
      <c r="DL2209" s="54"/>
      <c r="DM2209" s="54"/>
      <c r="DN2209" s="54"/>
    </row>
    <row r="2210" spans="39:118">
      <c r="AM2210" s="55"/>
      <c r="AT2210" s="43"/>
      <c r="AV2210" s="55"/>
      <c r="CJ2210" s="43"/>
      <c r="DF2210" s="55"/>
      <c r="DG2210" s="53"/>
      <c r="DL2210" s="54"/>
      <c r="DM2210" s="54"/>
      <c r="DN2210" s="54"/>
    </row>
    <row r="2211" spans="39:118">
      <c r="AM2211" s="55"/>
      <c r="AT2211" s="43"/>
      <c r="AV2211" s="55"/>
      <c r="CJ2211" s="43"/>
      <c r="DF2211" s="55"/>
      <c r="DG2211" s="53"/>
      <c r="DL2211" s="54"/>
      <c r="DM2211" s="54"/>
      <c r="DN2211" s="54"/>
    </row>
    <row r="2212" spans="39:118">
      <c r="AM2212" s="55"/>
      <c r="AT2212" s="43"/>
      <c r="AV2212" s="55"/>
      <c r="CJ2212" s="43"/>
      <c r="DF2212" s="55"/>
      <c r="DG2212" s="53"/>
      <c r="DL2212" s="54"/>
      <c r="DM2212" s="54"/>
      <c r="DN2212" s="54"/>
    </row>
    <row r="2213" spans="39:118">
      <c r="AM2213" s="55"/>
      <c r="AT2213" s="43"/>
      <c r="AV2213" s="55"/>
      <c r="CJ2213" s="43"/>
      <c r="DF2213" s="55"/>
      <c r="DG2213" s="53"/>
      <c r="DL2213" s="54"/>
      <c r="DM2213" s="54"/>
      <c r="DN2213" s="54"/>
    </row>
    <row r="2214" spans="39:118">
      <c r="AM2214" s="55"/>
      <c r="AT2214" s="43"/>
      <c r="AV2214" s="55"/>
      <c r="CJ2214" s="43"/>
      <c r="DF2214" s="55"/>
      <c r="DG2214" s="53"/>
      <c r="DL2214" s="54"/>
      <c r="DM2214" s="54"/>
      <c r="DN2214" s="54"/>
    </row>
    <row r="2215" spans="39:118">
      <c r="AM2215" s="55"/>
      <c r="AT2215" s="43"/>
      <c r="AV2215" s="55"/>
      <c r="CJ2215" s="43"/>
      <c r="DF2215" s="55"/>
      <c r="DG2215" s="53"/>
      <c r="DL2215" s="54"/>
      <c r="DM2215" s="54"/>
      <c r="DN2215" s="54"/>
    </row>
    <row r="2216" spans="39:118">
      <c r="AM2216" s="55"/>
      <c r="AT2216" s="43"/>
      <c r="AV2216" s="55"/>
      <c r="CJ2216" s="43"/>
      <c r="DF2216" s="55"/>
      <c r="DG2216" s="53"/>
      <c r="DL2216" s="54"/>
      <c r="DM2216" s="54"/>
      <c r="DN2216" s="54"/>
    </row>
    <row r="2217" spans="39:118">
      <c r="AM2217" s="55"/>
      <c r="AT2217" s="43"/>
      <c r="AV2217" s="55"/>
      <c r="CJ2217" s="43"/>
      <c r="DF2217" s="55"/>
      <c r="DG2217" s="53"/>
      <c r="DL2217" s="54"/>
      <c r="DM2217" s="54"/>
      <c r="DN2217" s="54"/>
    </row>
    <row r="2218" spans="39:118">
      <c r="AM2218" s="55"/>
      <c r="AT2218" s="43"/>
      <c r="AV2218" s="55"/>
      <c r="CJ2218" s="43"/>
      <c r="DF2218" s="55"/>
      <c r="DG2218" s="53"/>
      <c r="DL2218" s="54"/>
      <c r="DM2218" s="54"/>
      <c r="DN2218" s="54"/>
    </row>
    <row r="2219" spans="39:118">
      <c r="AM2219" s="55"/>
      <c r="AT2219" s="43"/>
      <c r="AV2219" s="55"/>
      <c r="CJ2219" s="43"/>
      <c r="DF2219" s="55"/>
      <c r="DG2219" s="53"/>
      <c r="DL2219" s="54"/>
      <c r="DM2219" s="54"/>
      <c r="DN2219" s="54"/>
    </row>
    <row r="2220" spans="39:118">
      <c r="AM2220" s="55"/>
      <c r="AT2220" s="43"/>
      <c r="AV2220" s="55"/>
      <c r="CJ2220" s="43"/>
      <c r="DF2220" s="55"/>
      <c r="DG2220" s="53"/>
      <c r="DL2220" s="54"/>
      <c r="DM2220" s="54"/>
      <c r="DN2220" s="54"/>
    </row>
    <row r="2221" spans="39:118">
      <c r="AM2221" s="55"/>
      <c r="AT2221" s="43"/>
      <c r="AV2221" s="55"/>
      <c r="CJ2221" s="43"/>
      <c r="DF2221" s="55"/>
      <c r="DG2221" s="53"/>
      <c r="DL2221" s="54"/>
      <c r="DM2221" s="54"/>
      <c r="DN2221" s="54"/>
    </row>
    <row r="2222" spans="39:118">
      <c r="AM2222" s="55"/>
      <c r="AT2222" s="43"/>
      <c r="AV2222" s="55"/>
      <c r="CJ2222" s="43"/>
      <c r="DF2222" s="55"/>
      <c r="DG2222" s="53"/>
      <c r="DL2222" s="54"/>
      <c r="DM2222" s="54"/>
      <c r="DN2222" s="54"/>
    </row>
    <row r="2223" spans="39:118">
      <c r="AM2223" s="55"/>
      <c r="AT2223" s="43"/>
      <c r="AV2223" s="55"/>
      <c r="CJ2223" s="43"/>
      <c r="DF2223" s="55"/>
      <c r="DG2223" s="53"/>
      <c r="DL2223" s="54"/>
      <c r="DM2223" s="54"/>
      <c r="DN2223" s="54"/>
    </row>
    <row r="2224" spans="39:118">
      <c r="AM2224" s="55"/>
      <c r="AT2224" s="43"/>
      <c r="AV2224" s="55"/>
      <c r="CJ2224" s="43"/>
      <c r="DF2224" s="55"/>
      <c r="DG2224" s="53"/>
      <c r="DL2224" s="54"/>
      <c r="DM2224" s="54"/>
      <c r="DN2224" s="54"/>
    </row>
    <row r="2225" spans="39:118">
      <c r="AM2225" s="55"/>
      <c r="AT2225" s="43"/>
      <c r="AV2225" s="55"/>
      <c r="CJ2225" s="43"/>
      <c r="DF2225" s="55"/>
      <c r="DG2225" s="53"/>
      <c r="DL2225" s="54"/>
      <c r="DM2225" s="54"/>
      <c r="DN2225" s="54"/>
    </row>
    <row r="2226" spans="39:118">
      <c r="AM2226" s="55"/>
      <c r="AT2226" s="43"/>
      <c r="AV2226" s="55"/>
      <c r="CJ2226" s="43"/>
      <c r="DF2226" s="55"/>
      <c r="DG2226" s="53"/>
      <c r="DL2226" s="54"/>
      <c r="DM2226" s="54"/>
      <c r="DN2226" s="54"/>
    </row>
    <row r="2227" spans="39:118">
      <c r="AM2227" s="55"/>
      <c r="AT2227" s="43"/>
      <c r="AV2227" s="55"/>
      <c r="CJ2227" s="43"/>
      <c r="DF2227" s="55"/>
      <c r="DG2227" s="53"/>
      <c r="DL2227" s="54"/>
      <c r="DM2227" s="54"/>
      <c r="DN2227" s="54"/>
    </row>
    <row r="2228" spans="39:118">
      <c r="AM2228" s="55"/>
      <c r="AT2228" s="43"/>
      <c r="AV2228" s="55"/>
      <c r="CJ2228" s="43"/>
      <c r="DF2228" s="55"/>
      <c r="DG2228" s="53"/>
      <c r="DL2228" s="54"/>
      <c r="DM2228" s="54"/>
      <c r="DN2228" s="54"/>
    </row>
    <row r="2229" spans="39:118">
      <c r="AM2229" s="55"/>
      <c r="AT2229" s="43"/>
      <c r="AV2229" s="55"/>
      <c r="CJ2229" s="43"/>
      <c r="DF2229" s="55"/>
      <c r="DG2229" s="53"/>
      <c r="DL2229" s="54"/>
      <c r="DM2229" s="54"/>
      <c r="DN2229" s="54"/>
    </row>
    <row r="2230" spans="39:118">
      <c r="AM2230" s="55"/>
      <c r="AT2230" s="43"/>
      <c r="AV2230" s="55"/>
      <c r="CJ2230" s="43"/>
      <c r="DF2230" s="55"/>
      <c r="DG2230" s="53"/>
      <c r="DL2230" s="54"/>
      <c r="DM2230" s="54"/>
      <c r="DN2230" s="54"/>
    </row>
    <row r="2231" spans="39:118">
      <c r="AM2231" s="55"/>
      <c r="AT2231" s="43"/>
      <c r="AV2231" s="55"/>
      <c r="CJ2231" s="43"/>
      <c r="DF2231" s="55"/>
      <c r="DG2231" s="53"/>
      <c r="DL2231" s="54"/>
      <c r="DM2231" s="54"/>
      <c r="DN2231" s="54"/>
    </row>
    <row r="2232" spans="39:118">
      <c r="AM2232" s="55"/>
      <c r="AT2232" s="43"/>
      <c r="AV2232" s="55"/>
      <c r="CJ2232" s="43"/>
      <c r="DF2232" s="55"/>
      <c r="DG2232" s="53"/>
      <c r="DL2232" s="54"/>
      <c r="DM2232" s="54"/>
      <c r="DN2232" s="54"/>
    </row>
    <row r="2233" spans="39:118">
      <c r="AM2233" s="55"/>
      <c r="AT2233" s="43"/>
      <c r="AV2233" s="55"/>
      <c r="CJ2233" s="43"/>
      <c r="DF2233" s="55"/>
      <c r="DG2233" s="53"/>
      <c r="DL2233" s="54"/>
      <c r="DM2233" s="54"/>
      <c r="DN2233" s="54"/>
    </row>
    <row r="2234" spans="39:118">
      <c r="AM2234" s="55"/>
      <c r="AT2234" s="43"/>
      <c r="AV2234" s="55"/>
      <c r="CJ2234" s="43"/>
      <c r="DF2234" s="55"/>
      <c r="DG2234" s="53"/>
      <c r="DL2234" s="54"/>
      <c r="DM2234" s="54"/>
      <c r="DN2234" s="54"/>
    </row>
    <row r="2235" spans="39:118">
      <c r="AM2235" s="55"/>
      <c r="AT2235" s="43"/>
      <c r="AV2235" s="55"/>
      <c r="CJ2235" s="43"/>
      <c r="DF2235" s="55"/>
      <c r="DG2235" s="53"/>
      <c r="DL2235" s="54"/>
      <c r="DM2235" s="54"/>
      <c r="DN2235" s="54"/>
    </row>
    <row r="2236" spans="39:118">
      <c r="AM2236" s="55"/>
      <c r="AT2236" s="43"/>
      <c r="AV2236" s="55"/>
      <c r="CJ2236" s="43"/>
      <c r="DF2236" s="55"/>
      <c r="DG2236" s="53"/>
      <c r="DL2236" s="54"/>
      <c r="DM2236" s="54"/>
      <c r="DN2236" s="54"/>
    </row>
    <row r="2237" spans="39:118">
      <c r="AM2237" s="55"/>
      <c r="AT2237" s="43"/>
      <c r="AV2237" s="55"/>
      <c r="CJ2237" s="43"/>
      <c r="DF2237" s="55"/>
      <c r="DG2237" s="53"/>
      <c r="DL2237" s="54"/>
      <c r="DM2237" s="54"/>
      <c r="DN2237" s="54"/>
    </row>
    <row r="2238" spans="39:118">
      <c r="AM2238" s="55"/>
      <c r="AT2238" s="43"/>
      <c r="AV2238" s="55"/>
      <c r="CJ2238" s="43"/>
      <c r="DF2238" s="55"/>
      <c r="DG2238" s="53"/>
      <c r="DL2238" s="54"/>
      <c r="DM2238" s="54"/>
      <c r="DN2238" s="54"/>
    </row>
    <row r="2239" spans="39:118">
      <c r="AM2239" s="55"/>
      <c r="AT2239" s="43"/>
      <c r="AV2239" s="55"/>
      <c r="CJ2239" s="43"/>
      <c r="DF2239" s="55"/>
      <c r="DG2239" s="53"/>
      <c r="DL2239" s="54"/>
      <c r="DM2239" s="54"/>
      <c r="DN2239" s="54"/>
    </row>
    <row r="2240" spans="39:118">
      <c r="AM2240" s="55"/>
      <c r="AT2240" s="43"/>
      <c r="AV2240" s="55"/>
      <c r="CJ2240" s="43"/>
      <c r="DF2240" s="55"/>
      <c r="DG2240" s="53"/>
      <c r="DL2240" s="54"/>
      <c r="DM2240" s="54"/>
      <c r="DN2240" s="54"/>
    </row>
    <row r="2241" spans="39:118">
      <c r="AM2241" s="55"/>
      <c r="AT2241" s="43"/>
      <c r="AV2241" s="55"/>
      <c r="CJ2241" s="43"/>
      <c r="DF2241" s="55"/>
      <c r="DG2241" s="53"/>
      <c r="DL2241" s="54"/>
      <c r="DM2241" s="54"/>
      <c r="DN2241" s="54"/>
    </row>
    <row r="2242" spans="39:118">
      <c r="AM2242" s="55"/>
      <c r="AT2242" s="43"/>
      <c r="AV2242" s="55"/>
      <c r="CJ2242" s="43"/>
      <c r="DF2242" s="55"/>
      <c r="DG2242" s="53"/>
      <c r="DL2242" s="54"/>
      <c r="DM2242" s="54"/>
      <c r="DN2242" s="54"/>
    </row>
    <row r="2243" spans="39:118">
      <c r="AM2243" s="55"/>
      <c r="AT2243" s="43"/>
      <c r="AV2243" s="55"/>
      <c r="CJ2243" s="43"/>
      <c r="DF2243" s="55"/>
      <c r="DG2243" s="53"/>
      <c r="DL2243" s="54"/>
      <c r="DM2243" s="54"/>
      <c r="DN2243" s="54"/>
    </row>
    <row r="2244" spans="39:118">
      <c r="AM2244" s="55"/>
      <c r="AT2244" s="43"/>
      <c r="AV2244" s="55"/>
      <c r="CJ2244" s="43"/>
      <c r="DF2244" s="55"/>
      <c r="DG2244" s="53"/>
      <c r="DL2244" s="54"/>
      <c r="DM2244" s="54"/>
      <c r="DN2244" s="54"/>
    </row>
    <row r="2245" spans="39:118">
      <c r="AM2245" s="55"/>
      <c r="AT2245" s="43"/>
      <c r="AV2245" s="55"/>
      <c r="CJ2245" s="43"/>
      <c r="DF2245" s="55"/>
      <c r="DG2245" s="53"/>
      <c r="DL2245" s="54"/>
      <c r="DM2245" s="54"/>
      <c r="DN2245" s="54"/>
    </row>
    <row r="2246" spans="39:118">
      <c r="AM2246" s="55"/>
      <c r="AT2246" s="43"/>
      <c r="AV2246" s="55"/>
      <c r="CJ2246" s="43"/>
      <c r="DF2246" s="55"/>
      <c r="DG2246" s="53"/>
      <c r="DL2246" s="54"/>
      <c r="DM2246" s="54"/>
      <c r="DN2246" s="54"/>
    </row>
    <row r="2247" spans="39:118">
      <c r="AM2247" s="55"/>
      <c r="AT2247" s="43"/>
      <c r="AV2247" s="55"/>
      <c r="CJ2247" s="43"/>
      <c r="DF2247" s="55"/>
      <c r="DG2247" s="53"/>
      <c r="DL2247" s="54"/>
      <c r="DM2247" s="54"/>
      <c r="DN2247" s="54"/>
    </row>
    <row r="2248" spans="39:118">
      <c r="AM2248" s="55"/>
      <c r="AT2248" s="43"/>
      <c r="AV2248" s="55"/>
      <c r="CJ2248" s="43"/>
      <c r="DF2248" s="55"/>
      <c r="DG2248" s="53"/>
      <c r="DL2248" s="54"/>
      <c r="DM2248" s="54"/>
      <c r="DN2248" s="54"/>
    </row>
    <row r="2249" spans="39:118">
      <c r="AM2249" s="55"/>
      <c r="AT2249" s="43"/>
      <c r="AV2249" s="55"/>
      <c r="CJ2249" s="43"/>
      <c r="DF2249" s="55"/>
      <c r="DG2249" s="53"/>
      <c r="DL2249" s="54"/>
      <c r="DM2249" s="54"/>
      <c r="DN2249" s="54"/>
    </row>
    <row r="2250" spans="39:118">
      <c r="AM2250" s="55"/>
      <c r="AT2250" s="43"/>
      <c r="AV2250" s="55"/>
      <c r="CJ2250" s="43"/>
      <c r="DF2250" s="55"/>
      <c r="DG2250" s="53"/>
      <c r="DL2250" s="54"/>
      <c r="DM2250" s="54"/>
      <c r="DN2250" s="54"/>
    </row>
    <row r="2251" spans="39:118">
      <c r="AM2251" s="55"/>
      <c r="AT2251" s="43"/>
      <c r="AV2251" s="55"/>
      <c r="CJ2251" s="43"/>
      <c r="DF2251" s="55"/>
      <c r="DG2251" s="53"/>
      <c r="DL2251" s="54"/>
      <c r="DM2251" s="54"/>
      <c r="DN2251" s="54"/>
    </row>
    <row r="2252" spans="39:118">
      <c r="AM2252" s="55"/>
      <c r="AT2252" s="43"/>
      <c r="AV2252" s="55"/>
      <c r="CJ2252" s="43"/>
      <c r="DF2252" s="55"/>
      <c r="DG2252" s="53"/>
      <c r="DL2252" s="54"/>
      <c r="DM2252" s="54"/>
      <c r="DN2252" s="54"/>
    </row>
    <row r="2253" spans="39:118">
      <c r="AM2253" s="55"/>
      <c r="AT2253" s="43"/>
      <c r="AV2253" s="55"/>
      <c r="CJ2253" s="43"/>
      <c r="DF2253" s="55"/>
      <c r="DG2253" s="53"/>
      <c r="DL2253" s="54"/>
      <c r="DM2253" s="54"/>
      <c r="DN2253" s="54"/>
    </row>
    <row r="2254" spans="39:118">
      <c r="AM2254" s="55"/>
      <c r="AT2254" s="43"/>
      <c r="AV2254" s="55"/>
      <c r="CJ2254" s="43"/>
      <c r="DF2254" s="55"/>
      <c r="DG2254" s="53"/>
      <c r="DL2254" s="54"/>
      <c r="DM2254" s="54"/>
      <c r="DN2254" s="54"/>
    </row>
    <row r="2255" spans="39:118">
      <c r="AM2255" s="55"/>
      <c r="AT2255" s="43"/>
      <c r="AV2255" s="55"/>
      <c r="CJ2255" s="43"/>
      <c r="DF2255" s="55"/>
      <c r="DG2255" s="53"/>
      <c r="DL2255" s="54"/>
      <c r="DM2255" s="54"/>
      <c r="DN2255" s="54"/>
    </row>
    <row r="2256" spans="39:118">
      <c r="AM2256" s="55"/>
      <c r="AT2256" s="43"/>
      <c r="AV2256" s="55"/>
      <c r="CJ2256" s="43"/>
      <c r="DF2256" s="55"/>
      <c r="DG2256" s="53"/>
      <c r="DL2256" s="54"/>
      <c r="DM2256" s="54"/>
      <c r="DN2256" s="54"/>
    </row>
    <row r="2257" spans="39:118">
      <c r="AM2257" s="55"/>
      <c r="AT2257" s="43"/>
      <c r="AV2257" s="55"/>
      <c r="CJ2257" s="43"/>
      <c r="DF2257" s="55"/>
      <c r="DG2257" s="53"/>
      <c r="DL2257" s="54"/>
      <c r="DM2257" s="54"/>
      <c r="DN2257" s="54"/>
    </row>
    <row r="2258" spans="39:118">
      <c r="AM2258" s="55"/>
      <c r="AT2258" s="43"/>
      <c r="AV2258" s="55"/>
      <c r="CJ2258" s="43"/>
      <c r="DF2258" s="55"/>
      <c r="DG2258" s="53"/>
      <c r="DL2258" s="54"/>
      <c r="DM2258" s="54"/>
      <c r="DN2258" s="54"/>
    </row>
    <row r="2259" spans="39:118">
      <c r="AM2259" s="55"/>
      <c r="AT2259" s="43"/>
      <c r="AV2259" s="55"/>
      <c r="CJ2259" s="43"/>
      <c r="DF2259" s="55"/>
      <c r="DG2259" s="53"/>
      <c r="DL2259" s="54"/>
      <c r="DM2259" s="54"/>
      <c r="DN2259" s="54"/>
    </row>
    <row r="2260" spans="39:118">
      <c r="AM2260" s="55"/>
      <c r="AT2260" s="43"/>
      <c r="AV2260" s="55"/>
      <c r="CJ2260" s="43"/>
      <c r="DF2260" s="55"/>
      <c r="DG2260" s="53"/>
      <c r="DL2260" s="54"/>
      <c r="DM2260" s="54"/>
      <c r="DN2260" s="54"/>
    </row>
    <row r="2261" spans="39:118">
      <c r="AM2261" s="55"/>
      <c r="AT2261" s="43"/>
      <c r="AV2261" s="55"/>
      <c r="CJ2261" s="43"/>
      <c r="DF2261" s="55"/>
      <c r="DG2261" s="53"/>
      <c r="DL2261" s="54"/>
      <c r="DM2261" s="54"/>
      <c r="DN2261" s="54"/>
    </row>
    <row r="2262" spans="39:118">
      <c r="AM2262" s="55"/>
      <c r="AT2262" s="43"/>
      <c r="AV2262" s="55"/>
      <c r="CJ2262" s="43"/>
      <c r="DF2262" s="55"/>
      <c r="DG2262" s="53"/>
      <c r="DL2262" s="54"/>
      <c r="DM2262" s="54"/>
      <c r="DN2262" s="54"/>
    </row>
    <row r="2263" spans="39:118">
      <c r="AM2263" s="55"/>
      <c r="AT2263" s="43"/>
      <c r="AV2263" s="55"/>
      <c r="CJ2263" s="43"/>
      <c r="DF2263" s="55"/>
      <c r="DG2263" s="53"/>
      <c r="DL2263" s="54"/>
      <c r="DM2263" s="54"/>
      <c r="DN2263" s="54"/>
    </row>
    <row r="2264" spans="39:118">
      <c r="AM2264" s="55"/>
      <c r="AT2264" s="43"/>
      <c r="AV2264" s="55"/>
      <c r="CJ2264" s="43"/>
      <c r="DF2264" s="55"/>
      <c r="DG2264" s="53"/>
      <c r="DL2264" s="54"/>
      <c r="DM2264" s="54"/>
      <c r="DN2264" s="54"/>
    </row>
    <row r="2265" spans="39:118">
      <c r="AM2265" s="55"/>
      <c r="AT2265" s="43"/>
      <c r="AV2265" s="55"/>
      <c r="CJ2265" s="43"/>
      <c r="DF2265" s="55"/>
      <c r="DG2265" s="53"/>
      <c r="DL2265" s="54"/>
      <c r="DM2265" s="54"/>
      <c r="DN2265" s="54"/>
    </row>
    <row r="2266" spans="39:118">
      <c r="AM2266" s="55"/>
      <c r="AT2266" s="43"/>
      <c r="AV2266" s="55"/>
      <c r="CJ2266" s="43"/>
      <c r="DF2266" s="55"/>
      <c r="DG2266" s="53"/>
      <c r="DL2266" s="54"/>
      <c r="DM2266" s="54"/>
      <c r="DN2266" s="54"/>
    </row>
    <row r="2267" spans="39:118">
      <c r="AM2267" s="55"/>
      <c r="AT2267" s="43"/>
      <c r="AV2267" s="55"/>
      <c r="CJ2267" s="43"/>
      <c r="DF2267" s="55"/>
      <c r="DG2267" s="53"/>
      <c r="DL2267" s="54"/>
      <c r="DM2267" s="54"/>
      <c r="DN2267" s="54"/>
    </row>
    <row r="2268" spans="39:118">
      <c r="AM2268" s="55"/>
      <c r="AT2268" s="43"/>
      <c r="AV2268" s="55"/>
      <c r="CJ2268" s="43"/>
      <c r="DF2268" s="55"/>
      <c r="DG2268" s="53"/>
      <c r="DL2268" s="54"/>
      <c r="DM2268" s="54"/>
      <c r="DN2268" s="54"/>
    </row>
    <row r="2269" spans="39:118">
      <c r="AM2269" s="55"/>
      <c r="AT2269" s="43"/>
      <c r="AV2269" s="55"/>
      <c r="CJ2269" s="43"/>
      <c r="DF2269" s="55"/>
      <c r="DG2269" s="53"/>
      <c r="DL2269" s="54"/>
      <c r="DM2269" s="54"/>
      <c r="DN2269" s="54"/>
    </row>
    <row r="2270" spans="39:118">
      <c r="AM2270" s="55"/>
      <c r="AT2270" s="43"/>
      <c r="AV2270" s="55"/>
      <c r="CJ2270" s="43"/>
      <c r="DF2270" s="55"/>
      <c r="DG2270" s="53"/>
      <c r="DL2270" s="54"/>
      <c r="DM2270" s="54"/>
      <c r="DN2270" s="54"/>
    </row>
    <row r="2271" spans="39:118">
      <c r="AM2271" s="55"/>
      <c r="AT2271" s="43"/>
      <c r="AV2271" s="55"/>
      <c r="CJ2271" s="43"/>
      <c r="DF2271" s="55"/>
      <c r="DG2271" s="53"/>
      <c r="DL2271" s="54"/>
      <c r="DM2271" s="54"/>
      <c r="DN2271" s="54"/>
    </row>
    <row r="2272" spans="39:118">
      <c r="AM2272" s="55"/>
      <c r="AT2272" s="43"/>
      <c r="AV2272" s="55"/>
      <c r="CJ2272" s="43"/>
      <c r="DF2272" s="55"/>
      <c r="DG2272" s="53"/>
      <c r="DL2272" s="54"/>
      <c r="DM2272" s="54"/>
      <c r="DN2272" s="54"/>
    </row>
    <row r="2273" spans="39:118">
      <c r="AM2273" s="55"/>
      <c r="AT2273" s="43"/>
      <c r="AV2273" s="55"/>
      <c r="CJ2273" s="43"/>
      <c r="DF2273" s="55"/>
      <c r="DG2273" s="53"/>
      <c r="DL2273" s="54"/>
      <c r="DM2273" s="54"/>
      <c r="DN2273" s="54"/>
    </row>
    <row r="2274" spans="39:118">
      <c r="AM2274" s="55"/>
      <c r="AT2274" s="43"/>
      <c r="AV2274" s="55"/>
      <c r="CJ2274" s="43"/>
      <c r="DF2274" s="55"/>
      <c r="DG2274" s="53"/>
      <c r="DL2274" s="54"/>
      <c r="DM2274" s="54"/>
      <c r="DN2274" s="54"/>
    </row>
    <row r="2275" spans="39:118">
      <c r="AM2275" s="55"/>
      <c r="AT2275" s="43"/>
      <c r="AV2275" s="55"/>
      <c r="CJ2275" s="43"/>
      <c r="DF2275" s="55"/>
      <c r="DG2275" s="53"/>
      <c r="DL2275" s="54"/>
      <c r="DM2275" s="54"/>
      <c r="DN2275" s="54"/>
    </row>
    <row r="2276" spans="39:118">
      <c r="AM2276" s="55"/>
      <c r="AT2276" s="43"/>
      <c r="AV2276" s="55"/>
      <c r="CJ2276" s="43"/>
      <c r="DF2276" s="55"/>
      <c r="DG2276" s="53"/>
      <c r="DL2276" s="54"/>
      <c r="DM2276" s="54"/>
      <c r="DN2276" s="54"/>
    </row>
    <row r="2277" spans="39:118">
      <c r="AM2277" s="55"/>
      <c r="AT2277" s="43"/>
      <c r="AV2277" s="55"/>
      <c r="CJ2277" s="43"/>
      <c r="DF2277" s="55"/>
      <c r="DG2277" s="53"/>
      <c r="DL2277" s="54"/>
      <c r="DM2277" s="54"/>
      <c r="DN2277" s="54"/>
    </row>
    <row r="2278" spans="39:118">
      <c r="AM2278" s="55"/>
      <c r="AT2278" s="43"/>
      <c r="AV2278" s="55"/>
      <c r="CJ2278" s="43"/>
      <c r="DF2278" s="55"/>
      <c r="DG2278" s="53"/>
      <c r="DL2278" s="54"/>
      <c r="DM2278" s="54"/>
      <c r="DN2278" s="54"/>
    </row>
    <row r="2279" spans="39:118">
      <c r="AM2279" s="55"/>
      <c r="AT2279" s="43"/>
      <c r="AV2279" s="55"/>
      <c r="CJ2279" s="43"/>
      <c r="DF2279" s="55"/>
      <c r="DG2279" s="53"/>
      <c r="DL2279" s="54"/>
      <c r="DM2279" s="54"/>
      <c r="DN2279" s="54"/>
    </row>
    <row r="2280" spans="39:118">
      <c r="AM2280" s="55"/>
      <c r="AT2280" s="43"/>
      <c r="AV2280" s="55"/>
      <c r="CJ2280" s="43"/>
      <c r="DF2280" s="55"/>
      <c r="DG2280" s="53"/>
      <c r="DL2280" s="54"/>
      <c r="DM2280" s="54"/>
      <c r="DN2280" s="54"/>
    </row>
    <row r="2281" spans="39:118">
      <c r="AM2281" s="55"/>
      <c r="AT2281" s="43"/>
      <c r="AV2281" s="55"/>
      <c r="CJ2281" s="43"/>
      <c r="DF2281" s="55"/>
      <c r="DG2281" s="53"/>
      <c r="DL2281" s="54"/>
      <c r="DM2281" s="54"/>
      <c r="DN2281" s="54"/>
    </row>
    <row r="2282" spans="39:118">
      <c r="AM2282" s="55"/>
      <c r="AT2282" s="43"/>
      <c r="AV2282" s="55"/>
      <c r="CJ2282" s="43"/>
      <c r="DF2282" s="55"/>
      <c r="DG2282" s="53"/>
      <c r="DL2282" s="54"/>
      <c r="DM2282" s="54"/>
      <c r="DN2282" s="54"/>
    </row>
    <row r="2283" spans="39:118">
      <c r="AM2283" s="55"/>
      <c r="AT2283" s="43"/>
      <c r="AV2283" s="55"/>
      <c r="CJ2283" s="43"/>
      <c r="DF2283" s="55"/>
      <c r="DG2283" s="53"/>
      <c r="DL2283" s="54"/>
      <c r="DM2283" s="54"/>
      <c r="DN2283" s="54"/>
    </row>
    <row r="2284" spans="39:118">
      <c r="AM2284" s="55"/>
      <c r="AT2284" s="43"/>
      <c r="AV2284" s="55"/>
      <c r="CJ2284" s="43"/>
      <c r="DF2284" s="55"/>
      <c r="DG2284" s="53"/>
      <c r="DL2284" s="54"/>
      <c r="DM2284" s="54"/>
      <c r="DN2284" s="54"/>
    </row>
    <row r="2285" spans="39:118">
      <c r="AM2285" s="55"/>
      <c r="AT2285" s="43"/>
      <c r="AV2285" s="55"/>
      <c r="CJ2285" s="43"/>
      <c r="DF2285" s="55"/>
      <c r="DG2285" s="53"/>
      <c r="DL2285" s="54"/>
      <c r="DM2285" s="54"/>
      <c r="DN2285" s="54"/>
    </row>
    <row r="2286" spans="39:118">
      <c r="AM2286" s="55"/>
      <c r="AT2286" s="43"/>
      <c r="AV2286" s="55"/>
      <c r="CJ2286" s="43"/>
      <c r="DF2286" s="55"/>
      <c r="DG2286" s="53"/>
      <c r="DL2286" s="54"/>
      <c r="DM2286" s="54"/>
      <c r="DN2286" s="54"/>
    </row>
    <row r="2287" spans="39:118">
      <c r="AM2287" s="55"/>
      <c r="AT2287" s="43"/>
      <c r="AV2287" s="55"/>
      <c r="CJ2287" s="43"/>
      <c r="DF2287" s="55"/>
      <c r="DG2287" s="53"/>
      <c r="DL2287" s="54"/>
      <c r="DM2287" s="54"/>
      <c r="DN2287" s="54"/>
    </row>
    <row r="2288" spans="39:118">
      <c r="AM2288" s="55"/>
      <c r="AT2288" s="43"/>
      <c r="AV2288" s="55"/>
      <c r="CJ2288" s="43"/>
      <c r="DF2288" s="55"/>
      <c r="DG2288" s="53"/>
      <c r="DL2288" s="54"/>
      <c r="DM2288" s="54"/>
      <c r="DN2288" s="54"/>
    </row>
    <row r="2289" spans="39:118">
      <c r="AM2289" s="55"/>
      <c r="AT2289" s="43"/>
      <c r="AV2289" s="55"/>
      <c r="CJ2289" s="43"/>
      <c r="DF2289" s="55"/>
      <c r="DG2289" s="53"/>
      <c r="DL2289" s="54"/>
      <c r="DM2289" s="54"/>
      <c r="DN2289" s="54"/>
    </row>
    <row r="2290" spans="39:118">
      <c r="AM2290" s="55"/>
      <c r="AT2290" s="43"/>
      <c r="AV2290" s="55"/>
      <c r="CJ2290" s="43"/>
      <c r="DF2290" s="55"/>
      <c r="DG2290" s="53"/>
      <c r="DL2290" s="54"/>
      <c r="DM2290" s="54"/>
      <c r="DN2290" s="54"/>
    </row>
    <row r="2291" spans="39:118">
      <c r="AM2291" s="55"/>
      <c r="AT2291" s="43"/>
      <c r="AV2291" s="55"/>
      <c r="CJ2291" s="43"/>
      <c r="DF2291" s="55"/>
      <c r="DG2291" s="53"/>
      <c r="DL2291" s="54"/>
      <c r="DM2291" s="54"/>
      <c r="DN2291" s="54"/>
    </row>
    <row r="2292" spans="39:118">
      <c r="AM2292" s="55"/>
      <c r="AT2292" s="43"/>
      <c r="AV2292" s="55"/>
      <c r="CJ2292" s="43"/>
      <c r="DF2292" s="55"/>
      <c r="DG2292" s="53"/>
      <c r="DL2292" s="54"/>
      <c r="DM2292" s="54"/>
      <c r="DN2292" s="54"/>
    </row>
    <row r="2293" spans="39:118">
      <c r="AM2293" s="55"/>
      <c r="AT2293" s="43"/>
      <c r="AV2293" s="55"/>
      <c r="CJ2293" s="43"/>
      <c r="DF2293" s="55"/>
      <c r="DG2293" s="53"/>
      <c r="DL2293" s="54"/>
      <c r="DM2293" s="54"/>
      <c r="DN2293" s="54"/>
    </row>
    <row r="2294" spans="39:118">
      <c r="AM2294" s="55"/>
      <c r="AT2294" s="43"/>
      <c r="AV2294" s="55"/>
      <c r="CJ2294" s="43"/>
      <c r="DF2294" s="55"/>
      <c r="DG2294" s="53"/>
      <c r="DL2294" s="54"/>
      <c r="DM2294" s="54"/>
      <c r="DN2294" s="54"/>
    </row>
    <row r="2295" spans="39:118">
      <c r="AM2295" s="55"/>
      <c r="AT2295" s="43"/>
      <c r="AV2295" s="55"/>
      <c r="CJ2295" s="43"/>
      <c r="DF2295" s="55"/>
      <c r="DG2295" s="53"/>
      <c r="DL2295" s="54"/>
      <c r="DM2295" s="54"/>
      <c r="DN2295" s="54"/>
    </row>
    <row r="2296" spans="39:118">
      <c r="AM2296" s="55"/>
      <c r="AT2296" s="43"/>
      <c r="AV2296" s="55"/>
      <c r="CJ2296" s="43"/>
      <c r="DF2296" s="55"/>
      <c r="DG2296" s="53"/>
      <c r="DL2296" s="54"/>
      <c r="DM2296" s="54"/>
      <c r="DN2296" s="54"/>
    </row>
    <row r="2297" spans="39:118">
      <c r="AM2297" s="55"/>
      <c r="AT2297" s="43"/>
      <c r="AV2297" s="55"/>
      <c r="CJ2297" s="43"/>
      <c r="DF2297" s="55"/>
      <c r="DG2297" s="53"/>
      <c r="DL2297" s="54"/>
      <c r="DM2297" s="54"/>
      <c r="DN2297" s="54"/>
    </row>
    <row r="2298" spans="39:118">
      <c r="AM2298" s="55"/>
      <c r="AT2298" s="43"/>
      <c r="AV2298" s="55"/>
      <c r="CJ2298" s="43"/>
      <c r="DF2298" s="55"/>
      <c r="DG2298" s="53"/>
      <c r="DL2298" s="54"/>
      <c r="DM2298" s="54"/>
      <c r="DN2298" s="54"/>
    </row>
    <row r="2299" spans="39:118">
      <c r="AM2299" s="55"/>
      <c r="AT2299" s="43"/>
      <c r="AV2299" s="55"/>
      <c r="CJ2299" s="43"/>
      <c r="DF2299" s="55"/>
      <c r="DG2299" s="53"/>
      <c r="DL2299" s="54"/>
      <c r="DM2299" s="54"/>
      <c r="DN2299" s="54"/>
    </row>
    <row r="2300" spans="39:118">
      <c r="AM2300" s="55"/>
      <c r="AT2300" s="43"/>
      <c r="AV2300" s="55"/>
      <c r="CJ2300" s="43"/>
      <c r="DF2300" s="55"/>
      <c r="DG2300" s="53"/>
      <c r="DL2300" s="54"/>
      <c r="DM2300" s="54"/>
      <c r="DN2300" s="54"/>
    </row>
    <row r="2301" spans="39:118">
      <c r="AM2301" s="55"/>
      <c r="AT2301" s="43"/>
      <c r="AV2301" s="55"/>
      <c r="CJ2301" s="43"/>
      <c r="DF2301" s="55"/>
      <c r="DG2301" s="53"/>
      <c r="DL2301" s="54"/>
      <c r="DM2301" s="54"/>
      <c r="DN2301" s="54"/>
    </row>
    <row r="2302" spans="39:118">
      <c r="AM2302" s="55"/>
      <c r="AT2302" s="43"/>
      <c r="AV2302" s="55"/>
      <c r="CJ2302" s="43"/>
      <c r="DF2302" s="55"/>
      <c r="DG2302" s="53"/>
      <c r="DL2302" s="54"/>
      <c r="DM2302" s="54"/>
      <c r="DN2302" s="54"/>
    </row>
    <row r="2303" spans="39:118">
      <c r="AM2303" s="55"/>
      <c r="AT2303" s="43"/>
      <c r="AV2303" s="55"/>
      <c r="CJ2303" s="43"/>
      <c r="DF2303" s="55"/>
      <c r="DG2303" s="53"/>
      <c r="DL2303" s="54"/>
      <c r="DM2303" s="54"/>
      <c r="DN2303" s="54"/>
    </row>
    <row r="2304" spans="39:118">
      <c r="AM2304" s="55"/>
      <c r="AT2304" s="43"/>
      <c r="AV2304" s="55"/>
      <c r="CJ2304" s="43"/>
      <c r="DF2304" s="55"/>
      <c r="DG2304" s="53"/>
      <c r="DL2304" s="54"/>
      <c r="DM2304" s="54"/>
      <c r="DN2304" s="54"/>
    </row>
    <row r="2305" spans="39:118">
      <c r="AM2305" s="55"/>
      <c r="AT2305" s="43"/>
      <c r="AV2305" s="55"/>
      <c r="CJ2305" s="43"/>
      <c r="DF2305" s="55"/>
      <c r="DG2305" s="53"/>
      <c r="DL2305" s="54"/>
      <c r="DM2305" s="54"/>
      <c r="DN2305" s="54"/>
    </row>
    <row r="2306" spans="39:118">
      <c r="AM2306" s="55"/>
      <c r="AT2306" s="43"/>
      <c r="AV2306" s="55"/>
      <c r="CJ2306" s="43"/>
      <c r="DF2306" s="55"/>
      <c r="DG2306" s="53"/>
      <c r="DL2306" s="54"/>
      <c r="DM2306" s="54"/>
      <c r="DN2306" s="54"/>
    </row>
    <row r="2307" spans="39:118">
      <c r="AM2307" s="55"/>
      <c r="AT2307" s="43"/>
      <c r="AV2307" s="55"/>
      <c r="CJ2307" s="43"/>
      <c r="DF2307" s="55"/>
      <c r="DG2307" s="53"/>
      <c r="DL2307" s="54"/>
      <c r="DM2307" s="54"/>
      <c r="DN2307" s="54"/>
    </row>
    <row r="2308" spans="39:118">
      <c r="AM2308" s="55"/>
      <c r="AT2308" s="43"/>
      <c r="AV2308" s="55"/>
      <c r="CJ2308" s="43"/>
      <c r="DF2308" s="55"/>
      <c r="DG2308" s="53"/>
      <c r="DL2308" s="54"/>
      <c r="DM2308" s="54"/>
      <c r="DN2308" s="54"/>
    </row>
    <row r="2309" spans="39:118">
      <c r="AM2309" s="55"/>
      <c r="AT2309" s="43"/>
      <c r="AV2309" s="55"/>
      <c r="CJ2309" s="43"/>
      <c r="DF2309" s="55"/>
      <c r="DG2309" s="53"/>
      <c r="DL2309" s="54"/>
      <c r="DM2309" s="54"/>
      <c r="DN2309" s="54"/>
    </row>
    <row r="2310" spans="39:118">
      <c r="AM2310" s="55"/>
      <c r="AT2310" s="43"/>
      <c r="AV2310" s="55"/>
      <c r="CJ2310" s="43"/>
      <c r="DF2310" s="55"/>
      <c r="DG2310" s="53"/>
      <c r="DL2310" s="54"/>
      <c r="DM2310" s="54"/>
      <c r="DN2310" s="54"/>
    </row>
    <row r="2311" spans="39:118">
      <c r="AM2311" s="55"/>
      <c r="AT2311" s="43"/>
      <c r="AV2311" s="55"/>
      <c r="CJ2311" s="43"/>
      <c r="DF2311" s="55"/>
      <c r="DG2311" s="53"/>
      <c r="DL2311" s="54"/>
      <c r="DM2311" s="54"/>
      <c r="DN2311" s="54"/>
    </row>
    <row r="2312" spans="39:118">
      <c r="AM2312" s="55"/>
      <c r="AT2312" s="43"/>
      <c r="AV2312" s="55"/>
      <c r="CJ2312" s="43"/>
      <c r="DF2312" s="55"/>
      <c r="DG2312" s="53"/>
      <c r="DL2312" s="54"/>
      <c r="DM2312" s="54"/>
      <c r="DN2312" s="54"/>
    </row>
    <row r="2313" spans="39:118">
      <c r="AM2313" s="55"/>
      <c r="AT2313" s="43"/>
      <c r="AV2313" s="55"/>
      <c r="CJ2313" s="43"/>
      <c r="DF2313" s="55"/>
      <c r="DG2313" s="53"/>
      <c r="DL2313" s="54"/>
      <c r="DM2313" s="54"/>
      <c r="DN2313" s="54"/>
    </row>
    <row r="2314" spans="39:118">
      <c r="AM2314" s="55"/>
      <c r="AT2314" s="43"/>
      <c r="AV2314" s="55"/>
      <c r="CJ2314" s="43"/>
      <c r="DF2314" s="55"/>
      <c r="DG2314" s="53"/>
      <c r="DL2314" s="54"/>
      <c r="DM2314" s="54"/>
      <c r="DN2314" s="54"/>
    </row>
    <row r="2315" spans="39:118">
      <c r="AM2315" s="55"/>
      <c r="AT2315" s="43"/>
      <c r="AV2315" s="55"/>
      <c r="CJ2315" s="43"/>
      <c r="DF2315" s="55"/>
      <c r="DG2315" s="53"/>
      <c r="DL2315" s="54"/>
      <c r="DM2315" s="54"/>
      <c r="DN2315" s="54"/>
    </row>
    <row r="2316" spans="39:118">
      <c r="AM2316" s="55"/>
      <c r="AT2316" s="43"/>
      <c r="AV2316" s="55"/>
      <c r="CJ2316" s="43"/>
      <c r="DF2316" s="55"/>
      <c r="DG2316" s="53"/>
      <c r="DL2316" s="54"/>
      <c r="DM2316" s="54"/>
      <c r="DN2316" s="54"/>
    </row>
    <row r="2317" spans="39:118">
      <c r="AM2317" s="55"/>
      <c r="AT2317" s="43"/>
      <c r="AV2317" s="55"/>
      <c r="CJ2317" s="43"/>
      <c r="DF2317" s="55"/>
      <c r="DG2317" s="53"/>
      <c r="DL2317" s="54"/>
      <c r="DM2317" s="54"/>
      <c r="DN2317" s="54"/>
    </row>
    <row r="2318" spans="39:118">
      <c r="AM2318" s="55"/>
      <c r="AT2318" s="43"/>
      <c r="AV2318" s="55"/>
      <c r="CJ2318" s="43"/>
      <c r="DF2318" s="55"/>
      <c r="DG2318" s="53"/>
      <c r="DL2318" s="54"/>
      <c r="DM2318" s="54"/>
      <c r="DN2318" s="54"/>
    </row>
    <row r="2319" spans="39:118">
      <c r="AM2319" s="55"/>
      <c r="AT2319" s="43"/>
      <c r="AV2319" s="55"/>
      <c r="CJ2319" s="43"/>
      <c r="DF2319" s="55"/>
      <c r="DG2319" s="53"/>
      <c r="DL2319" s="54"/>
      <c r="DM2319" s="54"/>
      <c r="DN2319" s="54"/>
    </row>
    <row r="2320" spans="39:118">
      <c r="AM2320" s="55"/>
      <c r="AT2320" s="43"/>
      <c r="AV2320" s="55"/>
      <c r="CJ2320" s="43"/>
      <c r="DF2320" s="55"/>
      <c r="DG2320" s="53"/>
      <c r="DL2320" s="54"/>
      <c r="DM2320" s="54"/>
      <c r="DN2320" s="54"/>
    </row>
    <row r="2321" spans="39:118">
      <c r="AM2321" s="55"/>
      <c r="AT2321" s="43"/>
      <c r="AV2321" s="55"/>
      <c r="CJ2321" s="43"/>
      <c r="DF2321" s="55"/>
      <c r="DG2321" s="53"/>
      <c r="DL2321" s="54"/>
      <c r="DM2321" s="54"/>
      <c r="DN2321" s="54"/>
    </row>
    <row r="2322" spans="39:118">
      <c r="AM2322" s="55"/>
      <c r="AT2322" s="43"/>
      <c r="AV2322" s="55"/>
      <c r="CJ2322" s="43"/>
      <c r="DF2322" s="55"/>
      <c r="DG2322" s="53"/>
      <c r="DL2322" s="54"/>
      <c r="DM2322" s="54"/>
      <c r="DN2322" s="54"/>
    </row>
    <row r="2323" spans="39:118">
      <c r="AM2323" s="55"/>
      <c r="AT2323" s="43"/>
      <c r="AV2323" s="55"/>
      <c r="CJ2323" s="43"/>
      <c r="DF2323" s="55"/>
      <c r="DG2323" s="53"/>
      <c r="DL2323" s="54"/>
      <c r="DM2323" s="54"/>
      <c r="DN2323" s="54"/>
    </row>
    <row r="2324" spans="39:118">
      <c r="AM2324" s="55"/>
      <c r="AT2324" s="43"/>
      <c r="AV2324" s="55"/>
      <c r="CJ2324" s="43"/>
      <c r="DF2324" s="55"/>
      <c r="DG2324" s="53"/>
      <c r="DL2324" s="54"/>
      <c r="DM2324" s="54"/>
      <c r="DN2324" s="54"/>
    </row>
    <row r="2325" spans="39:118">
      <c r="AM2325" s="55"/>
      <c r="AT2325" s="43"/>
      <c r="AV2325" s="55"/>
      <c r="CJ2325" s="43"/>
      <c r="DF2325" s="55"/>
      <c r="DG2325" s="53"/>
      <c r="DL2325" s="54"/>
      <c r="DM2325" s="54"/>
      <c r="DN2325" s="54"/>
    </row>
    <row r="2326" spans="39:118">
      <c r="AM2326" s="55"/>
      <c r="AT2326" s="43"/>
      <c r="AV2326" s="55"/>
      <c r="CJ2326" s="43"/>
      <c r="DF2326" s="55"/>
      <c r="DG2326" s="53"/>
      <c r="DL2326" s="54"/>
      <c r="DM2326" s="54"/>
      <c r="DN2326" s="54"/>
    </row>
    <row r="2327" spans="39:118">
      <c r="AM2327" s="55"/>
      <c r="AT2327" s="43"/>
      <c r="AV2327" s="55"/>
      <c r="CJ2327" s="43"/>
      <c r="DF2327" s="55"/>
      <c r="DG2327" s="53"/>
      <c r="DL2327" s="54"/>
      <c r="DM2327" s="54"/>
      <c r="DN2327" s="54"/>
    </row>
    <row r="2328" spans="39:118">
      <c r="AM2328" s="55"/>
      <c r="AT2328" s="43"/>
      <c r="AV2328" s="55"/>
      <c r="CJ2328" s="43"/>
      <c r="DF2328" s="55"/>
      <c r="DG2328" s="53"/>
      <c r="DL2328" s="54"/>
      <c r="DM2328" s="54"/>
      <c r="DN2328" s="54"/>
    </row>
    <row r="2329" spans="39:118">
      <c r="AM2329" s="55"/>
      <c r="AT2329" s="43"/>
      <c r="AV2329" s="55"/>
      <c r="CJ2329" s="43"/>
      <c r="DF2329" s="55"/>
      <c r="DG2329" s="53"/>
      <c r="DL2329" s="54"/>
      <c r="DM2329" s="54"/>
      <c r="DN2329" s="54"/>
    </row>
    <row r="2330" spans="39:118">
      <c r="AM2330" s="55"/>
      <c r="AT2330" s="43"/>
      <c r="AV2330" s="55"/>
      <c r="CJ2330" s="43"/>
      <c r="DF2330" s="55"/>
      <c r="DG2330" s="53"/>
      <c r="DL2330" s="54"/>
      <c r="DM2330" s="54"/>
      <c r="DN2330" s="54"/>
    </row>
    <row r="2331" spans="39:118">
      <c r="AM2331" s="55"/>
      <c r="AT2331" s="43"/>
      <c r="AV2331" s="55"/>
      <c r="CJ2331" s="43"/>
      <c r="DF2331" s="55"/>
      <c r="DG2331" s="53"/>
      <c r="DL2331" s="54"/>
      <c r="DM2331" s="54"/>
      <c r="DN2331" s="54"/>
    </row>
    <row r="2332" spans="39:118">
      <c r="AM2332" s="55"/>
      <c r="AT2332" s="43"/>
      <c r="AV2332" s="55"/>
      <c r="CJ2332" s="43"/>
      <c r="DF2332" s="55"/>
      <c r="DG2332" s="53"/>
      <c r="DL2332" s="54"/>
      <c r="DM2332" s="54"/>
      <c r="DN2332" s="54"/>
    </row>
    <row r="2333" spans="39:118">
      <c r="AM2333" s="55"/>
      <c r="AT2333" s="43"/>
      <c r="AV2333" s="55"/>
      <c r="CJ2333" s="43"/>
      <c r="DF2333" s="55"/>
      <c r="DG2333" s="53"/>
      <c r="DL2333" s="54"/>
      <c r="DM2333" s="54"/>
      <c r="DN2333" s="54"/>
    </row>
    <row r="2334" spans="39:118">
      <c r="AM2334" s="55"/>
      <c r="AT2334" s="43"/>
      <c r="AV2334" s="55"/>
      <c r="CJ2334" s="43"/>
      <c r="DF2334" s="55"/>
      <c r="DG2334" s="53"/>
      <c r="DL2334" s="54"/>
      <c r="DM2334" s="54"/>
      <c r="DN2334" s="54"/>
    </row>
    <row r="2335" spans="39:118">
      <c r="AM2335" s="55"/>
      <c r="AT2335" s="43"/>
      <c r="AV2335" s="55"/>
      <c r="CJ2335" s="43"/>
      <c r="DF2335" s="55"/>
      <c r="DG2335" s="53"/>
      <c r="DL2335" s="54"/>
      <c r="DM2335" s="54"/>
      <c r="DN2335" s="54"/>
    </row>
    <row r="2336" spans="39:118">
      <c r="AM2336" s="55"/>
      <c r="AT2336" s="43"/>
      <c r="AV2336" s="55"/>
      <c r="CJ2336" s="43"/>
      <c r="DF2336" s="55"/>
      <c r="DG2336" s="53"/>
      <c r="DL2336" s="54"/>
      <c r="DM2336" s="54"/>
      <c r="DN2336" s="54"/>
    </row>
    <row r="2337" spans="39:118">
      <c r="AM2337" s="55"/>
      <c r="AT2337" s="43"/>
      <c r="AV2337" s="55"/>
      <c r="CJ2337" s="43"/>
      <c r="DF2337" s="55"/>
      <c r="DG2337" s="53"/>
      <c r="DL2337" s="54"/>
      <c r="DM2337" s="54"/>
      <c r="DN2337" s="54"/>
    </row>
    <row r="2338" spans="39:118">
      <c r="AM2338" s="55"/>
      <c r="AT2338" s="43"/>
      <c r="AV2338" s="55"/>
      <c r="CJ2338" s="43"/>
      <c r="DF2338" s="55"/>
      <c r="DG2338" s="53"/>
      <c r="DL2338" s="54"/>
      <c r="DM2338" s="54"/>
      <c r="DN2338" s="54"/>
    </row>
    <row r="2339" spans="39:118">
      <c r="AM2339" s="55"/>
      <c r="AT2339" s="43"/>
      <c r="AV2339" s="55"/>
      <c r="CJ2339" s="43"/>
      <c r="DF2339" s="55"/>
      <c r="DG2339" s="53"/>
      <c r="DL2339" s="54"/>
      <c r="DM2339" s="54"/>
      <c r="DN2339" s="54"/>
    </row>
    <row r="2340" spans="39:118">
      <c r="AM2340" s="55"/>
      <c r="AT2340" s="43"/>
      <c r="AV2340" s="55"/>
      <c r="CJ2340" s="43"/>
      <c r="DF2340" s="55"/>
      <c r="DG2340" s="53"/>
      <c r="DL2340" s="54"/>
      <c r="DM2340" s="54"/>
      <c r="DN2340" s="54"/>
    </row>
    <row r="2341" spans="39:118">
      <c r="AM2341" s="55"/>
      <c r="AT2341" s="43"/>
      <c r="AV2341" s="55"/>
      <c r="CJ2341" s="43"/>
      <c r="DF2341" s="55"/>
      <c r="DG2341" s="53"/>
      <c r="DL2341" s="54"/>
      <c r="DM2341" s="54"/>
      <c r="DN2341" s="54"/>
    </row>
    <row r="2342" spans="39:118">
      <c r="AM2342" s="55"/>
      <c r="AT2342" s="43"/>
      <c r="AV2342" s="55"/>
      <c r="CJ2342" s="43"/>
      <c r="DF2342" s="55"/>
      <c r="DG2342" s="53"/>
      <c r="DL2342" s="54"/>
      <c r="DM2342" s="54"/>
      <c r="DN2342" s="54"/>
    </row>
    <row r="2343" spans="39:118">
      <c r="AM2343" s="55"/>
      <c r="AT2343" s="43"/>
      <c r="AV2343" s="55"/>
      <c r="CJ2343" s="43"/>
      <c r="DF2343" s="55"/>
      <c r="DG2343" s="53"/>
      <c r="DL2343" s="54"/>
      <c r="DM2343" s="54"/>
      <c r="DN2343" s="54"/>
    </row>
    <row r="2344" spans="39:118">
      <c r="AM2344" s="55"/>
      <c r="AT2344" s="43"/>
      <c r="AV2344" s="55"/>
      <c r="CJ2344" s="43"/>
      <c r="DF2344" s="55"/>
      <c r="DG2344" s="53"/>
      <c r="DL2344" s="54"/>
      <c r="DM2344" s="54"/>
      <c r="DN2344" s="54"/>
    </row>
    <row r="2345" spans="39:118">
      <c r="AM2345" s="55"/>
      <c r="AT2345" s="43"/>
      <c r="AV2345" s="55"/>
      <c r="CJ2345" s="43"/>
      <c r="DF2345" s="55"/>
      <c r="DG2345" s="53"/>
      <c r="DL2345" s="54"/>
      <c r="DM2345" s="54"/>
      <c r="DN2345" s="54"/>
    </row>
    <row r="2346" spans="39:118">
      <c r="AM2346" s="55"/>
      <c r="AT2346" s="43"/>
      <c r="AV2346" s="55"/>
      <c r="CJ2346" s="43"/>
      <c r="DF2346" s="55"/>
      <c r="DG2346" s="53"/>
      <c r="DL2346" s="54"/>
      <c r="DM2346" s="54"/>
      <c r="DN2346" s="54"/>
    </row>
    <row r="2347" spans="39:118">
      <c r="AM2347" s="55"/>
      <c r="AT2347" s="43"/>
      <c r="AV2347" s="55"/>
      <c r="CJ2347" s="43"/>
      <c r="DF2347" s="55"/>
      <c r="DG2347" s="53"/>
      <c r="DL2347" s="54"/>
      <c r="DM2347" s="54"/>
      <c r="DN2347" s="54"/>
    </row>
    <row r="2348" spans="39:118">
      <c r="AM2348" s="55"/>
      <c r="AT2348" s="43"/>
      <c r="AV2348" s="55"/>
      <c r="CJ2348" s="43"/>
      <c r="DF2348" s="55"/>
      <c r="DG2348" s="53"/>
      <c r="DL2348" s="54"/>
      <c r="DM2348" s="54"/>
      <c r="DN2348" s="54"/>
    </row>
    <row r="2349" spans="39:118">
      <c r="AM2349" s="55"/>
      <c r="AT2349" s="43"/>
      <c r="AV2349" s="55"/>
      <c r="CJ2349" s="43"/>
      <c r="DF2349" s="55"/>
      <c r="DG2349" s="53"/>
      <c r="DL2349" s="54"/>
      <c r="DM2349" s="54"/>
      <c r="DN2349" s="54"/>
    </row>
    <row r="2350" spans="39:118">
      <c r="AM2350" s="55"/>
      <c r="AT2350" s="43"/>
      <c r="AV2350" s="55"/>
      <c r="CJ2350" s="43"/>
      <c r="DF2350" s="55"/>
      <c r="DG2350" s="53"/>
      <c r="DL2350" s="54"/>
      <c r="DM2350" s="54"/>
      <c r="DN2350" s="54"/>
    </row>
    <row r="2351" spans="39:118">
      <c r="AM2351" s="55"/>
      <c r="AT2351" s="43"/>
      <c r="AV2351" s="55"/>
      <c r="CJ2351" s="43"/>
      <c r="DF2351" s="55"/>
      <c r="DG2351" s="53"/>
      <c r="DL2351" s="54"/>
      <c r="DM2351" s="54"/>
      <c r="DN2351" s="54"/>
    </row>
    <row r="2352" spans="39:118">
      <c r="AM2352" s="55"/>
      <c r="AT2352" s="43"/>
      <c r="AV2352" s="55"/>
      <c r="CJ2352" s="43"/>
      <c r="DF2352" s="55"/>
      <c r="DG2352" s="53"/>
      <c r="DL2352" s="54"/>
      <c r="DM2352" s="54"/>
      <c r="DN2352" s="54"/>
    </row>
    <row r="2353" spans="39:118">
      <c r="AM2353" s="55"/>
      <c r="AT2353" s="43"/>
      <c r="AV2353" s="55"/>
      <c r="CJ2353" s="43"/>
      <c r="DF2353" s="55"/>
      <c r="DG2353" s="53"/>
      <c r="DL2353" s="54"/>
      <c r="DM2353" s="54"/>
      <c r="DN2353" s="54"/>
    </row>
    <row r="2354" spans="39:118">
      <c r="AM2354" s="55"/>
      <c r="AT2354" s="43"/>
      <c r="AV2354" s="55"/>
      <c r="CJ2354" s="43"/>
      <c r="DF2354" s="55"/>
      <c r="DG2354" s="53"/>
      <c r="DL2354" s="54"/>
      <c r="DM2354" s="54"/>
      <c r="DN2354" s="54"/>
    </row>
    <row r="2355" spans="39:118">
      <c r="AM2355" s="55"/>
      <c r="AT2355" s="43"/>
      <c r="AV2355" s="55"/>
      <c r="CJ2355" s="43"/>
      <c r="DF2355" s="55"/>
      <c r="DG2355" s="53"/>
      <c r="DL2355" s="54"/>
      <c r="DM2355" s="54"/>
      <c r="DN2355" s="54"/>
    </row>
    <row r="2356" spans="39:118">
      <c r="AM2356" s="55"/>
      <c r="AT2356" s="43"/>
      <c r="AV2356" s="55"/>
      <c r="CJ2356" s="43"/>
      <c r="DF2356" s="55"/>
      <c r="DG2356" s="53"/>
      <c r="DL2356" s="54"/>
      <c r="DM2356" s="54"/>
      <c r="DN2356" s="54"/>
    </row>
    <row r="2357" spans="39:118">
      <c r="AM2357" s="55"/>
      <c r="AT2357" s="43"/>
      <c r="AV2357" s="55"/>
      <c r="CJ2357" s="43"/>
      <c r="DF2357" s="55"/>
      <c r="DG2357" s="53"/>
      <c r="DL2357" s="54"/>
      <c r="DM2357" s="54"/>
      <c r="DN2357" s="54"/>
    </row>
    <row r="2358" spans="39:118">
      <c r="AM2358" s="55"/>
      <c r="AT2358" s="43"/>
      <c r="AV2358" s="55"/>
      <c r="CJ2358" s="43"/>
      <c r="DF2358" s="55"/>
      <c r="DG2358" s="53"/>
      <c r="DL2358" s="54"/>
      <c r="DM2358" s="54"/>
      <c r="DN2358" s="54"/>
    </row>
    <row r="2359" spans="39:118">
      <c r="AM2359" s="55"/>
      <c r="AT2359" s="43"/>
      <c r="AV2359" s="55"/>
      <c r="CJ2359" s="43"/>
      <c r="DF2359" s="55"/>
      <c r="DG2359" s="53"/>
      <c r="DL2359" s="54"/>
      <c r="DM2359" s="54"/>
      <c r="DN2359" s="54"/>
    </row>
    <row r="2360" spans="39:118">
      <c r="AM2360" s="55"/>
      <c r="AT2360" s="43"/>
      <c r="AV2360" s="55"/>
      <c r="CJ2360" s="43"/>
      <c r="DF2360" s="55"/>
      <c r="DG2360" s="53"/>
      <c r="DL2360" s="54"/>
      <c r="DM2360" s="54"/>
      <c r="DN2360" s="54"/>
    </row>
    <row r="2361" spans="39:118">
      <c r="AM2361" s="55"/>
      <c r="AT2361" s="43"/>
      <c r="AV2361" s="55"/>
      <c r="CJ2361" s="43"/>
      <c r="DF2361" s="55"/>
      <c r="DG2361" s="53"/>
      <c r="DL2361" s="54"/>
      <c r="DM2361" s="54"/>
      <c r="DN2361" s="54"/>
    </row>
    <row r="2362" spans="39:118">
      <c r="AM2362" s="55"/>
      <c r="AT2362" s="43"/>
      <c r="AV2362" s="55"/>
      <c r="CJ2362" s="43"/>
      <c r="DF2362" s="55"/>
      <c r="DG2362" s="53"/>
      <c r="DL2362" s="54"/>
      <c r="DM2362" s="54"/>
      <c r="DN2362" s="54"/>
    </row>
    <row r="2363" spans="39:118">
      <c r="AM2363" s="55"/>
      <c r="AT2363" s="43"/>
      <c r="AV2363" s="55"/>
      <c r="CJ2363" s="43"/>
      <c r="DF2363" s="55"/>
      <c r="DG2363" s="53"/>
      <c r="DL2363" s="54"/>
      <c r="DM2363" s="54"/>
      <c r="DN2363" s="54"/>
    </row>
    <row r="2364" spans="39:118">
      <c r="AM2364" s="55"/>
      <c r="AT2364" s="43"/>
      <c r="AV2364" s="55"/>
      <c r="CJ2364" s="43"/>
      <c r="DF2364" s="55"/>
      <c r="DG2364" s="53"/>
      <c r="DL2364" s="54"/>
      <c r="DM2364" s="54"/>
      <c r="DN2364" s="54"/>
    </row>
    <row r="2365" spans="39:118">
      <c r="AM2365" s="55"/>
      <c r="AT2365" s="43"/>
      <c r="AV2365" s="55"/>
      <c r="CJ2365" s="43"/>
      <c r="DF2365" s="55"/>
      <c r="DG2365" s="53"/>
      <c r="DL2365" s="54"/>
      <c r="DM2365" s="54"/>
      <c r="DN2365" s="54"/>
    </row>
    <row r="2366" spans="39:118">
      <c r="AM2366" s="55"/>
      <c r="AT2366" s="43"/>
      <c r="AV2366" s="55"/>
      <c r="CJ2366" s="43"/>
      <c r="DF2366" s="55"/>
      <c r="DG2366" s="53"/>
      <c r="DL2366" s="54"/>
      <c r="DM2366" s="54"/>
      <c r="DN2366" s="54"/>
    </row>
    <row r="2367" spans="39:118">
      <c r="AM2367" s="55"/>
      <c r="AT2367" s="43"/>
      <c r="AV2367" s="55"/>
      <c r="CJ2367" s="43"/>
      <c r="DF2367" s="55"/>
      <c r="DG2367" s="53"/>
      <c r="DL2367" s="54"/>
      <c r="DM2367" s="54"/>
      <c r="DN2367" s="54"/>
    </row>
    <row r="2368" spans="39:118">
      <c r="AM2368" s="55"/>
      <c r="AT2368" s="43"/>
      <c r="AV2368" s="55"/>
      <c r="CJ2368" s="43"/>
      <c r="DF2368" s="55"/>
      <c r="DG2368" s="53"/>
      <c r="DL2368" s="54"/>
      <c r="DM2368" s="54"/>
      <c r="DN2368" s="54"/>
    </row>
    <row r="2369" spans="39:118">
      <c r="AM2369" s="55"/>
      <c r="AT2369" s="43"/>
      <c r="AV2369" s="55"/>
      <c r="CJ2369" s="43"/>
      <c r="DF2369" s="55"/>
      <c r="DG2369" s="53"/>
      <c r="DL2369" s="54"/>
      <c r="DM2369" s="54"/>
      <c r="DN2369" s="54"/>
    </row>
    <row r="2370" spans="39:118">
      <c r="AM2370" s="55"/>
      <c r="AT2370" s="43"/>
      <c r="AV2370" s="55"/>
      <c r="CJ2370" s="43"/>
      <c r="DF2370" s="55"/>
      <c r="DG2370" s="53"/>
      <c r="DL2370" s="54"/>
      <c r="DM2370" s="54"/>
      <c r="DN2370" s="54"/>
    </row>
    <row r="2371" spans="39:118">
      <c r="AM2371" s="55"/>
      <c r="AT2371" s="43"/>
      <c r="AV2371" s="55"/>
      <c r="CJ2371" s="43"/>
      <c r="DF2371" s="55"/>
      <c r="DG2371" s="53"/>
      <c r="DL2371" s="54"/>
      <c r="DM2371" s="54"/>
      <c r="DN2371" s="54"/>
    </row>
    <row r="2372" spans="39:118">
      <c r="AM2372" s="55"/>
      <c r="AT2372" s="43"/>
      <c r="AV2372" s="55"/>
      <c r="CJ2372" s="43"/>
      <c r="DF2372" s="55"/>
      <c r="DG2372" s="53"/>
      <c r="DL2372" s="54"/>
      <c r="DM2372" s="54"/>
      <c r="DN2372" s="54"/>
    </row>
    <row r="2373" spans="39:118">
      <c r="AM2373" s="55"/>
      <c r="AT2373" s="43"/>
      <c r="AV2373" s="55"/>
      <c r="CJ2373" s="43"/>
      <c r="DF2373" s="55"/>
      <c r="DG2373" s="53"/>
      <c r="DL2373" s="54"/>
      <c r="DM2373" s="54"/>
      <c r="DN2373" s="54"/>
    </row>
    <row r="2374" spans="39:118">
      <c r="AM2374" s="55"/>
      <c r="AT2374" s="43"/>
      <c r="AV2374" s="55"/>
      <c r="CJ2374" s="43"/>
      <c r="DF2374" s="55"/>
      <c r="DG2374" s="53"/>
      <c r="DL2374" s="54"/>
      <c r="DM2374" s="54"/>
      <c r="DN2374" s="54"/>
    </row>
    <row r="2375" spans="39:118">
      <c r="AM2375" s="55"/>
      <c r="AT2375" s="43"/>
      <c r="AV2375" s="55"/>
      <c r="CJ2375" s="43"/>
      <c r="DF2375" s="55"/>
      <c r="DG2375" s="53"/>
      <c r="DL2375" s="54"/>
      <c r="DM2375" s="54"/>
      <c r="DN2375" s="54"/>
    </row>
    <row r="2376" spans="39:118">
      <c r="AM2376" s="55"/>
      <c r="AT2376" s="43"/>
      <c r="AV2376" s="55"/>
      <c r="CJ2376" s="43"/>
      <c r="DF2376" s="55"/>
      <c r="DG2376" s="53"/>
      <c r="DL2376" s="54"/>
      <c r="DM2376" s="54"/>
      <c r="DN2376" s="54"/>
    </row>
    <row r="2377" spans="39:118">
      <c r="AM2377" s="55"/>
      <c r="AT2377" s="43"/>
      <c r="AV2377" s="55"/>
      <c r="CJ2377" s="43"/>
      <c r="DF2377" s="55"/>
      <c r="DG2377" s="53"/>
      <c r="DL2377" s="54"/>
      <c r="DM2377" s="54"/>
      <c r="DN2377" s="54"/>
    </row>
    <row r="2378" spans="39:118">
      <c r="AM2378" s="55"/>
      <c r="AT2378" s="43"/>
      <c r="AV2378" s="55"/>
      <c r="CJ2378" s="43"/>
      <c r="DF2378" s="55"/>
      <c r="DG2378" s="53"/>
      <c r="DL2378" s="54"/>
      <c r="DM2378" s="54"/>
      <c r="DN2378" s="54"/>
    </row>
    <row r="2379" spans="39:118">
      <c r="AM2379" s="55"/>
      <c r="AT2379" s="43"/>
      <c r="AV2379" s="55"/>
      <c r="CJ2379" s="43"/>
      <c r="DF2379" s="55"/>
      <c r="DG2379" s="53"/>
      <c r="DL2379" s="54"/>
      <c r="DM2379" s="54"/>
      <c r="DN2379" s="54"/>
    </row>
    <row r="2380" spans="39:118">
      <c r="AM2380" s="55"/>
      <c r="AT2380" s="43"/>
      <c r="AV2380" s="55"/>
      <c r="CJ2380" s="43"/>
      <c r="DF2380" s="55"/>
      <c r="DG2380" s="53"/>
      <c r="DL2380" s="54"/>
      <c r="DM2380" s="54"/>
      <c r="DN2380" s="54"/>
    </row>
    <row r="2381" spans="39:118">
      <c r="AM2381" s="55"/>
      <c r="AT2381" s="43"/>
      <c r="AV2381" s="55"/>
      <c r="CJ2381" s="43"/>
      <c r="DF2381" s="55"/>
      <c r="DG2381" s="53"/>
      <c r="DL2381" s="54"/>
      <c r="DM2381" s="54"/>
      <c r="DN2381" s="54"/>
    </row>
    <row r="2382" spans="39:118">
      <c r="AM2382" s="55"/>
      <c r="AT2382" s="43"/>
      <c r="AV2382" s="55"/>
      <c r="CJ2382" s="43"/>
      <c r="DF2382" s="55"/>
      <c r="DG2382" s="53"/>
      <c r="DL2382" s="54"/>
      <c r="DM2382" s="54"/>
      <c r="DN2382" s="54"/>
    </row>
    <row r="2383" spans="39:118">
      <c r="AM2383" s="55"/>
      <c r="AT2383" s="43"/>
      <c r="AV2383" s="55"/>
      <c r="CJ2383" s="43"/>
      <c r="DF2383" s="55"/>
      <c r="DG2383" s="53"/>
      <c r="DL2383" s="54"/>
      <c r="DM2383" s="54"/>
      <c r="DN2383" s="54"/>
    </row>
    <row r="2384" spans="39:118">
      <c r="AM2384" s="55"/>
      <c r="AT2384" s="43"/>
      <c r="AV2384" s="55"/>
      <c r="CJ2384" s="43"/>
      <c r="DF2384" s="55"/>
      <c r="DG2384" s="53"/>
      <c r="DL2384" s="54"/>
      <c r="DM2384" s="54"/>
      <c r="DN2384" s="54"/>
    </row>
    <row r="2385" spans="39:118">
      <c r="AM2385" s="55"/>
      <c r="AT2385" s="43"/>
      <c r="AV2385" s="55"/>
      <c r="CJ2385" s="43"/>
      <c r="DF2385" s="55"/>
      <c r="DG2385" s="53"/>
      <c r="DL2385" s="54"/>
      <c r="DM2385" s="54"/>
      <c r="DN2385" s="54"/>
    </row>
    <row r="2386" spans="39:118">
      <c r="AM2386" s="55"/>
      <c r="AT2386" s="43"/>
      <c r="AV2386" s="55"/>
      <c r="CJ2386" s="43"/>
      <c r="DF2386" s="55"/>
      <c r="DG2386" s="53"/>
      <c r="DL2386" s="54"/>
      <c r="DM2386" s="54"/>
      <c r="DN2386" s="54"/>
    </row>
    <row r="2387" spans="39:118">
      <c r="AM2387" s="55"/>
      <c r="AT2387" s="43"/>
      <c r="AV2387" s="55"/>
      <c r="CJ2387" s="43"/>
      <c r="DF2387" s="55"/>
      <c r="DG2387" s="53"/>
      <c r="DL2387" s="54"/>
      <c r="DM2387" s="54"/>
      <c r="DN2387" s="54"/>
    </row>
    <row r="2388" spans="39:118">
      <c r="AM2388" s="55"/>
      <c r="AT2388" s="43"/>
      <c r="AV2388" s="55"/>
      <c r="CJ2388" s="43"/>
      <c r="DF2388" s="55"/>
      <c r="DG2388" s="53"/>
      <c r="DL2388" s="54"/>
      <c r="DM2388" s="54"/>
      <c r="DN2388" s="54"/>
    </row>
    <row r="2389" spans="39:118">
      <c r="AM2389" s="55"/>
      <c r="AT2389" s="43"/>
      <c r="AV2389" s="55"/>
      <c r="CJ2389" s="43"/>
      <c r="DF2389" s="55"/>
      <c r="DG2389" s="53"/>
      <c r="DL2389" s="54"/>
      <c r="DM2389" s="54"/>
      <c r="DN2389" s="54"/>
    </row>
    <row r="2390" spans="39:118">
      <c r="AM2390" s="55"/>
      <c r="AT2390" s="43"/>
      <c r="AV2390" s="55"/>
      <c r="CJ2390" s="43"/>
      <c r="DF2390" s="55"/>
      <c r="DG2390" s="53"/>
      <c r="DL2390" s="54"/>
      <c r="DM2390" s="54"/>
      <c r="DN2390" s="54"/>
    </row>
    <row r="2391" spans="39:118">
      <c r="AM2391" s="55"/>
      <c r="AT2391" s="43"/>
      <c r="AV2391" s="55"/>
      <c r="CJ2391" s="43"/>
      <c r="DF2391" s="55"/>
      <c r="DG2391" s="53"/>
      <c r="DL2391" s="54"/>
      <c r="DM2391" s="54"/>
      <c r="DN2391" s="54"/>
    </row>
    <row r="2392" spans="39:118">
      <c r="AM2392" s="55"/>
      <c r="AT2392" s="43"/>
      <c r="AV2392" s="55"/>
      <c r="CJ2392" s="43"/>
      <c r="DF2392" s="55"/>
      <c r="DG2392" s="53"/>
      <c r="DL2392" s="54"/>
      <c r="DM2392" s="54"/>
      <c r="DN2392" s="54"/>
    </row>
    <row r="2393" spans="39:118">
      <c r="AM2393" s="55"/>
      <c r="AT2393" s="43"/>
      <c r="AV2393" s="55"/>
      <c r="CJ2393" s="43"/>
      <c r="DF2393" s="55"/>
      <c r="DG2393" s="53"/>
      <c r="DL2393" s="54"/>
      <c r="DM2393" s="54"/>
      <c r="DN2393" s="54"/>
    </row>
    <row r="2394" spans="39:118">
      <c r="AM2394" s="55"/>
      <c r="AT2394" s="43"/>
      <c r="AV2394" s="55"/>
      <c r="CJ2394" s="43"/>
      <c r="DF2394" s="55"/>
      <c r="DG2394" s="53"/>
      <c r="DL2394" s="54"/>
      <c r="DM2394" s="54"/>
      <c r="DN2394" s="54"/>
    </row>
    <row r="2395" spans="39:118">
      <c r="AM2395" s="55"/>
      <c r="AT2395" s="43"/>
      <c r="AV2395" s="55"/>
      <c r="CJ2395" s="43"/>
      <c r="DF2395" s="55"/>
      <c r="DG2395" s="53"/>
      <c r="DL2395" s="54"/>
      <c r="DM2395" s="54"/>
      <c r="DN2395" s="54"/>
    </row>
    <row r="2396" spans="39:118">
      <c r="AM2396" s="55"/>
      <c r="AT2396" s="43"/>
      <c r="AV2396" s="55"/>
      <c r="CJ2396" s="43"/>
      <c r="DF2396" s="55"/>
      <c r="DG2396" s="53"/>
      <c r="DL2396" s="54"/>
      <c r="DM2396" s="54"/>
      <c r="DN2396" s="54"/>
    </row>
    <row r="2397" spans="39:118">
      <c r="AM2397" s="55"/>
      <c r="AT2397" s="43"/>
      <c r="AV2397" s="55"/>
      <c r="CJ2397" s="43"/>
      <c r="DF2397" s="55"/>
      <c r="DG2397" s="53"/>
      <c r="DL2397" s="54"/>
      <c r="DM2397" s="54"/>
      <c r="DN2397" s="54"/>
    </row>
    <row r="2398" spans="39:118">
      <c r="AM2398" s="55"/>
      <c r="AT2398" s="43"/>
      <c r="AV2398" s="55"/>
      <c r="CJ2398" s="43"/>
      <c r="DF2398" s="55"/>
      <c r="DG2398" s="53"/>
      <c r="DL2398" s="54"/>
      <c r="DM2398" s="54"/>
      <c r="DN2398" s="54"/>
    </row>
    <row r="2399" spans="39:118">
      <c r="AM2399" s="55"/>
      <c r="AT2399" s="43"/>
      <c r="AV2399" s="55"/>
      <c r="CJ2399" s="43"/>
      <c r="DF2399" s="55"/>
      <c r="DG2399" s="53"/>
      <c r="DL2399" s="54"/>
      <c r="DM2399" s="54"/>
      <c r="DN2399" s="54"/>
    </row>
    <row r="2400" spans="39:118">
      <c r="AM2400" s="55"/>
      <c r="AT2400" s="43"/>
      <c r="AV2400" s="55"/>
      <c r="CJ2400" s="43"/>
      <c r="DF2400" s="55"/>
      <c r="DG2400" s="53"/>
      <c r="DL2400" s="54"/>
      <c r="DM2400" s="54"/>
      <c r="DN2400" s="54"/>
    </row>
    <row r="2401" spans="39:118">
      <c r="AM2401" s="55"/>
      <c r="AT2401" s="43"/>
      <c r="AV2401" s="55"/>
      <c r="CJ2401" s="43"/>
      <c r="DF2401" s="55"/>
      <c r="DG2401" s="53"/>
      <c r="DL2401" s="54"/>
      <c r="DM2401" s="54"/>
      <c r="DN2401" s="54"/>
    </row>
    <row r="2402" spans="39:118">
      <c r="AM2402" s="55"/>
      <c r="AT2402" s="43"/>
      <c r="AV2402" s="55"/>
      <c r="CJ2402" s="43"/>
      <c r="DF2402" s="55"/>
      <c r="DG2402" s="53"/>
      <c r="DL2402" s="54"/>
      <c r="DM2402" s="54"/>
      <c r="DN2402" s="54"/>
    </row>
    <row r="2403" spans="39:118">
      <c r="AM2403" s="55"/>
      <c r="AT2403" s="43"/>
      <c r="AV2403" s="55"/>
      <c r="CJ2403" s="43"/>
      <c r="DF2403" s="55"/>
      <c r="DG2403" s="53"/>
      <c r="DL2403" s="54"/>
      <c r="DM2403" s="54"/>
      <c r="DN2403" s="54"/>
    </row>
    <row r="2404" spans="39:118">
      <c r="AM2404" s="55"/>
      <c r="AT2404" s="43"/>
      <c r="AV2404" s="55"/>
      <c r="CJ2404" s="43"/>
      <c r="DF2404" s="55"/>
      <c r="DG2404" s="53"/>
      <c r="DL2404" s="54"/>
      <c r="DM2404" s="54"/>
      <c r="DN2404" s="54"/>
    </row>
    <row r="2405" spans="39:118">
      <c r="AM2405" s="55"/>
      <c r="AT2405" s="43"/>
      <c r="AV2405" s="55"/>
      <c r="CJ2405" s="43"/>
      <c r="DF2405" s="55"/>
      <c r="DG2405" s="53"/>
      <c r="DL2405" s="54"/>
      <c r="DM2405" s="54"/>
      <c r="DN2405" s="54"/>
    </row>
    <row r="2406" spans="39:118">
      <c r="AM2406" s="55"/>
      <c r="AT2406" s="43"/>
      <c r="AV2406" s="55"/>
      <c r="CJ2406" s="43"/>
      <c r="DF2406" s="55"/>
      <c r="DG2406" s="53"/>
      <c r="DL2406" s="54"/>
      <c r="DM2406" s="54"/>
      <c r="DN2406" s="54"/>
    </row>
    <row r="2407" spans="39:118">
      <c r="AM2407" s="55"/>
      <c r="AT2407" s="43"/>
      <c r="AV2407" s="55"/>
      <c r="CJ2407" s="43"/>
      <c r="DF2407" s="55"/>
      <c r="DG2407" s="53"/>
      <c r="DL2407" s="54"/>
      <c r="DM2407" s="54"/>
      <c r="DN2407" s="54"/>
    </row>
    <row r="2408" spans="39:118">
      <c r="AM2408" s="55"/>
      <c r="AT2408" s="43"/>
      <c r="AV2408" s="55"/>
      <c r="CJ2408" s="43"/>
      <c r="DF2408" s="55"/>
      <c r="DG2408" s="53"/>
      <c r="DL2408" s="54"/>
      <c r="DM2408" s="54"/>
      <c r="DN2408" s="54"/>
    </row>
    <row r="2409" spans="39:118">
      <c r="AM2409" s="55"/>
      <c r="AT2409" s="43"/>
      <c r="AV2409" s="55"/>
      <c r="CJ2409" s="43"/>
      <c r="DF2409" s="55"/>
      <c r="DG2409" s="53"/>
      <c r="DL2409" s="54"/>
      <c r="DM2409" s="54"/>
      <c r="DN2409" s="54"/>
    </row>
    <row r="2410" spans="39:118">
      <c r="AM2410" s="55"/>
      <c r="AT2410" s="43"/>
      <c r="AV2410" s="55"/>
      <c r="CJ2410" s="43"/>
      <c r="DF2410" s="55"/>
      <c r="DG2410" s="53"/>
      <c r="DL2410" s="54"/>
      <c r="DM2410" s="54"/>
      <c r="DN2410" s="54"/>
    </row>
    <row r="2411" spans="39:118">
      <c r="AM2411" s="55"/>
      <c r="AT2411" s="43"/>
      <c r="AV2411" s="55"/>
      <c r="CJ2411" s="43"/>
      <c r="DF2411" s="55"/>
      <c r="DG2411" s="53"/>
      <c r="DL2411" s="54"/>
      <c r="DM2411" s="54"/>
      <c r="DN2411" s="54"/>
    </row>
    <row r="2412" spans="39:118">
      <c r="AM2412" s="55"/>
      <c r="AT2412" s="43"/>
      <c r="AV2412" s="55"/>
      <c r="CJ2412" s="43"/>
      <c r="DF2412" s="55"/>
      <c r="DG2412" s="53"/>
      <c r="DL2412" s="54"/>
      <c r="DM2412" s="54"/>
      <c r="DN2412" s="54"/>
    </row>
    <row r="2413" spans="39:118">
      <c r="AM2413" s="55"/>
      <c r="AT2413" s="43"/>
      <c r="AV2413" s="55"/>
      <c r="CJ2413" s="43"/>
      <c r="DF2413" s="55"/>
      <c r="DG2413" s="53"/>
      <c r="DL2413" s="54"/>
      <c r="DM2413" s="54"/>
      <c r="DN2413" s="54"/>
    </row>
    <row r="2414" spans="39:118">
      <c r="AM2414" s="55"/>
      <c r="AT2414" s="43"/>
      <c r="AV2414" s="55"/>
      <c r="CJ2414" s="43"/>
      <c r="DF2414" s="55"/>
      <c r="DG2414" s="53"/>
      <c r="DL2414" s="54"/>
      <c r="DM2414" s="54"/>
      <c r="DN2414" s="54"/>
    </row>
    <row r="2415" spans="39:118">
      <c r="AM2415" s="55"/>
      <c r="AT2415" s="43"/>
      <c r="AV2415" s="55"/>
      <c r="CJ2415" s="43"/>
      <c r="DF2415" s="55"/>
      <c r="DG2415" s="53"/>
      <c r="DL2415" s="54"/>
      <c r="DM2415" s="54"/>
      <c r="DN2415" s="54"/>
    </row>
    <row r="2416" spans="39:118">
      <c r="AM2416" s="55"/>
      <c r="AT2416" s="43"/>
      <c r="AV2416" s="55"/>
      <c r="CJ2416" s="43"/>
      <c r="DF2416" s="55"/>
      <c r="DG2416" s="53"/>
      <c r="DL2416" s="54"/>
      <c r="DM2416" s="54"/>
      <c r="DN2416" s="54"/>
    </row>
    <row r="2417" spans="39:118">
      <c r="AM2417" s="55"/>
      <c r="AT2417" s="43"/>
      <c r="AV2417" s="55"/>
      <c r="CJ2417" s="43"/>
      <c r="DF2417" s="55"/>
      <c r="DG2417" s="53"/>
      <c r="DL2417" s="54"/>
      <c r="DM2417" s="54"/>
      <c r="DN2417" s="54"/>
    </row>
    <row r="2418" spans="39:118">
      <c r="AM2418" s="55"/>
      <c r="AT2418" s="43"/>
      <c r="AV2418" s="55"/>
      <c r="CJ2418" s="43"/>
      <c r="DF2418" s="55"/>
      <c r="DG2418" s="53"/>
      <c r="DL2418" s="54"/>
      <c r="DM2418" s="54"/>
      <c r="DN2418" s="54"/>
    </row>
    <row r="2419" spans="39:118">
      <c r="AM2419" s="55"/>
      <c r="AT2419" s="43"/>
      <c r="AV2419" s="55"/>
      <c r="CJ2419" s="43"/>
      <c r="DF2419" s="55"/>
      <c r="DG2419" s="53"/>
      <c r="DL2419" s="54"/>
      <c r="DM2419" s="54"/>
      <c r="DN2419" s="54"/>
    </row>
    <row r="2420" spans="39:118">
      <c r="AM2420" s="55"/>
      <c r="AT2420" s="43"/>
      <c r="AV2420" s="55"/>
      <c r="CJ2420" s="43"/>
      <c r="DF2420" s="55"/>
      <c r="DG2420" s="53"/>
      <c r="DL2420" s="54"/>
      <c r="DM2420" s="54"/>
      <c r="DN2420" s="54"/>
    </row>
    <row r="2421" spans="39:118">
      <c r="AM2421" s="55"/>
      <c r="AT2421" s="43"/>
      <c r="AV2421" s="55"/>
      <c r="CJ2421" s="43"/>
      <c r="DF2421" s="55"/>
      <c r="DG2421" s="53"/>
      <c r="DL2421" s="54"/>
      <c r="DM2421" s="54"/>
      <c r="DN2421" s="54"/>
    </row>
    <row r="2422" spans="39:118">
      <c r="AM2422" s="55"/>
      <c r="AT2422" s="43"/>
      <c r="AV2422" s="55"/>
      <c r="CJ2422" s="43"/>
      <c r="DF2422" s="55"/>
      <c r="DG2422" s="53"/>
      <c r="DL2422" s="54"/>
      <c r="DM2422" s="54"/>
      <c r="DN2422" s="54"/>
    </row>
    <row r="2423" spans="39:118">
      <c r="AM2423" s="55"/>
      <c r="AT2423" s="43"/>
      <c r="AV2423" s="55"/>
      <c r="CJ2423" s="43"/>
      <c r="DF2423" s="55"/>
      <c r="DG2423" s="53"/>
      <c r="DL2423" s="54"/>
      <c r="DM2423" s="54"/>
      <c r="DN2423" s="54"/>
    </row>
    <row r="2424" spans="39:118">
      <c r="AM2424" s="55"/>
      <c r="AT2424" s="43"/>
      <c r="AV2424" s="55"/>
      <c r="CJ2424" s="43"/>
      <c r="DF2424" s="55"/>
      <c r="DG2424" s="53"/>
      <c r="DL2424" s="54"/>
      <c r="DM2424" s="54"/>
      <c r="DN2424" s="54"/>
    </row>
    <row r="2425" spans="39:118">
      <c r="AM2425" s="55"/>
      <c r="AT2425" s="43"/>
      <c r="AV2425" s="55"/>
      <c r="CJ2425" s="43"/>
      <c r="DF2425" s="55"/>
      <c r="DG2425" s="53"/>
      <c r="DL2425" s="54"/>
      <c r="DM2425" s="54"/>
      <c r="DN2425" s="54"/>
    </row>
    <row r="2426" spans="39:118">
      <c r="AM2426" s="55"/>
      <c r="AT2426" s="43"/>
      <c r="AV2426" s="55"/>
      <c r="CJ2426" s="43"/>
      <c r="DF2426" s="55"/>
      <c r="DG2426" s="53"/>
      <c r="DL2426" s="54"/>
      <c r="DM2426" s="54"/>
      <c r="DN2426" s="54"/>
    </row>
    <row r="2427" spans="39:118">
      <c r="AM2427" s="55"/>
      <c r="AT2427" s="43"/>
      <c r="AV2427" s="55"/>
      <c r="CJ2427" s="43"/>
      <c r="DF2427" s="55"/>
      <c r="DG2427" s="53"/>
      <c r="DL2427" s="54"/>
      <c r="DM2427" s="54"/>
      <c r="DN2427" s="54"/>
    </row>
    <row r="2428" spans="39:118">
      <c r="AM2428" s="55"/>
      <c r="AT2428" s="43"/>
      <c r="AV2428" s="55"/>
      <c r="CJ2428" s="43"/>
      <c r="DF2428" s="55"/>
      <c r="DG2428" s="53"/>
      <c r="DL2428" s="54"/>
      <c r="DM2428" s="54"/>
      <c r="DN2428" s="54"/>
    </row>
    <row r="2429" spans="39:118">
      <c r="AM2429" s="55"/>
      <c r="AT2429" s="43"/>
      <c r="AV2429" s="55"/>
      <c r="CJ2429" s="43"/>
      <c r="DF2429" s="55"/>
      <c r="DG2429" s="53"/>
      <c r="DL2429" s="54"/>
      <c r="DM2429" s="54"/>
      <c r="DN2429" s="54"/>
    </row>
    <row r="2430" spans="39:118">
      <c r="AM2430" s="55"/>
      <c r="AT2430" s="43"/>
      <c r="AV2430" s="55"/>
      <c r="CJ2430" s="43"/>
      <c r="DF2430" s="55"/>
      <c r="DG2430" s="53"/>
      <c r="DL2430" s="54"/>
      <c r="DM2430" s="54"/>
      <c r="DN2430" s="54"/>
    </row>
    <row r="2431" spans="39:118">
      <c r="AM2431" s="55"/>
      <c r="AT2431" s="43"/>
      <c r="AV2431" s="55"/>
      <c r="CJ2431" s="43"/>
      <c r="DF2431" s="55"/>
      <c r="DG2431" s="53"/>
      <c r="DL2431" s="54"/>
      <c r="DM2431" s="54"/>
      <c r="DN2431" s="54"/>
    </row>
    <row r="2432" spans="39:118">
      <c r="AM2432" s="55"/>
      <c r="AT2432" s="43"/>
      <c r="AV2432" s="55"/>
      <c r="CJ2432" s="43"/>
      <c r="DF2432" s="55"/>
      <c r="DG2432" s="53"/>
      <c r="DL2432" s="54"/>
      <c r="DM2432" s="54"/>
      <c r="DN2432" s="54"/>
    </row>
    <row r="2433" spans="39:118">
      <c r="AM2433" s="55"/>
      <c r="AT2433" s="43"/>
      <c r="AV2433" s="55"/>
      <c r="CJ2433" s="43"/>
      <c r="DF2433" s="55"/>
      <c r="DG2433" s="53"/>
      <c r="DL2433" s="54"/>
      <c r="DM2433" s="54"/>
      <c r="DN2433" s="54"/>
    </row>
    <row r="2434" spans="39:118">
      <c r="AM2434" s="55"/>
      <c r="AT2434" s="43"/>
      <c r="AV2434" s="55"/>
      <c r="CJ2434" s="43"/>
      <c r="DF2434" s="55"/>
      <c r="DG2434" s="53"/>
      <c r="DL2434" s="54"/>
      <c r="DM2434" s="54"/>
      <c r="DN2434" s="54"/>
    </row>
    <row r="2435" spans="39:118">
      <c r="AM2435" s="55"/>
      <c r="AT2435" s="43"/>
      <c r="AV2435" s="55"/>
      <c r="CJ2435" s="43"/>
      <c r="DF2435" s="55"/>
      <c r="DG2435" s="53"/>
      <c r="DL2435" s="54"/>
      <c r="DM2435" s="54"/>
      <c r="DN2435" s="54"/>
    </row>
    <row r="2436" spans="39:118">
      <c r="AM2436" s="55"/>
      <c r="AT2436" s="43"/>
      <c r="AV2436" s="55"/>
      <c r="CJ2436" s="43"/>
      <c r="DF2436" s="55"/>
      <c r="DG2436" s="53"/>
      <c r="DL2436" s="54"/>
      <c r="DM2436" s="54"/>
      <c r="DN2436" s="54"/>
    </row>
    <row r="2437" spans="39:118">
      <c r="AM2437" s="55"/>
      <c r="AT2437" s="43"/>
      <c r="AV2437" s="55"/>
      <c r="CJ2437" s="43"/>
      <c r="DF2437" s="55"/>
      <c r="DG2437" s="53"/>
      <c r="DL2437" s="54"/>
      <c r="DM2437" s="54"/>
      <c r="DN2437" s="54"/>
    </row>
    <row r="2438" spans="39:118">
      <c r="AM2438" s="55"/>
      <c r="AT2438" s="43"/>
      <c r="AV2438" s="55"/>
      <c r="CJ2438" s="43"/>
      <c r="DF2438" s="55"/>
      <c r="DG2438" s="53"/>
      <c r="DL2438" s="54"/>
      <c r="DM2438" s="54"/>
      <c r="DN2438" s="54"/>
    </row>
    <row r="2439" spans="39:118">
      <c r="AM2439" s="55"/>
      <c r="AT2439" s="43"/>
      <c r="AV2439" s="55"/>
      <c r="CJ2439" s="43"/>
      <c r="DF2439" s="55"/>
      <c r="DG2439" s="53"/>
      <c r="DL2439" s="54"/>
      <c r="DM2439" s="54"/>
      <c r="DN2439" s="54"/>
    </row>
    <row r="2440" spans="39:118">
      <c r="AM2440" s="55"/>
      <c r="AT2440" s="43"/>
      <c r="AV2440" s="55"/>
      <c r="CJ2440" s="43"/>
      <c r="DF2440" s="55"/>
      <c r="DG2440" s="53"/>
      <c r="DL2440" s="54"/>
      <c r="DM2440" s="54"/>
      <c r="DN2440" s="54"/>
    </row>
    <row r="2441" spans="39:118">
      <c r="AM2441" s="55"/>
      <c r="AT2441" s="43"/>
      <c r="AV2441" s="55"/>
      <c r="CJ2441" s="43"/>
      <c r="DF2441" s="55"/>
      <c r="DG2441" s="53"/>
      <c r="DL2441" s="54"/>
      <c r="DM2441" s="54"/>
      <c r="DN2441" s="54"/>
    </row>
    <row r="2442" spans="39:118">
      <c r="AM2442" s="55"/>
      <c r="AT2442" s="43"/>
      <c r="AV2442" s="55"/>
      <c r="CJ2442" s="43"/>
      <c r="DF2442" s="55"/>
      <c r="DG2442" s="53"/>
      <c r="DL2442" s="54"/>
      <c r="DM2442" s="54"/>
      <c r="DN2442" s="54"/>
    </row>
    <row r="2443" spans="39:118">
      <c r="AM2443" s="55"/>
      <c r="AT2443" s="43"/>
      <c r="AV2443" s="55"/>
      <c r="CJ2443" s="43"/>
      <c r="DF2443" s="55"/>
      <c r="DG2443" s="53"/>
      <c r="DL2443" s="54"/>
      <c r="DM2443" s="54"/>
      <c r="DN2443" s="54"/>
    </row>
    <row r="2444" spans="39:118">
      <c r="AM2444" s="55"/>
      <c r="AT2444" s="43"/>
      <c r="AV2444" s="55"/>
      <c r="CJ2444" s="43"/>
      <c r="DF2444" s="55"/>
      <c r="DG2444" s="53"/>
      <c r="DL2444" s="54"/>
      <c r="DM2444" s="54"/>
      <c r="DN2444" s="54"/>
    </row>
    <row r="2445" spans="39:118">
      <c r="AM2445" s="55"/>
      <c r="AT2445" s="43"/>
      <c r="AV2445" s="55"/>
      <c r="CJ2445" s="43"/>
      <c r="DF2445" s="55"/>
      <c r="DG2445" s="53"/>
      <c r="DL2445" s="54"/>
      <c r="DM2445" s="54"/>
      <c r="DN2445" s="54"/>
    </row>
    <row r="2446" spans="39:118">
      <c r="AM2446" s="55"/>
      <c r="AT2446" s="43"/>
      <c r="AV2446" s="55"/>
      <c r="CJ2446" s="43"/>
      <c r="DF2446" s="55"/>
      <c r="DG2446" s="53"/>
      <c r="DL2446" s="54"/>
      <c r="DM2446" s="54"/>
      <c r="DN2446" s="54"/>
    </row>
    <row r="2447" spans="39:118">
      <c r="AM2447" s="55"/>
      <c r="AT2447" s="43"/>
      <c r="AV2447" s="55"/>
      <c r="CJ2447" s="43"/>
      <c r="DF2447" s="55"/>
      <c r="DG2447" s="53"/>
      <c r="DL2447" s="54"/>
      <c r="DM2447" s="54"/>
      <c r="DN2447" s="54"/>
    </row>
    <row r="2448" spans="39:118">
      <c r="AM2448" s="55"/>
      <c r="AT2448" s="43"/>
      <c r="AV2448" s="55"/>
      <c r="CJ2448" s="43"/>
      <c r="DF2448" s="55"/>
      <c r="DG2448" s="53"/>
      <c r="DL2448" s="54"/>
      <c r="DM2448" s="54"/>
      <c r="DN2448" s="54"/>
    </row>
    <row r="2449" spans="39:118">
      <c r="AM2449" s="55"/>
      <c r="AT2449" s="43"/>
      <c r="AV2449" s="55"/>
      <c r="CJ2449" s="43"/>
      <c r="DF2449" s="55"/>
      <c r="DG2449" s="53"/>
      <c r="DL2449" s="54"/>
      <c r="DM2449" s="54"/>
      <c r="DN2449" s="54"/>
    </row>
    <row r="2450" spans="39:118">
      <c r="AM2450" s="55"/>
      <c r="AT2450" s="43"/>
      <c r="AV2450" s="55"/>
      <c r="CJ2450" s="43"/>
      <c r="DF2450" s="55"/>
      <c r="DG2450" s="53"/>
      <c r="DL2450" s="54"/>
      <c r="DM2450" s="54"/>
      <c r="DN2450" s="54"/>
    </row>
    <row r="2451" spans="39:118">
      <c r="AM2451" s="55"/>
      <c r="AT2451" s="43"/>
      <c r="AV2451" s="55"/>
      <c r="CJ2451" s="43"/>
      <c r="DF2451" s="55"/>
      <c r="DG2451" s="53"/>
      <c r="DL2451" s="54"/>
      <c r="DM2451" s="54"/>
      <c r="DN2451" s="54"/>
    </row>
    <row r="2452" spans="39:118">
      <c r="AM2452" s="55"/>
      <c r="AT2452" s="43"/>
      <c r="AV2452" s="55"/>
      <c r="CJ2452" s="43"/>
      <c r="DF2452" s="55"/>
      <c r="DG2452" s="53"/>
      <c r="DL2452" s="54"/>
      <c r="DM2452" s="54"/>
      <c r="DN2452" s="54"/>
    </row>
    <row r="2453" spans="39:118">
      <c r="AM2453" s="55"/>
      <c r="AT2453" s="43"/>
      <c r="AV2453" s="55"/>
      <c r="CJ2453" s="43"/>
      <c r="DF2453" s="55"/>
      <c r="DG2453" s="53"/>
      <c r="DL2453" s="54"/>
      <c r="DM2453" s="54"/>
      <c r="DN2453" s="54"/>
    </row>
    <row r="2454" spans="39:118">
      <c r="AM2454" s="55"/>
      <c r="AT2454" s="43"/>
      <c r="AV2454" s="55"/>
      <c r="CJ2454" s="43"/>
      <c r="DF2454" s="55"/>
      <c r="DG2454" s="53"/>
      <c r="DL2454" s="54"/>
      <c r="DM2454" s="54"/>
      <c r="DN2454" s="54"/>
    </row>
    <row r="2455" spans="39:118">
      <c r="AM2455" s="55"/>
      <c r="AT2455" s="43"/>
      <c r="AV2455" s="55"/>
      <c r="CJ2455" s="43"/>
      <c r="DF2455" s="55"/>
      <c r="DG2455" s="53"/>
      <c r="DL2455" s="54"/>
      <c r="DM2455" s="54"/>
      <c r="DN2455" s="54"/>
    </row>
    <row r="2456" spans="39:118">
      <c r="AM2456" s="55"/>
      <c r="AT2456" s="43"/>
      <c r="AV2456" s="55"/>
      <c r="CJ2456" s="43"/>
      <c r="DF2456" s="55"/>
      <c r="DG2456" s="53"/>
      <c r="DL2456" s="54"/>
      <c r="DM2456" s="54"/>
      <c r="DN2456" s="54"/>
    </row>
    <row r="2457" spans="39:118">
      <c r="AM2457" s="55"/>
      <c r="AT2457" s="43"/>
      <c r="AV2457" s="55"/>
      <c r="CJ2457" s="43"/>
      <c r="DF2457" s="55"/>
      <c r="DG2457" s="53"/>
      <c r="DL2457" s="54"/>
      <c r="DM2457" s="54"/>
      <c r="DN2457" s="54"/>
    </row>
    <row r="2458" spans="39:118">
      <c r="AM2458" s="55"/>
      <c r="AT2458" s="43"/>
      <c r="AV2458" s="55"/>
      <c r="CJ2458" s="43"/>
      <c r="DF2458" s="55"/>
      <c r="DG2458" s="53"/>
      <c r="DL2458" s="54"/>
      <c r="DM2458" s="54"/>
      <c r="DN2458" s="54"/>
    </row>
    <row r="2459" spans="39:118">
      <c r="AM2459" s="55"/>
      <c r="AT2459" s="43"/>
      <c r="AV2459" s="55"/>
      <c r="CJ2459" s="43"/>
      <c r="DF2459" s="55"/>
      <c r="DG2459" s="53"/>
      <c r="DL2459" s="54"/>
      <c r="DM2459" s="54"/>
      <c r="DN2459" s="54"/>
    </row>
    <row r="2460" spans="39:118">
      <c r="AM2460" s="55"/>
      <c r="AT2460" s="43"/>
      <c r="AV2460" s="55"/>
      <c r="CJ2460" s="43"/>
      <c r="DF2460" s="55"/>
      <c r="DG2460" s="53"/>
      <c r="DL2460" s="54"/>
      <c r="DM2460" s="54"/>
      <c r="DN2460" s="54"/>
    </row>
    <row r="2461" spans="39:118">
      <c r="AM2461" s="55"/>
      <c r="AT2461" s="43"/>
      <c r="AV2461" s="55"/>
      <c r="CJ2461" s="43"/>
      <c r="DF2461" s="55"/>
      <c r="DG2461" s="53"/>
      <c r="DL2461" s="54"/>
      <c r="DM2461" s="54"/>
      <c r="DN2461" s="54"/>
    </row>
    <row r="2462" spans="39:118">
      <c r="AM2462" s="55"/>
      <c r="AT2462" s="43"/>
      <c r="AV2462" s="55"/>
      <c r="CJ2462" s="43"/>
      <c r="DF2462" s="55"/>
      <c r="DG2462" s="53"/>
      <c r="DL2462" s="54"/>
      <c r="DM2462" s="54"/>
      <c r="DN2462" s="54"/>
    </row>
    <row r="2463" spans="39:118">
      <c r="AM2463" s="55"/>
      <c r="AT2463" s="43"/>
      <c r="AV2463" s="55"/>
      <c r="CJ2463" s="43"/>
      <c r="DF2463" s="55"/>
      <c r="DG2463" s="53"/>
      <c r="DL2463" s="54"/>
      <c r="DM2463" s="54"/>
      <c r="DN2463" s="54"/>
    </row>
    <row r="2464" spans="39:118">
      <c r="AM2464" s="55"/>
      <c r="AT2464" s="43"/>
      <c r="AV2464" s="55"/>
      <c r="CJ2464" s="43"/>
      <c r="DF2464" s="55"/>
      <c r="DG2464" s="53"/>
      <c r="DL2464" s="54"/>
      <c r="DM2464" s="54"/>
      <c r="DN2464" s="54"/>
    </row>
    <row r="2465" spans="39:118">
      <c r="AM2465" s="55"/>
      <c r="AT2465" s="43"/>
      <c r="AV2465" s="55"/>
      <c r="CJ2465" s="43"/>
      <c r="DF2465" s="55"/>
      <c r="DG2465" s="53"/>
      <c r="DL2465" s="54"/>
      <c r="DM2465" s="54"/>
      <c r="DN2465" s="54"/>
    </row>
    <row r="2466" spans="39:118">
      <c r="AM2466" s="55"/>
      <c r="AT2466" s="43"/>
      <c r="AV2466" s="55"/>
      <c r="CJ2466" s="43"/>
      <c r="DF2466" s="55"/>
      <c r="DG2466" s="53"/>
      <c r="DL2466" s="54"/>
      <c r="DM2466" s="54"/>
      <c r="DN2466" s="54"/>
    </row>
    <row r="2467" spans="39:118">
      <c r="AM2467" s="55"/>
      <c r="AT2467" s="43"/>
      <c r="AV2467" s="55"/>
      <c r="CJ2467" s="43"/>
      <c r="DF2467" s="55"/>
      <c r="DG2467" s="53"/>
      <c r="DL2467" s="54"/>
      <c r="DM2467" s="54"/>
      <c r="DN2467" s="54"/>
    </row>
    <row r="2468" spans="39:118">
      <c r="AM2468" s="55"/>
      <c r="AT2468" s="43"/>
      <c r="AV2468" s="55"/>
      <c r="CJ2468" s="43"/>
      <c r="DF2468" s="55"/>
      <c r="DG2468" s="53"/>
      <c r="DL2468" s="54"/>
      <c r="DM2468" s="54"/>
      <c r="DN2468" s="54"/>
    </row>
    <row r="2469" spans="39:118">
      <c r="AM2469" s="55"/>
      <c r="AT2469" s="43"/>
      <c r="AV2469" s="55"/>
      <c r="CJ2469" s="43"/>
      <c r="DF2469" s="55"/>
      <c r="DG2469" s="53"/>
      <c r="DL2469" s="54"/>
      <c r="DM2469" s="54"/>
      <c r="DN2469" s="54"/>
    </row>
    <row r="2470" spans="39:118">
      <c r="AM2470" s="55"/>
      <c r="AT2470" s="43"/>
      <c r="AV2470" s="55"/>
      <c r="CJ2470" s="43"/>
      <c r="DF2470" s="55"/>
      <c r="DG2470" s="53"/>
      <c r="DL2470" s="54"/>
      <c r="DM2470" s="54"/>
      <c r="DN2470" s="54"/>
    </row>
    <row r="2471" spans="39:118">
      <c r="AM2471" s="55"/>
      <c r="AT2471" s="43"/>
      <c r="AV2471" s="55"/>
      <c r="CJ2471" s="43"/>
      <c r="DF2471" s="55"/>
      <c r="DG2471" s="53"/>
      <c r="DL2471" s="54"/>
      <c r="DM2471" s="54"/>
      <c r="DN2471" s="54"/>
    </row>
    <row r="2472" spans="39:118">
      <c r="AM2472" s="55"/>
      <c r="AT2472" s="43"/>
      <c r="AV2472" s="55"/>
      <c r="CJ2472" s="43"/>
      <c r="DF2472" s="55"/>
      <c r="DG2472" s="53"/>
      <c r="DL2472" s="54"/>
      <c r="DM2472" s="54"/>
      <c r="DN2472" s="54"/>
    </row>
    <row r="2473" spans="39:118">
      <c r="AM2473" s="55"/>
      <c r="AT2473" s="43"/>
      <c r="AV2473" s="55"/>
      <c r="CJ2473" s="43"/>
      <c r="DF2473" s="55"/>
      <c r="DG2473" s="53"/>
      <c r="DL2473" s="54"/>
      <c r="DM2473" s="54"/>
      <c r="DN2473" s="54"/>
    </row>
    <row r="2474" spans="39:118">
      <c r="AM2474" s="55"/>
      <c r="AT2474" s="43"/>
      <c r="AV2474" s="55"/>
      <c r="CJ2474" s="43"/>
      <c r="DF2474" s="55"/>
      <c r="DG2474" s="53"/>
      <c r="DL2474" s="54"/>
      <c r="DM2474" s="54"/>
      <c r="DN2474" s="54"/>
    </row>
    <row r="2475" spans="39:118">
      <c r="AM2475" s="55"/>
      <c r="AT2475" s="43"/>
      <c r="AV2475" s="55"/>
      <c r="CJ2475" s="43"/>
      <c r="DF2475" s="55"/>
      <c r="DG2475" s="53"/>
      <c r="DL2475" s="54"/>
      <c r="DM2475" s="54"/>
      <c r="DN2475" s="54"/>
    </row>
    <row r="2476" spans="39:118">
      <c r="AM2476" s="55"/>
      <c r="AT2476" s="43"/>
      <c r="AV2476" s="55"/>
      <c r="CJ2476" s="43"/>
      <c r="DF2476" s="55"/>
      <c r="DG2476" s="53"/>
      <c r="DL2476" s="54"/>
      <c r="DM2476" s="54"/>
      <c r="DN2476" s="54"/>
    </row>
    <row r="2477" spans="39:118">
      <c r="AM2477" s="55"/>
      <c r="AT2477" s="43"/>
      <c r="AV2477" s="55"/>
      <c r="CJ2477" s="43"/>
      <c r="DF2477" s="55"/>
      <c r="DG2477" s="53"/>
      <c r="DL2477" s="54"/>
      <c r="DM2477" s="54"/>
      <c r="DN2477" s="54"/>
    </row>
    <row r="2478" spans="39:118">
      <c r="AM2478" s="55"/>
      <c r="AT2478" s="43"/>
      <c r="AV2478" s="55"/>
      <c r="CJ2478" s="43"/>
      <c r="DF2478" s="55"/>
      <c r="DG2478" s="53"/>
      <c r="DL2478" s="54"/>
      <c r="DM2478" s="54"/>
      <c r="DN2478" s="54"/>
    </row>
    <row r="2479" spans="39:118">
      <c r="AM2479" s="55"/>
      <c r="AT2479" s="43"/>
      <c r="AV2479" s="55"/>
      <c r="CJ2479" s="43"/>
      <c r="DF2479" s="55"/>
      <c r="DG2479" s="53"/>
      <c r="DL2479" s="54"/>
      <c r="DM2479" s="54"/>
      <c r="DN2479" s="54"/>
    </row>
    <row r="2480" spans="39:118">
      <c r="AM2480" s="55"/>
      <c r="AT2480" s="43"/>
      <c r="AV2480" s="55"/>
      <c r="CJ2480" s="43"/>
      <c r="DF2480" s="55"/>
      <c r="DG2480" s="53"/>
      <c r="DL2480" s="54"/>
      <c r="DM2480" s="54"/>
      <c r="DN2480" s="54"/>
    </row>
    <row r="2481" spans="39:118">
      <c r="AM2481" s="55"/>
      <c r="AT2481" s="43"/>
      <c r="AV2481" s="55"/>
      <c r="CJ2481" s="43"/>
      <c r="DF2481" s="55"/>
      <c r="DG2481" s="53"/>
      <c r="DL2481" s="54"/>
      <c r="DM2481" s="54"/>
      <c r="DN2481" s="54"/>
    </row>
    <row r="2482" spans="39:118">
      <c r="AM2482" s="55"/>
      <c r="AT2482" s="43"/>
      <c r="AV2482" s="55"/>
      <c r="CJ2482" s="43"/>
      <c r="DF2482" s="55"/>
      <c r="DG2482" s="53"/>
      <c r="DL2482" s="54"/>
      <c r="DM2482" s="54"/>
      <c r="DN2482" s="54"/>
    </row>
    <row r="2483" spans="39:118">
      <c r="AM2483" s="55"/>
      <c r="AT2483" s="43"/>
      <c r="AV2483" s="55"/>
      <c r="CJ2483" s="43"/>
      <c r="DF2483" s="55"/>
      <c r="DG2483" s="53"/>
      <c r="DL2483" s="54"/>
      <c r="DM2483" s="54"/>
      <c r="DN2483" s="54"/>
    </row>
    <row r="2484" spans="39:118">
      <c r="AM2484" s="55"/>
      <c r="AT2484" s="43"/>
      <c r="AV2484" s="55"/>
      <c r="CJ2484" s="43"/>
      <c r="DF2484" s="55"/>
      <c r="DG2484" s="53"/>
      <c r="DL2484" s="54"/>
      <c r="DM2484" s="54"/>
      <c r="DN2484" s="54"/>
    </row>
    <row r="2485" spans="39:118">
      <c r="AM2485" s="55"/>
      <c r="AT2485" s="43"/>
      <c r="AV2485" s="55"/>
      <c r="CJ2485" s="43"/>
      <c r="DF2485" s="55"/>
      <c r="DG2485" s="53"/>
      <c r="DL2485" s="54"/>
      <c r="DM2485" s="54"/>
      <c r="DN2485" s="54"/>
    </row>
    <row r="2486" spans="39:118">
      <c r="AM2486" s="55"/>
      <c r="AT2486" s="43"/>
      <c r="AV2486" s="55"/>
      <c r="CJ2486" s="43"/>
      <c r="DF2486" s="55"/>
      <c r="DG2486" s="53"/>
      <c r="DL2486" s="54"/>
      <c r="DM2486" s="54"/>
      <c r="DN2486" s="54"/>
    </row>
    <row r="2487" spans="39:118">
      <c r="AM2487" s="55"/>
      <c r="AT2487" s="43"/>
      <c r="AV2487" s="55"/>
      <c r="CJ2487" s="43"/>
      <c r="DF2487" s="55"/>
      <c r="DG2487" s="53"/>
      <c r="DL2487" s="54"/>
      <c r="DM2487" s="54"/>
      <c r="DN2487" s="54"/>
    </row>
    <row r="2488" spans="39:118">
      <c r="AM2488" s="55"/>
      <c r="AT2488" s="43"/>
      <c r="AV2488" s="55"/>
      <c r="CJ2488" s="43"/>
      <c r="DF2488" s="55"/>
      <c r="DG2488" s="53"/>
      <c r="DL2488" s="54"/>
      <c r="DM2488" s="54"/>
      <c r="DN2488" s="54"/>
    </row>
    <row r="2489" spans="39:118">
      <c r="AM2489" s="55"/>
      <c r="AT2489" s="43"/>
      <c r="AV2489" s="55"/>
      <c r="CJ2489" s="43"/>
      <c r="DF2489" s="55"/>
      <c r="DG2489" s="53"/>
      <c r="DL2489" s="54"/>
      <c r="DM2489" s="54"/>
      <c r="DN2489" s="54"/>
    </row>
    <row r="2490" spans="39:118">
      <c r="AM2490" s="55"/>
      <c r="AT2490" s="43"/>
      <c r="AV2490" s="55"/>
      <c r="CJ2490" s="43"/>
      <c r="DF2490" s="55"/>
      <c r="DG2490" s="53"/>
      <c r="DL2490" s="54"/>
      <c r="DM2490" s="54"/>
      <c r="DN2490" s="54"/>
    </row>
    <row r="2491" spans="39:118">
      <c r="AM2491" s="55"/>
      <c r="AT2491" s="43"/>
      <c r="AV2491" s="55"/>
      <c r="CJ2491" s="43"/>
      <c r="DF2491" s="55"/>
      <c r="DG2491" s="53"/>
      <c r="DL2491" s="54"/>
      <c r="DM2491" s="54"/>
      <c r="DN2491" s="54"/>
    </row>
    <row r="2492" spans="39:118">
      <c r="AM2492" s="55"/>
      <c r="AT2492" s="43"/>
      <c r="AV2492" s="55"/>
      <c r="CJ2492" s="43"/>
      <c r="DF2492" s="55"/>
      <c r="DG2492" s="53"/>
      <c r="DL2492" s="54"/>
      <c r="DM2492" s="54"/>
      <c r="DN2492" s="54"/>
    </row>
    <row r="2493" spans="39:118">
      <c r="AM2493" s="55"/>
      <c r="AT2493" s="43"/>
      <c r="AV2493" s="55"/>
      <c r="CJ2493" s="43"/>
      <c r="DF2493" s="55"/>
      <c r="DG2493" s="53"/>
      <c r="DL2493" s="54"/>
      <c r="DM2493" s="54"/>
      <c r="DN2493" s="54"/>
    </row>
    <row r="2494" spans="39:118">
      <c r="AM2494" s="55"/>
      <c r="AT2494" s="43"/>
      <c r="AV2494" s="55"/>
      <c r="CJ2494" s="43"/>
      <c r="DF2494" s="55"/>
      <c r="DG2494" s="53"/>
      <c r="DL2494" s="54"/>
      <c r="DM2494" s="54"/>
      <c r="DN2494" s="54"/>
    </row>
    <row r="2495" spans="39:118">
      <c r="AM2495" s="55"/>
      <c r="AT2495" s="43"/>
      <c r="AV2495" s="55"/>
      <c r="CJ2495" s="43"/>
      <c r="DF2495" s="55"/>
      <c r="DG2495" s="53"/>
      <c r="DL2495" s="54"/>
      <c r="DM2495" s="54"/>
      <c r="DN2495" s="54"/>
    </row>
    <row r="2496" spans="39:118">
      <c r="AM2496" s="55"/>
      <c r="AT2496" s="43"/>
      <c r="AV2496" s="55"/>
      <c r="CJ2496" s="43"/>
      <c r="DF2496" s="55"/>
      <c r="DG2496" s="53"/>
      <c r="DL2496" s="54"/>
      <c r="DM2496" s="54"/>
      <c r="DN2496" s="54"/>
    </row>
    <row r="2497" spans="39:118">
      <c r="AM2497" s="55"/>
      <c r="AT2497" s="43"/>
      <c r="AV2497" s="55"/>
      <c r="CJ2497" s="43"/>
      <c r="DF2497" s="55"/>
      <c r="DG2497" s="53"/>
      <c r="DL2497" s="54"/>
      <c r="DM2497" s="54"/>
      <c r="DN2497" s="54"/>
    </row>
    <row r="2498" spans="39:118">
      <c r="AM2498" s="55"/>
      <c r="AT2498" s="43"/>
      <c r="AV2498" s="55"/>
      <c r="CJ2498" s="43"/>
      <c r="DF2498" s="55"/>
      <c r="DG2498" s="53"/>
      <c r="DL2498" s="54"/>
      <c r="DM2498" s="54"/>
      <c r="DN2498" s="54"/>
    </row>
    <row r="2499" spans="39:118">
      <c r="AM2499" s="55"/>
      <c r="AT2499" s="43"/>
      <c r="AV2499" s="55"/>
      <c r="CJ2499" s="43"/>
      <c r="DF2499" s="55"/>
      <c r="DG2499" s="53"/>
      <c r="DL2499" s="54"/>
      <c r="DM2499" s="54"/>
      <c r="DN2499" s="54"/>
    </row>
    <row r="2500" spans="39:118">
      <c r="AM2500" s="55"/>
      <c r="AT2500" s="43"/>
      <c r="AV2500" s="55"/>
      <c r="CJ2500" s="43"/>
      <c r="DF2500" s="55"/>
      <c r="DG2500" s="53"/>
      <c r="DL2500" s="54"/>
      <c r="DM2500" s="54"/>
      <c r="DN2500" s="54"/>
    </row>
    <row r="2501" spans="39:118">
      <c r="AM2501" s="55"/>
      <c r="AT2501" s="43"/>
      <c r="AV2501" s="55"/>
      <c r="CJ2501" s="43"/>
      <c r="DF2501" s="55"/>
      <c r="DG2501" s="53"/>
      <c r="DL2501" s="54"/>
      <c r="DM2501" s="54"/>
      <c r="DN2501" s="54"/>
    </row>
    <row r="2502" spans="39:118">
      <c r="AM2502" s="55"/>
      <c r="AT2502" s="43"/>
      <c r="AV2502" s="55"/>
      <c r="CJ2502" s="43"/>
      <c r="DF2502" s="55"/>
      <c r="DG2502" s="53"/>
      <c r="DL2502" s="54"/>
      <c r="DM2502" s="54"/>
      <c r="DN2502" s="54"/>
    </row>
    <row r="2503" spans="39:118">
      <c r="AM2503" s="55"/>
      <c r="AT2503" s="43"/>
      <c r="AV2503" s="55"/>
      <c r="CJ2503" s="43"/>
      <c r="DF2503" s="55"/>
      <c r="DG2503" s="53"/>
      <c r="DL2503" s="54"/>
      <c r="DM2503" s="54"/>
      <c r="DN2503" s="54"/>
    </row>
    <row r="2504" spans="39:118">
      <c r="AM2504" s="55"/>
      <c r="AT2504" s="43"/>
      <c r="AV2504" s="55"/>
      <c r="CJ2504" s="43"/>
      <c r="DF2504" s="55"/>
      <c r="DG2504" s="53"/>
      <c r="DL2504" s="54"/>
      <c r="DM2504" s="54"/>
      <c r="DN2504" s="54"/>
    </row>
    <row r="2505" spans="39:118">
      <c r="AM2505" s="55"/>
      <c r="AT2505" s="43"/>
      <c r="AV2505" s="55"/>
      <c r="CJ2505" s="43"/>
      <c r="DF2505" s="55"/>
      <c r="DG2505" s="53"/>
      <c r="DL2505" s="54"/>
      <c r="DM2505" s="54"/>
      <c r="DN2505" s="54"/>
    </row>
    <row r="2506" spans="39:118">
      <c r="AM2506" s="55"/>
      <c r="AT2506" s="43"/>
      <c r="AV2506" s="55"/>
      <c r="CJ2506" s="43"/>
      <c r="DF2506" s="55"/>
      <c r="DG2506" s="53"/>
      <c r="DL2506" s="54"/>
      <c r="DM2506" s="54"/>
      <c r="DN2506" s="54"/>
    </row>
    <row r="2507" spans="39:118">
      <c r="AM2507" s="55"/>
      <c r="AT2507" s="43"/>
      <c r="AV2507" s="55"/>
      <c r="CJ2507" s="43"/>
      <c r="DF2507" s="55"/>
      <c r="DG2507" s="53"/>
      <c r="DL2507" s="54"/>
      <c r="DM2507" s="54"/>
      <c r="DN2507" s="54"/>
    </row>
    <row r="2508" spans="39:118">
      <c r="AM2508" s="55"/>
      <c r="AT2508" s="43"/>
      <c r="AV2508" s="55"/>
      <c r="CJ2508" s="43"/>
      <c r="DF2508" s="55"/>
      <c r="DG2508" s="53"/>
      <c r="DL2508" s="54"/>
      <c r="DM2508" s="54"/>
      <c r="DN2508" s="54"/>
    </row>
    <row r="2509" spans="39:118">
      <c r="AM2509" s="55"/>
      <c r="AT2509" s="43"/>
      <c r="AV2509" s="55"/>
      <c r="CJ2509" s="43"/>
      <c r="DF2509" s="55"/>
      <c r="DG2509" s="53"/>
      <c r="DL2509" s="54"/>
      <c r="DM2509" s="54"/>
      <c r="DN2509" s="54"/>
    </row>
    <row r="2510" spans="39:118">
      <c r="AM2510" s="55"/>
      <c r="AT2510" s="43"/>
      <c r="AV2510" s="55"/>
      <c r="CJ2510" s="43"/>
      <c r="DF2510" s="55"/>
      <c r="DG2510" s="53"/>
      <c r="DL2510" s="54"/>
      <c r="DM2510" s="54"/>
      <c r="DN2510" s="54"/>
    </row>
    <row r="2511" spans="39:118">
      <c r="AM2511" s="55"/>
      <c r="AT2511" s="43"/>
      <c r="AV2511" s="55"/>
      <c r="CJ2511" s="43"/>
      <c r="DF2511" s="55"/>
      <c r="DG2511" s="53"/>
      <c r="DL2511" s="54"/>
      <c r="DM2511" s="54"/>
      <c r="DN2511" s="54"/>
    </row>
    <row r="2512" spans="39:118">
      <c r="AM2512" s="55"/>
      <c r="AT2512" s="43"/>
      <c r="AV2512" s="55"/>
      <c r="CJ2512" s="43"/>
      <c r="DF2512" s="55"/>
      <c r="DG2512" s="53"/>
      <c r="DL2512" s="54"/>
      <c r="DM2512" s="54"/>
      <c r="DN2512" s="54"/>
    </row>
    <row r="2513" spans="39:118">
      <c r="AM2513" s="55"/>
      <c r="AT2513" s="43"/>
      <c r="AV2513" s="55"/>
      <c r="CJ2513" s="43"/>
      <c r="DF2513" s="55"/>
      <c r="DG2513" s="53"/>
      <c r="DL2513" s="54"/>
      <c r="DM2513" s="54"/>
      <c r="DN2513" s="54"/>
    </row>
    <row r="2514" spans="39:118">
      <c r="AM2514" s="55"/>
      <c r="AT2514" s="43"/>
      <c r="AV2514" s="55"/>
      <c r="CJ2514" s="43"/>
      <c r="DF2514" s="55"/>
      <c r="DG2514" s="53"/>
      <c r="DL2514" s="54"/>
      <c r="DM2514" s="54"/>
      <c r="DN2514" s="54"/>
    </row>
    <row r="2515" spans="39:118">
      <c r="AM2515" s="55"/>
      <c r="AT2515" s="43"/>
      <c r="AV2515" s="55"/>
      <c r="CJ2515" s="43"/>
      <c r="DF2515" s="55"/>
      <c r="DG2515" s="53"/>
      <c r="DL2515" s="54"/>
      <c r="DM2515" s="54"/>
      <c r="DN2515" s="54"/>
    </row>
    <row r="2516" spans="39:118">
      <c r="AM2516" s="55"/>
      <c r="AT2516" s="43"/>
      <c r="AV2516" s="55"/>
      <c r="CJ2516" s="43"/>
      <c r="DF2516" s="55"/>
      <c r="DG2516" s="53"/>
      <c r="DL2516" s="54"/>
      <c r="DM2516" s="54"/>
      <c r="DN2516" s="54"/>
    </row>
    <row r="2517" spans="39:118">
      <c r="AM2517" s="55"/>
      <c r="AT2517" s="43"/>
      <c r="AV2517" s="55"/>
      <c r="CJ2517" s="43"/>
      <c r="DF2517" s="55"/>
      <c r="DG2517" s="53"/>
      <c r="DL2517" s="54"/>
      <c r="DM2517" s="54"/>
      <c r="DN2517" s="54"/>
    </row>
    <row r="2518" spans="39:118">
      <c r="AM2518" s="55"/>
      <c r="AT2518" s="43"/>
      <c r="AV2518" s="55"/>
      <c r="CJ2518" s="43"/>
      <c r="DF2518" s="55"/>
      <c r="DG2518" s="53"/>
      <c r="DL2518" s="54"/>
      <c r="DM2518" s="54"/>
      <c r="DN2518" s="54"/>
    </row>
    <row r="2519" spans="39:118">
      <c r="AM2519" s="55"/>
      <c r="AT2519" s="43"/>
      <c r="AV2519" s="55"/>
      <c r="CJ2519" s="43"/>
      <c r="DF2519" s="55"/>
      <c r="DG2519" s="53"/>
      <c r="DL2519" s="54"/>
      <c r="DM2519" s="54"/>
      <c r="DN2519" s="54"/>
    </row>
    <row r="2520" spans="39:118">
      <c r="AM2520" s="55"/>
      <c r="AT2520" s="43"/>
      <c r="AV2520" s="55"/>
      <c r="CJ2520" s="43"/>
      <c r="DF2520" s="55"/>
      <c r="DG2520" s="53"/>
      <c r="DL2520" s="54"/>
      <c r="DM2520" s="54"/>
      <c r="DN2520" s="54"/>
    </row>
    <row r="2521" spans="39:118">
      <c r="AM2521" s="55"/>
      <c r="AT2521" s="43"/>
      <c r="AV2521" s="55"/>
      <c r="CJ2521" s="43"/>
      <c r="DF2521" s="55"/>
      <c r="DG2521" s="53"/>
      <c r="DL2521" s="54"/>
      <c r="DM2521" s="54"/>
      <c r="DN2521" s="54"/>
    </row>
    <row r="2522" spans="39:118">
      <c r="AM2522" s="55"/>
      <c r="AT2522" s="43"/>
      <c r="AV2522" s="55"/>
      <c r="CJ2522" s="43"/>
      <c r="DF2522" s="55"/>
      <c r="DG2522" s="53"/>
      <c r="DL2522" s="54"/>
      <c r="DM2522" s="54"/>
      <c r="DN2522" s="54"/>
    </row>
    <row r="2523" spans="39:118">
      <c r="AM2523" s="55"/>
      <c r="AT2523" s="43"/>
      <c r="AV2523" s="55"/>
      <c r="CJ2523" s="43"/>
      <c r="DF2523" s="55"/>
      <c r="DG2523" s="53"/>
      <c r="DL2523" s="54"/>
      <c r="DM2523" s="54"/>
      <c r="DN2523" s="54"/>
    </row>
    <row r="2524" spans="39:118">
      <c r="AM2524" s="55"/>
      <c r="AT2524" s="43"/>
      <c r="AV2524" s="55"/>
      <c r="CJ2524" s="43"/>
      <c r="DF2524" s="55"/>
      <c r="DG2524" s="53"/>
      <c r="DL2524" s="54"/>
      <c r="DM2524" s="54"/>
      <c r="DN2524" s="54"/>
    </row>
    <row r="2525" spans="39:118">
      <c r="AM2525" s="55"/>
      <c r="AT2525" s="43"/>
      <c r="AV2525" s="55"/>
      <c r="CJ2525" s="43"/>
      <c r="DF2525" s="55"/>
      <c r="DG2525" s="53"/>
      <c r="DL2525" s="54"/>
      <c r="DM2525" s="54"/>
      <c r="DN2525" s="54"/>
    </row>
    <row r="2526" spans="39:118">
      <c r="AM2526" s="55"/>
      <c r="AT2526" s="43"/>
      <c r="AV2526" s="55"/>
      <c r="CJ2526" s="43"/>
      <c r="DF2526" s="55"/>
      <c r="DG2526" s="53"/>
      <c r="DL2526" s="54"/>
      <c r="DM2526" s="54"/>
      <c r="DN2526" s="54"/>
    </row>
    <row r="2527" spans="39:118">
      <c r="AM2527" s="55"/>
      <c r="AT2527" s="43"/>
      <c r="AV2527" s="55"/>
      <c r="CJ2527" s="43"/>
      <c r="DF2527" s="55"/>
      <c r="DG2527" s="53"/>
      <c r="DL2527" s="54"/>
      <c r="DM2527" s="54"/>
      <c r="DN2527" s="54"/>
    </row>
    <row r="2528" spans="39:118">
      <c r="AM2528" s="55"/>
      <c r="AT2528" s="43"/>
      <c r="AV2528" s="55"/>
      <c r="CJ2528" s="43"/>
      <c r="DF2528" s="55"/>
      <c r="DG2528" s="53"/>
      <c r="DL2528" s="54"/>
      <c r="DM2528" s="54"/>
      <c r="DN2528" s="54"/>
    </row>
    <row r="2529" spans="39:118">
      <c r="AM2529" s="55"/>
      <c r="AT2529" s="43"/>
      <c r="AV2529" s="55"/>
      <c r="CJ2529" s="43"/>
      <c r="DF2529" s="55"/>
      <c r="DG2529" s="53"/>
      <c r="DL2529" s="54"/>
      <c r="DM2529" s="54"/>
      <c r="DN2529" s="54"/>
    </row>
    <row r="2530" spans="39:118">
      <c r="AM2530" s="55"/>
      <c r="AT2530" s="43"/>
      <c r="AV2530" s="55"/>
      <c r="CJ2530" s="43"/>
      <c r="DF2530" s="55"/>
      <c r="DG2530" s="53"/>
      <c r="DL2530" s="54"/>
      <c r="DM2530" s="54"/>
      <c r="DN2530" s="54"/>
    </row>
    <row r="2531" spans="39:118">
      <c r="AM2531" s="55"/>
      <c r="AT2531" s="43"/>
      <c r="AV2531" s="55"/>
      <c r="CJ2531" s="43"/>
      <c r="DF2531" s="55"/>
      <c r="DG2531" s="53"/>
      <c r="DL2531" s="54"/>
      <c r="DM2531" s="54"/>
      <c r="DN2531" s="54"/>
    </row>
    <row r="2532" spans="39:118">
      <c r="AM2532" s="55"/>
      <c r="AT2532" s="43"/>
      <c r="AV2532" s="55"/>
      <c r="CJ2532" s="43"/>
      <c r="DF2532" s="55"/>
      <c r="DG2532" s="53"/>
      <c r="DL2532" s="54"/>
      <c r="DM2532" s="54"/>
      <c r="DN2532" s="54"/>
    </row>
    <row r="2533" spans="39:118">
      <c r="AM2533" s="55"/>
      <c r="AT2533" s="43"/>
      <c r="AV2533" s="55"/>
      <c r="CJ2533" s="43"/>
      <c r="DF2533" s="55"/>
      <c r="DG2533" s="53"/>
      <c r="DL2533" s="54"/>
      <c r="DM2533" s="54"/>
      <c r="DN2533" s="54"/>
    </row>
    <row r="2534" spans="39:118">
      <c r="AM2534" s="55"/>
      <c r="AT2534" s="43"/>
      <c r="AV2534" s="55"/>
      <c r="CJ2534" s="43"/>
      <c r="DF2534" s="55"/>
      <c r="DG2534" s="53"/>
      <c r="DL2534" s="54"/>
      <c r="DM2534" s="54"/>
      <c r="DN2534" s="54"/>
    </row>
    <row r="2535" spans="39:118">
      <c r="AM2535" s="55"/>
      <c r="AT2535" s="43"/>
      <c r="AV2535" s="55"/>
      <c r="CJ2535" s="43"/>
      <c r="DF2535" s="55"/>
      <c r="DG2535" s="53"/>
      <c r="DL2535" s="54"/>
      <c r="DM2535" s="54"/>
      <c r="DN2535" s="54"/>
    </row>
    <row r="2536" spans="39:118">
      <c r="AM2536" s="55"/>
      <c r="AT2536" s="43"/>
      <c r="AV2536" s="55"/>
      <c r="CJ2536" s="43"/>
      <c r="DF2536" s="55"/>
      <c r="DG2536" s="53"/>
      <c r="DL2536" s="54"/>
      <c r="DM2536" s="54"/>
      <c r="DN2536" s="54"/>
    </row>
    <row r="2537" spans="39:118">
      <c r="AM2537" s="55"/>
      <c r="AT2537" s="43"/>
      <c r="AV2537" s="55"/>
      <c r="CJ2537" s="43"/>
      <c r="DF2537" s="55"/>
      <c r="DG2537" s="53"/>
      <c r="DL2537" s="54"/>
      <c r="DM2537" s="54"/>
      <c r="DN2537" s="54"/>
    </row>
    <row r="2538" spans="39:118">
      <c r="AM2538" s="55"/>
      <c r="AT2538" s="43"/>
      <c r="AV2538" s="55"/>
      <c r="CJ2538" s="43"/>
      <c r="DF2538" s="55"/>
      <c r="DG2538" s="53"/>
      <c r="DL2538" s="54"/>
      <c r="DM2538" s="54"/>
      <c r="DN2538" s="54"/>
    </row>
    <row r="2539" spans="39:118">
      <c r="AM2539" s="55"/>
      <c r="AT2539" s="43"/>
      <c r="AV2539" s="55"/>
      <c r="CJ2539" s="43"/>
      <c r="DF2539" s="55"/>
      <c r="DG2539" s="53"/>
      <c r="DL2539" s="54"/>
      <c r="DM2539" s="54"/>
      <c r="DN2539" s="54"/>
    </row>
    <row r="2540" spans="39:118">
      <c r="AM2540" s="55"/>
      <c r="AT2540" s="43"/>
      <c r="AV2540" s="55"/>
      <c r="CJ2540" s="43"/>
      <c r="DF2540" s="55"/>
      <c r="DG2540" s="53"/>
      <c r="DL2540" s="54"/>
      <c r="DM2540" s="54"/>
      <c r="DN2540" s="54"/>
    </row>
    <row r="2541" spans="39:118">
      <c r="AM2541" s="55"/>
      <c r="AT2541" s="43"/>
      <c r="AV2541" s="55"/>
      <c r="CJ2541" s="43"/>
      <c r="DF2541" s="55"/>
      <c r="DG2541" s="53"/>
      <c r="DL2541" s="54"/>
      <c r="DM2541" s="54"/>
      <c r="DN2541" s="54"/>
    </row>
    <row r="2542" spans="39:118">
      <c r="AM2542" s="55"/>
      <c r="AT2542" s="43"/>
      <c r="AV2542" s="55"/>
      <c r="CJ2542" s="43"/>
      <c r="DF2542" s="55"/>
      <c r="DG2542" s="53"/>
      <c r="DL2542" s="54"/>
      <c r="DM2542" s="54"/>
      <c r="DN2542" s="54"/>
    </row>
    <row r="2543" spans="39:118">
      <c r="AM2543" s="55"/>
      <c r="AT2543" s="43"/>
      <c r="AV2543" s="55"/>
      <c r="CJ2543" s="43"/>
      <c r="DF2543" s="55"/>
      <c r="DG2543" s="53"/>
      <c r="DL2543" s="54"/>
      <c r="DM2543" s="54"/>
      <c r="DN2543" s="54"/>
    </row>
    <row r="2544" spans="39:118">
      <c r="AM2544" s="55"/>
      <c r="AT2544" s="43"/>
      <c r="AV2544" s="55"/>
      <c r="CJ2544" s="43"/>
      <c r="DF2544" s="55"/>
      <c r="DG2544" s="53"/>
      <c r="DL2544" s="54"/>
      <c r="DM2544" s="54"/>
      <c r="DN2544" s="54"/>
    </row>
    <row r="2545" spans="39:118">
      <c r="AM2545" s="55"/>
      <c r="AT2545" s="43"/>
      <c r="AV2545" s="55"/>
      <c r="CJ2545" s="43"/>
      <c r="DF2545" s="55"/>
      <c r="DG2545" s="53"/>
      <c r="DL2545" s="54"/>
      <c r="DM2545" s="54"/>
      <c r="DN2545" s="54"/>
    </row>
    <row r="2546" spans="39:118">
      <c r="AM2546" s="55"/>
      <c r="AT2546" s="43"/>
      <c r="AV2546" s="55"/>
      <c r="CJ2546" s="43"/>
      <c r="DF2546" s="55"/>
      <c r="DG2546" s="53"/>
      <c r="DL2546" s="54"/>
      <c r="DM2546" s="54"/>
      <c r="DN2546" s="54"/>
    </row>
    <row r="2547" spans="39:118">
      <c r="AM2547" s="55"/>
      <c r="AT2547" s="43"/>
      <c r="AV2547" s="55"/>
      <c r="CJ2547" s="43"/>
      <c r="DF2547" s="55"/>
      <c r="DG2547" s="53"/>
      <c r="DL2547" s="54"/>
      <c r="DM2547" s="54"/>
      <c r="DN2547" s="54"/>
    </row>
    <row r="2548" spans="39:118">
      <c r="AM2548" s="55"/>
      <c r="AT2548" s="43"/>
      <c r="AV2548" s="55"/>
      <c r="CJ2548" s="43"/>
      <c r="DF2548" s="55"/>
      <c r="DG2548" s="53"/>
      <c r="DL2548" s="54"/>
      <c r="DM2548" s="54"/>
      <c r="DN2548" s="54"/>
    </row>
    <row r="2549" spans="39:118">
      <c r="AM2549" s="55"/>
      <c r="AT2549" s="43"/>
      <c r="AV2549" s="55"/>
      <c r="CJ2549" s="43"/>
      <c r="DF2549" s="55"/>
      <c r="DG2549" s="53"/>
      <c r="DL2549" s="54"/>
      <c r="DM2549" s="54"/>
      <c r="DN2549" s="54"/>
    </row>
    <row r="2550" spans="39:118">
      <c r="AM2550" s="55"/>
      <c r="AT2550" s="43"/>
      <c r="AV2550" s="55"/>
      <c r="CJ2550" s="43"/>
      <c r="DF2550" s="55"/>
      <c r="DG2550" s="53"/>
      <c r="DL2550" s="54"/>
      <c r="DM2550" s="54"/>
      <c r="DN2550" s="54"/>
    </row>
    <row r="2551" spans="39:118">
      <c r="AM2551" s="55"/>
      <c r="AT2551" s="43"/>
      <c r="AV2551" s="55"/>
      <c r="CJ2551" s="43"/>
      <c r="DF2551" s="55"/>
      <c r="DG2551" s="53"/>
      <c r="DL2551" s="54"/>
      <c r="DM2551" s="54"/>
      <c r="DN2551" s="54"/>
    </row>
    <row r="2552" spans="39:118">
      <c r="AM2552" s="55"/>
      <c r="AT2552" s="43"/>
      <c r="AV2552" s="55"/>
      <c r="CJ2552" s="43"/>
      <c r="DF2552" s="55"/>
      <c r="DG2552" s="53"/>
      <c r="DL2552" s="54"/>
      <c r="DM2552" s="54"/>
      <c r="DN2552" s="54"/>
    </row>
    <row r="2553" spans="39:118">
      <c r="AM2553" s="55"/>
      <c r="AT2553" s="43"/>
      <c r="AV2553" s="55"/>
      <c r="CJ2553" s="43"/>
      <c r="DF2553" s="55"/>
      <c r="DG2553" s="53"/>
      <c r="DL2553" s="54"/>
      <c r="DM2553" s="54"/>
      <c r="DN2553" s="54"/>
    </row>
    <row r="2554" spans="39:118">
      <c r="AM2554" s="55"/>
      <c r="AT2554" s="43"/>
      <c r="AV2554" s="55"/>
      <c r="CJ2554" s="43"/>
      <c r="DF2554" s="55"/>
      <c r="DG2554" s="53"/>
      <c r="DL2554" s="54"/>
      <c r="DM2554" s="54"/>
      <c r="DN2554" s="54"/>
    </row>
    <row r="2555" spans="39:118">
      <c r="AM2555" s="55"/>
      <c r="AT2555" s="43"/>
      <c r="AV2555" s="55"/>
      <c r="CJ2555" s="43"/>
      <c r="DF2555" s="55"/>
      <c r="DG2555" s="53"/>
      <c r="DL2555" s="54"/>
      <c r="DM2555" s="54"/>
      <c r="DN2555" s="54"/>
    </row>
    <row r="2556" spans="39:118">
      <c r="AM2556" s="55"/>
      <c r="AT2556" s="43"/>
      <c r="AV2556" s="55"/>
      <c r="CJ2556" s="43"/>
      <c r="DF2556" s="55"/>
      <c r="DG2556" s="53"/>
      <c r="DL2556" s="54"/>
      <c r="DM2556" s="54"/>
      <c r="DN2556" s="54"/>
    </row>
    <row r="2557" spans="39:118">
      <c r="AM2557" s="55"/>
      <c r="AT2557" s="43"/>
      <c r="AV2557" s="55"/>
      <c r="CJ2557" s="43"/>
      <c r="DF2557" s="55"/>
      <c r="DG2557" s="53"/>
      <c r="DL2557" s="54"/>
      <c r="DM2557" s="54"/>
      <c r="DN2557" s="54"/>
    </row>
    <row r="2558" spans="39:118">
      <c r="AM2558" s="55"/>
      <c r="AT2558" s="43"/>
      <c r="AV2558" s="55"/>
      <c r="CJ2558" s="43"/>
      <c r="DF2558" s="55"/>
      <c r="DG2558" s="53"/>
      <c r="DL2558" s="54"/>
      <c r="DM2558" s="54"/>
      <c r="DN2558" s="54"/>
    </row>
    <row r="2559" spans="39:118">
      <c r="AM2559" s="55"/>
      <c r="AT2559" s="43"/>
      <c r="AV2559" s="55"/>
      <c r="CJ2559" s="43"/>
      <c r="DF2559" s="55"/>
      <c r="DG2559" s="53"/>
      <c r="DL2559" s="54"/>
      <c r="DM2559" s="54"/>
      <c r="DN2559" s="54"/>
    </row>
    <row r="2560" spans="39:118">
      <c r="AM2560" s="55"/>
      <c r="AT2560" s="43"/>
      <c r="AV2560" s="55"/>
      <c r="CJ2560" s="43"/>
      <c r="DF2560" s="55"/>
      <c r="DG2560" s="53"/>
      <c r="DL2560" s="54"/>
      <c r="DM2560" s="54"/>
      <c r="DN2560" s="54"/>
    </row>
    <row r="2561" spans="39:118">
      <c r="AM2561" s="55"/>
      <c r="AT2561" s="43"/>
      <c r="AV2561" s="55"/>
      <c r="CJ2561" s="43"/>
      <c r="DF2561" s="55"/>
      <c r="DG2561" s="53"/>
      <c r="DL2561" s="54"/>
      <c r="DM2561" s="54"/>
      <c r="DN2561" s="54"/>
    </row>
    <row r="2562" spans="39:118">
      <c r="AM2562" s="55"/>
      <c r="AT2562" s="43"/>
      <c r="AV2562" s="55"/>
      <c r="CJ2562" s="43"/>
      <c r="DF2562" s="55"/>
      <c r="DG2562" s="53"/>
      <c r="DL2562" s="54"/>
      <c r="DM2562" s="54"/>
      <c r="DN2562" s="54"/>
    </row>
    <row r="2563" spans="39:118">
      <c r="AM2563" s="55"/>
      <c r="AT2563" s="43"/>
      <c r="AV2563" s="55"/>
      <c r="CJ2563" s="43"/>
      <c r="DF2563" s="55"/>
      <c r="DG2563" s="53"/>
      <c r="DL2563" s="54"/>
      <c r="DM2563" s="54"/>
      <c r="DN2563" s="54"/>
    </row>
    <row r="2564" spans="39:118">
      <c r="AM2564" s="55"/>
      <c r="AT2564" s="43"/>
      <c r="AV2564" s="55"/>
      <c r="CJ2564" s="43"/>
      <c r="DF2564" s="55"/>
      <c r="DG2564" s="53"/>
      <c r="DL2564" s="54"/>
      <c r="DM2564" s="54"/>
      <c r="DN2564" s="54"/>
    </row>
    <row r="2565" spans="39:118">
      <c r="AM2565" s="55"/>
      <c r="AT2565" s="43"/>
      <c r="AV2565" s="55"/>
      <c r="CJ2565" s="43"/>
      <c r="DF2565" s="55"/>
      <c r="DG2565" s="53"/>
      <c r="DL2565" s="54"/>
      <c r="DM2565" s="54"/>
      <c r="DN2565" s="54"/>
    </row>
    <row r="2566" spans="39:118">
      <c r="AM2566" s="55"/>
      <c r="AT2566" s="43"/>
      <c r="AV2566" s="55"/>
      <c r="CJ2566" s="43"/>
      <c r="DF2566" s="55"/>
      <c r="DG2566" s="53"/>
      <c r="DL2566" s="54"/>
      <c r="DM2566" s="54"/>
      <c r="DN2566" s="54"/>
    </row>
    <row r="2567" spans="39:118">
      <c r="AM2567" s="55"/>
      <c r="AT2567" s="43"/>
      <c r="AV2567" s="55"/>
      <c r="CJ2567" s="43"/>
      <c r="DF2567" s="55"/>
      <c r="DG2567" s="53"/>
      <c r="DL2567" s="54"/>
      <c r="DM2567" s="54"/>
      <c r="DN2567" s="54"/>
    </row>
    <row r="2568" spans="39:118">
      <c r="AM2568" s="55"/>
      <c r="AT2568" s="43"/>
      <c r="AV2568" s="55"/>
      <c r="CJ2568" s="43"/>
      <c r="DF2568" s="55"/>
      <c r="DG2568" s="53"/>
      <c r="DL2568" s="54"/>
      <c r="DM2568" s="54"/>
      <c r="DN2568" s="54"/>
    </row>
    <row r="2569" spans="39:118">
      <c r="AM2569" s="55"/>
      <c r="AT2569" s="43"/>
      <c r="AV2569" s="55"/>
      <c r="CJ2569" s="43"/>
      <c r="DF2569" s="55"/>
      <c r="DG2569" s="53"/>
      <c r="DL2569" s="54"/>
      <c r="DM2569" s="54"/>
      <c r="DN2569" s="54"/>
    </row>
    <row r="2570" spans="39:118">
      <c r="AM2570" s="55"/>
      <c r="AT2570" s="43"/>
      <c r="AV2570" s="55"/>
      <c r="CJ2570" s="43"/>
      <c r="DF2570" s="55"/>
      <c r="DG2570" s="53"/>
      <c r="DL2570" s="54"/>
      <c r="DM2570" s="54"/>
      <c r="DN2570" s="54"/>
    </row>
    <row r="2571" spans="39:118">
      <c r="AM2571" s="55"/>
      <c r="AT2571" s="43"/>
      <c r="AV2571" s="55"/>
      <c r="CJ2571" s="43"/>
      <c r="DF2571" s="55"/>
      <c r="DG2571" s="53"/>
      <c r="DL2571" s="54"/>
      <c r="DM2571" s="54"/>
      <c r="DN2571" s="54"/>
    </row>
    <row r="2572" spans="39:118">
      <c r="AM2572" s="55"/>
      <c r="AT2572" s="43"/>
      <c r="AV2572" s="55"/>
      <c r="CJ2572" s="43"/>
      <c r="DF2572" s="55"/>
      <c r="DG2572" s="53"/>
      <c r="DL2572" s="54"/>
      <c r="DM2572" s="54"/>
      <c r="DN2572" s="54"/>
    </row>
    <row r="2573" spans="39:118">
      <c r="AM2573" s="55"/>
      <c r="AT2573" s="43"/>
      <c r="AV2573" s="55"/>
      <c r="CJ2573" s="43"/>
      <c r="DF2573" s="55"/>
      <c r="DG2573" s="53"/>
      <c r="DL2573" s="54"/>
      <c r="DM2573" s="54"/>
      <c r="DN2573" s="54"/>
    </row>
    <row r="2574" spans="39:118">
      <c r="AM2574" s="55"/>
      <c r="AT2574" s="43"/>
      <c r="AV2574" s="55"/>
      <c r="CJ2574" s="43"/>
      <c r="DF2574" s="55"/>
      <c r="DG2574" s="53"/>
      <c r="DL2574" s="54"/>
      <c r="DM2574" s="54"/>
      <c r="DN2574" s="54"/>
    </row>
    <row r="2575" spans="39:118">
      <c r="AM2575" s="55"/>
      <c r="AT2575" s="43"/>
      <c r="AV2575" s="55"/>
      <c r="CJ2575" s="43"/>
      <c r="DF2575" s="55"/>
      <c r="DG2575" s="53"/>
      <c r="DL2575" s="54"/>
      <c r="DM2575" s="54"/>
      <c r="DN2575" s="54"/>
    </row>
    <row r="2576" spans="39:118">
      <c r="AM2576" s="55"/>
      <c r="AT2576" s="43"/>
      <c r="AV2576" s="55"/>
      <c r="CJ2576" s="43"/>
      <c r="DF2576" s="55"/>
      <c r="DG2576" s="53"/>
      <c r="DL2576" s="54"/>
      <c r="DM2576" s="54"/>
      <c r="DN2576" s="54"/>
    </row>
    <row r="2577" spans="39:118">
      <c r="AM2577" s="55"/>
      <c r="AT2577" s="43"/>
      <c r="AV2577" s="55"/>
      <c r="CJ2577" s="43"/>
      <c r="DF2577" s="55"/>
      <c r="DG2577" s="53"/>
      <c r="DL2577" s="54"/>
      <c r="DM2577" s="54"/>
      <c r="DN2577" s="54"/>
    </row>
    <row r="2578" spans="39:118">
      <c r="AM2578" s="55"/>
      <c r="AT2578" s="43"/>
      <c r="AV2578" s="55"/>
      <c r="CJ2578" s="43"/>
      <c r="DF2578" s="55"/>
      <c r="DG2578" s="53"/>
      <c r="DL2578" s="54"/>
      <c r="DM2578" s="54"/>
      <c r="DN2578" s="54"/>
    </row>
    <row r="2579" spans="39:118">
      <c r="AM2579" s="55"/>
      <c r="AT2579" s="43"/>
      <c r="AV2579" s="55"/>
      <c r="CJ2579" s="43"/>
      <c r="DF2579" s="55"/>
      <c r="DG2579" s="53"/>
      <c r="DL2579" s="54"/>
      <c r="DM2579" s="54"/>
      <c r="DN2579" s="54"/>
    </row>
    <row r="2580" spans="39:118">
      <c r="AM2580" s="55"/>
      <c r="AT2580" s="43"/>
      <c r="AV2580" s="55"/>
      <c r="CJ2580" s="43"/>
      <c r="DF2580" s="55"/>
      <c r="DG2580" s="53"/>
      <c r="DL2580" s="54"/>
      <c r="DM2580" s="54"/>
      <c r="DN2580" s="54"/>
    </row>
    <row r="2581" spans="39:118">
      <c r="AM2581" s="55"/>
      <c r="AT2581" s="43"/>
      <c r="AV2581" s="55"/>
      <c r="CJ2581" s="43"/>
      <c r="DF2581" s="55"/>
      <c r="DG2581" s="53"/>
      <c r="DL2581" s="54"/>
      <c r="DM2581" s="54"/>
      <c r="DN2581" s="54"/>
    </row>
    <row r="2582" spans="39:118">
      <c r="AM2582" s="55"/>
      <c r="AT2582" s="43"/>
      <c r="AV2582" s="55"/>
      <c r="CJ2582" s="43"/>
      <c r="DF2582" s="55"/>
      <c r="DG2582" s="53"/>
      <c r="DL2582" s="54"/>
      <c r="DM2582" s="54"/>
      <c r="DN2582" s="54"/>
    </row>
    <row r="2583" spans="39:118">
      <c r="AM2583" s="55"/>
      <c r="AT2583" s="43"/>
      <c r="AV2583" s="55"/>
      <c r="CJ2583" s="43"/>
      <c r="DF2583" s="55"/>
      <c r="DG2583" s="53"/>
      <c r="DL2583" s="54"/>
      <c r="DM2583" s="54"/>
      <c r="DN2583" s="54"/>
    </row>
    <row r="2584" spans="39:118">
      <c r="AM2584" s="55"/>
      <c r="AT2584" s="43"/>
      <c r="AV2584" s="55"/>
      <c r="CJ2584" s="43"/>
      <c r="DF2584" s="55"/>
      <c r="DG2584" s="53"/>
      <c r="DL2584" s="54"/>
      <c r="DM2584" s="54"/>
      <c r="DN2584" s="54"/>
    </row>
    <row r="2585" spans="39:118">
      <c r="AM2585" s="55"/>
      <c r="AT2585" s="43"/>
      <c r="AV2585" s="55"/>
      <c r="CJ2585" s="43"/>
      <c r="DF2585" s="55"/>
      <c r="DG2585" s="53"/>
      <c r="DL2585" s="54"/>
      <c r="DM2585" s="54"/>
      <c r="DN2585" s="54"/>
    </row>
    <row r="2586" spans="39:118">
      <c r="AM2586" s="55"/>
      <c r="AT2586" s="43"/>
      <c r="AV2586" s="55"/>
      <c r="CJ2586" s="43"/>
      <c r="DF2586" s="55"/>
      <c r="DG2586" s="53"/>
      <c r="DL2586" s="54"/>
      <c r="DM2586" s="54"/>
      <c r="DN2586" s="54"/>
    </row>
    <row r="2587" spans="39:118">
      <c r="AM2587" s="55"/>
      <c r="AT2587" s="43"/>
      <c r="AV2587" s="55"/>
      <c r="CJ2587" s="43"/>
      <c r="DF2587" s="55"/>
      <c r="DG2587" s="53"/>
      <c r="DL2587" s="54"/>
      <c r="DM2587" s="54"/>
      <c r="DN2587" s="54"/>
    </row>
    <row r="2588" spans="39:118">
      <c r="AM2588" s="55"/>
      <c r="AT2588" s="43"/>
      <c r="AV2588" s="55"/>
      <c r="CJ2588" s="43"/>
      <c r="DF2588" s="55"/>
      <c r="DG2588" s="53"/>
      <c r="DL2588" s="54"/>
      <c r="DM2588" s="54"/>
      <c r="DN2588" s="54"/>
    </row>
    <row r="2589" spans="39:118">
      <c r="AM2589" s="55"/>
      <c r="AT2589" s="43"/>
      <c r="AV2589" s="55"/>
      <c r="CJ2589" s="43"/>
      <c r="DF2589" s="55"/>
      <c r="DG2589" s="53"/>
      <c r="DL2589" s="54"/>
      <c r="DM2589" s="54"/>
      <c r="DN2589" s="54"/>
    </row>
    <row r="2590" spans="39:118">
      <c r="AM2590" s="55"/>
      <c r="AT2590" s="43"/>
      <c r="AV2590" s="55"/>
      <c r="CJ2590" s="43"/>
      <c r="DF2590" s="55"/>
      <c r="DG2590" s="53"/>
      <c r="DL2590" s="54"/>
      <c r="DM2590" s="54"/>
      <c r="DN2590" s="54"/>
    </row>
    <row r="2591" spans="39:118">
      <c r="AM2591" s="55"/>
      <c r="AT2591" s="43"/>
      <c r="AV2591" s="55"/>
      <c r="CJ2591" s="43"/>
      <c r="DF2591" s="55"/>
      <c r="DG2591" s="53"/>
      <c r="DL2591" s="54"/>
      <c r="DM2591" s="54"/>
      <c r="DN2591" s="54"/>
    </row>
    <row r="2592" spans="39:118">
      <c r="AM2592" s="55"/>
      <c r="AT2592" s="43"/>
      <c r="AV2592" s="55"/>
      <c r="CJ2592" s="43"/>
      <c r="DF2592" s="55"/>
      <c r="DG2592" s="53"/>
      <c r="DL2592" s="54"/>
      <c r="DM2592" s="54"/>
      <c r="DN2592" s="54"/>
    </row>
    <row r="2593" spans="39:118">
      <c r="AM2593" s="55"/>
      <c r="AT2593" s="43"/>
      <c r="AV2593" s="55"/>
      <c r="CJ2593" s="43"/>
      <c r="DF2593" s="55"/>
      <c r="DG2593" s="53"/>
      <c r="DL2593" s="54"/>
      <c r="DM2593" s="54"/>
      <c r="DN2593" s="54"/>
    </row>
    <row r="2594" spans="39:118">
      <c r="AM2594" s="55"/>
      <c r="AT2594" s="43"/>
      <c r="AV2594" s="55"/>
      <c r="CJ2594" s="43"/>
      <c r="DF2594" s="55"/>
      <c r="DG2594" s="53"/>
      <c r="DL2594" s="54"/>
      <c r="DM2594" s="54"/>
      <c r="DN2594" s="54"/>
    </row>
    <row r="2595" spans="39:118">
      <c r="AM2595" s="55"/>
      <c r="AT2595" s="43"/>
      <c r="AV2595" s="55"/>
      <c r="CJ2595" s="43"/>
      <c r="DF2595" s="55"/>
      <c r="DG2595" s="53"/>
      <c r="DL2595" s="54"/>
      <c r="DM2595" s="54"/>
      <c r="DN2595" s="54"/>
    </row>
    <row r="2596" spans="39:118">
      <c r="AM2596" s="55"/>
      <c r="AT2596" s="43"/>
      <c r="AV2596" s="55"/>
      <c r="CJ2596" s="43"/>
      <c r="DF2596" s="55"/>
      <c r="DG2596" s="53"/>
      <c r="DL2596" s="54"/>
      <c r="DM2596" s="54"/>
      <c r="DN2596" s="54"/>
    </row>
    <row r="2597" spans="39:118">
      <c r="AM2597" s="55"/>
      <c r="AT2597" s="43"/>
      <c r="AV2597" s="55"/>
      <c r="CJ2597" s="43"/>
      <c r="DF2597" s="55"/>
      <c r="DG2597" s="53"/>
      <c r="DL2597" s="54"/>
      <c r="DM2597" s="54"/>
      <c r="DN2597" s="54"/>
    </row>
    <row r="2598" spans="39:118">
      <c r="AM2598" s="55"/>
      <c r="AT2598" s="43"/>
      <c r="AV2598" s="55"/>
      <c r="CJ2598" s="43"/>
      <c r="DF2598" s="55"/>
      <c r="DG2598" s="53"/>
      <c r="DL2598" s="54"/>
      <c r="DM2598" s="54"/>
      <c r="DN2598" s="54"/>
    </row>
    <row r="2599" spans="39:118">
      <c r="AM2599" s="55"/>
      <c r="AT2599" s="43"/>
      <c r="AV2599" s="55"/>
      <c r="CJ2599" s="43"/>
      <c r="DF2599" s="55"/>
      <c r="DG2599" s="53"/>
      <c r="DL2599" s="54"/>
      <c r="DM2599" s="54"/>
      <c r="DN2599" s="54"/>
    </row>
    <row r="2600" spans="39:118">
      <c r="AM2600" s="55"/>
      <c r="AT2600" s="43"/>
      <c r="AV2600" s="55"/>
      <c r="CJ2600" s="43"/>
      <c r="DF2600" s="55"/>
      <c r="DG2600" s="53"/>
      <c r="DL2600" s="54"/>
      <c r="DM2600" s="54"/>
      <c r="DN2600" s="54"/>
    </row>
    <row r="2601" spans="39:118">
      <c r="AM2601" s="55"/>
      <c r="AT2601" s="43"/>
      <c r="AV2601" s="55"/>
      <c r="CJ2601" s="43"/>
      <c r="DF2601" s="55"/>
      <c r="DG2601" s="53"/>
      <c r="DL2601" s="54"/>
      <c r="DM2601" s="54"/>
      <c r="DN2601" s="54"/>
    </row>
    <row r="2602" spans="39:118">
      <c r="AM2602" s="55"/>
      <c r="AT2602" s="43"/>
      <c r="AV2602" s="55"/>
      <c r="CJ2602" s="43"/>
      <c r="DF2602" s="55"/>
      <c r="DG2602" s="53"/>
      <c r="DL2602" s="54"/>
      <c r="DM2602" s="54"/>
      <c r="DN2602" s="54"/>
    </row>
    <row r="2603" spans="39:118">
      <c r="AM2603" s="55"/>
      <c r="AT2603" s="43"/>
      <c r="AV2603" s="55"/>
      <c r="CJ2603" s="43"/>
      <c r="DF2603" s="55"/>
      <c r="DG2603" s="53"/>
      <c r="DL2603" s="54"/>
      <c r="DM2603" s="54"/>
      <c r="DN2603" s="54"/>
    </row>
    <row r="2604" spans="39:118">
      <c r="AM2604" s="55"/>
      <c r="AT2604" s="43"/>
      <c r="AV2604" s="55"/>
      <c r="CJ2604" s="43"/>
      <c r="DF2604" s="55"/>
      <c r="DG2604" s="53"/>
      <c r="DL2604" s="54"/>
      <c r="DM2604" s="54"/>
      <c r="DN2604" s="54"/>
    </row>
    <row r="2605" spans="39:118">
      <c r="AM2605" s="55"/>
      <c r="AT2605" s="43"/>
      <c r="AV2605" s="55"/>
      <c r="CJ2605" s="43"/>
      <c r="DF2605" s="55"/>
      <c r="DG2605" s="53"/>
      <c r="DL2605" s="54"/>
      <c r="DM2605" s="54"/>
      <c r="DN2605" s="54"/>
    </row>
    <row r="2606" spans="39:118">
      <c r="AM2606" s="55"/>
      <c r="AT2606" s="43"/>
      <c r="AV2606" s="55"/>
      <c r="CJ2606" s="43"/>
      <c r="DF2606" s="55"/>
      <c r="DG2606" s="53"/>
      <c r="DL2606" s="54"/>
      <c r="DM2606" s="54"/>
      <c r="DN2606" s="54"/>
    </row>
    <row r="2607" spans="39:118">
      <c r="AM2607" s="55"/>
      <c r="AT2607" s="43"/>
      <c r="AV2607" s="55"/>
      <c r="CJ2607" s="43"/>
      <c r="DF2607" s="55"/>
      <c r="DG2607" s="53"/>
      <c r="DL2607" s="54"/>
      <c r="DM2607" s="54"/>
      <c r="DN2607" s="54"/>
    </row>
    <row r="2608" spans="39:118">
      <c r="AM2608" s="55"/>
      <c r="AT2608" s="43"/>
      <c r="AV2608" s="55"/>
      <c r="CJ2608" s="43"/>
      <c r="DF2608" s="55"/>
      <c r="DG2608" s="53"/>
      <c r="DL2608" s="54"/>
      <c r="DM2608" s="54"/>
      <c r="DN2608" s="54"/>
    </row>
    <row r="2609" spans="39:118">
      <c r="AM2609" s="55"/>
      <c r="AT2609" s="43"/>
      <c r="AV2609" s="55"/>
      <c r="CJ2609" s="43"/>
      <c r="DF2609" s="55"/>
      <c r="DG2609" s="53"/>
      <c r="DL2609" s="54"/>
      <c r="DM2609" s="54"/>
      <c r="DN2609" s="54"/>
    </row>
    <row r="2610" spans="39:118">
      <c r="AM2610" s="55"/>
      <c r="AT2610" s="43"/>
      <c r="AV2610" s="55"/>
      <c r="CJ2610" s="43"/>
      <c r="DF2610" s="55"/>
      <c r="DG2610" s="53"/>
      <c r="DL2610" s="54"/>
      <c r="DM2610" s="54"/>
      <c r="DN2610" s="54"/>
    </row>
    <row r="2611" spans="39:118">
      <c r="AM2611" s="55"/>
      <c r="AT2611" s="43"/>
      <c r="AV2611" s="55"/>
      <c r="CJ2611" s="43"/>
      <c r="DF2611" s="55"/>
      <c r="DG2611" s="53"/>
      <c r="DL2611" s="54"/>
      <c r="DM2611" s="54"/>
      <c r="DN2611" s="54"/>
    </row>
    <row r="2612" spans="39:118">
      <c r="AM2612" s="55"/>
      <c r="AT2612" s="43"/>
      <c r="AV2612" s="55"/>
      <c r="CJ2612" s="43"/>
      <c r="DF2612" s="55"/>
      <c r="DG2612" s="53"/>
      <c r="DL2612" s="54"/>
      <c r="DM2612" s="54"/>
      <c r="DN2612" s="54"/>
    </row>
    <row r="2613" spans="39:118">
      <c r="AM2613" s="55"/>
      <c r="AT2613" s="43"/>
      <c r="AV2613" s="55"/>
      <c r="CJ2613" s="43"/>
      <c r="DF2613" s="55"/>
      <c r="DG2613" s="53"/>
      <c r="DL2613" s="54"/>
      <c r="DM2613" s="54"/>
      <c r="DN2613" s="54"/>
    </row>
    <row r="2614" spans="39:118">
      <c r="AM2614" s="55"/>
      <c r="AT2614" s="43"/>
      <c r="AV2614" s="55"/>
      <c r="CJ2614" s="43"/>
      <c r="DF2614" s="55"/>
      <c r="DG2614" s="53"/>
      <c r="DL2614" s="54"/>
      <c r="DM2614" s="54"/>
      <c r="DN2614" s="54"/>
    </row>
    <row r="2615" spans="39:118">
      <c r="AM2615" s="55"/>
      <c r="AT2615" s="43"/>
      <c r="AV2615" s="55"/>
      <c r="CJ2615" s="43"/>
      <c r="DF2615" s="55"/>
      <c r="DG2615" s="53"/>
      <c r="DL2615" s="54"/>
      <c r="DM2615" s="54"/>
      <c r="DN2615" s="54"/>
    </row>
    <row r="2616" spans="39:118">
      <c r="AM2616" s="55"/>
      <c r="AT2616" s="43"/>
      <c r="AV2616" s="55"/>
      <c r="CJ2616" s="43"/>
      <c r="DF2616" s="55"/>
      <c r="DG2616" s="53"/>
      <c r="DL2616" s="54"/>
      <c r="DM2616" s="54"/>
      <c r="DN2616" s="54"/>
    </row>
    <row r="2617" spans="39:118">
      <c r="AM2617" s="55"/>
      <c r="AT2617" s="43"/>
      <c r="AV2617" s="55"/>
      <c r="CJ2617" s="43"/>
      <c r="DF2617" s="55"/>
      <c r="DG2617" s="53"/>
      <c r="DL2617" s="54"/>
      <c r="DM2617" s="54"/>
      <c r="DN2617" s="54"/>
    </row>
    <row r="2618" spans="39:118">
      <c r="AM2618" s="55"/>
      <c r="AT2618" s="43"/>
      <c r="AV2618" s="55"/>
      <c r="CJ2618" s="43"/>
      <c r="DF2618" s="55"/>
      <c r="DG2618" s="53"/>
      <c r="DL2618" s="54"/>
      <c r="DM2618" s="54"/>
      <c r="DN2618" s="54"/>
    </row>
    <row r="2619" spans="39:118">
      <c r="AM2619" s="55"/>
      <c r="AT2619" s="43"/>
      <c r="AV2619" s="55"/>
      <c r="CJ2619" s="43"/>
      <c r="DF2619" s="55"/>
      <c r="DG2619" s="53"/>
      <c r="DL2619" s="54"/>
      <c r="DM2619" s="54"/>
      <c r="DN2619" s="54"/>
    </row>
    <row r="2620" spans="39:118">
      <c r="AM2620" s="55"/>
      <c r="AT2620" s="43"/>
      <c r="AV2620" s="55"/>
      <c r="CJ2620" s="43"/>
      <c r="DF2620" s="55"/>
      <c r="DG2620" s="53"/>
      <c r="DL2620" s="54"/>
      <c r="DM2620" s="54"/>
      <c r="DN2620" s="54"/>
    </row>
    <row r="2621" spans="39:118">
      <c r="AM2621" s="55"/>
      <c r="AT2621" s="43"/>
      <c r="AV2621" s="55"/>
      <c r="CJ2621" s="43"/>
      <c r="DF2621" s="55"/>
      <c r="DG2621" s="53"/>
      <c r="DL2621" s="54"/>
      <c r="DM2621" s="54"/>
      <c r="DN2621" s="54"/>
    </row>
    <row r="2622" spans="39:118">
      <c r="AM2622" s="55"/>
      <c r="AT2622" s="43"/>
      <c r="AV2622" s="55"/>
      <c r="CJ2622" s="43"/>
      <c r="DF2622" s="55"/>
      <c r="DG2622" s="53"/>
      <c r="DL2622" s="54"/>
      <c r="DM2622" s="54"/>
      <c r="DN2622" s="54"/>
    </row>
    <row r="2623" spans="39:118">
      <c r="AM2623" s="55"/>
      <c r="AT2623" s="43"/>
      <c r="AV2623" s="55"/>
      <c r="CJ2623" s="43"/>
      <c r="DF2623" s="55"/>
      <c r="DG2623" s="53"/>
      <c r="DL2623" s="54"/>
      <c r="DM2623" s="54"/>
      <c r="DN2623" s="54"/>
    </row>
    <row r="2624" spans="39:118">
      <c r="AM2624" s="55"/>
      <c r="AT2624" s="43"/>
      <c r="AV2624" s="55"/>
      <c r="CJ2624" s="43"/>
      <c r="DF2624" s="55"/>
      <c r="DG2624" s="53"/>
      <c r="DL2624" s="54"/>
      <c r="DM2624" s="54"/>
      <c r="DN2624" s="54"/>
    </row>
    <row r="2625" spans="39:118">
      <c r="AM2625" s="55"/>
      <c r="AT2625" s="43"/>
      <c r="AV2625" s="55"/>
      <c r="CJ2625" s="43"/>
      <c r="DF2625" s="55"/>
      <c r="DG2625" s="53"/>
      <c r="DL2625" s="54"/>
      <c r="DM2625" s="54"/>
      <c r="DN2625" s="54"/>
    </row>
    <row r="2626" spans="39:118">
      <c r="AM2626" s="55"/>
      <c r="AT2626" s="43"/>
      <c r="AV2626" s="55"/>
      <c r="CJ2626" s="43"/>
      <c r="DF2626" s="55"/>
      <c r="DG2626" s="53"/>
      <c r="DL2626" s="54"/>
      <c r="DM2626" s="54"/>
      <c r="DN2626" s="54"/>
    </row>
    <row r="2627" spans="39:118">
      <c r="AM2627" s="55"/>
      <c r="AT2627" s="43"/>
      <c r="AV2627" s="55"/>
      <c r="CJ2627" s="43"/>
      <c r="DF2627" s="55"/>
      <c r="DG2627" s="53"/>
      <c r="DL2627" s="54"/>
      <c r="DM2627" s="54"/>
      <c r="DN2627" s="54"/>
    </row>
    <row r="2628" spans="39:118">
      <c r="AM2628" s="55"/>
      <c r="AT2628" s="43"/>
      <c r="AV2628" s="55"/>
      <c r="CJ2628" s="43"/>
      <c r="DF2628" s="55"/>
      <c r="DG2628" s="53"/>
      <c r="DL2628" s="54"/>
      <c r="DM2628" s="54"/>
      <c r="DN2628" s="54"/>
    </row>
    <row r="2629" spans="39:118">
      <c r="AM2629" s="55"/>
      <c r="AT2629" s="43"/>
      <c r="AV2629" s="55"/>
      <c r="CJ2629" s="43"/>
      <c r="DF2629" s="55"/>
      <c r="DG2629" s="53"/>
      <c r="DL2629" s="54"/>
      <c r="DM2629" s="54"/>
      <c r="DN2629" s="54"/>
    </row>
    <row r="2630" spans="39:118">
      <c r="AM2630" s="55"/>
      <c r="AT2630" s="43"/>
      <c r="AV2630" s="55"/>
      <c r="CJ2630" s="43"/>
      <c r="DF2630" s="55"/>
      <c r="DG2630" s="53"/>
      <c r="DL2630" s="54"/>
      <c r="DM2630" s="54"/>
      <c r="DN2630" s="54"/>
    </row>
    <row r="2631" spans="39:118">
      <c r="AM2631" s="55"/>
      <c r="AT2631" s="43"/>
      <c r="AV2631" s="55"/>
      <c r="CJ2631" s="43"/>
      <c r="DF2631" s="55"/>
      <c r="DG2631" s="53"/>
      <c r="DL2631" s="54"/>
      <c r="DM2631" s="54"/>
      <c r="DN2631" s="54"/>
    </row>
    <row r="2632" spans="39:118">
      <c r="AM2632" s="55"/>
      <c r="AT2632" s="43"/>
      <c r="AV2632" s="55"/>
      <c r="CJ2632" s="43"/>
      <c r="DF2632" s="55"/>
      <c r="DG2632" s="53"/>
      <c r="DL2632" s="54"/>
      <c r="DM2632" s="54"/>
      <c r="DN2632" s="54"/>
    </row>
    <row r="2633" spans="39:118">
      <c r="AM2633" s="55"/>
      <c r="AT2633" s="43"/>
      <c r="AV2633" s="55"/>
      <c r="CJ2633" s="43"/>
      <c r="DF2633" s="55"/>
      <c r="DG2633" s="53"/>
      <c r="DL2633" s="54"/>
      <c r="DM2633" s="54"/>
      <c r="DN2633" s="54"/>
    </row>
    <row r="2634" spans="39:118">
      <c r="AM2634" s="55"/>
      <c r="AT2634" s="43"/>
      <c r="AV2634" s="55"/>
      <c r="CJ2634" s="43"/>
      <c r="DF2634" s="55"/>
      <c r="DG2634" s="53"/>
      <c r="DL2634" s="54"/>
      <c r="DM2634" s="54"/>
      <c r="DN2634" s="54"/>
    </row>
    <row r="2635" spans="39:118">
      <c r="AM2635" s="55"/>
      <c r="AT2635" s="43"/>
      <c r="AV2635" s="55"/>
      <c r="CJ2635" s="43"/>
      <c r="DF2635" s="55"/>
      <c r="DG2635" s="53"/>
      <c r="DL2635" s="54"/>
      <c r="DM2635" s="54"/>
      <c r="DN2635" s="54"/>
    </row>
    <row r="2636" spans="39:118">
      <c r="AM2636" s="55"/>
      <c r="AT2636" s="43"/>
      <c r="AV2636" s="55"/>
      <c r="CJ2636" s="43"/>
      <c r="DF2636" s="55"/>
      <c r="DG2636" s="53"/>
      <c r="DL2636" s="54"/>
      <c r="DM2636" s="54"/>
      <c r="DN2636" s="54"/>
    </row>
    <row r="2637" spans="39:118">
      <c r="AM2637" s="55"/>
      <c r="AT2637" s="43"/>
      <c r="AV2637" s="55"/>
      <c r="CJ2637" s="43"/>
      <c r="DF2637" s="55"/>
      <c r="DG2637" s="53"/>
      <c r="DL2637" s="54"/>
      <c r="DM2637" s="54"/>
      <c r="DN2637" s="54"/>
    </row>
    <row r="2638" spans="39:118">
      <c r="AM2638" s="55"/>
      <c r="AT2638" s="43"/>
      <c r="AV2638" s="55"/>
      <c r="CJ2638" s="43"/>
      <c r="DF2638" s="55"/>
      <c r="DG2638" s="53"/>
      <c r="DL2638" s="54"/>
      <c r="DM2638" s="54"/>
      <c r="DN2638" s="54"/>
    </row>
    <row r="2639" spans="39:118">
      <c r="AM2639" s="55"/>
      <c r="AT2639" s="43"/>
      <c r="AV2639" s="55"/>
      <c r="CJ2639" s="43"/>
      <c r="DF2639" s="55"/>
      <c r="DG2639" s="53"/>
      <c r="DL2639" s="54"/>
      <c r="DM2639" s="54"/>
      <c r="DN2639" s="54"/>
    </row>
    <row r="2640" spans="39:118">
      <c r="AM2640" s="55"/>
      <c r="AT2640" s="43"/>
      <c r="AV2640" s="55"/>
      <c r="CJ2640" s="43"/>
      <c r="DF2640" s="55"/>
      <c r="DG2640" s="53"/>
      <c r="DL2640" s="54"/>
      <c r="DM2640" s="54"/>
      <c r="DN2640" s="54"/>
    </row>
    <row r="2641" spans="39:118">
      <c r="AM2641" s="55"/>
      <c r="AT2641" s="43"/>
      <c r="AV2641" s="55"/>
      <c r="CJ2641" s="43"/>
      <c r="DF2641" s="55"/>
      <c r="DG2641" s="53"/>
      <c r="DL2641" s="54"/>
      <c r="DM2641" s="54"/>
      <c r="DN2641" s="54"/>
    </row>
    <row r="2642" spans="39:118">
      <c r="AM2642" s="55"/>
      <c r="AT2642" s="43"/>
      <c r="AV2642" s="55"/>
      <c r="CJ2642" s="43"/>
      <c r="DF2642" s="55"/>
      <c r="DG2642" s="53"/>
      <c r="DL2642" s="54"/>
      <c r="DM2642" s="54"/>
      <c r="DN2642" s="54"/>
    </row>
    <row r="2643" spans="39:118">
      <c r="AM2643" s="55"/>
      <c r="AT2643" s="43"/>
      <c r="AV2643" s="55"/>
      <c r="CJ2643" s="43"/>
      <c r="DF2643" s="55"/>
      <c r="DG2643" s="53"/>
      <c r="DL2643" s="54"/>
      <c r="DM2643" s="54"/>
      <c r="DN2643" s="54"/>
    </row>
    <row r="2644" spans="39:118">
      <c r="AM2644" s="55"/>
      <c r="AT2644" s="43"/>
      <c r="AV2644" s="55"/>
      <c r="CJ2644" s="43"/>
      <c r="DF2644" s="55"/>
      <c r="DG2644" s="53"/>
      <c r="DL2644" s="54"/>
      <c r="DM2644" s="54"/>
      <c r="DN2644" s="54"/>
    </row>
    <row r="2645" spans="39:118">
      <c r="AM2645" s="55"/>
      <c r="AT2645" s="43"/>
      <c r="AV2645" s="55"/>
      <c r="CJ2645" s="43"/>
      <c r="DF2645" s="55"/>
      <c r="DG2645" s="53"/>
      <c r="DL2645" s="54"/>
      <c r="DM2645" s="54"/>
      <c r="DN2645" s="54"/>
    </row>
    <row r="2646" spans="39:118">
      <c r="AM2646" s="55"/>
      <c r="AT2646" s="43"/>
      <c r="AV2646" s="55"/>
      <c r="CJ2646" s="43"/>
      <c r="DF2646" s="55"/>
      <c r="DG2646" s="53"/>
      <c r="DL2646" s="54"/>
      <c r="DM2646" s="54"/>
      <c r="DN2646" s="54"/>
    </row>
    <row r="2647" spans="39:118">
      <c r="AM2647" s="55"/>
      <c r="AT2647" s="43"/>
      <c r="AV2647" s="55"/>
      <c r="CJ2647" s="43"/>
      <c r="DF2647" s="55"/>
      <c r="DG2647" s="53"/>
      <c r="DL2647" s="54"/>
      <c r="DM2647" s="54"/>
      <c r="DN2647" s="54"/>
    </row>
    <row r="2648" spans="39:118">
      <c r="AM2648" s="55"/>
      <c r="AT2648" s="43"/>
      <c r="AV2648" s="55"/>
      <c r="CJ2648" s="43"/>
      <c r="DF2648" s="55"/>
      <c r="DG2648" s="53"/>
      <c r="DL2648" s="54"/>
      <c r="DM2648" s="54"/>
      <c r="DN2648" s="54"/>
    </row>
    <row r="2649" spans="39:118">
      <c r="AM2649" s="55"/>
      <c r="AT2649" s="43"/>
      <c r="AV2649" s="55"/>
      <c r="CJ2649" s="43"/>
      <c r="DF2649" s="55"/>
      <c r="DG2649" s="53"/>
      <c r="DL2649" s="54"/>
      <c r="DM2649" s="54"/>
      <c r="DN2649" s="54"/>
    </row>
    <row r="2650" spans="39:118">
      <c r="AM2650" s="55"/>
      <c r="AT2650" s="43"/>
      <c r="AV2650" s="55"/>
      <c r="CJ2650" s="43"/>
      <c r="DF2650" s="55"/>
      <c r="DG2650" s="53"/>
      <c r="DL2650" s="54"/>
      <c r="DM2650" s="54"/>
      <c r="DN2650" s="54"/>
    </row>
    <row r="2651" spans="39:118">
      <c r="AM2651" s="55"/>
      <c r="AT2651" s="43"/>
      <c r="AV2651" s="55"/>
      <c r="CJ2651" s="43"/>
      <c r="DF2651" s="55"/>
      <c r="DG2651" s="53"/>
      <c r="DL2651" s="54"/>
      <c r="DM2651" s="54"/>
      <c r="DN2651" s="54"/>
    </row>
    <row r="2652" spans="39:118">
      <c r="AM2652" s="55"/>
      <c r="AT2652" s="43"/>
      <c r="AV2652" s="55"/>
      <c r="CJ2652" s="43"/>
      <c r="DF2652" s="55"/>
      <c r="DG2652" s="53"/>
      <c r="DL2652" s="54"/>
      <c r="DM2652" s="54"/>
      <c r="DN2652" s="54"/>
    </row>
    <row r="2653" spans="39:118">
      <c r="AM2653" s="55"/>
      <c r="AT2653" s="43"/>
      <c r="AV2653" s="55"/>
      <c r="CJ2653" s="43"/>
      <c r="DF2653" s="55"/>
      <c r="DG2653" s="53"/>
      <c r="DL2653" s="54"/>
      <c r="DM2653" s="54"/>
      <c r="DN2653" s="54"/>
    </row>
    <row r="2654" spans="39:118">
      <c r="AM2654" s="55"/>
      <c r="AT2654" s="43"/>
      <c r="AV2654" s="55"/>
      <c r="CJ2654" s="43"/>
      <c r="DF2654" s="55"/>
      <c r="DG2654" s="53"/>
      <c r="DL2654" s="54"/>
      <c r="DM2654" s="54"/>
      <c r="DN2654" s="54"/>
    </row>
    <row r="2655" spans="39:118">
      <c r="AM2655" s="55"/>
      <c r="AT2655" s="43"/>
      <c r="AV2655" s="55"/>
      <c r="CJ2655" s="43"/>
      <c r="DF2655" s="55"/>
      <c r="DG2655" s="53"/>
      <c r="DL2655" s="54"/>
      <c r="DM2655" s="54"/>
      <c r="DN2655" s="54"/>
    </row>
    <row r="2656" spans="39:118">
      <c r="AM2656" s="55"/>
      <c r="AT2656" s="43"/>
      <c r="AV2656" s="55"/>
      <c r="CJ2656" s="43"/>
      <c r="DF2656" s="55"/>
      <c r="DG2656" s="53"/>
      <c r="DL2656" s="54"/>
      <c r="DM2656" s="54"/>
      <c r="DN2656" s="54"/>
    </row>
    <row r="2657" spans="39:118">
      <c r="AM2657" s="55"/>
      <c r="AT2657" s="43"/>
      <c r="AV2657" s="55"/>
      <c r="CJ2657" s="43"/>
      <c r="DF2657" s="55"/>
      <c r="DG2657" s="53"/>
      <c r="DL2657" s="54"/>
      <c r="DM2657" s="54"/>
      <c r="DN2657" s="54"/>
    </row>
    <row r="2658" spans="39:118">
      <c r="AM2658" s="55"/>
      <c r="AT2658" s="43"/>
      <c r="AV2658" s="55"/>
      <c r="CJ2658" s="43"/>
      <c r="DF2658" s="55"/>
      <c r="DG2658" s="53"/>
      <c r="DL2658" s="54"/>
      <c r="DM2658" s="54"/>
      <c r="DN2658" s="54"/>
    </row>
    <row r="2659" spans="39:118">
      <c r="AM2659" s="55"/>
      <c r="AT2659" s="43"/>
      <c r="AV2659" s="55"/>
      <c r="CJ2659" s="43"/>
      <c r="DF2659" s="55"/>
      <c r="DG2659" s="53"/>
      <c r="DL2659" s="54"/>
      <c r="DM2659" s="54"/>
      <c r="DN2659" s="54"/>
    </row>
    <row r="2660" spans="39:118">
      <c r="AM2660" s="55"/>
      <c r="AT2660" s="43"/>
      <c r="AV2660" s="55"/>
      <c r="CJ2660" s="43"/>
      <c r="DF2660" s="55"/>
      <c r="DG2660" s="53"/>
      <c r="DL2660" s="54"/>
      <c r="DM2660" s="54"/>
      <c r="DN2660" s="54"/>
    </row>
    <row r="2661" spans="39:118">
      <c r="AM2661" s="55"/>
      <c r="AT2661" s="43"/>
      <c r="AV2661" s="55"/>
      <c r="CJ2661" s="43"/>
      <c r="DF2661" s="55"/>
      <c r="DG2661" s="53"/>
      <c r="DL2661" s="54"/>
      <c r="DM2661" s="54"/>
      <c r="DN2661" s="54"/>
    </row>
    <row r="2662" spans="39:118">
      <c r="AM2662" s="55"/>
      <c r="AT2662" s="43"/>
      <c r="AV2662" s="55"/>
      <c r="CJ2662" s="43"/>
      <c r="DF2662" s="55"/>
      <c r="DG2662" s="53"/>
      <c r="DL2662" s="54"/>
      <c r="DM2662" s="54"/>
      <c r="DN2662" s="54"/>
    </row>
    <row r="2663" spans="39:118">
      <c r="AM2663" s="55"/>
      <c r="AT2663" s="43"/>
      <c r="AV2663" s="55"/>
      <c r="CJ2663" s="43"/>
      <c r="DF2663" s="55"/>
      <c r="DG2663" s="53"/>
      <c r="DL2663" s="54"/>
      <c r="DM2663" s="54"/>
      <c r="DN2663" s="54"/>
    </row>
    <row r="2664" spans="39:118">
      <c r="AM2664" s="55"/>
      <c r="AT2664" s="43"/>
      <c r="AV2664" s="55"/>
      <c r="CJ2664" s="43"/>
      <c r="DF2664" s="55"/>
      <c r="DG2664" s="53"/>
      <c r="DL2664" s="54"/>
      <c r="DM2664" s="54"/>
      <c r="DN2664" s="54"/>
    </row>
    <row r="2665" spans="39:118">
      <c r="AM2665" s="55"/>
      <c r="AT2665" s="43"/>
      <c r="AV2665" s="55"/>
      <c r="CJ2665" s="43"/>
      <c r="DF2665" s="55"/>
      <c r="DG2665" s="53"/>
      <c r="DL2665" s="54"/>
      <c r="DM2665" s="54"/>
      <c r="DN2665" s="54"/>
    </row>
    <row r="2666" spans="39:118">
      <c r="AM2666" s="55"/>
      <c r="AT2666" s="43"/>
      <c r="AV2666" s="55"/>
      <c r="CJ2666" s="43"/>
      <c r="DF2666" s="55"/>
      <c r="DG2666" s="53"/>
      <c r="DL2666" s="54"/>
      <c r="DM2666" s="54"/>
      <c r="DN2666" s="54"/>
    </row>
    <row r="2667" spans="39:118">
      <c r="AM2667" s="55"/>
      <c r="AT2667" s="43"/>
      <c r="AV2667" s="55"/>
      <c r="CJ2667" s="43"/>
      <c r="DF2667" s="55"/>
      <c r="DG2667" s="53"/>
      <c r="DL2667" s="54"/>
      <c r="DM2667" s="54"/>
      <c r="DN2667" s="54"/>
    </row>
    <row r="2668" spans="39:118">
      <c r="AM2668" s="55"/>
      <c r="AT2668" s="43"/>
      <c r="AV2668" s="55"/>
      <c r="CJ2668" s="43"/>
      <c r="DF2668" s="55"/>
      <c r="DG2668" s="53"/>
      <c r="DL2668" s="54"/>
      <c r="DM2668" s="54"/>
      <c r="DN2668" s="54"/>
    </row>
    <row r="2669" spans="39:118">
      <c r="AM2669" s="55"/>
      <c r="AT2669" s="43"/>
      <c r="AV2669" s="55"/>
      <c r="CJ2669" s="43"/>
      <c r="DF2669" s="55"/>
      <c r="DG2669" s="53"/>
      <c r="DL2669" s="54"/>
      <c r="DM2669" s="54"/>
      <c r="DN2669" s="54"/>
    </row>
    <row r="2670" spans="39:118">
      <c r="AM2670" s="55"/>
      <c r="AT2670" s="43"/>
      <c r="AV2670" s="55"/>
      <c r="CJ2670" s="43"/>
      <c r="DF2670" s="55"/>
      <c r="DG2670" s="53"/>
      <c r="DL2670" s="54"/>
      <c r="DM2670" s="54"/>
      <c r="DN2670" s="54"/>
    </row>
    <row r="2671" spans="39:118">
      <c r="AM2671" s="55"/>
      <c r="AT2671" s="43"/>
      <c r="AV2671" s="55"/>
      <c r="CJ2671" s="43"/>
      <c r="DF2671" s="55"/>
      <c r="DG2671" s="53"/>
      <c r="DL2671" s="54"/>
      <c r="DM2671" s="54"/>
      <c r="DN2671" s="54"/>
    </row>
    <row r="2672" spans="39:118">
      <c r="AM2672" s="55"/>
      <c r="AT2672" s="43"/>
      <c r="AV2672" s="55"/>
      <c r="CJ2672" s="43"/>
      <c r="DF2672" s="55"/>
      <c r="DG2672" s="53"/>
      <c r="DL2672" s="54"/>
      <c r="DM2672" s="54"/>
      <c r="DN2672" s="54"/>
    </row>
    <row r="2673" spans="39:118">
      <c r="AM2673" s="55"/>
      <c r="AT2673" s="43"/>
      <c r="AV2673" s="55"/>
      <c r="CJ2673" s="43"/>
      <c r="DF2673" s="55"/>
      <c r="DG2673" s="53"/>
      <c r="DL2673" s="54"/>
      <c r="DM2673" s="54"/>
      <c r="DN2673" s="54"/>
    </row>
    <row r="2674" spans="39:118">
      <c r="AM2674" s="55"/>
      <c r="AT2674" s="43"/>
      <c r="AV2674" s="55"/>
      <c r="CJ2674" s="43"/>
      <c r="DF2674" s="55"/>
      <c r="DG2674" s="53"/>
      <c r="DL2674" s="54"/>
      <c r="DM2674" s="54"/>
      <c r="DN2674" s="54"/>
    </row>
    <row r="2675" spans="39:118">
      <c r="AM2675" s="55"/>
      <c r="AT2675" s="43"/>
      <c r="AV2675" s="55"/>
      <c r="CJ2675" s="43"/>
      <c r="DF2675" s="55"/>
      <c r="DG2675" s="53"/>
      <c r="DL2675" s="54"/>
      <c r="DM2675" s="54"/>
      <c r="DN2675" s="54"/>
    </row>
    <row r="2676" spans="39:118">
      <c r="AM2676" s="55"/>
      <c r="AT2676" s="43"/>
      <c r="AV2676" s="55"/>
      <c r="CJ2676" s="43"/>
      <c r="DF2676" s="55"/>
      <c r="DG2676" s="53"/>
      <c r="DL2676" s="54"/>
      <c r="DM2676" s="54"/>
      <c r="DN2676" s="54"/>
    </row>
    <row r="2677" spans="39:118">
      <c r="AM2677" s="55"/>
      <c r="AT2677" s="43"/>
      <c r="AV2677" s="55"/>
      <c r="CJ2677" s="43"/>
      <c r="DF2677" s="55"/>
      <c r="DG2677" s="53"/>
      <c r="DL2677" s="54"/>
      <c r="DM2677" s="54"/>
      <c r="DN2677" s="54"/>
    </row>
    <row r="2678" spans="39:118">
      <c r="AM2678" s="55"/>
      <c r="AT2678" s="43"/>
      <c r="AV2678" s="55"/>
      <c r="CJ2678" s="43"/>
      <c r="DF2678" s="55"/>
      <c r="DG2678" s="53"/>
      <c r="DL2678" s="54"/>
      <c r="DM2678" s="54"/>
      <c r="DN2678" s="54"/>
    </row>
    <row r="2679" spans="39:118">
      <c r="AM2679" s="55"/>
      <c r="AT2679" s="43"/>
      <c r="AV2679" s="55"/>
      <c r="CJ2679" s="43"/>
      <c r="DF2679" s="55"/>
      <c r="DG2679" s="53"/>
      <c r="DL2679" s="54"/>
      <c r="DM2679" s="54"/>
      <c r="DN2679" s="54"/>
    </row>
    <row r="2680" spans="39:118">
      <c r="AM2680" s="55"/>
      <c r="AT2680" s="43"/>
      <c r="AV2680" s="55"/>
      <c r="CJ2680" s="43"/>
      <c r="DF2680" s="55"/>
      <c r="DG2680" s="53"/>
      <c r="DL2680" s="54"/>
      <c r="DM2680" s="54"/>
      <c r="DN2680" s="54"/>
    </row>
    <row r="2681" spans="39:118">
      <c r="AM2681" s="55"/>
      <c r="AT2681" s="43"/>
      <c r="AV2681" s="55"/>
      <c r="CJ2681" s="43"/>
      <c r="DF2681" s="55"/>
      <c r="DG2681" s="53"/>
      <c r="DL2681" s="54"/>
      <c r="DM2681" s="54"/>
      <c r="DN2681" s="54"/>
    </row>
    <row r="2682" spans="39:118">
      <c r="AM2682" s="55"/>
      <c r="AT2682" s="43"/>
      <c r="AV2682" s="55"/>
      <c r="CJ2682" s="43"/>
      <c r="DF2682" s="55"/>
      <c r="DG2682" s="53"/>
      <c r="DL2682" s="54"/>
      <c r="DM2682" s="54"/>
      <c r="DN2682" s="54"/>
    </row>
    <row r="2683" spans="39:118">
      <c r="AM2683" s="55"/>
      <c r="AT2683" s="43"/>
      <c r="AV2683" s="55"/>
      <c r="CJ2683" s="43"/>
      <c r="DF2683" s="55"/>
      <c r="DG2683" s="53"/>
      <c r="DL2683" s="54"/>
      <c r="DM2683" s="54"/>
      <c r="DN2683" s="54"/>
    </row>
    <row r="2684" spans="39:118">
      <c r="AM2684" s="55"/>
      <c r="AT2684" s="43"/>
      <c r="AV2684" s="55"/>
      <c r="CJ2684" s="43"/>
      <c r="DF2684" s="55"/>
      <c r="DG2684" s="53"/>
      <c r="DL2684" s="54"/>
      <c r="DM2684" s="54"/>
      <c r="DN2684" s="54"/>
    </row>
    <row r="2685" spans="39:118">
      <c r="AM2685" s="55"/>
      <c r="AT2685" s="43"/>
      <c r="AV2685" s="55"/>
      <c r="CJ2685" s="43"/>
      <c r="DF2685" s="55"/>
      <c r="DG2685" s="53"/>
      <c r="DL2685" s="54"/>
      <c r="DM2685" s="54"/>
      <c r="DN2685" s="54"/>
    </row>
    <row r="2686" spans="39:118">
      <c r="AM2686" s="55"/>
      <c r="AT2686" s="43"/>
      <c r="AV2686" s="55"/>
      <c r="CJ2686" s="43"/>
      <c r="DF2686" s="55"/>
      <c r="DG2686" s="53"/>
      <c r="DL2686" s="54"/>
      <c r="DM2686" s="54"/>
      <c r="DN2686" s="54"/>
    </row>
    <row r="2687" spans="39:118">
      <c r="AM2687" s="55"/>
      <c r="AT2687" s="43"/>
      <c r="AV2687" s="55"/>
      <c r="CJ2687" s="43"/>
      <c r="DF2687" s="55"/>
      <c r="DG2687" s="53"/>
      <c r="DL2687" s="54"/>
      <c r="DM2687" s="54"/>
      <c r="DN2687" s="54"/>
    </row>
    <row r="2688" spans="39:118">
      <c r="AM2688" s="55"/>
      <c r="AT2688" s="43"/>
      <c r="AV2688" s="55"/>
      <c r="CJ2688" s="43"/>
      <c r="DF2688" s="55"/>
      <c r="DG2688" s="53"/>
      <c r="DL2688" s="54"/>
      <c r="DM2688" s="54"/>
      <c r="DN2688" s="54"/>
    </row>
    <row r="2689" spans="39:118">
      <c r="AM2689" s="55"/>
      <c r="AT2689" s="43"/>
      <c r="AV2689" s="55"/>
      <c r="CJ2689" s="43"/>
      <c r="DF2689" s="55"/>
      <c r="DG2689" s="53"/>
      <c r="DL2689" s="54"/>
      <c r="DM2689" s="54"/>
      <c r="DN2689" s="54"/>
    </row>
    <row r="2690" spans="39:118">
      <c r="AM2690" s="55"/>
      <c r="AT2690" s="43"/>
      <c r="AV2690" s="55"/>
      <c r="CJ2690" s="43"/>
      <c r="DF2690" s="55"/>
      <c r="DG2690" s="53"/>
      <c r="DL2690" s="54"/>
      <c r="DM2690" s="54"/>
      <c r="DN2690" s="54"/>
    </row>
    <row r="2691" spans="39:118">
      <c r="AM2691" s="55"/>
      <c r="AT2691" s="43"/>
      <c r="AV2691" s="55"/>
      <c r="CJ2691" s="43"/>
      <c r="DF2691" s="55"/>
      <c r="DG2691" s="53"/>
      <c r="DL2691" s="54"/>
      <c r="DM2691" s="54"/>
      <c r="DN2691" s="54"/>
    </row>
    <row r="2692" spans="39:118">
      <c r="AM2692" s="55"/>
      <c r="AT2692" s="43"/>
      <c r="AV2692" s="55"/>
      <c r="CJ2692" s="43"/>
      <c r="DF2692" s="55"/>
      <c r="DG2692" s="53"/>
      <c r="DL2692" s="54"/>
      <c r="DM2692" s="54"/>
      <c r="DN2692" s="54"/>
    </row>
    <row r="2693" spans="39:118">
      <c r="AM2693" s="55"/>
      <c r="AT2693" s="43"/>
      <c r="AV2693" s="55"/>
      <c r="CJ2693" s="43"/>
      <c r="DF2693" s="55"/>
      <c r="DG2693" s="53"/>
      <c r="DL2693" s="54"/>
      <c r="DM2693" s="54"/>
      <c r="DN2693" s="54"/>
    </row>
    <row r="2694" spans="39:118">
      <c r="AM2694" s="55"/>
      <c r="AT2694" s="43"/>
      <c r="AV2694" s="55"/>
      <c r="CJ2694" s="43"/>
      <c r="DF2694" s="55"/>
      <c r="DG2694" s="53"/>
      <c r="DL2694" s="54"/>
      <c r="DM2694" s="54"/>
      <c r="DN2694" s="54"/>
    </row>
    <row r="2695" spans="39:118">
      <c r="AM2695" s="55"/>
      <c r="AT2695" s="43"/>
      <c r="AV2695" s="55"/>
      <c r="CJ2695" s="43"/>
      <c r="DF2695" s="55"/>
      <c r="DG2695" s="53"/>
      <c r="DL2695" s="54"/>
      <c r="DM2695" s="54"/>
      <c r="DN2695" s="54"/>
    </row>
    <row r="2696" spans="39:118">
      <c r="AM2696" s="55"/>
      <c r="AT2696" s="43"/>
      <c r="AV2696" s="55"/>
      <c r="CJ2696" s="43"/>
      <c r="DF2696" s="55"/>
      <c r="DG2696" s="53"/>
      <c r="DL2696" s="54"/>
      <c r="DM2696" s="54"/>
      <c r="DN2696" s="54"/>
    </row>
    <row r="2697" spans="39:118">
      <c r="AM2697" s="55"/>
      <c r="AT2697" s="43"/>
      <c r="AV2697" s="55"/>
      <c r="CJ2697" s="43"/>
      <c r="DF2697" s="55"/>
      <c r="DG2697" s="53"/>
      <c r="DL2697" s="54"/>
      <c r="DM2697" s="54"/>
      <c r="DN2697" s="54"/>
    </row>
    <row r="2698" spans="39:118">
      <c r="AM2698" s="55"/>
      <c r="AT2698" s="43"/>
      <c r="AV2698" s="55"/>
      <c r="CJ2698" s="43"/>
      <c r="DF2698" s="55"/>
      <c r="DG2698" s="53"/>
      <c r="DL2698" s="54"/>
      <c r="DM2698" s="54"/>
      <c r="DN2698" s="54"/>
    </row>
    <row r="2699" spans="39:118">
      <c r="AM2699" s="55"/>
      <c r="AT2699" s="43"/>
      <c r="AV2699" s="55"/>
      <c r="CJ2699" s="43"/>
      <c r="DF2699" s="55"/>
      <c r="DG2699" s="53"/>
      <c r="DL2699" s="54"/>
      <c r="DM2699" s="54"/>
      <c r="DN2699" s="54"/>
    </row>
    <row r="2700" spans="39:118">
      <c r="AM2700" s="55"/>
      <c r="AT2700" s="43"/>
      <c r="AV2700" s="55"/>
      <c r="CJ2700" s="43"/>
      <c r="DF2700" s="55"/>
      <c r="DG2700" s="53"/>
      <c r="DL2700" s="54"/>
      <c r="DM2700" s="54"/>
      <c r="DN2700" s="54"/>
    </row>
    <row r="2701" spans="39:118">
      <c r="AM2701" s="55"/>
      <c r="AT2701" s="43"/>
      <c r="AV2701" s="55"/>
      <c r="CJ2701" s="43"/>
      <c r="DF2701" s="55"/>
      <c r="DG2701" s="53"/>
      <c r="DL2701" s="54"/>
      <c r="DM2701" s="54"/>
      <c r="DN2701" s="54"/>
    </row>
    <row r="2702" spans="39:118">
      <c r="AM2702" s="55"/>
      <c r="AT2702" s="43"/>
      <c r="AV2702" s="55"/>
      <c r="CJ2702" s="43"/>
      <c r="DF2702" s="55"/>
      <c r="DG2702" s="53"/>
      <c r="DL2702" s="54"/>
      <c r="DM2702" s="54"/>
      <c r="DN2702" s="54"/>
    </row>
    <row r="2703" spans="39:118">
      <c r="AM2703" s="55"/>
      <c r="AT2703" s="43"/>
      <c r="AV2703" s="55"/>
      <c r="CJ2703" s="43"/>
      <c r="DF2703" s="55"/>
      <c r="DG2703" s="53"/>
      <c r="DL2703" s="54"/>
      <c r="DM2703" s="54"/>
      <c r="DN2703" s="54"/>
    </row>
    <row r="2704" spans="39:118">
      <c r="AM2704" s="55"/>
      <c r="AT2704" s="43"/>
      <c r="AV2704" s="55"/>
      <c r="CJ2704" s="43"/>
      <c r="DF2704" s="55"/>
      <c r="DG2704" s="53"/>
      <c r="DL2704" s="54"/>
      <c r="DM2704" s="54"/>
      <c r="DN2704" s="54"/>
    </row>
    <row r="2705" spans="39:118">
      <c r="AM2705" s="55"/>
      <c r="AT2705" s="43"/>
      <c r="AV2705" s="55"/>
      <c r="CJ2705" s="43"/>
      <c r="DF2705" s="55"/>
      <c r="DG2705" s="53"/>
      <c r="DL2705" s="54"/>
      <c r="DM2705" s="54"/>
      <c r="DN2705" s="54"/>
    </row>
    <row r="2706" spans="39:118">
      <c r="AM2706" s="55"/>
      <c r="AT2706" s="43"/>
      <c r="AV2706" s="55"/>
      <c r="CJ2706" s="43"/>
      <c r="DF2706" s="55"/>
      <c r="DG2706" s="53"/>
      <c r="DL2706" s="54"/>
      <c r="DM2706" s="54"/>
      <c r="DN2706" s="54"/>
    </row>
    <row r="2707" spans="39:118">
      <c r="AM2707" s="55"/>
      <c r="AT2707" s="43"/>
      <c r="AV2707" s="55"/>
      <c r="CJ2707" s="43"/>
      <c r="DF2707" s="55"/>
      <c r="DG2707" s="53"/>
      <c r="DL2707" s="54"/>
      <c r="DM2707" s="54"/>
      <c r="DN2707" s="54"/>
    </row>
    <row r="2708" spans="39:118">
      <c r="AM2708" s="55"/>
      <c r="AT2708" s="43"/>
      <c r="AV2708" s="55"/>
      <c r="CJ2708" s="43"/>
      <c r="DF2708" s="55"/>
      <c r="DG2708" s="53"/>
      <c r="DL2708" s="54"/>
      <c r="DM2708" s="54"/>
      <c r="DN2708" s="54"/>
    </row>
    <row r="2709" spans="39:118">
      <c r="AM2709" s="55"/>
      <c r="AT2709" s="43"/>
      <c r="AV2709" s="55"/>
      <c r="CJ2709" s="43"/>
      <c r="DF2709" s="55"/>
      <c r="DG2709" s="53"/>
      <c r="DL2709" s="54"/>
      <c r="DM2709" s="54"/>
      <c r="DN2709" s="54"/>
    </row>
    <row r="2710" spans="39:118">
      <c r="AM2710" s="55"/>
      <c r="AT2710" s="43"/>
      <c r="AV2710" s="55"/>
      <c r="CJ2710" s="43"/>
      <c r="DF2710" s="55"/>
      <c r="DG2710" s="53"/>
      <c r="DL2710" s="54"/>
      <c r="DM2710" s="54"/>
      <c r="DN2710" s="54"/>
    </row>
    <row r="2711" spans="39:118">
      <c r="AM2711" s="55"/>
      <c r="AT2711" s="43"/>
      <c r="AV2711" s="55"/>
      <c r="CJ2711" s="43"/>
      <c r="DF2711" s="55"/>
      <c r="DG2711" s="53"/>
      <c r="DL2711" s="54"/>
      <c r="DM2711" s="54"/>
      <c r="DN2711" s="54"/>
    </row>
    <row r="2712" spans="39:118">
      <c r="AM2712" s="55"/>
      <c r="AT2712" s="43"/>
      <c r="AV2712" s="55"/>
      <c r="CJ2712" s="43"/>
      <c r="DF2712" s="55"/>
      <c r="DG2712" s="53"/>
      <c r="DL2712" s="54"/>
      <c r="DM2712" s="54"/>
      <c r="DN2712" s="54"/>
    </row>
    <row r="2713" spans="39:118">
      <c r="AM2713" s="55"/>
      <c r="AT2713" s="43"/>
      <c r="AV2713" s="55"/>
      <c r="CJ2713" s="43"/>
      <c r="DF2713" s="55"/>
      <c r="DG2713" s="53"/>
      <c r="DL2713" s="54"/>
      <c r="DM2713" s="54"/>
      <c r="DN2713" s="54"/>
    </row>
    <row r="2714" spans="39:118">
      <c r="AM2714" s="55"/>
      <c r="AT2714" s="43"/>
      <c r="AV2714" s="55"/>
      <c r="CJ2714" s="43"/>
      <c r="DF2714" s="55"/>
      <c r="DG2714" s="53"/>
      <c r="DL2714" s="54"/>
      <c r="DM2714" s="54"/>
      <c r="DN2714" s="54"/>
    </row>
    <row r="2715" spans="39:118">
      <c r="AM2715" s="55"/>
      <c r="AT2715" s="43"/>
      <c r="AV2715" s="55"/>
      <c r="CJ2715" s="43"/>
      <c r="DF2715" s="55"/>
      <c r="DG2715" s="53"/>
      <c r="DL2715" s="54"/>
      <c r="DM2715" s="54"/>
      <c r="DN2715" s="54"/>
    </row>
    <row r="2716" spans="39:118">
      <c r="AM2716" s="55"/>
      <c r="AT2716" s="43"/>
      <c r="AV2716" s="55"/>
      <c r="CJ2716" s="43"/>
      <c r="DF2716" s="55"/>
      <c r="DG2716" s="53"/>
      <c r="DL2716" s="54"/>
      <c r="DM2716" s="54"/>
      <c r="DN2716" s="54"/>
    </row>
    <row r="2717" spans="39:118">
      <c r="AM2717" s="55"/>
      <c r="AT2717" s="43"/>
      <c r="AV2717" s="55"/>
      <c r="CJ2717" s="43"/>
      <c r="DF2717" s="55"/>
      <c r="DG2717" s="53"/>
      <c r="DL2717" s="54"/>
      <c r="DM2717" s="54"/>
      <c r="DN2717" s="54"/>
    </row>
    <row r="2718" spans="39:118">
      <c r="AM2718" s="55"/>
      <c r="AT2718" s="43"/>
      <c r="AV2718" s="55"/>
      <c r="CJ2718" s="43"/>
      <c r="DF2718" s="55"/>
      <c r="DG2718" s="53"/>
      <c r="DL2718" s="54"/>
      <c r="DM2718" s="54"/>
      <c r="DN2718" s="54"/>
    </row>
    <row r="2719" spans="39:118">
      <c r="AM2719" s="55"/>
      <c r="AT2719" s="43"/>
      <c r="AV2719" s="55"/>
      <c r="CJ2719" s="43"/>
      <c r="DF2719" s="55"/>
      <c r="DG2719" s="53"/>
      <c r="DL2719" s="54"/>
      <c r="DM2719" s="54"/>
      <c r="DN2719" s="54"/>
    </row>
    <row r="2720" spans="39:118">
      <c r="AM2720" s="55"/>
      <c r="AT2720" s="43"/>
      <c r="AV2720" s="55"/>
      <c r="CJ2720" s="43"/>
      <c r="DF2720" s="55"/>
      <c r="DG2720" s="53"/>
      <c r="DL2720" s="54"/>
      <c r="DM2720" s="54"/>
      <c r="DN2720" s="54"/>
    </row>
    <row r="2721" spans="39:118">
      <c r="AM2721" s="55"/>
      <c r="AT2721" s="43"/>
      <c r="AV2721" s="55"/>
      <c r="CJ2721" s="43"/>
      <c r="DF2721" s="55"/>
      <c r="DG2721" s="53"/>
      <c r="DL2721" s="54"/>
      <c r="DM2721" s="54"/>
      <c r="DN2721" s="54"/>
    </row>
  </sheetData>
  <conditionalFormatting sqref="Q20:Q260 K20:K260">
    <cfRule type="cellIs" dxfId="2" priority="1" stopIfTrue="1" operator="notBetween">
      <formula>-1000</formula>
      <formula>1000</formula>
    </cfRule>
  </conditionalFormatting>
  <conditionalFormatting sqref="I15:I18">
    <cfRule type="cellIs" dxfId="1" priority="2" stopIfTrue="1" operator="equal">
      <formula>2</formula>
    </cfRule>
  </conditionalFormatting>
  <conditionalFormatting sqref="F6">
    <cfRule type="cellIs" dxfId="0" priority="3" stopIfTrue="1" operator="notEqual">
      <formula>0</formula>
    </cfRule>
  </conditionalFormatting>
  <printOptions horizontalCentered="1" verticalCentered="1"/>
  <pageMargins left="0.2" right="0.2" top="0.17" bottom="0.5" header="0.18" footer="0.5"/>
  <pageSetup scale="1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autoFill="0" autoLine="0" autoPict="0" macro="[0]!ExtendableSwap">
                <anchor moveWithCells="1" sizeWithCells="1">
                  <from>
                    <xdr:col>5</xdr:col>
                    <xdr:colOff>22860</xdr:colOff>
                    <xdr:row>25</xdr:row>
                    <xdr:rowOff>7620</xdr:rowOff>
                  </from>
                  <to>
                    <xdr:col>6</xdr:col>
                    <xdr:colOff>693420</xdr:colOff>
                    <xdr:row>25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autoFill="0" autoLine="0" autoPict="0" macro="[0]!ParticipatingSwap">
                <anchor moveWithCells="1" sizeWithCells="1">
                  <from>
                    <xdr:col>5</xdr:col>
                    <xdr:colOff>15240</xdr:colOff>
                    <xdr:row>45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Option Button 5">
              <controlPr defaultSize="0" autoFill="0" autoLine="0" autoPict="0">
                <anchor moveWithCells="1">
                  <from>
                    <xdr:col>8</xdr:col>
                    <xdr:colOff>7620</xdr:colOff>
                    <xdr:row>14</xdr:row>
                    <xdr:rowOff>152400</xdr:rowOff>
                  </from>
                  <to>
                    <xdr:col>8</xdr:col>
                    <xdr:colOff>548640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Option Button 6">
              <controlPr defaultSize="0" autoFill="0" autoLine="0" autoPict="0">
                <anchor moveWithCells="1">
                  <from>
                    <xdr:col>8</xdr:col>
                    <xdr:colOff>7620</xdr:colOff>
                    <xdr:row>16</xdr:row>
                    <xdr:rowOff>38100</xdr:rowOff>
                  </from>
                  <to>
                    <xdr:col>8</xdr:col>
                    <xdr:colOff>579120</xdr:colOff>
                    <xdr:row>17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Group Box 9">
              <controlPr defaultSiz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9" name="Option Button 15">
              <controlPr defaultSize="0" autoFill="0" autoLine="0" autoPict="0">
                <anchor moveWithCells="1">
                  <from>
                    <xdr:col>1</xdr:col>
                    <xdr:colOff>76200</xdr:colOff>
                    <xdr:row>7</xdr:row>
                    <xdr:rowOff>7620</xdr:rowOff>
                  </from>
                  <to>
                    <xdr:col>3</xdr:col>
                    <xdr:colOff>403860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0" name="Option Button 16">
              <controlPr defaultSize="0" autoFill="0" autoLine="0" autoPict="0">
                <anchor moveWithCells="1">
                  <from>
                    <xdr:col>1</xdr:col>
                    <xdr:colOff>45720</xdr:colOff>
                    <xdr:row>7</xdr:row>
                    <xdr:rowOff>182880</xdr:rowOff>
                  </from>
                  <to>
                    <xdr:col>3</xdr:col>
                    <xdr:colOff>502920</xdr:colOff>
                    <xdr:row>8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1" name="Option Button 17">
              <controlPr defaultSize="0" autoFill="0" autoLine="0" autoPict="0">
                <anchor moveWithCells="1">
                  <from>
                    <xdr:col>1</xdr:col>
                    <xdr:colOff>45720</xdr:colOff>
                    <xdr:row>8</xdr:row>
                    <xdr:rowOff>129540</xdr:rowOff>
                  </from>
                  <to>
                    <xdr:col>2</xdr:col>
                    <xdr:colOff>274320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2" name="Option Button 18">
              <controlPr defaultSize="0" autoFill="0" autoLine="0" autoPict="0">
                <anchor moveWithCells="1">
                  <from>
                    <xdr:col>2</xdr:col>
                    <xdr:colOff>236220</xdr:colOff>
                    <xdr:row>8</xdr:row>
                    <xdr:rowOff>129540</xdr:rowOff>
                  </from>
                  <to>
                    <xdr:col>3</xdr:col>
                    <xdr:colOff>441960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3" name="Option Button 21">
              <controlPr defaultSize="0" autoFill="0" autoLine="0" autoPict="0">
                <anchor moveWithCells="1">
                  <from>
                    <xdr:col>5</xdr:col>
                    <xdr:colOff>68580</xdr:colOff>
                    <xdr:row>24</xdr:row>
                    <xdr:rowOff>7620</xdr:rowOff>
                  </from>
                  <to>
                    <xdr:col>5</xdr:col>
                    <xdr:colOff>601980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4" name="Option Button 22">
              <controlPr defaultSize="0" autoFill="0" autoLine="0" autoPict="0">
                <anchor moveWithCells="1">
                  <from>
                    <xdr:col>6</xdr:col>
                    <xdr:colOff>53340</xdr:colOff>
                    <xdr:row>24</xdr:row>
                    <xdr:rowOff>7620</xdr:rowOff>
                  </from>
                  <to>
                    <xdr:col>6</xdr:col>
                    <xdr:colOff>518160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5" name="Group Box 23">
              <controlPr defaultSiz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693420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6" name="Group Box 24">
              <controlPr defaultSize="0" autoPict="0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3</xdr:col>
                    <xdr:colOff>632460</xdr:colOff>
                    <xdr:row>10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7" name="Group Box 27">
              <controlPr defaultSize="0" autoPict="0">
                <anchor moveWithCells="1">
                  <from>
                    <xdr:col>2</xdr:col>
                    <xdr:colOff>0</xdr:colOff>
                    <xdr:row>45</xdr:row>
                    <xdr:rowOff>0</xdr:rowOff>
                  </from>
                  <to>
                    <xdr:col>4</xdr:col>
                    <xdr:colOff>0</xdr:colOff>
                    <xdr:row>47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8" name="Option Button 28">
              <controlPr defaultSize="0" autoFill="0" autoLine="0" autoPict="0">
                <anchor moveWithCells="1">
                  <from>
                    <xdr:col>2</xdr:col>
                    <xdr:colOff>251460</xdr:colOff>
                    <xdr:row>45</xdr:row>
                    <xdr:rowOff>7620</xdr:rowOff>
                  </from>
                  <to>
                    <xdr:col>3</xdr:col>
                    <xdr:colOff>518160</xdr:colOff>
                    <xdr:row>46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19" name="Option Button 29">
              <controlPr defaultSize="0" autoFill="0" autoLine="0" autoPict="0">
                <anchor moveWithCells="1">
                  <from>
                    <xdr:col>2</xdr:col>
                    <xdr:colOff>236220</xdr:colOff>
                    <xdr:row>45</xdr:row>
                    <xdr:rowOff>160020</xdr:rowOff>
                  </from>
                  <to>
                    <xdr:col>3</xdr:col>
                    <xdr:colOff>502920</xdr:colOff>
                    <xdr:row>47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0" name="Button 32">
              <controlPr defaultSize="0" print="0" autoFill="0" autoLine="0" autoPict="0" macro="[0]!_xlnm.Auto_Open">
                <anchor moveWithCells="1" sizeWithCells="1">
                  <from>
                    <xdr:col>5</xdr:col>
                    <xdr:colOff>15240</xdr:colOff>
                    <xdr:row>32</xdr:row>
                    <xdr:rowOff>7620</xdr:rowOff>
                  </from>
                  <to>
                    <xdr:col>6</xdr:col>
                    <xdr:colOff>693420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1" name="Option Button 33">
              <controlPr defaultSize="0" autoFill="0" autoLine="0" autoPict="0" macro="[0]!ChangeCalcMode">
                <anchor moveWithCells="1">
                  <from>
                    <xdr:col>41</xdr:col>
                    <xdr:colOff>45720</xdr:colOff>
                    <xdr:row>10</xdr:row>
                    <xdr:rowOff>38100</xdr:rowOff>
                  </from>
                  <to>
                    <xdr:col>43</xdr:col>
                    <xdr:colOff>15240</xdr:colOff>
                    <xdr:row>11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2" name="Option Button 34">
              <controlPr defaultSize="0" autoFill="0" autoLine="0" autoPict="0" macro="[0]!ChangeCalcMode">
                <anchor moveWithCells="1">
                  <from>
                    <xdr:col>43</xdr:col>
                    <xdr:colOff>236220</xdr:colOff>
                    <xdr:row>10</xdr:row>
                    <xdr:rowOff>38100</xdr:rowOff>
                  </from>
                  <to>
                    <xdr:col>45</xdr:col>
                    <xdr:colOff>502920</xdr:colOff>
                    <xdr:row>11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3" name="Group Box 35">
              <controlPr defaultSize="0" autoPict="0">
                <anchor moveWithCells="1">
                  <from>
                    <xdr:col>41</xdr:col>
                    <xdr:colOff>22860</xdr:colOff>
                    <xdr:row>10</xdr:row>
                    <xdr:rowOff>22860</xdr:rowOff>
                  </from>
                  <to>
                    <xdr:col>45</xdr:col>
                    <xdr:colOff>601980</xdr:colOff>
                    <xdr:row>11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24" name="Option Button 118">
              <controlPr defaultSize="0" autoFill="0" autoLine="0" autoPict="0">
                <anchor moveWithCells="1">
                  <from>
                    <xdr:col>35</xdr:col>
                    <xdr:colOff>53340</xdr:colOff>
                    <xdr:row>12</xdr:row>
                    <xdr:rowOff>7620</xdr:rowOff>
                  </from>
                  <to>
                    <xdr:col>38</xdr:col>
                    <xdr:colOff>7620</xdr:colOff>
                    <xdr:row>13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25" name="Option Button 119">
              <controlPr defaultSize="0" autoFill="0" autoLine="0" autoPict="0">
                <anchor moveWithCells="1">
                  <from>
                    <xdr:col>37</xdr:col>
                    <xdr:colOff>441960</xdr:colOff>
                    <xdr:row>12</xdr:row>
                    <xdr:rowOff>7620</xdr:rowOff>
                  </from>
                  <to>
                    <xdr:col>39</xdr:col>
                    <xdr:colOff>388620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26" name="Group Box 120">
              <controlPr defaultSize="0" autoFill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39</xdr:col>
                    <xdr:colOff>411480</xdr:colOff>
                    <xdr:row>13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27" name="Check Box 150">
              <controlPr defaultSize="0" autoFill="0" autoLine="0" autoPict="0">
                <anchor moveWithCells="1">
                  <from>
                    <xdr:col>21</xdr:col>
                    <xdr:colOff>45720</xdr:colOff>
                    <xdr:row>16</xdr:row>
                    <xdr:rowOff>38100</xdr:rowOff>
                  </from>
                  <to>
                    <xdr:col>21</xdr:col>
                    <xdr:colOff>563880</xdr:colOff>
                    <xdr:row>17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28" name="Button 172">
              <controlPr defaultSize="0" print="0" autoFill="0" autoLine="0" autoPict="0" macro="[0]!SavePriceCurves">
                <anchor moveWithCells="1" sizeWithCells="1">
                  <from>
                    <xdr:col>110</xdr:col>
                    <xdr:colOff>45720</xdr:colOff>
                    <xdr:row>14</xdr:row>
                    <xdr:rowOff>15240</xdr:rowOff>
                  </from>
                  <to>
                    <xdr:col>117</xdr:col>
                    <xdr:colOff>510540</xdr:colOff>
                    <xdr:row>15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29" name="Button 174">
              <controlPr defaultSize="0" print="0" autoFill="0" autoLine="0" autoPict="0" macro="[0]!SaveVolCurves">
                <anchor moveWithCells="1" sizeWithCells="1">
                  <from>
                    <xdr:col>121</xdr:col>
                    <xdr:colOff>53340</xdr:colOff>
                    <xdr:row>14</xdr:row>
                    <xdr:rowOff>15240</xdr:rowOff>
                  </from>
                  <to>
                    <xdr:col>130</xdr:col>
                    <xdr:colOff>502920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30" name="Drop Down 1220">
              <controlPr defaultSize="0" autoLine="0" autoPict="0" macro="[0]!EuroMonth">
                <anchor moveWithCells="1">
                  <from>
                    <xdr:col>6</xdr:col>
                    <xdr:colOff>0</xdr:colOff>
                    <xdr:row>17</xdr:row>
                    <xdr:rowOff>198120</xdr:rowOff>
                  </from>
                  <to>
                    <xdr:col>6</xdr:col>
                    <xdr:colOff>708660</xdr:colOff>
                    <xdr:row>18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31" name="Drop Down 1221">
              <controlPr defaultSize="0" autoLine="0" autoPict="0" macro="[0]!GoToStrike">
                <anchor moveWithCells="1">
                  <from>
                    <xdr:col>2</xdr:col>
                    <xdr:colOff>601980</xdr:colOff>
                    <xdr:row>2</xdr:row>
                    <xdr:rowOff>7620</xdr:rowOff>
                  </from>
                  <to>
                    <xdr:col>4</xdr:col>
                    <xdr:colOff>45720</xdr:colOff>
                    <xdr:row>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32" name="Drop Down 1222">
              <controlPr defaultSize="0" autoLine="0" autoPict="0" macro="[0]!GoToStrike">
                <anchor moveWithCells="1">
                  <from>
                    <xdr:col>1</xdr:col>
                    <xdr:colOff>22860</xdr:colOff>
                    <xdr:row>2</xdr:row>
                    <xdr:rowOff>7620</xdr:rowOff>
                  </from>
                  <to>
                    <xdr:col>1</xdr:col>
                    <xdr:colOff>769620</xdr:colOff>
                    <xdr:row>2</xdr:row>
                    <xdr:rowOff>243840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33" name="Drop Down 1223">
              <controlPr defaultSize="0" autoLine="0" autoPict="0">
                <anchor moveWithCells="1">
                  <from>
                    <xdr:col>2</xdr:col>
                    <xdr:colOff>601980</xdr:colOff>
                    <xdr:row>23</xdr:row>
                    <xdr:rowOff>7620</xdr:rowOff>
                  </from>
                  <to>
                    <xdr:col>4</xdr:col>
                    <xdr:colOff>7620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34" name="Drop Down 1224">
              <controlPr defaultSize="0" autoLine="0" autoPict="0">
                <anchor moveWithCells="1">
                  <from>
                    <xdr:col>1</xdr:col>
                    <xdr:colOff>22860</xdr:colOff>
                    <xdr:row>23</xdr:row>
                    <xdr:rowOff>7620</xdr:rowOff>
                  </from>
                  <to>
                    <xdr:col>1</xdr:col>
                    <xdr:colOff>769620</xdr:colOff>
                    <xdr:row>23</xdr:row>
                    <xdr:rowOff>243840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35" name="Button 1228">
              <controlPr defaultSize="0" autoFill="0" autoPict="0" macro="[0]!SaveRegressionParametersIntraday">
                <anchor moveWithCells="1" sizeWithCells="1">
                  <from>
                    <xdr:col>18</xdr:col>
                    <xdr:colOff>7620</xdr:colOff>
                    <xdr:row>15</xdr:row>
                    <xdr:rowOff>175260</xdr:rowOff>
                  </from>
                  <to>
                    <xdr:col>19</xdr:col>
                    <xdr:colOff>251460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36" name="Button 1229">
              <controlPr defaultSize="0" autoFill="0" autoPict="0" macro="[0]!RetrieveRegressionParametersIntraday">
                <anchor moveWithCells="1" sizeWithCells="1">
                  <from>
                    <xdr:col>19</xdr:col>
                    <xdr:colOff>281940</xdr:colOff>
                    <xdr:row>15</xdr:row>
                    <xdr:rowOff>175260</xdr:rowOff>
                  </from>
                  <to>
                    <xdr:col>20</xdr:col>
                    <xdr:colOff>548640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37" name="Button 1231">
              <controlPr defaultSize="0" autoFill="0" autoPict="0" macro="[0]!SaveAllChanges">
                <anchor moveWithCells="1" sizeWithCells="1">
                  <from>
                    <xdr:col>26</xdr:col>
                    <xdr:colOff>7620</xdr:colOff>
                    <xdr:row>1</xdr:row>
                    <xdr:rowOff>7620</xdr:rowOff>
                  </from>
                  <to>
                    <xdr:col>26</xdr:col>
                    <xdr:colOff>678180</xdr:colOff>
                    <xdr:row>6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8" name="Button 2075">
              <controlPr defaultSize="0" autoFill="0" autoPict="0" macro="[0]!SaveWTIPriceIntraday">
                <anchor moveWithCells="1" sizeWithCells="1">
                  <from>
                    <xdr:col>9</xdr:col>
                    <xdr:colOff>15240</xdr:colOff>
                    <xdr:row>15</xdr:row>
                    <xdr:rowOff>7620</xdr:rowOff>
                  </from>
                  <to>
                    <xdr:col>10</xdr:col>
                    <xdr:colOff>266700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9" name="Button 2078">
              <controlPr defaultSize="0" autoFill="0" autoPict="0" macro="[0]!RetrieveWTIPriceIntraday">
                <anchor moveWithCells="1" sizeWithCells="1">
                  <from>
                    <xdr:col>10</xdr:col>
                    <xdr:colOff>289560</xdr:colOff>
                    <xdr:row>15</xdr:row>
                    <xdr:rowOff>7620</xdr:rowOff>
                  </from>
                  <to>
                    <xdr:col>11</xdr:col>
                    <xdr:colOff>472440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40" name="Button 2079">
              <controlPr defaultSize="0" autoFill="0" autoPict="0" macro="[0]!SaveVolIntraday">
                <anchor moveWithCells="1" sizeWithCells="1">
                  <from>
                    <xdr:col>12</xdr:col>
                    <xdr:colOff>22860</xdr:colOff>
                    <xdr:row>15</xdr:row>
                    <xdr:rowOff>7620</xdr:rowOff>
                  </from>
                  <to>
                    <xdr:col>13</xdr:col>
                    <xdr:colOff>297180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41" name="Button 2080">
              <controlPr defaultSize="0" autoFill="0" autoPict="0" macro="[0]!RetrieveVolIntraday">
                <anchor moveWithCells="1" sizeWithCells="1">
                  <from>
                    <xdr:col>13</xdr:col>
                    <xdr:colOff>304800</xdr:colOff>
                    <xdr:row>15</xdr:row>
                    <xdr:rowOff>7620</xdr:rowOff>
                  </from>
                  <to>
                    <xdr:col>14</xdr:col>
                    <xdr:colOff>518160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42" name="Group Box 2266">
              <controlPr defaultSize="0" autoPict="0">
                <anchor moveWithCells="1">
                  <from>
                    <xdr:col>1</xdr:col>
                    <xdr:colOff>579120</xdr:colOff>
                    <xdr:row>34</xdr:row>
                    <xdr:rowOff>0</xdr:rowOff>
                  </from>
                  <to>
                    <xdr:col>4</xdr:col>
                    <xdr:colOff>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43" name="Option Button 2267">
              <controlPr defaultSize="0" autoFill="0" autoLine="0" autoPict="0">
                <anchor moveWithCells="1">
                  <from>
                    <xdr:col>1</xdr:col>
                    <xdr:colOff>617220</xdr:colOff>
                    <xdr:row>34</xdr:row>
                    <xdr:rowOff>7620</xdr:rowOff>
                  </from>
                  <to>
                    <xdr:col>2</xdr:col>
                    <xdr:colOff>434340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44" name="Option Button 2268">
              <controlPr defaultSize="0" autoFill="0" autoLine="0" autoPict="0">
                <anchor moveWithCells="1">
                  <from>
                    <xdr:col>2</xdr:col>
                    <xdr:colOff>441960</xdr:colOff>
                    <xdr:row>34</xdr:row>
                    <xdr:rowOff>7620</xdr:rowOff>
                  </from>
                  <to>
                    <xdr:col>3</xdr:col>
                    <xdr:colOff>594360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45" name="Button 2403">
              <controlPr defaultSize="0" autoFill="0" autoPict="0" macro="[0]!SavingMacros.SaveBrentPriceIntraday">
                <anchor moveWithCells="1" sizeWithCells="1">
                  <from>
                    <xdr:col>15</xdr:col>
                    <xdr:colOff>22860</xdr:colOff>
                    <xdr:row>15</xdr:row>
                    <xdr:rowOff>7620</xdr:rowOff>
                  </from>
                  <to>
                    <xdr:col>16</xdr:col>
                    <xdr:colOff>274320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46" name="Button 2404">
              <controlPr defaultSize="0" autoFill="0" autoPict="0" macro="[0]!RetrieveBrentPriceIntraday">
                <anchor moveWithCells="1" sizeWithCells="1">
                  <from>
                    <xdr:col>16</xdr:col>
                    <xdr:colOff>297180</xdr:colOff>
                    <xdr:row>15</xdr:row>
                    <xdr:rowOff>7620</xdr:rowOff>
                  </from>
                  <to>
                    <xdr:col>17</xdr:col>
                    <xdr:colOff>510540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47" name="Button 2405">
              <controlPr defaultSize="0" autoFill="0" autoPict="0" macro="[0]!RetrieveAllChanges">
                <anchor moveWithCells="1" sizeWithCells="1">
                  <from>
                    <xdr:col>26</xdr:col>
                    <xdr:colOff>7620</xdr:colOff>
                    <xdr:row>6</xdr:row>
                    <xdr:rowOff>114300</xdr:rowOff>
                  </from>
                  <to>
                    <xdr:col>26</xdr:col>
                    <xdr:colOff>678180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8" name="Button 2538">
              <controlPr defaultSize="0" autoFill="0" autoPict="0" macro="[0]!Straddle">
                <anchor moveWithCells="1" sizeWithCells="1">
                  <from>
                    <xdr:col>4</xdr:col>
                    <xdr:colOff>7620</xdr:colOff>
                    <xdr:row>7</xdr:row>
                    <xdr:rowOff>7620</xdr:rowOff>
                  </from>
                  <to>
                    <xdr:col>5</xdr:col>
                    <xdr:colOff>0</xdr:colOff>
                    <xdr:row>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49" name="Button 8213">
              <controlPr defaultSize="0" autoFill="0" autoPict="0" macro="[0]!CostlessCollar">
                <anchor moveWithCells="1" sizeWithCells="1">
                  <from>
                    <xdr:col>6</xdr:col>
                    <xdr:colOff>22860</xdr:colOff>
                    <xdr:row>14</xdr:row>
                    <xdr:rowOff>15240</xdr:rowOff>
                  </from>
                  <to>
                    <xdr:col>6</xdr:col>
                    <xdr:colOff>693420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50" name="Button 10860">
              <controlPr defaultSize="0" autoFill="0" autoPict="0" macro="[0]!SaveDatedBrentSpreadIntraday">
                <anchor moveWithCells="1" sizeWithCells="1">
                  <from>
                    <xdr:col>118</xdr:col>
                    <xdr:colOff>0</xdr:colOff>
                    <xdr:row>14</xdr:row>
                    <xdr:rowOff>15240</xdr:rowOff>
                  </from>
                  <to>
                    <xdr:col>120</xdr:col>
                    <xdr:colOff>457200</xdr:colOff>
                    <xdr:row>15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2" r:id="rId51" name="Button 21324">
              <controlPr defaultSize="0" autoFill="0" autoPict="0" macro="[0]!RetrieveBrentVolCurve">
                <anchor moveWithCells="1" sizeWithCells="1">
                  <from>
                    <xdr:col>45</xdr:col>
                    <xdr:colOff>7620</xdr:colOff>
                    <xdr:row>16</xdr:row>
                    <xdr:rowOff>7620</xdr:rowOff>
                  </from>
                  <to>
                    <xdr:col>46</xdr:col>
                    <xdr:colOff>7620</xdr:colOff>
                    <xdr:row>17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7" r:id="rId52" name="Button 26729">
              <controlPr defaultSize="0" autoFill="0" autoLine="0" autoPict="0" macro="[0]!SavingMacros.SwaptionVol">
                <anchor moveWithCells="1" sizeWithCells="1">
                  <from>
                    <xdr:col>237</xdr:col>
                    <xdr:colOff>45720</xdr:colOff>
                    <xdr:row>11</xdr:row>
                    <xdr:rowOff>7620</xdr:rowOff>
                  </from>
                  <to>
                    <xdr:col>239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8" r:id="rId53" name="Button 26730">
              <controlPr defaultSize="0" autoFill="0" autoLine="0" autoPict="0" macro="[0]!SaveSwaptionVolTableIntraday">
                <anchor moveWithCells="1" sizeWithCells="1">
                  <from>
                    <xdr:col>239</xdr:col>
                    <xdr:colOff>45720</xdr:colOff>
                    <xdr:row>11</xdr:row>
                    <xdr:rowOff>7620</xdr:rowOff>
                  </from>
                  <to>
                    <xdr:col>242</xdr:col>
                    <xdr:colOff>243840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9" r:id="rId54" name="Button 26731">
              <controlPr defaultSize="0" autoFill="0" autoLine="0" autoPict="0" macro="[0]!RetrieveSwaptionVolTableIntraday">
                <anchor moveWithCells="1" sizeWithCells="1">
                  <from>
                    <xdr:col>242</xdr:col>
                    <xdr:colOff>274320</xdr:colOff>
                    <xdr:row>11</xdr:row>
                    <xdr:rowOff>7620</xdr:rowOff>
                  </from>
                  <to>
                    <xdr:col>245</xdr:col>
                    <xdr:colOff>586740</xdr:colOff>
                    <xdr:row>12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2"/>
  <sheetViews>
    <sheetView workbookViewId="0">
      <selection activeCell="A12" sqref="A12"/>
    </sheetView>
  </sheetViews>
  <sheetFormatPr defaultColWidth="10.6640625" defaultRowHeight="13.2"/>
  <cols>
    <col min="1" max="1" width="19" style="14" customWidth="1"/>
    <col min="2" max="2" width="25.6640625" style="14" customWidth="1"/>
    <col min="3" max="3" width="21" style="14" customWidth="1"/>
    <col min="4" max="16384" width="10.6640625" style="14"/>
  </cols>
  <sheetData>
    <row r="1" spans="1:4" ht="15.6">
      <c r="A1" s="10" t="s">
        <v>81</v>
      </c>
      <c r="B1" s="11"/>
      <c r="C1" s="12"/>
      <c r="D1" s="13"/>
    </row>
    <row r="2" spans="1:4" ht="15.6">
      <c r="A2" s="10"/>
      <c r="B2" s="11"/>
      <c r="C2" s="15"/>
      <c r="D2" s="13"/>
    </row>
    <row r="3" spans="1:4">
      <c r="A3" s="16" t="s">
        <v>82</v>
      </c>
      <c r="B3" s="17" t="s">
        <v>83</v>
      </c>
      <c r="C3" s="15"/>
      <c r="D3" s="13"/>
    </row>
    <row r="4" spans="1:4">
      <c r="A4" s="16" t="s">
        <v>84</v>
      </c>
      <c r="B4" s="17" t="s">
        <v>85</v>
      </c>
      <c r="C4" s="15"/>
      <c r="D4" s="13"/>
    </row>
    <row r="5" spans="1:4">
      <c r="A5" s="16" t="s">
        <v>86</v>
      </c>
      <c r="B5" s="18" t="s">
        <v>87</v>
      </c>
      <c r="C5" s="19"/>
      <c r="D5" s="13"/>
    </row>
    <row r="6" spans="1:4" ht="13.8">
      <c r="A6" s="20" t="s">
        <v>88</v>
      </c>
      <c r="B6" s="21" t="str">
        <f ca="1">CONCATENATE("crude_",IF(MONTH(DateToday)&gt;9,"",0),MONTH(DateToday),IF(DAY(DateToday)&gt;9,"",0),DAY(DateToday),".wk3")</f>
        <v>crude_0808.wk3</v>
      </c>
      <c r="C6" s="21" t="str">
        <f ca="1">CONCATENATE("crude_",IF(MONTH(DateToday)&gt;9,"",0),MONTH(DateToday),IF(DAY(DateToday)&gt;9,"",0),DAY(DateToday),".xls")</f>
        <v>crude_0808.xls</v>
      </c>
      <c r="D6" s="13"/>
    </row>
    <row r="7" spans="1:4">
      <c r="A7" s="16" t="s">
        <v>89</v>
      </c>
      <c r="B7" s="23" t="s">
        <v>90</v>
      </c>
      <c r="C7" s="22"/>
      <c r="D7" s="13"/>
    </row>
    <row r="8" spans="1:4">
      <c r="A8" s="16" t="s">
        <v>91</v>
      </c>
      <c r="B8" s="23" t="s">
        <v>92</v>
      </c>
      <c r="C8" s="24"/>
      <c r="D8" s="13"/>
    </row>
    <row r="9" spans="1:4">
      <c r="A9" s="16"/>
      <c r="B9" s="25"/>
      <c r="C9" s="24"/>
      <c r="D9" s="13"/>
    </row>
    <row r="10" spans="1:4">
      <c r="A10" s="16"/>
      <c r="B10" s="25"/>
      <c r="C10" s="26"/>
      <c r="D10" s="24"/>
    </row>
    <row r="11" spans="1:4">
      <c r="A11" s="13"/>
      <c r="B11" s="26"/>
      <c r="C11" s="27"/>
      <c r="D11" s="24"/>
    </row>
    <row r="12" spans="1:4">
      <c r="A12" s="13"/>
      <c r="B12" s="26"/>
      <c r="C12" s="27"/>
      <c r="D12" s="24"/>
    </row>
    <row r="13" spans="1:4" ht="13.8">
      <c r="B13" s="28"/>
      <c r="C13" s="27"/>
      <c r="D13" s="24"/>
    </row>
    <row r="14" spans="1:4">
      <c r="B14" s="24"/>
      <c r="C14" s="27"/>
      <c r="D14" s="24"/>
    </row>
    <row r="15" spans="1:4">
      <c r="B15" s="24"/>
      <c r="C15" s="27"/>
      <c r="D15" s="24"/>
    </row>
    <row r="16" spans="1:4">
      <c r="A16" s="13"/>
      <c r="B16" s="26"/>
      <c r="C16" s="27"/>
      <c r="D16" s="24"/>
    </row>
    <row r="17" spans="1:4">
      <c r="A17" s="13"/>
      <c r="B17" s="26"/>
      <c r="C17" s="27"/>
      <c r="D17" s="24"/>
    </row>
    <row r="18" spans="1:4">
      <c r="A18" s="13"/>
      <c r="B18" s="26"/>
      <c r="C18" s="27"/>
      <c r="D18" s="24"/>
    </row>
    <row r="19" spans="1:4">
      <c r="A19" s="13"/>
      <c r="B19" s="26"/>
      <c r="C19" s="27"/>
      <c r="D19" s="24"/>
    </row>
    <row r="20" spans="1:4">
      <c r="A20" s="27"/>
      <c r="B20" s="29"/>
      <c r="C20" s="27"/>
      <c r="D20" s="24"/>
    </row>
    <row r="21" spans="1:4">
      <c r="A21" s="27"/>
      <c r="B21" s="27"/>
      <c r="C21" s="27"/>
      <c r="D21" s="24"/>
    </row>
    <row r="22" spans="1:4">
      <c r="A22" s="27"/>
      <c r="B22" s="27"/>
      <c r="D22" s="24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91</vt:i4>
      </vt:variant>
    </vt:vector>
  </HeadingPairs>
  <TitlesOfParts>
    <vt:vector size="93" baseType="lpstr">
      <vt:lpstr>MAIN</vt:lpstr>
      <vt:lpstr>FTP</vt:lpstr>
      <vt:lpstr>BigAreaToPaste</vt:lpstr>
      <vt:lpstr>BrentPhyBrentSpread</vt:lpstr>
      <vt:lpstr>BrentSeasonalityTable</vt:lpstr>
      <vt:lpstr>BrentVolTable</vt:lpstr>
      <vt:lpstr>CalcMode</vt:lpstr>
      <vt:lpstr>CollartionCap</vt:lpstr>
      <vt:lpstr>CollartionFloor</vt:lpstr>
      <vt:lpstr>CostlessCollarFirstAdjustment</vt:lpstr>
      <vt:lpstr>CostlessCollarValue</vt:lpstr>
      <vt:lpstr>DateCurve</vt:lpstr>
      <vt:lpstr>DatedBrentSpread</vt:lpstr>
      <vt:lpstr>DateEnd</vt:lpstr>
      <vt:lpstr>DateEnd2</vt:lpstr>
      <vt:lpstr>DateIR</vt:lpstr>
      <vt:lpstr>DateStart</vt:lpstr>
      <vt:lpstr>DateStart2</vt:lpstr>
      <vt:lpstr>DateToday</vt:lpstr>
      <vt:lpstr>DaysForThetaCalculation</vt:lpstr>
      <vt:lpstr>EuroOptionMonthPosition</vt:lpstr>
      <vt:lpstr>ExtendableFirstAdjustment</vt:lpstr>
      <vt:lpstr>ExtendableSwapValue</vt:lpstr>
      <vt:lpstr>FileName</vt:lpstr>
      <vt:lpstr>FileType</vt:lpstr>
      <vt:lpstr>FirstMonthToSave</vt:lpstr>
      <vt:lpstr>FirstPricingMonth</vt:lpstr>
      <vt:lpstr>FTPConfig</vt:lpstr>
      <vt:lpstr>HolidaysBrent</vt:lpstr>
      <vt:lpstr>HolidaysWTI</vt:lpstr>
      <vt:lpstr>IntradayBrentPriceChanges</vt:lpstr>
      <vt:lpstr>IntradayVolChanges</vt:lpstr>
      <vt:lpstr>IntradayWTIPriceChanges</vt:lpstr>
      <vt:lpstr>LocalPath</vt:lpstr>
      <vt:lpstr>NextMonth</vt:lpstr>
      <vt:lpstr>NominalVolume</vt:lpstr>
      <vt:lpstr>OptControl</vt:lpstr>
      <vt:lpstr>ParticipatingFirstAdjustment</vt:lpstr>
      <vt:lpstr>ParticipatingSwapPrice</vt:lpstr>
      <vt:lpstr>ParticipatingSwapValue</vt:lpstr>
      <vt:lpstr>ParticipationRate</vt:lpstr>
      <vt:lpstr>ParticipationType</vt:lpstr>
      <vt:lpstr>PositionBrentPrice</vt:lpstr>
      <vt:lpstr>PositionIR</vt:lpstr>
      <vt:lpstr>PositionWTIPrice</vt:lpstr>
      <vt:lpstr>PositionWTIVol</vt:lpstr>
      <vt:lpstr>PriceSpreadAsian</vt:lpstr>
      <vt:lpstr>PriceSpreadTable</vt:lpstr>
      <vt:lpstr>PricingArea</vt:lpstr>
      <vt:lpstr>PutGet</vt:lpstr>
      <vt:lpstr>RangePriceBrent</vt:lpstr>
      <vt:lpstr>RangePriceBrentDated</vt:lpstr>
      <vt:lpstr>RangePriceBrentPhy</vt:lpstr>
      <vt:lpstr>RangePriceWTI</vt:lpstr>
      <vt:lpstr>RangeVolBrent</vt:lpstr>
      <vt:lpstr>RangeVolBRNTDT</vt:lpstr>
      <vt:lpstr>RangeVolExpPrompt</vt:lpstr>
      <vt:lpstr>RangeVolWTI</vt:lpstr>
      <vt:lpstr>RegressionParameters</vt:lpstr>
      <vt:lpstr>RemotePath</vt:lpstr>
      <vt:lpstr>Strike1</vt:lpstr>
      <vt:lpstr>Strike2</vt:lpstr>
      <vt:lpstr>StrikeSpec1</vt:lpstr>
      <vt:lpstr>StrikeSpec2</vt:lpstr>
      <vt:lpstr>SwapCurveBrent</vt:lpstr>
      <vt:lpstr>SwapCurveWTI</vt:lpstr>
      <vt:lpstr>SwapFirstMonthPosition</vt:lpstr>
      <vt:lpstr>SwapNumOfMonths</vt:lpstr>
      <vt:lpstr>SwapPriceCurve</vt:lpstr>
      <vt:lpstr>SwapPriceSettle</vt:lpstr>
      <vt:lpstr>SwaptionFirstMonthPosition</vt:lpstr>
      <vt:lpstr>SwaptionMonthsToGo</vt:lpstr>
      <vt:lpstr>SwaptionNumOfMonths</vt:lpstr>
      <vt:lpstr>SwaptionPremium</vt:lpstr>
      <vt:lpstr>SwaptionShift</vt:lpstr>
      <vt:lpstr>SwaptionStrike</vt:lpstr>
      <vt:lpstr>SwaptionType</vt:lpstr>
      <vt:lpstr>SwaptionUnderlyingPrice</vt:lpstr>
      <vt:lpstr>SwaptionVol</vt:lpstr>
      <vt:lpstr>SwaptionVolTable</vt:lpstr>
      <vt:lpstr>SwaptionYearsToExp</vt:lpstr>
      <vt:lpstr>TradingStatusTable</vt:lpstr>
      <vt:lpstr>Underlying</vt:lpstr>
      <vt:lpstr>UnderlyingPriceAsian</vt:lpstr>
      <vt:lpstr>VolCurveBrent</vt:lpstr>
      <vt:lpstr>VolCurveBrentOTC</vt:lpstr>
      <vt:lpstr>VolCurveExpPrompt</vt:lpstr>
      <vt:lpstr>VolCurveWTIOTC</vt:lpstr>
      <vt:lpstr>VolSkewFlag</vt:lpstr>
      <vt:lpstr>VolSkewTable</vt:lpstr>
      <vt:lpstr>Volume</vt:lpstr>
      <vt:lpstr>VolumeOverrideFlag</vt:lpstr>
      <vt:lpstr>VolumeSwaption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pzadoro</dc:creator>
  <cp:lastModifiedBy>Havlíček Jan</cp:lastModifiedBy>
  <cp:lastPrinted>1999-09-02T22:06:17Z</cp:lastPrinted>
  <dcterms:created xsi:type="dcterms:W3CDTF">1998-04-10T19:17:46Z</dcterms:created>
  <dcterms:modified xsi:type="dcterms:W3CDTF">2023-09-10T11:22:38Z</dcterms:modified>
</cp:coreProperties>
</file>